
<file path=[Content_Types].xml><?xml version="1.0" encoding="utf-8"?>
<Types xmlns="http://schemas.openxmlformats.org/package/2006/content-types">
  <Override PartName="/xl/embeddings/oleObject8.bin" ContentType="application/vnd.openxmlformats-officedocument.oleObject"/>
  <Override PartName="/xl/embeddings/oleObject14.bin" ContentType="application/vnd.openxmlformats-officedocument.oleObject"/>
  <Override PartName="/xl/embeddings/oleObject43.bin" ContentType="application/vnd.openxmlformats-officedocument.oleObject"/>
  <Override PartName="/xl/embeddings/oleObject61.bin" ContentType="application/vnd.openxmlformats-officedocument.oleObject"/>
  <Override PartName="/xl/worksheets/sheet13.xml" ContentType="application/vnd.openxmlformats-officedocument.spreadsheetml.worksheet+xml"/>
  <Override PartName="/xl/externalLinks/externalLink9.xml" ContentType="application/vnd.openxmlformats-officedocument.spreadsheetml.externalLink+xml"/>
  <Override PartName="/xl/styles.xml" ContentType="application/vnd.openxmlformats-officedocument.spreadsheetml.styles+xml"/>
  <Override PartName="/xl/drawings/drawing6.xml" ContentType="application/vnd.openxmlformats-officedocument.drawing+xml"/>
  <Override PartName="/xl/comments8.xml" ContentType="application/vnd.openxmlformats-officedocument.spreadsheetml.comments+xml"/>
  <Override PartName="/xl/embeddings/oleObject21.bin" ContentType="application/vnd.openxmlformats-officedocument.oleObject"/>
  <Override PartName="/xl/embeddings/oleObject32.bin" ContentType="application/vnd.openxmlformats-officedocument.oleObject"/>
  <Override PartName="/xl/embeddings/oleObject50.bin" ContentType="application/vnd.openxmlformats-officedocument.oleObject"/>
  <Override PartName="/xl/worksheets/sheet7.xml" ContentType="application/vnd.openxmlformats-officedocument.spreadsheetml.worksheet+xml"/>
  <Override PartName="/xl/embeddings/oleObject4.bin" ContentType="application/vnd.openxmlformats-officedocument.oleObject"/>
  <Override PartName="/xl/embeddings/oleObject10.bin" ContentType="application/vnd.openxmlformats-officedocument.oleObject"/>
  <Default Extension="xml" ContentType="application/xml"/>
  <Override PartName="/xl/externalLinks/externalLink5.xml" ContentType="application/vnd.openxmlformats-officedocument.spreadsheetml.externalLink+xml"/>
  <Override PartName="/xl/drawings/drawing2.xml" ContentType="application/vnd.openxmlformats-officedocument.drawing+xml"/>
  <Override PartName="/xl/comments4.xml" ContentType="application/vnd.openxmlformats-officedocument.spreadsheetml.comments+xml"/>
  <Override PartName="/xl/worksheets/sheet3.xml" ContentType="application/vnd.openxmlformats-officedocument.spreadsheetml.worksheet+xml"/>
  <Override PartName="/xl/externalLinks/externalLink3.xml" ContentType="application/vnd.openxmlformats-officedocument.spreadsheetml.externalLink+xml"/>
  <Override PartName="/xl/comments2.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Override PartName="/xl/embeddings/oleObject39.bin" ContentType="application/vnd.openxmlformats-officedocument.oleObject"/>
  <Override PartName="/xl/embeddings/oleObject48.bin" ContentType="application/vnd.openxmlformats-officedocument.oleObject"/>
  <Override PartName="/xl/embeddings/oleObject59.bin" ContentType="application/vnd.openxmlformats-officedocument.oleObject"/>
  <Override PartName="/xl/drawings/drawing11.xml" ContentType="application/vnd.openxmlformats-officedocument.drawing+xml"/>
  <Override PartName="/xl/externalLinks/externalLink10.xml" ContentType="application/vnd.openxmlformats-officedocument.spreadsheetml.externalLink+xml"/>
  <Override PartName="/xl/sharedStrings.xml" ContentType="application/vnd.openxmlformats-officedocument.spreadsheetml.sharedStrings+xml"/>
  <Override PartName="/xl/embeddings/oleObject19.bin" ContentType="application/vnd.openxmlformats-officedocument.oleObject"/>
  <Override PartName="/xl/embeddings/oleObject28.bin" ContentType="application/vnd.openxmlformats-officedocument.oleObject"/>
  <Override PartName="/xl/embeddings/oleObject37.bin" ContentType="application/vnd.openxmlformats-officedocument.oleObject"/>
  <Override PartName="/xl/embeddings/oleObject46.bin" ContentType="application/vnd.openxmlformats-officedocument.oleObject"/>
  <Override PartName="/xl/embeddings/oleObject57.bin" ContentType="application/vnd.openxmlformats-officedocument.oleObject"/>
  <Override PartName="/xl/embeddings/oleObject9.bin" ContentType="application/vnd.openxmlformats-officedocument.oleObject"/>
  <Override PartName="/xl/embeddings/oleObject17.bin" ContentType="application/vnd.openxmlformats-officedocument.oleObject"/>
  <Override PartName="/xl/embeddings/oleObject26.bin" ContentType="application/vnd.openxmlformats-officedocument.oleObject"/>
  <Override PartName="/xl/embeddings/oleObject35.bin" ContentType="application/vnd.openxmlformats-officedocument.oleObject"/>
  <Override PartName="/xl/embeddings/oleObject44.bin" ContentType="application/vnd.openxmlformats-officedocument.oleObject"/>
  <Override PartName="/xl/embeddings/oleObject55.bin" ContentType="application/vnd.openxmlformats-officedocument.oleObject"/>
  <Default Extension="bin" ContentType="application/vnd.openxmlformats-officedocument.spreadsheetml.printerSettings"/>
  <Default Extension="png" ContentType="image/png"/>
  <Override PartName="/xl/embeddings/oleObject7.bin" ContentType="application/vnd.openxmlformats-officedocument.oleObject"/>
  <Override PartName="/xl/embeddings/oleObject15.bin" ContentType="application/vnd.openxmlformats-officedocument.oleObject"/>
  <Override PartName="/xl/embeddings/oleObject24.bin" ContentType="application/vnd.openxmlformats-officedocument.oleObject"/>
  <Override PartName="/xl/embeddings/oleObject33.bin" ContentType="application/vnd.openxmlformats-officedocument.oleObject"/>
  <Override PartName="/xl/embeddings/oleObject42.bin" ContentType="application/vnd.openxmlformats-officedocument.oleObject"/>
  <Override PartName="/xl/embeddings/oleObject53.bin" ContentType="application/vnd.openxmlformats-officedocument.oleObject"/>
  <Override PartName="/xl/embeddings/oleObject62.bin" ContentType="application/vnd.openxmlformats-officedocument.oleObject"/>
  <Override PartName="/xl/drawings/drawing9.xml" ContentType="application/vnd.openxmlformats-officedocument.drawing+xml"/>
  <Override PartName="/xl/worksheets/sheet14.xml" ContentType="application/vnd.openxmlformats-officedocument.spreadsheetml.worksheet+xml"/>
  <Override PartName="/xl/externalLinks/externalLink8.xml" ContentType="application/vnd.openxmlformats-officedocument.spreadsheetml.externalLink+xml"/>
  <Override PartName="/xl/drawings/drawing7.xml" ContentType="application/vnd.openxmlformats-officedocument.drawing+xml"/>
  <Override PartName="/xl/embeddings/oleObject5.bin" ContentType="application/vnd.openxmlformats-officedocument.oleObject"/>
  <Override PartName="/xl/embeddings/oleObject13.bin" ContentType="application/vnd.openxmlformats-officedocument.oleObject"/>
  <Override PartName="/xl/embeddings/oleObject22.bin" ContentType="application/vnd.openxmlformats-officedocument.oleObject"/>
  <Override PartName="/xl/embeddings/oleObject31.bin" ContentType="application/vnd.openxmlformats-officedocument.oleObject"/>
  <Override PartName="/xl/embeddings/oleObject40.bin" ContentType="application/vnd.openxmlformats-officedocument.oleObject"/>
  <Override PartName="/xl/embeddings/oleObject51.bin" ContentType="application/vnd.openxmlformats-officedocument.oleObject"/>
  <Override PartName="/xl/embeddings/oleObject60.bin" ContentType="application/vnd.openxmlformats-officedocument.oleObject"/>
  <Override PartName="/xl/comments9.xml" ContentType="application/vnd.openxmlformats-officedocument.spreadsheetml.comments+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externalLinks/externalLink6.xml" ContentType="application/vnd.openxmlformats-officedocument.spreadsheetml.externalLink+xml"/>
  <Override PartName="/xl/drawings/drawing5.xml" ContentType="application/vnd.openxmlformats-officedocument.drawing+xml"/>
  <Override PartName="/xl/comments7.xml" ContentType="application/vnd.openxmlformats-officedocument.spreadsheetml.comments+xml"/>
  <Override PartName="/xl/embeddings/oleObject3.bin" ContentType="application/vnd.openxmlformats-officedocument.oleObject"/>
  <Override PartName="/xl/embeddings/oleObject11.bin" ContentType="application/vnd.openxmlformats-officedocument.oleObject"/>
  <Override PartName="/xl/embeddings/oleObject20.bin" ContentType="application/vnd.openxmlformats-officedocument.oleObject"/>
  <Default Extension="emf" ContentType="image/x-emf"/>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drawings/drawing3.xml" ContentType="application/vnd.openxmlformats-officedocument.drawing+xml"/>
  <Override PartName="/xl/comments5.xml" ContentType="application/vnd.openxmlformats-officedocument.spreadsheetml.comments+xml"/>
  <Override PartName="/xl/embeddings/oleObject1.bin" ContentType="application/vnd.openxmlformats-officedocument.oleObject"/>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comments3.xml" ContentType="application/vnd.openxmlformats-officedocument.spreadsheetml.comments+xml"/>
  <Default Extension="vml" ContentType="application/vnd.openxmlformats-officedocument.vmlDrawing"/>
  <Override PartName="/xl/comments1.xml" ContentType="application/vnd.openxmlformats-officedocument.spreadsheetml.comments+xml"/>
  <Override PartName="/xl/embeddings/oleObject49.bin" ContentType="application/vnd.openxmlformats-officedocument.oleObject"/>
  <Override PartName="/xl/embeddings/oleObject58.bin" ContentType="application/vnd.openxmlformats-officedocument.oleObject"/>
  <Override PartName="/xl/calcChain.xml" ContentType="application/vnd.openxmlformats-officedocument.spreadsheetml.calcChain+xml"/>
  <Override PartName="/xl/embeddings/oleObject18.bin" ContentType="application/vnd.openxmlformats-officedocument.oleObject"/>
  <Override PartName="/xl/embeddings/oleObject29.bin" ContentType="application/vnd.openxmlformats-officedocument.oleObject"/>
  <Override PartName="/xl/embeddings/oleObject38.bin" ContentType="application/vnd.openxmlformats-officedocument.oleObject"/>
  <Override PartName="/xl/embeddings/oleObject47.bin" ContentType="application/vnd.openxmlformats-officedocument.oleObject"/>
  <Override PartName="/xl/embeddings/oleObject56.bin" ContentType="application/vnd.openxmlformats-officedocument.oleObject"/>
  <Override PartName="/xl/drawings/drawing10.xml" ContentType="application/vnd.openxmlformats-officedocument.drawing+xml"/>
  <Override PartName="/xl/embeddings/oleObject16.bin" ContentType="application/vnd.openxmlformats-officedocument.oleObject"/>
  <Override PartName="/xl/embeddings/oleObject25.bin" ContentType="application/vnd.openxmlformats-officedocument.oleObject"/>
  <Override PartName="/xl/embeddings/oleObject27.bin" ContentType="application/vnd.openxmlformats-officedocument.oleObject"/>
  <Override PartName="/xl/embeddings/oleObject36.bin" ContentType="application/vnd.openxmlformats-officedocument.oleObject"/>
  <Override PartName="/xl/embeddings/oleObject45.bin" ContentType="application/vnd.openxmlformats-officedocument.oleObject"/>
  <Override PartName="/xl/embeddings/oleObject54.bin" ContentType="application/vnd.openxmlformats-officedocument.oleObject"/>
  <Override PartName="/docProps/core.xml" ContentType="application/vnd.openxmlformats-package.core-properties+xml"/>
  <Override PartName="/xl/embeddings/oleObject23.bin" ContentType="application/vnd.openxmlformats-officedocument.oleObject"/>
  <Override PartName="/xl/embeddings/oleObject34.bin" ContentType="application/vnd.openxmlformats-officedocument.oleObject"/>
  <Override PartName="/xl/embeddings/oleObject52.bin" ContentType="application/vnd.openxmlformats-officedocument.oleObject"/>
  <Override PartName="/xl/worksheets/sheet9.xml" ContentType="application/vnd.openxmlformats-officedocument.spreadsheetml.worksheet+xml"/>
  <Override PartName="/xl/theme/theme1.xml" ContentType="application/vnd.openxmlformats-officedocument.theme+xml"/>
  <Override PartName="/xl/drawings/drawing8.xml" ContentType="application/vnd.openxmlformats-officedocument.drawing+xml"/>
  <Override PartName="/xl/embeddings/oleObject6.bin" ContentType="application/vnd.openxmlformats-officedocument.oleObject"/>
  <Override PartName="/xl/embeddings/oleObject12.bin" ContentType="application/vnd.openxmlformats-officedocument.oleObject"/>
  <Override PartName="/xl/embeddings/oleObject41.bin" ContentType="application/vnd.openxmlformats-officedocument.oleObject"/>
  <Override PartName="/xl/worksheets/sheet11.xml" ContentType="application/vnd.openxmlformats-officedocument.spreadsheetml.worksheet+xml"/>
  <Override PartName="/xl/externalLinks/externalLink7.xml" ContentType="application/vnd.openxmlformats-officedocument.spreadsheetml.externalLink+xml"/>
  <Override PartName="/xl/drawings/drawing4.xml" ContentType="application/vnd.openxmlformats-officedocument.drawing+xml"/>
  <Override PartName="/xl/comments6.xml" ContentType="application/vnd.openxmlformats-officedocument.spreadsheetml.comments+xml"/>
  <Override PartName="/xl/embeddings/oleObject30.bin" ContentType="application/vnd.openxmlformats-officedocument.oleObject"/>
  <Default Extension="rels" ContentType="application/vnd.openxmlformats-package.relationships+xml"/>
  <Override PartName="/xl/worksheets/sheet5.xml" ContentType="application/vnd.openxmlformats-officedocument.spreadsheetml.worksheet+xml"/>
  <Override PartName="/xl/embeddings/oleObject2.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05" yWindow="-105" windowWidth="23250" windowHeight="12720" tabRatio="891" activeTab="10"/>
  </bookViews>
  <sheets>
    <sheet name="036-20-CAPA" sheetId="4" r:id="rId1"/>
    <sheet name="036.01-20-SERV. GERAIS" sheetId="18" r:id="rId2"/>
    <sheet name="036.02-20-CANTEIRO." sheetId="29" r:id="rId3"/>
    <sheet name="036-20-CCU's" sheetId="15" r:id="rId4"/>
    <sheet name="036-20-CCA's" sheetId="34" r:id="rId5"/>
    <sheet name="SERVIÇOS" sheetId="27" state="hidden" r:id="rId6"/>
    <sheet name="INSUMOS" sheetId="28" state="hidden" r:id="rId7"/>
    <sheet name="036-20-Cotação" sheetId="16" r:id="rId8"/>
    <sheet name="Reajustamento INCC" sheetId="36" r:id="rId9"/>
    <sheet name="036-20-CRO" sheetId="21" r:id="rId10"/>
    <sheet name="036-20-ABC" sheetId="35" r:id="rId11"/>
    <sheet name="BDI_O.A.E" sheetId="32" r:id="rId12"/>
    <sheet name="BDI_Equipamentos" sheetId="33" r:id="rId13"/>
    <sheet name="Encargos Sinapi" sheetId="37"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SM1" localSheetId="2">#REF!</definedName>
    <definedName name="__SM1" localSheetId="10">#REF!</definedName>
    <definedName name="__SM1" localSheetId="0">#REF!</definedName>
    <definedName name="__SM1" localSheetId="4">#REF!</definedName>
    <definedName name="__SM1" localSheetId="3">#REF!</definedName>
    <definedName name="__SM1" localSheetId="7">#REF!</definedName>
    <definedName name="__SM1" localSheetId="9">#REF!</definedName>
    <definedName name="__SM1" localSheetId="13">#REF!</definedName>
    <definedName name="__SM1" localSheetId="8">#REF!</definedName>
    <definedName name="__SM1">#REF!</definedName>
    <definedName name="__SM10" localSheetId="2">#REF!</definedName>
    <definedName name="__SM10" localSheetId="10">#REF!</definedName>
    <definedName name="__SM10" localSheetId="0">#REF!</definedName>
    <definedName name="__SM10" localSheetId="4">#REF!</definedName>
    <definedName name="__SM10" localSheetId="7">#REF!</definedName>
    <definedName name="__SM10" localSheetId="9">#REF!</definedName>
    <definedName name="__SM10" localSheetId="13">#REF!</definedName>
    <definedName name="__SM10" localSheetId="8">#REF!</definedName>
    <definedName name="__SM10">#REF!</definedName>
    <definedName name="__SM11" localSheetId="2">#REF!</definedName>
    <definedName name="__SM11" localSheetId="10">#REF!</definedName>
    <definedName name="__SM11" localSheetId="0">#REF!</definedName>
    <definedName name="__SM11" localSheetId="4">#REF!</definedName>
    <definedName name="__SM11" localSheetId="7">#REF!</definedName>
    <definedName name="__SM11" localSheetId="9">#REF!</definedName>
    <definedName name="__SM11" localSheetId="13">#REF!</definedName>
    <definedName name="__SM11" localSheetId="8">#REF!</definedName>
    <definedName name="__SM11">#REF!</definedName>
    <definedName name="__SM12" localSheetId="2">#REF!</definedName>
    <definedName name="__SM12" localSheetId="10">#REF!</definedName>
    <definedName name="__SM12" localSheetId="4">#REF!</definedName>
    <definedName name="__SM12" localSheetId="9">#REF!</definedName>
    <definedName name="__SM12" localSheetId="13">#REF!</definedName>
    <definedName name="__SM12">#REF!</definedName>
    <definedName name="__sm13" localSheetId="2">#REF!</definedName>
    <definedName name="__sm13" localSheetId="10">#REF!</definedName>
    <definedName name="__sm13" localSheetId="4">#REF!</definedName>
    <definedName name="__sm13" localSheetId="9">#REF!</definedName>
    <definedName name="__sm13" localSheetId="13">#REF!</definedName>
    <definedName name="__sm13">#REF!</definedName>
    <definedName name="__SM2" localSheetId="2">#REF!</definedName>
    <definedName name="__SM2" localSheetId="10">#REF!</definedName>
    <definedName name="__SM2" localSheetId="4">#REF!</definedName>
    <definedName name="__SM2" localSheetId="9">#REF!</definedName>
    <definedName name="__SM2" localSheetId="13">#REF!</definedName>
    <definedName name="__SM2">#REF!</definedName>
    <definedName name="__SM3" localSheetId="2">#REF!</definedName>
    <definedName name="__SM3" localSheetId="10">#REF!</definedName>
    <definedName name="__SM3" localSheetId="4">#REF!</definedName>
    <definedName name="__SM3" localSheetId="9">#REF!</definedName>
    <definedName name="__SM3" localSheetId="13">#REF!</definedName>
    <definedName name="__SM3">#REF!</definedName>
    <definedName name="__SM4" localSheetId="2">#REF!</definedName>
    <definedName name="__SM4" localSheetId="10">#REF!</definedName>
    <definedName name="__SM4" localSheetId="4">#REF!</definedName>
    <definedName name="__SM4" localSheetId="9">#REF!</definedName>
    <definedName name="__SM4" localSheetId="13">#REF!</definedName>
    <definedName name="__SM4">#REF!</definedName>
    <definedName name="__SM5" localSheetId="2">#REF!</definedName>
    <definedName name="__SM5" localSheetId="10">#REF!</definedName>
    <definedName name="__SM5" localSheetId="4">#REF!</definedName>
    <definedName name="__SM5" localSheetId="9">#REF!</definedName>
    <definedName name="__SM5" localSheetId="13">#REF!</definedName>
    <definedName name="__SM5">#REF!</definedName>
    <definedName name="__SM6" localSheetId="2">#REF!</definedName>
    <definedName name="__SM6" localSheetId="10">#REF!</definedName>
    <definedName name="__SM6" localSheetId="4">#REF!</definedName>
    <definedName name="__SM6" localSheetId="9">#REF!</definedName>
    <definedName name="__SM6" localSheetId="13">#REF!</definedName>
    <definedName name="__SM6">#REF!</definedName>
    <definedName name="__SM7" localSheetId="2">#REF!</definedName>
    <definedName name="__SM7" localSheetId="10">#REF!</definedName>
    <definedName name="__SM7" localSheetId="4">#REF!</definedName>
    <definedName name="__SM7" localSheetId="9">#REF!</definedName>
    <definedName name="__SM7" localSheetId="13">#REF!</definedName>
    <definedName name="__SM7">#REF!</definedName>
    <definedName name="__SM8" localSheetId="2">#REF!</definedName>
    <definedName name="__SM8" localSheetId="10">#REF!</definedName>
    <definedName name="__SM8" localSheetId="4">#REF!</definedName>
    <definedName name="__SM8" localSheetId="9">#REF!</definedName>
    <definedName name="__SM8" localSheetId="13">#REF!</definedName>
    <definedName name="__SM8">#REF!</definedName>
    <definedName name="__SM9" localSheetId="2">#REF!</definedName>
    <definedName name="__SM9" localSheetId="10">#REF!</definedName>
    <definedName name="__SM9" localSheetId="4">#REF!</definedName>
    <definedName name="__SM9" localSheetId="9">#REF!</definedName>
    <definedName name="__SM9" localSheetId="13">#REF!</definedName>
    <definedName name="__SM9">#REF!</definedName>
    <definedName name="_1Excel_BuiltIn_Print_Area_1_1" localSheetId="13">#REF!</definedName>
    <definedName name="_1Excel_BuiltIn_Print_Area_1_1">#REF!</definedName>
    <definedName name="_xlnm._FilterDatabase" localSheetId="1" hidden="1">'036.01-20-SERV. GERAIS'!$B$11:$I$381</definedName>
    <definedName name="_xlnm._FilterDatabase" localSheetId="2" hidden="1">'036.02-20-CANTEIRO.'!$B$11:$I$201</definedName>
    <definedName name="_xlnm._FilterDatabase" localSheetId="10" hidden="1">'036-20-ABC'!$A$10:$I$364</definedName>
    <definedName name="_xlnm._FilterDatabase" localSheetId="4" hidden="1">'036-20-CCA''s'!$B$9:$H$534</definedName>
    <definedName name="_xlnm._FilterDatabase" localSheetId="3" hidden="1">'036-20-CCU''s'!$B$9:$H$1969</definedName>
    <definedName name="_xlnm._FilterDatabase" localSheetId="7" hidden="1">'036-20-Cotação'!$A$9:$G$530</definedName>
    <definedName name="_xlnm._FilterDatabase" localSheetId="6" hidden="1">INSUMOS!$C$1:$C$6961</definedName>
    <definedName name="_xlnm._FilterDatabase" localSheetId="5" hidden="1">SERVIÇOS!$C$1:$C$7644</definedName>
    <definedName name="_SM1" localSheetId="2">#REF!</definedName>
    <definedName name="_SM1" localSheetId="10">#REF!</definedName>
    <definedName name="_SM1" localSheetId="0">#REF!</definedName>
    <definedName name="_SM1" localSheetId="4">#REF!</definedName>
    <definedName name="_SM1" localSheetId="3">#REF!</definedName>
    <definedName name="_SM1" localSheetId="9">#REF!</definedName>
    <definedName name="_SM1" localSheetId="13">#REF!</definedName>
    <definedName name="_SM1" localSheetId="8">#REF!</definedName>
    <definedName name="_SM1">#REF!</definedName>
    <definedName name="_SM10" localSheetId="2">#REF!</definedName>
    <definedName name="_SM10" localSheetId="10">#REF!</definedName>
    <definedName name="_SM10" localSheetId="0">#REF!</definedName>
    <definedName name="_SM10" localSheetId="4">#REF!</definedName>
    <definedName name="_SM10" localSheetId="9">#REF!</definedName>
    <definedName name="_SM10" localSheetId="13">#REF!</definedName>
    <definedName name="_SM10" localSheetId="8">#REF!</definedName>
    <definedName name="_SM10">#REF!</definedName>
    <definedName name="_SM11" localSheetId="2">#REF!</definedName>
    <definedName name="_SM11" localSheetId="10">#REF!</definedName>
    <definedName name="_SM11" localSheetId="4">#REF!</definedName>
    <definedName name="_SM11" localSheetId="7">#REF!</definedName>
    <definedName name="_SM11" localSheetId="9">#REF!</definedName>
    <definedName name="_SM11" localSheetId="13">#REF!</definedName>
    <definedName name="_SM11" localSheetId="8">#REF!</definedName>
    <definedName name="_SM11">#REF!</definedName>
    <definedName name="_SM12" localSheetId="2">#REF!</definedName>
    <definedName name="_SM12" localSheetId="10">#REF!</definedName>
    <definedName name="_SM12" localSheetId="4">#REF!</definedName>
    <definedName name="_SM12" localSheetId="7">#REF!</definedName>
    <definedName name="_SM12" localSheetId="9">#REF!</definedName>
    <definedName name="_SM12" localSheetId="13">#REF!</definedName>
    <definedName name="_SM12" localSheetId="8">#REF!</definedName>
    <definedName name="_SM12">#REF!</definedName>
    <definedName name="_sm13" localSheetId="2">#REF!</definedName>
    <definedName name="_sm13" localSheetId="10">#REF!</definedName>
    <definedName name="_sm13" localSheetId="4">#REF!</definedName>
    <definedName name="_sm13" localSheetId="7">#REF!</definedName>
    <definedName name="_sm13" localSheetId="9">#REF!</definedName>
    <definedName name="_sm13" localSheetId="13">#REF!</definedName>
    <definedName name="_sm13" localSheetId="8">#REF!</definedName>
    <definedName name="_sm13">#REF!</definedName>
    <definedName name="_SM2" localSheetId="2">#REF!</definedName>
    <definedName name="_SM2" localSheetId="10">#REF!</definedName>
    <definedName name="_SM2" localSheetId="4">#REF!</definedName>
    <definedName name="_SM2" localSheetId="9">#REF!</definedName>
    <definedName name="_SM2" localSheetId="13">#REF!</definedName>
    <definedName name="_SM2" localSheetId="8">#REF!</definedName>
    <definedName name="_SM2">#REF!</definedName>
    <definedName name="_SM3" localSheetId="2">#REF!</definedName>
    <definedName name="_SM3" localSheetId="10">#REF!</definedName>
    <definedName name="_SM3" localSheetId="4">#REF!</definedName>
    <definedName name="_SM3" localSheetId="9">#REF!</definedName>
    <definedName name="_SM3" localSheetId="13">#REF!</definedName>
    <definedName name="_SM3" localSheetId="8">#REF!</definedName>
    <definedName name="_SM3">#REF!</definedName>
    <definedName name="_SM35" localSheetId="13">#REF!</definedName>
    <definedName name="_SM35">#REF!</definedName>
    <definedName name="_SM4" localSheetId="2">#REF!</definedName>
    <definedName name="_SM4" localSheetId="10">#REF!</definedName>
    <definedName name="_SM4" localSheetId="4">#REF!</definedName>
    <definedName name="_SM4" localSheetId="9">#REF!</definedName>
    <definedName name="_SM4" localSheetId="13">#REF!</definedName>
    <definedName name="_SM4" localSheetId="8">#REF!</definedName>
    <definedName name="_SM4">#REF!</definedName>
    <definedName name="_SM5" localSheetId="2">#REF!</definedName>
    <definedName name="_SM5" localSheetId="10">#REF!</definedName>
    <definedName name="_SM5" localSheetId="4">#REF!</definedName>
    <definedName name="_SM5" localSheetId="9">#REF!</definedName>
    <definedName name="_SM5" localSheetId="13">#REF!</definedName>
    <definedName name="_SM5" localSheetId="8">#REF!</definedName>
    <definedName name="_SM5">#REF!</definedName>
    <definedName name="_SM6" localSheetId="2">#REF!</definedName>
    <definedName name="_SM6" localSheetId="10">#REF!</definedName>
    <definedName name="_SM6" localSheetId="4">#REF!</definedName>
    <definedName name="_SM6" localSheetId="9">#REF!</definedName>
    <definedName name="_SM6" localSheetId="13">#REF!</definedName>
    <definedName name="_SM6" localSheetId="8">#REF!</definedName>
    <definedName name="_SM6">#REF!</definedName>
    <definedName name="_SM66">#REF!</definedName>
    <definedName name="_SM7" localSheetId="2">#REF!</definedName>
    <definedName name="_SM7" localSheetId="10">#REF!</definedName>
    <definedName name="_SM7" localSheetId="4">#REF!</definedName>
    <definedName name="_SM7" localSheetId="9">#REF!</definedName>
    <definedName name="_SM7" localSheetId="13">#REF!</definedName>
    <definedName name="_SM7" localSheetId="8">#REF!</definedName>
    <definedName name="_SM7">#REF!</definedName>
    <definedName name="_SM8" localSheetId="2">#REF!</definedName>
    <definedName name="_SM8" localSheetId="10">#REF!</definedName>
    <definedName name="_SM8" localSheetId="4">#REF!</definedName>
    <definedName name="_SM8" localSheetId="9">#REF!</definedName>
    <definedName name="_SM8" localSheetId="13">#REF!</definedName>
    <definedName name="_SM8" localSheetId="8">#REF!</definedName>
    <definedName name="_SM8">#REF!</definedName>
    <definedName name="_SM9" localSheetId="2">#REF!</definedName>
    <definedName name="_SM9" localSheetId="10">#REF!</definedName>
    <definedName name="_SM9" localSheetId="4">#REF!</definedName>
    <definedName name="_SM9" localSheetId="9">#REF!</definedName>
    <definedName name="_SM9" localSheetId="13">#REF!</definedName>
    <definedName name="_SM9" localSheetId="8">#REF!</definedName>
    <definedName name="_SM9">#REF!</definedName>
    <definedName name="_sss" localSheetId="2">#REF!</definedName>
    <definedName name="_sss" localSheetId="10">#REF!</definedName>
    <definedName name="_sss" localSheetId="4">#REF!</definedName>
    <definedName name="_sss" localSheetId="9">#REF!</definedName>
    <definedName name="_sss" localSheetId="13">#REF!</definedName>
    <definedName name="_sss">#REF!</definedName>
    <definedName name="aaaa" localSheetId="2">#REF!</definedName>
    <definedName name="aaaa" localSheetId="10">#REF!</definedName>
    <definedName name="aaaa" localSheetId="4">#REF!</definedName>
    <definedName name="aaaa" localSheetId="9">#REF!</definedName>
    <definedName name="aaaa" localSheetId="13">#REF!</definedName>
    <definedName name="aaaa">#REF!</definedName>
    <definedName name="aaaaaaaaaaa" localSheetId="2">#REF!</definedName>
    <definedName name="aaaaaaaaaaa" localSheetId="10">#REF!</definedName>
    <definedName name="aaaaaaaaaaa" localSheetId="4">#REF!</definedName>
    <definedName name="aaaaaaaaaaa" localSheetId="9">#REF!</definedName>
    <definedName name="aaaaaaaaaaa" localSheetId="13">#REF!</definedName>
    <definedName name="aaaaaaaaaaa">#REF!</definedName>
    <definedName name="Administração" localSheetId="13">#REF!</definedName>
    <definedName name="Administração">#REF!</definedName>
    <definedName name="_xlnm.Print_Area" localSheetId="1">'036.01-20-SERV. GERAIS'!$B$1:$I$381</definedName>
    <definedName name="_xlnm.Print_Area" localSheetId="2">'036.02-20-CANTEIRO.'!$B$1:$I$201</definedName>
    <definedName name="_xlnm.Print_Area" localSheetId="10">'036-20-ABC'!$A$1:$I$369</definedName>
    <definedName name="_xlnm.Print_Area" localSheetId="0">'036-20-CAPA'!$A$2:$F$41</definedName>
    <definedName name="_xlnm.Print_Area" localSheetId="4">'036-20-CCA''s'!$B$1:$H$528</definedName>
    <definedName name="_xlnm.Print_Area" localSheetId="3">'036-20-CCU''s'!$B$1:$H$1963</definedName>
    <definedName name="_xlnm.Print_Area" localSheetId="7">'036-20-Cotação'!$A$1:$G$530</definedName>
    <definedName name="_xlnm.Print_Area" localSheetId="9">'036-20-CRO'!$A$1:$M$135</definedName>
    <definedName name="_xlnm.Print_Area" localSheetId="12">BDI_Equipamentos!$A$1:$I$39</definedName>
    <definedName name="_xlnm.Print_Area" localSheetId="11">BDI_O.A.E!$A$1:$I$39</definedName>
    <definedName name="_xlnm.Print_Area" localSheetId="13">'Encargos Sinapi'!$A$2:$D$53</definedName>
    <definedName name="_xlnm.Print_Area" localSheetId="8">'Reajustamento INCC'!$A$1:$H$111</definedName>
    <definedName name="_xlnm.Database" localSheetId="2">#REF!</definedName>
    <definedName name="_xlnm.Database" localSheetId="10">#REF!</definedName>
    <definedName name="_xlnm.Database" localSheetId="0">#REF!</definedName>
    <definedName name="_xlnm.Database" localSheetId="4">#REF!</definedName>
    <definedName name="_xlnm.Database" localSheetId="3">#REF!</definedName>
    <definedName name="_xlnm.Database" localSheetId="7">#REF!</definedName>
    <definedName name="_xlnm.Database" localSheetId="9">#REF!</definedName>
    <definedName name="_xlnm.Database" localSheetId="13">#REF!</definedName>
    <definedName name="_xlnm.Database" localSheetId="8">#REF!</definedName>
    <definedName name="_xlnm.Database">#REF!</definedName>
    <definedName name="BDI_1" localSheetId="2">[1]ORÇAMENTO!#REF!</definedName>
    <definedName name="BDI_1" localSheetId="4">[1]ORÇAMENTO!#REF!</definedName>
    <definedName name="BDI_1" localSheetId="7">[1]ORÇAMENTO!#REF!</definedName>
    <definedName name="BDI_1" localSheetId="13">[1]ORÇAMENTO!#REF!</definedName>
    <definedName name="BDI_1" localSheetId="8">[1]ORÇAMENTO!#REF!</definedName>
    <definedName name="BDI_1">[1]ORÇAMENTO!#REF!</definedName>
    <definedName name="BDI_10" localSheetId="2">#REF!</definedName>
    <definedName name="BDI_10" localSheetId="4">#REF!</definedName>
    <definedName name="BDI_10" localSheetId="7">#REF!</definedName>
    <definedName name="BDI_10" localSheetId="13">#REF!</definedName>
    <definedName name="BDI_10" localSheetId="8">#REF!</definedName>
    <definedName name="BDI_10">#REF!</definedName>
    <definedName name="BDI_11" localSheetId="2">#REF!</definedName>
    <definedName name="BDI_11" localSheetId="4">#REF!</definedName>
    <definedName name="BDI_11" localSheetId="7">#REF!</definedName>
    <definedName name="BDI_11" localSheetId="13">#REF!</definedName>
    <definedName name="BDI_11" localSheetId="8">#REF!</definedName>
    <definedName name="BDI_11">#REF!</definedName>
    <definedName name="BDI_2" localSheetId="2">#REF!</definedName>
    <definedName name="BDI_2" localSheetId="4">#REF!</definedName>
    <definedName name="BDI_2" localSheetId="7">#REF!</definedName>
    <definedName name="BDI_2" localSheetId="13">#REF!</definedName>
    <definedName name="BDI_2" localSheetId="8">#REF!</definedName>
    <definedName name="BDI_2">#REF!</definedName>
    <definedName name="BDI_3" localSheetId="2">#REF!</definedName>
    <definedName name="BDI_3" localSheetId="4">#REF!</definedName>
    <definedName name="BDI_3" localSheetId="13">#REF!</definedName>
    <definedName name="BDI_3">#REF!</definedName>
    <definedName name="BDI_4" localSheetId="2">#REF!</definedName>
    <definedName name="BDI_4" localSheetId="4">#REF!</definedName>
    <definedName name="BDI_4" localSheetId="13">#REF!</definedName>
    <definedName name="BDI_4">#REF!</definedName>
    <definedName name="BDI_5" localSheetId="2">#REF!</definedName>
    <definedName name="BDI_5" localSheetId="4">#REF!</definedName>
    <definedName name="BDI_5" localSheetId="13">#REF!</definedName>
    <definedName name="BDI_5">#REF!</definedName>
    <definedName name="BDI_6" localSheetId="2">#REF!</definedName>
    <definedName name="BDI_6" localSheetId="4">#REF!</definedName>
    <definedName name="BDI_6" localSheetId="13">#REF!</definedName>
    <definedName name="BDI_6">#REF!</definedName>
    <definedName name="BDI_7" localSheetId="2">#REF!</definedName>
    <definedName name="BDI_7" localSheetId="4">#REF!</definedName>
    <definedName name="BDI_7" localSheetId="13">#REF!</definedName>
    <definedName name="BDI_7">#REF!</definedName>
    <definedName name="BDI_8" localSheetId="2">#REF!</definedName>
    <definedName name="BDI_8" localSheetId="4">#REF!</definedName>
    <definedName name="BDI_8" localSheetId="13">#REF!</definedName>
    <definedName name="BDI_8">#REF!</definedName>
    <definedName name="BDI_9" localSheetId="2">#REF!</definedName>
    <definedName name="BDI_9" localSheetId="4">#REF!</definedName>
    <definedName name="BDI_9" localSheetId="13">#REF!</definedName>
    <definedName name="BDI_9">#REF!</definedName>
    <definedName name="Betune" localSheetId="2">#REF!</definedName>
    <definedName name="Betune" localSheetId="10">#REF!</definedName>
    <definedName name="Betune" localSheetId="0">#REF!</definedName>
    <definedName name="Betune" localSheetId="4">#REF!</definedName>
    <definedName name="Betune" localSheetId="9">#REF!</definedName>
    <definedName name="Betune" localSheetId="13">#REF!</definedName>
    <definedName name="Betune">#REF!</definedName>
    <definedName name="COLETA">'[2]111-17-COTAÇÃO'!$A$9:$D$1215</definedName>
    <definedName name="comp2" localSheetId="2">[3]PLANILHA!#REF!</definedName>
    <definedName name="comp2" localSheetId="10">[3]PLANILHA!#REF!</definedName>
    <definedName name="comp2" localSheetId="0">[3]PLANILHA!#REF!</definedName>
    <definedName name="comp2" localSheetId="4">[3]PLANILHA!#REF!</definedName>
    <definedName name="comp2" localSheetId="13">[3]PLANILHA!#REF!</definedName>
    <definedName name="comp2" localSheetId="8">[3]PLANILHA!#REF!</definedName>
    <definedName name="comp2">[3]PLANILHA!#REF!</definedName>
    <definedName name="compinst." localSheetId="2">[4]PLANILHA!#REF!</definedName>
    <definedName name="compinst." localSheetId="10">[4]PLANILHA!#REF!</definedName>
    <definedName name="compinst." localSheetId="0">[4]PLANILHA!#REF!</definedName>
    <definedName name="compinst." localSheetId="4">[4]PLANILHA!#REF!</definedName>
    <definedName name="compinst." localSheetId="13">[4]PLANILHA!#REF!</definedName>
    <definedName name="compinst." localSheetId="8">[4]PLANILHA!#REF!</definedName>
    <definedName name="compinst.">[4]PLANILHA!#REF!</definedName>
    <definedName name="_xlnm.Criteria" localSheetId="13">#REF!</definedName>
    <definedName name="_xlnm.Criteria" localSheetId="8">#REF!</definedName>
    <definedName name="_xlnm.Criteria">#REF!</definedName>
    <definedName name="crogr" localSheetId="2">[5]PLANILHA!#REF!</definedName>
    <definedName name="crogr" localSheetId="10">[5]PLANILHA!#REF!</definedName>
    <definedName name="crogr" localSheetId="0">[5]PLANILHA!#REF!</definedName>
    <definedName name="crogr" localSheetId="4">[5]PLANILHA!#REF!</definedName>
    <definedName name="crogr" localSheetId="13">[5]PLANILHA!#REF!</definedName>
    <definedName name="crogr" localSheetId="8">[5]PLANILHA!#REF!</definedName>
    <definedName name="crogr">[5]PLANILHA!#REF!</definedName>
    <definedName name="ddddddd" localSheetId="2">#REF!</definedName>
    <definedName name="ddddddd" localSheetId="10">#REF!</definedName>
    <definedName name="ddddddd" localSheetId="0">#REF!</definedName>
    <definedName name="ddddddd" localSheetId="4">#REF!</definedName>
    <definedName name="ddddddd" localSheetId="3">#REF!</definedName>
    <definedName name="ddddddd" localSheetId="7">#REF!</definedName>
    <definedName name="ddddddd" localSheetId="9">#REF!</definedName>
    <definedName name="ddddddd" localSheetId="13">#REF!</definedName>
    <definedName name="ddddddd" localSheetId="8">#REF!</definedName>
    <definedName name="ddddddd">#REF!</definedName>
    <definedName name="dk">'[6]unit arq'!$L$5</definedName>
    <definedName name="Excel_BuiltIn__FilterDatabase_2_1">NA()</definedName>
    <definedName name="Excel_BuiltIn_Print_Area_1" localSheetId="13">#REF!</definedName>
    <definedName name="Excel_BuiltIn_Print_Area_1" localSheetId="8">#REF!</definedName>
    <definedName name="Excel_BuiltIn_Print_Area_1">#REF!</definedName>
    <definedName name="Excel_BuiltIn_Print_Area_1_1" localSheetId="13">#REF!</definedName>
    <definedName name="Excel_BuiltIn_Print_Area_1_1" localSheetId="8">#REF!</definedName>
    <definedName name="Excel_BuiltIn_Print_Area_1_1">#REF!</definedName>
    <definedName name="Excel_BuiltIn_Print_Area_1_1_1_1">NA()</definedName>
    <definedName name="Excel_BuiltIn_Print_Area_1_1_1_1_1" localSheetId="13">#REF!</definedName>
    <definedName name="Excel_BuiltIn_Print_Area_1_1_1_1_1" localSheetId="8">#REF!</definedName>
    <definedName name="Excel_BuiltIn_Print_Area_1_1_1_1_1">#REF!</definedName>
    <definedName name="Excel_BuiltIn_Print_Area_1_1_1_1_1_1" localSheetId="13">#REF!</definedName>
    <definedName name="Excel_BuiltIn_Print_Area_1_1_1_1_1_1">#REF!</definedName>
    <definedName name="Excel_BuiltIn_Print_Area_1_1_1_1_1_1_1" localSheetId="13">#REF!</definedName>
    <definedName name="Excel_BuiltIn_Print_Area_1_1_1_1_1_1_1">#REF!</definedName>
    <definedName name="Excel_BuiltIn_Print_Area_1_1_1_1_1_1_1_1_1">"$#REF!.$C$1:$L$291"</definedName>
    <definedName name="Excel_BuiltIn_Print_Area_1_1_1_1_1_1_1_1_1_1">NA()</definedName>
    <definedName name="Excel_BuiltIn_Print_Area_1_1_1_1_1_1_1_1_1_1_1">NA()</definedName>
    <definedName name="Excel_BuiltIn_Print_Area_1_1_1_1_1_1_3">NA()</definedName>
    <definedName name="Excel_BuiltIn_Print_Area_1_1_1_1_1_1_4">NA()</definedName>
    <definedName name="Excel_BuiltIn_Print_Area_1_1_1_1_1_3">NA()</definedName>
    <definedName name="Excel_BuiltIn_Print_Area_1_1_1_1_1_4">NA()</definedName>
    <definedName name="Excel_BuiltIn_Print_Area_1_1_1_1_3">NA()</definedName>
    <definedName name="Excel_BuiltIn_Print_Area_1_1_1_1_4">NA()</definedName>
    <definedName name="Excel_BuiltIn_Print_Area_1_1_1_3">NA()</definedName>
    <definedName name="Excel_BuiltIn_Print_Area_1_1_1_4">NA()</definedName>
    <definedName name="Excel_BuiltIn_Print_Area_1_1_3">NA()</definedName>
    <definedName name="Excel_BuiltIn_Print_Area_1_1_3_1">NA()</definedName>
    <definedName name="Excel_BuiltIn_Print_Area_1_1_4">NA()</definedName>
    <definedName name="Excel_BuiltIn_Print_Area_10">"$#REF!.$A$1:$X$22"</definedName>
    <definedName name="Excel_BuiltIn_Print_Area_10_1">"$#REF!.$A$1:$X$22"</definedName>
    <definedName name="Excel_BuiltIn_Print_Area_11">"$#REF!.$A$1:$X$22"</definedName>
    <definedName name="Excel_BuiltIn_Print_Area_2">NA()</definedName>
    <definedName name="Excel_BuiltIn_Print_Area_2_1">NA()</definedName>
    <definedName name="Excel_BuiltIn_Print_Area_2_1_1">NA()</definedName>
    <definedName name="Excel_BuiltIn_Print_Area_2_1_1_1">"$#REF!.$A$1:$BN$17"</definedName>
    <definedName name="Excel_BuiltIn_Print_Area_3">NA()</definedName>
    <definedName name="Excel_BuiltIn_Print_Area_3_1_1_1">NA()</definedName>
    <definedName name="Excel_BuiltIn_Print_Area_3_1_2">NA()</definedName>
    <definedName name="Excel_BuiltIn_Print_Area_3_3">"$#REF!.$A$1:$BN$17"</definedName>
    <definedName name="Excel_BuiltIn_Print_Area_5">"$#REF!.$A$1:$X$22"</definedName>
    <definedName name="Excel_BuiltIn_Print_Area_5_1">"$#REF!.$A$1:$X$22"</definedName>
    <definedName name="Excel_BuiltIn_Print_Area_5_1_1">"$#REF!.$A$1:$X$22"</definedName>
    <definedName name="Excel_BuiltIn_Print_Area_6">"$#REF!.$A$1:$X$22"</definedName>
    <definedName name="Excel_BuiltIn_Print_Area_9">"$#REF!.$A$1:$X$22"</definedName>
    <definedName name="Excel_BuiltIn_Print_Titles_1" localSheetId="13">#REF!</definedName>
    <definedName name="Excel_BuiltIn_Print_Titles_1">#REF!</definedName>
    <definedName name="Excel_BuiltIn_Print_Titles_1_1">"$#REF!.$B$1:$C$9"</definedName>
    <definedName name="Excel_BuiltIn_Print_Titles_1_1_1">"$#REF!.$A$1:$C$291"</definedName>
    <definedName name="Excel_BuiltIn_Print_Titles_1_1_2">NA()</definedName>
    <definedName name="Excel_BuiltIn_Print_Titles_2_1">"$#REF!.$A$9:$AMJ$17"</definedName>
    <definedName name="Excel_BuiltIn_Print_Titles_3_1">"$#REF!.$A$1:$AMJ$17"</definedName>
    <definedName name="Excel_BuiltIn_Print_Titles_3_1_1">"$#REF!.$A$9:$AMJ$17"</definedName>
    <definedName name="FATOR_K1" localSheetId="2">[1]ORÇAMENTO!#REF!</definedName>
    <definedName name="FATOR_K1" localSheetId="4">[1]ORÇAMENTO!#REF!</definedName>
    <definedName name="FATOR_K1" localSheetId="7">[1]ORÇAMENTO!#REF!</definedName>
    <definedName name="FATOR_K1" localSheetId="13">[1]ORÇAMENTO!#REF!</definedName>
    <definedName name="FATOR_K1" localSheetId="8">[1]ORÇAMENTO!#REF!</definedName>
    <definedName name="FATOR_K1">[1]ORÇAMENTO!#REF!</definedName>
    <definedName name="FATOR_K10" localSheetId="2">#REF!</definedName>
    <definedName name="FATOR_K10" localSheetId="4">#REF!</definedName>
    <definedName name="FATOR_K10" localSheetId="7">#REF!</definedName>
    <definedName name="FATOR_K10" localSheetId="13">#REF!</definedName>
    <definedName name="FATOR_K10" localSheetId="8">#REF!</definedName>
    <definedName name="FATOR_K10">#REF!</definedName>
    <definedName name="FATOR_K11" localSheetId="2">#REF!</definedName>
    <definedName name="FATOR_K11" localSheetId="4">#REF!</definedName>
    <definedName name="FATOR_K11" localSheetId="7">#REF!</definedName>
    <definedName name="FATOR_K11" localSheetId="13">#REF!</definedName>
    <definedName name="FATOR_K11" localSheetId="8">#REF!</definedName>
    <definedName name="FATOR_K11">#REF!</definedName>
    <definedName name="FATOR_K2" localSheetId="2">#REF!</definedName>
    <definedName name="FATOR_K2" localSheetId="4">#REF!</definedName>
    <definedName name="FATOR_K2" localSheetId="7">#REF!</definedName>
    <definedName name="FATOR_K2" localSheetId="13">#REF!</definedName>
    <definedName name="FATOR_K2" localSheetId="8">#REF!</definedName>
    <definedName name="FATOR_K2">#REF!</definedName>
    <definedName name="FATOR_K3" localSheetId="2">#REF!</definedName>
    <definedName name="FATOR_K3" localSheetId="4">#REF!</definedName>
    <definedName name="FATOR_K3" localSheetId="13">#REF!</definedName>
    <definedName name="FATOR_K3">#REF!</definedName>
    <definedName name="FATOR_K4" localSheetId="2">#REF!</definedName>
    <definedName name="FATOR_K4" localSheetId="4">#REF!</definedName>
    <definedName name="FATOR_K4" localSheetId="13">#REF!</definedName>
    <definedName name="FATOR_K4">#REF!</definedName>
    <definedName name="FATOR_K5" localSheetId="2">#REF!</definedName>
    <definedName name="FATOR_K5" localSheetId="4">#REF!</definedName>
    <definedName name="FATOR_K5" localSheetId="13">#REF!</definedName>
    <definedName name="FATOR_K5">#REF!</definedName>
    <definedName name="FATOR_K6" localSheetId="2">#REF!</definedName>
    <definedName name="FATOR_K6" localSheetId="4">#REF!</definedName>
    <definedName name="FATOR_K6" localSheetId="13">#REF!</definedName>
    <definedName name="FATOR_K6">#REF!</definedName>
    <definedName name="FATOR_K7" localSheetId="2">#REF!</definedName>
    <definedName name="FATOR_K7" localSheetId="4">#REF!</definedName>
    <definedName name="FATOR_K7" localSheetId="13">#REF!</definedName>
    <definedName name="FATOR_K7">#REF!</definedName>
    <definedName name="FATOR_K8" localSheetId="2">#REF!</definedName>
    <definedName name="FATOR_K8" localSheetId="4">#REF!</definedName>
    <definedName name="FATOR_K8" localSheetId="13">#REF!</definedName>
    <definedName name="FATOR_K8">#REF!</definedName>
    <definedName name="FATOR_K9" localSheetId="2">#REF!</definedName>
    <definedName name="FATOR_K9" localSheetId="4">#REF!</definedName>
    <definedName name="FATOR_K9" localSheetId="13">#REF!</definedName>
    <definedName name="FATOR_K9">#REF!</definedName>
    <definedName name="g" localSheetId="13">#REF!</definedName>
    <definedName name="g">#REF!</definedName>
    <definedName name="INSUMO_TAG" localSheetId="8">[7]INSUMO!$B$2:$B$475</definedName>
    <definedName name="INSUMO_TAG">[8]INSUMO!$B$2:$B$475</definedName>
    <definedName name="k">[6]Eletrica!$L$5</definedName>
    <definedName name="kle">'[6]unit arq'!$L$4</definedName>
    <definedName name="kmo">[6]Eletrica!$L$6</definedName>
    <definedName name="l.sociais" localSheetId="2">[5]PLANILHA!#REF!</definedName>
    <definedName name="l.sociais" localSheetId="10">[5]PLANILHA!#REF!</definedName>
    <definedName name="l.sociais" localSheetId="0">[5]PLANILHA!#REF!</definedName>
    <definedName name="l.sociais" localSheetId="4">[5]PLANILHA!#REF!</definedName>
    <definedName name="l.sociais" localSheetId="3">[5]PLANILHA!#REF!</definedName>
    <definedName name="l.sociais" localSheetId="13">[5]PLANILHA!#REF!</definedName>
    <definedName name="l.sociais" localSheetId="8">[5]PLANILHA!#REF!</definedName>
    <definedName name="l.sociais">[5]PLANILHA!#REF!</definedName>
    <definedName name="m" localSheetId="13">#REF!</definedName>
    <definedName name="m">#REF!</definedName>
    <definedName name="M.O." localSheetId="13">#REF!</definedName>
    <definedName name="M.O." localSheetId="8">#REF!</definedName>
    <definedName name="M.O.">#REF!</definedName>
    <definedName name="nao" localSheetId="2">#REF!</definedName>
    <definedName name="nao" localSheetId="10">#REF!</definedName>
    <definedName name="nao" localSheetId="0">#REF!</definedName>
    <definedName name="nao" localSheetId="4">#REF!</definedName>
    <definedName name="nao" localSheetId="3">#REF!</definedName>
    <definedName name="nao" localSheetId="7">#REF!</definedName>
    <definedName name="nao" localSheetId="9">#REF!</definedName>
    <definedName name="nao" localSheetId="13">#REF!</definedName>
    <definedName name="nao" localSheetId="8">#REF!</definedName>
    <definedName name="nao">#REF!</definedName>
    <definedName name="popspkasdjhlasdbhasfknb" localSheetId="2">#REF!</definedName>
    <definedName name="popspkasdjhlasdbhasfknb" localSheetId="10">#REF!</definedName>
    <definedName name="popspkasdjhlasdbhasfknb" localSheetId="0">#REF!</definedName>
    <definedName name="popspkasdjhlasdbhasfknb" localSheetId="4">#REF!</definedName>
    <definedName name="popspkasdjhlasdbhasfknb" localSheetId="7">#REF!</definedName>
    <definedName name="popspkasdjhlasdbhasfknb" localSheetId="9">#REF!</definedName>
    <definedName name="popspkasdjhlasdbhasfknb" localSheetId="13">#REF!</definedName>
    <definedName name="popspkasdjhlasdbhasfknb">#REF!</definedName>
    <definedName name="RESUMO2" localSheetId="13">#REF!</definedName>
    <definedName name="RESUMO2" localSheetId="8">#REF!</definedName>
    <definedName name="RESUMO2">#REF!</definedName>
    <definedName name="ssss" localSheetId="2">#REF!</definedName>
    <definedName name="ssss" localSheetId="10">#REF!</definedName>
    <definedName name="ssss" localSheetId="0">#REF!</definedName>
    <definedName name="ssss" localSheetId="4">#REF!</definedName>
    <definedName name="ssss" localSheetId="7">#REF!</definedName>
    <definedName name="ssss" localSheetId="9">#REF!</definedName>
    <definedName name="ssss" localSheetId="13">#REF!</definedName>
    <definedName name="ssss">#REF!</definedName>
    <definedName name="TESTA" localSheetId="2">#REF!</definedName>
    <definedName name="TESTA" localSheetId="4">#REF!</definedName>
    <definedName name="TESTA" localSheetId="13">#REF!</definedName>
    <definedName name="TESTA">#REF!</definedName>
    <definedName name="_xlnm.Print_Titles" localSheetId="1">'036.01-20-SERV. GERAIS'!$1:$11</definedName>
    <definedName name="_xlnm.Print_Titles" localSheetId="2">'036.02-20-CANTEIRO.'!$1:$11</definedName>
    <definedName name="_xlnm.Print_Titles" localSheetId="10">'036-20-ABC'!$1:$10</definedName>
    <definedName name="_xlnm.Print_Titles" localSheetId="4">'036-20-CCA''s'!$1:$9</definedName>
    <definedName name="_xlnm.Print_Titles" localSheetId="3">'036-20-CCU''s'!$1:$8</definedName>
    <definedName name="_xlnm.Print_Titles" localSheetId="7">'036-20-Cotação'!$1:$9</definedName>
    <definedName name="_xlnm.Print_Titles" localSheetId="9">'036-20-CRO'!$1:$7</definedName>
    <definedName name="Total_ReaterroComAreia">[9]Planilha!$DH$1:$DH$65536</definedName>
    <definedName name="Total_ReaterroMecanicoComControleGrauCompactacao">[9]Planilha!$DG$1:$DG$65536</definedName>
  </definedName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13" i="35"/>
  <c r="F45"/>
  <c r="G45" s="1"/>
  <c r="G1440" i="15"/>
  <c r="H1440" s="1"/>
  <c r="H1439" s="1"/>
  <c r="G327" i="18" s="1"/>
  <c r="I327" s="1"/>
  <c r="E1440" i="15"/>
  <c r="D1440"/>
  <c r="C1440"/>
  <c r="H327" i="18"/>
  <c r="E327"/>
  <c r="D327"/>
  <c r="K326"/>
  <c r="G1437" i="15"/>
  <c r="G1434"/>
  <c r="E1437"/>
  <c r="D1437"/>
  <c r="C1437"/>
  <c r="E1434"/>
  <c r="D1434"/>
  <c r="C1434"/>
  <c r="H1437"/>
  <c r="H1436" s="1"/>
  <c r="H1434"/>
  <c r="H1433" s="1"/>
  <c r="L14" i="35"/>
  <c r="G80" i="18"/>
  <c r="E80"/>
  <c r="D80"/>
  <c r="G183" i="29"/>
  <c r="E183"/>
  <c r="D183"/>
  <c r="K327" i="18" l="1"/>
  <c r="K19" i="29"/>
  <c r="K22"/>
  <c r="K24"/>
  <c r="K27"/>
  <c r="K29"/>
  <c r="K31"/>
  <c r="K32"/>
  <c r="K34"/>
  <c r="K36"/>
  <c r="K38"/>
  <c r="K40"/>
  <c r="K42"/>
  <c r="K43"/>
  <c r="K44"/>
  <c r="K75"/>
  <c r="K110"/>
  <c r="K118"/>
  <c r="K119"/>
  <c r="K120"/>
  <c r="K121"/>
  <c r="K123"/>
  <c r="K128"/>
  <c r="K130"/>
  <c r="K134"/>
  <c r="K139"/>
  <c r="K144"/>
  <c r="K145"/>
  <c r="K156"/>
  <c r="K159"/>
  <c r="K161"/>
  <c r="K163"/>
  <c r="K164"/>
  <c r="K165"/>
  <c r="K166"/>
  <c r="K173"/>
  <c r="K179"/>
  <c r="K184"/>
  <c r="K186"/>
  <c r="K187"/>
  <c r="K188"/>
  <c r="K190"/>
  <c r="K192"/>
  <c r="K194"/>
  <c r="K196"/>
  <c r="K198"/>
  <c r="L339" i="35"/>
  <c r="L340"/>
  <c r="L341"/>
  <c r="L342"/>
  <c r="L343"/>
  <c r="L344"/>
  <c r="L345"/>
  <c r="L346"/>
  <c r="L347"/>
  <c r="L348"/>
  <c r="L349"/>
  <c r="L350"/>
  <c r="L351"/>
  <c r="L352"/>
  <c r="L353"/>
  <c r="L354"/>
  <c r="L355"/>
  <c r="L356"/>
  <c r="L357"/>
  <c r="L358"/>
  <c r="L359"/>
  <c r="L360"/>
  <c r="L361"/>
  <c r="L362"/>
  <c r="L363"/>
  <c r="L364"/>
  <c r="L338"/>
  <c r="L337"/>
  <c r="G239"/>
  <c r="G318"/>
  <c r="G197"/>
  <c r="G308"/>
  <c r="G312"/>
  <c r="G333"/>
  <c r="G280"/>
  <c r="G328"/>
  <c r="G313"/>
  <c r="G183"/>
  <c r="L20"/>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2"/>
  <c r="L73"/>
  <c r="L74"/>
  <c r="L75"/>
  <c r="L76"/>
  <c r="L77"/>
  <c r="L78"/>
  <c r="L79"/>
  <c r="L80"/>
  <c r="L81"/>
  <c r="L82"/>
  <c r="L83"/>
  <c r="L84"/>
  <c r="L85"/>
  <c r="L86"/>
  <c r="L87"/>
  <c r="L88"/>
  <c r="L89"/>
  <c r="L90"/>
  <c r="L91"/>
  <c r="L92"/>
  <c r="L93"/>
  <c r="L94"/>
  <c r="L95"/>
  <c r="L96"/>
  <c r="L97"/>
  <c r="L98"/>
  <c r="L99"/>
  <c r="L100"/>
  <c r="L101"/>
  <c r="L102"/>
  <c r="L103"/>
  <c r="L104"/>
  <c r="L105"/>
  <c r="L106"/>
  <c r="L107"/>
  <c r="L108"/>
  <c r="L109"/>
  <c r="L110"/>
  <c r="L111"/>
  <c r="L112"/>
  <c r="L113"/>
  <c r="L114"/>
  <c r="L115"/>
  <c r="L116"/>
  <c r="L117"/>
  <c r="L118"/>
  <c r="L119"/>
  <c r="L120"/>
  <c r="L121"/>
  <c r="L122"/>
  <c r="L123"/>
  <c r="L124"/>
  <c r="L125"/>
  <c r="L126"/>
  <c r="L127"/>
  <c r="L128"/>
  <c r="L129"/>
  <c r="L130"/>
  <c r="L131"/>
  <c r="L132"/>
  <c r="L133"/>
  <c r="L134"/>
  <c r="L135"/>
  <c r="L136"/>
  <c r="L137"/>
  <c r="L138"/>
  <c r="L139"/>
  <c r="L140"/>
  <c r="L141"/>
  <c r="L142"/>
  <c r="L143"/>
  <c r="L144"/>
  <c r="L145"/>
  <c r="L146"/>
  <c r="L147"/>
  <c r="L148"/>
  <c r="L149"/>
  <c r="L150"/>
  <c r="L151"/>
  <c r="L152"/>
  <c r="L153"/>
  <c r="L154"/>
  <c r="L155"/>
  <c r="L156"/>
  <c r="L157"/>
  <c r="L158"/>
  <c r="L159"/>
  <c r="L160"/>
  <c r="L161"/>
  <c r="L162"/>
  <c r="L163"/>
  <c r="L164"/>
  <c r="L165"/>
  <c r="L166"/>
  <c r="L167"/>
  <c r="L168"/>
  <c r="L169"/>
  <c r="L170"/>
  <c r="L171"/>
  <c r="L172"/>
  <c r="L173"/>
  <c r="L174"/>
  <c r="L175"/>
  <c r="L176"/>
  <c r="L177"/>
  <c r="L178"/>
  <c r="L179"/>
  <c r="L180"/>
  <c r="L181"/>
  <c r="L182"/>
  <c r="L183"/>
  <c r="L184"/>
  <c r="L185"/>
  <c r="L186"/>
  <c r="L187"/>
  <c r="L188"/>
  <c r="L189"/>
  <c r="L190"/>
  <c r="L191"/>
  <c r="L192"/>
  <c r="L193"/>
  <c r="L194"/>
  <c r="L195"/>
  <c r="L196"/>
  <c r="L197"/>
  <c r="L198"/>
  <c r="L199"/>
  <c r="L200"/>
  <c r="L201"/>
  <c r="L202"/>
  <c r="L203"/>
  <c r="L204"/>
  <c r="L205"/>
  <c r="L206"/>
  <c r="L207"/>
  <c r="L208"/>
  <c r="L209"/>
  <c r="L210"/>
  <c r="L211"/>
  <c r="L212"/>
  <c r="L213"/>
  <c r="L214"/>
  <c r="L215"/>
  <c r="L216"/>
  <c r="L217"/>
  <c r="L218"/>
  <c r="L219"/>
  <c r="L220"/>
  <c r="L221"/>
  <c r="L222"/>
  <c r="L223"/>
  <c r="L224"/>
  <c r="L225"/>
  <c r="L226"/>
  <c r="L227"/>
  <c r="L228"/>
  <c r="L229"/>
  <c r="L230"/>
  <c r="L231"/>
  <c r="L232"/>
  <c r="L233"/>
  <c r="L234"/>
  <c r="L235"/>
  <c r="L236"/>
  <c r="L237"/>
  <c r="L238"/>
  <c r="L239"/>
  <c r="L240"/>
  <c r="L241"/>
  <c r="L242"/>
  <c r="L243"/>
  <c r="L244"/>
  <c r="L245"/>
  <c r="L246"/>
  <c r="L247"/>
  <c r="L248"/>
  <c r="L249"/>
  <c r="L250"/>
  <c r="L251"/>
  <c r="L252"/>
  <c r="L253"/>
  <c r="L254"/>
  <c r="L255"/>
  <c r="L256"/>
  <c r="L257"/>
  <c r="L258"/>
  <c r="L259"/>
  <c r="L260"/>
  <c r="L261"/>
  <c r="L262"/>
  <c r="L263"/>
  <c r="L264"/>
  <c r="L265"/>
  <c r="L266"/>
  <c r="L267"/>
  <c r="L268"/>
  <c r="L269"/>
  <c r="L270"/>
  <c r="L271"/>
  <c r="L272"/>
  <c r="L273"/>
  <c r="L274"/>
  <c r="L275"/>
  <c r="L276"/>
  <c r="L277"/>
  <c r="L278"/>
  <c r="L279"/>
  <c r="L280"/>
  <c r="L281"/>
  <c r="L282"/>
  <c r="L283"/>
  <c r="L284"/>
  <c r="L285"/>
  <c r="L286"/>
  <c r="L287"/>
  <c r="L288"/>
  <c r="L289"/>
  <c r="L290"/>
  <c r="L291"/>
  <c r="L292"/>
  <c r="L293"/>
  <c r="L294"/>
  <c r="L295"/>
  <c r="L296"/>
  <c r="L297"/>
  <c r="L298"/>
  <c r="L299"/>
  <c r="L300"/>
  <c r="L301"/>
  <c r="L302"/>
  <c r="L303"/>
  <c r="L304"/>
  <c r="L305"/>
  <c r="L306"/>
  <c r="L307"/>
  <c r="L308"/>
  <c r="L309"/>
  <c r="L310"/>
  <c r="L311"/>
  <c r="L312"/>
  <c r="L313"/>
  <c r="L314"/>
  <c r="L315"/>
  <c r="L316"/>
  <c r="L317"/>
  <c r="L318"/>
  <c r="L319"/>
  <c r="L320"/>
  <c r="L321"/>
  <c r="L322"/>
  <c r="L323"/>
  <c r="L324"/>
  <c r="L325"/>
  <c r="L326"/>
  <c r="L327"/>
  <c r="L328"/>
  <c r="L329"/>
  <c r="L330"/>
  <c r="L331"/>
  <c r="L332"/>
  <c r="L333"/>
  <c r="L334"/>
  <c r="L335"/>
  <c r="L336"/>
  <c r="L12"/>
  <c r="L15"/>
  <c r="L16"/>
  <c r="L17"/>
  <c r="L18"/>
  <c r="L19"/>
  <c r="L11"/>
  <c r="M426" i="16"/>
  <c r="E426" s="1"/>
  <c r="G475"/>
  <c r="G510"/>
  <c r="O510"/>
  <c r="F503"/>
  <c r="G503"/>
  <c r="E503"/>
  <c r="N503"/>
  <c r="M503"/>
  <c r="O503"/>
  <c r="G524"/>
  <c r="F524"/>
  <c r="E524"/>
  <c r="E517"/>
  <c r="F510"/>
  <c r="E510"/>
  <c r="G496"/>
  <c r="F496"/>
  <c r="E496"/>
  <c r="G489"/>
  <c r="F489"/>
  <c r="E489"/>
  <c r="G482"/>
  <c r="F482"/>
  <c r="E482"/>
  <c r="F475"/>
  <c r="E475"/>
  <c r="E468"/>
  <c r="E461"/>
  <c r="E454"/>
  <c r="E447"/>
  <c r="E440"/>
  <c r="E433"/>
  <c r="G426"/>
  <c r="F426"/>
  <c r="F419"/>
  <c r="E419"/>
  <c r="F412"/>
  <c r="E412"/>
  <c r="F405"/>
  <c r="E405"/>
  <c r="F398"/>
  <c r="E398"/>
  <c r="F391"/>
  <c r="E391"/>
  <c r="F384"/>
  <c r="E384"/>
  <c r="F377"/>
  <c r="E377"/>
  <c r="F370"/>
  <c r="E370"/>
  <c r="F363"/>
  <c r="E363"/>
  <c r="F356"/>
  <c r="E356"/>
  <c r="F349"/>
  <c r="E349"/>
  <c r="E342"/>
  <c r="E335"/>
  <c r="E328"/>
  <c r="E321"/>
  <c r="E314"/>
  <c r="E307"/>
  <c r="E300"/>
  <c r="G237"/>
  <c r="F237"/>
  <c r="E237"/>
  <c r="G230"/>
  <c r="F230"/>
  <c r="E230"/>
  <c r="G223"/>
  <c r="F223"/>
  <c r="E223"/>
  <c r="E216"/>
  <c r="E209"/>
  <c r="E202"/>
  <c r="E195"/>
  <c r="F188"/>
  <c r="E188"/>
  <c r="F181"/>
  <c r="E181"/>
  <c r="E174"/>
  <c r="F167"/>
  <c r="E167"/>
  <c r="G118"/>
  <c r="F118"/>
  <c r="E118"/>
  <c r="E111"/>
  <c r="G47" i="36"/>
  <c r="G44"/>
  <c r="E47"/>
  <c r="E44"/>
  <c r="C47"/>
  <c r="C44"/>
  <c r="A47"/>
  <c r="G104" i="16"/>
  <c r="G103" i="36"/>
  <c r="E103"/>
  <c r="C103"/>
  <c r="A103"/>
  <c r="G40"/>
  <c r="E40"/>
  <c r="D40"/>
  <c r="G39"/>
  <c r="E39"/>
  <c r="D39"/>
  <c r="G38"/>
  <c r="E38"/>
  <c r="D38"/>
  <c r="G37"/>
  <c r="E37"/>
  <c r="D37"/>
  <c r="G36"/>
  <c r="E36"/>
  <c r="D36"/>
  <c r="G35"/>
  <c r="E35"/>
  <c r="D35"/>
  <c r="G34"/>
  <c r="E34"/>
  <c r="D34"/>
  <c r="E104" i="16" l="1"/>
  <c r="G55" i="36"/>
  <c r="E55"/>
  <c r="C55"/>
  <c r="A55"/>
  <c r="E55" i="16"/>
  <c r="G95" i="36"/>
  <c r="E95"/>
  <c r="C95"/>
  <c r="A95"/>
  <c r="G87"/>
  <c r="E87"/>
  <c r="C87"/>
  <c r="F104" i="16" s="1"/>
  <c r="A87" i="36"/>
  <c r="G79"/>
  <c r="E79"/>
  <c r="E76"/>
  <c r="C79"/>
  <c r="A79"/>
  <c r="A71"/>
  <c r="A63"/>
  <c r="G71"/>
  <c r="E71"/>
  <c r="C71"/>
  <c r="G62" i="16" s="1"/>
  <c r="G63" i="36"/>
  <c r="E63"/>
  <c r="C63"/>
  <c r="G97" i="16" s="1"/>
  <c r="A109" i="36"/>
  <c r="G33"/>
  <c r="E33"/>
  <c r="D33"/>
  <c r="G32"/>
  <c r="E32"/>
  <c r="D32"/>
  <c r="G31"/>
  <c r="E31"/>
  <c r="D31"/>
  <c r="G30"/>
  <c r="E30"/>
  <c r="D30"/>
  <c r="G29"/>
  <c r="E29"/>
  <c r="D29"/>
  <c r="G28"/>
  <c r="E28"/>
  <c r="D28"/>
  <c r="C92" s="1"/>
  <c r="G27"/>
  <c r="E27"/>
  <c r="D27"/>
  <c r="G26"/>
  <c r="G100" s="1"/>
  <c r="E26"/>
  <c r="D26"/>
  <c r="C76" s="1"/>
  <c r="G25"/>
  <c r="E25"/>
  <c r="D25"/>
  <c r="G24"/>
  <c r="E24"/>
  <c r="D24"/>
  <c r="G23"/>
  <c r="E23"/>
  <c r="D23"/>
  <c r="G22"/>
  <c r="E22"/>
  <c r="D22"/>
  <c r="G21"/>
  <c r="E21"/>
  <c r="D21"/>
  <c r="G20"/>
  <c r="E20"/>
  <c r="E52" s="1"/>
  <c r="D20"/>
  <c r="G19"/>
  <c r="E19"/>
  <c r="D19"/>
  <c r="G18"/>
  <c r="E18"/>
  <c r="D18"/>
  <c r="G17"/>
  <c r="E17"/>
  <c r="D17"/>
  <c r="G16"/>
  <c r="E16"/>
  <c r="D16"/>
  <c r="G15"/>
  <c r="E15"/>
  <c r="D15"/>
  <c r="G14"/>
  <c r="E14"/>
  <c r="D14"/>
  <c r="G13"/>
  <c r="E13"/>
  <c r="D13"/>
  <c r="G12"/>
  <c r="E12"/>
  <c r="D12"/>
  <c r="G11"/>
  <c r="E11"/>
  <c r="D11"/>
  <c r="G10"/>
  <c r="E10"/>
  <c r="D10"/>
  <c r="G9"/>
  <c r="E9"/>
  <c r="D9"/>
  <c r="G8"/>
  <c r="E8"/>
  <c r="D8"/>
  <c r="G7"/>
  <c r="E7"/>
  <c r="D7"/>
  <c r="G92" l="1"/>
  <c r="E97" i="16"/>
  <c r="E100" i="36"/>
  <c r="C60"/>
  <c r="G60"/>
  <c r="E68"/>
  <c r="E84"/>
  <c r="G20" i="16"/>
  <c r="G76" i="36"/>
  <c r="E92"/>
  <c r="F20" i="16"/>
  <c r="F62"/>
  <c r="F97"/>
  <c r="C100" i="36"/>
  <c r="E60"/>
  <c r="C68"/>
  <c r="G68"/>
  <c r="C84"/>
  <c r="G84"/>
  <c r="G55" i="16"/>
  <c r="C52" i="36"/>
  <c r="G52"/>
  <c r="F1362" i="15"/>
  <c r="F1363"/>
  <c r="F1361"/>
  <c r="K1362"/>
  <c r="K1361"/>
  <c r="F65" i="18"/>
  <c r="F144" i="15" l="1"/>
  <c r="F505" l="1"/>
  <c r="F494"/>
  <c r="F493"/>
  <c r="F492"/>
  <c r="F491"/>
  <c r="F487"/>
  <c r="F486"/>
  <c r="F485"/>
  <c r="F481"/>
  <c r="F480"/>
  <c r="F479"/>
  <c r="F476"/>
  <c r="F467"/>
  <c r="F456"/>
  <c r="F455"/>
  <c r="F454"/>
  <c r="F453"/>
  <c r="F448"/>
  <c r="M517" i="16" l="1"/>
  <c r="N510"/>
  <c r="M510"/>
  <c r="M496"/>
  <c r="M489"/>
  <c r="M461"/>
  <c r="M454"/>
  <c r="O426"/>
  <c r="N426"/>
  <c r="M342"/>
  <c r="M335"/>
  <c r="M321"/>
  <c r="M300"/>
  <c r="O286"/>
  <c r="N286"/>
  <c r="M286"/>
  <c r="M244"/>
  <c r="M216"/>
  <c r="M209"/>
  <c r="M202"/>
  <c r="N188"/>
  <c r="N181"/>
  <c r="N167"/>
  <c r="M118"/>
  <c r="N104"/>
  <c r="O83"/>
  <c r="N83"/>
  <c r="M83"/>
  <c r="M76"/>
  <c r="O69"/>
  <c r="N69"/>
  <c r="M69"/>
  <c r="N62"/>
  <c r="M41"/>
  <c r="E136" i="18" l="1"/>
  <c r="D136"/>
  <c r="G149" i="15" l="1"/>
  <c r="H149" s="1"/>
  <c r="E149"/>
  <c r="D149"/>
  <c r="C149"/>
  <c r="G248" i="35" l="1"/>
  <c r="I64" i="21"/>
  <c r="J64"/>
  <c r="H64"/>
  <c r="C127"/>
  <c r="D34" i="4"/>
  <c r="C64" i="21" s="1"/>
  <c r="J66" s="1"/>
  <c r="F195" i="18"/>
  <c r="F1061" i="15"/>
  <c r="F1059"/>
  <c r="F1058"/>
  <c r="F1057"/>
  <c r="G1103"/>
  <c r="H1103" s="1"/>
  <c r="H1102" s="1"/>
  <c r="E1103"/>
  <c r="D1103"/>
  <c r="C1103"/>
  <c r="F253" i="18"/>
  <c r="H66" i="21" l="1"/>
  <c r="I66"/>
  <c r="F307" i="18"/>
  <c r="F149"/>
  <c r="F308" l="1"/>
  <c r="F648" i="15" l="1"/>
  <c r="E191" i="18" l="1"/>
  <c r="D191"/>
  <c r="E1099" i="15"/>
  <c r="D1099"/>
  <c r="C1099"/>
  <c r="F1096"/>
  <c r="F1095"/>
  <c r="G1096"/>
  <c r="E1096"/>
  <c r="D1096"/>
  <c r="C1096"/>
  <c r="C1098"/>
  <c r="D1098"/>
  <c r="E1098"/>
  <c r="G1098"/>
  <c r="H1098" s="1"/>
  <c r="G1095"/>
  <c r="E1095"/>
  <c r="D1095"/>
  <c r="C1095"/>
  <c r="F190" i="18"/>
  <c r="E190"/>
  <c r="D190"/>
  <c r="E1076" i="15"/>
  <c r="D1076"/>
  <c r="C1076"/>
  <c r="E1075"/>
  <c r="D1075"/>
  <c r="C1075"/>
  <c r="F1070"/>
  <c r="F1071"/>
  <c r="F1069"/>
  <c r="F1068"/>
  <c r="F1067"/>
  <c r="F1066"/>
  <c r="F1065"/>
  <c r="G1073"/>
  <c r="H1073" s="1"/>
  <c r="E1073"/>
  <c r="D1073"/>
  <c r="C1073"/>
  <c r="G1069"/>
  <c r="E1069"/>
  <c r="D1069"/>
  <c r="C1069"/>
  <c r="G1068"/>
  <c r="E1068"/>
  <c r="D1068"/>
  <c r="C1068"/>
  <c r="G1067"/>
  <c r="E1067"/>
  <c r="D1067"/>
  <c r="C1067"/>
  <c r="G1066"/>
  <c r="E1066"/>
  <c r="D1066"/>
  <c r="C1066"/>
  <c r="G1074"/>
  <c r="H1074" s="1"/>
  <c r="E1074"/>
  <c r="D1074"/>
  <c r="C1074"/>
  <c r="G1071"/>
  <c r="E1071"/>
  <c r="D1071"/>
  <c r="C1071"/>
  <c r="G1070"/>
  <c r="E1070"/>
  <c r="D1070"/>
  <c r="C1070"/>
  <c r="G1065"/>
  <c r="E1065"/>
  <c r="D1065"/>
  <c r="C1065"/>
  <c r="G1061"/>
  <c r="H1061" s="1"/>
  <c r="E1061"/>
  <c r="D1061"/>
  <c r="C1061"/>
  <c r="G1059"/>
  <c r="H1059" s="1"/>
  <c r="E1059"/>
  <c r="D1059"/>
  <c r="C1059"/>
  <c r="G1058"/>
  <c r="H1058" s="1"/>
  <c r="E1058"/>
  <c r="D1058"/>
  <c r="C1058"/>
  <c r="G1057"/>
  <c r="H1057" s="1"/>
  <c r="E1057"/>
  <c r="D1057"/>
  <c r="C1057"/>
  <c r="F188" i="18"/>
  <c r="F1082" i="15"/>
  <c r="F1081"/>
  <c r="F1080"/>
  <c r="G1082"/>
  <c r="E1082"/>
  <c r="D1082"/>
  <c r="C1082"/>
  <c r="G1081"/>
  <c r="E1081"/>
  <c r="D1081"/>
  <c r="C1081"/>
  <c r="G1080"/>
  <c r="E1080"/>
  <c r="D1080"/>
  <c r="C1080"/>
  <c r="H1081" l="1"/>
  <c r="H1067"/>
  <c r="H1080"/>
  <c r="H1096"/>
  <c r="H1095"/>
  <c r="H1071"/>
  <c r="H1070"/>
  <c r="H1069"/>
  <c r="H1068"/>
  <c r="H1066"/>
  <c r="H1065"/>
  <c r="H1060"/>
  <c r="H1056" s="1"/>
  <c r="H1082"/>
  <c r="H1097" l="1"/>
  <c r="H1072"/>
  <c r="H1083"/>
  <c r="H1079" s="1"/>
  <c r="F197" i="18" l="1"/>
  <c r="G1560" i="15"/>
  <c r="F1560"/>
  <c r="G1564"/>
  <c r="F1564"/>
  <c r="E1564"/>
  <c r="D1564"/>
  <c r="C1564"/>
  <c r="H1564" l="1"/>
  <c r="H1563" s="1"/>
  <c r="E681" l="1"/>
  <c r="D681"/>
  <c r="C681"/>
  <c r="F242" i="34"/>
  <c r="F241"/>
  <c r="F240"/>
  <c r="F239"/>
  <c r="F238"/>
  <c r="F237"/>
  <c r="F236"/>
  <c r="G240"/>
  <c r="E240"/>
  <c r="D240"/>
  <c r="C240"/>
  <c r="G239"/>
  <c r="E239"/>
  <c r="D239"/>
  <c r="C239"/>
  <c r="G238"/>
  <c r="E238"/>
  <c r="D238"/>
  <c r="C238"/>
  <c r="G237"/>
  <c r="E237"/>
  <c r="D237"/>
  <c r="C237"/>
  <c r="E244"/>
  <c r="D244"/>
  <c r="C244"/>
  <c r="B244"/>
  <c r="G243"/>
  <c r="H243" s="1"/>
  <c r="E243"/>
  <c r="D243"/>
  <c r="C243"/>
  <c r="G242"/>
  <c r="E242"/>
  <c r="D242"/>
  <c r="C242"/>
  <c r="G241"/>
  <c r="H241" s="1"/>
  <c r="E241"/>
  <c r="D241"/>
  <c r="C241"/>
  <c r="G236"/>
  <c r="E236"/>
  <c r="D236"/>
  <c r="C236"/>
  <c r="E682" i="15"/>
  <c r="D682"/>
  <c r="C682"/>
  <c r="G251" i="34"/>
  <c r="G250"/>
  <c r="G249"/>
  <c r="G248"/>
  <c r="E251"/>
  <c r="D251"/>
  <c r="C251"/>
  <c r="E250"/>
  <c r="D250"/>
  <c r="C250"/>
  <c r="E249"/>
  <c r="D249"/>
  <c r="C249"/>
  <c r="E248"/>
  <c r="D248"/>
  <c r="C248"/>
  <c r="F251"/>
  <c r="H251" s="1"/>
  <c r="F250"/>
  <c r="F249"/>
  <c r="F248"/>
  <c r="G679" i="15"/>
  <c r="F679"/>
  <c r="E679"/>
  <c r="D679"/>
  <c r="C679"/>
  <c r="G678"/>
  <c r="F678"/>
  <c r="E678"/>
  <c r="D678"/>
  <c r="C678"/>
  <c r="G677"/>
  <c r="F677"/>
  <c r="E677"/>
  <c r="D677"/>
  <c r="C677"/>
  <c r="G676"/>
  <c r="F676"/>
  <c r="E676"/>
  <c r="D676"/>
  <c r="C676"/>
  <c r="H250" i="34" l="1"/>
  <c r="H677" i="15"/>
  <c r="H678"/>
  <c r="H242" i="34"/>
  <c r="H240"/>
  <c r="H239"/>
  <c r="H238"/>
  <c r="H237"/>
  <c r="H236"/>
  <c r="H248"/>
  <c r="H249"/>
  <c r="H679" i="15"/>
  <c r="H676"/>
  <c r="H247" i="34" l="1"/>
  <c r="G682" i="15" s="1"/>
  <c r="H682" s="1"/>
  <c r="H680"/>
  <c r="F263" i="18"/>
  <c r="E1267" i="15"/>
  <c r="D1267"/>
  <c r="C1267"/>
  <c r="G1266"/>
  <c r="H1266" s="1"/>
  <c r="E1266"/>
  <c r="D1266"/>
  <c r="C1266"/>
  <c r="G1265"/>
  <c r="H1265" s="1"/>
  <c r="E1265"/>
  <c r="D1265"/>
  <c r="C1265"/>
  <c r="G1264"/>
  <c r="H1264" s="1"/>
  <c r="E1264"/>
  <c r="D1264"/>
  <c r="C1264"/>
  <c r="G1263"/>
  <c r="H1263" s="1"/>
  <c r="E1263"/>
  <c r="D1263"/>
  <c r="C1263"/>
  <c r="G1262"/>
  <c r="F1262"/>
  <c r="E1262"/>
  <c r="D1262"/>
  <c r="C1262"/>
  <c r="G1261"/>
  <c r="F1261"/>
  <c r="E1261"/>
  <c r="D1261"/>
  <c r="C1261"/>
  <c r="G1260"/>
  <c r="F1260"/>
  <c r="E1260"/>
  <c r="D1260"/>
  <c r="C1260"/>
  <c r="G1259"/>
  <c r="F1259"/>
  <c r="E1259"/>
  <c r="D1259"/>
  <c r="C1259"/>
  <c r="H1260" l="1"/>
  <c r="H1262"/>
  <c r="H1261"/>
  <c r="H1259"/>
  <c r="F91" i="18"/>
  <c r="F89"/>
  <c r="M87"/>
  <c r="F90"/>
  <c r="G234" i="35" l="1"/>
  <c r="G324"/>
  <c r="G321"/>
  <c r="G253"/>
  <c r="G294"/>
  <c r="G326"/>
  <c r="G249"/>
  <c r="G112"/>
  <c r="G208"/>
  <c r="G67"/>
  <c r="G87"/>
  <c r="G142"/>
  <c r="G151" i="15" l="1"/>
  <c r="H151" s="1"/>
  <c r="E151"/>
  <c r="D151"/>
  <c r="C151"/>
  <c r="G150"/>
  <c r="H150" s="1"/>
  <c r="E150"/>
  <c r="D150"/>
  <c r="C150"/>
  <c r="G148"/>
  <c r="H148" s="1"/>
  <c r="E148"/>
  <c r="D148"/>
  <c r="C148"/>
  <c r="E27" i="18"/>
  <c r="D27"/>
  <c r="H147" i="15" l="1"/>
  <c r="E118" i="21"/>
  <c r="F118"/>
  <c r="G118"/>
  <c r="H118"/>
  <c r="I118"/>
  <c r="J118"/>
  <c r="K118"/>
  <c r="D118"/>
  <c r="I55"/>
  <c r="J55"/>
  <c r="K55"/>
  <c r="L55"/>
  <c r="M55"/>
  <c r="H55"/>
  <c r="O55"/>
  <c r="J148"/>
  <c r="L28"/>
  <c r="E88"/>
  <c r="F88"/>
  <c r="G88"/>
  <c r="H88"/>
  <c r="I88"/>
  <c r="J88"/>
  <c r="K88"/>
  <c r="D88"/>
  <c r="J25"/>
  <c r="K25"/>
  <c r="L25"/>
  <c r="M25"/>
  <c r="I25"/>
  <c r="O25"/>
  <c r="E1255" i="15"/>
  <c r="D1255"/>
  <c r="C1255"/>
  <c r="G1254"/>
  <c r="H1254" s="1"/>
  <c r="E1254"/>
  <c r="D1254"/>
  <c r="C1254"/>
  <c r="G1253"/>
  <c r="H1253" s="1"/>
  <c r="E1253"/>
  <c r="D1253"/>
  <c r="C1253"/>
  <c r="E1249"/>
  <c r="D1249"/>
  <c r="C1249"/>
  <c r="G1248"/>
  <c r="H1248" s="1"/>
  <c r="E1248"/>
  <c r="D1248"/>
  <c r="C1248"/>
  <c r="G1247"/>
  <c r="H1247" s="1"/>
  <c r="E1247"/>
  <c r="D1247"/>
  <c r="C1247"/>
  <c r="E1243"/>
  <c r="D1243"/>
  <c r="C1243"/>
  <c r="F262" i="18"/>
  <c r="G1232" i="15"/>
  <c r="H1232" s="1"/>
  <c r="G1233"/>
  <c r="H1233" s="1"/>
  <c r="G1234"/>
  <c r="H1234" s="1"/>
  <c r="G1235"/>
  <c r="H1235" s="1"/>
  <c r="C1232"/>
  <c r="D1232"/>
  <c r="E1232"/>
  <c r="C1233"/>
  <c r="D1233"/>
  <c r="E1233"/>
  <c r="C1234"/>
  <c r="D1234"/>
  <c r="E1234"/>
  <c r="C1235"/>
  <c r="D1235"/>
  <c r="E1235"/>
  <c r="G1231"/>
  <c r="H1231" s="1"/>
  <c r="E1231"/>
  <c r="D1231"/>
  <c r="C1231"/>
  <c r="G1242"/>
  <c r="H1242" s="1"/>
  <c r="E1242"/>
  <c r="D1242"/>
  <c r="C1242"/>
  <c r="G1241"/>
  <c r="H1241" s="1"/>
  <c r="E1241"/>
  <c r="D1241"/>
  <c r="C1241"/>
  <c r="G1237"/>
  <c r="H1237" s="1"/>
  <c r="E1237"/>
  <c r="D1237"/>
  <c r="C1237"/>
  <c r="G1236"/>
  <c r="H1236" s="1"/>
  <c r="E1236"/>
  <c r="D1236"/>
  <c r="C1236"/>
  <c r="H1230" l="1"/>
  <c r="E1463" l="1"/>
  <c r="D1463"/>
  <c r="C1463"/>
  <c r="F306" i="34"/>
  <c r="G306"/>
  <c r="E306"/>
  <c r="D306"/>
  <c r="C306"/>
  <c r="G305"/>
  <c r="F305"/>
  <c r="E305"/>
  <c r="D305"/>
  <c r="C305"/>
  <c r="G304"/>
  <c r="F304"/>
  <c r="E304"/>
  <c r="D304"/>
  <c r="C304"/>
  <c r="H304" l="1"/>
  <c r="H305"/>
  <c r="H306"/>
  <c r="F96" i="18"/>
  <c r="O115" i="21"/>
  <c r="O116"/>
  <c r="K37"/>
  <c r="L37"/>
  <c r="M37"/>
  <c r="J37"/>
  <c r="D100"/>
  <c r="E100"/>
  <c r="F100"/>
  <c r="G100"/>
  <c r="J31"/>
  <c r="K31"/>
  <c r="L31"/>
  <c r="M31"/>
  <c r="I31"/>
  <c r="K625" i="15"/>
  <c r="H303" i="34" l="1"/>
  <c r="G1463" i="15" s="1"/>
  <c r="H91" i="21"/>
  <c r="G91"/>
  <c r="E91"/>
  <c r="F91"/>
  <c r="D91"/>
  <c r="M28"/>
  <c r="G322" i="35" l="1"/>
  <c r="F147" i="18" l="1"/>
  <c r="F113"/>
  <c r="F78" l="1"/>
  <c r="F79" l="1"/>
  <c r="F80"/>
  <c r="E334" i="15"/>
  <c r="D334"/>
  <c r="C334"/>
  <c r="F359" i="34"/>
  <c r="F353"/>
  <c r="F352"/>
  <c r="F351"/>
  <c r="F350"/>
  <c r="F349"/>
  <c r="F348"/>
  <c r="F347"/>
  <c r="F346"/>
  <c r="F345"/>
  <c r="G356"/>
  <c r="H356" s="1"/>
  <c r="E356"/>
  <c r="D356"/>
  <c r="C356"/>
  <c r="G349"/>
  <c r="E349"/>
  <c r="D349"/>
  <c r="C349"/>
  <c r="E359"/>
  <c r="D359"/>
  <c r="C359"/>
  <c r="B359"/>
  <c r="E358"/>
  <c r="D358"/>
  <c r="C358"/>
  <c r="B358"/>
  <c r="E357"/>
  <c r="D357"/>
  <c r="C357"/>
  <c r="B357"/>
  <c r="G355"/>
  <c r="H355" s="1"/>
  <c r="E355"/>
  <c r="D355"/>
  <c r="C355"/>
  <c r="G354"/>
  <c r="H354" s="1"/>
  <c r="E354"/>
  <c r="D354"/>
  <c r="C354"/>
  <c r="G353"/>
  <c r="E353"/>
  <c r="D353"/>
  <c r="C353"/>
  <c r="G352"/>
  <c r="H352" s="1"/>
  <c r="E352"/>
  <c r="D352"/>
  <c r="C352"/>
  <c r="G351"/>
  <c r="E351"/>
  <c r="D351"/>
  <c r="C351"/>
  <c r="G350"/>
  <c r="E350"/>
  <c r="D350"/>
  <c r="C350"/>
  <c r="G348"/>
  <c r="H348" s="1"/>
  <c r="E348"/>
  <c r="D348"/>
  <c r="C348"/>
  <c r="G347"/>
  <c r="E347"/>
  <c r="D347"/>
  <c r="C347"/>
  <c r="G346"/>
  <c r="E346"/>
  <c r="D346"/>
  <c r="C346"/>
  <c r="G345"/>
  <c r="E345"/>
  <c r="D345"/>
  <c r="C345"/>
  <c r="E1949" i="15"/>
  <c r="D1949"/>
  <c r="C1949"/>
  <c r="F523" i="34"/>
  <c r="G523"/>
  <c r="E523"/>
  <c r="D523"/>
  <c r="C523"/>
  <c r="F1941" i="15"/>
  <c r="F1942"/>
  <c r="F1952"/>
  <c r="F1950"/>
  <c r="E1952"/>
  <c r="D1952"/>
  <c r="C1952"/>
  <c r="E1951"/>
  <c r="D1951"/>
  <c r="C1951"/>
  <c r="E1950"/>
  <c r="D1950"/>
  <c r="C1950"/>
  <c r="G1948"/>
  <c r="H1948" s="1"/>
  <c r="E1948"/>
  <c r="D1948"/>
  <c r="C1948"/>
  <c r="G1947"/>
  <c r="H1947" s="1"/>
  <c r="E1947"/>
  <c r="D1947"/>
  <c r="C1947"/>
  <c r="G1946"/>
  <c r="H1946" s="1"/>
  <c r="E1946"/>
  <c r="D1946"/>
  <c r="C1946"/>
  <c r="G1945"/>
  <c r="H1945" s="1"/>
  <c r="E1945"/>
  <c r="D1945"/>
  <c r="C1945"/>
  <c r="G1944"/>
  <c r="H1944" s="1"/>
  <c r="E1944"/>
  <c r="D1944"/>
  <c r="C1944"/>
  <c r="G1943"/>
  <c r="H1943" s="1"/>
  <c r="E1943"/>
  <c r="D1943"/>
  <c r="C1943"/>
  <c r="G1942"/>
  <c r="E1942"/>
  <c r="D1942"/>
  <c r="C1942"/>
  <c r="G1941"/>
  <c r="E1941"/>
  <c r="D1941"/>
  <c r="C1941"/>
  <c r="E1936"/>
  <c r="D1936"/>
  <c r="C1936"/>
  <c r="F519" i="34"/>
  <c r="F518"/>
  <c r="G518"/>
  <c r="E518"/>
  <c r="D518"/>
  <c r="C518"/>
  <c r="F517"/>
  <c r="G519"/>
  <c r="E519"/>
  <c r="D519"/>
  <c r="C519"/>
  <c r="G517"/>
  <c r="E517"/>
  <c r="D517"/>
  <c r="C517"/>
  <c r="G1935" i="15"/>
  <c r="H1935" s="1"/>
  <c r="E1935"/>
  <c r="D1935"/>
  <c r="C1935"/>
  <c r="F1934"/>
  <c r="F1933"/>
  <c r="F1932"/>
  <c r="E1937"/>
  <c r="D1937"/>
  <c r="C1937"/>
  <c r="G1934"/>
  <c r="E1934"/>
  <c r="D1934"/>
  <c r="C1934"/>
  <c r="G1933"/>
  <c r="E1933"/>
  <c r="D1933"/>
  <c r="C1933"/>
  <c r="G1932"/>
  <c r="E1932"/>
  <c r="D1932"/>
  <c r="C1932"/>
  <c r="F1926"/>
  <c r="E1926"/>
  <c r="D1926"/>
  <c r="C1926"/>
  <c r="E1928"/>
  <c r="D1928"/>
  <c r="C1928"/>
  <c r="E1927"/>
  <c r="D1927"/>
  <c r="C1927"/>
  <c r="F1916"/>
  <c r="F1915"/>
  <c r="G1914"/>
  <c r="F1914"/>
  <c r="E1914"/>
  <c r="D1914"/>
  <c r="C1914"/>
  <c r="F1913"/>
  <c r="G1924"/>
  <c r="H1924" s="1"/>
  <c r="E1924"/>
  <c r="D1924"/>
  <c r="C1924"/>
  <c r="G1925"/>
  <c r="C1925"/>
  <c r="D1925"/>
  <c r="E1925"/>
  <c r="G1923"/>
  <c r="H1923" s="1"/>
  <c r="E1923"/>
  <c r="D1923"/>
  <c r="C1923"/>
  <c r="G1922"/>
  <c r="H1922" s="1"/>
  <c r="E1922"/>
  <c r="D1922"/>
  <c r="C1922"/>
  <c r="G1921"/>
  <c r="H1921" s="1"/>
  <c r="E1921"/>
  <c r="D1921"/>
  <c r="C1921"/>
  <c r="G1920"/>
  <c r="H1920" s="1"/>
  <c r="E1920"/>
  <c r="D1920"/>
  <c r="C1920"/>
  <c r="G1919"/>
  <c r="H1919" s="1"/>
  <c r="E1919"/>
  <c r="D1919"/>
  <c r="C1919"/>
  <c r="G1918"/>
  <c r="H1918" s="1"/>
  <c r="E1918"/>
  <c r="D1918"/>
  <c r="C1918"/>
  <c r="G1917"/>
  <c r="H1917" s="1"/>
  <c r="E1917"/>
  <c r="D1917"/>
  <c r="C1917"/>
  <c r="G1916"/>
  <c r="H1916" s="1"/>
  <c r="E1916"/>
  <c r="D1916"/>
  <c r="C1916"/>
  <c r="G1915"/>
  <c r="E1915"/>
  <c r="D1915"/>
  <c r="C1915"/>
  <c r="G1913"/>
  <c r="E1913"/>
  <c r="D1913"/>
  <c r="C1913"/>
  <c r="F1907"/>
  <c r="G1907"/>
  <c r="E1907"/>
  <c r="D1907"/>
  <c r="C1907"/>
  <c r="F1906"/>
  <c r="F1904"/>
  <c r="G1904"/>
  <c r="E1904"/>
  <c r="D1904"/>
  <c r="C1904"/>
  <c r="F1903"/>
  <c r="F1902"/>
  <c r="G1902"/>
  <c r="E1902"/>
  <c r="D1902"/>
  <c r="C1902"/>
  <c r="F1901"/>
  <c r="F1900"/>
  <c r="G1900"/>
  <c r="E1900"/>
  <c r="D1900"/>
  <c r="C1900"/>
  <c r="F1899"/>
  <c r="F1905"/>
  <c r="F1908"/>
  <c r="G1906"/>
  <c r="G1908"/>
  <c r="C1906"/>
  <c r="D1906"/>
  <c r="E1906"/>
  <c r="C1908"/>
  <c r="D1908"/>
  <c r="E1908"/>
  <c r="G1905"/>
  <c r="E1905"/>
  <c r="D1905"/>
  <c r="C1905"/>
  <c r="G1903"/>
  <c r="E1903"/>
  <c r="D1903"/>
  <c r="C1903"/>
  <c r="G1901"/>
  <c r="E1901"/>
  <c r="D1901"/>
  <c r="C1901"/>
  <c r="G1899"/>
  <c r="E1899"/>
  <c r="D1899"/>
  <c r="C1899"/>
  <c r="F1597"/>
  <c r="F1596"/>
  <c r="F1595"/>
  <c r="G1596"/>
  <c r="E1596"/>
  <c r="D1596"/>
  <c r="C1596"/>
  <c r="G1597"/>
  <c r="E1597"/>
  <c r="D1597"/>
  <c r="C1597"/>
  <c r="G1595"/>
  <c r="E1595"/>
  <c r="D1595"/>
  <c r="C1595"/>
  <c r="F1586"/>
  <c r="F1585"/>
  <c r="F1584"/>
  <c r="G1586"/>
  <c r="E1586"/>
  <c r="D1586"/>
  <c r="C1586"/>
  <c r="G1585"/>
  <c r="E1585"/>
  <c r="D1585"/>
  <c r="C1585"/>
  <c r="G1584"/>
  <c r="E1584"/>
  <c r="D1584"/>
  <c r="C1584"/>
  <c r="F1579"/>
  <c r="F1578"/>
  <c r="F1577"/>
  <c r="F1576"/>
  <c r="E1580"/>
  <c r="D1580"/>
  <c r="C1580"/>
  <c r="G1579"/>
  <c r="E1579"/>
  <c r="D1579"/>
  <c r="C1579"/>
  <c r="G1578"/>
  <c r="E1578"/>
  <c r="D1578"/>
  <c r="C1578"/>
  <c r="G1577"/>
  <c r="E1577"/>
  <c r="D1577"/>
  <c r="C1577"/>
  <c r="G1576"/>
  <c r="E1576"/>
  <c r="D1576"/>
  <c r="C1576"/>
  <c r="F1893"/>
  <c r="F1892"/>
  <c r="F1891"/>
  <c r="G1892"/>
  <c r="E1892"/>
  <c r="D1892"/>
  <c r="C1892"/>
  <c r="F1890"/>
  <c r="F1889"/>
  <c r="E1895"/>
  <c r="D1895"/>
  <c r="C1895"/>
  <c r="G1894"/>
  <c r="H1894" s="1"/>
  <c r="E1894"/>
  <c r="D1894"/>
  <c r="C1894"/>
  <c r="G1893"/>
  <c r="E1893"/>
  <c r="D1893"/>
  <c r="C1893"/>
  <c r="G1891"/>
  <c r="E1891"/>
  <c r="D1891"/>
  <c r="C1891"/>
  <c r="G1890"/>
  <c r="E1890"/>
  <c r="D1890"/>
  <c r="C1890"/>
  <c r="G1889"/>
  <c r="E1889"/>
  <c r="D1889"/>
  <c r="C1889"/>
  <c r="F1885"/>
  <c r="F1884"/>
  <c r="G1885"/>
  <c r="E1885"/>
  <c r="D1885"/>
  <c r="C1885"/>
  <c r="G1884"/>
  <c r="E1884"/>
  <c r="D1884"/>
  <c r="C1884"/>
  <c r="F1879"/>
  <c r="F1875"/>
  <c r="F1876"/>
  <c r="F1877"/>
  <c r="F1878"/>
  <c r="F1874"/>
  <c r="G1880"/>
  <c r="H1880" s="1"/>
  <c r="E1880"/>
  <c r="D1880"/>
  <c r="C1880"/>
  <c r="G1879"/>
  <c r="E1879"/>
  <c r="D1879"/>
  <c r="C1879"/>
  <c r="G1878"/>
  <c r="E1878"/>
  <c r="D1878"/>
  <c r="C1878"/>
  <c r="G1877"/>
  <c r="E1877"/>
  <c r="D1877"/>
  <c r="C1877"/>
  <c r="G1876"/>
  <c r="H1876" s="1"/>
  <c r="E1876"/>
  <c r="D1876"/>
  <c r="C1876"/>
  <c r="G1875"/>
  <c r="E1875"/>
  <c r="D1875"/>
  <c r="C1875"/>
  <c r="G1874"/>
  <c r="E1874"/>
  <c r="D1874"/>
  <c r="C1874"/>
  <c r="G1869"/>
  <c r="H1869" s="1"/>
  <c r="E1869"/>
  <c r="D1869"/>
  <c r="C1869"/>
  <c r="E1870"/>
  <c r="D1870"/>
  <c r="C1870"/>
  <c r="G1868"/>
  <c r="H1868" s="1"/>
  <c r="E1868"/>
  <c r="D1868"/>
  <c r="C1868"/>
  <c r="G1867"/>
  <c r="H1867" s="1"/>
  <c r="E1867"/>
  <c r="D1867"/>
  <c r="C1867"/>
  <c r="F1855"/>
  <c r="F1854"/>
  <c r="F1853"/>
  <c r="F1852"/>
  <c r="F1862"/>
  <c r="F1863"/>
  <c r="G1859"/>
  <c r="H1859" s="1"/>
  <c r="E1859"/>
  <c r="D1859"/>
  <c r="C1859"/>
  <c r="G1858"/>
  <c r="H1858" s="1"/>
  <c r="E1858"/>
  <c r="D1858"/>
  <c r="C1858"/>
  <c r="E1862"/>
  <c r="D1862"/>
  <c r="C1862"/>
  <c r="E1863"/>
  <c r="D1863"/>
  <c r="C1863"/>
  <c r="G1861"/>
  <c r="H1861" s="1"/>
  <c r="E1861"/>
  <c r="D1861"/>
  <c r="C1861"/>
  <c r="G1860"/>
  <c r="H1860" s="1"/>
  <c r="E1860"/>
  <c r="D1860"/>
  <c r="C1860"/>
  <c r="G1857"/>
  <c r="H1857" s="1"/>
  <c r="E1857"/>
  <c r="D1857"/>
  <c r="C1857"/>
  <c r="G1856"/>
  <c r="H1856" s="1"/>
  <c r="E1856"/>
  <c r="D1856"/>
  <c r="C1856"/>
  <c r="G1855"/>
  <c r="E1855"/>
  <c r="D1855"/>
  <c r="C1855"/>
  <c r="G1854"/>
  <c r="E1854"/>
  <c r="D1854"/>
  <c r="C1854"/>
  <c r="G1853"/>
  <c r="E1853"/>
  <c r="D1853"/>
  <c r="C1853"/>
  <c r="G1852"/>
  <c r="E1852"/>
  <c r="D1852"/>
  <c r="C1852"/>
  <c r="F1846"/>
  <c r="E1848"/>
  <c r="D1848"/>
  <c r="C1848"/>
  <c r="G1847"/>
  <c r="H1847" s="1"/>
  <c r="E1847"/>
  <c r="D1847"/>
  <c r="C1847"/>
  <c r="G1846"/>
  <c r="E1846"/>
  <c r="D1846"/>
  <c r="C1846"/>
  <c r="E1842"/>
  <c r="D1842"/>
  <c r="C1842"/>
  <c r="G1841"/>
  <c r="H1841" s="1"/>
  <c r="E1841"/>
  <c r="D1841"/>
  <c r="C1841"/>
  <c r="F1840"/>
  <c r="F1839"/>
  <c r="G1840"/>
  <c r="E1840"/>
  <c r="D1840"/>
  <c r="C1840"/>
  <c r="G1839"/>
  <c r="E1839"/>
  <c r="D1839"/>
  <c r="C1839"/>
  <c r="E372"/>
  <c r="D372"/>
  <c r="C372"/>
  <c r="F372"/>
  <c r="E366"/>
  <c r="D366"/>
  <c r="C366"/>
  <c r="F159" i="34"/>
  <c r="F160"/>
  <c r="F158"/>
  <c r="G160"/>
  <c r="H160" s="1"/>
  <c r="E160"/>
  <c r="D160"/>
  <c r="C160"/>
  <c r="G159"/>
  <c r="E159"/>
  <c r="D159"/>
  <c r="C159"/>
  <c r="G158"/>
  <c r="E158"/>
  <c r="D158"/>
  <c r="C158"/>
  <c r="E373" i="15"/>
  <c r="D373"/>
  <c r="C373"/>
  <c r="E367"/>
  <c r="D367"/>
  <c r="C367"/>
  <c r="E345"/>
  <c r="D345"/>
  <c r="C345"/>
  <c r="E344"/>
  <c r="D344"/>
  <c r="C344"/>
  <c r="E1835"/>
  <c r="D1835"/>
  <c r="C1835"/>
  <c r="E494" i="34"/>
  <c r="D494"/>
  <c r="C494"/>
  <c r="B494"/>
  <c r="F507"/>
  <c r="F506"/>
  <c r="F505"/>
  <c r="G505"/>
  <c r="E505"/>
  <c r="D505"/>
  <c r="C505"/>
  <c r="F504"/>
  <c r="F503"/>
  <c r="G503"/>
  <c r="E503"/>
  <c r="D503"/>
  <c r="C503"/>
  <c r="F502"/>
  <c r="F501"/>
  <c r="F500"/>
  <c r="G500"/>
  <c r="E500"/>
  <c r="D500"/>
  <c r="C500"/>
  <c r="F499"/>
  <c r="F512"/>
  <c r="E513"/>
  <c r="D513"/>
  <c r="C513"/>
  <c r="B513"/>
  <c r="E512"/>
  <c r="D512"/>
  <c r="C512"/>
  <c r="B512"/>
  <c r="G511"/>
  <c r="H511" s="1"/>
  <c r="E511"/>
  <c r="D511"/>
  <c r="C511"/>
  <c r="G510"/>
  <c r="H510" s="1"/>
  <c r="E510"/>
  <c r="D510"/>
  <c r="C510"/>
  <c r="G509"/>
  <c r="H509" s="1"/>
  <c r="E509"/>
  <c r="D509"/>
  <c r="C509"/>
  <c r="G508"/>
  <c r="H508" s="1"/>
  <c r="E508"/>
  <c r="D508"/>
  <c r="C508"/>
  <c r="G507"/>
  <c r="E507"/>
  <c r="D507"/>
  <c r="C507"/>
  <c r="G506"/>
  <c r="E506"/>
  <c r="D506"/>
  <c r="C506"/>
  <c r="G504"/>
  <c r="E504"/>
  <c r="D504"/>
  <c r="C504"/>
  <c r="G502"/>
  <c r="E502"/>
  <c r="D502"/>
  <c r="C502"/>
  <c r="G501"/>
  <c r="H501" s="1"/>
  <c r="E501"/>
  <c r="D501"/>
  <c r="C501"/>
  <c r="G499"/>
  <c r="E499"/>
  <c r="D499"/>
  <c r="C499"/>
  <c r="F492"/>
  <c r="F491"/>
  <c r="E495"/>
  <c r="D495"/>
  <c r="C495"/>
  <c r="B495"/>
  <c r="G493"/>
  <c r="H493" s="1"/>
  <c r="E493"/>
  <c r="D493"/>
  <c r="C493"/>
  <c r="G492"/>
  <c r="E492"/>
  <c r="D492"/>
  <c r="C492"/>
  <c r="G491"/>
  <c r="E491"/>
  <c r="D491"/>
  <c r="C491"/>
  <c r="F1830" i="15"/>
  <c r="F1829"/>
  <c r="F1828"/>
  <c r="F1827"/>
  <c r="F1826"/>
  <c r="G1834"/>
  <c r="H1834" s="1"/>
  <c r="E1834"/>
  <c r="D1834"/>
  <c r="C1834"/>
  <c r="G1833"/>
  <c r="H1833" s="1"/>
  <c r="E1833"/>
  <c r="D1833"/>
  <c r="C1833"/>
  <c r="G1832"/>
  <c r="H1832" s="1"/>
  <c r="E1832"/>
  <c r="D1832"/>
  <c r="C1832"/>
  <c r="G1831"/>
  <c r="H1831" s="1"/>
  <c r="E1831"/>
  <c r="D1831"/>
  <c r="C1831"/>
  <c r="G1830"/>
  <c r="E1830"/>
  <c r="D1830"/>
  <c r="C1830"/>
  <c r="G1829"/>
  <c r="H1829" s="1"/>
  <c r="E1829"/>
  <c r="D1829"/>
  <c r="C1829"/>
  <c r="G1828"/>
  <c r="E1828"/>
  <c r="D1828"/>
  <c r="C1828"/>
  <c r="G1827"/>
  <c r="E1827"/>
  <c r="D1827"/>
  <c r="C1827"/>
  <c r="G1826"/>
  <c r="E1826"/>
  <c r="D1826"/>
  <c r="C1826"/>
  <c r="F1822"/>
  <c r="F1817"/>
  <c r="F1816"/>
  <c r="F1815"/>
  <c r="F1814"/>
  <c r="F1813"/>
  <c r="E1822"/>
  <c r="D1822"/>
  <c r="C1822"/>
  <c r="G1821"/>
  <c r="H1821" s="1"/>
  <c r="E1821"/>
  <c r="D1821"/>
  <c r="C1821"/>
  <c r="G1820"/>
  <c r="H1820" s="1"/>
  <c r="E1820"/>
  <c r="D1820"/>
  <c r="C1820"/>
  <c r="G1819"/>
  <c r="H1819" s="1"/>
  <c r="E1819"/>
  <c r="D1819"/>
  <c r="C1819"/>
  <c r="G1818"/>
  <c r="H1818" s="1"/>
  <c r="E1818"/>
  <c r="D1818"/>
  <c r="C1818"/>
  <c r="G1817"/>
  <c r="E1817"/>
  <c r="D1817"/>
  <c r="C1817"/>
  <c r="G1816"/>
  <c r="E1816"/>
  <c r="D1816"/>
  <c r="C1816"/>
  <c r="G1815"/>
  <c r="E1815"/>
  <c r="D1815"/>
  <c r="C1815"/>
  <c r="G1814"/>
  <c r="E1814"/>
  <c r="D1814"/>
  <c r="C1814"/>
  <c r="G1813"/>
  <c r="E1813"/>
  <c r="D1813"/>
  <c r="C1813"/>
  <c r="F1808"/>
  <c r="F1807"/>
  <c r="G1808"/>
  <c r="E1808"/>
  <c r="D1808"/>
  <c r="C1808"/>
  <c r="G1807"/>
  <c r="E1807"/>
  <c r="D1807"/>
  <c r="C1807"/>
  <c r="F1801"/>
  <c r="E1803"/>
  <c r="D1803"/>
  <c r="C1803"/>
  <c r="G1802"/>
  <c r="H1802" s="1"/>
  <c r="E1802"/>
  <c r="D1802"/>
  <c r="C1802"/>
  <c r="G1801"/>
  <c r="E1801"/>
  <c r="D1801"/>
  <c r="C1801"/>
  <c r="F1793"/>
  <c r="F1792"/>
  <c r="F1791"/>
  <c r="E1797"/>
  <c r="D1797"/>
  <c r="C1797"/>
  <c r="E1796"/>
  <c r="D1796"/>
  <c r="C1796"/>
  <c r="G1795"/>
  <c r="H1795" s="1"/>
  <c r="E1795"/>
  <c r="D1795"/>
  <c r="C1795"/>
  <c r="G1794"/>
  <c r="H1794" s="1"/>
  <c r="E1794"/>
  <c r="D1794"/>
  <c r="C1794"/>
  <c r="G1793"/>
  <c r="E1793"/>
  <c r="D1793"/>
  <c r="C1793"/>
  <c r="G1792"/>
  <c r="E1792"/>
  <c r="D1792"/>
  <c r="C1792"/>
  <c r="G1791"/>
  <c r="E1791"/>
  <c r="D1791"/>
  <c r="C1791"/>
  <c r="E1787"/>
  <c r="D1787"/>
  <c r="C1787"/>
  <c r="E1786"/>
  <c r="D1786"/>
  <c r="C1786"/>
  <c r="F1783"/>
  <c r="F1782"/>
  <c r="F1781"/>
  <c r="C1785"/>
  <c r="D1785"/>
  <c r="E1785"/>
  <c r="G1784"/>
  <c r="H1784" s="1"/>
  <c r="G1785"/>
  <c r="E1784"/>
  <c r="D1784"/>
  <c r="C1784"/>
  <c r="G1783"/>
  <c r="E1783"/>
  <c r="D1783"/>
  <c r="C1783"/>
  <c r="G1782"/>
  <c r="E1782"/>
  <c r="D1782"/>
  <c r="C1782"/>
  <c r="G1781"/>
  <c r="E1781"/>
  <c r="D1781"/>
  <c r="C1781"/>
  <c r="F1777"/>
  <c r="F1772"/>
  <c r="F1771"/>
  <c r="G1771"/>
  <c r="E1771"/>
  <c r="D1771"/>
  <c r="C1771"/>
  <c r="F1770"/>
  <c r="F1769"/>
  <c r="E1777"/>
  <c r="D1777"/>
  <c r="C1777"/>
  <c r="F486" i="34"/>
  <c r="F487"/>
  <c r="G487"/>
  <c r="E487"/>
  <c r="D487"/>
  <c r="C487"/>
  <c r="G486"/>
  <c r="E486"/>
  <c r="D486"/>
  <c r="C486"/>
  <c r="G1776" i="15"/>
  <c r="H1776" s="1"/>
  <c r="C1776"/>
  <c r="D1776"/>
  <c r="E1776"/>
  <c r="G1775"/>
  <c r="H1775" s="1"/>
  <c r="E1775"/>
  <c r="D1775"/>
  <c r="C1775"/>
  <c r="G1774"/>
  <c r="H1774" s="1"/>
  <c r="E1774"/>
  <c r="D1774"/>
  <c r="C1774"/>
  <c r="G1772"/>
  <c r="E1772"/>
  <c r="D1772"/>
  <c r="C1772"/>
  <c r="G1770"/>
  <c r="E1770"/>
  <c r="D1770"/>
  <c r="C1770"/>
  <c r="G1769"/>
  <c r="E1769"/>
  <c r="D1769"/>
  <c r="C1769"/>
  <c r="H346" i="34" l="1"/>
  <c r="H353"/>
  <c r="H351"/>
  <c r="H350"/>
  <c r="H349"/>
  <c r="H347"/>
  <c r="H345"/>
  <c r="H1901" i="15"/>
  <c r="H505" i="34"/>
  <c r="H159"/>
  <c r="H502"/>
  <c r="H506"/>
  <c r="H523"/>
  <c r="H499"/>
  <c r="H507"/>
  <c r="H1942" i="15"/>
  <c r="H1941"/>
  <c r="H1934"/>
  <c r="H1586"/>
  <c r="H1914"/>
  <c r="H519" i="34"/>
  <c r="H518"/>
  <c r="H517"/>
  <c r="H1933" i="15"/>
  <c r="H1577"/>
  <c r="H1932"/>
  <c r="H1915"/>
  <c r="H1913"/>
  <c r="H1925"/>
  <c r="H1905"/>
  <c r="H1907"/>
  <c r="H1906"/>
  <c r="H1904"/>
  <c r="H1908"/>
  <c r="H1903"/>
  <c r="H1902"/>
  <c r="H1900"/>
  <c r="H1899"/>
  <c r="H1597"/>
  <c r="H1596"/>
  <c r="H1595"/>
  <c r="H1579"/>
  <c r="H1584"/>
  <c r="H1585"/>
  <c r="H1578"/>
  <c r="H1576"/>
  <c r="H1892"/>
  <c r="H1890"/>
  <c r="H1893"/>
  <c r="H1891"/>
  <c r="H1889"/>
  <c r="H1885"/>
  <c r="H1884"/>
  <c r="H1814"/>
  <c r="H1877"/>
  <c r="H1828"/>
  <c r="H1879"/>
  <c r="H1878"/>
  <c r="H1874"/>
  <c r="H1783"/>
  <c r="H1875"/>
  <c r="H1854"/>
  <c r="H1855"/>
  <c r="H1853"/>
  <c r="H1852"/>
  <c r="H1846"/>
  <c r="H1840"/>
  <c r="H1815"/>
  <c r="H1839"/>
  <c r="H1807"/>
  <c r="H1826"/>
  <c r="H1830"/>
  <c r="H158" i="34"/>
  <c r="H503"/>
  <c r="H504"/>
  <c r="H500"/>
  <c r="H492"/>
  <c r="H491"/>
  <c r="H487"/>
  <c r="H1827" i="15"/>
  <c r="H1816"/>
  <c r="H1817"/>
  <c r="H1813"/>
  <c r="H1808"/>
  <c r="H1801"/>
  <c r="H1793"/>
  <c r="H1792"/>
  <c r="H1791"/>
  <c r="H1782"/>
  <c r="H1781"/>
  <c r="H1785"/>
  <c r="H1772"/>
  <c r="H1771"/>
  <c r="H1770"/>
  <c r="H1769"/>
  <c r="H486" i="34"/>
  <c r="L164" i="16"/>
  <c r="E1765" i="15"/>
  <c r="D1765"/>
  <c r="C1765"/>
  <c r="E1763"/>
  <c r="D1763"/>
  <c r="C1763"/>
  <c r="F478" i="34"/>
  <c r="E482"/>
  <c r="D482"/>
  <c r="C482"/>
  <c r="B482"/>
  <c r="G481"/>
  <c r="H481" s="1"/>
  <c r="E481"/>
  <c r="D481"/>
  <c r="C481"/>
  <c r="G480"/>
  <c r="H480" s="1"/>
  <c r="E480"/>
  <c r="D480"/>
  <c r="C480"/>
  <c r="G479"/>
  <c r="H479" s="1"/>
  <c r="E479"/>
  <c r="D479"/>
  <c r="C479"/>
  <c r="G478"/>
  <c r="E478"/>
  <c r="D478"/>
  <c r="C478"/>
  <c r="E1762" i="15"/>
  <c r="D1762"/>
  <c r="C1762"/>
  <c r="F474" i="34"/>
  <c r="F473"/>
  <c r="F468"/>
  <c r="F467"/>
  <c r="F466"/>
  <c r="F465"/>
  <c r="F464"/>
  <c r="F463"/>
  <c r="F462"/>
  <c r="E474"/>
  <c r="D474"/>
  <c r="C474"/>
  <c r="B474"/>
  <c r="E473"/>
  <c r="D473"/>
  <c r="C473"/>
  <c r="B473"/>
  <c r="G472"/>
  <c r="H472" s="1"/>
  <c r="E472"/>
  <c r="D472"/>
  <c r="C472"/>
  <c r="G471"/>
  <c r="H471" s="1"/>
  <c r="E471"/>
  <c r="D471"/>
  <c r="C471"/>
  <c r="G470"/>
  <c r="H470" s="1"/>
  <c r="E470"/>
  <c r="D470"/>
  <c r="C470"/>
  <c r="G469"/>
  <c r="H469" s="1"/>
  <c r="E469"/>
  <c r="D469"/>
  <c r="C469"/>
  <c r="G468"/>
  <c r="E468"/>
  <c r="D468"/>
  <c r="C468"/>
  <c r="G467"/>
  <c r="E467"/>
  <c r="D467"/>
  <c r="C467"/>
  <c r="G466"/>
  <c r="E466"/>
  <c r="D466"/>
  <c r="C466"/>
  <c r="G465"/>
  <c r="E465"/>
  <c r="D465"/>
  <c r="C465"/>
  <c r="G464"/>
  <c r="E464"/>
  <c r="D464"/>
  <c r="C464"/>
  <c r="G463"/>
  <c r="E463"/>
  <c r="D463"/>
  <c r="C463"/>
  <c r="G462"/>
  <c r="E462"/>
  <c r="D462"/>
  <c r="C462"/>
  <c r="E1764" i="15"/>
  <c r="D1764"/>
  <c r="C1764"/>
  <c r="F458" i="34"/>
  <c r="F457"/>
  <c r="G458"/>
  <c r="E458"/>
  <c r="D458"/>
  <c r="C458"/>
  <c r="G457"/>
  <c r="E457"/>
  <c r="D457"/>
  <c r="C457"/>
  <c r="F1765" i="15"/>
  <c r="G1761"/>
  <c r="H1761" s="1"/>
  <c r="C1761"/>
  <c r="D1761"/>
  <c r="E1761"/>
  <c r="F1760"/>
  <c r="F1759"/>
  <c r="F1758"/>
  <c r="G1758"/>
  <c r="E1758"/>
  <c r="D1758"/>
  <c r="C1758"/>
  <c r="F1757"/>
  <c r="G1760"/>
  <c r="H1760" s="1"/>
  <c r="E1760"/>
  <c r="D1760"/>
  <c r="C1760"/>
  <c r="G1759"/>
  <c r="E1759"/>
  <c r="D1759"/>
  <c r="C1759"/>
  <c r="G1757"/>
  <c r="E1757"/>
  <c r="D1757"/>
  <c r="C1757"/>
  <c r="E1753"/>
  <c r="D1753"/>
  <c r="C1753"/>
  <c r="F453" i="34"/>
  <c r="G453"/>
  <c r="E453"/>
  <c r="D453"/>
  <c r="C453"/>
  <c r="E1751" i="15"/>
  <c r="D1751"/>
  <c r="C1751"/>
  <c r="E449" i="34"/>
  <c r="D449"/>
  <c r="C449"/>
  <c r="B449"/>
  <c r="G448"/>
  <c r="H448" s="1"/>
  <c r="E448"/>
  <c r="D448"/>
  <c r="C448"/>
  <c r="G447"/>
  <c r="E447"/>
  <c r="D447"/>
  <c r="C447"/>
  <c r="E1752" i="15"/>
  <c r="D1752"/>
  <c r="C1752"/>
  <c r="E1750"/>
  <c r="D1750"/>
  <c r="C1750"/>
  <c r="F436" i="34"/>
  <c r="F435"/>
  <c r="F434"/>
  <c r="G435"/>
  <c r="E435"/>
  <c r="D435"/>
  <c r="C435"/>
  <c r="F433"/>
  <c r="F432"/>
  <c r="F431"/>
  <c r="G431"/>
  <c r="E431"/>
  <c r="D431"/>
  <c r="C431"/>
  <c r="F430"/>
  <c r="G436"/>
  <c r="E436"/>
  <c r="D436"/>
  <c r="C436"/>
  <c r="G440"/>
  <c r="H440" s="1"/>
  <c r="E440"/>
  <c r="D440"/>
  <c r="C440"/>
  <c r="G439"/>
  <c r="H439" s="1"/>
  <c r="E439"/>
  <c r="D439"/>
  <c r="C439"/>
  <c r="F443"/>
  <c r="F442"/>
  <c r="F1749" i="15"/>
  <c r="F1748"/>
  <c r="F1747"/>
  <c r="G1749"/>
  <c r="E1749"/>
  <c r="D1749"/>
  <c r="C1749"/>
  <c r="G1748"/>
  <c r="E1748"/>
  <c r="D1748"/>
  <c r="C1748"/>
  <c r="G1747"/>
  <c r="E1747"/>
  <c r="D1747"/>
  <c r="C1747"/>
  <c r="E443" i="34"/>
  <c r="D443"/>
  <c r="C443"/>
  <c r="B443"/>
  <c r="E442"/>
  <c r="D442"/>
  <c r="C442"/>
  <c r="B442"/>
  <c r="G441"/>
  <c r="H441" s="1"/>
  <c r="E441"/>
  <c r="D441"/>
  <c r="C441"/>
  <c r="G438"/>
  <c r="H438" s="1"/>
  <c r="E438"/>
  <c r="D438"/>
  <c r="C438"/>
  <c r="G437"/>
  <c r="H437" s="1"/>
  <c r="E437"/>
  <c r="D437"/>
  <c r="C437"/>
  <c r="G434"/>
  <c r="E434"/>
  <c r="D434"/>
  <c r="C434"/>
  <c r="G433"/>
  <c r="E433"/>
  <c r="D433"/>
  <c r="C433"/>
  <c r="G432"/>
  <c r="H432" s="1"/>
  <c r="E432"/>
  <c r="D432"/>
  <c r="C432"/>
  <c r="G430"/>
  <c r="E430"/>
  <c r="D430"/>
  <c r="C430"/>
  <c r="E1743" i="15"/>
  <c r="D1743"/>
  <c r="C1743"/>
  <c r="F1741"/>
  <c r="C1741"/>
  <c r="D1741"/>
  <c r="E1741"/>
  <c r="G1741"/>
  <c r="H1741" s="1"/>
  <c r="C1742"/>
  <c r="D1742"/>
  <c r="E1742"/>
  <c r="G1742"/>
  <c r="H1742" s="1"/>
  <c r="F1740"/>
  <c r="G1740"/>
  <c r="E1740"/>
  <c r="D1740"/>
  <c r="C1740"/>
  <c r="F1735"/>
  <c r="F1734"/>
  <c r="G1734"/>
  <c r="E1734"/>
  <c r="D1734"/>
  <c r="C1734"/>
  <c r="F1733"/>
  <c r="F1732"/>
  <c r="F1731"/>
  <c r="G1731"/>
  <c r="E1731"/>
  <c r="D1731"/>
  <c r="C1731"/>
  <c r="F1730"/>
  <c r="F1729"/>
  <c r="G1729"/>
  <c r="E1729"/>
  <c r="D1729"/>
  <c r="C1729"/>
  <c r="F1728"/>
  <c r="F1727"/>
  <c r="G1727"/>
  <c r="E1727"/>
  <c r="D1727"/>
  <c r="C1727"/>
  <c r="F1726"/>
  <c r="F1725"/>
  <c r="G1725"/>
  <c r="E1725"/>
  <c r="D1725"/>
  <c r="C1725"/>
  <c r="F1724"/>
  <c r="G1733"/>
  <c r="E1733"/>
  <c r="D1733"/>
  <c r="C1733"/>
  <c r="G1732"/>
  <c r="E1732"/>
  <c r="D1732"/>
  <c r="C1732"/>
  <c r="G1730"/>
  <c r="E1730"/>
  <c r="D1730"/>
  <c r="C1730"/>
  <c r="G1735"/>
  <c r="E1735"/>
  <c r="D1735"/>
  <c r="C1735"/>
  <c r="G1728"/>
  <c r="E1728"/>
  <c r="D1728"/>
  <c r="C1728"/>
  <c r="G1726"/>
  <c r="E1726"/>
  <c r="D1726"/>
  <c r="C1726"/>
  <c r="G1724"/>
  <c r="E1724"/>
  <c r="D1724"/>
  <c r="C1724"/>
  <c r="F1719"/>
  <c r="F1718"/>
  <c r="F1717"/>
  <c r="F1716"/>
  <c r="G1718"/>
  <c r="E1718"/>
  <c r="D1718"/>
  <c r="C1718"/>
  <c r="G1717"/>
  <c r="E1717"/>
  <c r="D1717"/>
  <c r="C1717"/>
  <c r="G1719"/>
  <c r="H1719" s="1"/>
  <c r="E1719"/>
  <c r="D1719"/>
  <c r="C1719"/>
  <c r="G1716"/>
  <c r="E1716"/>
  <c r="D1716"/>
  <c r="C1716"/>
  <c r="F1711"/>
  <c r="F1710"/>
  <c r="G1711"/>
  <c r="E1711"/>
  <c r="D1711"/>
  <c r="C1711"/>
  <c r="G1710"/>
  <c r="E1710"/>
  <c r="D1710"/>
  <c r="C1710"/>
  <c r="E1706"/>
  <c r="D1706"/>
  <c r="C1706"/>
  <c r="E1705"/>
  <c r="D1705"/>
  <c r="C1705"/>
  <c r="F426" i="34"/>
  <c r="F425"/>
  <c r="G426"/>
  <c r="E426"/>
  <c r="D426"/>
  <c r="C426"/>
  <c r="G425"/>
  <c r="E425"/>
  <c r="D425"/>
  <c r="C425"/>
  <c r="E1704" i="15"/>
  <c r="D1704"/>
  <c r="C1704"/>
  <c r="F421" i="34"/>
  <c r="G420"/>
  <c r="C420"/>
  <c r="D420"/>
  <c r="E420"/>
  <c r="E421"/>
  <c r="D421"/>
  <c r="C421"/>
  <c r="B421"/>
  <c r="G419"/>
  <c r="H419" s="1"/>
  <c r="E419"/>
  <c r="D419"/>
  <c r="C419"/>
  <c r="G418"/>
  <c r="H418" s="1"/>
  <c r="E418"/>
  <c r="D418"/>
  <c r="C418"/>
  <c r="G417"/>
  <c r="H417" s="1"/>
  <c r="E417"/>
  <c r="D417"/>
  <c r="C417"/>
  <c r="G416"/>
  <c r="H416" s="1"/>
  <c r="E416"/>
  <c r="D416"/>
  <c r="C416"/>
  <c r="G415"/>
  <c r="H415" s="1"/>
  <c r="E415"/>
  <c r="D415"/>
  <c r="C415"/>
  <c r="G414"/>
  <c r="H414" s="1"/>
  <c r="E414"/>
  <c r="D414"/>
  <c r="C414"/>
  <c r="G413"/>
  <c r="H413" s="1"/>
  <c r="E413"/>
  <c r="D413"/>
  <c r="C413"/>
  <c r="G412"/>
  <c r="H412" s="1"/>
  <c r="E412"/>
  <c r="D412"/>
  <c r="C412"/>
  <c r="G411"/>
  <c r="H411" s="1"/>
  <c r="E411"/>
  <c r="D411"/>
  <c r="C411"/>
  <c r="G410"/>
  <c r="H410" s="1"/>
  <c r="E410"/>
  <c r="D410"/>
  <c r="C410"/>
  <c r="E1703" i="15"/>
  <c r="D1703"/>
  <c r="C1703"/>
  <c r="F405" i="34"/>
  <c r="G405"/>
  <c r="E405"/>
  <c r="D405"/>
  <c r="C405"/>
  <c r="E1702" i="15"/>
  <c r="D1702"/>
  <c r="C1702"/>
  <c r="E395" i="34"/>
  <c r="D395"/>
  <c r="C395"/>
  <c r="B395"/>
  <c r="F401"/>
  <c r="F400"/>
  <c r="F399"/>
  <c r="G400"/>
  <c r="E400"/>
  <c r="D400"/>
  <c r="C400"/>
  <c r="G401"/>
  <c r="E401"/>
  <c r="D401"/>
  <c r="C401"/>
  <c r="G399"/>
  <c r="E399"/>
  <c r="D399"/>
  <c r="C399"/>
  <c r="E394"/>
  <c r="D394"/>
  <c r="C394"/>
  <c r="B394"/>
  <c r="F393"/>
  <c r="G393"/>
  <c r="E393"/>
  <c r="D393"/>
  <c r="C393"/>
  <c r="E1701" i="15"/>
  <c r="D1701"/>
  <c r="C1701"/>
  <c r="F388" i="34"/>
  <c r="E388"/>
  <c r="D388"/>
  <c r="C388"/>
  <c r="B388"/>
  <c r="F384"/>
  <c r="F383"/>
  <c r="F382"/>
  <c r="G382"/>
  <c r="E382"/>
  <c r="D382"/>
  <c r="C382"/>
  <c r="F381"/>
  <c r="F380"/>
  <c r="G380"/>
  <c r="E380"/>
  <c r="D380"/>
  <c r="C380"/>
  <c r="F379"/>
  <c r="F378"/>
  <c r="G387"/>
  <c r="H387" s="1"/>
  <c r="E387"/>
  <c r="D387"/>
  <c r="C387"/>
  <c r="G386"/>
  <c r="H386" s="1"/>
  <c r="E386"/>
  <c r="D386"/>
  <c r="C386"/>
  <c r="G385"/>
  <c r="H385" s="1"/>
  <c r="E385"/>
  <c r="D385"/>
  <c r="C385"/>
  <c r="G384"/>
  <c r="E384"/>
  <c r="D384"/>
  <c r="C384"/>
  <c r="E389"/>
  <c r="D389"/>
  <c r="C389"/>
  <c r="B389"/>
  <c r="G383"/>
  <c r="E383"/>
  <c r="D383"/>
  <c r="C383"/>
  <c r="G381"/>
  <c r="H381" s="1"/>
  <c r="E381"/>
  <c r="D381"/>
  <c r="C381"/>
  <c r="G379"/>
  <c r="E379"/>
  <c r="D379"/>
  <c r="C379"/>
  <c r="G378"/>
  <c r="E378"/>
  <c r="D378"/>
  <c r="C378"/>
  <c r="E221" i="15"/>
  <c r="D221"/>
  <c r="C221"/>
  <c r="E181" i="34"/>
  <c r="D181"/>
  <c r="C181"/>
  <c r="B181"/>
  <c r="G180"/>
  <c r="H180" s="1"/>
  <c r="E180"/>
  <c r="D180"/>
  <c r="C180"/>
  <c r="G179"/>
  <c r="H179" s="1"/>
  <c r="E179"/>
  <c r="D179"/>
  <c r="C179"/>
  <c r="G178"/>
  <c r="H178" s="1"/>
  <c r="E178"/>
  <c r="D178"/>
  <c r="C178"/>
  <c r="G177"/>
  <c r="H177" s="1"/>
  <c r="E177"/>
  <c r="D177"/>
  <c r="C177"/>
  <c r="F1697" i="15"/>
  <c r="G1697"/>
  <c r="E1697"/>
  <c r="D1697"/>
  <c r="C1697"/>
  <c r="E1693"/>
  <c r="D1693"/>
  <c r="C1693"/>
  <c r="F374" i="34"/>
  <c r="F373"/>
  <c r="G374"/>
  <c r="E374"/>
  <c r="D374"/>
  <c r="C374"/>
  <c r="G373"/>
  <c r="E373"/>
  <c r="D373"/>
  <c r="C373"/>
  <c r="F1691" i="15"/>
  <c r="F1690"/>
  <c r="F1689"/>
  <c r="F1688"/>
  <c r="G1692"/>
  <c r="H1692" s="1"/>
  <c r="C1692"/>
  <c r="D1692"/>
  <c r="E1692"/>
  <c r="G1690"/>
  <c r="E1690"/>
  <c r="D1690"/>
  <c r="C1690"/>
  <c r="G1691"/>
  <c r="H1691" s="1"/>
  <c r="E1691"/>
  <c r="D1691"/>
  <c r="C1691"/>
  <c r="G1689"/>
  <c r="E1689"/>
  <c r="D1689"/>
  <c r="C1689"/>
  <c r="G1688"/>
  <c r="E1688"/>
  <c r="D1688"/>
  <c r="C1688"/>
  <c r="F1682"/>
  <c r="F1681"/>
  <c r="F1680"/>
  <c r="F1679"/>
  <c r="E1684"/>
  <c r="D1684"/>
  <c r="C1684"/>
  <c r="E1683"/>
  <c r="D1683"/>
  <c r="C1683"/>
  <c r="G1682"/>
  <c r="E1682"/>
  <c r="D1682"/>
  <c r="C1682"/>
  <c r="G1681"/>
  <c r="E1681"/>
  <c r="D1681"/>
  <c r="C1681"/>
  <c r="G1680"/>
  <c r="E1680"/>
  <c r="D1680"/>
  <c r="C1680"/>
  <c r="G1679"/>
  <c r="E1679"/>
  <c r="D1679"/>
  <c r="C1679"/>
  <c r="F1672"/>
  <c r="F1671"/>
  <c r="F1669"/>
  <c r="F1670"/>
  <c r="F1668"/>
  <c r="E1675"/>
  <c r="D1675"/>
  <c r="C1675"/>
  <c r="G1674"/>
  <c r="H1674" s="1"/>
  <c r="E1674"/>
  <c r="D1674"/>
  <c r="C1674"/>
  <c r="G1673"/>
  <c r="H1673" s="1"/>
  <c r="E1673"/>
  <c r="D1673"/>
  <c r="C1673"/>
  <c r="G1672"/>
  <c r="E1672"/>
  <c r="D1672"/>
  <c r="C1672"/>
  <c r="G1671"/>
  <c r="E1671"/>
  <c r="D1671"/>
  <c r="C1671"/>
  <c r="G1670"/>
  <c r="E1670"/>
  <c r="D1670"/>
  <c r="C1670"/>
  <c r="G1669"/>
  <c r="E1669"/>
  <c r="D1669"/>
  <c r="C1669"/>
  <c r="G1668"/>
  <c r="E1668"/>
  <c r="D1668"/>
  <c r="C1668"/>
  <c r="F1662"/>
  <c r="F1661"/>
  <c r="E1663"/>
  <c r="D1663"/>
  <c r="C1663"/>
  <c r="F332" i="34"/>
  <c r="F331"/>
  <c r="F330"/>
  <c r="F329"/>
  <c r="E339"/>
  <c r="D339"/>
  <c r="C339"/>
  <c r="B339"/>
  <c r="F364"/>
  <c r="F365"/>
  <c r="F366"/>
  <c r="F367"/>
  <c r="F363"/>
  <c r="C369"/>
  <c r="D369"/>
  <c r="E369"/>
  <c r="B369"/>
  <c r="G368"/>
  <c r="H368" s="1"/>
  <c r="E368"/>
  <c r="D368"/>
  <c r="C368"/>
  <c r="G367"/>
  <c r="E367"/>
  <c r="D367"/>
  <c r="C367"/>
  <c r="G366"/>
  <c r="E366"/>
  <c r="D366"/>
  <c r="C366"/>
  <c r="G365"/>
  <c r="H365" s="1"/>
  <c r="E365"/>
  <c r="D365"/>
  <c r="C365"/>
  <c r="G364"/>
  <c r="E364"/>
  <c r="D364"/>
  <c r="C364"/>
  <c r="G363"/>
  <c r="E363"/>
  <c r="D363"/>
  <c r="C363"/>
  <c r="E341"/>
  <c r="D341"/>
  <c r="C341"/>
  <c r="B341"/>
  <c r="E340"/>
  <c r="D340"/>
  <c r="C340"/>
  <c r="B340"/>
  <c r="F336"/>
  <c r="F335"/>
  <c r="F334"/>
  <c r="F333"/>
  <c r="G338"/>
  <c r="H338" s="1"/>
  <c r="E338"/>
  <c r="D338"/>
  <c r="C338"/>
  <c r="G337"/>
  <c r="H337" s="1"/>
  <c r="E337"/>
  <c r="D337"/>
  <c r="C337"/>
  <c r="G336"/>
  <c r="H336" s="1"/>
  <c r="E336"/>
  <c r="D336"/>
  <c r="C336"/>
  <c r="G335"/>
  <c r="E335"/>
  <c r="D335"/>
  <c r="C335"/>
  <c r="G334"/>
  <c r="E334"/>
  <c r="D334"/>
  <c r="C334"/>
  <c r="G333"/>
  <c r="E333"/>
  <c r="D333"/>
  <c r="C333"/>
  <c r="G332"/>
  <c r="E332"/>
  <c r="D332"/>
  <c r="C332"/>
  <c r="G331"/>
  <c r="E331"/>
  <c r="D331"/>
  <c r="C331"/>
  <c r="G330"/>
  <c r="E330"/>
  <c r="D330"/>
  <c r="C330"/>
  <c r="G329"/>
  <c r="E329"/>
  <c r="D329"/>
  <c r="C329"/>
  <c r="F1660" i="15"/>
  <c r="F1659"/>
  <c r="E1664"/>
  <c r="D1664"/>
  <c r="C1664"/>
  <c r="G1662"/>
  <c r="E1662"/>
  <c r="D1662"/>
  <c r="C1662"/>
  <c r="G1661"/>
  <c r="E1661"/>
  <c r="D1661"/>
  <c r="C1661"/>
  <c r="G1660"/>
  <c r="E1660"/>
  <c r="D1660"/>
  <c r="C1660"/>
  <c r="G1659"/>
  <c r="E1659"/>
  <c r="D1659"/>
  <c r="C1659"/>
  <c r="H379" i="34" l="1"/>
  <c r="H383"/>
  <c r="H378"/>
  <c r="H382"/>
  <c r="H384"/>
  <c r="H380"/>
  <c r="G524"/>
  <c r="G161"/>
  <c r="H161" s="1"/>
  <c r="H157" s="1"/>
  <c r="G1909" i="15"/>
  <c r="H1909" s="1"/>
  <c r="H1898" s="1"/>
  <c r="H1583"/>
  <c r="H1594"/>
  <c r="H1883"/>
  <c r="H1873"/>
  <c r="G1809"/>
  <c r="H1809" s="1"/>
  <c r="H1806" s="1"/>
  <c r="H1759"/>
  <c r="H466" i="34"/>
  <c r="H468"/>
  <c r="H485"/>
  <c r="G1777" i="15" s="1"/>
  <c r="H1777" s="1"/>
  <c r="H467" i="34"/>
  <c r="H1726" i="15"/>
  <c r="G1773"/>
  <c r="H1773" s="1"/>
  <c r="H478" i="34"/>
  <c r="H462"/>
  <c r="H465"/>
  <c r="H464"/>
  <c r="H463"/>
  <c r="H458"/>
  <c r="H457"/>
  <c r="H1758" i="15"/>
  <c r="H1757"/>
  <c r="H453" i="34"/>
  <c r="H452" s="1"/>
  <c r="H433"/>
  <c r="H447"/>
  <c r="H430"/>
  <c r="H434"/>
  <c r="H436"/>
  <c r="H435"/>
  <c r="H431"/>
  <c r="H1717" i="15"/>
  <c r="H1747"/>
  <c r="H1729"/>
  <c r="H1748"/>
  <c r="H1749"/>
  <c r="H1711"/>
  <c r="H1728"/>
  <c r="H1668"/>
  <c r="H1669"/>
  <c r="H1718"/>
  <c r="H1740"/>
  <c r="H1735"/>
  <c r="H1734"/>
  <c r="H1733"/>
  <c r="H1732"/>
  <c r="H1731"/>
  <c r="H1730"/>
  <c r="H1727"/>
  <c r="H1725"/>
  <c r="H1724"/>
  <c r="H1716"/>
  <c r="H1680"/>
  <c r="H1710"/>
  <c r="H1672"/>
  <c r="H426" i="34"/>
  <c r="H366"/>
  <c r="H425"/>
  <c r="H405"/>
  <c r="H401"/>
  <c r="H400"/>
  <c r="H399"/>
  <c r="H374"/>
  <c r="H393"/>
  <c r="H364"/>
  <c r="H373"/>
  <c r="H1690" i="15"/>
  <c r="H1697"/>
  <c r="H1696" s="1"/>
  <c r="H1670"/>
  <c r="H335" i="34"/>
  <c r="H1689" i="15"/>
  <c r="H1688"/>
  <c r="H1681"/>
  <c r="H1682"/>
  <c r="H1679"/>
  <c r="H1671"/>
  <c r="H1662"/>
  <c r="H1661"/>
  <c r="H330" i="34"/>
  <c r="H367"/>
  <c r="H363"/>
  <c r="H332"/>
  <c r="H334"/>
  <c r="H333"/>
  <c r="H331"/>
  <c r="H329"/>
  <c r="H1660" i="15"/>
  <c r="H1659"/>
  <c r="B527" i="34"/>
  <c r="E1626" i="15"/>
  <c r="D1626"/>
  <c r="C1626"/>
  <c r="F325" i="34"/>
  <c r="F324"/>
  <c r="L242" i="18"/>
  <c r="G325" i="34"/>
  <c r="E325"/>
  <c r="D325"/>
  <c r="C325"/>
  <c r="G324"/>
  <c r="E324"/>
  <c r="D324"/>
  <c r="C324"/>
  <c r="E210"/>
  <c r="D210"/>
  <c r="C210"/>
  <c r="B210"/>
  <c r="E1960" i="15"/>
  <c r="D1960"/>
  <c r="C1960"/>
  <c r="E1572"/>
  <c r="D1572"/>
  <c r="C1572"/>
  <c r="E1450"/>
  <c r="D1450"/>
  <c r="C1450"/>
  <c r="F320" i="34"/>
  <c r="F319"/>
  <c r="G320"/>
  <c r="E320"/>
  <c r="D320"/>
  <c r="C320"/>
  <c r="G319"/>
  <c r="E319"/>
  <c r="D319"/>
  <c r="C319"/>
  <c r="E1005" i="15"/>
  <c r="D1005"/>
  <c r="C1005"/>
  <c r="E992"/>
  <c r="D992"/>
  <c r="C992"/>
  <c r="E979"/>
  <c r="D979"/>
  <c r="C979"/>
  <c r="E966"/>
  <c r="D966"/>
  <c r="C966"/>
  <c r="E953"/>
  <c r="D953"/>
  <c r="C953"/>
  <c r="E940"/>
  <c r="D940"/>
  <c r="C940"/>
  <c r="E927"/>
  <c r="D927"/>
  <c r="C927"/>
  <c r="E914"/>
  <c r="D914"/>
  <c r="C914"/>
  <c r="F315" i="34"/>
  <c r="G315"/>
  <c r="E315"/>
  <c r="D315"/>
  <c r="C315"/>
  <c r="F314"/>
  <c r="G314"/>
  <c r="E314"/>
  <c r="D314"/>
  <c r="C314"/>
  <c r="E582" i="15"/>
  <c r="D582"/>
  <c r="C582"/>
  <c r="F310" i="34"/>
  <c r="G310"/>
  <c r="E310"/>
  <c r="D310"/>
  <c r="C310"/>
  <c r="E273"/>
  <c r="D273"/>
  <c r="C273"/>
  <c r="B273"/>
  <c r="E195"/>
  <c r="D195"/>
  <c r="C195"/>
  <c r="B195"/>
  <c r="E581" i="15"/>
  <c r="D581"/>
  <c r="C581"/>
  <c r="F300" i="34"/>
  <c r="G300"/>
  <c r="E300"/>
  <c r="D300"/>
  <c r="C300"/>
  <c r="F299"/>
  <c r="G299"/>
  <c r="E299"/>
  <c r="D299"/>
  <c r="C299"/>
  <c r="E842" i="15"/>
  <c r="D842"/>
  <c r="C842"/>
  <c r="E823"/>
  <c r="D823"/>
  <c r="C823"/>
  <c r="E736"/>
  <c r="D736"/>
  <c r="C736"/>
  <c r="E539"/>
  <c r="D539"/>
  <c r="C539"/>
  <c r="F295" i="34"/>
  <c r="F294"/>
  <c r="G295"/>
  <c r="E295"/>
  <c r="D295"/>
  <c r="C295"/>
  <c r="G294"/>
  <c r="E294"/>
  <c r="D294"/>
  <c r="C294"/>
  <c r="H372" l="1"/>
  <c r="G1950" i="15" s="1"/>
  <c r="H1950" s="1"/>
  <c r="G366"/>
  <c r="G372"/>
  <c r="H372" s="1"/>
  <c r="H1768"/>
  <c r="G406" i="34"/>
  <c r="H406" s="1"/>
  <c r="H404" s="1"/>
  <c r="G1720" i="15"/>
  <c r="H1720" s="1"/>
  <c r="H1715" s="1"/>
  <c r="G1712"/>
  <c r="H1712" s="1"/>
  <c r="H1709" s="1"/>
  <c r="G1736"/>
  <c r="H1736" s="1"/>
  <c r="H1723" s="1"/>
  <c r="H456" i="34"/>
  <c r="G1753" i="15"/>
  <c r="H1753" s="1"/>
  <c r="H398" i="34"/>
  <c r="G395" s="1"/>
  <c r="H324"/>
  <c r="H325"/>
  <c r="H310"/>
  <c r="H309" s="1"/>
  <c r="G582" i="15" s="1"/>
  <c r="H299" i="34"/>
  <c r="H320"/>
  <c r="H319"/>
  <c r="H315"/>
  <c r="H314"/>
  <c r="H295"/>
  <c r="H294"/>
  <c r="H300"/>
  <c r="G1053" i="15"/>
  <c r="H1053" s="1"/>
  <c r="H1052" s="1"/>
  <c r="E1053"/>
  <c r="D1053"/>
  <c r="C1053"/>
  <c r="G1926" l="1"/>
  <c r="H1926" s="1"/>
  <c r="G1693"/>
  <c r="G1703"/>
  <c r="H1703" s="1"/>
  <c r="G1752"/>
  <c r="H1752" s="1"/>
  <c r="G1764"/>
  <c r="H1764" s="1"/>
  <c r="H323" i="34"/>
  <c r="G1626" i="15" s="1"/>
  <c r="H298" i="34"/>
  <c r="G1076" i="15" s="1"/>
  <c r="H1076" s="1"/>
  <c r="H293" i="34"/>
  <c r="H318"/>
  <c r="H313"/>
  <c r="G966" i="15" s="1"/>
  <c r="H966" s="1"/>
  <c r="K196" i="18"/>
  <c r="G1895" i="15" l="1"/>
  <c r="H1895" s="1"/>
  <c r="H1888" s="1"/>
  <c r="G1580"/>
  <c r="H1580" s="1"/>
  <c r="H1575" s="1"/>
  <c r="G512" i="34"/>
  <c r="H512" s="1"/>
  <c r="G495"/>
  <c r="H495" s="1"/>
  <c r="G1797" i="15"/>
  <c r="H1797" s="1"/>
  <c r="G1787"/>
  <c r="H1787" s="1"/>
  <c r="G473" i="34"/>
  <c r="H473" s="1"/>
  <c r="H420"/>
  <c r="G442"/>
  <c r="H442" s="1"/>
  <c r="G1743" i="15"/>
  <c r="H1743" s="1"/>
  <c r="H1739" s="1"/>
  <c r="G388" i="34"/>
  <c r="H388" s="1"/>
  <c r="G195"/>
  <c r="H195" s="1"/>
  <c r="G581" i="15"/>
  <c r="G273" i="34"/>
  <c r="H273" s="1"/>
  <c r="G823" i="15"/>
  <c r="H823" s="1"/>
  <c r="G539"/>
  <c r="G927"/>
  <c r="H927" s="1"/>
  <c r="G842"/>
  <c r="H842" s="1"/>
  <c r="G736"/>
  <c r="H736" s="1"/>
  <c r="G953"/>
  <c r="H953" s="1"/>
  <c r="G1005"/>
  <c r="H1005" s="1"/>
  <c r="G979"/>
  <c r="H979" s="1"/>
  <c r="G210" i="34"/>
  <c r="H210" s="1"/>
  <c r="G1450" i="15"/>
  <c r="G1960"/>
  <c r="H1960" s="1"/>
  <c r="G1572"/>
  <c r="H1572" s="1"/>
  <c r="G940"/>
  <c r="H940" s="1"/>
  <c r="G914"/>
  <c r="G992"/>
  <c r="H992" s="1"/>
  <c r="E506"/>
  <c r="D506"/>
  <c r="C506"/>
  <c r="E487"/>
  <c r="D487"/>
  <c r="C487"/>
  <c r="E468"/>
  <c r="D468"/>
  <c r="C468"/>
  <c r="E449"/>
  <c r="D449"/>
  <c r="C449"/>
  <c r="F290" i="34"/>
  <c r="F289"/>
  <c r="F288"/>
  <c r="F287"/>
  <c r="G288"/>
  <c r="E288"/>
  <c r="D288"/>
  <c r="C288"/>
  <c r="E1655" i="15"/>
  <c r="D1655"/>
  <c r="C1655"/>
  <c r="E1036"/>
  <c r="D1036"/>
  <c r="C1036"/>
  <c r="E889"/>
  <c r="D889"/>
  <c r="C889"/>
  <c r="E547"/>
  <c r="D547"/>
  <c r="C547"/>
  <c r="G289" i="34"/>
  <c r="E289"/>
  <c r="D289"/>
  <c r="C289"/>
  <c r="G290"/>
  <c r="H290" s="1"/>
  <c r="E290"/>
  <c r="D290"/>
  <c r="C290"/>
  <c r="G287"/>
  <c r="E287"/>
  <c r="D287"/>
  <c r="C287"/>
  <c r="E272"/>
  <c r="D272"/>
  <c r="C272"/>
  <c r="B272"/>
  <c r="E232"/>
  <c r="D232"/>
  <c r="C232"/>
  <c r="B232"/>
  <c r="E194"/>
  <c r="D194"/>
  <c r="C194"/>
  <c r="B194"/>
  <c r="E173"/>
  <c r="D173"/>
  <c r="C173"/>
  <c r="B173"/>
  <c r="E147"/>
  <c r="D147"/>
  <c r="C147"/>
  <c r="B147"/>
  <c r="E123"/>
  <c r="D123"/>
  <c r="C123"/>
  <c r="B123"/>
  <c r="E63"/>
  <c r="D63"/>
  <c r="C63"/>
  <c r="B63"/>
  <c r="E41"/>
  <c r="D41"/>
  <c r="C41"/>
  <c r="B41"/>
  <c r="E1609" i="15"/>
  <c r="D1609"/>
  <c r="C1609"/>
  <c r="E1550"/>
  <c r="D1550"/>
  <c r="C1550"/>
  <c r="E1535"/>
  <c r="D1535"/>
  <c r="C1535"/>
  <c r="E1527"/>
  <c r="D1527"/>
  <c r="C1527"/>
  <c r="E847"/>
  <c r="D847"/>
  <c r="C847"/>
  <c r="E808"/>
  <c r="D808"/>
  <c r="C808"/>
  <c r="E797"/>
  <c r="D797"/>
  <c r="C797"/>
  <c r="E775"/>
  <c r="D775"/>
  <c r="C775"/>
  <c r="E764"/>
  <c r="D764"/>
  <c r="C764"/>
  <c r="E756"/>
  <c r="D756"/>
  <c r="C756"/>
  <c r="E745"/>
  <c r="D745"/>
  <c r="C745"/>
  <c r="E695"/>
  <c r="D695"/>
  <c r="C695"/>
  <c r="E651"/>
  <c r="D651"/>
  <c r="C651"/>
  <c r="E603"/>
  <c r="D603"/>
  <c r="C603"/>
  <c r="E580"/>
  <c r="D580"/>
  <c r="C580"/>
  <c r="E505"/>
  <c r="D505"/>
  <c r="C505"/>
  <c r="E486"/>
  <c r="D486"/>
  <c r="C486"/>
  <c r="E467"/>
  <c r="D467"/>
  <c r="C467"/>
  <c r="E448"/>
  <c r="D448"/>
  <c r="C448"/>
  <c r="E430"/>
  <c r="D430"/>
  <c r="C430"/>
  <c r="F283" i="34"/>
  <c r="F282"/>
  <c r="G283"/>
  <c r="E283"/>
  <c r="D283"/>
  <c r="C283"/>
  <c r="G282"/>
  <c r="E282"/>
  <c r="D282"/>
  <c r="C282"/>
  <c r="F302" i="18"/>
  <c r="C522" i="16"/>
  <c r="F278" i="34"/>
  <c r="F277"/>
  <c r="G278"/>
  <c r="E278"/>
  <c r="D278"/>
  <c r="C278"/>
  <c r="G277"/>
  <c r="E277"/>
  <c r="D277"/>
  <c r="C277"/>
  <c r="F1649" i="15"/>
  <c r="F1648"/>
  <c r="F1647"/>
  <c r="F1646"/>
  <c r="F1645"/>
  <c r="G1646"/>
  <c r="E1646"/>
  <c r="D1646"/>
  <c r="C1646"/>
  <c r="C1645"/>
  <c r="G1654"/>
  <c r="H1654" s="1"/>
  <c r="E1654"/>
  <c r="D1654"/>
  <c r="C1654"/>
  <c r="G1653"/>
  <c r="H1653" s="1"/>
  <c r="E1653"/>
  <c r="D1653"/>
  <c r="C1653"/>
  <c r="G1652"/>
  <c r="H1652" s="1"/>
  <c r="E1652"/>
  <c r="D1652"/>
  <c r="C1652"/>
  <c r="G1651"/>
  <c r="H1651" s="1"/>
  <c r="E1651"/>
  <c r="D1651"/>
  <c r="C1651"/>
  <c r="G1650"/>
  <c r="H1650" s="1"/>
  <c r="E1650"/>
  <c r="D1650"/>
  <c r="C1650"/>
  <c r="G1649"/>
  <c r="E1649"/>
  <c r="D1649"/>
  <c r="C1649"/>
  <c r="G1648"/>
  <c r="E1648"/>
  <c r="D1648"/>
  <c r="C1648"/>
  <c r="G1647"/>
  <c r="E1647"/>
  <c r="D1647"/>
  <c r="C1647"/>
  <c r="G1645"/>
  <c r="E1645"/>
  <c r="D1645"/>
  <c r="F1640"/>
  <c r="F1639"/>
  <c r="F1638"/>
  <c r="F1637"/>
  <c r="F1636"/>
  <c r="F1635"/>
  <c r="F1634"/>
  <c r="G1639"/>
  <c r="E1639"/>
  <c r="D1639"/>
  <c r="C1639"/>
  <c r="G1637"/>
  <c r="E1637"/>
  <c r="D1637"/>
  <c r="C1637"/>
  <c r="C1640"/>
  <c r="D1640"/>
  <c r="E1640"/>
  <c r="G1640"/>
  <c r="G1638"/>
  <c r="E1638"/>
  <c r="D1638"/>
  <c r="C1638"/>
  <c r="G1636"/>
  <c r="E1636"/>
  <c r="D1636"/>
  <c r="C1636"/>
  <c r="G1635"/>
  <c r="E1635"/>
  <c r="D1635"/>
  <c r="C1635"/>
  <c r="G1634"/>
  <c r="E1634"/>
  <c r="D1634"/>
  <c r="C1634"/>
  <c r="F1630"/>
  <c r="G1630"/>
  <c r="E1630"/>
  <c r="D1630"/>
  <c r="C1630"/>
  <c r="E1625"/>
  <c r="D1625"/>
  <c r="C1625"/>
  <c r="G302" i="18"/>
  <c r="E302"/>
  <c r="D302"/>
  <c r="K301"/>
  <c r="G271" i="34"/>
  <c r="H271" s="1"/>
  <c r="E271"/>
  <c r="D271"/>
  <c r="C271"/>
  <c r="G270"/>
  <c r="H270" s="1"/>
  <c r="E270"/>
  <c r="D270"/>
  <c r="C270"/>
  <c r="F268"/>
  <c r="F267"/>
  <c r="F266"/>
  <c r="F265"/>
  <c r="F264"/>
  <c r="G264"/>
  <c r="E264"/>
  <c r="D264"/>
  <c r="C264"/>
  <c r="F263"/>
  <c r="F262"/>
  <c r="G263"/>
  <c r="E263"/>
  <c r="D263"/>
  <c r="C263"/>
  <c r="G267"/>
  <c r="E267"/>
  <c r="D267"/>
  <c r="C267"/>
  <c r="G266"/>
  <c r="E266"/>
  <c r="D266"/>
  <c r="C266"/>
  <c r="G269"/>
  <c r="H269" s="1"/>
  <c r="E269"/>
  <c r="D269"/>
  <c r="C269"/>
  <c r="G268"/>
  <c r="E268"/>
  <c r="D268"/>
  <c r="C268"/>
  <c r="G265"/>
  <c r="H265" s="1"/>
  <c r="E265"/>
  <c r="D265"/>
  <c r="C265"/>
  <c r="G262"/>
  <c r="E262"/>
  <c r="D262"/>
  <c r="C262"/>
  <c r="F1623" i="15"/>
  <c r="F1622"/>
  <c r="F1621"/>
  <c r="G1622"/>
  <c r="E1622"/>
  <c r="D1622"/>
  <c r="C1622"/>
  <c r="F1620"/>
  <c r="F1619"/>
  <c r="G1620"/>
  <c r="E1620"/>
  <c r="D1620"/>
  <c r="C1620"/>
  <c r="F1618"/>
  <c r="G1618"/>
  <c r="E1618"/>
  <c r="D1618"/>
  <c r="C1618"/>
  <c r="F1617"/>
  <c r="F1616"/>
  <c r="G1616"/>
  <c r="E1616"/>
  <c r="D1616"/>
  <c r="C1616"/>
  <c r="F1615"/>
  <c r="F1614"/>
  <c r="F1613"/>
  <c r="G1614"/>
  <c r="E1614"/>
  <c r="D1614"/>
  <c r="C1614"/>
  <c r="G1623"/>
  <c r="E1623"/>
  <c r="D1623"/>
  <c r="C1623"/>
  <c r="G1621"/>
  <c r="E1621"/>
  <c r="D1621"/>
  <c r="C1621"/>
  <c r="H1626"/>
  <c r="G1619"/>
  <c r="E1619"/>
  <c r="D1619"/>
  <c r="C1619"/>
  <c r="G1617"/>
  <c r="E1617"/>
  <c r="D1617"/>
  <c r="C1617"/>
  <c r="G1615"/>
  <c r="E1615"/>
  <c r="D1615"/>
  <c r="C1615"/>
  <c r="G1613"/>
  <c r="E1613"/>
  <c r="D1613"/>
  <c r="C1613"/>
  <c r="H264" i="34" l="1"/>
  <c r="H287"/>
  <c r="H282"/>
  <c r="H289"/>
  <c r="H288"/>
  <c r="H1645" i="15"/>
  <c r="H283" i="34"/>
  <c r="H277"/>
  <c r="H524" i="16"/>
  <c r="H1648" i="15"/>
  <c r="H278" i="34"/>
  <c r="H1613" i="15"/>
  <c r="H1646"/>
  <c r="H1649"/>
  <c r="H1647"/>
  <c r="H1639"/>
  <c r="H1636"/>
  <c r="H1638"/>
  <c r="H1623"/>
  <c r="H1640"/>
  <c r="H1637"/>
  <c r="H1635"/>
  <c r="H1634"/>
  <c r="H1615"/>
  <c r="H1630"/>
  <c r="H1629" s="1"/>
  <c r="H268" i="34"/>
  <c r="H267"/>
  <c r="H266"/>
  <c r="H263"/>
  <c r="H262"/>
  <c r="H1622" i="15"/>
  <c r="H1621"/>
  <c r="H1620"/>
  <c r="H1619"/>
  <c r="H1618"/>
  <c r="H1617"/>
  <c r="H1616"/>
  <c r="H1614"/>
  <c r="G1641" l="1"/>
  <c r="H1641" s="1"/>
  <c r="H1633" s="1"/>
  <c r="G1624"/>
  <c r="H1624" s="1"/>
  <c r="H281" i="34"/>
  <c r="H286"/>
  <c r="H276"/>
  <c r="J524" i="16"/>
  <c r="I524"/>
  <c r="G1099" i="15" l="1"/>
  <c r="H1099" s="1"/>
  <c r="H1094" s="1"/>
  <c r="G191" i="18" s="1"/>
  <c r="G1075" i="15"/>
  <c r="H1075" s="1"/>
  <c r="H1064" s="1"/>
  <c r="G190" i="18" s="1"/>
  <c r="G244" i="34"/>
  <c r="H244" s="1"/>
  <c r="G358"/>
  <c r="H358" s="1"/>
  <c r="G1952" i="15"/>
  <c r="H1952" s="1"/>
  <c r="G1267"/>
  <c r="H1267" s="1"/>
  <c r="H1258" s="1"/>
  <c r="G1951"/>
  <c r="H1951" s="1"/>
  <c r="G359" i="34"/>
  <c r="H359" s="1"/>
  <c r="G513"/>
  <c r="H513" s="1"/>
  <c r="H498" s="1"/>
  <c r="H516" s="1"/>
  <c r="G1928" i="15"/>
  <c r="H1928" s="1"/>
  <c r="G1863"/>
  <c r="H1863" s="1"/>
  <c r="G1862"/>
  <c r="H1862" s="1"/>
  <c r="G1842"/>
  <c r="H1842" s="1"/>
  <c r="H1838" s="1"/>
  <c r="G1937"/>
  <c r="H1937" s="1"/>
  <c r="G1927"/>
  <c r="H1927" s="1"/>
  <c r="G1870"/>
  <c r="H1870" s="1"/>
  <c r="H1866" s="1"/>
  <c r="G1848"/>
  <c r="H1848" s="1"/>
  <c r="H1845" s="1"/>
  <c r="G1786"/>
  <c r="H1786" s="1"/>
  <c r="H1780" s="1"/>
  <c r="G1803"/>
  <c r="H1803" s="1"/>
  <c r="H1800" s="1"/>
  <c r="G1796"/>
  <c r="H1796" s="1"/>
  <c r="H1790" s="1"/>
  <c r="H1693"/>
  <c r="H1687" s="1"/>
  <c r="G1822"/>
  <c r="H1822" s="1"/>
  <c r="H1812" s="1"/>
  <c r="G1765"/>
  <c r="H1765" s="1"/>
  <c r="G474" i="34"/>
  <c r="H474" s="1"/>
  <c r="H461" s="1"/>
  <c r="G1762" i="15" s="1"/>
  <c r="H1762" s="1"/>
  <c r="G482" i="34"/>
  <c r="H482" s="1"/>
  <c r="H477" s="1"/>
  <c r="G1763" i="15" s="1"/>
  <c r="H1763" s="1"/>
  <c r="G443" i="34"/>
  <c r="H443" s="1"/>
  <c r="H429" s="1"/>
  <c r="G1750" i="15" s="1"/>
  <c r="H1750" s="1"/>
  <c r="G449" i="34"/>
  <c r="H449" s="1"/>
  <c r="H446" s="1"/>
  <c r="G1751" i="15" s="1"/>
  <c r="H1751" s="1"/>
  <c r="G421" i="34"/>
  <c r="H421" s="1"/>
  <c r="H409" s="1"/>
  <c r="H424"/>
  <c r="G1705" i="15" s="1"/>
  <c r="H1705" s="1"/>
  <c r="G389" i="34"/>
  <c r="H395"/>
  <c r="G369"/>
  <c r="H369" s="1"/>
  <c r="H362" s="1"/>
  <c r="G357" s="1"/>
  <c r="H357" s="1"/>
  <c r="G181"/>
  <c r="H181" s="1"/>
  <c r="H176" s="1"/>
  <c r="G221" i="15" s="1"/>
  <c r="G1675"/>
  <c r="H1675" s="1"/>
  <c r="H1667" s="1"/>
  <c r="G1684"/>
  <c r="H1684" s="1"/>
  <c r="G1664"/>
  <c r="H1664" s="1"/>
  <c r="G341" i="34"/>
  <c r="H341" s="1"/>
  <c r="G506" i="15"/>
  <c r="H506" s="1"/>
  <c r="G340" i="34"/>
  <c r="H340" s="1"/>
  <c r="G194"/>
  <c r="H194" s="1"/>
  <c r="G695" i="15"/>
  <c r="H695" s="1"/>
  <c r="G1535"/>
  <c r="H1535" s="1"/>
  <c r="G123" i="34"/>
  <c r="H123" s="1"/>
  <c r="G847" i="15"/>
  <c r="H847" s="1"/>
  <c r="G651"/>
  <c r="H651" s="1"/>
  <c r="G1527"/>
  <c r="H1527" s="1"/>
  <c r="G467"/>
  <c r="H467" s="1"/>
  <c r="G173" i="34"/>
  <c r="H173" s="1"/>
  <c r="G448" i="15"/>
  <c r="H448" s="1"/>
  <c r="G756"/>
  <c r="H756" s="1"/>
  <c r="G232" i="34"/>
  <c r="H232" s="1"/>
  <c r="G430" i="15"/>
  <c r="G745"/>
  <c r="H745" s="1"/>
  <c r="G1550"/>
  <c r="H1550" s="1"/>
  <c r="G764"/>
  <c r="H764" s="1"/>
  <c r="G505"/>
  <c r="H505" s="1"/>
  <c r="G41" i="34"/>
  <c r="G797" i="15"/>
  <c r="H797" s="1"/>
  <c r="G603"/>
  <c r="H603" s="1"/>
  <c r="G147" i="34"/>
  <c r="H147" s="1"/>
  <c r="G272"/>
  <c r="H272" s="1"/>
  <c r="G486" i="15"/>
  <c r="H486" s="1"/>
  <c r="G1609"/>
  <c r="H1609" s="1"/>
  <c r="G775"/>
  <c r="H775" s="1"/>
  <c r="G580"/>
  <c r="H580" s="1"/>
  <c r="G63" i="34"/>
  <c r="H63" s="1"/>
  <c r="G808" i="15"/>
  <c r="H808" s="1"/>
  <c r="G468"/>
  <c r="H468" s="1"/>
  <c r="G449"/>
  <c r="G487"/>
  <c r="H487" s="1"/>
  <c r="G889"/>
  <c r="H889" s="1"/>
  <c r="G547"/>
  <c r="G1655"/>
  <c r="H1655" s="1"/>
  <c r="H1644" s="1"/>
  <c r="G1036"/>
  <c r="H1036" s="1"/>
  <c r="H344" i="34" l="1"/>
  <c r="G334" i="15" s="1"/>
  <c r="H389" i="34"/>
  <c r="H377" s="1"/>
  <c r="G1701" i="15" s="1"/>
  <c r="H1701" s="1"/>
  <c r="G494" i="34"/>
  <c r="H494" s="1"/>
  <c r="H490" s="1"/>
  <c r="G1835" i="15" s="1"/>
  <c r="H1835" s="1"/>
  <c r="H1825" s="1"/>
  <c r="G1936"/>
  <c r="H1936" s="1"/>
  <c r="H1931" s="1"/>
  <c r="H524" i="34"/>
  <c r="H522" s="1"/>
  <c r="G1949" i="15" s="1"/>
  <c r="H1949" s="1"/>
  <c r="H1940" s="1"/>
  <c r="H1912"/>
  <c r="H1851"/>
  <c r="G344"/>
  <c r="H344" s="1"/>
  <c r="G1704"/>
  <c r="H1704" s="1"/>
  <c r="G345"/>
  <c r="H1756"/>
  <c r="H1746"/>
  <c r="G339" i="34"/>
  <c r="H339" s="1"/>
  <c r="H328" s="1"/>
  <c r="H517" i="16"/>
  <c r="J517" s="1"/>
  <c r="C515"/>
  <c r="F1090" i="15"/>
  <c r="F1089"/>
  <c r="F1088"/>
  <c r="F1087"/>
  <c r="G1088"/>
  <c r="E1088"/>
  <c r="D1088"/>
  <c r="C1088"/>
  <c r="G1090"/>
  <c r="E1090"/>
  <c r="D1090"/>
  <c r="C1090"/>
  <c r="G1089"/>
  <c r="E1089"/>
  <c r="D1089"/>
  <c r="C1089"/>
  <c r="G1087"/>
  <c r="E1087"/>
  <c r="D1087"/>
  <c r="C1087"/>
  <c r="F1603"/>
  <c r="F1602"/>
  <c r="F1604"/>
  <c r="F1601"/>
  <c r="G1608"/>
  <c r="H1608" s="1"/>
  <c r="E1608"/>
  <c r="D1608"/>
  <c r="C1608"/>
  <c r="G1607"/>
  <c r="H1607" s="1"/>
  <c r="E1607"/>
  <c r="D1607"/>
  <c r="C1607"/>
  <c r="G1606"/>
  <c r="H1606" s="1"/>
  <c r="E1606"/>
  <c r="D1606"/>
  <c r="C1606"/>
  <c r="G1605"/>
  <c r="H1605" s="1"/>
  <c r="E1605"/>
  <c r="D1605"/>
  <c r="C1605"/>
  <c r="G1604"/>
  <c r="E1604"/>
  <c r="D1604"/>
  <c r="C1604"/>
  <c r="G1603"/>
  <c r="E1603"/>
  <c r="D1603"/>
  <c r="C1603"/>
  <c r="G1602"/>
  <c r="E1602"/>
  <c r="D1602"/>
  <c r="C1602"/>
  <c r="G1601"/>
  <c r="E1601"/>
  <c r="D1601"/>
  <c r="C1601"/>
  <c r="E626"/>
  <c r="D626"/>
  <c r="C626"/>
  <c r="G258" i="34"/>
  <c r="H258" s="1"/>
  <c r="E258"/>
  <c r="D258"/>
  <c r="C258"/>
  <c r="F257"/>
  <c r="F256"/>
  <c r="F255"/>
  <c r="G257"/>
  <c r="E257"/>
  <c r="D257"/>
  <c r="C257"/>
  <c r="G256"/>
  <c r="E256"/>
  <c r="D256"/>
  <c r="C256"/>
  <c r="G255"/>
  <c r="E255"/>
  <c r="D255"/>
  <c r="C255"/>
  <c r="E625" i="15"/>
  <c r="D625"/>
  <c r="C625"/>
  <c r="E854"/>
  <c r="D854"/>
  <c r="C854"/>
  <c r="E231" i="34"/>
  <c r="D231"/>
  <c r="C231"/>
  <c r="E61"/>
  <c r="D61"/>
  <c r="C61"/>
  <c r="F228"/>
  <c r="F227"/>
  <c r="F226"/>
  <c r="F59"/>
  <c r="F58"/>
  <c r="F57"/>
  <c r="E230"/>
  <c r="D230"/>
  <c r="C230"/>
  <c r="E60"/>
  <c r="D60"/>
  <c r="C60"/>
  <c r="G229"/>
  <c r="H229" s="1"/>
  <c r="C229"/>
  <c r="D229"/>
  <c r="E229"/>
  <c r="G228"/>
  <c r="H228" s="1"/>
  <c r="E228"/>
  <c r="D228"/>
  <c r="C228"/>
  <c r="G227"/>
  <c r="E227"/>
  <c r="D227"/>
  <c r="C227"/>
  <c r="G226"/>
  <c r="E226"/>
  <c r="D226"/>
  <c r="C226"/>
  <c r="G1683" i="15" l="1"/>
  <c r="H1683" s="1"/>
  <c r="H1678" s="1"/>
  <c r="G1663"/>
  <c r="H1663" s="1"/>
  <c r="H1658" s="1"/>
  <c r="I517" i="16"/>
  <c r="H1090" i="15"/>
  <c r="H1091" s="1"/>
  <c r="H1089"/>
  <c r="H1088"/>
  <c r="H1604"/>
  <c r="H1087"/>
  <c r="H1602"/>
  <c r="H1603"/>
  <c r="H1601"/>
  <c r="H255" i="34"/>
  <c r="H256"/>
  <c r="H257"/>
  <c r="H227"/>
  <c r="H226"/>
  <c r="G1591" i="15"/>
  <c r="G1590"/>
  <c r="E1591"/>
  <c r="D1591"/>
  <c r="C1591"/>
  <c r="E1590"/>
  <c r="D1590"/>
  <c r="C1590"/>
  <c r="F1591"/>
  <c r="F1590"/>
  <c r="E621"/>
  <c r="D621"/>
  <c r="C621"/>
  <c r="F222" i="34"/>
  <c r="F221"/>
  <c r="G222"/>
  <c r="E222"/>
  <c r="D222"/>
  <c r="C222"/>
  <c r="G221"/>
  <c r="E221"/>
  <c r="D221"/>
  <c r="C221"/>
  <c r="E649" i="15"/>
  <c r="D649"/>
  <c r="C649"/>
  <c r="F215" i="34"/>
  <c r="F214"/>
  <c r="G217"/>
  <c r="H217" s="1"/>
  <c r="E217"/>
  <c r="D217"/>
  <c r="C217"/>
  <c r="G216"/>
  <c r="H216" s="1"/>
  <c r="E216"/>
  <c r="D216"/>
  <c r="C216"/>
  <c r="G215"/>
  <c r="E215"/>
  <c r="D215"/>
  <c r="C215"/>
  <c r="G214"/>
  <c r="E214"/>
  <c r="D214"/>
  <c r="C214"/>
  <c r="G1571" i="15"/>
  <c r="G1570"/>
  <c r="G1569"/>
  <c r="G1568"/>
  <c r="E1571"/>
  <c r="D1571"/>
  <c r="C1571"/>
  <c r="E1570"/>
  <c r="D1570"/>
  <c r="C1570"/>
  <c r="E1569"/>
  <c r="D1569"/>
  <c r="C1569"/>
  <c r="E1568"/>
  <c r="D1568"/>
  <c r="C1568"/>
  <c r="F1571"/>
  <c r="F1570"/>
  <c r="F1569"/>
  <c r="F1568"/>
  <c r="E618"/>
  <c r="D618"/>
  <c r="C618"/>
  <c r="F209" i="34"/>
  <c r="F208"/>
  <c r="F207"/>
  <c r="F206"/>
  <c r="G209"/>
  <c r="H209" s="1"/>
  <c r="E209"/>
  <c r="D209"/>
  <c r="C209"/>
  <c r="G207"/>
  <c r="E207"/>
  <c r="D207"/>
  <c r="C207"/>
  <c r="G208"/>
  <c r="E208"/>
  <c r="D208"/>
  <c r="C208"/>
  <c r="G206"/>
  <c r="E206"/>
  <c r="D206"/>
  <c r="C206"/>
  <c r="E617" i="15"/>
  <c r="D617"/>
  <c r="C617"/>
  <c r="F200" i="34"/>
  <c r="F199"/>
  <c r="G202"/>
  <c r="H202" s="1"/>
  <c r="E202"/>
  <c r="D202"/>
  <c r="C202"/>
  <c r="G201"/>
  <c r="H201" s="1"/>
  <c r="E201"/>
  <c r="D201"/>
  <c r="C201"/>
  <c r="G200"/>
  <c r="E200"/>
  <c r="D200"/>
  <c r="C200"/>
  <c r="G199"/>
  <c r="E199"/>
  <c r="D199"/>
  <c r="C199"/>
  <c r="E611" i="15"/>
  <c r="D611"/>
  <c r="C611"/>
  <c r="E1004"/>
  <c r="D1004"/>
  <c r="C1004"/>
  <c r="E991"/>
  <c r="D991"/>
  <c r="C991"/>
  <c r="E978"/>
  <c r="D978"/>
  <c r="C978"/>
  <c r="E965"/>
  <c r="D965"/>
  <c r="C965"/>
  <c r="E952"/>
  <c r="D952"/>
  <c r="C952"/>
  <c r="E939"/>
  <c r="D939"/>
  <c r="C939"/>
  <c r="E926"/>
  <c r="D926"/>
  <c r="C926"/>
  <c r="E913"/>
  <c r="D913"/>
  <c r="C913"/>
  <c r="E616"/>
  <c r="D616"/>
  <c r="C616"/>
  <c r="F191" i="34"/>
  <c r="F190"/>
  <c r="F189"/>
  <c r="G189"/>
  <c r="E189"/>
  <c r="D189"/>
  <c r="C189"/>
  <c r="F188"/>
  <c r="F187"/>
  <c r="F186"/>
  <c r="F185"/>
  <c r="G187"/>
  <c r="E187"/>
  <c r="D187"/>
  <c r="C187"/>
  <c r="G191"/>
  <c r="E191"/>
  <c r="D191"/>
  <c r="C191"/>
  <c r="G190"/>
  <c r="E190"/>
  <c r="D190"/>
  <c r="C190"/>
  <c r="G188"/>
  <c r="E188"/>
  <c r="D188"/>
  <c r="C188"/>
  <c r="G193"/>
  <c r="H193" s="1"/>
  <c r="E193"/>
  <c r="D193"/>
  <c r="C193"/>
  <c r="G192"/>
  <c r="H192" s="1"/>
  <c r="E192"/>
  <c r="D192"/>
  <c r="C192"/>
  <c r="G186"/>
  <c r="E186"/>
  <c r="D186"/>
  <c r="C186"/>
  <c r="G185"/>
  <c r="E185"/>
  <c r="D185"/>
  <c r="C185"/>
  <c r="F154" i="18"/>
  <c r="F155" s="1"/>
  <c r="H1086" i="15" l="1"/>
  <c r="H1600"/>
  <c r="H1570"/>
  <c r="H254" i="34"/>
  <c r="G626" i="15" s="1"/>
  <c r="H1569"/>
  <c r="H1571"/>
  <c r="H1568"/>
  <c r="H1590"/>
  <c r="H1591"/>
  <c r="H222" i="34"/>
  <c r="H221"/>
  <c r="H215"/>
  <c r="H214"/>
  <c r="H208"/>
  <c r="H207"/>
  <c r="H206"/>
  <c r="H200"/>
  <c r="H199"/>
  <c r="H191"/>
  <c r="H190"/>
  <c r="H189"/>
  <c r="H188"/>
  <c r="H187"/>
  <c r="H186"/>
  <c r="H185"/>
  <c r="H1567" i="15" l="1"/>
  <c r="H1589"/>
  <c r="H220" i="34"/>
  <c r="G621" i="15" s="1"/>
  <c r="H213" i="34"/>
  <c r="H205"/>
  <c r="G618" i="15" s="1"/>
  <c r="H198" i="34"/>
  <c r="G617" i="15" s="1"/>
  <c r="H184" i="34"/>
  <c r="G230" l="1"/>
  <c r="H230" s="1"/>
  <c r="G854" i="15"/>
  <c r="H854" s="1"/>
  <c r="G649"/>
  <c r="G60" i="34"/>
  <c r="G611" i="15"/>
  <c r="H611" s="1"/>
  <c r="G1004"/>
  <c r="H1004" s="1"/>
  <c r="G991"/>
  <c r="H991" s="1"/>
  <c r="G978"/>
  <c r="H978" s="1"/>
  <c r="G965"/>
  <c r="H965" s="1"/>
  <c r="G952"/>
  <c r="H952" s="1"/>
  <c r="G939"/>
  <c r="H939" s="1"/>
  <c r="G926"/>
  <c r="H926" s="1"/>
  <c r="G913"/>
  <c r="H913" s="1"/>
  <c r="G616"/>
  <c r="E1560" l="1"/>
  <c r="D1560"/>
  <c r="C1560"/>
  <c r="F1556"/>
  <c r="F1555"/>
  <c r="F1554"/>
  <c r="G1556"/>
  <c r="E1556"/>
  <c r="D1556"/>
  <c r="C1556"/>
  <c r="G1555"/>
  <c r="E1555"/>
  <c r="D1555"/>
  <c r="C1555"/>
  <c r="G1554"/>
  <c r="E1554"/>
  <c r="D1554"/>
  <c r="C1554"/>
  <c r="M125" i="18"/>
  <c r="G1549" i="15"/>
  <c r="H1549" s="1"/>
  <c r="E1549"/>
  <c r="D1549"/>
  <c r="C1549"/>
  <c r="G1548"/>
  <c r="H1548" s="1"/>
  <c r="E1548"/>
  <c r="D1548"/>
  <c r="C1548"/>
  <c r="G1547"/>
  <c r="H1547" s="1"/>
  <c r="E1547"/>
  <c r="D1547"/>
  <c r="C1547"/>
  <c r="G1546"/>
  <c r="H1546" s="1"/>
  <c r="E1546"/>
  <c r="D1546"/>
  <c r="C1546"/>
  <c r="G1545"/>
  <c r="H1545" s="1"/>
  <c r="E1545"/>
  <c r="D1545"/>
  <c r="C1545"/>
  <c r="G1544"/>
  <c r="H1544" s="1"/>
  <c r="E1544"/>
  <c r="D1544"/>
  <c r="C1544"/>
  <c r="G1543"/>
  <c r="H1543" s="1"/>
  <c r="E1543"/>
  <c r="D1543"/>
  <c r="C1543"/>
  <c r="G1542"/>
  <c r="H1542" s="1"/>
  <c r="E1542"/>
  <c r="D1542"/>
  <c r="C1542"/>
  <c r="G1541"/>
  <c r="H1541" s="1"/>
  <c r="E1541"/>
  <c r="D1541"/>
  <c r="C1541"/>
  <c r="G1540"/>
  <c r="H1540" s="1"/>
  <c r="E1540"/>
  <c r="D1540"/>
  <c r="C1540"/>
  <c r="G1539"/>
  <c r="H1539" s="1"/>
  <c r="E1539"/>
  <c r="D1539"/>
  <c r="C1539"/>
  <c r="E220"/>
  <c r="D220"/>
  <c r="C220"/>
  <c r="G172" i="34"/>
  <c r="H172" s="1"/>
  <c r="G171"/>
  <c r="H171" s="1"/>
  <c r="G170"/>
  <c r="H170" s="1"/>
  <c r="G169"/>
  <c r="H169" s="1"/>
  <c r="E172"/>
  <c r="D172"/>
  <c r="C172"/>
  <c r="E171"/>
  <c r="D171"/>
  <c r="C171"/>
  <c r="E170"/>
  <c r="D170"/>
  <c r="C170"/>
  <c r="E169"/>
  <c r="D169"/>
  <c r="C169"/>
  <c r="G1534" i="15"/>
  <c r="H1534" s="1"/>
  <c r="E1534"/>
  <c r="D1534"/>
  <c r="C1534"/>
  <c r="G1533"/>
  <c r="H1533" s="1"/>
  <c r="E1533"/>
  <c r="D1533"/>
  <c r="C1533"/>
  <c r="G1532"/>
  <c r="H1532" s="1"/>
  <c r="E1532"/>
  <c r="D1532"/>
  <c r="C1532"/>
  <c r="G1531"/>
  <c r="H1531" s="1"/>
  <c r="E1531"/>
  <c r="D1531"/>
  <c r="C1531"/>
  <c r="F1525"/>
  <c r="F1524"/>
  <c r="G1526"/>
  <c r="H1526" s="1"/>
  <c r="E1526"/>
  <c r="D1526"/>
  <c r="C1526"/>
  <c r="G1525"/>
  <c r="E1525"/>
  <c r="D1525"/>
  <c r="C1525"/>
  <c r="G1524"/>
  <c r="E1524"/>
  <c r="D1524"/>
  <c r="C1524"/>
  <c r="F1518"/>
  <c r="F1519"/>
  <c r="F1517"/>
  <c r="G1520"/>
  <c r="H1520" s="1"/>
  <c r="E1520"/>
  <c r="D1520"/>
  <c r="C1520"/>
  <c r="G1519"/>
  <c r="E1519"/>
  <c r="D1519"/>
  <c r="C1519"/>
  <c r="G1518"/>
  <c r="E1518"/>
  <c r="D1518"/>
  <c r="C1518"/>
  <c r="G1517"/>
  <c r="E1517"/>
  <c r="D1517"/>
  <c r="C1517"/>
  <c r="F1511"/>
  <c r="F1512"/>
  <c r="F1510"/>
  <c r="G1513"/>
  <c r="H1513" s="1"/>
  <c r="E1513"/>
  <c r="D1513"/>
  <c r="C1513"/>
  <c r="G1512"/>
  <c r="E1512"/>
  <c r="D1512"/>
  <c r="C1512"/>
  <c r="G1511"/>
  <c r="E1511"/>
  <c r="D1511"/>
  <c r="C1511"/>
  <c r="G1510"/>
  <c r="E1510"/>
  <c r="D1510"/>
  <c r="C1510"/>
  <c r="F1506"/>
  <c r="F1505"/>
  <c r="F1504"/>
  <c r="F1503"/>
  <c r="G1505"/>
  <c r="E1505"/>
  <c r="D1505"/>
  <c r="C1505"/>
  <c r="G1506"/>
  <c r="H1506" s="1"/>
  <c r="E1506"/>
  <c r="D1506"/>
  <c r="C1506"/>
  <c r="G1504"/>
  <c r="E1504"/>
  <c r="D1504"/>
  <c r="C1504"/>
  <c r="G1503"/>
  <c r="E1503"/>
  <c r="D1503"/>
  <c r="C1503"/>
  <c r="F1499"/>
  <c r="F1498"/>
  <c r="F1497"/>
  <c r="G1499"/>
  <c r="E1499"/>
  <c r="D1499"/>
  <c r="C1499"/>
  <c r="G1498"/>
  <c r="E1498"/>
  <c r="D1498"/>
  <c r="C1498"/>
  <c r="G1497"/>
  <c r="E1497"/>
  <c r="D1497"/>
  <c r="C1497"/>
  <c r="F1493"/>
  <c r="G1493"/>
  <c r="E1493"/>
  <c r="D1493"/>
  <c r="C1493"/>
  <c r="F1489"/>
  <c r="G1489"/>
  <c r="E1489"/>
  <c r="D1489"/>
  <c r="C1489"/>
  <c r="F1485"/>
  <c r="F1484"/>
  <c r="G1485"/>
  <c r="E1485"/>
  <c r="D1485"/>
  <c r="C1485"/>
  <c r="G1484"/>
  <c r="E1484"/>
  <c r="D1484"/>
  <c r="C1484"/>
  <c r="F1444"/>
  <c r="F1479"/>
  <c r="F1478"/>
  <c r="F1477"/>
  <c r="F1476"/>
  <c r="G1479"/>
  <c r="H1479" s="1"/>
  <c r="E1479"/>
  <c r="D1479"/>
  <c r="C1479"/>
  <c r="G1478"/>
  <c r="E1478"/>
  <c r="D1478"/>
  <c r="C1478"/>
  <c r="G1477"/>
  <c r="E1477"/>
  <c r="D1477"/>
  <c r="C1477"/>
  <c r="G1476"/>
  <c r="E1476"/>
  <c r="D1476"/>
  <c r="C1476"/>
  <c r="J86" i="18"/>
  <c r="H1560" i="15" l="1"/>
  <c r="H1559" s="1"/>
  <c r="H1525"/>
  <c r="H1517"/>
  <c r="H1556"/>
  <c r="H1555"/>
  <c r="H1512"/>
  <c r="H1554"/>
  <c r="H1511"/>
  <c r="H1538"/>
  <c r="H1530"/>
  <c r="H168" i="34"/>
  <c r="G220" i="15" s="1"/>
  <c r="H1524"/>
  <c r="H1498"/>
  <c r="H1518"/>
  <c r="H1519"/>
  <c r="H1510"/>
  <c r="H1505"/>
  <c r="H1504"/>
  <c r="H1503"/>
  <c r="H1499"/>
  <c r="H1497"/>
  <c r="H1478"/>
  <c r="H1493"/>
  <c r="H1492" s="1"/>
  <c r="H1489"/>
  <c r="H1488" s="1"/>
  <c r="H1485"/>
  <c r="H1484"/>
  <c r="H1477"/>
  <c r="H1476"/>
  <c r="G165" i="34"/>
  <c r="E165"/>
  <c r="D165"/>
  <c r="C165"/>
  <c r="F165"/>
  <c r="F1472" i="15"/>
  <c r="G1472"/>
  <c r="E1472"/>
  <c r="D1472"/>
  <c r="C1472"/>
  <c r="F1468"/>
  <c r="F1467"/>
  <c r="G1468"/>
  <c r="E1468"/>
  <c r="D1468"/>
  <c r="C1468"/>
  <c r="G1467"/>
  <c r="E1467"/>
  <c r="D1467"/>
  <c r="C1467"/>
  <c r="F1459"/>
  <c r="F1458"/>
  <c r="F1457"/>
  <c r="F1455"/>
  <c r="F1454"/>
  <c r="F1456"/>
  <c r="G1462"/>
  <c r="H1462" s="1"/>
  <c r="E1462"/>
  <c r="D1462"/>
  <c r="C1462"/>
  <c r="G1458"/>
  <c r="E1458"/>
  <c r="D1458"/>
  <c r="C1458"/>
  <c r="G1461"/>
  <c r="H1461" s="1"/>
  <c r="E1461"/>
  <c r="D1461"/>
  <c r="C1461"/>
  <c r="H1463"/>
  <c r="G1460"/>
  <c r="H1460" s="1"/>
  <c r="E1460"/>
  <c r="D1460"/>
  <c r="C1460"/>
  <c r="G1459"/>
  <c r="E1459"/>
  <c r="D1459"/>
  <c r="C1459"/>
  <c r="G1457"/>
  <c r="E1457"/>
  <c r="D1457"/>
  <c r="C1457"/>
  <c r="G1456"/>
  <c r="E1456"/>
  <c r="D1456"/>
  <c r="C1456"/>
  <c r="G1455"/>
  <c r="E1455"/>
  <c r="D1455"/>
  <c r="C1455"/>
  <c r="G1454"/>
  <c r="E1454"/>
  <c r="D1454"/>
  <c r="C1454"/>
  <c r="E1449"/>
  <c r="D1449"/>
  <c r="C1449"/>
  <c r="F152" i="34"/>
  <c r="F151"/>
  <c r="G154"/>
  <c r="H154" s="1"/>
  <c r="E154"/>
  <c r="D154"/>
  <c r="C154"/>
  <c r="G153"/>
  <c r="H153" s="1"/>
  <c r="E153"/>
  <c r="D153"/>
  <c r="C153"/>
  <c r="G152"/>
  <c r="E152"/>
  <c r="D152"/>
  <c r="C152"/>
  <c r="G151"/>
  <c r="E151"/>
  <c r="D151"/>
  <c r="C151"/>
  <c r="F1447" i="15"/>
  <c r="F1446"/>
  <c r="F1445"/>
  <c r="F1443"/>
  <c r="G1446"/>
  <c r="E1446"/>
  <c r="D1446"/>
  <c r="C1446"/>
  <c r="G1445"/>
  <c r="E1445"/>
  <c r="D1445"/>
  <c r="C1445"/>
  <c r="H1450"/>
  <c r="G1448"/>
  <c r="H1448" s="1"/>
  <c r="E1448"/>
  <c r="D1448"/>
  <c r="C1448"/>
  <c r="G1447"/>
  <c r="E1447"/>
  <c r="D1447"/>
  <c r="C1447"/>
  <c r="G1444"/>
  <c r="E1444"/>
  <c r="D1444"/>
  <c r="C1444"/>
  <c r="G1443"/>
  <c r="E1443"/>
  <c r="D1443"/>
  <c r="C1443"/>
  <c r="M187" i="18"/>
  <c r="F1956" i="15"/>
  <c r="F1959"/>
  <c r="F1958"/>
  <c r="F1957"/>
  <c r="G1957"/>
  <c r="E1957"/>
  <c r="D1957"/>
  <c r="C1957"/>
  <c r="G1431"/>
  <c r="H1431" s="1"/>
  <c r="H1430" s="1"/>
  <c r="E1431"/>
  <c r="D1431"/>
  <c r="C1431"/>
  <c r="G1959"/>
  <c r="E1959"/>
  <c r="D1959"/>
  <c r="C1959"/>
  <c r="G1958"/>
  <c r="E1958"/>
  <c r="D1958"/>
  <c r="C1958"/>
  <c r="G1956"/>
  <c r="E1956"/>
  <c r="D1956"/>
  <c r="C1956"/>
  <c r="E855"/>
  <c r="D855"/>
  <c r="C855"/>
  <c r="E650"/>
  <c r="D650"/>
  <c r="C650"/>
  <c r="E504"/>
  <c r="D504"/>
  <c r="C504"/>
  <c r="E485"/>
  <c r="D485"/>
  <c r="C485"/>
  <c r="E466"/>
  <c r="D466"/>
  <c r="C466"/>
  <c r="E447"/>
  <c r="D447"/>
  <c r="C447"/>
  <c r="F144" i="34"/>
  <c r="H449" i="15"/>
  <c r="G1480" l="1"/>
  <c r="H1480" s="1"/>
  <c r="H1475" s="1"/>
  <c r="H151" i="34"/>
  <c r="H1509" i="15"/>
  <c r="H1523"/>
  <c r="H1553"/>
  <c r="H1443"/>
  <c r="H165" i="34"/>
  <c r="H164" s="1"/>
  <c r="H152"/>
  <c r="H1502" i="15"/>
  <c r="G136" i="18" s="1"/>
  <c r="H1516" i="15"/>
  <c r="H1496"/>
  <c r="H1455"/>
  <c r="H1483"/>
  <c r="H1959"/>
  <c r="H1472"/>
  <c r="H1471" s="1"/>
  <c r="H1468"/>
  <c r="H1467"/>
  <c r="H1444"/>
  <c r="H1456"/>
  <c r="H1459"/>
  <c r="H1457"/>
  <c r="H1458"/>
  <c r="H1454"/>
  <c r="H1446"/>
  <c r="H1447"/>
  <c r="H1445"/>
  <c r="H1958"/>
  <c r="H1957"/>
  <c r="H1956"/>
  <c r="H430"/>
  <c r="F145" i="34"/>
  <c r="F143"/>
  <c r="C139"/>
  <c r="D139"/>
  <c r="E139"/>
  <c r="G139"/>
  <c r="H139" s="1"/>
  <c r="G146"/>
  <c r="H146" s="1"/>
  <c r="E146"/>
  <c r="D146"/>
  <c r="C146"/>
  <c r="G145"/>
  <c r="E145"/>
  <c r="D145"/>
  <c r="C145"/>
  <c r="G144"/>
  <c r="E144"/>
  <c r="D144"/>
  <c r="C144"/>
  <c r="G143"/>
  <c r="E143"/>
  <c r="D143"/>
  <c r="C143"/>
  <c r="C422" i="15"/>
  <c r="D422"/>
  <c r="E422"/>
  <c r="E421"/>
  <c r="D421"/>
  <c r="C421"/>
  <c r="F136" i="34"/>
  <c r="F137"/>
  <c r="F135"/>
  <c r="G138"/>
  <c r="H138" s="1"/>
  <c r="E138"/>
  <c r="D138"/>
  <c r="C138"/>
  <c r="G137"/>
  <c r="E137"/>
  <c r="D137"/>
  <c r="C137"/>
  <c r="G136"/>
  <c r="E136"/>
  <c r="D136"/>
  <c r="C136"/>
  <c r="G135"/>
  <c r="E135"/>
  <c r="D135"/>
  <c r="C135"/>
  <c r="F129"/>
  <c r="F128"/>
  <c r="F127"/>
  <c r="G131"/>
  <c r="H131" s="1"/>
  <c r="E131"/>
  <c r="D131"/>
  <c r="C131"/>
  <c r="G130"/>
  <c r="H130" s="1"/>
  <c r="E130"/>
  <c r="D130"/>
  <c r="C130"/>
  <c r="G129"/>
  <c r="E129"/>
  <c r="D129"/>
  <c r="C129"/>
  <c r="G128"/>
  <c r="E128"/>
  <c r="D128"/>
  <c r="C128"/>
  <c r="G127"/>
  <c r="E127"/>
  <c r="D127"/>
  <c r="C127"/>
  <c r="G367" i="15" l="1"/>
  <c r="G373"/>
  <c r="H150" i="34"/>
  <c r="G1449" i="15" s="1"/>
  <c r="H1449" s="1"/>
  <c r="H1442" s="1"/>
  <c r="H136" i="34"/>
  <c r="H1466" i="15"/>
  <c r="H1453"/>
  <c r="H128" i="34"/>
  <c r="H1955" i="15"/>
  <c r="H129" i="34"/>
  <c r="H145"/>
  <c r="H144"/>
  <c r="H137"/>
  <c r="H143"/>
  <c r="H135"/>
  <c r="H127"/>
  <c r="F6945" i="28"/>
  <c r="F6946"/>
  <c r="F6947"/>
  <c r="F6948"/>
  <c r="E525" i="15"/>
  <c r="D525"/>
  <c r="C525"/>
  <c r="G527"/>
  <c r="H527" s="1"/>
  <c r="E527"/>
  <c r="D527"/>
  <c r="C527"/>
  <c r="G526"/>
  <c r="H526" s="1"/>
  <c r="E526"/>
  <c r="D526"/>
  <c r="C526"/>
  <c r="G524"/>
  <c r="H524" s="1"/>
  <c r="E524"/>
  <c r="D524"/>
  <c r="C524"/>
  <c r="E65" i="18"/>
  <c r="D65"/>
  <c r="E51"/>
  <c r="D51"/>
  <c r="G144" i="15"/>
  <c r="H144" s="1"/>
  <c r="H143" s="1"/>
  <c r="G51" i="18" s="1"/>
  <c r="K51" s="1"/>
  <c r="E144" i="15"/>
  <c r="D144"/>
  <c r="C144"/>
  <c r="H510" i="16" l="1"/>
  <c r="J510" s="1"/>
  <c r="H126" i="34"/>
  <c r="G421" i="15" s="1"/>
  <c r="H142" i="34"/>
  <c r="H134"/>
  <c r="G422" i="15" s="1"/>
  <c r="C508" i="16"/>
  <c r="G525" i="15" s="1"/>
  <c r="H525" s="1"/>
  <c r="H523" s="1"/>
  <c r="I51" i="18"/>
  <c r="G1357" i="15"/>
  <c r="H1357" s="1"/>
  <c r="E1357"/>
  <c r="D1357"/>
  <c r="C1357"/>
  <c r="G1356"/>
  <c r="E1356"/>
  <c r="D1356"/>
  <c r="C1356"/>
  <c r="H261" i="34" l="1"/>
  <c r="G1625" i="15" s="1"/>
  <c r="H1625" s="1"/>
  <c r="H1612" s="1"/>
  <c r="H235" i="34"/>
  <c r="G681" i="15" s="1"/>
  <c r="H681" s="1"/>
  <c r="H675" s="1"/>
  <c r="I510" i="16"/>
  <c r="G231" i="34"/>
  <c r="H231" s="1"/>
  <c r="H225" s="1"/>
  <c r="G625" i="15" s="1"/>
  <c r="G61" i="34"/>
  <c r="G855" i="15"/>
  <c r="H855" s="1"/>
  <c r="G504"/>
  <c r="H504" s="1"/>
  <c r="G485"/>
  <c r="H485" s="1"/>
  <c r="G447"/>
  <c r="G650"/>
  <c r="H650" s="1"/>
  <c r="G466"/>
  <c r="H466" s="1"/>
  <c r="H1356"/>
  <c r="H1355" s="1"/>
  <c r="K310" i="18" l="1"/>
  <c r="G201" i="35" l="1"/>
  <c r="G266"/>
  <c r="G223"/>
  <c r="G330"/>
  <c r="G272"/>
  <c r="G320"/>
  <c r="G345"/>
  <c r="G212"/>
  <c r="A368"/>
  <c r="I6"/>
  <c r="O76" i="21" l="1"/>
  <c r="O79"/>
  <c r="O82"/>
  <c r="O85"/>
  <c r="O106"/>
  <c r="O109"/>
  <c r="O112"/>
  <c r="O124"/>
  <c r="O73"/>
  <c r="O91"/>
  <c r="O103" l="1"/>
  <c r="O94"/>
  <c r="O118"/>
  <c r="O88"/>
  <c r="O100"/>
  <c r="F309" i="18" l="1"/>
  <c r="G1352" i="15"/>
  <c r="F1352"/>
  <c r="E1352"/>
  <c r="D1352"/>
  <c r="C1352"/>
  <c r="G1351"/>
  <c r="F1351"/>
  <c r="E1351"/>
  <c r="D1351"/>
  <c r="C1351"/>
  <c r="G1350"/>
  <c r="F1350"/>
  <c r="E1350"/>
  <c r="D1350"/>
  <c r="C1350"/>
  <c r="G1349"/>
  <c r="F1349"/>
  <c r="E1349"/>
  <c r="D1349"/>
  <c r="C1349"/>
  <c r="G1348"/>
  <c r="F1348"/>
  <c r="E1348"/>
  <c r="D1348"/>
  <c r="C1348"/>
  <c r="G1347"/>
  <c r="F1347"/>
  <c r="E1347"/>
  <c r="D1347"/>
  <c r="C1347"/>
  <c r="G1346"/>
  <c r="F1346"/>
  <c r="E1346"/>
  <c r="D1346"/>
  <c r="C1346"/>
  <c r="G1345"/>
  <c r="F1345"/>
  <c r="E1345"/>
  <c r="D1345"/>
  <c r="C1345"/>
  <c r="G1344"/>
  <c r="F1344"/>
  <c r="E1344"/>
  <c r="D1344"/>
  <c r="C1344"/>
  <c r="G1343"/>
  <c r="F1343"/>
  <c r="E1343"/>
  <c r="D1343"/>
  <c r="C1343"/>
  <c r="F129" i="18"/>
  <c r="F126"/>
  <c r="F120"/>
  <c r="F118"/>
  <c r="H1344" i="15" l="1"/>
  <c r="H1348"/>
  <c r="H1352"/>
  <c r="H1345"/>
  <c r="H1349"/>
  <c r="H1350"/>
  <c r="H1346"/>
  <c r="H1343"/>
  <c r="H1347"/>
  <c r="H1351"/>
  <c r="H1342" l="1"/>
  <c r="H1390"/>
  <c r="E1390"/>
  <c r="D1390"/>
  <c r="C1390"/>
  <c r="D7586" i="27"/>
  <c r="G1400" i="15"/>
  <c r="H1400" s="1"/>
  <c r="H1399" s="1"/>
  <c r="E1400"/>
  <c r="D1400"/>
  <c r="C1400"/>
  <c r="K17" i="18" l="1"/>
  <c r="K19"/>
  <c r="K21"/>
  <c r="K25"/>
  <c r="K28"/>
  <c r="K30"/>
  <c r="K32"/>
  <c r="K34"/>
  <c r="K36"/>
  <c r="K38"/>
  <c r="K42"/>
  <c r="K45"/>
  <c r="K48"/>
  <c r="K49"/>
  <c r="K52"/>
  <c r="K54"/>
  <c r="K55"/>
  <c r="K56"/>
  <c r="K57"/>
  <c r="K59"/>
  <c r="K66"/>
  <c r="K67"/>
  <c r="K68"/>
  <c r="K69"/>
  <c r="K71"/>
  <c r="K73"/>
  <c r="K75"/>
  <c r="K81"/>
  <c r="K83"/>
  <c r="K84"/>
  <c r="K85"/>
  <c r="K86"/>
  <c r="K95"/>
  <c r="K98"/>
  <c r="K99"/>
  <c r="K103"/>
  <c r="K106"/>
  <c r="K109"/>
  <c r="K114"/>
  <c r="K117"/>
  <c r="K121"/>
  <c r="K124"/>
  <c r="K127"/>
  <c r="K130"/>
  <c r="K148"/>
  <c r="K133"/>
  <c r="K134"/>
  <c r="K135"/>
  <c r="K140"/>
  <c r="K143"/>
  <c r="K146"/>
  <c r="K151"/>
  <c r="K152"/>
  <c r="K156"/>
  <c r="K159"/>
  <c r="K176"/>
  <c r="K179"/>
  <c r="K182"/>
  <c r="K183"/>
  <c r="K199"/>
  <c r="K200"/>
  <c r="K211"/>
  <c r="K212"/>
  <c r="K221"/>
  <c r="K224"/>
  <c r="K227"/>
  <c r="K252"/>
  <c r="K230"/>
  <c r="K232"/>
  <c r="K234"/>
  <c r="K235"/>
  <c r="K236"/>
  <c r="K237"/>
  <c r="K238"/>
  <c r="K241"/>
  <c r="K245"/>
  <c r="K249"/>
  <c r="K255"/>
  <c r="K257"/>
  <c r="K259"/>
  <c r="K260"/>
  <c r="K267"/>
  <c r="K268"/>
  <c r="K276"/>
  <c r="K278"/>
  <c r="K281"/>
  <c r="K282"/>
  <c r="K285"/>
  <c r="K289"/>
  <c r="K291"/>
  <c r="K292"/>
  <c r="K293"/>
  <c r="K295"/>
  <c r="K297"/>
  <c r="K298"/>
  <c r="K299"/>
  <c r="K312"/>
  <c r="K314"/>
  <c r="K315"/>
  <c r="K316"/>
  <c r="K317"/>
  <c r="K318"/>
  <c r="K320"/>
  <c r="K322"/>
  <c r="K324"/>
  <c r="K328"/>
  <c r="K330"/>
  <c r="K332"/>
  <c r="K335"/>
  <c r="K337"/>
  <c r="K339"/>
  <c r="K341"/>
  <c r="K342"/>
  <c r="K345"/>
  <c r="K347"/>
  <c r="K349"/>
  <c r="K351"/>
  <c r="K353"/>
  <c r="K354"/>
  <c r="K356"/>
  <c r="K358"/>
  <c r="K359"/>
  <c r="K361"/>
  <c r="K303"/>
  <c r="K363"/>
  <c r="K365"/>
  <c r="K366"/>
  <c r="K368"/>
  <c r="K370"/>
  <c r="K373"/>
  <c r="K375"/>
  <c r="K377"/>
  <c r="E44" l="1"/>
  <c r="D44"/>
  <c r="G140" i="15"/>
  <c r="H140" s="1"/>
  <c r="E140"/>
  <c r="D140"/>
  <c r="C140"/>
  <c r="G139"/>
  <c r="H139" s="1"/>
  <c r="E139"/>
  <c r="D139"/>
  <c r="C139"/>
  <c r="F484"/>
  <c r="F483"/>
  <c r="F482"/>
  <c r="F478"/>
  <c r="F477"/>
  <c r="F475"/>
  <c r="F474"/>
  <c r="F473"/>
  <c r="F472"/>
  <c r="C501" i="16"/>
  <c r="G1274" i="15"/>
  <c r="H1274" s="1"/>
  <c r="E1274"/>
  <c r="D1274"/>
  <c r="C1274"/>
  <c r="G1273"/>
  <c r="H1273" s="1"/>
  <c r="E1273"/>
  <c r="D1273"/>
  <c r="C1273"/>
  <c r="G1272"/>
  <c r="H1272" s="1"/>
  <c r="E1272"/>
  <c r="D1272"/>
  <c r="C1272"/>
  <c r="E1271"/>
  <c r="D1271"/>
  <c r="C1271"/>
  <c r="J499"/>
  <c r="J498"/>
  <c r="J479"/>
  <c r="J480"/>
  <c r="H138" l="1"/>
  <c r="G44" i="18" s="1"/>
  <c r="H503" i="16"/>
  <c r="C487"/>
  <c r="G671" i="15" s="1"/>
  <c r="C494" i="16"/>
  <c r="H489"/>
  <c r="J489" s="1"/>
  <c r="F669" i="15"/>
  <c r="F668"/>
  <c r="G669"/>
  <c r="E669"/>
  <c r="D669"/>
  <c r="C669"/>
  <c r="G668"/>
  <c r="E668"/>
  <c r="D668"/>
  <c r="C668"/>
  <c r="C671"/>
  <c r="D671"/>
  <c r="E671"/>
  <c r="C480" i="16"/>
  <c r="G660" i="15" s="1"/>
  <c r="H660" s="1"/>
  <c r="E660"/>
  <c r="D660"/>
  <c r="C660"/>
  <c r="F658"/>
  <c r="F657"/>
  <c r="F656"/>
  <c r="F655"/>
  <c r="G658"/>
  <c r="E658"/>
  <c r="D658"/>
  <c r="C658"/>
  <c r="G657"/>
  <c r="E657"/>
  <c r="D657"/>
  <c r="C657"/>
  <c r="G656"/>
  <c r="E656"/>
  <c r="D656"/>
  <c r="C656"/>
  <c r="G655"/>
  <c r="E655"/>
  <c r="D655"/>
  <c r="C655"/>
  <c r="F646"/>
  <c r="F645"/>
  <c r="F644"/>
  <c r="H649"/>
  <c r="H496" i="16" l="1"/>
  <c r="J496" s="1"/>
  <c r="J503"/>
  <c r="I503"/>
  <c r="I489"/>
  <c r="H669" i="15"/>
  <c r="H668"/>
  <c r="H656"/>
  <c r="H482" i="16"/>
  <c r="H658" i="15"/>
  <c r="H655"/>
  <c r="H657"/>
  <c r="I496" i="16" l="1"/>
  <c r="H670" i="15"/>
  <c r="J482" i="16"/>
  <c r="I482"/>
  <c r="H659" i="15"/>
  <c r="H654" s="1"/>
  <c r="F634" l="1"/>
  <c r="F633"/>
  <c r="G633"/>
  <c r="E633"/>
  <c r="D633"/>
  <c r="C633"/>
  <c r="F632"/>
  <c r="F631"/>
  <c r="G634"/>
  <c r="H634" s="1"/>
  <c r="E634"/>
  <c r="D634"/>
  <c r="C634"/>
  <c r="G632"/>
  <c r="E632"/>
  <c r="D632"/>
  <c r="C632"/>
  <c r="G631"/>
  <c r="E631"/>
  <c r="D631"/>
  <c r="C631"/>
  <c r="G641"/>
  <c r="H641" s="1"/>
  <c r="E641"/>
  <c r="D641"/>
  <c r="C641"/>
  <c r="G639"/>
  <c r="H639" s="1"/>
  <c r="H640" s="1"/>
  <c r="E639"/>
  <c r="D639"/>
  <c r="C639"/>
  <c r="H631" l="1"/>
  <c r="H638"/>
  <c r="H633"/>
  <c r="H635" s="1"/>
  <c r="H632"/>
  <c r="H630" l="1"/>
  <c r="F180" i="18" l="1"/>
  <c r="F305" l="1"/>
  <c r="F311" s="1"/>
  <c r="G610" i="15" l="1"/>
  <c r="F610"/>
  <c r="E610"/>
  <c r="D610"/>
  <c r="C610"/>
  <c r="G609"/>
  <c r="F609"/>
  <c r="E609"/>
  <c r="D609"/>
  <c r="C609"/>
  <c r="G608"/>
  <c r="F608"/>
  <c r="E608"/>
  <c r="D608"/>
  <c r="C608"/>
  <c r="G607"/>
  <c r="F607"/>
  <c r="E607"/>
  <c r="D607"/>
  <c r="C607"/>
  <c r="F76" i="18"/>
  <c r="F77" s="1"/>
  <c r="G103" i="15"/>
  <c r="H103" s="1"/>
  <c r="E103"/>
  <c r="D103"/>
  <c r="C103"/>
  <c r="G66"/>
  <c r="H66" s="1"/>
  <c r="E66"/>
  <c r="D66"/>
  <c r="C66"/>
  <c r="H610" l="1"/>
  <c r="H607"/>
  <c r="H609"/>
  <c r="H608"/>
  <c r="H606" l="1"/>
  <c r="E109" i="29"/>
  <c r="D109"/>
  <c r="G519" i="15"/>
  <c r="H519" s="1"/>
  <c r="E519"/>
  <c r="D519"/>
  <c r="C519"/>
  <c r="G520"/>
  <c r="H520" s="1"/>
  <c r="E520"/>
  <c r="D520"/>
  <c r="C520"/>
  <c r="G518"/>
  <c r="H518" s="1"/>
  <c r="E518"/>
  <c r="D518"/>
  <c r="C518"/>
  <c r="H475" i="16"/>
  <c r="J475" s="1"/>
  <c r="C473"/>
  <c r="G1271" i="15" s="1"/>
  <c r="H1271" s="1"/>
  <c r="H1270" s="1"/>
  <c r="G1226"/>
  <c r="H1226" s="1"/>
  <c r="G1227"/>
  <c r="H1227" s="1"/>
  <c r="E1226"/>
  <c r="E1227"/>
  <c r="C1226"/>
  <c r="D1226"/>
  <c r="C1227"/>
  <c r="D1227"/>
  <c r="G1225"/>
  <c r="H1225" s="1"/>
  <c r="E1225"/>
  <c r="D1225"/>
  <c r="C1225"/>
  <c r="G52"/>
  <c r="H52" s="1"/>
  <c r="E52"/>
  <c r="D52"/>
  <c r="C52"/>
  <c r="H1224" l="1"/>
  <c r="H517"/>
  <c r="G109" i="29" s="1"/>
  <c r="I475" i="16"/>
  <c r="I49" i="18" l="1"/>
  <c r="G135" i="15" l="1"/>
  <c r="H135" s="1"/>
  <c r="E135"/>
  <c r="D135"/>
  <c r="C135"/>
  <c r="G134"/>
  <c r="H134" s="1"/>
  <c r="E134"/>
  <c r="D134"/>
  <c r="C134"/>
  <c r="G133"/>
  <c r="H133" s="1"/>
  <c r="E133"/>
  <c r="D133"/>
  <c r="C133"/>
  <c r="G132"/>
  <c r="H132" s="1"/>
  <c r="E132"/>
  <c r="D132"/>
  <c r="C132"/>
  <c r="G128"/>
  <c r="H128" s="1"/>
  <c r="E128"/>
  <c r="D128"/>
  <c r="C128"/>
  <c r="G127"/>
  <c r="H127" s="1"/>
  <c r="E127"/>
  <c r="D127"/>
  <c r="C127"/>
  <c r="G126"/>
  <c r="H126" s="1"/>
  <c r="E126"/>
  <c r="D126"/>
  <c r="C126"/>
  <c r="G125"/>
  <c r="H125" s="1"/>
  <c r="E125"/>
  <c r="D125"/>
  <c r="C125"/>
  <c r="E63" i="18"/>
  <c r="D63"/>
  <c r="H124" i="15" l="1"/>
  <c r="H131"/>
  <c r="G484"/>
  <c r="H484" s="1"/>
  <c r="E484"/>
  <c r="D484"/>
  <c r="C484"/>
  <c r="G483"/>
  <c r="H483" s="1"/>
  <c r="E483"/>
  <c r="D483"/>
  <c r="C483"/>
  <c r="G482"/>
  <c r="H482" s="1"/>
  <c r="E482"/>
  <c r="D482"/>
  <c r="C482"/>
  <c r="G481"/>
  <c r="H481" s="1"/>
  <c r="E481"/>
  <c r="D481"/>
  <c r="C481"/>
  <c r="G480"/>
  <c r="H480" s="1"/>
  <c r="E480"/>
  <c r="D480"/>
  <c r="C480"/>
  <c r="G479"/>
  <c r="H479" s="1"/>
  <c r="E479"/>
  <c r="D479"/>
  <c r="C479"/>
  <c r="G478"/>
  <c r="H478" s="1"/>
  <c r="E478"/>
  <c r="D478"/>
  <c r="C478"/>
  <c r="G477"/>
  <c r="H477" s="1"/>
  <c r="E477"/>
  <c r="D477"/>
  <c r="C477"/>
  <c r="G476"/>
  <c r="H476" s="1"/>
  <c r="E476"/>
  <c r="D476"/>
  <c r="C476"/>
  <c r="G475"/>
  <c r="E475"/>
  <c r="D475"/>
  <c r="C475"/>
  <c r="G474"/>
  <c r="E474"/>
  <c r="D474"/>
  <c r="C474"/>
  <c r="G473"/>
  <c r="H473" s="1"/>
  <c r="E473"/>
  <c r="D473"/>
  <c r="C473"/>
  <c r="G472"/>
  <c r="E472"/>
  <c r="D472"/>
  <c r="C472"/>
  <c r="H475" l="1"/>
  <c r="H472"/>
  <c r="H474"/>
  <c r="H471" l="1"/>
  <c r="G63" i="18" s="1"/>
  <c r="G494" i="15" l="1"/>
  <c r="E494"/>
  <c r="D494"/>
  <c r="C494"/>
  <c r="G493"/>
  <c r="E493"/>
  <c r="D493"/>
  <c r="C493"/>
  <c r="G492"/>
  <c r="E492"/>
  <c r="D492"/>
  <c r="C492"/>
  <c r="G491"/>
  <c r="E491"/>
  <c r="D491"/>
  <c r="C491"/>
  <c r="H494" l="1"/>
  <c r="H491"/>
  <c r="H492"/>
  <c r="H493"/>
  <c r="G1339"/>
  <c r="F1339"/>
  <c r="E1339"/>
  <c r="D1339"/>
  <c r="C1339"/>
  <c r="G1338"/>
  <c r="F1338"/>
  <c r="E1338"/>
  <c r="D1338"/>
  <c r="C1338"/>
  <c r="G1337"/>
  <c r="F1337"/>
  <c r="E1337"/>
  <c r="D1337"/>
  <c r="C1337"/>
  <c r="G1336"/>
  <c r="F1336"/>
  <c r="E1336"/>
  <c r="D1336"/>
  <c r="C1336"/>
  <c r="G1335"/>
  <c r="F1335"/>
  <c r="E1335"/>
  <c r="D1335"/>
  <c r="C1335"/>
  <c r="G1334"/>
  <c r="F1334"/>
  <c r="E1334"/>
  <c r="D1334"/>
  <c r="C1334"/>
  <c r="G1333"/>
  <c r="F1333"/>
  <c r="E1333"/>
  <c r="D1333"/>
  <c r="C1333"/>
  <c r="G1332"/>
  <c r="F1332"/>
  <c r="E1332"/>
  <c r="D1332"/>
  <c r="C1332"/>
  <c r="G1331"/>
  <c r="F1331"/>
  <c r="E1331"/>
  <c r="D1331"/>
  <c r="C1331"/>
  <c r="G1330"/>
  <c r="F1330"/>
  <c r="E1330"/>
  <c r="D1330"/>
  <c r="C1330"/>
  <c r="H1333" l="1"/>
  <c r="H1337"/>
  <c r="H1335"/>
  <c r="H1339"/>
  <c r="H1330"/>
  <c r="H1338"/>
  <c r="H1331"/>
  <c r="H1332"/>
  <c r="H1336"/>
  <c r="H1334"/>
  <c r="H1329" l="1"/>
  <c r="G1326"/>
  <c r="F1326"/>
  <c r="E1326"/>
  <c r="D1326"/>
  <c r="C1326"/>
  <c r="G1325"/>
  <c r="F1325"/>
  <c r="E1325"/>
  <c r="D1325"/>
  <c r="C1325"/>
  <c r="G1324"/>
  <c r="F1324"/>
  <c r="E1324"/>
  <c r="D1324"/>
  <c r="C1324"/>
  <c r="G1323"/>
  <c r="F1323"/>
  <c r="E1323"/>
  <c r="D1323"/>
  <c r="C1323"/>
  <c r="G1322"/>
  <c r="F1322"/>
  <c r="E1322"/>
  <c r="D1322"/>
  <c r="C1322"/>
  <c r="G1321"/>
  <c r="F1321"/>
  <c r="E1321"/>
  <c r="D1321"/>
  <c r="C1321"/>
  <c r="G1320"/>
  <c r="F1320"/>
  <c r="E1320"/>
  <c r="D1320"/>
  <c r="C1320"/>
  <c r="G1319"/>
  <c r="F1319"/>
  <c r="E1319"/>
  <c r="D1319"/>
  <c r="C1319"/>
  <c r="G1318"/>
  <c r="F1318"/>
  <c r="E1318"/>
  <c r="D1318"/>
  <c r="C1318"/>
  <c r="G1317"/>
  <c r="F1317"/>
  <c r="E1317"/>
  <c r="D1317"/>
  <c r="C1317"/>
  <c r="F1049"/>
  <c r="H468" i="16"/>
  <c r="J468" s="1"/>
  <c r="C466"/>
  <c r="G1049" i="15" s="1"/>
  <c r="E1049"/>
  <c r="D1049"/>
  <c r="C1049"/>
  <c r="G1048"/>
  <c r="H1048" s="1"/>
  <c r="E1048"/>
  <c r="D1048"/>
  <c r="C1048"/>
  <c r="G1047"/>
  <c r="E1047"/>
  <c r="D1047"/>
  <c r="C1047"/>
  <c r="G1043"/>
  <c r="H1043" s="1"/>
  <c r="E1043"/>
  <c r="D1043"/>
  <c r="C1043"/>
  <c r="G1042"/>
  <c r="H1042" s="1"/>
  <c r="E1042"/>
  <c r="D1042"/>
  <c r="C1042"/>
  <c r="G1041"/>
  <c r="H1041" s="1"/>
  <c r="E1041"/>
  <c r="D1041"/>
  <c r="C1041"/>
  <c r="G1040"/>
  <c r="H1040" s="1"/>
  <c r="E1040"/>
  <c r="D1040"/>
  <c r="C1040"/>
  <c r="H1325" l="1"/>
  <c r="H1318"/>
  <c r="H1321"/>
  <c r="H1326"/>
  <c r="H1323"/>
  <c r="H1320"/>
  <c r="H1324"/>
  <c r="H1317"/>
  <c r="H1322"/>
  <c r="H1319"/>
  <c r="H1049"/>
  <c r="I468" i="16"/>
  <c r="H1047" i="15"/>
  <c r="H1316" l="1"/>
  <c r="H1046"/>
  <c r="F123" i="18" l="1"/>
  <c r="G1313" i="15" l="1"/>
  <c r="F1313"/>
  <c r="E1313"/>
  <c r="D1313"/>
  <c r="C1313"/>
  <c r="G1312"/>
  <c r="F1312"/>
  <c r="E1312"/>
  <c r="D1312"/>
  <c r="C1312"/>
  <c r="G1311"/>
  <c r="F1311"/>
  <c r="E1311"/>
  <c r="D1311"/>
  <c r="C1311"/>
  <c r="G1310"/>
  <c r="F1310"/>
  <c r="E1310"/>
  <c r="D1310"/>
  <c r="C1310"/>
  <c r="G1309"/>
  <c r="F1309"/>
  <c r="E1309"/>
  <c r="D1309"/>
  <c r="C1309"/>
  <c r="G1308"/>
  <c r="F1308"/>
  <c r="E1308"/>
  <c r="D1308"/>
  <c r="C1308"/>
  <c r="G1307"/>
  <c r="F1307"/>
  <c r="E1307"/>
  <c r="D1307"/>
  <c r="C1307"/>
  <c r="G1306"/>
  <c r="F1306"/>
  <c r="E1306"/>
  <c r="D1306"/>
  <c r="C1306"/>
  <c r="G1305"/>
  <c r="F1305"/>
  <c r="E1305"/>
  <c r="D1305"/>
  <c r="C1305"/>
  <c r="G1304"/>
  <c r="F1304"/>
  <c r="E1304"/>
  <c r="D1304"/>
  <c r="C1304"/>
  <c r="F256" i="18"/>
  <c r="H1313" i="15" l="1"/>
  <c r="H1305"/>
  <c r="H1309"/>
  <c r="H1306"/>
  <c r="H1310"/>
  <c r="H1307"/>
  <c r="H1311"/>
  <c r="H1304"/>
  <c r="H1308"/>
  <c r="H1312"/>
  <c r="C459" i="16"/>
  <c r="G122" i="34" s="1"/>
  <c r="H122" s="1"/>
  <c r="E1035" i="15"/>
  <c r="D1035"/>
  <c r="C1035"/>
  <c r="E122" i="34"/>
  <c r="D122"/>
  <c r="C122"/>
  <c r="G121"/>
  <c r="F121"/>
  <c r="E121"/>
  <c r="D121"/>
  <c r="C121"/>
  <c r="G120"/>
  <c r="F120"/>
  <c r="E120"/>
  <c r="D120"/>
  <c r="C120"/>
  <c r="G1034" i="15"/>
  <c r="H1034" s="1"/>
  <c r="E1034"/>
  <c r="D1034"/>
  <c r="C1034"/>
  <c r="G1033"/>
  <c r="F1033"/>
  <c r="E1033"/>
  <c r="D1033"/>
  <c r="C1033"/>
  <c r="G1032"/>
  <c r="F1032"/>
  <c r="E1032"/>
  <c r="D1032"/>
  <c r="C1032"/>
  <c r="M138" i="18"/>
  <c r="F1027" i="15"/>
  <c r="H454" i="16"/>
  <c r="J454" s="1"/>
  <c r="E1028" i="15"/>
  <c r="D1028"/>
  <c r="C1028"/>
  <c r="G1027"/>
  <c r="E1027"/>
  <c r="D1027"/>
  <c r="C1027"/>
  <c r="M101" i="18"/>
  <c r="G1023" i="15"/>
  <c r="H1023" s="1"/>
  <c r="E1023"/>
  <c r="D1023"/>
  <c r="C1023"/>
  <c r="G1022"/>
  <c r="H1022" s="1"/>
  <c r="E1022"/>
  <c r="D1022"/>
  <c r="C1022"/>
  <c r="G1018"/>
  <c r="H1018" s="1"/>
  <c r="E1018"/>
  <c r="D1018"/>
  <c r="C1018"/>
  <c r="G1017"/>
  <c r="H1017" s="1"/>
  <c r="E1017"/>
  <c r="D1017"/>
  <c r="C1017"/>
  <c r="C452" i="16" l="1"/>
  <c r="G1028" i="15" s="1"/>
  <c r="H1028" s="1"/>
  <c r="H121" i="34"/>
  <c r="H1303" i="15"/>
  <c r="H1032"/>
  <c r="H1033"/>
  <c r="H120" i="34"/>
  <c r="H461" i="16"/>
  <c r="H1021" i="15"/>
  <c r="H1027"/>
  <c r="I454" i="16"/>
  <c r="H1016" i="15"/>
  <c r="H119" i="34" l="1"/>
  <c r="G1035" i="15" s="1"/>
  <c r="H1026"/>
  <c r="H1039"/>
  <c r="J461" i="16"/>
  <c r="I461"/>
  <c r="G59" i="15" l="1"/>
  <c r="H59" s="1"/>
  <c r="E59"/>
  <c r="D59"/>
  <c r="C59"/>
  <c r="E23" i="18" l="1"/>
  <c r="D23"/>
  <c r="G121" i="15"/>
  <c r="H121" s="1"/>
  <c r="E121"/>
  <c r="D121"/>
  <c r="C121"/>
  <c r="G120"/>
  <c r="H120" s="1"/>
  <c r="E120"/>
  <c r="D120"/>
  <c r="C120"/>
  <c r="G119"/>
  <c r="H119" s="1"/>
  <c r="E119"/>
  <c r="D119"/>
  <c r="C119"/>
  <c r="G118"/>
  <c r="H118" s="1"/>
  <c r="E118"/>
  <c r="D118"/>
  <c r="C118"/>
  <c r="H117" l="1"/>
  <c r="G23" i="18" s="1"/>
  <c r="F1221" i="15" l="1"/>
  <c r="G1221" l="1"/>
  <c r="E1221"/>
  <c r="D1221"/>
  <c r="C1221"/>
  <c r="H1221" l="1"/>
  <c r="H1220" s="1"/>
  <c r="G1165"/>
  <c r="H1165" s="1"/>
  <c r="E1165"/>
  <c r="D1165"/>
  <c r="C1165"/>
  <c r="E1164"/>
  <c r="D1164"/>
  <c r="C1164"/>
  <c r="G1162"/>
  <c r="H1162" s="1"/>
  <c r="E1162"/>
  <c r="D1162"/>
  <c r="C1162"/>
  <c r="E1163"/>
  <c r="D1163"/>
  <c r="C1163"/>
  <c r="G1166"/>
  <c r="E1166"/>
  <c r="D1166"/>
  <c r="C1166"/>
  <c r="E1158"/>
  <c r="D1158"/>
  <c r="C1158"/>
  <c r="G1157"/>
  <c r="H1157" s="1"/>
  <c r="E1157"/>
  <c r="D1157"/>
  <c r="C1157"/>
  <c r="E1156"/>
  <c r="D1156"/>
  <c r="C1156"/>
  <c r="G1155"/>
  <c r="F1155"/>
  <c r="E1155"/>
  <c r="D1155"/>
  <c r="C1155"/>
  <c r="G1154"/>
  <c r="F1154"/>
  <c r="E1154"/>
  <c r="D1154"/>
  <c r="C1154"/>
  <c r="G1153"/>
  <c r="F1153"/>
  <c r="E1153"/>
  <c r="D1153"/>
  <c r="C1153"/>
  <c r="G1152"/>
  <c r="F1152"/>
  <c r="E1152"/>
  <c r="D1152"/>
  <c r="C1152"/>
  <c r="H1155" l="1"/>
  <c r="H1152"/>
  <c r="H1153"/>
  <c r="H1166"/>
  <c r="H1154"/>
  <c r="H433" i="16" l="1"/>
  <c r="J433" s="1"/>
  <c r="C431"/>
  <c r="H111"/>
  <c r="J111" s="1"/>
  <c r="C109"/>
  <c r="H447"/>
  <c r="J447" s="1"/>
  <c r="C445"/>
  <c r="H440"/>
  <c r="J440" s="1"/>
  <c r="C438"/>
  <c r="G1145" i="15"/>
  <c r="H1145" s="1"/>
  <c r="E1145"/>
  <c r="D1145"/>
  <c r="C1145"/>
  <c r="E1148"/>
  <c r="D1148"/>
  <c r="C1148"/>
  <c r="E1147"/>
  <c r="D1147"/>
  <c r="C1147"/>
  <c r="G1146"/>
  <c r="H1146" s="1"/>
  <c r="E1146"/>
  <c r="D1146"/>
  <c r="C1146"/>
  <c r="E1144"/>
  <c r="D1144"/>
  <c r="C1144"/>
  <c r="E1214"/>
  <c r="D1214"/>
  <c r="C1214"/>
  <c r="G1214"/>
  <c r="H1214" s="1"/>
  <c r="G1144" l="1"/>
  <c r="H1144" s="1"/>
  <c r="I433" i="16"/>
  <c r="I111"/>
  <c r="I447"/>
  <c r="I440"/>
  <c r="E1217" i="15" l="1"/>
  <c r="D1217"/>
  <c r="C1217"/>
  <c r="E1216"/>
  <c r="D1216"/>
  <c r="C1216"/>
  <c r="G1215"/>
  <c r="H1215" s="1"/>
  <c r="E1215"/>
  <c r="D1215"/>
  <c r="C1215"/>
  <c r="E1213"/>
  <c r="D1213"/>
  <c r="C1213"/>
  <c r="E1140"/>
  <c r="D1140"/>
  <c r="C1140"/>
  <c r="G116" i="34"/>
  <c r="H116" s="1"/>
  <c r="E116"/>
  <c r="D116"/>
  <c r="C116"/>
  <c r="G115"/>
  <c r="H115" s="1"/>
  <c r="E115"/>
  <c r="D115"/>
  <c r="C115"/>
  <c r="G114"/>
  <c r="H114" s="1"/>
  <c r="E114"/>
  <c r="D114"/>
  <c r="C114"/>
  <c r="E1139" i="15"/>
  <c r="D1139"/>
  <c r="C1139"/>
  <c r="G110" i="34"/>
  <c r="H110" s="1"/>
  <c r="E110"/>
  <c r="D110"/>
  <c r="C110"/>
  <c r="G109"/>
  <c r="E109"/>
  <c r="D109"/>
  <c r="C109"/>
  <c r="G108"/>
  <c r="E108"/>
  <c r="D108"/>
  <c r="C108"/>
  <c r="G107"/>
  <c r="H107" s="1"/>
  <c r="E107"/>
  <c r="D107"/>
  <c r="C107"/>
  <c r="G106"/>
  <c r="H106" s="1"/>
  <c r="E106"/>
  <c r="D106"/>
  <c r="C106"/>
  <c r="C1138" i="15"/>
  <c r="E1137"/>
  <c r="D1137"/>
  <c r="C1137"/>
  <c r="H113" i="34" l="1"/>
  <c r="G1148" i="15" s="1"/>
  <c r="H1148" s="1"/>
  <c r="H108" i="34"/>
  <c r="H109"/>
  <c r="H105" l="1"/>
  <c r="G1217" i="15"/>
  <c r="H1217" s="1"/>
  <c r="G1140"/>
  <c r="G1216" l="1"/>
  <c r="H1216" s="1"/>
  <c r="G1147"/>
  <c r="H1147" s="1"/>
  <c r="G1139"/>
  <c r="H104" i="16"/>
  <c r="J104" s="1"/>
  <c r="C102"/>
  <c r="G1131" i="15" s="1"/>
  <c r="H1131" s="1"/>
  <c r="E1133"/>
  <c r="D1133"/>
  <c r="C1133"/>
  <c r="G1132"/>
  <c r="H1132" s="1"/>
  <c r="E1132"/>
  <c r="D1132"/>
  <c r="C1132"/>
  <c r="E1131"/>
  <c r="D1131"/>
  <c r="C1131"/>
  <c r="G1130"/>
  <c r="F1130"/>
  <c r="E1130"/>
  <c r="D1130"/>
  <c r="C1130"/>
  <c r="G1129"/>
  <c r="F1129"/>
  <c r="E1129"/>
  <c r="D1129"/>
  <c r="C1129"/>
  <c r="G1128"/>
  <c r="F1128"/>
  <c r="E1128"/>
  <c r="D1128"/>
  <c r="C1128"/>
  <c r="G1127"/>
  <c r="F1127"/>
  <c r="E1127"/>
  <c r="D1127"/>
  <c r="C1127"/>
  <c r="E1123"/>
  <c r="D1123"/>
  <c r="C1123"/>
  <c r="G1122"/>
  <c r="H1122" s="1"/>
  <c r="E1122"/>
  <c r="D1122"/>
  <c r="C1122"/>
  <c r="E1121"/>
  <c r="D1121"/>
  <c r="C1121"/>
  <c r="G1120"/>
  <c r="F1120"/>
  <c r="E1120"/>
  <c r="D1120"/>
  <c r="C1120"/>
  <c r="G1119"/>
  <c r="F1119"/>
  <c r="E1119"/>
  <c r="D1119"/>
  <c r="C1119"/>
  <c r="G1118"/>
  <c r="F1118"/>
  <c r="E1118"/>
  <c r="D1118"/>
  <c r="C1118"/>
  <c r="G1117"/>
  <c r="F1117"/>
  <c r="E1117"/>
  <c r="D1117"/>
  <c r="C1117"/>
  <c r="H1128" l="1"/>
  <c r="H1130"/>
  <c r="I104" i="16"/>
  <c r="H1120" i="15"/>
  <c r="H1129"/>
  <c r="H1117"/>
  <c r="H1118"/>
  <c r="H1127"/>
  <c r="H1119"/>
  <c r="F1107" l="1"/>
  <c r="F1108"/>
  <c r="F1109"/>
  <c r="F1110"/>
  <c r="H1140" l="1"/>
  <c r="H1139"/>
  <c r="G1138"/>
  <c r="H1138" s="1"/>
  <c r="E1138"/>
  <c r="D1138"/>
  <c r="G89" l="1"/>
  <c r="H89" s="1"/>
  <c r="E89"/>
  <c r="D89"/>
  <c r="C89"/>
  <c r="G88"/>
  <c r="H88" s="1"/>
  <c r="E88"/>
  <c r="D88"/>
  <c r="C88"/>
  <c r="G87"/>
  <c r="H87" s="1"/>
  <c r="E87"/>
  <c r="D87"/>
  <c r="C87"/>
  <c r="G86"/>
  <c r="H86" s="1"/>
  <c r="E86"/>
  <c r="D86"/>
  <c r="C86"/>
  <c r="G1013" l="1"/>
  <c r="H1013" s="1"/>
  <c r="H1012" s="1"/>
  <c r="E1013"/>
  <c r="D1013"/>
  <c r="C1013"/>
  <c r="G102" i="34" l="1"/>
  <c r="F102"/>
  <c r="E102"/>
  <c r="D102"/>
  <c r="C102"/>
  <c r="G101"/>
  <c r="F101"/>
  <c r="E101"/>
  <c r="D101"/>
  <c r="C101"/>
  <c r="G100"/>
  <c r="F100"/>
  <c r="E100"/>
  <c r="D100"/>
  <c r="C100"/>
  <c r="G99"/>
  <c r="F99"/>
  <c r="E99"/>
  <c r="D99"/>
  <c r="C99"/>
  <c r="G98"/>
  <c r="F98"/>
  <c r="E98"/>
  <c r="D98"/>
  <c r="C98"/>
  <c r="G97"/>
  <c r="F97"/>
  <c r="E97"/>
  <c r="D97"/>
  <c r="C97"/>
  <c r="G96"/>
  <c r="F96"/>
  <c r="E96"/>
  <c r="D96"/>
  <c r="C96"/>
  <c r="G95"/>
  <c r="F95"/>
  <c r="E95"/>
  <c r="D95"/>
  <c r="C95"/>
  <c r="G94"/>
  <c r="F94"/>
  <c r="E94"/>
  <c r="D94"/>
  <c r="C94"/>
  <c r="G93"/>
  <c r="F93"/>
  <c r="E93"/>
  <c r="D93"/>
  <c r="C93"/>
  <c r="E627" i="15"/>
  <c r="D627"/>
  <c r="C627"/>
  <c r="F81" i="34"/>
  <c r="F80"/>
  <c r="H426" i="16"/>
  <c r="J426" s="1"/>
  <c r="C424"/>
  <c r="H626" i="15"/>
  <c r="H102" i="34" l="1"/>
  <c r="H101"/>
  <c r="H99"/>
  <c r="H100"/>
  <c r="H93"/>
  <c r="H97"/>
  <c r="H96"/>
  <c r="H98"/>
  <c r="H95"/>
  <c r="H94"/>
  <c r="I426" i="16"/>
  <c r="H92" i="34" l="1"/>
  <c r="G1009" i="15" l="1"/>
  <c r="H1009" s="1"/>
  <c r="H1008" s="1"/>
  <c r="E1009"/>
  <c r="D1009"/>
  <c r="C1009"/>
  <c r="H419" i="16" l="1"/>
  <c r="J419" s="1"/>
  <c r="C417"/>
  <c r="G996" i="15" s="1"/>
  <c r="H996" s="1"/>
  <c r="H995" s="1"/>
  <c r="G1003"/>
  <c r="F1003"/>
  <c r="E1003"/>
  <c r="D1003"/>
  <c r="C1003"/>
  <c r="G1002"/>
  <c r="F1002"/>
  <c r="E1002"/>
  <c r="D1002"/>
  <c r="C1002"/>
  <c r="G1001"/>
  <c r="F1001"/>
  <c r="E1001"/>
  <c r="D1001"/>
  <c r="C1001"/>
  <c r="G1000"/>
  <c r="F1000"/>
  <c r="E1000"/>
  <c r="D1000"/>
  <c r="C1000"/>
  <c r="E996"/>
  <c r="D996"/>
  <c r="C996"/>
  <c r="F990"/>
  <c r="F989"/>
  <c r="F988"/>
  <c r="F987"/>
  <c r="H412" i="16"/>
  <c r="J412" s="1"/>
  <c r="C410"/>
  <c r="G983" i="15" s="1"/>
  <c r="H983" s="1"/>
  <c r="H982" s="1"/>
  <c r="G990"/>
  <c r="E990"/>
  <c r="D990"/>
  <c r="C990"/>
  <c r="G989"/>
  <c r="E989"/>
  <c r="D989"/>
  <c r="C989"/>
  <c r="G988"/>
  <c r="E988"/>
  <c r="D988"/>
  <c r="C988"/>
  <c r="G987"/>
  <c r="E987"/>
  <c r="D987"/>
  <c r="C987"/>
  <c r="E983"/>
  <c r="D983"/>
  <c r="C983"/>
  <c r="H405" i="16"/>
  <c r="J405" s="1"/>
  <c r="C403"/>
  <c r="H398"/>
  <c r="I398" s="1"/>
  <c r="C396"/>
  <c r="H391"/>
  <c r="I391" s="1"/>
  <c r="C389"/>
  <c r="G970" i="15" s="1"/>
  <c r="H970" s="1"/>
  <c r="H969" s="1"/>
  <c r="G977"/>
  <c r="F977"/>
  <c r="E977"/>
  <c r="D977"/>
  <c r="C977"/>
  <c r="G976"/>
  <c r="F976"/>
  <c r="E976"/>
  <c r="D976"/>
  <c r="C976"/>
  <c r="G975"/>
  <c r="F975"/>
  <c r="E975"/>
  <c r="D975"/>
  <c r="C975"/>
  <c r="G974"/>
  <c r="F974"/>
  <c r="E974"/>
  <c r="D974"/>
  <c r="C974"/>
  <c r="E970"/>
  <c r="D970"/>
  <c r="C970"/>
  <c r="H384" i="16"/>
  <c r="J384" s="1"/>
  <c r="C382"/>
  <c r="G957" i="15" s="1"/>
  <c r="H957" s="1"/>
  <c r="H956" s="1"/>
  <c r="G964"/>
  <c r="F964"/>
  <c r="E964"/>
  <c r="D964"/>
  <c r="C964"/>
  <c r="G963"/>
  <c r="F963"/>
  <c r="E963"/>
  <c r="D963"/>
  <c r="C963"/>
  <c r="G962"/>
  <c r="F962"/>
  <c r="E962"/>
  <c r="D962"/>
  <c r="C962"/>
  <c r="G961"/>
  <c r="F961"/>
  <c r="E961"/>
  <c r="D961"/>
  <c r="C961"/>
  <c r="E957"/>
  <c r="D957"/>
  <c r="C957"/>
  <c r="H377" i="16"/>
  <c r="J377" s="1"/>
  <c r="C375"/>
  <c r="G1300" i="15"/>
  <c r="F1300"/>
  <c r="E1300"/>
  <c r="D1300"/>
  <c r="C1300"/>
  <c r="G1299"/>
  <c r="F1299"/>
  <c r="E1299"/>
  <c r="D1299"/>
  <c r="C1299"/>
  <c r="G1298"/>
  <c r="F1298"/>
  <c r="E1298"/>
  <c r="D1298"/>
  <c r="C1298"/>
  <c r="G1297"/>
  <c r="F1297"/>
  <c r="E1297"/>
  <c r="D1297"/>
  <c r="C1297"/>
  <c r="G1296"/>
  <c r="F1296"/>
  <c r="E1296"/>
  <c r="D1296"/>
  <c r="C1296"/>
  <c r="G1295"/>
  <c r="F1295"/>
  <c r="E1295"/>
  <c r="D1295"/>
  <c r="C1295"/>
  <c r="G1294"/>
  <c r="F1294"/>
  <c r="E1294"/>
  <c r="D1294"/>
  <c r="C1294"/>
  <c r="G1293"/>
  <c r="F1293"/>
  <c r="E1293"/>
  <c r="D1293"/>
  <c r="C1293"/>
  <c r="G1292"/>
  <c r="F1292"/>
  <c r="E1292"/>
  <c r="D1292"/>
  <c r="C1292"/>
  <c r="G1291"/>
  <c r="F1291"/>
  <c r="E1291"/>
  <c r="D1291"/>
  <c r="C1291"/>
  <c r="F949"/>
  <c r="F948"/>
  <c r="F951"/>
  <c r="F950"/>
  <c r="G951"/>
  <c r="E951"/>
  <c r="D951"/>
  <c r="C951"/>
  <c r="G950"/>
  <c r="E950"/>
  <c r="D950"/>
  <c r="C950"/>
  <c r="G949"/>
  <c r="H949" s="1"/>
  <c r="E949"/>
  <c r="D949"/>
  <c r="C949"/>
  <c r="G948"/>
  <c r="E948"/>
  <c r="D948"/>
  <c r="C948"/>
  <c r="H370" i="16"/>
  <c r="J370" s="1"/>
  <c r="C368"/>
  <c r="G944" i="15" s="1"/>
  <c r="H944" s="1"/>
  <c r="H943" s="1"/>
  <c r="E944"/>
  <c r="D944"/>
  <c r="C944"/>
  <c r="G938"/>
  <c r="F938"/>
  <c r="E938"/>
  <c r="D938"/>
  <c r="C938"/>
  <c r="G937"/>
  <c r="F937"/>
  <c r="E937"/>
  <c r="D937"/>
  <c r="C937"/>
  <c r="G936"/>
  <c r="F936"/>
  <c r="E936"/>
  <c r="D936"/>
  <c r="C936"/>
  <c r="G935"/>
  <c r="F935"/>
  <c r="E935"/>
  <c r="D935"/>
  <c r="C935"/>
  <c r="H363" i="16"/>
  <c r="J363" s="1"/>
  <c r="C361"/>
  <c r="G931" i="15" s="1"/>
  <c r="H931" s="1"/>
  <c r="H930" s="1"/>
  <c r="E931"/>
  <c r="D931"/>
  <c r="C931"/>
  <c r="H356" i="16"/>
  <c r="J356" s="1"/>
  <c r="C354"/>
  <c r="G918" i="15" s="1"/>
  <c r="H918" s="1"/>
  <c r="H917" s="1"/>
  <c r="G925"/>
  <c r="F925"/>
  <c r="E925"/>
  <c r="D925"/>
  <c r="C925"/>
  <c r="G924"/>
  <c r="F924"/>
  <c r="E924"/>
  <c r="D924"/>
  <c r="C924"/>
  <c r="G923"/>
  <c r="F923"/>
  <c r="E923"/>
  <c r="D923"/>
  <c r="C923"/>
  <c r="G922"/>
  <c r="F922"/>
  <c r="E922"/>
  <c r="D922"/>
  <c r="C922"/>
  <c r="E918"/>
  <c r="D918"/>
  <c r="C918"/>
  <c r="J398" i="16" l="1"/>
  <c r="I356"/>
  <c r="I384"/>
  <c r="J391"/>
  <c r="H1300" i="15"/>
  <c r="H1297"/>
  <c r="H1298"/>
  <c r="H1299"/>
  <c r="H990"/>
  <c r="H1002"/>
  <c r="H1003"/>
  <c r="H1000"/>
  <c r="H1001"/>
  <c r="I419" i="16"/>
  <c r="H987" i="15"/>
  <c r="H988"/>
  <c r="H989"/>
  <c r="I412" i="16"/>
  <c r="H977" i="15"/>
  <c r="I405" i="16"/>
  <c r="H964" i="15"/>
  <c r="H974"/>
  <c r="H976"/>
  <c r="H975"/>
  <c r="H963"/>
  <c r="H961"/>
  <c r="H1293"/>
  <c r="H1292"/>
  <c r="H1296"/>
  <c r="H962"/>
  <c r="H948"/>
  <c r="H951"/>
  <c r="H1294"/>
  <c r="H1291"/>
  <c r="H1295"/>
  <c r="I377" i="16"/>
  <c r="H950" i="15"/>
  <c r="I370" i="16"/>
  <c r="H925" i="15"/>
  <c r="H938"/>
  <c r="H935"/>
  <c r="H936"/>
  <c r="H937"/>
  <c r="H922"/>
  <c r="I363" i="16"/>
  <c r="H923" i="15"/>
  <c r="H924"/>
  <c r="H349" i="16"/>
  <c r="J349" s="1"/>
  <c r="C347"/>
  <c r="G905" i="15" s="1"/>
  <c r="H905" s="1"/>
  <c r="H904" s="1"/>
  <c r="F912"/>
  <c r="F911"/>
  <c r="F910"/>
  <c r="F909"/>
  <c r="E905"/>
  <c r="D905"/>
  <c r="C905"/>
  <c r="H914"/>
  <c r="G912"/>
  <c r="E912"/>
  <c r="D912"/>
  <c r="C912"/>
  <c r="G911"/>
  <c r="E911"/>
  <c r="D911"/>
  <c r="C911"/>
  <c r="G910"/>
  <c r="E910"/>
  <c r="D910"/>
  <c r="C910"/>
  <c r="G909"/>
  <c r="E909"/>
  <c r="D909"/>
  <c r="C909"/>
  <c r="H999" l="1"/>
  <c r="H986"/>
  <c r="H973"/>
  <c r="H960"/>
  <c r="H1290"/>
  <c r="H947"/>
  <c r="H934"/>
  <c r="H912"/>
  <c r="H921"/>
  <c r="I349" i="16"/>
  <c r="H911" i="15"/>
  <c r="H909"/>
  <c r="H910"/>
  <c r="E41" i="18"/>
  <c r="D41"/>
  <c r="G114" i="15"/>
  <c r="E114"/>
  <c r="D114"/>
  <c r="C114"/>
  <c r="G113"/>
  <c r="H113" s="1"/>
  <c r="E113"/>
  <c r="D113"/>
  <c r="C113"/>
  <c r="H908" l="1"/>
  <c r="H114"/>
  <c r="H112" s="1"/>
  <c r="G41" i="18" s="1"/>
  <c r="A530" i="16" l="1"/>
  <c r="F181" i="29"/>
  <c r="F183" s="1"/>
  <c r="D180"/>
  <c r="E180"/>
  <c r="G180"/>
  <c r="F1173" i="15"/>
  <c r="F1172"/>
  <c r="F1171"/>
  <c r="F1170"/>
  <c r="G1171"/>
  <c r="E1171"/>
  <c r="D1171"/>
  <c r="C1171"/>
  <c r="G1172"/>
  <c r="E1172"/>
  <c r="D1172"/>
  <c r="C1172"/>
  <c r="G96"/>
  <c r="H96" s="1"/>
  <c r="E96"/>
  <c r="D96"/>
  <c r="C96"/>
  <c r="G95"/>
  <c r="H95" s="1"/>
  <c r="E95"/>
  <c r="D95"/>
  <c r="C95"/>
  <c r="G94"/>
  <c r="H94" s="1"/>
  <c r="E94"/>
  <c r="D94"/>
  <c r="C94"/>
  <c r="G93"/>
  <c r="H93" s="1"/>
  <c r="E93"/>
  <c r="D93"/>
  <c r="C93"/>
  <c r="H1172" l="1"/>
  <c r="H1171"/>
  <c r="H92"/>
  <c r="G82" l="1"/>
  <c r="H82" s="1"/>
  <c r="E82"/>
  <c r="D82"/>
  <c r="C82"/>
  <c r="G81"/>
  <c r="H81" s="1"/>
  <c r="E81"/>
  <c r="D81"/>
  <c r="C81"/>
  <c r="G80"/>
  <c r="H80" s="1"/>
  <c r="E80"/>
  <c r="D80"/>
  <c r="C80"/>
  <c r="G79"/>
  <c r="H79" s="1"/>
  <c r="E79"/>
  <c r="D79"/>
  <c r="C79"/>
  <c r="D245" l="1"/>
  <c r="G48" l="1"/>
  <c r="H48" s="1"/>
  <c r="E48"/>
  <c r="D48"/>
  <c r="C48"/>
  <c r="G47"/>
  <c r="H47" s="1"/>
  <c r="E47"/>
  <c r="D47"/>
  <c r="C47"/>
  <c r="G46"/>
  <c r="H46" s="1"/>
  <c r="E46"/>
  <c r="D46"/>
  <c r="C46"/>
  <c r="G45"/>
  <c r="H45" s="1"/>
  <c r="E45"/>
  <c r="D45"/>
  <c r="C45"/>
  <c r="G686" l="1"/>
  <c r="H686" s="1"/>
  <c r="E686"/>
  <c r="D686"/>
  <c r="C686"/>
  <c r="G735"/>
  <c r="H735" s="1"/>
  <c r="E735"/>
  <c r="D735"/>
  <c r="C735"/>
  <c r="G734"/>
  <c r="F734"/>
  <c r="E734"/>
  <c r="D734"/>
  <c r="C734"/>
  <c r="G733"/>
  <c r="F733"/>
  <c r="E733"/>
  <c r="D733"/>
  <c r="C733"/>
  <c r="G732"/>
  <c r="F732"/>
  <c r="E732"/>
  <c r="D732"/>
  <c r="C732"/>
  <c r="G731"/>
  <c r="F731"/>
  <c r="E731"/>
  <c r="D731"/>
  <c r="C731"/>
  <c r="G730"/>
  <c r="F730"/>
  <c r="E730"/>
  <c r="D730"/>
  <c r="C730"/>
  <c r="G729"/>
  <c r="F729"/>
  <c r="E729"/>
  <c r="D729"/>
  <c r="C729"/>
  <c r="H730" l="1"/>
  <c r="H734"/>
  <c r="H733"/>
  <c r="H731"/>
  <c r="H732"/>
  <c r="H729"/>
  <c r="F725" l="1"/>
  <c r="F724"/>
  <c r="F723" s="1"/>
  <c r="G717"/>
  <c r="H717" s="1"/>
  <c r="E717"/>
  <c r="D717"/>
  <c r="C717"/>
  <c r="G705"/>
  <c r="H705" s="1"/>
  <c r="E705"/>
  <c r="D705"/>
  <c r="C705"/>
  <c r="G694"/>
  <c r="F694"/>
  <c r="E694"/>
  <c r="D694"/>
  <c r="C694"/>
  <c r="G693"/>
  <c r="F693"/>
  <c r="E693"/>
  <c r="D693"/>
  <c r="C693"/>
  <c r="G692"/>
  <c r="F692"/>
  <c r="E692"/>
  <c r="D692"/>
  <c r="C692"/>
  <c r="H694" l="1"/>
  <c r="H692"/>
  <c r="H693"/>
  <c r="G17"/>
  <c r="H17" s="1"/>
  <c r="E17"/>
  <c r="D17"/>
  <c r="C17"/>
  <c r="C615" l="1"/>
  <c r="D615"/>
  <c r="E615"/>
  <c r="G615"/>
  <c r="H615" s="1"/>
  <c r="G68" i="34"/>
  <c r="G69"/>
  <c r="G70"/>
  <c r="G71"/>
  <c r="G72"/>
  <c r="G73"/>
  <c r="G74"/>
  <c r="G75"/>
  <c r="G76"/>
  <c r="G67"/>
  <c r="C68"/>
  <c r="D68"/>
  <c r="E68"/>
  <c r="C69"/>
  <c r="D69"/>
  <c r="E69"/>
  <c r="C70"/>
  <c r="D70"/>
  <c r="E70"/>
  <c r="C71"/>
  <c r="D71"/>
  <c r="E71"/>
  <c r="C72"/>
  <c r="D72"/>
  <c r="E72"/>
  <c r="C73"/>
  <c r="D73"/>
  <c r="E73"/>
  <c r="C74"/>
  <c r="D74"/>
  <c r="E74"/>
  <c r="C75"/>
  <c r="D75"/>
  <c r="E75"/>
  <c r="C76"/>
  <c r="D76"/>
  <c r="E76"/>
  <c r="E67"/>
  <c r="D67"/>
  <c r="C67"/>
  <c r="F76"/>
  <c r="F75"/>
  <c r="F74"/>
  <c r="F73"/>
  <c r="F72"/>
  <c r="F71"/>
  <c r="F70"/>
  <c r="F69"/>
  <c r="F68"/>
  <c r="F67"/>
  <c r="H76" l="1"/>
  <c r="H73"/>
  <c r="H69"/>
  <c r="H72"/>
  <c r="H68"/>
  <c r="H71"/>
  <c r="H70"/>
  <c r="H74"/>
  <c r="H67"/>
  <c r="H75"/>
  <c r="E901" i="15" l="1"/>
  <c r="D901"/>
  <c r="C901"/>
  <c r="F52" i="34" l="1"/>
  <c r="G53"/>
  <c r="H53" s="1"/>
  <c r="E53"/>
  <c r="D53"/>
  <c r="C53"/>
  <c r="E52"/>
  <c r="D52"/>
  <c r="C52"/>
  <c r="G51"/>
  <c r="H51" s="1"/>
  <c r="E51"/>
  <c r="D51"/>
  <c r="C51"/>
  <c r="G50"/>
  <c r="H50" s="1"/>
  <c r="E50"/>
  <c r="D50"/>
  <c r="C50"/>
  <c r="G49"/>
  <c r="H49" s="1"/>
  <c r="E49"/>
  <c r="D49"/>
  <c r="C49"/>
  <c r="G48"/>
  <c r="H48" s="1"/>
  <c r="E48"/>
  <c r="D48"/>
  <c r="C48"/>
  <c r="G47"/>
  <c r="H47" s="1"/>
  <c r="E47"/>
  <c r="D47"/>
  <c r="C47"/>
  <c r="G46"/>
  <c r="H46" s="1"/>
  <c r="E46"/>
  <c r="D46"/>
  <c r="C46"/>
  <c r="G45"/>
  <c r="H45" s="1"/>
  <c r="E45"/>
  <c r="D45"/>
  <c r="C45"/>
  <c r="G900" i="15"/>
  <c r="H900" s="1"/>
  <c r="E900"/>
  <c r="D900"/>
  <c r="C900"/>
  <c r="G899"/>
  <c r="H899" s="1"/>
  <c r="E899"/>
  <c r="D899"/>
  <c r="C899"/>
  <c r="H342" i="16"/>
  <c r="J342" s="1"/>
  <c r="C340"/>
  <c r="G895" i="15" s="1"/>
  <c r="H895" s="1"/>
  <c r="C333" i="16"/>
  <c r="G894" i="15" s="1"/>
  <c r="H894" s="1"/>
  <c r="H335" i="16"/>
  <c r="J335" s="1"/>
  <c r="E895" i="15"/>
  <c r="D895"/>
  <c r="C895"/>
  <c r="E894"/>
  <c r="D894"/>
  <c r="C894"/>
  <c r="G893"/>
  <c r="H893" s="1"/>
  <c r="E893"/>
  <c r="D893"/>
  <c r="C893"/>
  <c r="G598"/>
  <c r="H598" s="1"/>
  <c r="G597"/>
  <c r="H597" s="1"/>
  <c r="F593"/>
  <c r="F590"/>
  <c r="F591"/>
  <c r="F592"/>
  <c r="F589"/>
  <c r="G599"/>
  <c r="H599" s="1"/>
  <c r="E599"/>
  <c r="D599"/>
  <c r="C599"/>
  <c r="E598"/>
  <c r="D598"/>
  <c r="C598"/>
  <c r="E597"/>
  <c r="D597"/>
  <c r="C597"/>
  <c r="G596"/>
  <c r="H596" s="1"/>
  <c r="E596"/>
  <c r="D596"/>
  <c r="C596"/>
  <c r="G595"/>
  <c r="H595" s="1"/>
  <c r="E595"/>
  <c r="D595"/>
  <c r="C595"/>
  <c r="G594"/>
  <c r="H594" s="1"/>
  <c r="E594"/>
  <c r="D594"/>
  <c r="C594"/>
  <c r="G602"/>
  <c r="H602" s="1"/>
  <c r="E602"/>
  <c r="D602"/>
  <c r="C602"/>
  <c r="G601"/>
  <c r="H601" s="1"/>
  <c r="E601"/>
  <c r="D601"/>
  <c r="C601"/>
  <c r="F584"/>
  <c r="H328" i="16"/>
  <c r="J328" s="1"/>
  <c r="C326"/>
  <c r="G52" i="34" s="1"/>
  <c r="G585" i="15"/>
  <c r="H585" s="1"/>
  <c r="E585"/>
  <c r="D585"/>
  <c r="C585"/>
  <c r="E584"/>
  <c r="D584"/>
  <c r="C584"/>
  <c r="F583"/>
  <c r="G583"/>
  <c r="E583"/>
  <c r="D583"/>
  <c r="C583"/>
  <c r="F574"/>
  <c r="F575"/>
  <c r="F573"/>
  <c r="F572"/>
  <c r="F571"/>
  <c r="G572"/>
  <c r="E572"/>
  <c r="D572"/>
  <c r="C572"/>
  <c r="F7614" i="27"/>
  <c r="F7615"/>
  <c r="F7616"/>
  <c r="F7617"/>
  <c r="F7618"/>
  <c r="F7619"/>
  <c r="G579" i="15"/>
  <c r="H579" s="1"/>
  <c r="E579"/>
  <c r="D579"/>
  <c r="C579"/>
  <c r="G578"/>
  <c r="H578" s="1"/>
  <c r="E578"/>
  <c r="D578"/>
  <c r="C578"/>
  <c r="H581"/>
  <c r="G577"/>
  <c r="E577"/>
  <c r="D577"/>
  <c r="C577"/>
  <c r="G576"/>
  <c r="H576" s="1"/>
  <c r="E576"/>
  <c r="D576"/>
  <c r="C576"/>
  <c r="G575"/>
  <c r="E575"/>
  <c r="D575"/>
  <c r="C575"/>
  <c r="G574"/>
  <c r="E574"/>
  <c r="D574"/>
  <c r="C574"/>
  <c r="G573"/>
  <c r="E573"/>
  <c r="D573"/>
  <c r="C573"/>
  <c r="G584" l="1"/>
  <c r="H584" s="1"/>
  <c r="H892"/>
  <c r="H575"/>
  <c r="H52" i="34"/>
  <c r="H44" s="1"/>
  <c r="G901" i="15" s="1"/>
  <c r="H901" s="1"/>
  <c r="H898" s="1"/>
  <c r="I342" i="16"/>
  <c r="I335"/>
  <c r="I328"/>
  <c r="H583" i="15"/>
  <c r="H577"/>
  <c r="H574"/>
  <c r="H573"/>
  <c r="H572"/>
  <c r="G567"/>
  <c r="E567"/>
  <c r="D567"/>
  <c r="C567"/>
  <c r="M112" i="18"/>
  <c r="M111"/>
  <c r="M110"/>
  <c r="E119"/>
  <c r="D119"/>
  <c r="F885" i="15"/>
  <c r="F886"/>
  <c r="F887"/>
  <c r="F884"/>
  <c r="F888"/>
  <c r="H321" i="16"/>
  <c r="J321" s="1"/>
  <c r="C319"/>
  <c r="G888" i="15" s="1"/>
  <c r="E888"/>
  <c r="D888"/>
  <c r="C888"/>
  <c r="G887"/>
  <c r="E887"/>
  <c r="D887"/>
  <c r="C887"/>
  <c r="G886"/>
  <c r="E886"/>
  <c r="D886"/>
  <c r="C886"/>
  <c r="G885"/>
  <c r="E885"/>
  <c r="D885"/>
  <c r="C885"/>
  <c r="G884"/>
  <c r="E884"/>
  <c r="D884"/>
  <c r="C884"/>
  <c r="H314" i="16"/>
  <c r="J314" s="1"/>
  <c r="C312"/>
  <c r="G880" i="15" s="1"/>
  <c r="H880" s="1"/>
  <c r="E880"/>
  <c r="D880"/>
  <c r="C880"/>
  <c r="G879"/>
  <c r="H879" s="1"/>
  <c r="E879"/>
  <c r="D879"/>
  <c r="C879"/>
  <c r="G878"/>
  <c r="H878" s="1"/>
  <c r="E878"/>
  <c r="D878"/>
  <c r="C878"/>
  <c r="G877"/>
  <c r="H877" s="1"/>
  <c r="E877"/>
  <c r="D877"/>
  <c r="C877"/>
  <c r="G876"/>
  <c r="H876" s="1"/>
  <c r="E876"/>
  <c r="D876"/>
  <c r="C876"/>
  <c r="G554"/>
  <c r="H554" s="1"/>
  <c r="E554"/>
  <c r="D554"/>
  <c r="C554"/>
  <c r="G553"/>
  <c r="H553" s="1"/>
  <c r="E553"/>
  <c r="D553"/>
  <c r="C553"/>
  <c r="C555"/>
  <c r="D555"/>
  <c r="E555"/>
  <c r="H307" i="16"/>
  <c r="J307" s="1"/>
  <c r="C305"/>
  <c r="G555" i="15" s="1"/>
  <c r="H555" s="1"/>
  <c r="J550"/>
  <c r="E546"/>
  <c r="D546"/>
  <c r="C546"/>
  <c r="F39" i="34"/>
  <c r="F38"/>
  <c r="H300" i="16"/>
  <c r="J300" s="1"/>
  <c r="C298"/>
  <c r="G40" i="34" s="1"/>
  <c r="H40" s="1"/>
  <c r="E40"/>
  <c r="D40"/>
  <c r="C40"/>
  <c r="G39"/>
  <c r="E39"/>
  <c r="D39"/>
  <c r="C39"/>
  <c r="F544" i="15"/>
  <c r="F543"/>
  <c r="G189" i="18" l="1"/>
  <c r="D189"/>
  <c r="E189"/>
  <c r="E188"/>
  <c r="D188"/>
  <c r="G188"/>
  <c r="G192"/>
  <c r="E192"/>
  <c r="D192"/>
  <c r="E263"/>
  <c r="D263"/>
  <c r="G263"/>
  <c r="E266"/>
  <c r="E265"/>
  <c r="D266"/>
  <c r="D265"/>
  <c r="D264"/>
  <c r="E264"/>
  <c r="E262"/>
  <c r="D262"/>
  <c r="G169" i="29"/>
  <c r="D169"/>
  <c r="G170"/>
  <c r="E169"/>
  <c r="E170"/>
  <c r="D170"/>
  <c r="G180" i="18"/>
  <c r="G300"/>
  <c r="D300"/>
  <c r="E300"/>
  <c r="H39" i="34"/>
  <c r="D198" i="18"/>
  <c r="G198"/>
  <c r="G197"/>
  <c r="E198"/>
  <c r="E197"/>
  <c r="D197"/>
  <c r="G158"/>
  <c r="E253"/>
  <c r="G253"/>
  <c r="D253"/>
  <c r="D108"/>
  <c r="G149"/>
  <c r="E149"/>
  <c r="D149"/>
  <c r="E180"/>
  <c r="D180"/>
  <c r="G115"/>
  <c r="E108"/>
  <c r="D115"/>
  <c r="E115"/>
  <c r="G108"/>
  <c r="E137"/>
  <c r="D137"/>
  <c r="G137"/>
  <c r="G72"/>
  <c r="E72"/>
  <c r="D72"/>
  <c r="E311"/>
  <c r="G311"/>
  <c r="D311"/>
  <c r="G309"/>
  <c r="E309"/>
  <c r="D309"/>
  <c r="D258"/>
  <c r="G258"/>
  <c r="E258"/>
  <c r="D193"/>
  <c r="E193"/>
  <c r="G193"/>
  <c r="E187"/>
  <c r="D187"/>
  <c r="E178"/>
  <c r="D178"/>
  <c r="G178"/>
  <c r="G43"/>
  <c r="D43"/>
  <c r="E43"/>
  <c r="G40"/>
  <c r="D40"/>
  <c r="E40"/>
  <c r="H885" i="15"/>
  <c r="G308" i="18"/>
  <c r="E308"/>
  <c r="D308"/>
  <c r="G307"/>
  <c r="E307"/>
  <c r="D307"/>
  <c r="D147"/>
  <c r="E147"/>
  <c r="G306"/>
  <c r="E306"/>
  <c r="D306"/>
  <c r="G145"/>
  <c r="E144"/>
  <c r="E145"/>
  <c r="D144"/>
  <c r="D145"/>
  <c r="G144"/>
  <c r="D141"/>
  <c r="D139"/>
  <c r="D138"/>
  <c r="E104"/>
  <c r="E141"/>
  <c r="E139"/>
  <c r="E138"/>
  <c r="G141"/>
  <c r="G139"/>
  <c r="G138"/>
  <c r="D104"/>
  <c r="G104"/>
  <c r="D101"/>
  <c r="G102"/>
  <c r="E102"/>
  <c r="E101"/>
  <c r="D102"/>
  <c r="G101"/>
  <c r="E256"/>
  <c r="D256"/>
  <c r="D247"/>
  <c r="E247"/>
  <c r="E251"/>
  <c r="D251"/>
  <c r="E248"/>
  <c r="D248"/>
  <c r="E250"/>
  <c r="D250"/>
  <c r="G150"/>
  <c r="D150"/>
  <c r="E150"/>
  <c r="E158"/>
  <c r="D158"/>
  <c r="E181"/>
  <c r="D181"/>
  <c r="G181"/>
  <c r="E305"/>
  <c r="D305"/>
  <c r="E175"/>
  <c r="D174"/>
  <c r="D171"/>
  <c r="D172"/>
  <c r="D170"/>
  <c r="D175"/>
  <c r="G173"/>
  <c r="G172"/>
  <c r="G170"/>
  <c r="G175"/>
  <c r="D173"/>
  <c r="E171"/>
  <c r="G174"/>
  <c r="E173"/>
  <c r="E172"/>
  <c r="G171"/>
  <c r="E170"/>
  <c r="E174"/>
  <c r="G169"/>
  <c r="E169"/>
  <c r="D169"/>
  <c r="E168"/>
  <c r="G167"/>
  <c r="E166"/>
  <c r="D165"/>
  <c r="G163"/>
  <c r="E162"/>
  <c r="D168"/>
  <c r="E167"/>
  <c r="D166"/>
  <c r="G164"/>
  <c r="E163"/>
  <c r="D162"/>
  <c r="D167"/>
  <c r="G165"/>
  <c r="E164"/>
  <c r="D163"/>
  <c r="E161"/>
  <c r="G168"/>
  <c r="G166"/>
  <c r="E165"/>
  <c r="D164"/>
  <c r="G162"/>
  <c r="D161"/>
  <c r="G161"/>
  <c r="G160"/>
  <c r="E160"/>
  <c r="D160"/>
  <c r="I314" i="16"/>
  <c r="H887" i="15"/>
  <c r="G132" i="18"/>
  <c r="E132"/>
  <c r="D132"/>
  <c r="D129"/>
  <c r="E129"/>
  <c r="H886" i="15"/>
  <c r="E113" i="18"/>
  <c r="D112"/>
  <c r="D113"/>
  <c r="H567" i="15"/>
  <c r="H566" s="1"/>
  <c r="G113" i="18" s="1"/>
  <c r="E123"/>
  <c r="H884" i="15"/>
  <c r="H888"/>
  <c r="I321" i="16"/>
  <c r="H875" i="15"/>
  <c r="E112" i="18"/>
  <c r="I307" i="16"/>
  <c r="I300"/>
  <c r="G147" i="18" l="1"/>
  <c r="H883" i="15"/>
  <c r="F97" i="18" l="1"/>
  <c r="G97"/>
  <c r="E97"/>
  <c r="D97"/>
  <c r="G96"/>
  <c r="E96"/>
  <c r="D96"/>
  <c r="G871" i="15"/>
  <c r="H871" s="1"/>
  <c r="E871"/>
  <c r="D871"/>
  <c r="C871"/>
  <c r="G872"/>
  <c r="H872" s="1"/>
  <c r="E872"/>
  <c r="D872"/>
  <c r="C872"/>
  <c r="G870"/>
  <c r="H870" s="1"/>
  <c r="E870"/>
  <c r="D870"/>
  <c r="C870"/>
  <c r="G866"/>
  <c r="H866" s="1"/>
  <c r="E866"/>
  <c r="D866"/>
  <c r="C866"/>
  <c r="G865"/>
  <c r="H865" s="1"/>
  <c r="E865"/>
  <c r="D865"/>
  <c r="C865"/>
  <c r="G861"/>
  <c r="H861" s="1"/>
  <c r="E861"/>
  <c r="D861"/>
  <c r="C861"/>
  <c r="G860"/>
  <c r="H860" s="1"/>
  <c r="E860"/>
  <c r="D860"/>
  <c r="C860"/>
  <c r="G859"/>
  <c r="H859" s="1"/>
  <c r="E859"/>
  <c r="D859"/>
  <c r="C859"/>
  <c r="G853"/>
  <c r="F853"/>
  <c r="E853"/>
  <c r="D853"/>
  <c r="C853"/>
  <c r="G852"/>
  <c r="F852"/>
  <c r="E852"/>
  <c r="D852"/>
  <c r="C852"/>
  <c r="G851"/>
  <c r="F851"/>
  <c r="E851"/>
  <c r="D851"/>
  <c r="C851"/>
  <c r="E1111"/>
  <c r="D1111"/>
  <c r="C1111"/>
  <c r="E1113"/>
  <c r="D1113"/>
  <c r="C1113"/>
  <c r="G1112"/>
  <c r="H1112" s="1"/>
  <c r="E1112"/>
  <c r="D1112"/>
  <c r="C1112"/>
  <c r="G1110"/>
  <c r="H1110" s="1"/>
  <c r="E1110"/>
  <c r="D1110"/>
  <c r="C1110"/>
  <c r="G1109"/>
  <c r="H1109" s="1"/>
  <c r="E1109"/>
  <c r="D1109"/>
  <c r="C1109"/>
  <c r="G1108"/>
  <c r="H1108" s="1"/>
  <c r="E1108"/>
  <c r="D1108"/>
  <c r="C1108"/>
  <c r="G1107"/>
  <c r="H1107" s="1"/>
  <c r="E1107"/>
  <c r="D1107"/>
  <c r="C1107"/>
  <c r="H864" l="1"/>
  <c r="H869"/>
  <c r="H858"/>
  <c r="H853"/>
  <c r="H852"/>
  <c r="H851"/>
  <c r="H850" l="1"/>
  <c r="F841" l="1"/>
  <c r="F840"/>
  <c r="G841"/>
  <c r="E841"/>
  <c r="D841"/>
  <c r="C841"/>
  <c r="G840"/>
  <c r="E840"/>
  <c r="D840"/>
  <c r="C840"/>
  <c r="H539"/>
  <c r="G538"/>
  <c r="F538"/>
  <c r="E538"/>
  <c r="D538"/>
  <c r="C538"/>
  <c r="G537"/>
  <c r="F537"/>
  <c r="E537"/>
  <c r="D537"/>
  <c r="C537"/>
  <c r="G536"/>
  <c r="F536"/>
  <c r="E536"/>
  <c r="D536"/>
  <c r="C536"/>
  <c r="G535"/>
  <c r="F535"/>
  <c r="E535"/>
  <c r="D535"/>
  <c r="C535"/>
  <c r="G531"/>
  <c r="H531" s="1"/>
  <c r="E531"/>
  <c r="D531"/>
  <c r="C531"/>
  <c r="H841" l="1"/>
  <c r="H537"/>
  <c r="H538"/>
  <c r="H535"/>
  <c r="H536"/>
  <c r="H840"/>
  <c r="H839" l="1"/>
  <c r="H530"/>
  <c r="F1287" l="1"/>
  <c r="F1286"/>
  <c r="F1285"/>
  <c r="F1284"/>
  <c r="G1285"/>
  <c r="E1285"/>
  <c r="D1285"/>
  <c r="C1285"/>
  <c r="F1283"/>
  <c r="F1282"/>
  <c r="F1281"/>
  <c r="F1280"/>
  <c r="F1279"/>
  <c r="G1280"/>
  <c r="E1280"/>
  <c r="D1280"/>
  <c r="C1280"/>
  <c r="F1278"/>
  <c r="H1280" l="1"/>
  <c r="H1285"/>
  <c r="G1198"/>
  <c r="E1198"/>
  <c r="D1198"/>
  <c r="C1198"/>
  <c r="H1198" l="1"/>
  <c r="H1197" s="1"/>
  <c r="G831"/>
  <c r="H831" s="1"/>
  <c r="F210" i="18" l="1"/>
  <c r="H691" i="15" l="1"/>
  <c r="F87" i="34" l="1"/>
  <c r="F86"/>
  <c r="F273" i="18" l="1"/>
  <c r="F269"/>
  <c r="E244" i="16"/>
  <c r="F270" i="18" l="1"/>
  <c r="F275"/>
  <c r="F272"/>
  <c r="G465" i="15"/>
  <c r="H465" s="1"/>
  <c r="E465"/>
  <c r="D465"/>
  <c r="C465"/>
  <c r="G464"/>
  <c r="H464" s="1"/>
  <c r="E464"/>
  <c r="D464"/>
  <c r="C464"/>
  <c r="G463"/>
  <c r="H463" s="1"/>
  <c r="E463"/>
  <c r="D463"/>
  <c r="C463"/>
  <c r="G462"/>
  <c r="H462" s="1"/>
  <c r="E462"/>
  <c r="D462"/>
  <c r="C462"/>
  <c r="G461"/>
  <c r="H461" s="1"/>
  <c r="E461"/>
  <c r="D461"/>
  <c r="C461"/>
  <c r="G460"/>
  <c r="H460" s="1"/>
  <c r="E460"/>
  <c r="D460"/>
  <c r="C460"/>
  <c r="G459"/>
  <c r="H459" s="1"/>
  <c r="E459"/>
  <c r="D459"/>
  <c r="C459"/>
  <c r="G458"/>
  <c r="H458" s="1"/>
  <c r="E458"/>
  <c r="D458"/>
  <c r="C458"/>
  <c r="G457"/>
  <c r="H457" s="1"/>
  <c r="E457"/>
  <c r="D457"/>
  <c r="C457"/>
  <c r="G456"/>
  <c r="E456"/>
  <c r="D456"/>
  <c r="C456"/>
  <c r="G455"/>
  <c r="E455"/>
  <c r="D455"/>
  <c r="C455"/>
  <c r="G454"/>
  <c r="E454"/>
  <c r="D454"/>
  <c r="C454"/>
  <c r="G453"/>
  <c r="E453"/>
  <c r="D453"/>
  <c r="C453"/>
  <c r="F274" i="18" l="1"/>
  <c r="H454" i="15"/>
  <c r="H455"/>
  <c r="H456"/>
  <c r="H453"/>
  <c r="H452" l="1"/>
  <c r="F437"/>
  <c r="F436"/>
  <c r="F435"/>
  <c r="G435"/>
  <c r="E435"/>
  <c r="D435"/>
  <c r="C435"/>
  <c r="F434"/>
  <c r="H435" l="1"/>
  <c r="F420"/>
  <c r="F419"/>
  <c r="E408" l="1"/>
  <c r="D408"/>
  <c r="C408"/>
  <c r="E407"/>
  <c r="D407"/>
  <c r="C407"/>
  <c r="E406"/>
  <c r="D406"/>
  <c r="C406"/>
  <c r="C400"/>
  <c r="D400"/>
  <c r="E400"/>
  <c r="G400"/>
  <c r="H400" s="1"/>
  <c r="C402"/>
  <c r="D402"/>
  <c r="E402"/>
  <c r="G402"/>
  <c r="H402" s="1"/>
  <c r="G408"/>
  <c r="H408" s="1"/>
  <c r="G286" i="16"/>
  <c r="C291" l="1"/>
  <c r="G407" i="15" s="1"/>
  <c r="H407" s="1"/>
  <c r="F286" i="16"/>
  <c r="E286"/>
  <c r="C284" l="1"/>
  <c r="G406" i="15" s="1"/>
  <c r="H406" s="1"/>
  <c r="H286" i="16"/>
  <c r="J286" s="1"/>
  <c r="H293"/>
  <c r="I293" s="1"/>
  <c r="J293" l="1"/>
  <c r="I286"/>
  <c r="H279" l="1"/>
  <c r="I279" s="1"/>
  <c r="C277"/>
  <c r="G1427" i="15"/>
  <c r="H1427" s="1"/>
  <c r="E1427"/>
  <c r="D1427"/>
  <c r="C1427"/>
  <c r="G1426"/>
  <c r="H1426" s="1"/>
  <c r="E1426"/>
  <c r="D1426"/>
  <c r="C1426"/>
  <c r="G1423"/>
  <c r="H1423" s="1"/>
  <c r="E1423"/>
  <c r="D1423"/>
  <c r="C1423"/>
  <c r="G1422"/>
  <c r="H1422" s="1"/>
  <c r="E1422"/>
  <c r="D1422"/>
  <c r="C1422"/>
  <c r="G1421"/>
  <c r="H1421" s="1"/>
  <c r="E1421"/>
  <c r="D1421"/>
  <c r="C1421"/>
  <c r="G1420"/>
  <c r="H1420" s="1"/>
  <c r="E1420"/>
  <c r="D1420"/>
  <c r="C1420"/>
  <c r="G1417"/>
  <c r="H1417" s="1"/>
  <c r="E1417"/>
  <c r="D1417"/>
  <c r="C1417"/>
  <c r="G1416"/>
  <c r="H1416" s="1"/>
  <c r="E1416"/>
  <c r="D1416"/>
  <c r="C1416"/>
  <c r="G1415"/>
  <c r="H1415" s="1"/>
  <c r="E1415"/>
  <c r="D1415"/>
  <c r="C1415"/>
  <c r="G1414"/>
  <c r="H1414" s="1"/>
  <c r="E1414"/>
  <c r="D1414"/>
  <c r="C1414"/>
  <c r="G1411"/>
  <c r="E1411"/>
  <c r="D1411"/>
  <c r="C1411"/>
  <c r="G1408"/>
  <c r="H1408" s="1"/>
  <c r="E1408"/>
  <c r="D1408"/>
  <c r="C1408"/>
  <c r="G1407"/>
  <c r="H1407" s="1"/>
  <c r="E1407"/>
  <c r="D1407"/>
  <c r="C1407"/>
  <c r="G1403"/>
  <c r="H1403" s="1"/>
  <c r="E1403"/>
  <c r="D1403"/>
  <c r="C1403"/>
  <c r="G1281"/>
  <c r="H1281" s="1"/>
  <c r="E1281"/>
  <c r="D1281"/>
  <c r="C1281"/>
  <c r="G1287"/>
  <c r="H1287" s="1"/>
  <c r="E1287"/>
  <c r="D1287"/>
  <c r="C1287"/>
  <c r="G1286"/>
  <c r="H1286" s="1"/>
  <c r="E1286"/>
  <c r="D1286"/>
  <c r="C1286"/>
  <c r="G1279"/>
  <c r="H1279" s="1"/>
  <c r="E1279"/>
  <c r="D1279"/>
  <c r="C1279"/>
  <c r="G1278"/>
  <c r="H1278" s="1"/>
  <c r="E1278"/>
  <c r="D1278"/>
  <c r="C1278"/>
  <c r="G1283"/>
  <c r="H1283" s="1"/>
  <c r="E1283"/>
  <c r="D1283"/>
  <c r="C1283"/>
  <c r="G1282"/>
  <c r="H1282" s="1"/>
  <c r="E1282"/>
  <c r="D1282"/>
  <c r="C1282"/>
  <c r="G1284"/>
  <c r="H1284" s="1"/>
  <c r="E1284"/>
  <c r="D1284"/>
  <c r="C1284"/>
  <c r="G1397"/>
  <c r="H1397" s="1"/>
  <c r="E1397"/>
  <c r="D1397"/>
  <c r="C1397"/>
  <c r="G1396"/>
  <c r="H1396" s="1"/>
  <c r="E1396"/>
  <c r="D1396"/>
  <c r="C1396"/>
  <c r="G1395"/>
  <c r="H1395" s="1"/>
  <c r="E1395"/>
  <c r="D1395"/>
  <c r="C1395"/>
  <c r="G1394"/>
  <c r="H1394" s="1"/>
  <c r="E1394"/>
  <c r="D1394"/>
  <c r="C1394"/>
  <c r="H1389"/>
  <c r="H1388" s="1"/>
  <c r="E1389"/>
  <c r="D1389"/>
  <c r="C1389"/>
  <c r="G1385"/>
  <c r="H1385" s="1"/>
  <c r="E1385"/>
  <c r="D1385"/>
  <c r="C1385"/>
  <c r="G1381"/>
  <c r="H1381" s="1"/>
  <c r="E1381"/>
  <c r="D1381"/>
  <c r="C1381"/>
  <c r="G1378"/>
  <c r="H1378" s="1"/>
  <c r="H1377" s="1"/>
  <c r="E1378"/>
  <c r="D1378"/>
  <c r="C1378"/>
  <c r="G1375"/>
  <c r="H1375" s="1"/>
  <c r="E1375"/>
  <c r="D1375"/>
  <c r="C1375"/>
  <c r="G1374"/>
  <c r="H1374" s="1"/>
  <c r="E1374"/>
  <c r="D1374"/>
  <c r="C1374"/>
  <c r="G1371"/>
  <c r="H1371" s="1"/>
  <c r="E1371"/>
  <c r="D1371"/>
  <c r="C1371"/>
  <c r="G1370"/>
  <c r="H1370" s="1"/>
  <c r="E1370"/>
  <c r="D1370"/>
  <c r="C1370"/>
  <c r="G1367"/>
  <c r="H1367" s="1"/>
  <c r="E1367"/>
  <c r="D1367"/>
  <c r="C1367"/>
  <c r="G1366"/>
  <c r="H1366" s="1"/>
  <c r="E1366"/>
  <c r="D1366"/>
  <c r="C1366"/>
  <c r="G1363"/>
  <c r="H1363" s="1"/>
  <c r="E1363"/>
  <c r="D1363"/>
  <c r="C1363"/>
  <c r="G1362"/>
  <c r="H1362" s="1"/>
  <c r="E1362"/>
  <c r="D1362"/>
  <c r="C1362"/>
  <c r="G1361"/>
  <c r="H1361" s="1"/>
  <c r="E1361"/>
  <c r="D1361"/>
  <c r="C1361"/>
  <c r="H272" i="16"/>
  <c r="J272" s="1"/>
  <c r="C270"/>
  <c r="G1209" i="15" s="1"/>
  <c r="H1209" s="1"/>
  <c r="E1209"/>
  <c r="D1209"/>
  <c r="C1209"/>
  <c r="H265" i="16"/>
  <c r="I265" s="1"/>
  <c r="C263"/>
  <c r="G1205" i="15" s="1"/>
  <c r="H1205" s="1"/>
  <c r="H258" i="16"/>
  <c r="I258" s="1"/>
  <c r="C256"/>
  <c r="G1204" i="15" s="1"/>
  <c r="H1204" s="1"/>
  <c r="H251" i="16"/>
  <c r="I251" s="1"/>
  <c r="C249"/>
  <c r="G1203" i="15" s="1"/>
  <c r="H1203" s="1"/>
  <c r="H244" i="16"/>
  <c r="I244" s="1"/>
  <c r="C242"/>
  <c r="G1202" i="15" s="1"/>
  <c r="H1202" s="1"/>
  <c r="E1205"/>
  <c r="D1205"/>
  <c r="C1205"/>
  <c r="E1204"/>
  <c r="D1204"/>
  <c r="C1204"/>
  <c r="E1203"/>
  <c r="D1203"/>
  <c r="C1203"/>
  <c r="E1202"/>
  <c r="D1202"/>
  <c r="C1202"/>
  <c r="G1194"/>
  <c r="H1194" s="1"/>
  <c r="E1194"/>
  <c r="D1194"/>
  <c r="C1194"/>
  <c r="G1190"/>
  <c r="H1190" s="1"/>
  <c r="E1190"/>
  <c r="D1190"/>
  <c r="C1190"/>
  <c r="G1186"/>
  <c r="H1186" s="1"/>
  <c r="E1186"/>
  <c r="D1186"/>
  <c r="C1186"/>
  <c r="G1182"/>
  <c r="H1182" s="1"/>
  <c r="E1182"/>
  <c r="D1182"/>
  <c r="C1182"/>
  <c r="H237" i="16"/>
  <c r="J237" s="1"/>
  <c r="C235"/>
  <c r="H230"/>
  <c r="I230" s="1"/>
  <c r="C228"/>
  <c r="H223"/>
  <c r="I223" s="1"/>
  <c r="C221"/>
  <c r="E1178" i="15"/>
  <c r="D1178"/>
  <c r="C1178"/>
  <c r="E1177"/>
  <c r="D1177"/>
  <c r="C1177"/>
  <c r="G1173"/>
  <c r="H1173" s="1"/>
  <c r="E1173"/>
  <c r="D1173"/>
  <c r="C1173"/>
  <c r="G1170"/>
  <c r="H1170" s="1"/>
  <c r="E1170"/>
  <c r="D1170"/>
  <c r="C1170"/>
  <c r="H216" i="16"/>
  <c r="I216" s="1"/>
  <c r="C214"/>
  <c r="G1164" i="15" s="1"/>
  <c r="H1164" s="1"/>
  <c r="H209" i="16"/>
  <c r="I209" s="1"/>
  <c r="C207"/>
  <c r="G1163" i="15" s="1"/>
  <c r="H1163" s="1"/>
  <c r="H202" i="16"/>
  <c r="I202" s="1"/>
  <c r="C200"/>
  <c r="G1177" i="15" l="1"/>
  <c r="H1177" s="1"/>
  <c r="G1243"/>
  <c r="H1243" s="1"/>
  <c r="H1240" s="1"/>
  <c r="G264" i="18" s="1"/>
  <c r="G1255" i="15"/>
  <c r="H1255" s="1"/>
  <c r="H1252" s="1"/>
  <c r="G266" i="18" s="1"/>
  <c r="G1178" i="15"/>
  <c r="H1178" s="1"/>
  <c r="G1249"/>
  <c r="H1249" s="1"/>
  <c r="H1246" s="1"/>
  <c r="G265" i="18" s="1"/>
  <c r="H1411" i="15"/>
  <c r="H1410" s="1"/>
  <c r="H1161"/>
  <c r="G1156"/>
  <c r="H1156" s="1"/>
  <c r="G1158"/>
  <c r="H1158" s="1"/>
  <c r="I237" i="16"/>
  <c r="I272"/>
  <c r="H1193" i="15"/>
  <c r="H1380"/>
  <c r="H1402"/>
  <c r="H1393"/>
  <c r="H1181"/>
  <c r="H1185"/>
  <c r="H1406"/>
  <c r="H1208"/>
  <c r="H1373"/>
  <c r="H1425"/>
  <c r="H1189"/>
  <c r="H1360"/>
  <c r="H1384"/>
  <c r="H1369"/>
  <c r="H1413"/>
  <c r="J258" i="16"/>
  <c r="J216"/>
  <c r="J230"/>
  <c r="J279"/>
  <c r="H1419" i="15"/>
  <c r="H1277"/>
  <c r="G305" i="18" s="1"/>
  <c r="H1365" i="15"/>
  <c r="J265" i="16"/>
  <c r="H1201" i="15"/>
  <c r="J251" i="16"/>
  <c r="J244"/>
  <c r="H1169" i="15"/>
  <c r="J223" i="16"/>
  <c r="J209"/>
  <c r="H1143" i="15"/>
  <c r="J202" i="16"/>
  <c r="H1176" i="15" l="1"/>
  <c r="G262" i="18" s="1"/>
  <c r="G248"/>
  <c r="H195" i="16"/>
  <c r="I195" s="1"/>
  <c r="C193"/>
  <c r="G1137" i="15" s="1"/>
  <c r="H1137" s="1"/>
  <c r="H188" i="16"/>
  <c r="J188" s="1"/>
  <c r="C186"/>
  <c r="H181"/>
  <c r="I181" s="1"/>
  <c r="C179"/>
  <c r="G1121" i="15" s="1"/>
  <c r="H1121" s="1"/>
  <c r="H174" i="16"/>
  <c r="J174" s="1"/>
  <c r="C172"/>
  <c r="G1133" i="15" s="1"/>
  <c r="H1133" s="1"/>
  <c r="H167" i="16"/>
  <c r="J167" s="1"/>
  <c r="C165"/>
  <c r="G846" i="15"/>
  <c r="H846" s="1"/>
  <c r="E846"/>
  <c r="D846"/>
  <c r="C846"/>
  <c r="G836"/>
  <c r="H836" s="1"/>
  <c r="E836"/>
  <c r="D836"/>
  <c r="C836"/>
  <c r="G835"/>
  <c r="E835"/>
  <c r="D835"/>
  <c r="C835"/>
  <c r="E831"/>
  <c r="D831"/>
  <c r="C831"/>
  <c r="G827"/>
  <c r="H827" s="1"/>
  <c r="E827"/>
  <c r="D827"/>
  <c r="C827"/>
  <c r="F821"/>
  <c r="F820"/>
  <c r="F819"/>
  <c r="F818"/>
  <c r="F817"/>
  <c r="F816"/>
  <c r="G822"/>
  <c r="H822" s="1"/>
  <c r="E822"/>
  <c r="D822"/>
  <c r="C822"/>
  <c r="G821"/>
  <c r="E821"/>
  <c r="D821"/>
  <c r="C821"/>
  <c r="G820"/>
  <c r="E820"/>
  <c r="D820"/>
  <c r="C820"/>
  <c r="G819"/>
  <c r="E819"/>
  <c r="D819"/>
  <c r="C819"/>
  <c r="G818"/>
  <c r="E818"/>
  <c r="D818"/>
  <c r="C818"/>
  <c r="G817"/>
  <c r="E817"/>
  <c r="D817"/>
  <c r="C817"/>
  <c r="G816"/>
  <c r="E816"/>
  <c r="D816"/>
  <c r="C816"/>
  <c r="H160" i="16"/>
  <c r="I160" s="1"/>
  <c r="C158"/>
  <c r="G812" i="15" s="1"/>
  <c r="H812" s="1"/>
  <c r="E812"/>
  <c r="D812"/>
  <c r="C812"/>
  <c r="F807"/>
  <c r="F806"/>
  <c r="F805"/>
  <c r="G807"/>
  <c r="E807"/>
  <c r="D807"/>
  <c r="C807"/>
  <c r="G806"/>
  <c r="E806"/>
  <c r="D806"/>
  <c r="C806"/>
  <c r="G805"/>
  <c r="E805"/>
  <c r="D805"/>
  <c r="C805"/>
  <c r="H153" i="16"/>
  <c r="I153" s="1"/>
  <c r="C151"/>
  <c r="G801" i="15" s="1"/>
  <c r="H801" s="1"/>
  <c r="E801"/>
  <c r="D801"/>
  <c r="C801"/>
  <c r="F796"/>
  <c r="F795"/>
  <c r="G796"/>
  <c r="E796"/>
  <c r="D796"/>
  <c r="C796"/>
  <c r="G795"/>
  <c r="E795"/>
  <c r="D795"/>
  <c r="C795"/>
  <c r="G1123" l="1"/>
  <c r="H1123" s="1"/>
  <c r="H1136"/>
  <c r="G251" i="18"/>
  <c r="H816" i="15"/>
  <c r="H820"/>
  <c r="G1113"/>
  <c r="H1113" s="1"/>
  <c r="H1126"/>
  <c r="G1111"/>
  <c r="H1111" s="1"/>
  <c r="H805"/>
  <c r="H817"/>
  <c r="H821"/>
  <c r="H795"/>
  <c r="H796"/>
  <c r="H806"/>
  <c r="H807"/>
  <c r="H818"/>
  <c r="H819"/>
  <c r="H835"/>
  <c r="H834" s="1"/>
  <c r="H826"/>
  <c r="H830"/>
  <c r="I174" i="16"/>
  <c r="I167"/>
  <c r="I188"/>
  <c r="J195"/>
  <c r="J181"/>
  <c r="H800" i="15"/>
  <c r="J160" i="16"/>
  <c r="H811" i="15"/>
  <c r="J153" i="16"/>
  <c r="H146"/>
  <c r="J146" s="1"/>
  <c r="C144"/>
  <c r="G791" i="15" s="1"/>
  <c r="H791" s="1"/>
  <c r="E791"/>
  <c r="D791"/>
  <c r="C791"/>
  <c r="H139" i="16"/>
  <c r="J139" s="1"/>
  <c r="C137"/>
  <c r="G787" i="15" s="1"/>
  <c r="H787" s="1"/>
  <c r="E787"/>
  <c r="D787"/>
  <c r="C787"/>
  <c r="H132" i="16"/>
  <c r="J132" s="1"/>
  <c r="C130"/>
  <c r="G783" i="15" s="1"/>
  <c r="H783" s="1"/>
  <c r="E783"/>
  <c r="D783"/>
  <c r="C783"/>
  <c r="H125" i="16"/>
  <c r="I125" s="1"/>
  <c r="C123"/>
  <c r="G779" i="15" s="1"/>
  <c r="H779" s="1"/>
  <c r="E779"/>
  <c r="D779"/>
  <c r="C779"/>
  <c r="F773"/>
  <c r="F772"/>
  <c r="F771"/>
  <c r="F770"/>
  <c r="F769"/>
  <c r="F768"/>
  <c r="G774"/>
  <c r="H774" s="1"/>
  <c r="E774"/>
  <c r="D774"/>
  <c r="C774"/>
  <c r="G773"/>
  <c r="E773"/>
  <c r="D773"/>
  <c r="C773"/>
  <c r="G772"/>
  <c r="E772"/>
  <c r="D772"/>
  <c r="C772"/>
  <c r="G771"/>
  <c r="E771"/>
  <c r="D771"/>
  <c r="C771"/>
  <c r="G770"/>
  <c r="E770"/>
  <c r="D770"/>
  <c r="C770"/>
  <c r="G769"/>
  <c r="E769"/>
  <c r="D769"/>
  <c r="C769"/>
  <c r="G768"/>
  <c r="E768"/>
  <c r="D768"/>
  <c r="C768"/>
  <c r="F762"/>
  <c r="F761"/>
  <c r="F760"/>
  <c r="G763"/>
  <c r="H763" s="1"/>
  <c r="E763"/>
  <c r="D763"/>
  <c r="C763"/>
  <c r="G762"/>
  <c r="E762"/>
  <c r="D762"/>
  <c r="C762"/>
  <c r="G761"/>
  <c r="E761"/>
  <c r="D761"/>
  <c r="C761"/>
  <c r="G760"/>
  <c r="E760"/>
  <c r="D760"/>
  <c r="C760"/>
  <c r="F754"/>
  <c r="F753"/>
  <c r="F752"/>
  <c r="F751"/>
  <c r="F750"/>
  <c r="F749"/>
  <c r="G755"/>
  <c r="H755" s="1"/>
  <c r="E755"/>
  <c r="D755"/>
  <c r="C755"/>
  <c r="G754"/>
  <c r="E754"/>
  <c r="D754"/>
  <c r="C754"/>
  <c r="G753"/>
  <c r="E753"/>
  <c r="D753"/>
  <c r="C753"/>
  <c r="G752"/>
  <c r="E752"/>
  <c r="D752"/>
  <c r="C752"/>
  <c r="G751"/>
  <c r="E751"/>
  <c r="D751"/>
  <c r="C751"/>
  <c r="G750"/>
  <c r="E750"/>
  <c r="D750"/>
  <c r="C750"/>
  <c r="G749"/>
  <c r="E749"/>
  <c r="D749"/>
  <c r="C749"/>
  <c r="F743"/>
  <c r="F742"/>
  <c r="F741"/>
  <c r="G744"/>
  <c r="H744" s="1"/>
  <c r="E744"/>
  <c r="D744"/>
  <c r="C744"/>
  <c r="G743"/>
  <c r="E743"/>
  <c r="D743"/>
  <c r="C743"/>
  <c r="G742"/>
  <c r="E742"/>
  <c r="D742"/>
  <c r="C742"/>
  <c r="G741"/>
  <c r="E741"/>
  <c r="D741"/>
  <c r="C741"/>
  <c r="H749" l="1"/>
  <c r="H753"/>
  <c r="H743"/>
  <c r="H769"/>
  <c r="H773"/>
  <c r="H1106"/>
  <c r="H1116"/>
  <c r="H1151"/>
  <c r="G250" i="18" s="1"/>
  <c r="H771" i="15"/>
  <c r="H768"/>
  <c r="H772"/>
  <c r="H762"/>
  <c r="H741"/>
  <c r="H761"/>
  <c r="H742"/>
  <c r="H750"/>
  <c r="H751"/>
  <c r="H752"/>
  <c r="H754"/>
  <c r="H760"/>
  <c r="H770"/>
  <c r="H790"/>
  <c r="H782"/>
  <c r="H786"/>
  <c r="I132" i="16"/>
  <c r="I139"/>
  <c r="I146"/>
  <c r="H845" i="15"/>
  <c r="H815"/>
  <c r="H804"/>
  <c r="H794"/>
  <c r="H778"/>
  <c r="J125" i="16"/>
  <c r="H740" i="15" l="1"/>
  <c r="H767"/>
  <c r="H759"/>
  <c r="H748"/>
  <c r="E737" l="1"/>
  <c r="D737"/>
  <c r="C737"/>
  <c r="G88" i="34"/>
  <c r="H88" s="1"/>
  <c r="E88"/>
  <c r="D88"/>
  <c r="C88"/>
  <c r="G89"/>
  <c r="H89" s="1"/>
  <c r="E89"/>
  <c r="D89"/>
  <c r="C89"/>
  <c r="G87"/>
  <c r="H87" s="1"/>
  <c r="E87"/>
  <c r="D87"/>
  <c r="C87"/>
  <c r="G86"/>
  <c r="H86" s="1"/>
  <c r="E86"/>
  <c r="D86"/>
  <c r="C86"/>
  <c r="G725" i="15"/>
  <c r="H725" s="1"/>
  <c r="E725"/>
  <c r="D725"/>
  <c r="C725"/>
  <c r="G724"/>
  <c r="H724" s="1"/>
  <c r="E724"/>
  <c r="D724"/>
  <c r="C724"/>
  <c r="G723"/>
  <c r="H723" s="1"/>
  <c r="E723"/>
  <c r="D723"/>
  <c r="C723"/>
  <c r="G719"/>
  <c r="H719" s="1"/>
  <c r="E719"/>
  <c r="D719"/>
  <c r="C719"/>
  <c r="G718"/>
  <c r="H718" s="1"/>
  <c r="E718"/>
  <c r="D718"/>
  <c r="C718"/>
  <c r="G713"/>
  <c r="H713" s="1"/>
  <c r="E713"/>
  <c r="D713"/>
  <c r="C713"/>
  <c r="G712"/>
  <c r="H712" s="1"/>
  <c r="E712"/>
  <c r="D712"/>
  <c r="C712"/>
  <c r="G711"/>
  <c r="H711" s="1"/>
  <c r="E711"/>
  <c r="D711"/>
  <c r="C711"/>
  <c r="G707"/>
  <c r="H707" s="1"/>
  <c r="E707"/>
  <c r="D707"/>
  <c r="C707"/>
  <c r="G706"/>
  <c r="H706" s="1"/>
  <c r="E706"/>
  <c r="D706"/>
  <c r="C706"/>
  <c r="G701"/>
  <c r="H701" s="1"/>
  <c r="E701"/>
  <c r="D701"/>
  <c r="C701"/>
  <c r="G700"/>
  <c r="H700" s="1"/>
  <c r="E700"/>
  <c r="D700"/>
  <c r="C700"/>
  <c r="G699"/>
  <c r="H699" s="1"/>
  <c r="E699"/>
  <c r="D699"/>
  <c r="C699"/>
  <c r="G688"/>
  <c r="H688" s="1"/>
  <c r="E688"/>
  <c r="D688"/>
  <c r="C688"/>
  <c r="G687"/>
  <c r="H687" s="1"/>
  <c r="E687"/>
  <c r="D687"/>
  <c r="C687"/>
  <c r="H716" l="1"/>
  <c r="H704"/>
  <c r="H710"/>
  <c r="H85" i="34"/>
  <c r="G394" s="1"/>
  <c r="H394" s="1"/>
  <c r="H392" s="1"/>
  <c r="G1702" i="15" s="1"/>
  <c r="H1702" s="1"/>
  <c r="G1706" s="1"/>
  <c r="H722"/>
  <c r="H698"/>
  <c r="H685"/>
  <c r="H1706" l="1"/>
  <c r="H1700" s="1"/>
  <c r="G737"/>
  <c r="H737" s="1"/>
  <c r="H728" s="1"/>
  <c r="G82" i="34"/>
  <c r="H82" s="1"/>
  <c r="E82"/>
  <c r="D82"/>
  <c r="C82"/>
  <c r="G81"/>
  <c r="H81" s="1"/>
  <c r="E81"/>
  <c r="D81"/>
  <c r="C81"/>
  <c r="G80"/>
  <c r="H80" s="1"/>
  <c r="E80"/>
  <c r="D80"/>
  <c r="C80"/>
  <c r="G672" i="15"/>
  <c r="H672" s="1"/>
  <c r="E672"/>
  <c r="D672"/>
  <c r="C672"/>
  <c r="G664"/>
  <c r="H664" s="1"/>
  <c r="E664"/>
  <c r="D664"/>
  <c r="C664"/>
  <c r="E648"/>
  <c r="D648"/>
  <c r="C648"/>
  <c r="G646"/>
  <c r="H646" s="1"/>
  <c r="E646"/>
  <c r="D646"/>
  <c r="C646"/>
  <c r="G645"/>
  <c r="H645" s="1"/>
  <c r="E645"/>
  <c r="D645"/>
  <c r="C645"/>
  <c r="G644"/>
  <c r="H644" s="1"/>
  <c r="E644"/>
  <c r="D644"/>
  <c r="C644"/>
  <c r="H625"/>
  <c r="D154" i="18"/>
  <c r="E154"/>
  <c r="G154"/>
  <c r="E620" i="15"/>
  <c r="D620"/>
  <c r="C620"/>
  <c r="E619"/>
  <c r="D619"/>
  <c r="C619"/>
  <c r="C62" i="34"/>
  <c r="H118" i="16"/>
  <c r="I118" s="1"/>
  <c r="C116"/>
  <c r="G648" i="15" s="1"/>
  <c r="H648" s="1"/>
  <c r="E62" i="34"/>
  <c r="D62"/>
  <c r="H61"/>
  <c r="H60"/>
  <c r="G59"/>
  <c r="H59" s="1"/>
  <c r="E59"/>
  <c r="D59"/>
  <c r="C59"/>
  <c r="G58"/>
  <c r="H58" s="1"/>
  <c r="E58"/>
  <c r="D58"/>
  <c r="C58"/>
  <c r="G57"/>
  <c r="H57" s="1"/>
  <c r="E57"/>
  <c r="D57"/>
  <c r="C57"/>
  <c r="H621" i="15"/>
  <c r="G177" i="18" s="1"/>
  <c r="E177"/>
  <c r="D177"/>
  <c r="H618" i="15"/>
  <c r="H617"/>
  <c r="H616"/>
  <c r="G600"/>
  <c r="H600" s="1"/>
  <c r="E600"/>
  <c r="D600"/>
  <c r="C600"/>
  <c r="G593"/>
  <c r="H593" s="1"/>
  <c r="E593"/>
  <c r="D593"/>
  <c r="C593"/>
  <c r="G592"/>
  <c r="H592" s="1"/>
  <c r="E592"/>
  <c r="D592"/>
  <c r="C592"/>
  <c r="G591"/>
  <c r="H591" s="1"/>
  <c r="E591"/>
  <c r="D591"/>
  <c r="C591"/>
  <c r="G590"/>
  <c r="H590" s="1"/>
  <c r="E590"/>
  <c r="D590"/>
  <c r="C590"/>
  <c r="G589"/>
  <c r="H589" s="1"/>
  <c r="E589"/>
  <c r="D589"/>
  <c r="C589"/>
  <c r="G1213"/>
  <c r="H1213" s="1"/>
  <c r="H1212" s="1"/>
  <c r="G247" i="18" s="1"/>
  <c r="G571" i="15"/>
  <c r="H571" s="1"/>
  <c r="E571"/>
  <c r="D571"/>
  <c r="C571"/>
  <c r="G563"/>
  <c r="H563" s="1"/>
  <c r="E563"/>
  <c r="D563"/>
  <c r="C563"/>
  <c r="G559"/>
  <c r="H559" s="1"/>
  <c r="E559"/>
  <c r="D559"/>
  <c r="C559"/>
  <c r="H547"/>
  <c r="G545"/>
  <c r="H545" s="1"/>
  <c r="E545"/>
  <c r="D545"/>
  <c r="C545"/>
  <c r="G544"/>
  <c r="H544" s="1"/>
  <c r="E544"/>
  <c r="D544"/>
  <c r="C544"/>
  <c r="G543"/>
  <c r="H543" s="1"/>
  <c r="E543"/>
  <c r="D543"/>
  <c r="C543"/>
  <c r="G552"/>
  <c r="H552" s="1"/>
  <c r="E552"/>
  <c r="D552"/>
  <c r="C552"/>
  <c r="G551"/>
  <c r="H551" s="1"/>
  <c r="E551"/>
  <c r="D551"/>
  <c r="C551"/>
  <c r="H647" l="1"/>
  <c r="H643" s="1"/>
  <c r="G187" i="18" s="1"/>
  <c r="H588" i="15"/>
  <c r="H558"/>
  <c r="H562"/>
  <c r="G62" i="34"/>
  <c r="H62" s="1"/>
  <c r="H79"/>
  <c r="H663" i="15"/>
  <c r="H66" i="34"/>
  <c r="G620" i="15" s="1"/>
  <c r="H620" s="1"/>
  <c r="J118" i="16"/>
  <c r="H582" i="15"/>
  <c r="H570" s="1"/>
  <c r="H550"/>
  <c r="G112" i="18" s="1"/>
  <c r="G129" l="1"/>
  <c r="G256"/>
  <c r="G627" i="15"/>
  <c r="H627" s="1"/>
  <c r="H624" s="1"/>
  <c r="H56" i="34"/>
  <c r="G619" i="15" l="1"/>
  <c r="H619" s="1"/>
  <c r="H614" s="1"/>
  <c r="H671"/>
  <c r="H41" i="34"/>
  <c r="G38"/>
  <c r="H38" s="1"/>
  <c r="E38"/>
  <c r="D38"/>
  <c r="C38"/>
  <c r="G181" i="29"/>
  <c r="E182"/>
  <c r="D182"/>
  <c r="E181"/>
  <c r="D181"/>
  <c r="G514" i="15"/>
  <c r="H514" s="1"/>
  <c r="E514"/>
  <c r="D514"/>
  <c r="C514"/>
  <c r="E393"/>
  <c r="D393"/>
  <c r="C393"/>
  <c r="G34" i="34"/>
  <c r="H34" s="1"/>
  <c r="E34"/>
  <c r="D34"/>
  <c r="C34"/>
  <c r="G33"/>
  <c r="H33" s="1"/>
  <c r="E33"/>
  <c r="D33"/>
  <c r="C33"/>
  <c r="G32"/>
  <c r="H32" s="1"/>
  <c r="E32"/>
  <c r="D32"/>
  <c r="C32"/>
  <c r="G31"/>
  <c r="H31" s="1"/>
  <c r="E31"/>
  <c r="D31"/>
  <c r="C31"/>
  <c r="G30"/>
  <c r="H30" s="1"/>
  <c r="E30"/>
  <c r="D30"/>
  <c r="C30"/>
  <c r="G29"/>
  <c r="H29" s="1"/>
  <c r="E29"/>
  <c r="D29"/>
  <c r="C29"/>
  <c r="G28"/>
  <c r="H28" s="1"/>
  <c r="E28"/>
  <c r="D28"/>
  <c r="C28"/>
  <c r="G27"/>
  <c r="H27" s="1"/>
  <c r="E27"/>
  <c r="D27"/>
  <c r="C27"/>
  <c r="G510" i="15"/>
  <c r="H510" s="1"/>
  <c r="E510"/>
  <c r="D510"/>
  <c r="C510"/>
  <c r="E79" i="18"/>
  <c r="D79"/>
  <c r="G78"/>
  <c r="E78"/>
  <c r="D78"/>
  <c r="G502" i="15"/>
  <c r="H502" s="1"/>
  <c r="E502"/>
  <c r="D502"/>
  <c r="C502"/>
  <c r="G499"/>
  <c r="H499" s="1"/>
  <c r="E499"/>
  <c r="D499"/>
  <c r="C499"/>
  <c r="G498"/>
  <c r="H498" s="1"/>
  <c r="E498"/>
  <c r="D498"/>
  <c r="C498"/>
  <c r="G500"/>
  <c r="H500" s="1"/>
  <c r="E500"/>
  <c r="D500"/>
  <c r="C500"/>
  <c r="G496"/>
  <c r="H496" s="1"/>
  <c r="E496"/>
  <c r="D496"/>
  <c r="C496"/>
  <c r="G501"/>
  <c r="H501" s="1"/>
  <c r="E501"/>
  <c r="D501"/>
  <c r="C501"/>
  <c r="G495"/>
  <c r="H495" s="1"/>
  <c r="E495"/>
  <c r="D495"/>
  <c r="C495"/>
  <c r="G497"/>
  <c r="H497" s="1"/>
  <c r="E497"/>
  <c r="D497"/>
  <c r="C497"/>
  <c r="G503"/>
  <c r="H503" s="1"/>
  <c r="E503"/>
  <c r="D503"/>
  <c r="C503"/>
  <c r="H490" l="1"/>
  <c r="G65" i="18" s="1"/>
  <c r="H667" i="15"/>
  <c r="H509"/>
  <c r="H513"/>
  <c r="H37" i="34"/>
  <c r="H534" i="15"/>
  <c r="H26" i="34"/>
  <c r="G393" i="15" s="1"/>
  <c r="H393" s="1"/>
  <c r="G546" l="1"/>
  <c r="H546" s="1"/>
  <c r="H542" s="1"/>
  <c r="H1035"/>
  <c r="H1031" s="1"/>
  <c r="G445" l="1"/>
  <c r="H445" s="1"/>
  <c r="E445"/>
  <c r="D445"/>
  <c r="C445"/>
  <c r="G442"/>
  <c r="H442" s="1"/>
  <c r="E442"/>
  <c r="D442"/>
  <c r="C442"/>
  <c r="G441"/>
  <c r="H441" s="1"/>
  <c r="E441"/>
  <c r="D441"/>
  <c r="C441"/>
  <c r="G443"/>
  <c r="H443" s="1"/>
  <c r="E443"/>
  <c r="D443"/>
  <c r="C443"/>
  <c r="G439"/>
  <c r="H439" s="1"/>
  <c r="E439"/>
  <c r="D439"/>
  <c r="C439"/>
  <c r="G444"/>
  <c r="H444" s="1"/>
  <c r="E444"/>
  <c r="D444"/>
  <c r="C444"/>
  <c r="G438"/>
  <c r="H438" s="1"/>
  <c r="E438"/>
  <c r="D438"/>
  <c r="C438"/>
  <c r="G440"/>
  <c r="H440" s="1"/>
  <c r="E440"/>
  <c r="D440"/>
  <c r="C440"/>
  <c r="G446"/>
  <c r="H446" s="1"/>
  <c r="E446"/>
  <c r="D446"/>
  <c r="C446"/>
  <c r="H447"/>
  <c r="G437"/>
  <c r="H437" s="1"/>
  <c r="E437"/>
  <c r="D437"/>
  <c r="C437"/>
  <c r="G436"/>
  <c r="H436" s="1"/>
  <c r="E436"/>
  <c r="D436"/>
  <c r="C436"/>
  <c r="G434"/>
  <c r="H434" s="1"/>
  <c r="E434"/>
  <c r="D434"/>
  <c r="C434"/>
  <c r="G429"/>
  <c r="H429" s="1"/>
  <c r="E429"/>
  <c r="D429"/>
  <c r="C429"/>
  <c r="G428"/>
  <c r="H428" s="1"/>
  <c r="E428"/>
  <c r="D428"/>
  <c r="C428"/>
  <c r="G427"/>
  <c r="H427" s="1"/>
  <c r="E427"/>
  <c r="D427"/>
  <c r="C427"/>
  <c r="G426"/>
  <c r="H426" s="1"/>
  <c r="E426"/>
  <c r="D426"/>
  <c r="C426"/>
  <c r="G425"/>
  <c r="H425" s="1"/>
  <c r="E425"/>
  <c r="D425"/>
  <c r="C425"/>
  <c r="G424"/>
  <c r="H424" s="1"/>
  <c r="E424"/>
  <c r="D424"/>
  <c r="C424"/>
  <c r="G423"/>
  <c r="H423" s="1"/>
  <c r="E423"/>
  <c r="D423"/>
  <c r="C423"/>
  <c r="H422"/>
  <c r="H421"/>
  <c r="G420"/>
  <c r="H420" s="1"/>
  <c r="E420"/>
  <c r="D420"/>
  <c r="C420"/>
  <c r="G419"/>
  <c r="H419" s="1"/>
  <c r="E419"/>
  <c r="D419"/>
  <c r="C419"/>
  <c r="G404"/>
  <c r="H404" s="1"/>
  <c r="E404"/>
  <c r="D404"/>
  <c r="C404"/>
  <c r="G410"/>
  <c r="H410" s="1"/>
  <c r="E410"/>
  <c r="D410"/>
  <c r="C410"/>
  <c r="G409"/>
  <c r="H409" s="1"/>
  <c r="E409"/>
  <c r="D409"/>
  <c r="C409"/>
  <c r="G403"/>
  <c r="H403" s="1"/>
  <c r="E403"/>
  <c r="D403"/>
  <c r="C403"/>
  <c r="E415"/>
  <c r="D415"/>
  <c r="C415"/>
  <c r="G414"/>
  <c r="H414" s="1"/>
  <c r="E414"/>
  <c r="D414"/>
  <c r="C414"/>
  <c r="G413"/>
  <c r="H413" s="1"/>
  <c r="E413"/>
  <c r="D413"/>
  <c r="C413"/>
  <c r="G412"/>
  <c r="H412" s="1"/>
  <c r="E412"/>
  <c r="D412"/>
  <c r="C412"/>
  <c r="G405"/>
  <c r="H405" s="1"/>
  <c r="E405"/>
  <c r="D405"/>
  <c r="C405"/>
  <c r="H433" l="1"/>
  <c r="H418"/>
  <c r="G411" l="1"/>
  <c r="H411" s="1"/>
  <c r="E411"/>
  <c r="D411"/>
  <c r="C411"/>
  <c r="G401"/>
  <c r="H401" s="1"/>
  <c r="E401"/>
  <c r="D401"/>
  <c r="C401"/>
  <c r="G399"/>
  <c r="H399" s="1"/>
  <c r="E399"/>
  <c r="D399"/>
  <c r="C399"/>
  <c r="G398"/>
  <c r="H398" s="1"/>
  <c r="E398"/>
  <c r="D398"/>
  <c r="C398"/>
  <c r="G38"/>
  <c r="H38" s="1"/>
  <c r="G39"/>
  <c r="H39" s="1"/>
  <c r="G40"/>
  <c r="H40" s="1"/>
  <c r="G41"/>
  <c r="H41" s="1"/>
  <c r="E41"/>
  <c r="D41"/>
  <c r="C41"/>
  <c r="G31" l="1"/>
  <c r="H31" s="1"/>
  <c r="E31"/>
  <c r="D31"/>
  <c r="C31"/>
  <c r="G24" l="1"/>
  <c r="H24" s="1"/>
  <c r="E24"/>
  <c r="D24"/>
  <c r="C24"/>
  <c r="E50" i="18"/>
  <c r="D50"/>
  <c r="G109" i="15"/>
  <c r="H109" s="1"/>
  <c r="E109"/>
  <c r="D109"/>
  <c r="C109"/>
  <c r="G108"/>
  <c r="H108" s="1"/>
  <c r="E108"/>
  <c r="D108"/>
  <c r="C108"/>
  <c r="G107"/>
  <c r="H107" s="1"/>
  <c r="E107"/>
  <c r="D107"/>
  <c r="C107"/>
  <c r="E47" i="18"/>
  <c r="D47"/>
  <c r="E46"/>
  <c r="D46"/>
  <c r="E39"/>
  <c r="D39"/>
  <c r="G102" i="15"/>
  <c r="H102" s="1"/>
  <c r="E102"/>
  <c r="D102"/>
  <c r="C102"/>
  <c r="G101"/>
  <c r="H101" s="1"/>
  <c r="E101"/>
  <c r="D101"/>
  <c r="C101"/>
  <c r="G100"/>
  <c r="H100" s="1"/>
  <c r="E100"/>
  <c r="D100"/>
  <c r="C100"/>
  <c r="G75"/>
  <c r="H75" s="1"/>
  <c r="E75"/>
  <c r="D75"/>
  <c r="C75"/>
  <c r="G74"/>
  <c r="H74" s="1"/>
  <c r="E74"/>
  <c r="D74"/>
  <c r="C74"/>
  <c r="G73"/>
  <c r="H73" s="1"/>
  <c r="E73"/>
  <c r="D73"/>
  <c r="C73"/>
  <c r="G69"/>
  <c r="H69" s="1"/>
  <c r="E69"/>
  <c r="D69"/>
  <c r="C69"/>
  <c r="G68"/>
  <c r="H68" s="1"/>
  <c r="E68"/>
  <c r="D68"/>
  <c r="C68"/>
  <c r="G67"/>
  <c r="H67" s="1"/>
  <c r="E67"/>
  <c r="D67"/>
  <c r="C67"/>
  <c r="G62"/>
  <c r="H62" s="1"/>
  <c r="E62"/>
  <c r="D62"/>
  <c r="C62"/>
  <c r="G61"/>
  <c r="H61" s="1"/>
  <c r="E61"/>
  <c r="D61"/>
  <c r="C61"/>
  <c r="G60"/>
  <c r="H60" s="1"/>
  <c r="E60"/>
  <c r="D60"/>
  <c r="C60"/>
  <c r="G55"/>
  <c r="H55" s="1"/>
  <c r="E55"/>
  <c r="D55"/>
  <c r="C55"/>
  <c r="G54"/>
  <c r="H54" s="1"/>
  <c r="E54"/>
  <c r="D54"/>
  <c r="C54"/>
  <c r="G53"/>
  <c r="H53" s="1"/>
  <c r="E53"/>
  <c r="D53"/>
  <c r="C53"/>
  <c r="E40"/>
  <c r="D40"/>
  <c r="C40"/>
  <c r="E39"/>
  <c r="D39"/>
  <c r="C39"/>
  <c r="E38"/>
  <c r="D38"/>
  <c r="C38"/>
  <c r="G34"/>
  <c r="H34" s="1"/>
  <c r="E34"/>
  <c r="D34"/>
  <c r="C34"/>
  <c r="G33"/>
  <c r="H33" s="1"/>
  <c r="E33"/>
  <c r="D33"/>
  <c r="C33"/>
  <c r="G32"/>
  <c r="H32" s="1"/>
  <c r="E32"/>
  <c r="D32"/>
  <c r="C32"/>
  <c r="G27"/>
  <c r="H27" s="1"/>
  <c r="E27"/>
  <c r="D27"/>
  <c r="C27"/>
  <c r="G26"/>
  <c r="H26" s="1"/>
  <c r="E26"/>
  <c r="D26"/>
  <c r="C26"/>
  <c r="G25"/>
  <c r="H25" s="1"/>
  <c r="E25"/>
  <c r="D25"/>
  <c r="C25"/>
  <c r="G20"/>
  <c r="H20" s="1"/>
  <c r="E20"/>
  <c r="D20"/>
  <c r="C20"/>
  <c r="G19"/>
  <c r="H19" s="1"/>
  <c r="E19"/>
  <c r="D19"/>
  <c r="C19"/>
  <c r="G18"/>
  <c r="H18" s="1"/>
  <c r="E18"/>
  <c r="D18"/>
  <c r="C18"/>
  <c r="G13"/>
  <c r="H13" s="1"/>
  <c r="E13"/>
  <c r="D13"/>
  <c r="C13"/>
  <c r="G12"/>
  <c r="H12" s="1"/>
  <c r="E12"/>
  <c r="D12"/>
  <c r="C12"/>
  <c r="G11"/>
  <c r="H11" s="1"/>
  <c r="E11"/>
  <c r="D11"/>
  <c r="C11"/>
  <c r="F214"/>
  <c r="G214"/>
  <c r="E214"/>
  <c r="D214"/>
  <c r="C214"/>
  <c r="H58" l="1"/>
  <c r="H51"/>
  <c r="H65"/>
  <c r="H99"/>
  <c r="G47" i="18" s="1"/>
  <c r="H16" i="15"/>
  <c r="H214"/>
  <c r="H78"/>
  <c r="H85"/>
  <c r="G39" i="18" s="1"/>
  <c r="H72" i="15"/>
  <c r="G46" i="18"/>
  <c r="H44" i="15"/>
  <c r="G27" i="18" s="1"/>
  <c r="H30" i="15"/>
  <c r="H37"/>
  <c r="H23"/>
  <c r="H106"/>
  <c r="G50" i="18" s="1"/>
  <c r="K50" s="1"/>
  <c r="I50" l="1"/>
  <c r="H10" i="15"/>
  <c r="L218"/>
  <c r="F215"/>
  <c r="G83" i="16"/>
  <c r="F83"/>
  <c r="E83"/>
  <c r="E76"/>
  <c r="G69"/>
  <c r="E69"/>
  <c r="F69"/>
  <c r="J328" i="15" l="1"/>
  <c r="G328"/>
  <c r="H328" s="1"/>
  <c r="E328"/>
  <c r="D328"/>
  <c r="C328"/>
  <c r="F320"/>
  <c r="J327" l="1"/>
  <c r="J321"/>
  <c r="F367" l="1"/>
  <c r="G394" l="1"/>
  <c r="H394" s="1"/>
  <c r="E394"/>
  <c r="D394"/>
  <c r="C394"/>
  <c r="G389"/>
  <c r="H389" s="1"/>
  <c r="E389"/>
  <c r="D389"/>
  <c r="C389"/>
  <c r="G388"/>
  <c r="H388" s="1"/>
  <c r="E388"/>
  <c r="D388"/>
  <c r="C388"/>
  <c r="H387" l="1"/>
  <c r="H392"/>
  <c r="G383"/>
  <c r="H383" s="1"/>
  <c r="E383"/>
  <c r="D383"/>
  <c r="C383"/>
  <c r="G384"/>
  <c r="H384" s="1"/>
  <c r="E384"/>
  <c r="D384"/>
  <c r="C384"/>
  <c r="G382"/>
  <c r="H382" s="1"/>
  <c r="E382"/>
  <c r="D382"/>
  <c r="C382"/>
  <c r="G378"/>
  <c r="H378" s="1"/>
  <c r="E378"/>
  <c r="D378"/>
  <c r="C378"/>
  <c r="G377"/>
  <c r="H377" s="1"/>
  <c r="E377"/>
  <c r="D377"/>
  <c r="C377"/>
  <c r="F373"/>
  <c r="H373" s="1"/>
  <c r="G371"/>
  <c r="H371" s="1"/>
  <c r="E371"/>
  <c r="D371"/>
  <c r="C371"/>
  <c r="G365"/>
  <c r="H365" s="1"/>
  <c r="E365"/>
  <c r="D365"/>
  <c r="C365"/>
  <c r="F175" i="29"/>
  <c r="F180" s="1"/>
  <c r="H367" i="15"/>
  <c r="H366"/>
  <c r="G175" i="29"/>
  <c r="E175"/>
  <c r="D175"/>
  <c r="G174"/>
  <c r="E174"/>
  <c r="D174"/>
  <c r="G171"/>
  <c r="E171"/>
  <c r="D171"/>
  <c r="G168"/>
  <c r="E168"/>
  <c r="D168"/>
  <c r="G167"/>
  <c r="E167"/>
  <c r="D167"/>
  <c r="G182" l="1"/>
  <c r="G79" i="18"/>
  <c r="F182" i="29"/>
  <c r="H376" i="15"/>
  <c r="H381"/>
  <c r="H364"/>
  <c r="H370" l="1"/>
  <c r="G357" l="1"/>
  <c r="H357" s="1"/>
  <c r="E357"/>
  <c r="D357"/>
  <c r="C357"/>
  <c r="G361"/>
  <c r="H361" s="1"/>
  <c r="E361"/>
  <c r="D361"/>
  <c r="C361"/>
  <c r="G360"/>
  <c r="H360" s="1"/>
  <c r="E360"/>
  <c r="D360"/>
  <c r="C360"/>
  <c r="G359"/>
  <c r="H359" s="1"/>
  <c r="E359"/>
  <c r="D359"/>
  <c r="C359"/>
  <c r="G358"/>
  <c r="H358" s="1"/>
  <c r="E358"/>
  <c r="D358"/>
  <c r="C358"/>
  <c r="G356"/>
  <c r="H356" s="1"/>
  <c r="E356"/>
  <c r="D356"/>
  <c r="C356"/>
  <c r="G160" i="29"/>
  <c r="E160"/>
  <c r="D160"/>
  <c r="H97" i="16"/>
  <c r="J97" s="1"/>
  <c r="C95"/>
  <c r="G415" i="15" s="1"/>
  <c r="H415" s="1"/>
  <c r="E353"/>
  <c r="D353"/>
  <c r="C353"/>
  <c r="G352"/>
  <c r="H352" s="1"/>
  <c r="E352"/>
  <c r="D352"/>
  <c r="C352"/>
  <c r="D349"/>
  <c r="D348"/>
  <c r="D347"/>
  <c r="D346"/>
  <c r="D343"/>
  <c r="D342"/>
  <c r="D338"/>
  <c r="D337"/>
  <c r="D336"/>
  <c r="D335"/>
  <c r="D330"/>
  <c r="D329"/>
  <c r="D327"/>
  <c r="D326"/>
  <c r="D325"/>
  <c r="D324"/>
  <c r="D323"/>
  <c r="D322"/>
  <c r="D321"/>
  <c r="D320"/>
  <c r="D316"/>
  <c r="D315"/>
  <c r="D311"/>
  <c r="D310"/>
  <c r="D309"/>
  <c r="D305"/>
  <c r="D304"/>
  <c r="D303"/>
  <c r="D302"/>
  <c r="D298"/>
  <c r="D297"/>
  <c r="D296"/>
  <c r="D292"/>
  <c r="D291"/>
  <c r="D290"/>
  <c r="D286"/>
  <c r="D285"/>
  <c r="D284"/>
  <c r="D283"/>
  <c r="D282"/>
  <c r="D278"/>
  <c r="D277"/>
  <c r="D276"/>
  <c r="D275"/>
  <c r="D274"/>
  <c r="D273"/>
  <c r="D272"/>
  <c r="D271"/>
  <c r="D270"/>
  <c r="D269"/>
  <c r="D268"/>
  <c r="D267"/>
  <c r="D266"/>
  <c r="D265"/>
  <c r="D264"/>
  <c r="D263"/>
  <c r="D262"/>
  <c r="D261"/>
  <c r="D260"/>
  <c r="D259"/>
  <c r="D258"/>
  <c r="D257"/>
  <c r="D256"/>
  <c r="D255"/>
  <c r="D254"/>
  <c r="D253"/>
  <c r="D252"/>
  <c r="D251"/>
  <c r="D250"/>
  <c r="D246"/>
  <c r="D244"/>
  <c r="D243"/>
  <c r="D242"/>
  <c r="D241"/>
  <c r="D240"/>
  <c r="D239"/>
  <c r="D238"/>
  <c r="D234"/>
  <c r="D233"/>
  <c r="D232"/>
  <c r="D231"/>
  <c r="D230"/>
  <c r="D229"/>
  <c r="D228"/>
  <c r="D227"/>
  <c r="D226"/>
  <c r="D225"/>
  <c r="D224"/>
  <c r="D223"/>
  <c r="D222"/>
  <c r="D219"/>
  <c r="D218"/>
  <c r="D217"/>
  <c r="D216"/>
  <c r="D215"/>
  <c r="D213"/>
  <c r="D209"/>
  <c r="D208"/>
  <c r="D207"/>
  <c r="D206"/>
  <c r="D205"/>
  <c r="D204"/>
  <c r="D203"/>
  <c r="D202"/>
  <c r="D201"/>
  <c r="D200"/>
  <c r="D199"/>
  <c r="D198"/>
  <c r="D197"/>
  <c r="D196"/>
  <c r="D195"/>
  <c r="D194"/>
  <c r="D193"/>
  <c r="D192"/>
  <c r="D191"/>
  <c r="D190"/>
  <c r="D189"/>
  <c r="D188"/>
  <c r="D187"/>
  <c r="D186"/>
  <c r="D185"/>
  <c r="D184"/>
  <c r="D180"/>
  <c r="D179"/>
  <c r="D178"/>
  <c r="D177"/>
  <c r="D176"/>
  <c r="D175"/>
  <c r="D174"/>
  <c r="D173"/>
  <c r="D172"/>
  <c r="D171"/>
  <c r="D170"/>
  <c r="D169"/>
  <c r="D168"/>
  <c r="D167"/>
  <c r="D166"/>
  <c r="D165"/>
  <c r="D164"/>
  <c r="D163"/>
  <c r="D162"/>
  <c r="D161"/>
  <c r="D160"/>
  <c r="D159"/>
  <c r="D158"/>
  <c r="D157"/>
  <c r="D156"/>
  <c r="D155"/>
  <c r="H90" i="16"/>
  <c r="J90" s="1"/>
  <c r="C88"/>
  <c r="H83"/>
  <c r="I83" s="1"/>
  <c r="C81"/>
  <c r="H76"/>
  <c r="J76" s="1"/>
  <c r="C74"/>
  <c r="H69"/>
  <c r="J69" s="1"/>
  <c r="C67"/>
  <c r="G330" i="15"/>
  <c r="H330" s="1"/>
  <c r="E330"/>
  <c r="C330"/>
  <c r="G329"/>
  <c r="H329" s="1"/>
  <c r="E329"/>
  <c r="C329"/>
  <c r="G327"/>
  <c r="H327" s="1"/>
  <c r="E327"/>
  <c r="C327"/>
  <c r="G326"/>
  <c r="H326" s="1"/>
  <c r="E326"/>
  <c r="C326"/>
  <c r="G325"/>
  <c r="H325" s="1"/>
  <c r="E325"/>
  <c r="C325"/>
  <c r="H62" i="16"/>
  <c r="I62" s="1"/>
  <c r="C60"/>
  <c r="G348" i="15" s="1"/>
  <c r="H348" s="1"/>
  <c r="H55" i="16"/>
  <c r="I55" s="1"/>
  <c r="C53"/>
  <c r="G347" i="15" s="1"/>
  <c r="H347" s="1"/>
  <c r="G349"/>
  <c r="H349" s="1"/>
  <c r="E349"/>
  <c r="C349"/>
  <c r="E348"/>
  <c r="C348"/>
  <c r="E347"/>
  <c r="C347"/>
  <c r="G346"/>
  <c r="H346" s="1"/>
  <c r="E346"/>
  <c r="C346"/>
  <c r="H345"/>
  <c r="G343"/>
  <c r="H343" s="1"/>
  <c r="E343"/>
  <c r="C343"/>
  <c r="G342"/>
  <c r="H342" s="1"/>
  <c r="E342"/>
  <c r="C342"/>
  <c r="F338"/>
  <c r="F337"/>
  <c r="F335"/>
  <c r="F336"/>
  <c r="G338"/>
  <c r="H338" s="1"/>
  <c r="E338"/>
  <c r="C338"/>
  <c r="G337"/>
  <c r="E337"/>
  <c r="C337"/>
  <c r="G336"/>
  <c r="E336"/>
  <c r="C336"/>
  <c r="G335"/>
  <c r="E335"/>
  <c r="C335"/>
  <c r="H334"/>
  <c r="G154" i="29"/>
  <c r="E154"/>
  <c r="D154"/>
  <c r="G153"/>
  <c r="E153"/>
  <c r="D153"/>
  <c r="G152"/>
  <c r="E152"/>
  <c r="D152"/>
  <c r="G151"/>
  <c r="E151"/>
  <c r="D151"/>
  <c r="G148"/>
  <c r="E148"/>
  <c r="D148"/>
  <c r="G147"/>
  <c r="E147"/>
  <c r="D147"/>
  <c r="G146"/>
  <c r="E146"/>
  <c r="D146"/>
  <c r="G143"/>
  <c r="E143"/>
  <c r="D143"/>
  <c r="G142"/>
  <c r="E142"/>
  <c r="D142"/>
  <c r="G141"/>
  <c r="E141"/>
  <c r="D141"/>
  <c r="G140"/>
  <c r="E140"/>
  <c r="D140"/>
  <c r="G138"/>
  <c r="E138"/>
  <c r="D138"/>
  <c r="G137"/>
  <c r="E137"/>
  <c r="D137"/>
  <c r="G136"/>
  <c r="E136"/>
  <c r="D136"/>
  <c r="G135"/>
  <c r="E135"/>
  <c r="D135"/>
  <c r="G133"/>
  <c r="E133"/>
  <c r="D133"/>
  <c r="G132"/>
  <c r="E132"/>
  <c r="D132"/>
  <c r="G131"/>
  <c r="E131"/>
  <c r="D131"/>
  <c r="G129"/>
  <c r="E129"/>
  <c r="D129"/>
  <c r="G127"/>
  <c r="E127"/>
  <c r="D127"/>
  <c r="G126"/>
  <c r="E126"/>
  <c r="D126"/>
  <c r="G125"/>
  <c r="E125"/>
  <c r="D125"/>
  <c r="G124"/>
  <c r="E124"/>
  <c r="D124"/>
  <c r="G122"/>
  <c r="E122"/>
  <c r="D122"/>
  <c r="H337" i="15" l="1"/>
  <c r="H335"/>
  <c r="H336"/>
  <c r="H397"/>
  <c r="I97" i="16"/>
  <c r="I90"/>
  <c r="I76"/>
  <c r="I69"/>
  <c r="H355" i="15"/>
  <c r="J83" i="16"/>
  <c r="H341" i="15"/>
  <c r="J62" i="16"/>
  <c r="J55"/>
  <c r="H333" i="15" l="1"/>
  <c r="G324" l="1"/>
  <c r="H324" s="1"/>
  <c r="E324"/>
  <c r="C324"/>
  <c r="G323"/>
  <c r="H323" s="1"/>
  <c r="E323"/>
  <c r="C323"/>
  <c r="G322"/>
  <c r="H322" s="1"/>
  <c r="E322"/>
  <c r="C322"/>
  <c r="G321"/>
  <c r="H321" s="1"/>
  <c r="E321"/>
  <c r="C321"/>
  <c r="G320"/>
  <c r="H320" s="1"/>
  <c r="E320"/>
  <c r="C320"/>
  <c r="G116" i="29"/>
  <c r="E116"/>
  <c r="D116"/>
  <c r="G115"/>
  <c r="E115"/>
  <c r="D115"/>
  <c r="G114"/>
  <c r="E114"/>
  <c r="D114"/>
  <c r="G113"/>
  <c r="E113"/>
  <c r="D113"/>
  <c r="G112"/>
  <c r="E112"/>
  <c r="D112"/>
  <c r="G111"/>
  <c r="E111"/>
  <c r="D111"/>
  <c r="G108"/>
  <c r="E108"/>
  <c r="D108"/>
  <c r="G107"/>
  <c r="E107"/>
  <c r="D107"/>
  <c r="G106"/>
  <c r="E106"/>
  <c r="D106"/>
  <c r="G316" i="15"/>
  <c r="H316" s="1"/>
  <c r="E316"/>
  <c r="C316"/>
  <c r="G315"/>
  <c r="H315" s="1"/>
  <c r="E315"/>
  <c r="C315"/>
  <c r="E311"/>
  <c r="C311"/>
  <c r="G310"/>
  <c r="H310" s="1"/>
  <c r="E310"/>
  <c r="C310"/>
  <c r="G309"/>
  <c r="H309" s="1"/>
  <c r="E309"/>
  <c r="C309"/>
  <c r="H48" i="16"/>
  <c r="I48" s="1"/>
  <c r="C46"/>
  <c r="G311" i="15" s="1"/>
  <c r="H311" s="1"/>
  <c r="G304"/>
  <c r="H304" s="1"/>
  <c r="E304"/>
  <c r="C304"/>
  <c r="G305"/>
  <c r="H305" s="1"/>
  <c r="E305"/>
  <c r="C305"/>
  <c r="G303"/>
  <c r="H303" s="1"/>
  <c r="E303"/>
  <c r="C303"/>
  <c r="G302"/>
  <c r="H302" s="1"/>
  <c r="E302"/>
  <c r="C302"/>
  <c r="F298"/>
  <c r="G298"/>
  <c r="E298"/>
  <c r="C298"/>
  <c r="G297"/>
  <c r="H297" s="1"/>
  <c r="E297"/>
  <c r="C297"/>
  <c r="G296"/>
  <c r="H296" s="1"/>
  <c r="E296"/>
  <c r="C296"/>
  <c r="G292"/>
  <c r="H292" s="1"/>
  <c r="G291"/>
  <c r="H291" s="1"/>
  <c r="G290"/>
  <c r="H290" s="1"/>
  <c r="E292"/>
  <c r="C292"/>
  <c r="E291"/>
  <c r="C291"/>
  <c r="E290"/>
  <c r="C290"/>
  <c r="G286"/>
  <c r="H286" s="1"/>
  <c r="E286"/>
  <c r="C286"/>
  <c r="G285"/>
  <c r="H285" s="1"/>
  <c r="E285"/>
  <c r="C285"/>
  <c r="G284"/>
  <c r="H284" s="1"/>
  <c r="E284"/>
  <c r="C284"/>
  <c r="G283"/>
  <c r="H283" s="1"/>
  <c r="E283"/>
  <c r="C283"/>
  <c r="G282"/>
  <c r="H282" s="1"/>
  <c r="E282"/>
  <c r="C282"/>
  <c r="G81" i="29"/>
  <c r="E81"/>
  <c r="D81"/>
  <c r="H298" i="15" l="1"/>
  <c r="H295" s="1"/>
  <c r="H314"/>
  <c r="H308"/>
  <c r="J48" i="16"/>
  <c r="H301" i="15"/>
  <c r="H289"/>
  <c r="H281"/>
  <c r="H319" l="1"/>
  <c r="G267"/>
  <c r="H267" s="1"/>
  <c r="E267"/>
  <c r="C267"/>
  <c r="E265" l="1"/>
  <c r="C265"/>
  <c r="H34" i="16"/>
  <c r="I34" s="1"/>
  <c r="C32"/>
  <c r="G265" i="15" s="1"/>
  <c r="H265" s="1"/>
  <c r="E41" i="16"/>
  <c r="C39" s="1"/>
  <c r="G278" i="15" s="1"/>
  <c r="H278" s="1"/>
  <c r="H27" i="16"/>
  <c r="I27" s="1"/>
  <c r="C25"/>
  <c r="G264" i="15" s="1"/>
  <c r="H264" s="1"/>
  <c r="H20" i="16"/>
  <c r="I20" s="1"/>
  <c r="C18"/>
  <c r="G353" i="15" s="1"/>
  <c r="H353" s="1"/>
  <c r="F256"/>
  <c r="F255"/>
  <c r="G256"/>
  <c r="E256"/>
  <c r="C256"/>
  <c r="C253"/>
  <c r="E253"/>
  <c r="C19" i="34"/>
  <c r="C20"/>
  <c r="C21"/>
  <c r="C22"/>
  <c r="C23"/>
  <c r="G23"/>
  <c r="H23" s="1"/>
  <c r="G22"/>
  <c r="H22" s="1"/>
  <c r="G21"/>
  <c r="H21" s="1"/>
  <c r="G20"/>
  <c r="H20" s="1"/>
  <c r="G19"/>
  <c r="H19" s="1"/>
  <c r="E23"/>
  <c r="D23"/>
  <c r="E22"/>
  <c r="D22"/>
  <c r="E21"/>
  <c r="D21"/>
  <c r="E20"/>
  <c r="D20"/>
  <c r="E19"/>
  <c r="D19"/>
  <c r="E250" i="15"/>
  <c r="C250"/>
  <c r="G277"/>
  <c r="H277" s="1"/>
  <c r="G276"/>
  <c r="H276" s="1"/>
  <c r="G275"/>
  <c r="H275" s="1"/>
  <c r="G274"/>
  <c r="H274" s="1"/>
  <c r="G273"/>
  <c r="H273" s="1"/>
  <c r="G272"/>
  <c r="H272" s="1"/>
  <c r="G271"/>
  <c r="H271" s="1"/>
  <c r="G270"/>
  <c r="H270" s="1"/>
  <c r="G269"/>
  <c r="H269" s="1"/>
  <c r="G268"/>
  <c r="H268" s="1"/>
  <c r="G266"/>
  <c r="H266" s="1"/>
  <c r="G263"/>
  <c r="H263" s="1"/>
  <c r="G262"/>
  <c r="H262" s="1"/>
  <c r="G261"/>
  <c r="H261" s="1"/>
  <c r="G260"/>
  <c r="H260" s="1"/>
  <c r="G259"/>
  <c r="G258"/>
  <c r="H258" s="1"/>
  <c r="G257"/>
  <c r="H257" s="1"/>
  <c r="G255"/>
  <c r="G254"/>
  <c r="H254" s="1"/>
  <c r="G252"/>
  <c r="H252" s="1"/>
  <c r="G251"/>
  <c r="H251" s="1"/>
  <c r="G250"/>
  <c r="H250" s="1"/>
  <c r="H255" l="1"/>
  <c r="H256"/>
  <c r="H41" i="16"/>
  <c r="I41" s="1"/>
  <c r="H351" i="15"/>
  <c r="J34" i="16"/>
  <c r="J20"/>
  <c r="J27"/>
  <c r="H18" i="34"/>
  <c r="G253" i="15" s="1"/>
  <c r="H253" s="1"/>
  <c r="C251"/>
  <c r="E251"/>
  <c r="C252"/>
  <c r="E252"/>
  <c r="C254"/>
  <c r="E254"/>
  <c r="C255"/>
  <c r="E255"/>
  <c r="C257"/>
  <c r="E257"/>
  <c r="C258"/>
  <c r="E258"/>
  <c r="C259"/>
  <c r="E259"/>
  <c r="C260"/>
  <c r="E260"/>
  <c r="C261"/>
  <c r="E261"/>
  <c r="C262"/>
  <c r="E262"/>
  <c r="C263"/>
  <c r="E263"/>
  <c r="C264"/>
  <c r="E264"/>
  <c r="C266"/>
  <c r="E266"/>
  <c r="C268"/>
  <c r="E268"/>
  <c r="C269"/>
  <c r="E269"/>
  <c r="C270"/>
  <c r="E270"/>
  <c r="C271"/>
  <c r="E271"/>
  <c r="C272"/>
  <c r="E272"/>
  <c r="C273"/>
  <c r="E273"/>
  <c r="C274"/>
  <c r="E274"/>
  <c r="C275"/>
  <c r="E275"/>
  <c r="C276"/>
  <c r="E276"/>
  <c r="C277"/>
  <c r="E277"/>
  <c r="C278"/>
  <c r="E278"/>
  <c r="F259"/>
  <c r="H259" s="1"/>
  <c r="F15" i="34"/>
  <c r="F14"/>
  <c r="F13"/>
  <c r="F12"/>
  <c r="F244" i="15"/>
  <c r="F246" s="1"/>
  <c r="F242"/>
  <c r="F243" s="1"/>
  <c r="F240"/>
  <c r="F239"/>
  <c r="F238"/>
  <c r="C245"/>
  <c r="E245"/>
  <c r="G15" i="34"/>
  <c r="G14"/>
  <c r="G13"/>
  <c r="G12"/>
  <c r="C13"/>
  <c r="D13"/>
  <c r="E13"/>
  <c r="C14"/>
  <c r="D14"/>
  <c r="E14"/>
  <c r="C15"/>
  <c r="D15"/>
  <c r="E15"/>
  <c r="E12"/>
  <c r="D12"/>
  <c r="C12"/>
  <c r="G246" i="15"/>
  <c r="G244"/>
  <c r="H244" s="1"/>
  <c r="G243"/>
  <c r="G242"/>
  <c r="G241"/>
  <c r="G240"/>
  <c r="G239"/>
  <c r="G238"/>
  <c r="C239"/>
  <c r="E239"/>
  <c r="C240"/>
  <c r="E240"/>
  <c r="C241"/>
  <c r="E241"/>
  <c r="C242"/>
  <c r="E242"/>
  <c r="C243"/>
  <c r="E243"/>
  <c r="C244"/>
  <c r="E244"/>
  <c r="C246"/>
  <c r="E246"/>
  <c r="E238"/>
  <c r="C238"/>
  <c r="J41" i="16" l="1"/>
  <c r="H15" i="34"/>
  <c r="H246" i="15"/>
  <c r="H13" i="34"/>
  <c r="H238" i="15"/>
  <c r="H12" i="34"/>
  <c r="H14"/>
  <c r="E94" i="18"/>
  <c r="D94"/>
  <c r="G94"/>
  <c r="D93"/>
  <c r="G93"/>
  <c r="E93"/>
  <c r="G91"/>
  <c r="E91"/>
  <c r="D91"/>
  <c r="H239" i="15"/>
  <c r="H242"/>
  <c r="G88" i="18"/>
  <c r="E88"/>
  <c r="G92"/>
  <c r="D88"/>
  <c r="E92"/>
  <c r="D92"/>
  <c r="H240" i="15"/>
  <c r="H243"/>
  <c r="D90" i="18"/>
  <c r="G89"/>
  <c r="G90"/>
  <c r="D89"/>
  <c r="E89"/>
  <c r="E90"/>
  <c r="G277"/>
  <c r="E277"/>
  <c r="D277"/>
  <c r="G275"/>
  <c r="G274"/>
  <c r="J12" i="34"/>
  <c r="D374" i="18"/>
  <c r="E374"/>
  <c r="G374"/>
  <c r="D372"/>
  <c r="E372"/>
  <c r="D371"/>
  <c r="G372"/>
  <c r="E371"/>
  <c r="G371"/>
  <c r="E369"/>
  <c r="G369"/>
  <c r="D369"/>
  <c r="G364"/>
  <c r="E304"/>
  <c r="D364"/>
  <c r="E364"/>
  <c r="D304"/>
  <c r="G304"/>
  <c r="E357"/>
  <c r="D355"/>
  <c r="G350"/>
  <c r="D348"/>
  <c r="G344"/>
  <c r="E343"/>
  <c r="D340"/>
  <c r="G334"/>
  <c r="E333"/>
  <c r="D331"/>
  <c r="E325"/>
  <c r="D323"/>
  <c r="G319"/>
  <c r="G357"/>
  <c r="E355"/>
  <c r="D352"/>
  <c r="E348"/>
  <c r="D346"/>
  <c r="G343"/>
  <c r="E340"/>
  <c r="D336"/>
  <c r="G333"/>
  <c r="E331"/>
  <c r="D329"/>
  <c r="G325"/>
  <c r="E323"/>
  <c r="D321"/>
  <c r="G355"/>
  <c r="E352"/>
  <c r="D350"/>
  <c r="G348"/>
  <c r="E346"/>
  <c r="D344"/>
  <c r="G340"/>
  <c r="E336"/>
  <c r="D334"/>
  <c r="G331"/>
  <c r="E329"/>
  <c r="G323"/>
  <c r="E321"/>
  <c r="D319"/>
  <c r="D357"/>
  <c r="G352"/>
  <c r="E350"/>
  <c r="G346"/>
  <c r="E344"/>
  <c r="D343"/>
  <c r="G336"/>
  <c r="E334"/>
  <c r="D333"/>
  <c r="G329"/>
  <c r="D325"/>
  <c r="G321"/>
  <c r="E319"/>
  <c r="D226"/>
  <c r="E226"/>
  <c r="G226"/>
  <c r="D220"/>
  <c r="G218"/>
  <c r="E220"/>
  <c r="D219"/>
  <c r="G220"/>
  <c r="E219"/>
  <c r="D218"/>
  <c r="G219"/>
  <c r="E218"/>
  <c r="D210"/>
  <c r="G208"/>
  <c r="E207"/>
  <c r="D206"/>
  <c r="E210"/>
  <c r="D209"/>
  <c r="G207"/>
  <c r="E206"/>
  <c r="G210"/>
  <c r="E209"/>
  <c r="D208"/>
  <c r="G206"/>
  <c r="G209"/>
  <c r="E208"/>
  <c r="D207"/>
  <c r="D123"/>
  <c r="G123"/>
  <c r="D120"/>
  <c r="E120"/>
  <c r="G120"/>
  <c r="G105"/>
  <c r="D111"/>
  <c r="E111"/>
  <c r="D105"/>
  <c r="G111"/>
  <c r="E105"/>
  <c r="E77"/>
  <c r="D77"/>
  <c r="G77"/>
  <c r="E37"/>
  <c r="D35"/>
  <c r="G31"/>
  <c r="E29"/>
  <c r="D26"/>
  <c r="G22"/>
  <c r="E20"/>
  <c r="G37"/>
  <c r="E35"/>
  <c r="D33"/>
  <c r="G29"/>
  <c r="E26"/>
  <c r="D24"/>
  <c r="G20"/>
  <c r="G35"/>
  <c r="E33"/>
  <c r="D31"/>
  <c r="G26"/>
  <c r="E24"/>
  <c r="D22"/>
  <c r="D37"/>
  <c r="G33"/>
  <c r="E31"/>
  <c r="D29"/>
  <c r="G24"/>
  <c r="E22"/>
  <c r="D20"/>
  <c r="D18"/>
  <c r="E18"/>
  <c r="G18"/>
  <c r="E16"/>
  <c r="G16"/>
  <c r="D16"/>
  <c r="D162" i="29"/>
  <c r="E162"/>
  <c r="G162"/>
  <c r="D157"/>
  <c r="G157"/>
  <c r="E157"/>
  <c r="D178"/>
  <c r="E178"/>
  <c r="D177"/>
  <c r="E177"/>
  <c r="G177"/>
  <c r="G178"/>
  <c r="D176"/>
  <c r="E176"/>
  <c r="G176"/>
  <c r="D172"/>
  <c r="E172"/>
  <c r="G172"/>
  <c r="E158"/>
  <c r="D158"/>
  <c r="G158"/>
  <c r="D155"/>
  <c r="E155"/>
  <c r="G155"/>
  <c r="E150"/>
  <c r="G150"/>
  <c r="D150"/>
  <c r="E149"/>
  <c r="G149"/>
  <c r="D149"/>
  <c r="E117"/>
  <c r="D117"/>
  <c r="G117"/>
  <c r="H249" i="15"/>
  <c r="F241"/>
  <c r="H241" s="1"/>
  <c r="H11" i="34" l="1"/>
  <c r="G245" i="15" s="1"/>
  <c r="H245" s="1"/>
  <c r="H237" l="1"/>
  <c r="G79" i="29" s="1"/>
  <c r="G100"/>
  <c r="G101"/>
  <c r="G102"/>
  <c r="G103"/>
  <c r="G104"/>
  <c r="G92"/>
  <c r="E92"/>
  <c r="D92"/>
  <c r="G91"/>
  <c r="E91"/>
  <c r="D91"/>
  <c r="G90"/>
  <c r="E90"/>
  <c r="D90"/>
  <c r="G89"/>
  <c r="E89"/>
  <c r="D89"/>
  <c r="G77"/>
  <c r="E77"/>
  <c r="D77"/>
  <c r="G76"/>
  <c r="E76"/>
  <c r="D76"/>
  <c r="G93"/>
  <c r="E93"/>
  <c r="D93"/>
  <c r="G88"/>
  <c r="E88"/>
  <c r="D88"/>
  <c r="G87"/>
  <c r="E87"/>
  <c r="D87"/>
  <c r="G86"/>
  <c r="E86"/>
  <c r="D86"/>
  <c r="G85"/>
  <c r="E85"/>
  <c r="D85"/>
  <c r="G84"/>
  <c r="E84"/>
  <c r="D84"/>
  <c r="G83"/>
  <c r="E83"/>
  <c r="D83"/>
  <c r="G82"/>
  <c r="E82"/>
  <c r="D82"/>
  <c r="G80"/>
  <c r="E80"/>
  <c r="D80"/>
  <c r="G78"/>
  <c r="E78"/>
  <c r="D78"/>
  <c r="E79"/>
  <c r="D79"/>
  <c r="G105"/>
  <c r="E105"/>
  <c r="D105"/>
  <c r="E104"/>
  <c r="D104"/>
  <c r="E103"/>
  <c r="D103"/>
  <c r="E102"/>
  <c r="D102"/>
  <c r="E101"/>
  <c r="D101"/>
  <c r="E100"/>
  <c r="D100"/>
  <c r="G99"/>
  <c r="E99"/>
  <c r="D99"/>
  <c r="G98"/>
  <c r="E98"/>
  <c r="D98"/>
  <c r="G97"/>
  <c r="E97"/>
  <c r="D97"/>
  <c r="G96"/>
  <c r="E96"/>
  <c r="D96"/>
  <c r="G95"/>
  <c r="E95"/>
  <c r="D95"/>
  <c r="G53"/>
  <c r="E53"/>
  <c r="D53"/>
  <c r="D57"/>
  <c r="G74"/>
  <c r="E74"/>
  <c r="D74"/>
  <c r="G73"/>
  <c r="E73"/>
  <c r="D73"/>
  <c r="G72"/>
  <c r="E72"/>
  <c r="D72"/>
  <c r="G71"/>
  <c r="E71"/>
  <c r="D71"/>
  <c r="G70"/>
  <c r="E70"/>
  <c r="D70"/>
  <c r="G69"/>
  <c r="E69"/>
  <c r="D69"/>
  <c r="G68"/>
  <c r="E68"/>
  <c r="D68"/>
  <c r="G67"/>
  <c r="E67"/>
  <c r="D67"/>
  <c r="G66"/>
  <c r="E66"/>
  <c r="D66"/>
  <c r="G65"/>
  <c r="E65"/>
  <c r="D65"/>
  <c r="G64"/>
  <c r="E64"/>
  <c r="D64"/>
  <c r="G63"/>
  <c r="E63"/>
  <c r="D63"/>
  <c r="G62"/>
  <c r="E62"/>
  <c r="D62"/>
  <c r="G61"/>
  <c r="E61"/>
  <c r="D61"/>
  <c r="G60"/>
  <c r="E60"/>
  <c r="D60"/>
  <c r="G59"/>
  <c r="E59"/>
  <c r="D59"/>
  <c r="G58"/>
  <c r="E58"/>
  <c r="D58"/>
  <c r="G57"/>
  <c r="E57"/>
  <c r="G56"/>
  <c r="E56"/>
  <c r="D56"/>
  <c r="G55"/>
  <c r="E55"/>
  <c r="D55"/>
  <c r="G54"/>
  <c r="E54"/>
  <c r="D54"/>
  <c r="G52"/>
  <c r="E52"/>
  <c r="D52"/>
  <c r="G51"/>
  <c r="E51"/>
  <c r="D51"/>
  <c r="G50"/>
  <c r="E50"/>
  <c r="D50"/>
  <c r="G49"/>
  <c r="E49"/>
  <c r="D49"/>
  <c r="G48"/>
  <c r="E48"/>
  <c r="D48"/>
  <c r="M39"/>
  <c r="G234" i="15" l="1"/>
  <c r="H234" s="1"/>
  <c r="E234"/>
  <c r="C234"/>
  <c r="G233"/>
  <c r="H233" s="1"/>
  <c r="E233"/>
  <c r="C233"/>
  <c r="G232"/>
  <c r="H232" s="1"/>
  <c r="E232"/>
  <c r="C232"/>
  <c r="G231"/>
  <c r="H231" s="1"/>
  <c r="E231"/>
  <c r="C231"/>
  <c r="G230"/>
  <c r="H230" s="1"/>
  <c r="E230"/>
  <c r="C230"/>
  <c r="G229"/>
  <c r="H229" s="1"/>
  <c r="E229"/>
  <c r="C229"/>
  <c r="G228"/>
  <c r="H228" s="1"/>
  <c r="E228"/>
  <c r="C228"/>
  <c r="G227"/>
  <c r="H227" s="1"/>
  <c r="E227"/>
  <c r="C227"/>
  <c r="G226"/>
  <c r="H226" s="1"/>
  <c r="E226"/>
  <c r="C226"/>
  <c r="G225"/>
  <c r="H225" s="1"/>
  <c r="E225"/>
  <c r="C225"/>
  <c r="G224"/>
  <c r="H224" s="1"/>
  <c r="E224"/>
  <c r="C224"/>
  <c r="G223"/>
  <c r="H223" s="1"/>
  <c r="E223"/>
  <c r="C223"/>
  <c r="G222"/>
  <c r="H222" s="1"/>
  <c r="E222"/>
  <c r="C222"/>
  <c r="H221"/>
  <c r="H220"/>
  <c r="G119" i="18" s="1"/>
  <c r="G219" i="15"/>
  <c r="H219" s="1"/>
  <c r="E219"/>
  <c r="C219"/>
  <c r="G218"/>
  <c r="H218" s="1"/>
  <c r="E218"/>
  <c r="C218"/>
  <c r="G217"/>
  <c r="H217" s="1"/>
  <c r="E217"/>
  <c r="C217"/>
  <c r="G216"/>
  <c r="H216" s="1"/>
  <c r="E216"/>
  <c r="C216"/>
  <c r="G215"/>
  <c r="H215" s="1"/>
  <c r="E215"/>
  <c r="C215"/>
  <c r="G213"/>
  <c r="H213" s="1"/>
  <c r="E213"/>
  <c r="C213"/>
  <c r="H212" l="1"/>
  <c r="E37" i="29"/>
  <c r="D37"/>
  <c r="G209" i="15"/>
  <c r="H209" s="1"/>
  <c r="E209"/>
  <c r="C209"/>
  <c r="G208"/>
  <c r="H208" s="1"/>
  <c r="E208"/>
  <c r="C208"/>
  <c r="G207"/>
  <c r="H207" s="1"/>
  <c r="E207"/>
  <c r="C207"/>
  <c r="G206"/>
  <c r="H206" s="1"/>
  <c r="E206"/>
  <c r="C206"/>
  <c r="G205"/>
  <c r="H205" s="1"/>
  <c r="E205"/>
  <c r="C205"/>
  <c r="G204"/>
  <c r="H204" s="1"/>
  <c r="E204"/>
  <c r="C204"/>
  <c r="G203"/>
  <c r="H203" s="1"/>
  <c r="E203"/>
  <c r="C203"/>
  <c r="G202"/>
  <c r="H202" s="1"/>
  <c r="E202"/>
  <c r="C202"/>
  <c r="G201"/>
  <c r="H201" s="1"/>
  <c r="E201"/>
  <c r="C201"/>
  <c r="G200"/>
  <c r="H200" s="1"/>
  <c r="E200"/>
  <c r="C200"/>
  <c r="G199"/>
  <c r="H199" s="1"/>
  <c r="E199"/>
  <c r="C199"/>
  <c r="G198"/>
  <c r="H198" s="1"/>
  <c r="E198"/>
  <c r="C198"/>
  <c r="G197"/>
  <c r="H197" s="1"/>
  <c r="E197"/>
  <c r="C197"/>
  <c r="G196"/>
  <c r="H196" s="1"/>
  <c r="E196"/>
  <c r="C196"/>
  <c r="G195"/>
  <c r="H195" s="1"/>
  <c r="E195"/>
  <c r="C195"/>
  <c r="G194"/>
  <c r="H194" s="1"/>
  <c r="E194"/>
  <c r="C194"/>
  <c r="G193"/>
  <c r="H193" s="1"/>
  <c r="E193"/>
  <c r="C193"/>
  <c r="G192"/>
  <c r="H192" s="1"/>
  <c r="E192"/>
  <c r="C192"/>
  <c r="G191"/>
  <c r="H191" s="1"/>
  <c r="E191"/>
  <c r="C191"/>
  <c r="G190"/>
  <c r="H190" s="1"/>
  <c r="E190"/>
  <c r="C190"/>
  <c r="G189"/>
  <c r="H189" s="1"/>
  <c r="E189"/>
  <c r="C189"/>
  <c r="G188"/>
  <c r="H188" s="1"/>
  <c r="E188"/>
  <c r="C188"/>
  <c r="G187"/>
  <c r="H187" s="1"/>
  <c r="E187"/>
  <c r="C187"/>
  <c r="G186"/>
  <c r="H186" s="1"/>
  <c r="E186"/>
  <c r="C186"/>
  <c r="G185"/>
  <c r="H185" s="1"/>
  <c r="E185"/>
  <c r="C185"/>
  <c r="G184"/>
  <c r="H184" s="1"/>
  <c r="E184"/>
  <c r="C184"/>
  <c r="E26" i="29"/>
  <c r="D26"/>
  <c r="G178" i="15"/>
  <c r="H178" s="1"/>
  <c r="E178"/>
  <c r="C178"/>
  <c r="G177"/>
  <c r="H177" s="1"/>
  <c r="E177"/>
  <c r="C177"/>
  <c r="G176"/>
  <c r="H176" s="1"/>
  <c r="E176"/>
  <c r="C176"/>
  <c r="G175"/>
  <c r="H175" s="1"/>
  <c r="E175"/>
  <c r="C175"/>
  <c r="G174"/>
  <c r="H174" s="1"/>
  <c r="E174"/>
  <c r="C174"/>
  <c r="G173"/>
  <c r="H173" s="1"/>
  <c r="E173"/>
  <c r="C173"/>
  <c r="G172"/>
  <c r="H172" s="1"/>
  <c r="E172"/>
  <c r="C172"/>
  <c r="G171"/>
  <c r="H171" s="1"/>
  <c r="E171"/>
  <c r="C171"/>
  <c r="G170"/>
  <c r="H170" s="1"/>
  <c r="E170"/>
  <c r="C170"/>
  <c r="G169"/>
  <c r="H169" s="1"/>
  <c r="E169"/>
  <c r="C169"/>
  <c r="G168"/>
  <c r="H168" s="1"/>
  <c r="E168"/>
  <c r="C168"/>
  <c r="G167"/>
  <c r="H167" s="1"/>
  <c r="E167"/>
  <c r="C167"/>
  <c r="G180"/>
  <c r="H180" s="1"/>
  <c r="E180"/>
  <c r="C180"/>
  <c r="G179"/>
  <c r="H179" s="1"/>
  <c r="E179"/>
  <c r="C179"/>
  <c r="G166"/>
  <c r="H166" s="1"/>
  <c r="E166"/>
  <c r="C166"/>
  <c r="G165"/>
  <c r="H165" s="1"/>
  <c r="E165"/>
  <c r="C165"/>
  <c r="G164"/>
  <c r="H164" s="1"/>
  <c r="E164"/>
  <c r="C164"/>
  <c r="G163"/>
  <c r="H163" s="1"/>
  <c r="E163"/>
  <c r="C163"/>
  <c r="G162"/>
  <c r="H162" s="1"/>
  <c r="E162"/>
  <c r="C162"/>
  <c r="H183" l="1"/>
  <c r="G37" i="29" s="1"/>
  <c r="D20"/>
  <c r="D18"/>
  <c r="D17"/>
  <c r="D16"/>
  <c r="A135" i="21" l="1"/>
  <c r="B201" i="29"/>
  <c r="B380" i="18"/>
  <c r="I6" i="29"/>
  <c r="K12" l="1"/>
  <c r="K13"/>
  <c r="K14"/>
  <c r="K15"/>
  <c r="G189" l="1"/>
  <c r="E189"/>
  <c r="D189"/>
  <c r="G195"/>
  <c r="E195"/>
  <c r="D195"/>
  <c r="E193"/>
  <c r="D193"/>
  <c r="G193"/>
  <c r="G191"/>
  <c r="E191"/>
  <c r="D191"/>
  <c r="D338" i="18" l="1"/>
  <c r="E338"/>
  <c r="G288"/>
  <c r="D288"/>
  <c r="E288"/>
  <c r="D287"/>
  <c r="E287"/>
  <c r="G287"/>
  <c r="E284" l="1"/>
  <c r="D284"/>
  <c r="G283"/>
  <c r="E283"/>
  <c r="D283"/>
  <c r="G284" l="1"/>
  <c r="E274" l="1"/>
  <c r="D274"/>
  <c r="E273"/>
  <c r="D273"/>
  <c r="G246"/>
  <c r="E246"/>
  <c r="D246"/>
  <c r="G244"/>
  <c r="E244"/>
  <c r="D244"/>
  <c r="E270"/>
  <c r="D270"/>
  <c r="E272"/>
  <c r="D272"/>
  <c r="G270" l="1"/>
  <c r="G231" l="1"/>
  <c r="E231"/>
  <c r="D231"/>
  <c r="G254"/>
  <c r="E254"/>
  <c r="D254"/>
  <c r="G229"/>
  <c r="E229"/>
  <c r="D229"/>
  <c r="E201"/>
  <c r="D201"/>
  <c r="H6" i="34"/>
  <c r="G201" i="18" l="1"/>
  <c r="G126" l="1"/>
  <c r="E126"/>
  <c r="D126"/>
  <c r="E76" l="1"/>
  <c r="D76"/>
  <c r="E74"/>
  <c r="D74"/>
  <c r="G273"/>
  <c r="G76" l="1"/>
  <c r="B49" i="33" l="1"/>
  <c r="B48"/>
  <c r="B47"/>
  <c r="B46"/>
  <c r="B45"/>
  <c r="H20"/>
  <c r="H21" s="1"/>
  <c r="H17"/>
  <c r="H16"/>
  <c r="H18" s="1"/>
  <c r="H11"/>
  <c r="H10"/>
  <c r="H9"/>
  <c r="H8"/>
  <c r="B49" i="32"/>
  <c r="B48"/>
  <c r="B47"/>
  <c r="B46"/>
  <c r="B45"/>
  <c r="H21"/>
  <c r="H17"/>
  <c r="H16"/>
  <c r="H18" s="1"/>
  <c r="H22" i="33" l="1"/>
  <c r="H12" i="32"/>
  <c r="H12" i="33"/>
  <c r="H22" i="32"/>
  <c r="F154" i="35" l="1"/>
  <c r="G154" s="1"/>
  <c r="F122"/>
  <c r="G122" s="1"/>
  <c r="F89"/>
  <c r="G89" s="1"/>
  <c r="F44"/>
  <c r="G44" s="1"/>
  <c r="F24"/>
  <c r="G24" s="1"/>
  <c r="F15"/>
  <c r="G15" s="1"/>
  <c r="H26" i="29"/>
  <c r="H279" i="18"/>
  <c r="H226"/>
  <c r="H218"/>
  <c r="H172"/>
  <c r="H164"/>
  <c r="H87"/>
  <c r="F182" i="35"/>
  <c r="G182" s="1"/>
  <c r="F128"/>
  <c r="G128" s="1"/>
  <c r="F90"/>
  <c r="G90" s="1"/>
  <c r="F46"/>
  <c r="G46" s="1"/>
  <c r="F27"/>
  <c r="G27" s="1"/>
  <c r="F17"/>
  <c r="G17" s="1"/>
  <c r="F145"/>
  <c r="G145" s="1"/>
  <c r="F48"/>
  <c r="G48" s="1"/>
  <c r="F19"/>
  <c r="G19" s="1"/>
  <c r="H272" i="18"/>
  <c r="H219"/>
  <c r="H170"/>
  <c r="H160"/>
  <c r="F148" i="35"/>
  <c r="G148" s="1"/>
  <c r="F58"/>
  <c r="G58" s="1"/>
  <c r="F21"/>
  <c r="G21" s="1"/>
  <c r="H30" i="29"/>
  <c r="H273" i="18"/>
  <c r="H220"/>
  <c r="H174"/>
  <c r="H162"/>
  <c r="F95" i="35"/>
  <c r="G95" s="1"/>
  <c r="F29"/>
  <c r="G29" s="1"/>
  <c r="F11"/>
  <c r="G11" s="1"/>
  <c r="H280" i="18"/>
  <c r="H223"/>
  <c r="H194"/>
  <c r="H166"/>
  <c r="F116" i="35"/>
  <c r="G116" s="1"/>
  <c r="F43"/>
  <c r="G43" s="1"/>
  <c r="F13"/>
  <c r="G13" s="1"/>
  <c r="H229" i="18"/>
  <c r="H217"/>
  <c r="H168"/>
  <c r="H88"/>
  <c r="F165" i="35"/>
  <c r="G165" s="1"/>
  <c r="H80" i="18"/>
  <c r="H183" i="29"/>
  <c r="F362" i="35"/>
  <c r="G362" s="1"/>
  <c r="F358"/>
  <c r="G358" s="1"/>
  <c r="F354"/>
  <c r="G354" s="1"/>
  <c r="F350"/>
  <c r="G350" s="1"/>
  <c r="F346"/>
  <c r="G346" s="1"/>
  <c r="F341"/>
  <c r="G341" s="1"/>
  <c r="F337"/>
  <c r="G337" s="1"/>
  <c r="F332"/>
  <c r="G332" s="1"/>
  <c r="F325"/>
  <c r="G325" s="1"/>
  <c r="F316"/>
  <c r="G316" s="1"/>
  <c r="F310"/>
  <c r="G310" s="1"/>
  <c r="F305"/>
  <c r="G305" s="1"/>
  <c r="F301"/>
  <c r="G301" s="1"/>
  <c r="F297"/>
  <c r="G297" s="1"/>
  <c r="F292"/>
  <c r="G292" s="1"/>
  <c r="F288"/>
  <c r="G288" s="1"/>
  <c r="F284"/>
  <c r="G284" s="1"/>
  <c r="F279"/>
  <c r="G279" s="1"/>
  <c r="F275"/>
  <c r="G275" s="1"/>
  <c r="F270"/>
  <c r="G270" s="1"/>
  <c r="F265"/>
  <c r="G265" s="1"/>
  <c r="F261"/>
  <c r="G261" s="1"/>
  <c r="F257"/>
  <c r="G257" s="1"/>
  <c r="F252"/>
  <c r="G252" s="1"/>
  <c r="F246"/>
  <c r="G246" s="1"/>
  <c r="F242"/>
  <c r="G242" s="1"/>
  <c r="F237"/>
  <c r="G237" s="1"/>
  <c r="F232"/>
  <c r="G232" s="1"/>
  <c r="F228"/>
  <c r="G228" s="1"/>
  <c r="F224"/>
  <c r="G224" s="1"/>
  <c r="F219"/>
  <c r="G219" s="1"/>
  <c r="F215"/>
  <c r="G215" s="1"/>
  <c r="F210"/>
  <c r="G210" s="1"/>
  <c r="F205"/>
  <c r="G205" s="1"/>
  <c r="F200"/>
  <c r="G200" s="1"/>
  <c r="F195"/>
  <c r="G195" s="1"/>
  <c r="F191"/>
  <c r="G191" s="1"/>
  <c r="F187"/>
  <c r="G187" s="1"/>
  <c r="F181"/>
  <c r="G181" s="1"/>
  <c r="F177"/>
  <c r="G177" s="1"/>
  <c r="F173"/>
  <c r="G173" s="1"/>
  <c r="F169"/>
  <c r="G169" s="1"/>
  <c r="F164"/>
  <c r="G164" s="1"/>
  <c r="F160"/>
  <c r="G160" s="1"/>
  <c r="F156"/>
  <c r="G156" s="1"/>
  <c r="F151"/>
  <c r="G151" s="1"/>
  <c r="F146"/>
  <c r="G146" s="1"/>
  <c r="F140"/>
  <c r="G140" s="1"/>
  <c r="F136"/>
  <c r="G136" s="1"/>
  <c r="F132"/>
  <c r="G132" s="1"/>
  <c r="F127"/>
  <c r="G127" s="1"/>
  <c r="F123"/>
  <c r="G123" s="1"/>
  <c r="F118"/>
  <c r="G118" s="1"/>
  <c r="F113"/>
  <c r="G113" s="1"/>
  <c r="F108"/>
  <c r="G108" s="1"/>
  <c r="F104"/>
  <c r="G104" s="1"/>
  <c r="F100"/>
  <c r="G100" s="1"/>
  <c r="F96"/>
  <c r="G96" s="1"/>
  <c r="F91"/>
  <c r="G91" s="1"/>
  <c r="F84"/>
  <c r="G84" s="1"/>
  <c r="F80"/>
  <c r="G80" s="1"/>
  <c r="F76"/>
  <c r="G76" s="1"/>
  <c r="F72"/>
  <c r="G72" s="1"/>
  <c r="F68"/>
  <c r="G68" s="1"/>
  <c r="F63"/>
  <c r="G63" s="1"/>
  <c r="F59"/>
  <c r="G59" s="1"/>
  <c r="F54"/>
  <c r="G54" s="1"/>
  <c r="F49"/>
  <c r="G49" s="1"/>
  <c r="F42"/>
  <c r="G42" s="1"/>
  <c r="F38"/>
  <c r="G38" s="1"/>
  <c r="F33"/>
  <c r="G33" s="1"/>
  <c r="F30"/>
  <c r="G30" s="1"/>
  <c r="F23"/>
  <c r="G23" s="1"/>
  <c r="F16"/>
  <c r="G16" s="1"/>
  <c r="H193" i="29"/>
  <c r="H181"/>
  <c r="H176"/>
  <c r="H171"/>
  <c r="H167"/>
  <c r="H157"/>
  <c r="H152"/>
  <c r="H148"/>
  <c r="H142"/>
  <c r="H137"/>
  <c r="H132"/>
  <c r="H126"/>
  <c r="H117"/>
  <c r="H113"/>
  <c r="H108"/>
  <c r="H104"/>
  <c r="H100"/>
  <c r="H96"/>
  <c r="H91"/>
  <c r="H87"/>
  <c r="H83"/>
  <c r="H79"/>
  <c r="H74"/>
  <c r="H70"/>
  <c r="H66"/>
  <c r="H62"/>
  <c r="H58"/>
  <c r="H54"/>
  <c r="H50"/>
  <c r="H46"/>
  <c r="H37"/>
  <c r="H25"/>
  <c r="H18"/>
  <c r="H369" i="18"/>
  <c r="H360"/>
  <c r="H350"/>
  <c r="H343"/>
  <c r="H334"/>
  <c r="H319"/>
  <c r="H307"/>
  <c r="H302"/>
  <c r="H287"/>
  <c r="H277"/>
  <c r="H270"/>
  <c r="H264"/>
  <c r="H258"/>
  <c r="H251"/>
  <c r="H246"/>
  <c r="H240"/>
  <c r="H225"/>
  <c r="H214"/>
  <c r="H208"/>
  <c r="H204"/>
  <c r="H198"/>
  <c r="H192"/>
  <c r="H188"/>
  <c r="H184"/>
  <c r="H177"/>
  <c r="H169"/>
  <c r="H161"/>
  <c r="H154"/>
  <c r="H147"/>
  <c r="H141"/>
  <c r="H136"/>
  <c r="H128"/>
  <c r="H122"/>
  <c r="H116"/>
  <c r="H111"/>
  <c r="H105"/>
  <c r="H100"/>
  <c r="H93"/>
  <c r="H89"/>
  <c r="H76"/>
  <c r="H65"/>
  <c r="H61"/>
  <c r="H46"/>
  <c r="H40"/>
  <c r="H33"/>
  <c r="H26"/>
  <c r="H20"/>
  <c r="F363" i="35"/>
  <c r="G363" s="1"/>
  <c r="F359"/>
  <c r="G359" s="1"/>
  <c r="F355"/>
  <c r="G355" s="1"/>
  <c r="F351"/>
  <c r="G351" s="1"/>
  <c r="F347"/>
  <c r="G347" s="1"/>
  <c r="F342"/>
  <c r="G342" s="1"/>
  <c r="F338"/>
  <c r="G338" s="1"/>
  <c r="F334"/>
  <c r="G334" s="1"/>
  <c r="F327"/>
  <c r="G327" s="1"/>
  <c r="F317"/>
  <c r="G317" s="1"/>
  <c r="F311"/>
  <c r="G311" s="1"/>
  <c r="F306"/>
  <c r="G306" s="1"/>
  <c r="F302"/>
  <c r="G302" s="1"/>
  <c r="F298"/>
  <c r="G298" s="1"/>
  <c r="F293"/>
  <c r="G293" s="1"/>
  <c r="F289"/>
  <c r="G289" s="1"/>
  <c r="F285"/>
  <c r="G285" s="1"/>
  <c r="F281"/>
  <c r="G281" s="1"/>
  <c r="F276"/>
  <c r="G276" s="1"/>
  <c r="F271"/>
  <c r="G271" s="1"/>
  <c r="F267"/>
  <c r="G267" s="1"/>
  <c r="F262"/>
  <c r="G262" s="1"/>
  <c r="F258"/>
  <c r="G258" s="1"/>
  <c r="F254"/>
  <c r="G254" s="1"/>
  <c r="F247"/>
  <c r="G247" s="1"/>
  <c r="F243"/>
  <c r="G243" s="1"/>
  <c r="F238"/>
  <c r="G238" s="1"/>
  <c r="F233"/>
  <c r="G233" s="1"/>
  <c r="F229"/>
  <c r="G229" s="1"/>
  <c r="F225"/>
  <c r="G225" s="1"/>
  <c r="F220"/>
  <c r="G220" s="1"/>
  <c r="F216"/>
  <c r="G216" s="1"/>
  <c r="F211"/>
  <c r="G211" s="1"/>
  <c r="F206"/>
  <c r="G206" s="1"/>
  <c r="F202"/>
  <c r="G202" s="1"/>
  <c r="F196"/>
  <c r="G196" s="1"/>
  <c r="F192"/>
  <c r="G192" s="1"/>
  <c r="F188"/>
  <c r="G188" s="1"/>
  <c r="F184"/>
  <c r="G184" s="1"/>
  <c r="F178"/>
  <c r="G178" s="1"/>
  <c r="F174"/>
  <c r="G174" s="1"/>
  <c r="F170"/>
  <c r="G170" s="1"/>
  <c r="F166"/>
  <c r="G166" s="1"/>
  <c r="F161"/>
  <c r="G161" s="1"/>
  <c r="F157"/>
  <c r="G157" s="1"/>
  <c r="F152"/>
  <c r="G152" s="1"/>
  <c r="F147"/>
  <c r="G147" s="1"/>
  <c r="F141"/>
  <c r="G141" s="1"/>
  <c r="F137"/>
  <c r="G137" s="1"/>
  <c r="F133"/>
  <c r="G133" s="1"/>
  <c r="F129"/>
  <c r="G129" s="1"/>
  <c r="F124"/>
  <c r="G124" s="1"/>
  <c r="F119"/>
  <c r="G119" s="1"/>
  <c r="F114"/>
  <c r="G114" s="1"/>
  <c r="F109"/>
  <c r="G109" s="1"/>
  <c r="F105"/>
  <c r="G105" s="1"/>
  <c r="F101"/>
  <c r="G101" s="1"/>
  <c r="F97"/>
  <c r="G97" s="1"/>
  <c r="F92"/>
  <c r="G92" s="1"/>
  <c r="F85"/>
  <c r="G85" s="1"/>
  <c r="F81"/>
  <c r="G81" s="1"/>
  <c r="F77"/>
  <c r="G77" s="1"/>
  <c r="F73"/>
  <c r="G73" s="1"/>
  <c r="F69"/>
  <c r="G69" s="1"/>
  <c r="F64"/>
  <c r="G64" s="1"/>
  <c r="F60"/>
  <c r="G60" s="1"/>
  <c r="F55"/>
  <c r="G55" s="1"/>
  <c r="F50"/>
  <c r="G50" s="1"/>
  <c r="F39"/>
  <c r="G39" s="1"/>
  <c r="F35"/>
  <c r="G35" s="1"/>
  <c r="F31"/>
  <c r="G31" s="1"/>
  <c r="F25"/>
  <c r="G25" s="1"/>
  <c r="F18"/>
  <c r="G18" s="1"/>
  <c r="H195" i="29"/>
  <c r="H182"/>
  <c r="H177"/>
  <c r="H172"/>
  <c r="H168"/>
  <c r="H158"/>
  <c r="H153"/>
  <c r="F360" i="35"/>
  <c r="G360" s="1"/>
  <c r="F352"/>
  <c r="G352" s="1"/>
  <c r="F343"/>
  <c r="G343" s="1"/>
  <c r="F335"/>
  <c r="G335" s="1"/>
  <c r="F319"/>
  <c r="G319" s="1"/>
  <c r="F307"/>
  <c r="G307" s="1"/>
  <c r="F299"/>
  <c r="G299" s="1"/>
  <c r="F290"/>
  <c r="G290" s="1"/>
  <c r="F282"/>
  <c r="G282" s="1"/>
  <c r="F273"/>
  <c r="G273" s="1"/>
  <c r="F263"/>
  <c r="G263" s="1"/>
  <c r="F255"/>
  <c r="G255" s="1"/>
  <c r="F244"/>
  <c r="G244" s="1"/>
  <c r="F235"/>
  <c r="G235" s="1"/>
  <c r="F226"/>
  <c r="G226" s="1"/>
  <c r="F217"/>
  <c r="G217" s="1"/>
  <c r="F207"/>
  <c r="G207" s="1"/>
  <c r="F198"/>
  <c r="G198" s="1"/>
  <c r="F189"/>
  <c r="G189" s="1"/>
  <c r="F179"/>
  <c r="G179" s="1"/>
  <c r="F171"/>
  <c r="G171" s="1"/>
  <c r="F162"/>
  <c r="G162" s="1"/>
  <c r="F153"/>
  <c r="G153" s="1"/>
  <c r="F143"/>
  <c r="G143" s="1"/>
  <c r="F134"/>
  <c r="G134" s="1"/>
  <c r="F125"/>
  <c r="G125" s="1"/>
  <c r="F115"/>
  <c r="G115" s="1"/>
  <c r="F106"/>
  <c r="G106" s="1"/>
  <c r="F98"/>
  <c r="G98" s="1"/>
  <c r="F86"/>
  <c r="G86" s="1"/>
  <c r="F78"/>
  <c r="G78" s="1"/>
  <c r="F70"/>
  <c r="G70" s="1"/>
  <c r="F61"/>
  <c r="G61" s="1"/>
  <c r="F51"/>
  <c r="G51" s="1"/>
  <c r="F40"/>
  <c r="G40" s="1"/>
  <c r="F32"/>
  <c r="G32" s="1"/>
  <c r="F20"/>
  <c r="G20" s="1"/>
  <c r="H189" i="29"/>
  <c r="H174"/>
  <c r="H160"/>
  <c r="H150"/>
  <c r="H143"/>
  <c r="H136"/>
  <c r="H129"/>
  <c r="H122"/>
  <c r="H112"/>
  <c r="H106"/>
  <c r="H101"/>
  <c r="H95"/>
  <c r="H89"/>
  <c r="H84"/>
  <c r="H78"/>
  <c r="H72"/>
  <c r="H67"/>
  <c r="H61"/>
  <c r="H56"/>
  <c r="H51"/>
  <c r="H45"/>
  <c r="H33"/>
  <c r="H20"/>
  <c r="H374" i="18"/>
  <c r="H364"/>
  <c r="H352"/>
  <c r="H340"/>
  <c r="H331"/>
  <c r="H321"/>
  <c r="H306"/>
  <c r="H294"/>
  <c r="H283"/>
  <c r="H269"/>
  <c r="H262"/>
  <c r="H253"/>
  <c r="H244"/>
  <c r="H231"/>
  <c r="H215"/>
  <c r="H207"/>
  <c r="H202"/>
  <c r="H193"/>
  <c r="H187"/>
  <c r="H180"/>
  <c r="H171"/>
  <c r="H158"/>
  <c r="H150"/>
  <c r="H142"/>
  <c r="H132"/>
  <c r="H125"/>
  <c r="H118"/>
  <c r="H110"/>
  <c r="H102"/>
  <c r="H94"/>
  <c r="H79"/>
  <c r="H72"/>
  <c r="H62"/>
  <c r="H44"/>
  <c r="H37"/>
  <c r="H27"/>
  <c r="H18"/>
  <c r="F361" i="35"/>
  <c r="G361" s="1"/>
  <c r="F353"/>
  <c r="G353" s="1"/>
  <c r="F344"/>
  <c r="G344" s="1"/>
  <c r="F336"/>
  <c r="G336" s="1"/>
  <c r="F323"/>
  <c r="G323" s="1"/>
  <c r="F309"/>
  <c r="G309" s="1"/>
  <c r="F300"/>
  <c r="G300" s="1"/>
  <c r="F291"/>
  <c r="G291" s="1"/>
  <c r="F283"/>
  <c r="G283" s="1"/>
  <c r="F274"/>
  <c r="G274" s="1"/>
  <c r="F264"/>
  <c r="G264" s="1"/>
  <c r="F256"/>
  <c r="G256" s="1"/>
  <c r="F245"/>
  <c r="G245" s="1"/>
  <c r="F236"/>
  <c r="G236" s="1"/>
  <c r="F227"/>
  <c r="G227" s="1"/>
  <c r="F218"/>
  <c r="G218" s="1"/>
  <c r="F209"/>
  <c r="G209" s="1"/>
  <c r="F199"/>
  <c r="G199" s="1"/>
  <c r="F190"/>
  <c r="G190" s="1"/>
  <c r="F180"/>
  <c r="G180" s="1"/>
  <c r="F172"/>
  <c r="G172" s="1"/>
  <c r="F163"/>
  <c r="G163" s="1"/>
  <c r="F155"/>
  <c r="G155" s="1"/>
  <c r="F144"/>
  <c r="G144" s="1"/>
  <c r="F135"/>
  <c r="G135" s="1"/>
  <c r="F126"/>
  <c r="G126" s="1"/>
  <c r="F117"/>
  <c r="G117" s="1"/>
  <c r="F107"/>
  <c r="G107" s="1"/>
  <c r="F99"/>
  <c r="G99" s="1"/>
  <c r="F88"/>
  <c r="G88" s="1"/>
  <c r="F79"/>
  <c r="G79" s="1"/>
  <c r="F71"/>
  <c r="G71" s="1"/>
  <c r="F62"/>
  <c r="G62" s="1"/>
  <c r="F53"/>
  <c r="G53" s="1"/>
  <c r="F41"/>
  <c r="G41" s="1"/>
  <c r="F34"/>
  <c r="G34" s="1"/>
  <c r="F22"/>
  <c r="G22" s="1"/>
  <c r="H191" i="29"/>
  <c r="H175"/>
  <c r="H162"/>
  <c r="H151"/>
  <c r="H146"/>
  <c r="H138"/>
  <c r="H131"/>
  <c r="H124"/>
  <c r="H114"/>
  <c r="H107"/>
  <c r="H102"/>
  <c r="H97"/>
  <c r="H90"/>
  <c r="H85"/>
  <c r="H80"/>
  <c r="H73"/>
  <c r="H68"/>
  <c r="H63"/>
  <c r="H57"/>
  <c r="H52"/>
  <c r="H47"/>
  <c r="H35"/>
  <c r="H21"/>
  <c r="H367" i="18"/>
  <c r="H355"/>
  <c r="H344"/>
  <c r="H333"/>
  <c r="H323"/>
  <c r="H308"/>
  <c r="H300"/>
  <c r="H284"/>
  <c r="H271"/>
  <c r="H263"/>
  <c r="H254"/>
  <c r="H247"/>
  <c r="H239"/>
  <c r="H216"/>
  <c r="H209"/>
  <c r="H203"/>
  <c r="H195"/>
  <c r="H189"/>
  <c r="H181"/>
  <c r="H173"/>
  <c r="H163"/>
  <c r="H153"/>
  <c r="H144"/>
  <c r="H137"/>
  <c r="H126"/>
  <c r="H119"/>
  <c r="H112"/>
  <c r="H104"/>
  <c r="H96"/>
  <c r="H90"/>
  <c r="H74"/>
  <c r="H63"/>
  <c r="H47"/>
  <c r="H39"/>
  <c r="H29"/>
  <c r="H22"/>
  <c r="F364" i="35"/>
  <c r="G364" s="1"/>
  <c r="F356"/>
  <c r="G356" s="1"/>
  <c r="F348"/>
  <c r="G348" s="1"/>
  <c r="F339"/>
  <c r="G339" s="1"/>
  <c r="F329"/>
  <c r="G329" s="1"/>
  <c r="F314"/>
  <c r="G314" s="1"/>
  <c r="F303"/>
  <c r="G303" s="1"/>
  <c r="F295"/>
  <c r="G295" s="1"/>
  <c r="F286"/>
  <c r="G286" s="1"/>
  <c r="F277"/>
  <c r="G277" s="1"/>
  <c r="F268"/>
  <c r="G268" s="1"/>
  <c r="F259"/>
  <c r="G259" s="1"/>
  <c r="F250"/>
  <c r="G250" s="1"/>
  <c r="F240"/>
  <c r="G240" s="1"/>
  <c r="F230"/>
  <c r="G230" s="1"/>
  <c r="F221"/>
  <c r="G221" s="1"/>
  <c r="F213"/>
  <c r="G213" s="1"/>
  <c r="F203"/>
  <c r="G203" s="1"/>
  <c r="F193"/>
  <c r="G193" s="1"/>
  <c r="F185"/>
  <c r="G185" s="1"/>
  <c r="F175"/>
  <c r="G175" s="1"/>
  <c r="F167"/>
  <c r="G167" s="1"/>
  <c r="F158"/>
  <c r="G158" s="1"/>
  <c r="F149"/>
  <c r="G149" s="1"/>
  <c r="F138"/>
  <c r="G138" s="1"/>
  <c r="F130"/>
  <c r="G130" s="1"/>
  <c r="F120"/>
  <c r="G120" s="1"/>
  <c r="F110"/>
  <c r="G110" s="1"/>
  <c r="F102"/>
  <c r="G102" s="1"/>
  <c r="F93"/>
  <c r="G93" s="1"/>
  <c r="F82"/>
  <c r="G82" s="1"/>
  <c r="F74"/>
  <c r="G74" s="1"/>
  <c r="F65"/>
  <c r="G65" s="1"/>
  <c r="F56"/>
  <c r="G56" s="1"/>
  <c r="F52"/>
  <c r="G52" s="1"/>
  <c r="F36"/>
  <c r="G36" s="1"/>
  <c r="F26"/>
  <c r="G26" s="1"/>
  <c r="F12"/>
  <c r="G12" s="1"/>
  <c r="H178" i="29"/>
  <c r="H169"/>
  <c r="H154"/>
  <c r="H147"/>
  <c r="H140"/>
  <c r="H133"/>
  <c r="H125"/>
  <c r="H115"/>
  <c r="H109"/>
  <c r="H103"/>
  <c r="H98"/>
  <c r="H92"/>
  <c r="H86"/>
  <c r="H81"/>
  <c r="H76"/>
  <c r="H69"/>
  <c r="H64"/>
  <c r="H59"/>
  <c r="H53"/>
  <c r="H48"/>
  <c r="H39"/>
  <c r="H23"/>
  <c r="H16"/>
  <c r="H371" i="18"/>
  <c r="H357"/>
  <c r="H346"/>
  <c r="H336"/>
  <c r="H325"/>
  <c r="H309"/>
  <c r="H304"/>
  <c r="H286"/>
  <c r="H274"/>
  <c r="K274" s="1"/>
  <c r="H265"/>
  <c r="H256"/>
  <c r="H248"/>
  <c r="H242"/>
  <c r="H222"/>
  <c r="H210"/>
  <c r="H205"/>
  <c r="H197"/>
  <c r="H190"/>
  <c r="H185"/>
  <c r="H175"/>
  <c r="H165"/>
  <c r="H155"/>
  <c r="H145"/>
  <c r="H138"/>
  <c r="H129"/>
  <c r="H120"/>
  <c r="H113"/>
  <c r="H107"/>
  <c r="H97"/>
  <c r="H91"/>
  <c r="H77"/>
  <c r="H64"/>
  <c r="H58"/>
  <c r="H41"/>
  <c r="H31"/>
  <c r="H23"/>
  <c r="F357" i="35"/>
  <c r="G357" s="1"/>
  <c r="F349"/>
  <c r="G349" s="1"/>
  <c r="F340"/>
  <c r="G340" s="1"/>
  <c r="F331"/>
  <c r="G331" s="1"/>
  <c r="F315"/>
  <c r="G315" s="1"/>
  <c r="F304"/>
  <c r="G304" s="1"/>
  <c r="F296"/>
  <c r="G296" s="1"/>
  <c r="F287"/>
  <c r="G287" s="1"/>
  <c r="F278"/>
  <c r="G278" s="1"/>
  <c r="F269"/>
  <c r="G269" s="1"/>
  <c r="F260"/>
  <c r="G260" s="1"/>
  <c r="F251"/>
  <c r="G251" s="1"/>
  <c r="F241"/>
  <c r="G241" s="1"/>
  <c r="F231"/>
  <c r="G231" s="1"/>
  <c r="F222"/>
  <c r="G222" s="1"/>
  <c r="F214"/>
  <c r="G214" s="1"/>
  <c r="F204"/>
  <c r="G204" s="1"/>
  <c r="F194"/>
  <c r="G194" s="1"/>
  <c r="F186"/>
  <c r="G186" s="1"/>
  <c r="F176"/>
  <c r="G176" s="1"/>
  <c r="F168"/>
  <c r="G168" s="1"/>
  <c r="F159"/>
  <c r="G159" s="1"/>
  <c r="F150"/>
  <c r="G150" s="1"/>
  <c r="F139"/>
  <c r="G139" s="1"/>
  <c r="F131"/>
  <c r="G131" s="1"/>
  <c r="F121"/>
  <c r="G121" s="1"/>
  <c r="F111"/>
  <c r="G111" s="1"/>
  <c r="F103"/>
  <c r="G103" s="1"/>
  <c r="F94"/>
  <c r="G94" s="1"/>
  <c r="F83"/>
  <c r="G83" s="1"/>
  <c r="F75"/>
  <c r="G75" s="1"/>
  <c r="F66"/>
  <c r="G66" s="1"/>
  <c r="F57"/>
  <c r="G57" s="1"/>
  <c r="F47"/>
  <c r="G47" s="1"/>
  <c r="F37"/>
  <c r="G37" s="1"/>
  <c r="F28"/>
  <c r="G28" s="1"/>
  <c r="F14"/>
  <c r="G14" s="1"/>
  <c r="H180" i="29"/>
  <c r="H170"/>
  <c r="H155"/>
  <c r="H149"/>
  <c r="H141"/>
  <c r="H135"/>
  <c r="H127"/>
  <c r="H116"/>
  <c r="H111"/>
  <c r="H105"/>
  <c r="H99"/>
  <c r="H93"/>
  <c r="H88"/>
  <c r="H82"/>
  <c r="H77"/>
  <c r="H71"/>
  <c r="H65"/>
  <c r="H60"/>
  <c r="H55"/>
  <c r="H49"/>
  <c r="H41"/>
  <c r="H28"/>
  <c r="H17"/>
  <c r="H372" i="18"/>
  <c r="H362"/>
  <c r="H348"/>
  <c r="H338"/>
  <c r="H329"/>
  <c r="H311"/>
  <c r="H305"/>
  <c r="H288"/>
  <c r="H275"/>
  <c r="K275" s="1"/>
  <c r="H266"/>
  <c r="H261"/>
  <c r="H250"/>
  <c r="H243"/>
  <c r="H228"/>
  <c r="H213"/>
  <c r="H206"/>
  <c r="H201"/>
  <c r="H191"/>
  <c r="H186"/>
  <c r="H178"/>
  <c r="H167"/>
  <c r="H157"/>
  <c r="H149"/>
  <c r="H139"/>
  <c r="H131"/>
  <c r="H123"/>
  <c r="H115"/>
  <c r="H108"/>
  <c r="H101"/>
  <c r="H92"/>
  <c r="H78"/>
  <c r="H70"/>
  <c r="H60"/>
  <c r="H43"/>
  <c r="H35"/>
  <c r="H24"/>
  <c r="H16"/>
  <c r="E41" i="29"/>
  <c r="D41"/>
  <c r="E39"/>
  <c r="D39"/>
  <c r="E35"/>
  <c r="D35"/>
  <c r="E17"/>
  <c r="E18"/>
  <c r="E20"/>
  <c r="D21"/>
  <c r="E21"/>
  <c r="D23"/>
  <c r="E23"/>
  <c r="D25"/>
  <c r="E25"/>
  <c r="D28"/>
  <c r="E28"/>
  <c r="D30"/>
  <c r="E30"/>
  <c r="D33"/>
  <c r="E33"/>
  <c r="G16"/>
  <c r="E16"/>
  <c r="G41"/>
  <c r="K41" s="1"/>
  <c r="G39"/>
  <c r="K39" s="1"/>
  <c r="K24" i="18" l="1"/>
  <c r="I24"/>
  <c r="I108"/>
  <c r="K108"/>
  <c r="K178"/>
  <c r="I178"/>
  <c r="I250"/>
  <c r="K250"/>
  <c r="K55" i="29"/>
  <c r="I55"/>
  <c r="I99"/>
  <c r="K99"/>
  <c r="I155"/>
  <c r="K155"/>
  <c r="I23" i="18"/>
  <c r="K23"/>
  <c r="K175"/>
  <c r="I175"/>
  <c r="I248"/>
  <c r="K248"/>
  <c r="K336"/>
  <c r="I336"/>
  <c r="I53" i="29"/>
  <c r="K53"/>
  <c r="K76"/>
  <c r="I76"/>
  <c r="K125"/>
  <c r="I125"/>
  <c r="I154"/>
  <c r="K154"/>
  <c r="I139" i="18"/>
  <c r="K139"/>
  <c r="K206"/>
  <c r="I206"/>
  <c r="K288"/>
  <c r="I288"/>
  <c r="K77" i="29"/>
  <c r="I77"/>
  <c r="I127"/>
  <c r="K127"/>
  <c r="K138" i="18"/>
  <c r="I138"/>
  <c r="K98" i="29"/>
  <c r="I98"/>
  <c r="K47" i="18"/>
  <c r="I47"/>
  <c r="I96"/>
  <c r="K96"/>
  <c r="I126"/>
  <c r="K126"/>
  <c r="I163"/>
  <c r="K163"/>
  <c r="I323"/>
  <c r="K323"/>
  <c r="I52" i="29"/>
  <c r="K52"/>
  <c r="I73"/>
  <c r="K73"/>
  <c r="I97"/>
  <c r="K97"/>
  <c r="I124"/>
  <c r="K124"/>
  <c r="I151"/>
  <c r="K151"/>
  <c r="I44" i="18"/>
  <c r="K44"/>
  <c r="I94"/>
  <c r="K94"/>
  <c r="K158"/>
  <c r="I158"/>
  <c r="I193"/>
  <c r="K193"/>
  <c r="K231"/>
  <c r="I231"/>
  <c r="K321"/>
  <c r="I321"/>
  <c r="I364"/>
  <c r="K364"/>
  <c r="I67" i="29"/>
  <c r="K67"/>
  <c r="K89"/>
  <c r="I89"/>
  <c r="I112"/>
  <c r="K112"/>
  <c r="K143"/>
  <c r="I143"/>
  <c r="K189"/>
  <c r="I189"/>
  <c r="I168"/>
  <c r="K168"/>
  <c r="K195"/>
  <c r="I195"/>
  <c r="K26" i="18"/>
  <c r="I26"/>
  <c r="I93"/>
  <c r="K93"/>
  <c r="I141"/>
  <c r="K141"/>
  <c r="I169"/>
  <c r="K169"/>
  <c r="I192"/>
  <c r="K192"/>
  <c r="K251"/>
  <c r="I251"/>
  <c r="K277"/>
  <c r="I277"/>
  <c r="K319"/>
  <c r="I319"/>
  <c r="K350"/>
  <c r="I350"/>
  <c r="I54" i="29"/>
  <c r="K54"/>
  <c r="I70"/>
  <c r="K70"/>
  <c r="K87"/>
  <c r="I87"/>
  <c r="K104"/>
  <c r="I104"/>
  <c r="I126"/>
  <c r="K126"/>
  <c r="I148"/>
  <c r="K148"/>
  <c r="K171"/>
  <c r="I171"/>
  <c r="I229" i="18"/>
  <c r="K229"/>
  <c r="I166"/>
  <c r="K166"/>
  <c r="G366" i="35"/>
  <c r="H235" s="1"/>
  <c r="I174" i="18"/>
  <c r="K174"/>
  <c r="I170"/>
  <c r="K170"/>
  <c r="K226"/>
  <c r="I226"/>
  <c r="K16"/>
  <c r="I16"/>
  <c r="I101"/>
  <c r="K101"/>
  <c r="I167"/>
  <c r="K167"/>
  <c r="I201"/>
  <c r="K201"/>
  <c r="K329"/>
  <c r="I329"/>
  <c r="K372"/>
  <c r="I372"/>
  <c r="K49" i="29"/>
  <c r="I49"/>
  <c r="I71"/>
  <c r="K71"/>
  <c r="I93"/>
  <c r="K93"/>
  <c r="K116"/>
  <c r="I116"/>
  <c r="I149"/>
  <c r="K149"/>
  <c r="K97" i="18"/>
  <c r="I97"/>
  <c r="I129"/>
  <c r="K129"/>
  <c r="K165"/>
  <c r="I165"/>
  <c r="I197"/>
  <c r="K197"/>
  <c r="I325"/>
  <c r="K325"/>
  <c r="I371"/>
  <c r="K371"/>
  <c r="I48" i="29"/>
  <c r="K48"/>
  <c r="K69"/>
  <c r="I69"/>
  <c r="I92"/>
  <c r="K92"/>
  <c r="K115"/>
  <c r="I115"/>
  <c r="I147"/>
  <c r="K147"/>
  <c r="K39" i="18"/>
  <c r="I39"/>
  <c r="K90"/>
  <c r="I90"/>
  <c r="K119"/>
  <c r="I119"/>
  <c r="K189"/>
  <c r="I189"/>
  <c r="I263"/>
  <c r="K263"/>
  <c r="K308"/>
  <c r="I308"/>
  <c r="I355"/>
  <c r="K355"/>
  <c r="I68" i="29"/>
  <c r="K68"/>
  <c r="I90"/>
  <c r="K90"/>
  <c r="K114"/>
  <c r="I114"/>
  <c r="I146"/>
  <c r="K146"/>
  <c r="K191"/>
  <c r="I191"/>
  <c r="K37" i="18"/>
  <c r="I37"/>
  <c r="I79"/>
  <c r="K79"/>
  <c r="K150"/>
  <c r="I150"/>
  <c r="I187"/>
  <c r="K187"/>
  <c r="K262"/>
  <c r="I262"/>
  <c r="K306"/>
  <c r="I306"/>
  <c r="K352"/>
  <c r="I352"/>
  <c r="I61" i="29"/>
  <c r="K61"/>
  <c r="I84"/>
  <c r="K84"/>
  <c r="I106"/>
  <c r="K106"/>
  <c r="K136"/>
  <c r="I136"/>
  <c r="K174"/>
  <c r="I174"/>
  <c r="I158"/>
  <c r="K158"/>
  <c r="I182"/>
  <c r="K182"/>
  <c r="I20" i="18"/>
  <c r="K20"/>
  <c r="I46"/>
  <c r="K46"/>
  <c r="K89"/>
  <c r="I89"/>
  <c r="I111"/>
  <c r="K111"/>
  <c r="I136"/>
  <c r="K136"/>
  <c r="K161"/>
  <c r="I161"/>
  <c r="I188"/>
  <c r="K188"/>
  <c r="I208"/>
  <c r="K208"/>
  <c r="I246"/>
  <c r="K246"/>
  <c r="I270"/>
  <c r="K270"/>
  <c r="I307"/>
  <c r="K307"/>
  <c r="K343"/>
  <c r="I343"/>
  <c r="I50" i="29"/>
  <c r="K50"/>
  <c r="I66"/>
  <c r="K66"/>
  <c r="I83"/>
  <c r="K83"/>
  <c r="I100"/>
  <c r="K100"/>
  <c r="K117"/>
  <c r="I117"/>
  <c r="I142"/>
  <c r="K142"/>
  <c r="I167"/>
  <c r="K167"/>
  <c r="I193"/>
  <c r="K193"/>
  <c r="K80" i="18"/>
  <c r="I80"/>
  <c r="I162"/>
  <c r="K162"/>
  <c r="K160"/>
  <c r="I160"/>
  <c r="K218"/>
  <c r="I218"/>
  <c r="I43"/>
  <c r="K43"/>
  <c r="I92"/>
  <c r="K92"/>
  <c r="I123"/>
  <c r="K123"/>
  <c r="I191"/>
  <c r="K191"/>
  <c r="I266"/>
  <c r="K266"/>
  <c r="I311"/>
  <c r="K311"/>
  <c r="K65" i="29"/>
  <c r="I65"/>
  <c r="I88"/>
  <c r="K88"/>
  <c r="I111"/>
  <c r="K111"/>
  <c r="I141"/>
  <c r="K141"/>
  <c r="K180"/>
  <c r="I180"/>
  <c r="I41" i="18"/>
  <c r="K41"/>
  <c r="I91"/>
  <c r="K91"/>
  <c r="K120"/>
  <c r="I120"/>
  <c r="I190"/>
  <c r="K190"/>
  <c r="I265"/>
  <c r="K265"/>
  <c r="K309"/>
  <c r="I309"/>
  <c r="K357"/>
  <c r="I357"/>
  <c r="K64" i="29"/>
  <c r="I64"/>
  <c r="I86"/>
  <c r="K86"/>
  <c r="I109"/>
  <c r="K109"/>
  <c r="I140"/>
  <c r="K140"/>
  <c r="K178"/>
  <c r="I178"/>
  <c r="K29" i="18"/>
  <c r="I29"/>
  <c r="I112"/>
  <c r="K112"/>
  <c r="K144"/>
  <c r="I144"/>
  <c r="K181"/>
  <c r="I181"/>
  <c r="I209"/>
  <c r="K209"/>
  <c r="K254"/>
  <c r="I254"/>
  <c r="I300"/>
  <c r="K300"/>
  <c r="I344"/>
  <c r="K344"/>
  <c r="K63" i="29"/>
  <c r="I63"/>
  <c r="K85"/>
  <c r="I85"/>
  <c r="I107"/>
  <c r="K107"/>
  <c r="I138"/>
  <c r="K138"/>
  <c r="I175"/>
  <c r="K175"/>
  <c r="K27" i="18"/>
  <c r="I27"/>
  <c r="I72"/>
  <c r="K72"/>
  <c r="I180"/>
  <c r="K180"/>
  <c r="I207"/>
  <c r="K207"/>
  <c r="K253"/>
  <c r="I253"/>
  <c r="K340"/>
  <c r="I340"/>
  <c r="K56" i="29"/>
  <c r="I56"/>
  <c r="K78"/>
  <c r="I78"/>
  <c r="I101"/>
  <c r="K101"/>
  <c r="I129"/>
  <c r="K129"/>
  <c r="K160"/>
  <c r="I160"/>
  <c r="I153"/>
  <c r="K153"/>
  <c r="I177"/>
  <c r="K177"/>
  <c r="I40" i="18"/>
  <c r="K40"/>
  <c r="I76"/>
  <c r="K76"/>
  <c r="K105"/>
  <c r="I105"/>
  <c r="I154"/>
  <c r="K154"/>
  <c r="I264"/>
  <c r="K264"/>
  <c r="K302"/>
  <c r="I302"/>
  <c r="I334"/>
  <c r="K334"/>
  <c r="I369"/>
  <c r="K369"/>
  <c r="K62" i="29"/>
  <c r="I62"/>
  <c r="K79"/>
  <c r="I79"/>
  <c r="I96"/>
  <c r="K96"/>
  <c r="K113"/>
  <c r="I113"/>
  <c r="K137"/>
  <c r="I137"/>
  <c r="I157"/>
  <c r="K157"/>
  <c r="K181"/>
  <c r="I181"/>
  <c r="K183"/>
  <c r="I183"/>
  <c r="I168" i="18"/>
  <c r="K168"/>
  <c r="I273"/>
  <c r="K273"/>
  <c r="K172"/>
  <c r="I172"/>
  <c r="I35"/>
  <c r="K35"/>
  <c r="I78"/>
  <c r="K78"/>
  <c r="K115"/>
  <c r="I115"/>
  <c r="I149"/>
  <c r="K149"/>
  <c r="K305"/>
  <c r="I305"/>
  <c r="I348"/>
  <c r="K348"/>
  <c r="K60" i="29"/>
  <c r="I60"/>
  <c r="I82"/>
  <c r="K82"/>
  <c r="I105"/>
  <c r="K105"/>
  <c r="I135"/>
  <c r="K135"/>
  <c r="K170"/>
  <c r="I170"/>
  <c r="K31" i="18"/>
  <c r="I31"/>
  <c r="K77"/>
  <c r="I77"/>
  <c r="I113"/>
  <c r="K113"/>
  <c r="K145"/>
  <c r="I145"/>
  <c r="K210"/>
  <c r="I210"/>
  <c r="I256"/>
  <c r="K256"/>
  <c r="K304"/>
  <c r="I304"/>
  <c r="I346"/>
  <c r="K346"/>
  <c r="I59" i="29"/>
  <c r="K59"/>
  <c r="I81"/>
  <c r="K81"/>
  <c r="I103"/>
  <c r="K103"/>
  <c r="I133"/>
  <c r="K133"/>
  <c r="K169"/>
  <c r="I169"/>
  <c r="K22" i="18"/>
  <c r="I22"/>
  <c r="I63"/>
  <c r="K63"/>
  <c r="I104"/>
  <c r="K104"/>
  <c r="I137"/>
  <c r="K137"/>
  <c r="K173"/>
  <c r="I173"/>
  <c r="K247"/>
  <c r="I247"/>
  <c r="I284"/>
  <c r="K284"/>
  <c r="I333"/>
  <c r="K333"/>
  <c r="I57" i="29"/>
  <c r="K57"/>
  <c r="I80"/>
  <c r="K80"/>
  <c r="I102"/>
  <c r="K102"/>
  <c r="I131"/>
  <c r="K131"/>
  <c r="I162"/>
  <c r="K162"/>
  <c r="K18" i="18"/>
  <c r="I18"/>
  <c r="I102"/>
  <c r="K102"/>
  <c r="K132"/>
  <c r="I132"/>
  <c r="K171"/>
  <c r="I171"/>
  <c r="I244"/>
  <c r="K244"/>
  <c r="I283"/>
  <c r="K283"/>
  <c r="K331"/>
  <c r="I331"/>
  <c r="I374"/>
  <c r="K374"/>
  <c r="I51" i="29"/>
  <c r="K51"/>
  <c r="I72"/>
  <c r="K72"/>
  <c r="K95"/>
  <c r="I95"/>
  <c r="I122"/>
  <c r="K122"/>
  <c r="K150"/>
  <c r="I150"/>
  <c r="I172"/>
  <c r="K172"/>
  <c r="I33" i="18"/>
  <c r="K33"/>
  <c r="I65"/>
  <c r="K65"/>
  <c r="I147"/>
  <c r="K147"/>
  <c r="K177"/>
  <c r="I177"/>
  <c r="I198"/>
  <c r="K198"/>
  <c r="I258"/>
  <c r="K258"/>
  <c r="I287"/>
  <c r="K287"/>
  <c r="K37" i="29"/>
  <c r="I37"/>
  <c r="I58"/>
  <c r="K58"/>
  <c r="I74"/>
  <c r="K74"/>
  <c r="I91"/>
  <c r="K91"/>
  <c r="I108"/>
  <c r="K108"/>
  <c r="I132"/>
  <c r="K132"/>
  <c r="I152"/>
  <c r="K152"/>
  <c r="K176"/>
  <c r="I176"/>
  <c r="I88" i="18"/>
  <c r="K88"/>
  <c r="K220"/>
  <c r="I220"/>
  <c r="I219"/>
  <c r="K219"/>
  <c r="K164"/>
  <c r="I164"/>
  <c r="I41" i="29"/>
  <c r="I39"/>
  <c r="K16"/>
  <c r="I16"/>
  <c r="H63" i="35" l="1"/>
  <c r="H68"/>
  <c r="H161"/>
  <c r="H90"/>
  <c r="H136"/>
  <c r="H188"/>
  <c r="H134"/>
  <c r="H221"/>
  <c r="H128"/>
  <c r="H140"/>
  <c r="H192"/>
  <c r="H227"/>
  <c r="H127"/>
  <c r="H46"/>
  <c r="H362"/>
  <c r="H336"/>
  <c r="H44"/>
  <c r="H119"/>
  <c r="H132"/>
  <c r="H282"/>
  <c r="H111"/>
  <c r="H215"/>
  <c r="H267"/>
  <c r="H179"/>
  <c r="H182"/>
  <c r="H130"/>
  <c r="H114"/>
  <c r="H74"/>
  <c r="H268"/>
  <c r="H210"/>
  <c r="H262"/>
  <c r="H34"/>
  <c r="H284"/>
  <c r="H342"/>
  <c r="H40"/>
  <c r="H180"/>
  <c r="H260"/>
  <c r="H288"/>
  <c r="H347"/>
  <c r="H26"/>
  <c r="H304"/>
  <c r="H41"/>
  <c r="H286"/>
  <c r="H13"/>
  <c r="H45"/>
  <c r="H30"/>
  <c r="H301"/>
  <c r="H228"/>
  <c r="H156"/>
  <c r="H80"/>
  <c r="H359"/>
  <c r="H281"/>
  <c r="H206"/>
  <c r="H133"/>
  <c r="H60"/>
  <c r="H319"/>
  <c r="H171"/>
  <c r="H21"/>
  <c r="H218"/>
  <c r="H71"/>
  <c r="H259"/>
  <c r="H110"/>
  <c r="H296"/>
  <c r="H150"/>
  <c r="H89"/>
  <c r="H95"/>
  <c r="H305"/>
  <c r="H232"/>
  <c r="H160"/>
  <c r="H84"/>
  <c r="H363"/>
  <c r="H285"/>
  <c r="H211"/>
  <c r="H137"/>
  <c r="H64"/>
  <c r="H255"/>
  <c r="H300"/>
  <c r="H348"/>
  <c r="H52"/>
  <c r="H83"/>
  <c r="H200"/>
  <c r="H233"/>
  <c r="H189"/>
  <c r="H277"/>
  <c r="H57"/>
  <c r="H205"/>
  <c r="H258"/>
  <c r="H173"/>
  <c r="H225"/>
  <c r="H77"/>
  <c r="H360"/>
  <c r="H207"/>
  <c r="H61"/>
  <c r="H256"/>
  <c r="H107"/>
  <c r="H295"/>
  <c r="H149"/>
  <c r="H340"/>
  <c r="H186"/>
  <c r="H38"/>
  <c r="H148"/>
  <c r="H332"/>
  <c r="H252"/>
  <c r="H177"/>
  <c r="H104"/>
  <c r="H31"/>
  <c r="H302"/>
  <c r="H229"/>
  <c r="H157"/>
  <c r="H81"/>
  <c r="H290"/>
  <c r="H33"/>
  <c r="H79"/>
  <c r="H120"/>
  <c r="H159"/>
  <c r="H275"/>
  <c r="H306"/>
  <c r="H343"/>
  <c r="H88"/>
  <c r="H204"/>
  <c r="H279"/>
  <c r="H338"/>
  <c r="H58"/>
  <c r="H325"/>
  <c r="H246"/>
  <c r="H100"/>
  <c r="H24"/>
  <c r="H298"/>
  <c r="H152"/>
  <c r="H145"/>
  <c r="H346"/>
  <c r="H265"/>
  <c r="H191"/>
  <c r="H118"/>
  <c r="H43"/>
  <c r="H317"/>
  <c r="H243"/>
  <c r="H170"/>
  <c r="H97"/>
  <c r="H19"/>
  <c r="H244"/>
  <c r="H98"/>
  <c r="H291"/>
  <c r="H144"/>
  <c r="H339"/>
  <c r="H185"/>
  <c r="H37"/>
  <c r="H222"/>
  <c r="H75"/>
  <c r="H18"/>
  <c r="H350"/>
  <c r="H270"/>
  <c r="H195"/>
  <c r="H123"/>
  <c r="H49"/>
  <c r="H327"/>
  <c r="H247"/>
  <c r="H174"/>
  <c r="H101"/>
  <c r="H335"/>
  <c r="H106"/>
  <c r="H155"/>
  <c r="H193"/>
  <c r="H231"/>
  <c r="H354"/>
  <c r="H54"/>
  <c r="H85"/>
  <c r="H236"/>
  <c r="H357"/>
  <c r="H358"/>
  <c r="H59"/>
  <c r="H283"/>
  <c r="H109"/>
  <c r="H184"/>
  <c r="H143"/>
  <c r="H344"/>
  <c r="H190"/>
  <c r="H42"/>
  <c r="H230"/>
  <c r="H82"/>
  <c r="H269"/>
  <c r="H121"/>
  <c r="H16"/>
  <c r="H116"/>
  <c r="H292"/>
  <c r="H219"/>
  <c r="H146"/>
  <c r="H72"/>
  <c r="H334"/>
  <c r="H254"/>
  <c r="H178"/>
  <c r="H105"/>
  <c r="H32"/>
  <c r="H226"/>
  <c r="H78"/>
  <c r="H274"/>
  <c r="H126"/>
  <c r="H314"/>
  <c r="H167"/>
  <c r="H12"/>
  <c r="H241"/>
  <c r="H94"/>
  <c r="H25"/>
  <c r="H165"/>
  <c r="H297"/>
  <c r="H224"/>
  <c r="H151"/>
  <c r="H76"/>
  <c r="H355"/>
  <c r="H276"/>
  <c r="H202"/>
  <c r="H129"/>
  <c r="H307"/>
  <c r="H361"/>
  <c r="H122"/>
  <c r="H20"/>
  <c r="H310"/>
  <c r="H237"/>
  <c r="H164"/>
  <c r="H91"/>
  <c r="H351"/>
  <c r="H271"/>
  <c r="H196"/>
  <c r="H124"/>
  <c r="H50"/>
  <c r="H263"/>
  <c r="H115"/>
  <c r="H309"/>
  <c r="H163"/>
  <c r="H356"/>
  <c r="H203"/>
  <c r="H56"/>
  <c r="H278"/>
  <c r="H131"/>
  <c r="H154"/>
  <c r="H22"/>
  <c r="H316"/>
  <c r="H242"/>
  <c r="H169"/>
  <c r="H96"/>
  <c r="H17"/>
  <c r="H293"/>
  <c r="H220"/>
  <c r="H147"/>
  <c r="H36"/>
  <c r="H86"/>
  <c r="H217"/>
  <c r="H70"/>
  <c r="H264"/>
  <c r="H117"/>
  <c r="H303"/>
  <c r="H158"/>
  <c r="H349"/>
  <c r="H194"/>
  <c r="H47"/>
  <c r="H28"/>
  <c r="H337"/>
  <c r="H257"/>
  <c r="H181"/>
  <c r="H108"/>
  <c r="H35"/>
  <c r="H289"/>
  <c r="H216"/>
  <c r="H141"/>
  <c r="H69"/>
  <c r="H299"/>
  <c r="H153"/>
  <c r="H353"/>
  <c r="H199"/>
  <c r="H53"/>
  <c r="H240"/>
  <c r="H93"/>
  <c r="H315"/>
  <c r="H168"/>
  <c r="H15"/>
  <c r="H48"/>
  <c r="H341"/>
  <c r="H261"/>
  <c r="H187"/>
  <c r="H113"/>
  <c r="H39"/>
  <c r="H311"/>
  <c r="H238"/>
  <c r="H166"/>
  <c r="H73"/>
  <c r="H162"/>
  <c r="H135"/>
  <c r="H92"/>
  <c r="H352"/>
  <c r="H198"/>
  <c r="H51"/>
  <c r="H245"/>
  <c r="H99"/>
  <c r="H331"/>
  <c r="H214"/>
  <c r="H329"/>
  <c r="H138"/>
  <c r="H364"/>
  <c r="H55"/>
  <c r="H273"/>
  <c r="H125"/>
  <c r="H323"/>
  <c r="H172"/>
  <c r="H23"/>
  <c r="H175"/>
  <c r="H29"/>
  <c r="H209"/>
  <c r="H62"/>
  <c r="H251"/>
  <c r="H139"/>
  <c r="I313" i="18"/>
  <c r="I197" i="29"/>
  <c r="I53" i="18"/>
  <c r="H11" i="35"/>
  <c r="I11" s="1"/>
  <c r="H250"/>
  <c r="H102"/>
  <c r="H176"/>
  <c r="H65"/>
  <c r="H66"/>
  <c r="C22" i="21"/>
  <c r="M87" s="1"/>
  <c r="O87" s="1"/>
  <c r="C85"/>
  <c r="H14" i="35"/>
  <c r="H345"/>
  <c r="H201"/>
  <c r="H328"/>
  <c r="H112"/>
  <c r="H142"/>
  <c r="H321"/>
  <c r="H239"/>
  <c r="H280"/>
  <c r="H87"/>
  <c r="H248"/>
  <c r="H208"/>
  <c r="H312"/>
  <c r="H266"/>
  <c r="H223"/>
  <c r="H330"/>
  <c r="H322"/>
  <c r="H183"/>
  <c r="H197"/>
  <c r="H212"/>
  <c r="H320"/>
  <c r="H253"/>
  <c r="H324"/>
  <c r="H308"/>
  <c r="H272"/>
  <c r="H313"/>
  <c r="H67"/>
  <c r="H249"/>
  <c r="H326"/>
  <c r="H333"/>
  <c r="H234"/>
  <c r="H318"/>
  <c r="H294"/>
  <c r="H213"/>
  <c r="H27"/>
  <c r="H103"/>
  <c r="H287"/>
  <c r="E94" i="29"/>
  <c r="D94"/>
  <c r="G47"/>
  <c r="K47" s="1"/>
  <c r="E47"/>
  <c r="D47"/>
  <c r="E46"/>
  <c r="D46"/>
  <c r="C124" i="21" l="1"/>
  <c r="C61"/>
  <c r="M126" s="1"/>
  <c r="O126" s="1"/>
  <c r="C118"/>
  <c r="C55"/>
  <c r="C73"/>
  <c r="C10"/>
  <c r="I47" i="29"/>
  <c r="G46"/>
  <c r="K46" s="1"/>
  <c r="F12" i="21" l="1"/>
  <c r="G12"/>
  <c r="M75"/>
  <c r="L75"/>
  <c r="E12"/>
  <c r="G57"/>
  <c r="I57"/>
  <c r="F120"/>
  <c r="E120"/>
  <c r="I120"/>
  <c r="D120"/>
  <c r="K57"/>
  <c r="H57"/>
  <c r="M120"/>
  <c r="J120"/>
  <c r="G120"/>
  <c r="L57"/>
  <c r="K120"/>
  <c r="J57"/>
  <c r="M57"/>
  <c r="H120"/>
  <c r="I46" i="29"/>
  <c r="O120" i="21" l="1"/>
  <c r="G35" i="29"/>
  <c r="K35" s="1"/>
  <c r="G33"/>
  <c r="K33" s="1"/>
  <c r="G30"/>
  <c r="K30" s="1"/>
  <c r="G28"/>
  <c r="K28" s="1"/>
  <c r="G25"/>
  <c r="K25" s="1"/>
  <c r="G23"/>
  <c r="K23" s="1"/>
  <c r="G20"/>
  <c r="K20" s="1"/>
  <c r="I30" l="1"/>
  <c r="I28"/>
  <c r="I25"/>
  <c r="I35"/>
  <c r="I20"/>
  <c r="I23"/>
  <c r="I33"/>
  <c r="G18"/>
  <c r="K18" s="1"/>
  <c r="G17"/>
  <c r="K17" s="1"/>
  <c r="I18" l="1"/>
  <c r="I17"/>
  <c r="D271" i="18" l="1"/>
  <c r="E271"/>
  <c r="G271"/>
  <c r="K271" s="1"/>
  <c r="I271" l="1"/>
  <c r="I274" l="1"/>
  <c r="C11" i="16"/>
  <c r="G26" i="29" s="1"/>
  <c r="K26" s="1"/>
  <c r="I26" l="1"/>
  <c r="G215" i="18"/>
  <c r="K215" s="1"/>
  <c r="E215"/>
  <c r="D215"/>
  <c r="G222"/>
  <c r="K222" s="1"/>
  <c r="E222"/>
  <c r="D222"/>
  <c r="G155"/>
  <c r="E155"/>
  <c r="D155"/>
  <c r="G153"/>
  <c r="E153"/>
  <c r="D153"/>
  <c r="G202"/>
  <c r="K202" s="1"/>
  <c r="E202"/>
  <c r="D202"/>
  <c r="K153" l="1"/>
  <c r="K155"/>
  <c r="I202"/>
  <c r="I155"/>
  <c r="I153"/>
  <c r="I215"/>
  <c r="I222"/>
  <c r="E367" l="1"/>
  <c r="D367"/>
  <c r="G367" l="1"/>
  <c r="K367" s="1"/>
  <c r="I367" l="1"/>
  <c r="G157" i="15"/>
  <c r="H157" s="1"/>
  <c r="E157"/>
  <c r="C157"/>
  <c r="E45" i="29" l="1"/>
  <c r="D45"/>
  <c r="E362" i="18"/>
  <c r="E360"/>
  <c r="E294"/>
  <c r="G360"/>
  <c r="K360" s="1"/>
  <c r="D360"/>
  <c r="I360" l="1"/>
  <c r="G45" i="29" l="1"/>
  <c r="K45" s="1"/>
  <c r="I45" l="1"/>
  <c r="G94" l="1"/>
  <c r="K94" s="1"/>
  <c r="I94" l="1"/>
  <c r="G280" i="18" l="1"/>
  <c r="K280" s="1"/>
  <c r="E280"/>
  <c r="D280"/>
  <c r="M280" l="1"/>
  <c r="I280"/>
  <c r="E216" l="1"/>
  <c r="D216"/>
  <c r="G214"/>
  <c r="K214" s="1"/>
  <c r="E214"/>
  <c r="D214"/>
  <c r="G223"/>
  <c r="K223" s="1"/>
  <c r="E223"/>
  <c r="D223"/>
  <c r="I214" l="1"/>
  <c r="I223"/>
  <c r="G87" l="1"/>
  <c r="K87" s="1"/>
  <c r="E87"/>
  <c r="D87"/>
  <c r="I87" l="1"/>
  <c r="M5" i="21" l="1"/>
  <c r="D362" i="18" l="1"/>
  <c r="G362"/>
  <c r="K362" s="1"/>
  <c r="I362" l="1"/>
  <c r="G279" l="1"/>
  <c r="K279" s="1"/>
  <c r="E279"/>
  <c r="D279"/>
  <c r="M279" l="1"/>
  <c r="I279"/>
  <c r="G217"/>
  <c r="K217" s="1"/>
  <c r="E217"/>
  <c r="D217"/>
  <c r="D225"/>
  <c r="E225"/>
  <c r="G225"/>
  <c r="K225" s="1"/>
  <c r="E228"/>
  <c r="D228"/>
  <c r="D203"/>
  <c r="E203"/>
  <c r="G203"/>
  <c r="K203" s="1"/>
  <c r="D204"/>
  <c r="E204"/>
  <c r="G204"/>
  <c r="K204" s="1"/>
  <c r="D205"/>
  <c r="E205"/>
  <c r="G205"/>
  <c r="K205" s="1"/>
  <c r="E213"/>
  <c r="D213"/>
  <c r="D185"/>
  <c r="E185"/>
  <c r="G185"/>
  <c r="K185" s="1"/>
  <c r="D186"/>
  <c r="E186"/>
  <c r="G186"/>
  <c r="K186" s="1"/>
  <c r="D194"/>
  <c r="E194"/>
  <c r="G194"/>
  <c r="D195"/>
  <c r="E195"/>
  <c r="G195"/>
  <c r="K195" s="1"/>
  <c r="G184"/>
  <c r="K184" s="1"/>
  <c r="E184"/>
  <c r="D184"/>
  <c r="G157"/>
  <c r="K157" s="1"/>
  <c r="E157"/>
  <c r="D157"/>
  <c r="D116"/>
  <c r="E116"/>
  <c r="G116"/>
  <c r="K116" s="1"/>
  <c r="D142"/>
  <c r="E142"/>
  <c r="G142"/>
  <c r="G125"/>
  <c r="K125" s="1"/>
  <c r="E125"/>
  <c r="D125"/>
  <c r="G122"/>
  <c r="K122" s="1"/>
  <c r="E122"/>
  <c r="D122"/>
  <c r="G100"/>
  <c r="K100" s="1"/>
  <c r="G110"/>
  <c r="K110" s="1"/>
  <c r="E100"/>
  <c r="E110"/>
  <c r="D100"/>
  <c r="D110"/>
  <c r="G118"/>
  <c r="K118" s="1"/>
  <c r="E118"/>
  <c r="D118"/>
  <c r="G107"/>
  <c r="K107" s="1"/>
  <c r="D107"/>
  <c r="E107"/>
  <c r="K194" l="1"/>
  <c r="I194"/>
  <c r="K142"/>
  <c r="I122"/>
  <c r="I203"/>
  <c r="I118"/>
  <c r="I125"/>
  <c r="I184"/>
  <c r="I185"/>
  <c r="I205"/>
  <c r="I107"/>
  <c r="I186"/>
  <c r="I142"/>
  <c r="I195"/>
  <c r="I217"/>
  <c r="I110"/>
  <c r="I157"/>
  <c r="I100"/>
  <c r="I116"/>
  <c r="I204"/>
  <c r="I225"/>
  <c r="C28" i="21" l="1"/>
  <c r="L30" s="1"/>
  <c r="C91"/>
  <c r="C97"/>
  <c r="C34"/>
  <c r="C94"/>
  <c r="C31"/>
  <c r="I33" s="1"/>
  <c r="G216" i="18"/>
  <c r="K216" s="1"/>
  <c r="G93" i="21" l="1"/>
  <c r="H93"/>
  <c r="H99"/>
  <c r="F99"/>
  <c r="G99"/>
  <c r="I99"/>
  <c r="K33"/>
  <c r="J33"/>
  <c r="O97" s="1"/>
  <c r="L33"/>
  <c r="M33"/>
  <c r="D93"/>
  <c r="E93"/>
  <c r="M30"/>
  <c r="F93"/>
  <c r="I216" i="18"/>
  <c r="G228"/>
  <c r="K228" s="1"/>
  <c r="G213"/>
  <c r="K213" s="1"/>
  <c r="O96" i="21" l="1"/>
  <c r="O99"/>
  <c r="O93"/>
  <c r="I228" i="18"/>
  <c r="I213"/>
  <c r="C100" i="21" l="1"/>
  <c r="C37"/>
  <c r="G58" i="18"/>
  <c r="K58" s="1"/>
  <c r="G60"/>
  <c r="K60" s="1"/>
  <c r="G61"/>
  <c r="K61" s="1"/>
  <c r="G62"/>
  <c r="K62" s="1"/>
  <c r="G64"/>
  <c r="K64" s="1"/>
  <c r="G70"/>
  <c r="K70" s="1"/>
  <c r="E58"/>
  <c r="E60"/>
  <c r="E61"/>
  <c r="E62"/>
  <c r="E64"/>
  <c r="E70"/>
  <c r="D58"/>
  <c r="D60"/>
  <c r="D61"/>
  <c r="D62"/>
  <c r="D64"/>
  <c r="D70"/>
  <c r="G102" i="21" l="1"/>
  <c r="M39"/>
  <c r="D102"/>
  <c r="K39"/>
  <c r="J39"/>
  <c r="L39"/>
  <c r="F102"/>
  <c r="E102"/>
  <c r="I62" i="18"/>
  <c r="I64"/>
  <c r="I58"/>
  <c r="I70"/>
  <c r="I60"/>
  <c r="I61"/>
  <c r="G286"/>
  <c r="K286" s="1"/>
  <c r="E286"/>
  <c r="D286"/>
  <c r="C16" i="21" l="1"/>
  <c r="C79"/>
  <c r="O102"/>
  <c r="I286" i="18"/>
  <c r="H13" i="16"/>
  <c r="J13" s="1"/>
  <c r="E239" i="18"/>
  <c r="D239"/>
  <c r="G243"/>
  <c r="K243" s="1"/>
  <c r="E243"/>
  <c r="D243"/>
  <c r="K81" i="21" l="1"/>
  <c r="M18"/>
  <c r="K18"/>
  <c r="I81"/>
  <c r="G81"/>
  <c r="E81"/>
  <c r="M81"/>
  <c r="C112"/>
  <c r="C49"/>
  <c r="J114" s="1"/>
  <c r="I18"/>
  <c r="G18"/>
  <c r="I243" i="18"/>
  <c r="E275"/>
  <c r="D275"/>
  <c r="I13" i="16"/>
  <c r="O81" i="21" l="1"/>
  <c r="G272" i="18"/>
  <c r="K272" s="1"/>
  <c r="I275" l="1"/>
  <c r="I272"/>
  <c r="G294" l="1"/>
  <c r="K294" s="1"/>
  <c r="D294"/>
  <c r="I294" l="1"/>
  <c r="I296" l="1"/>
  <c r="C115" i="21" s="1"/>
  <c r="O114"/>
  <c r="D269" i="18"/>
  <c r="E269"/>
  <c r="D261"/>
  <c r="E261"/>
  <c r="E240"/>
  <c r="D240"/>
  <c r="C52" i="21" l="1"/>
  <c r="L117" s="1"/>
  <c r="G261" i="18"/>
  <c r="K261" s="1"/>
  <c r="O117" i="21" l="1"/>
  <c r="I261" i="18"/>
  <c r="G240"/>
  <c r="K240" s="1"/>
  <c r="G239"/>
  <c r="K239" s="1"/>
  <c r="G242"/>
  <c r="K242" s="1"/>
  <c r="D242"/>
  <c r="E242"/>
  <c r="C43" i="21" l="1"/>
  <c r="C106"/>
  <c r="I242" i="18"/>
  <c r="I240"/>
  <c r="I239"/>
  <c r="G156" i="15"/>
  <c r="H156" s="1"/>
  <c r="G158"/>
  <c r="H158" s="1"/>
  <c r="G159"/>
  <c r="H159" s="1"/>
  <c r="G160"/>
  <c r="H160" s="1"/>
  <c r="G161"/>
  <c r="H161" s="1"/>
  <c r="C156"/>
  <c r="E156"/>
  <c r="C158"/>
  <c r="E158"/>
  <c r="C159"/>
  <c r="E159"/>
  <c r="C160"/>
  <c r="E160"/>
  <c r="C161"/>
  <c r="E161"/>
  <c r="G155"/>
  <c r="H155" s="1"/>
  <c r="E155"/>
  <c r="C155"/>
  <c r="G131" i="18"/>
  <c r="K131" s="1"/>
  <c r="E131"/>
  <c r="D131"/>
  <c r="G128"/>
  <c r="K128" s="1"/>
  <c r="E128"/>
  <c r="D128"/>
  <c r="L108" i="21" l="1"/>
  <c r="C103"/>
  <c r="C40"/>
  <c r="L105" s="1"/>
  <c r="I131" i="18"/>
  <c r="I128"/>
  <c r="H154" i="15"/>
  <c r="O108" i="21" l="1"/>
  <c r="C88"/>
  <c r="C25"/>
  <c r="K90" s="1"/>
  <c r="E105"/>
  <c r="K105"/>
  <c r="D105"/>
  <c r="I105"/>
  <c r="J105"/>
  <c r="F105"/>
  <c r="H105"/>
  <c r="G105"/>
  <c r="I233" i="18"/>
  <c r="G74"/>
  <c r="K74" s="1"/>
  <c r="G21" i="29"/>
  <c r="K21" s="1"/>
  <c r="K199" s="1"/>
  <c r="O105" i="21" l="1"/>
  <c r="D90"/>
  <c r="J27"/>
  <c r="M27"/>
  <c r="H27"/>
  <c r="J90"/>
  <c r="I27"/>
  <c r="L27"/>
  <c r="E90"/>
  <c r="K27"/>
  <c r="H90"/>
  <c r="F90"/>
  <c r="G90"/>
  <c r="I90"/>
  <c r="I74" i="18"/>
  <c r="I21" i="29"/>
  <c r="C82" i="21" l="1"/>
  <c r="I82" i="18"/>
  <c r="C76" i="21"/>
  <c r="I185" i="29"/>
  <c r="I199" s="1"/>
  <c r="D30" i="4" s="1"/>
  <c r="C13" i="21"/>
  <c r="C19"/>
  <c r="O90"/>
  <c r="E15" l="1"/>
  <c r="H84"/>
  <c r="E84"/>
  <c r="D84"/>
  <c r="L21"/>
  <c r="I21"/>
  <c r="G15"/>
  <c r="F15"/>
  <c r="H6" i="15"/>
  <c r="O78" i="21" l="1"/>
  <c r="O84"/>
  <c r="G6" i="16"/>
  <c r="I6" i="18"/>
  <c r="G269" l="1"/>
  <c r="K269" s="1"/>
  <c r="I269" l="1"/>
  <c r="C109" i="21" l="1"/>
  <c r="C46"/>
  <c r="I290" i="18"/>
  <c r="D12" i="21"/>
  <c r="K139" l="1"/>
  <c r="K58" s="1"/>
  <c r="H139"/>
  <c r="H58" s="1"/>
  <c r="J139"/>
  <c r="J58" s="1"/>
  <c r="F139"/>
  <c r="F58" s="1"/>
  <c r="G139"/>
  <c r="G58" s="1"/>
  <c r="M139"/>
  <c r="M58" s="1"/>
  <c r="E139"/>
  <c r="E58" s="1"/>
  <c r="I139"/>
  <c r="I58" s="1"/>
  <c r="L139"/>
  <c r="L58" s="1"/>
  <c r="J142"/>
  <c r="J121" s="1"/>
  <c r="L142"/>
  <c r="L121" s="1"/>
  <c r="M142"/>
  <c r="M121" s="1"/>
  <c r="K142"/>
  <c r="K121" s="1"/>
  <c r="E142"/>
  <c r="E121" s="1"/>
  <c r="D142"/>
  <c r="D121" s="1"/>
  <c r="D139"/>
  <c r="D58" s="1"/>
  <c r="I111"/>
  <c r="I142" s="1"/>
  <c r="I121" s="1"/>
  <c r="F111"/>
  <c r="F142" s="1"/>
  <c r="F121" s="1"/>
  <c r="G111"/>
  <c r="G142" s="1"/>
  <c r="G121" s="1"/>
  <c r="H111"/>
  <c r="H142" s="1"/>
  <c r="H121" s="1"/>
  <c r="O75"/>
  <c r="G338" i="18"/>
  <c r="K338" s="1"/>
  <c r="K378" s="1"/>
  <c r="O111" i="21" l="1"/>
  <c r="I338" i="18"/>
  <c r="I376" s="1"/>
  <c r="C121" i="21" s="1"/>
  <c r="C130" s="1"/>
  <c r="C43" i="4" l="1"/>
  <c r="C49" s="1"/>
  <c r="C58" i="21"/>
  <c r="C67" s="1"/>
  <c r="I378" i="18"/>
  <c r="D29" i="4" s="1"/>
  <c r="D31" s="1"/>
  <c r="C50" l="1"/>
  <c r="D35"/>
  <c r="E123" i="21"/>
  <c r="E131" s="1"/>
  <c r="L123"/>
  <c r="L131" s="1"/>
  <c r="H60"/>
  <c r="H68" s="1"/>
  <c r="I123"/>
  <c r="I131" s="1"/>
  <c r="M123"/>
  <c r="M131" s="1"/>
  <c r="G60"/>
  <c r="G68" s="1"/>
  <c r="K123"/>
  <c r="K131" s="1"/>
  <c r="F60"/>
  <c r="F68" s="1"/>
  <c r="F123"/>
  <c r="F131" s="1"/>
  <c r="J123"/>
  <c r="J131" s="1"/>
  <c r="G123"/>
  <c r="G131" s="1"/>
  <c r="K60"/>
  <c r="K68" s="1"/>
  <c r="D123"/>
  <c r="D131" s="1"/>
  <c r="M60"/>
  <c r="M68" s="1"/>
  <c r="H123"/>
  <c r="H131" s="1"/>
  <c r="I60"/>
  <c r="I68" s="1"/>
  <c r="J60"/>
  <c r="J68" s="1"/>
  <c r="L60"/>
  <c r="L68" s="1"/>
  <c r="E60"/>
  <c r="E68" s="1"/>
  <c r="C45" i="4" l="1"/>
  <c r="G373" i="35"/>
  <c r="J13" s="1"/>
  <c r="C42" i="4"/>
  <c r="C44" s="1"/>
  <c r="C137" i="21"/>
  <c r="J264" i="35"/>
  <c r="D130" i="21"/>
  <c r="M67"/>
  <c r="J67"/>
  <c r="E67"/>
  <c r="K67"/>
  <c r="H67"/>
  <c r="F67"/>
  <c r="I67"/>
  <c r="L67"/>
  <c r="G67"/>
  <c r="J348" i="35" l="1"/>
  <c r="J14"/>
  <c r="J327"/>
  <c r="J223"/>
  <c r="J118"/>
  <c r="J319"/>
  <c r="J221"/>
  <c r="J21"/>
  <c r="J63"/>
  <c r="J337"/>
  <c r="J98"/>
  <c r="J90"/>
  <c r="J81"/>
  <c r="J244"/>
  <c r="J180"/>
  <c r="J154"/>
  <c r="J120"/>
  <c r="J97"/>
  <c r="J260"/>
  <c r="J108"/>
  <c r="J96"/>
  <c r="J167"/>
  <c r="J80"/>
  <c r="J92"/>
  <c r="J306"/>
  <c r="J139"/>
  <c r="J351"/>
  <c r="J356"/>
  <c r="J178"/>
  <c r="J290"/>
  <c r="J340"/>
  <c r="J66"/>
  <c r="J16"/>
  <c r="J307"/>
  <c r="J155"/>
  <c r="J75"/>
  <c r="J268"/>
  <c r="J134"/>
  <c r="J345"/>
  <c r="J153"/>
  <c r="J34"/>
  <c r="J41"/>
  <c r="J94"/>
  <c r="J173"/>
  <c r="J227"/>
  <c r="J234"/>
  <c r="J309"/>
  <c r="J256"/>
  <c r="J145"/>
  <c r="J215"/>
  <c r="J40"/>
  <c r="J280"/>
  <c r="J285"/>
  <c r="J192"/>
  <c r="J102"/>
  <c r="J55"/>
  <c r="J188"/>
  <c r="J182"/>
  <c r="J246"/>
  <c r="J239"/>
  <c r="J109"/>
  <c r="J186"/>
  <c r="J25"/>
  <c r="J250"/>
  <c r="J53"/>
  <c r="J201"/>
  <c r="J161"/>
  <c r="J322"/>
  <c r="J238"/>
  <c r="J299"/>
  <c r="J314"/>
  <c r="J122"/>
  <c r="J229"/>
  <c r="J71"/>
  <c r="J258"/>
  <c r="J107"/>
  <c r="J224"/>
  <c r="J335"/>
  <c r="J252"/>
  <c r="J17"/>
  <c r="J204"/>
  <c r="J61"/>
  <c r="J116"/>
  <c r="J194"/>
  <c r="J33"/>
  <c r="J273"/>
  <c r="J77"/>
  <c r="J152"/>
  <c r="J44"/>
  <c r="J297"/>
  <c r="J72"/>
  <c r="J163"/>
  <c r="J288"/>
  <c r="J354"/>
  <c r="J156"/>
  <c r="J304"/>
  <c r="J325"/>
  <c r="J110"/>
  <c r="J253"/>
  <c r="J158"/>
  <c r="J298"/>
  <c r="J228"/>
  <c r="J101"/>
  <c r="J243"/>
  <c r="J360"/>
  <c r="J144"/>
  <c r="J222"/>
  <c r="J83"/>
  <c r="J45"/>
  <c r="J146"/>
  <c r="J287"/>
  <c r="J200"/>
  <c r="J73"/>
  <c r="J37"/>
  <c r="J136"/>
  <c r="J198"/>
  <c r="J35"/>
  <c r="J262"/>
  <c r="J177"/>
  <c r="J248"/>
  <c r="J164"/>
  <c r="J310"/>
  <c r="J332"/>
  <c r="J117"/>
  <c r="J261"/>
  <c r="J187"/>
  <c r="J52"/>
  <c r="J15"/>
  <c r="J127"/>
  <c r="J267"/>
  <c r="J346"/>
  <c r="J23"/>
  <c r="J349"/>
  <c r="J324"/>
  <c r="J271"/>
  <c r="J59"/>
  <c r="J104"/>
  <c r="J176"/>
  <c r="J305"/>
  <c r="J357"/>
  <c r="J172"/>
  <c r="J318"/>
  <c r="J11"/>
  <c r="J125"/>
  <c r="J269"/>
  <c r="J179"/>
  <c r="J316"/>
  <c r="J334"/>
  <c r="J119"/>
  <c r="J259"/>
  <c r="J344"/>
  <c r="J193"/>
  <c r="J328"/>
  <c r="J99"/>
  <c r="J241"/>
  <c r="J162"/>
  <c r="J302"/>
  <c r="J216"/>
  <c r="J89"/>
  <c r="J231"/>
  <c r="J168"/>
  <c r="J230"/>
  <c r="J249"/>
  <c r="J295"/>
  <c r="J209"/>
  <c r="J279"/>
  <c r="J181"/>
  <c r="J54"/>
  <c r="J24"/>
  <c r="J133"/>
  <c r="J276"/>
  <c r="J203"/>
  <c r="J68"/>
  <c r="J30"/>
  <c r="J143"/>
  <c r="J284"/>
  <c r="J352"/>
  <c r="J62"/>
  <c r="J286"/>
  <c r="J195"/>
  <c r="J126"/>
  <c r="J60"/>
  <c r="J266"/>
  <c r="J22"/>
  <c r="J196"/>
  <c r="J135"/>
  <c r="J69"/>
  <c r="J278"/>
  <c r="J31"/>
  <c r="J338"/>
  <c r="J355"/>
  <c r="J331"/>
  <c r="J82"/>
  <c r="J20"/>
  <c r="J175"/>
  <c r="J113"/>
  <c r="J51"/>
  <c r="J257"/>
  <c r="J12"/>
  <c r="J183"/>
  <c r="J114"/>
  <c r="J320"/>
  <c r="J254"/>
  <c r="J323"/>
  <c r="J171"/>
  <c r="J105"/>
  <c r="J313"/>
  <c r="J247"/>
  <c r="J362"/>
  <c r="J217"/>
  <c r="J74"/>
  <c r="J28"/>
  <c r="J137"/>
  <c r="J282"/>
  <c r="J207"/>
  <c r="J56"/>
  <c r="J18"/>
  <c r="J225"/>
  <c r="J128"/>
  <c r="J293"/>
  <c r="J190"/>
  <c r="J197"/>
  <c r="J132"/>
  <c r="J70"/>
  <c r="J281"/>
  <c r="J42"/>
  <c r="J210"/>
  <c r="J149"/>
  <c r="J87"/>
  <c r="J294"/>
  <c r="J48"/>
  <c r="J219"/>
  <c r="J150"/>
  <c r="J84"/>
  <c r="J291"/>
  <c r="J220"/>
  <c r="J159"/>
  <c r="J93"/>
  <c r="J303"/>
  <c r="J39"/>
  <c r="J350"/>
  <c r="J364"/>
  <c r="J300"/>
  <c r="J214"/>
  <c r="J91"/>
  <c r="J233"/>
  <c r="J138"/>
  <c r="J277"/>
  <c r="J208"/>
  <c r="J115"/>
  <c r="J321"/>
  <c r="J255"/>
  <c r="J341"/>
  <c r="J359"/>
  <c r="J189"/>
  <c r="J124"/>
  <c r="J275"/>
  <c r="J32"/>
  <c r="J202"/>
  <c r="J141"/>
  <c r="J79"/>
  <c r="J43"/>
  <c r="J185"/>
  <c r="J58"/>
  <c r="J336"/>
  <c r="J121"/>
  <c r="J265"/>
  <c r="J191"/>
  <c r="J312"/>
  <c r="J330"/>
  <c r="J131"/>
  <c r="J65"/>
  <c r="J274"/>
  <c r="J27"/>
  <c r="J343"/>
  <c r="J205"/>
  <c r="J140"/>
  <c r="J78"/>
  <c r="J289"/>
  <c r="J47"/>
  <c r="J218"/>
  <c r="J157"/>
  <c r="J95"/>
  <c r="J301"/>
  <c r="J237"/>
  <c r="J211"/>
  <c r="J142"/>
  <c r="J76"/>
  <c r="J283"/>
  <c r="J36"/>
  <c r="J212"/>
  <c r="J151"/>
  <c r="J85"/>
  <c r="J292"/>
  <c r="J46"/>
  <c r="J353"/>
  <c r="J339"/>
  <c r="J170"/>
  <c r="J112"/>
  <c r="J232"/>
  <c r="J206"/>
  <c r="J129"/>
  <c r="J67"/>
  <c r="J272"/>
  <c r="J29"/>
  <c r="J199"/>
  <c r="J130"/>
  <c r="J64"/>
  <c r="J270"/>
  <c r="J26"/>
  <c r="J184"/>
  <c r="J123"/>
  <c r="J57"/>
  <c r="J263"/>
  <c r="J19"/>
  <c r="J358"/>
  <c r="J106"/>
  <c r="J240"/>
  <c r="J169"/>
  <c r="J315"/>
  <c r="J333"/>
  <c r="J88"/>
  <c r="J49"/>
  <c r="J147"/>
  <c r="J160"/>
  <c r="J50"/>
  <c r="J38"/>
  <c r="J213"/>
  <c r="J148"/>
  <c r="J86"/>
  <c r="J296"/>
  <c r="J236"/>
  <c r="J226"/>
  <c r="J165"/>
  <c r="J103"/>
  <c r="J311"/>
  <c r="J245"/>
  <c r="J329"/>
  <c r="J166"/>
  <c r="J100"/>
  <c r="J308"/>
  <c r="J242"/>
  <c r="J326"/>
  <c r="J174"/>
  <c r="J111"/>
  <c r="J317"/>
  <c r="J235"/>
  <c r="J361"/>
  <c r="J363"/>
  <c r="J251"/>
  <c r="J342"/>
  <c r="J347"/>
  <c r="J130" i="21"/>
  <c r="G130"/>
  <c r="I130"/>
  <c r="M130"/>
  <c r="L130"/>
  <c r="K130"/>
  <c r="E130"/>
  <c r="F130"/>
  <c r="H130"/>
  <c r="O121" l="1"/>
  <c r="D60"/>
  <c r="O123" l="1"/>
  <c r="D68"/>
  <c r="D67" s="1"/>
  <c r="D69" s="1"/>
  <c r="E69" s="1"/>
  <c r="F69" s="1"/>
  <c r="G69" s="1"/>
  <c r="H69" s="1"/>
  <c r="I69" s="1"/>
  <c r="J69" s="1"/>
  <c r="K69" s="1"/>
  <c r="L69" s="1"/>
  <c r="M69" s="1"/>
  <c r="D132" s="1"/>
  <c r="E132" s="1"/>
  <c r="F132" s="1"/>
  <c r="G132" s="1"/>
  <c r="H132" s="1"/>
  <c r="I132" s="1"/>
  <c r="J132" s="1"/>
  <c r="K132" s="1"/>
  <c r="L132" s="1"/>
  <c r="M132" s="1"/>
  <c r="D70" l="1"/>
  <c r="E70" s="1"/>
  <c r="F70" s="1"/>
  <c r="G70" s="1"/>
  <c r="H70" s="1"/>
  <c r="I70" s="1"/>
  <c r="J70" s="1"/>
  <c r="K70" s="1"/>
  <c r="L70" s="1"/>
  <c r="M70" s="1"/>
  <c r="D133" s="1"/>
  <c r="E133" s="1"/>
  <c r="F133" s="1"/>
  <c r="G133" s="1"/>
  <c r="H133" s="1"/>
  <c r="I133" s="1"/>
  <c r="J133" s="1"/>
  <c r="K133" s="1"/>
  <c r="L133" s="1"/>
  <c r="M133" s="1"/>
  <c r="I12" i="35" l="1"/>
  <c r="I13" s="1"/>
  <c r="I15" l="1"/>
  <c r="I16" s="1"/>
  <c r="I17" s="1"/>
  <c r="I18" s="1"/>
  <c r="I19" s="1"/>
  <c r="I20" s="1"/>
  <c r="I21" s="1"/>
  <c r="I22" s="1"/>
  <c r="I23" s="1"/>
  <c r="I24" s="1"/>
  <c r="I25" s="1"/>
  <c r="I26" s="1"/>
  <c r="I27" s="1"/>
  <c r="I28" s="1"/>
  <c r="I29" s="1"/>
  <c r="I30" s="1"/>
  <c r="I31" s="1"/>
  <c r="I32" s="1"/>
  <c r="I33" s="1"/>
  <c r="I34" s="1"/>
  <c r="I35" s="1"/>
  <c r="I36" s="1"/>
  <c r="I37" s="1"/>
  <c r="I38" s="1"/>
  <c r="I39" s="1"/>
  <c r="I40" s="1"/>
  <c r="I41" s="1"/>
  <c r="I42" s="1"/>
  <c r="I43" s="1"/>
  <c r="I44" s="1"/>
  <c r="I45" s="1"/>
  <c r="I14"/>
  <c r="I47" l="1"/>
  <c r="I48" s="1"/>
  <c r="I49" s="1"/>
  <c r="I50" s="1"/>
  <c r="I51" s="1"/>
  <c r="I52" s="1"/>
  <c r="I53" s="1"/>
  <c r="I54" s="1"/>
  <c r="I55" s="1"/>
  <c r="I56" s="1"/>
  <c r="I57" s="1"/>
  <c r="I58" s="1"/>
  <c r="I59" s="1"/>
  <c r="I60" s="1"/>
  <c r="I61" s="1"/>
  <c r="I62" s="1"/>
  <c r="I63" s="1"/>
  <c r="I64" s="1"/>
  <c r="I65" s="1"/>
  <c r="I66" s="1"/>
  <c r="I67" s="1"/>
  <c r="I68" s="1"/>
  <c r="I69" s="1"/>
  <c r="I70" s="1"/>
  <c r="I71" s="1"/>
  <c r="I72" s="1"/>
  <c r="I73" s="1"/>
  <c r="I74" s="1"/>
  <c r="I75" s="1"/>
  <c r="I76" s="1"/>
  <c r="I77" s="1"/>
  <c r="I78" s="1"/>
  <c r="I79" s="1"/>
  <c r="I80" s="1"/>
  <c r="I81" s="1"/>
  <c r="I82" s="1"/>
  <c r="I83" s="1"/>
  <c r="I84" s="1"/>
  <c r="I85" s="1"/>
  <c r="I86" s="1"/>
  <c r="I87" s="1"/>
  <c r="I88" s="1"/>
  <c r="I89" s="1"/>
  <c r="I90" s="1"/>
  <c r="I91" s="1"/>
  <c r="I92" s="1"/>
  <c r="I93" s="1"/>
  <c r="I94" s="1"/>
  <c r="I95" s="1"/>
  <c r="I96" s="1"/>
  <c r="I97" s="1"/>
  <c r="I98" s="1"/>
  <c r="I99" s="1"/>
  <c r="I100" s="1"/>
  <c r="I101" s="1"/>
  <c r="I102" s="1"/>
  <c r="I103" s="1"/>
  <c r="I104" s="1"/>
  <c r="I105" s="1"/>
  <c r="I106" s="1"/>
  <c r="I107" s="1"/>
  <c r="I108" s="1"/>
  <c r="I109" s="1"/>
  <c r="I110" s="1"/>
  <c r="I111" s="1"/>
  <c r="I112" s="1"/>
  <c r="I113" s="1"/>
  <c r="I114" s="1"/>
  <c r="I115" s="1"/>
  <c r="I116" s="1"/>
  <c r="I117" s="1"/>
  <c r="I118" s="1"/>
  <c r="I119" s="1"/>
  <c r="I120" s="1"/>
  <c r="I121" s="1"/>
  <c r="I122" s="1"/>
  <c r="I123" s="1"/>
  <c r="I124" s="1"/>
  <c r="I125" s="1"/>
  <c r="I126" s="1"/>
  <c r="I127" s="1"/>
  <c r="I128" s="1"/>
  <c r="I129" s="1"/>
  <c r="I130" s="1"/>
  <c r="I131" s="1"/>
  <c r="I132" s="1"/>
  <c r="I133" s="1"/>
  <c r="I134" s="1"/>
  <c r="I135" s="1"/>
  <c r="I136" s="1"/>
  <c r="I137" s="1"/>
  <c r="I138" s="1"/>
  <c r="I139" s="1"/>
  <c r="I140" s="1"/>
  <c r="I141" s="1"/>
  <c r="I142" s="1"/>
  <c r="I143" s="1"/>
  <c r="I144" s="1"/>
  <c r="I145" s="1"/>
  <c r="I146" s="1"/>
  <c r="I147" s="1"/>
  <c r="I148" s="1"/>
  <c r="I149" s="1"/>
  <c r="I150" s="1"/>
  <c r="I151" s="1"/>
  <c r="I152" s="1"/>
  <c r="I153" s="1"/>
  <c r="I154" s="1"/>
  <c r="I155" s="1"/>
  <c r="I156" s="1"/>
  <c r="I157" s="1"/>
  <c r="I158" s="1"/>
  <c r="I159" s="1"/>
  <c r="I160" s="1"/>
  <c r="I161" s="1"/>
  <c r="I162" s="1"/>
  <c r="I163" s="1"/>
  <c r="I164" s="1"/>
  <c r="I165" s="1"/>
  <c r="I166" s="1"/>
  <c r="I167" s="1"/>
  <c r="I168" s="1"/>
  <c r="I169" s="1"/>
  <c r="I170" s="1"/>
  <c r="I171" s="1"/>
  <c r="I172" s="1"/>
  <c r="I173" s="1"/>
  <c r="I174" s="1"/>
  <c r="I175" s="1"/>
  <c r="I176" s="1"/>
  <c r="I177" s="1"/>
  <c r="I178" s="1"/>
  <c r="I179" s="1"/>
  <c r="I180" s="1"/>
  <c r="I181" s="1"/>
  <c r="I182" s="1"/>
  <c r="I183" s="1"/>
  <c r="I184" s="1"/>
  <c r="I185" s="1"/>
  <c r="I186" s="1"/>
  <c r="I187" s="1"/>
  <c r="I188" s="1"/>
  <c r="I189" s="1"/>
  <c r="I190" s="1"/>
  <c r="I191" s="1"/>
  <c r="I192" s="1"/>
  <c r="I193" s="1"/>
  <c r="I194" s="1"/>
  <c r="I195" s="1"/>
  <c r="I196" s="1"/>
  <c r="I197" s="1"/>
  <c r="I198" s="1"/>
  <c r="I199" s="1"/>
  <c r="I200" s="1"/>
  <c r="I201" s="1"/>
  <c r="I202" s="1"/>
  <c r="I203" s="1"/>
  <c r="I204" s="1"/>
  <c r="I205" s="1"/>
  <c r="I206" s="1"/>
  <c r="I207" s="1"/>
  <c r="I208" s="1"/>
  <c r="I209" s="1"/>
  <c r="I210" s="1"/>
  <c r="I211" s="1"/>
  <c r="I212" s="1"/>
  <c r="I213" s="1"/>
  <c r="I214" s="1"/>
  <c r="I215" s="1"/>
  <c r="I216" s="1"/>
  <c r="I217" s="1"/>
  <c r="I218" s="1"/>
  <c r="I219" s="1"/>
  <c r="I220" s="1"/>
  <c r="I221" s="1"/>
  <c r="I222" s="1"/>
  <c r="I223" s="1"/>
  <c r="I224" s="1"/>
  <c r="I225" s="1"/>
  <c r="I226" s="1"/>
  <c r="I227" s="1"/>
  <c r="I228" s="1"/>
  <c r="I229" s="1"/>
  <c r="I230" s="1"/>
  <c r="I231" s="1"/>
  <c r="I232" s="1"/>
  <c r="I233" s="1"/>
  <c r="I234" s="1"/>
  <c r="I235" s="1"/>
  <c r="I236" s="1"/>
  <c r="I237" s="1"/>
  <c r="I238" s="1"/>
  <c r="I239" s="1"/>
  <c r="I240" s="1"/>
  <c r="I241" s="1"/>
  <c r="I242" s="1"/>
  <c r="I243" s="1"/>
  <c r="I244" s="1"/>
  <c r="I245" s="1"/>
  <c r="I246" s="1"/>
  <c r="I247" s="1"/>
  <c r="I248" s="1"/>
  <c r="I249" s="1"/>
  <c r="I250" s="1"/>
  <c r="I251" s="1"/>
  <c r="I252" s="1"/>
  <c r="I253" s="1"/>
  <c r="I254" s="1"/>
  <c r="I255" s="1"/>
  <c r="I256" s="1"/>
  <c r="I257" s="1"/>
  <c r="I258" s="1"/>
  <c r="I259" s="1"/>
  <c r="I260" s="1"/>
  <c r="I261" s="1"/>
  <c r="I262" s="1"/>
  <c r="I263" s="1"/>
  <c r="I264" s="1"/>
  <c r="I265" s="1"/>
  <c r="I266" s="1"/>
  <c r="I267" s="1"/>
  <c r="I268" s="1"/>
  <c r="I269" s="1"/>
  <c r="I270" s="1"/>
  <c r="I271" s="1"/>
  <c r="I272" s="1"/>
  <c r="I273" s="1"/>
  <c r="I274" s="1"/>
  <c r="I275" s="1"/>
  <c r="I276" s="1"/>
  <c r="I277" s="1"/>
  <c r="I278" s="1"/>
  <c r="I279" s="1"/>
  <c r="I280" s="1"/>
  <c r="I281" s="1"/>
  <c r="I282" s="1"/>
  <c r="I283" s="1"/>
  <c r="I284" s="1"/>
  <c r="I285" s="1"/>
  <c r="I286" s="1"/>
  <c r="I287" s="1"/>
  <c r="I288" s="1"/>
  <c r="I289" s="1"/>
  <c r="I290" s="1"/>
  <c r="I291" s="1"/>
  <c r="I292" s="1"/>
  <c r="I293" s="1"/>
  <c r="I294" s="1"/>
  <c r="I295" s="1"/>
  <c r="I296" s="1"/>
  <c r="I297" s="1"/>
  <c r="I298" s="1"/>
  <c r="I299" s="1"/>
  <c r="I300" s="1"/>
  <c r="I301" s="1"/>
  <c r="I302" s="1"/>
  <c r="I303" s="1"/>
  <c r="I304" s="1"/>
  <c r="I305" s="1"/>
  <c r="I306" s="1"/>
  <c r="I307" s="1"/>
  <c r="I308" s="1"/>
  <c r="I309" s="1"/>
  <c r="I310" s="1"/>
  <c r="I311" s="1"/>
  <c r="I312" s="1"/>
  <c r="I313" s="1"/>
  <c r="I314" s="1"/>
  <c r="I315" s="1"/>
  <c r="I316" s="1"/>
  <c r="I317" s="1"/>
  <c r="I318" s="1"/>
  <c r="I319" s="1"/>
  <c r="I320" s="1"/>
  <c r="I321" s="1"/>
  <c r="I322" s="1"/>
  <c r="I323" s="1"/>
  <c r="I324" s="1"/>
  <c r="I325" s="1"/>
  <c r="I326" s="1"/>
  <c r="I327" s="1"/>
  <c r="I328" s="1"/>
  <c r="I329" s="1"/>
  <c r="I330" s="1"/>
  <c r="I331" s="1"/>
  <c r="I332" s="1"/>
  <c r="I333" s="1"/>
  <c r="I334" s="1"/>
  <c r="I335" s="1"/>
  <c r="I336" s="1"/>
  <c r="I337" s="1"/>
  <c r="I338" s="1"/>
  <c r="I339" s="1"/>
  <c r="I340" s="1"/>
  <c r="I341" s="1"/>
  <c r="I342" s="1"/>
  <c r="I343" s="1"/>
  <c r="I344" s="1"/>
  <c r="I345" s="1"/>
  <c r="I346" s="1"/>
  <c r="I347" s="1"/>
  <c r="I348" s="1"/>
  <c r="I349" s="1"/>
  <c r="I350" s="1"/>
  <c r="I351" s="1"/>
  <c r="I352" s="1"/>
  <c r="I353" s="1"/>
  <c r="I354" s="1"/>
  <c r="I355" s="1"/>
  <c r="I356" s="1"/>
  <c r="I357" s="1"/>
  <c r="I358" s="1"/>
  <c r="I359" s="1"/>
  <c r="I360" s="1"/>
  <c r="I361" s="1"/>
  <c r="I362" s="1"/>
  <c r="I363" s="1"/>
  <c r="I364" s="1"/>
  <c r="I366" s="1"/>
  <c r="I46"/>
</calcChain>
</file>

<file path=xl/comments1.xml><?xml version="1.0" encoding="utf-8"?>
<comments xmlns="http://schemas.openxmlformats.org/spreadsheetml/2006/main">
  <authors>
    <author>thelma.parada</author>
    <author>ivanr</author>
    <author>gilmar.fernandes</author>
  </authors>
  <commentList>
    <comment ref="C13" authorId="0">
      <text>
        <r>
          <rPr>
            <sz val="9"/>
            <color indexed="81"/>
            <rFont val="Tahoma"/>
            <family val="2"/>
          </rPr>
          <t xml:space="preserve">NÚMERO DA ESTIMATIVA PRINCIPAL DE ACORDO COM O CONTROLE DA SEORÇA
</t>
        </r>
      </text>
    </comment>
    <comment ref="C14" authorId="1">
      <text>
        <r>
          <rPr>
            <sz val="9"/>
            <color indexed="81"/>
            <rFont val="Tahoma"/>
            <family val="2"/>
          </rPr>
          <t xml:space="preserve">O título é o nome da estimativa contendo de forma completa, porém resumida, do conteúdo orçado. 
No título deverá constar: Construção, Reforma, Revitalização, Ampliação, Demolição, Manutenção, Aquisição, Execução, entre outros. 
Se necessário poderá constar a combinação dos tipos de intervenções que constem no orçamento, por exemplo:
Construção do bloco C, Ampliação do Bloco B e reforma do Bloco A da Escola .......
</t>
        </r>
        <r>
          <rPr>
            <b/>
            <u/>
            <sz val="9"/>
            <color indexed="81"/>
            <rFont val="Tahoma"/>
            <family val="2"/>
          </rPr>
          <t>Observações:</t>
        </r>
        <r>
          <rPr>
            <sz val="9"/>
            <color indexed="81"/>
            <rFont val="Tahoma"/>
            <family val="2"/>
          </rPr>
          <t xml:space="preserve">
A descrição dada no título da estimativa auxiliará na elaboração do objeto da obra, serviço de engenharia, aquisição de materiais, aquisição de mobiliário, aquisição de equipamentos, entre outros.
</t>
        </r>
      </text>
    </comment>
    <comment ref="C15" authorId="0">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16" authorId="1">
      <text>
        <r>
          <rPr>
            <sz val="9"/>
            <color indexed="81"/>
            <rFont val="Tahoma"/>
            <family val="2"/>
          </rPr>
          <t xml:space="preserve">NOME DO PROJETO batizado pela Coordenação de arquivos da DITEC
</t>
        </r>
        <r>
          <rPr>
            <b/>
            <u/>
            <sz val="9"/>
            <color indexed="81"/>
            <rFont val="Tahoma"/>
            <family val="2"/>
          </rPr>
          <t>Observações:</t>
        </r>
        <r>
          <rPr>
            <sz val="9"/>
            <color indexed="81"/>
            <rFont val="Tahoma"/>
            <family val="2"/>
          </rPr>
          <t xml:space="preserve"> 
1- O nome do projeto não é o mesmo do objeto, trata-se de um nome curto para identificação simples e rápida do assunto tratado. 
2- Quando não existir o nome do projeto, ou seja, que o projeto não tenha sido batizado, procurar a coordenação de arquivos da DITEC para avaliação e decisão sobre o nome que será dado e se será batizado com um número de projeto.</t>
        </r>
      </text>
    </comment>
    <comment ref="C17" authorId="1">
      <text>
        <r>
          <rPr>
            <sz val="9"/>
            <color indexed="81"/>
            <rFont val="Tahoma"/>
            <family val="2"/>
          </rPr>
          <t xml:space="preserve">Endereço completo de acordo com o que estiver informado no projeto batizado pela coordenação de arquivos da DITEC
</t>
        </r>
        <r>
          <rPr>
            <b/>
            <u/>
            <sz val="9"/>
            <color indexed="81"/>
            <rFont val="Tahoma"/>
            <family val="2"/>
          </rPr>
          <t xml:space="preserve">OBS: 
</t>
        </r>
        <r>
          <rPr>
            <sz val="9"/>
            <color indexed="81"/>
            <rFont val="Tahoma"/>
            <family val="2"/>
          </rPr>
          <t>1</t>
        </r>
        <r>
          <rPr>
            <b/>
            <sz val="9"/>
            <color indexed="81"/>
            <rFont val="Tahoma"/>
            <family val="2"/>
          </rPr>
          <t xml:space="preserve"> </t>
        </r>
        <r>
          <rPr>
            <sz val="9"/>
            <color indexed="81"/>
            <rFont val="Tahoma"/>
            <family val="2"/>
          </rPr>
          <t xml:space="preserve">- Caso não tenha projeto batizado, verificar o endereço correto com a Coordenação de arquivos da DITEC.
2 - </t>
        </r>
        <r>
          <rPr>
            <sz val="9"/>
            <color indexed="81"/>
            <rFont val="Tahoma"/>
            <family val="2"/>
          </rPr>
          <t>Caso sejam vários locais, informar neste campo:</t>
        </r>
        <r>
          <rPr>
            <i/>
            <sz val="9"/>
            <color indexed="81"/>
            <rFont val="Tahoma"/>
            <family val="2"/>
          </rPr>
          <t>"DIVERSOS LOCAIS (vide planilhas estimativas parciais)</t>
        </r>
        <r>
          <rPr>
            <sz val="9"/>
            <color indexed="81"/>
            <rFont val="Tahoma"/>
            <family val="2"/>
          </rPr>
          <t>". O endereço completo de cada local deverá estar informado nas nas planilhas estimativas parciais.
3-Informar também o nome da cidade onde será realizado o objeto.</t>
        </r>
      </text>
    </comment>
    <comment ref="C18" authorId="1">
      <text>
        <r>
          <rPr>
            <sz val="9"/>
            <color indexed="81"/>
            <rFont val="Tahoma"/>
            <family val="2"/>
          </rPr>
          <t>Prazo definido pelo orçamentista consultando também o chefe do DETEC</t>
        </r>
      </text>
    </comment>
    <comment ref="C19" authorId="1">
      <text>
        <r>
          <rPr>
            <sz val="9"/>
            <color indexed="81"/>
            <rFont val="Tahoma"/>
            <family val="2"/>
          </rPr>
          <t xml:space="preserve">Data da conclusão da estimativa
</t>
        </r>
      </text>
    </comment>
    <comment ref="C20" authorId="0">
      <text>
        <r>
          <rPr>
            <sz val="9"/>
            <color indexed="81"/>
            <rFont val="Tahoma"/>
            <family val="2"/>
          </rPr>
          <t xml:space="preserve">- Nome dos orçamentistas e os respectivos trabalhos elaborados.
</t>
        </r>
        <r>
          <rPr>
            <b/>
            <u/>
            <sz val="9"/>
            <color indexed="81"/>
            <rFont val="Tahoma"/>
            <family val="2"/>
          </rPr>
          <t>OBS</t>
        </r>
        <r>
          <rPr>
            <sz val="9"/>
            <color indexed="81"/>
            <rFont val="Tahoma"/>
            <family val="2"/>
          </rPr>
          <t>: Todos os orçamentistas participantes (profissionais do quadro técnico ou não da NOVACAP) deverão recolher ART ou RRT e inserir os respectivos números das ART's ou RRT's nas planilhas estimativas parciais que elaborarem, bem como nas planilhas de levantamento de quantitativos, composições, coletas, curva ABC, cronograma físico-financeiro, etc, de acordo com a participação na estimativa. 
- Na ART ou RRT, o campo observações deverá constar o número do projeto (caso exista número) e informar também as atividades desenvolvidas.
- A ART ou RRT deverá ser recolhida com antecedência a conclusão da estimativa, já definido de forma correta e completa todas as informações do que foi descrito acima, para se evitar que seja retificada.</t>
        </r>
      </text>
    </comment>
    <comment ref="C21" authorId="0">
      <text>
        <r>
          <rPr>
            <sz val="9"/>
            <color indexed="81"/>
            <rFont val="Tahoma"/>
            <family val="2"/>
          </rPr>
          <t>Caso a demanda ainda não tenha processo informar o número do Memorando, ou Ofício, ou Carta,
com SISPROT que solicitou o orçamento.</t>
        </r>
      </text>
    </comment>
    <comment ref="C22" authorId="0">
      <text>
        <r>
          <rPr>
            <sz val="9"/>
            <color indexed="81"/>
            <rFont val="Tahoma"/>
            <family val="2"/>
          </rPr>
          <t>número do processo da licitação a que se refere a estimativa</t>
        </r>
      </text>
    </comment>
    <comment ref="C23" authorId="1">
      <text>
        <r>
          <rPr>
            <sz val="9"/>
            <color indexed="81"/>
            <rFont val="Tahoma"/>
            <family val="2"/>
          </rPr>
          <t xml:space="preserve">Tabela de referência em vigor aprovada pela Diretoria colegiada da NOVACAP
</t>
        </r>
      </text>
    </comment>
    <comment ref="C24" authorId="1">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O orçamentista deverá confirmar a área com o projetista.
Caso não seja possível  levantar a área, este campo deverá ser deixado em branco</t>
        </r>
      </text>
    </comment>
    <comment ref="C25" authorId="1">
      <text>
        <r>
          <rPr>
            <sz val="9"/>
            <color indexed="81"/>
            <rFont val="Tahoma"/>
            <family val="2"/>
          </rPr>
          <t xml:space="preserve">Neste campo o orçamentista poderá informar o que julgar necessário
</t>
        </r>
      </text>
    </comment>
    <comment ref="C26" authorId="0">
      <text>
        <r>
          <rPr>
            <sz val="9"/>
            <color indexed="81"/>
            <rFont val="Tahoma"/>
            <family val="2"/>
          </rPr>
          <t>Inserir o nome do profissional responsável pela capa, o CREA ou CAU e o nº da ART ou RRT.</t>
        </r>
      </text>
    </comment>
    <comment ref="B29" authorId="1">
      <text>
        <r>
          <rPr>
            <sz val="9"/>
            <color indexed="81"/>
            <rFont val="Tahoma"/>
            <family val="2"/>
          </rPr>
          <t>Inserir o número da estimativa parcial e o nome da mesma.</t>
        </r>
      </text>
    </comment>
    <comment ref="B30" authorId="1">
      <text>
        <r>
          <rPr>
            <sz val="9"/>
            <color indexed="81"/>
            <rFont val="Tahoma"/>
            <family val="2"/>
          </rPr>
          <t>Inserir o número da estimativa parcial e o nome da mesma.</t>
        </r>
      </text>
    </comment>
    <comment ref="B33" authorId="1">
      <text>
        <r>
          <rPr>
            <sz val="9"/>
            <color indexed="81"/>
            <rFont val="Tahoma"/>
            <family val="2"/>
          </rPr>
          <t>Inserir o número da estimativa parcial e o nome da mesma.</t>
        </r>
      </text>
    </comment>
    <comment ref="B40" authorId="1">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 ref="B49" authorId="2">
      <text>
        <r>
          <rPr>
            <b/>
            <sz val="9"/>
            <color indexed="81"/>
            <rFont val="Tahoma"/>
            <family val="2"/>
          </rPr>
          <t>gilmar.fernandes:</t>
        </r>
        <r>
          <rPr>
            <sz val="9"/>
            <color indexed="81"/>
            <rFont val="Tahoma"/>
            <family val="2"/>
          </rPr>
          <t xml:space="preserve">
Para calculo das despesa diversas deve-se zerar o item dentro da ADM.</t>
        </r>
      </text>
    </comment>
  </commentList>
</comments>
</file>

<file path=xl/comments2.xml><?xml version="1.0" encoding="utf-8"?>
<comments xmlns="http://schemas.openxmlformats.org/spreadsheetml/2006/main">
  <authors>
    <author>ivanr</author>
    <author>thelma.parada</author>
  </authors>
  <commentList>
    <comment ref="D6" authorId="0">
      <text>
        <r>
          <rPr>
            <sz val="9"/>
            <color indexed="81"/>
            <rFont val="Tahoma"/>
            <family val="2"/>
          </rPr>
          <t>Número da estimativa parcial de acordo com o controle da SEORÇA</t>
        </r>
      </text>
    </comment>
    <comment ref="I6" authorId="0">
      <text>
        <r>
          <rPr>
            <sz val="9"/>
            <color indexed="81"/>
            <rFont val="Tahoma"/>
            <family val="2"/>
          </rPr>
          <t>Data da conclusão da estimativa</t>
        </r>
      </text>
    </comment>
    <comment ref="D7" authorId="0">
      <text>
        <r>
          <rPr>
            <sz val="9"/>
            <color indexed="81"/>
            <rFont val="Tahoma"/>
            <family val="2"/>
          </rPr>
          <t>Nome dado a esta planilha estimativa parcial</t>
        </r>
      </text>
    </comment>
    <comment ref="I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text>
        <r>
          <rPr>
            <sz val="9"/>
            <color indexed="81"/>
            <rFont val="Tahoma"/>
            <family val="2"/>
          </rPr>
          <t xml:space="preserve">Endereço completo desta planilha estimativa parcial
</t>
        </r>
      </text>
    </comment>
    <comment ref="I8"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text>
        <r>
          <rPr>
            <sz val="9"/>
            <color indexed="81"/>
            <rFont val="Tahoma"/>
            <family val="2"/>
          </rPr>
          <t>Encargos trabalhistas da tabela SINAPI em vigor aprovada pela Diretoria colegiada da NOVACAP</t>
        </r>
      </text>
    </comment>
    <comment ref="F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I9" authorId="0">
      <text>
        <r>
          <rPr>
            <sz val="9"/>
            <color indexed="81"/>
            <rFont val="Tahoma"/>
            <family val="2"/>
          </rPr>
          <t>Tabela de referência em vigor aprovada pela Diretoria colegiada da NOVACAP</t>
        </r>
      </text>
    </comment>
    <comment ref="B380"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3.xml><?xml version="1.0" encoding="utf-8"?>
<comments xmlns="http://schemas.openxmlformats.org/spreadsheetml/2006/main">
  <authors>
    <author>ivanr</author>
    <author>thelma.parada</author>
  </authors>
  <commentList>
    <comment ref="D6" authorId="0">
      <text>
        <r>
          <rPr>
            <sz val="9"/>
            <color indexed="81"/>
            <rFont val="Tahoma"/>
            <family val="2"/>
          </rPr>
          <t>Número da estimativa parcial de acordo com o controle da SEORÇA</t>
        </r>
      </text>
    </comment>
    <comment ref="I6" authorId="0">
      <text>
        <r>
          <rPr>
            <sz val="9"/>
            <color indexed="81"/>
            <rFont val="Tahoma"/>
            <family val="2"/>
          </rPr>
          <t>Data da conclusão da estimativa</t>
        </r>
      </text>
    </comment>
    <comment ref="D7" authorId="0">
      <text>
        <r>
          <rPr>
            <sz val="9"/>
            <color indexed="81"/>
            <rFont val="Tahoma"/>
            <family val="2"/>
          </rPr>
          <t>Nome dado a esta planilha estimativa parcial</t>
        </r>
      </text>
    </comment>
    <comment ref="I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D8" authorId="0">
      <text>
        <r>
          <rPr>
            <sz val="9"/>
            <color indexed="81"/>
            <rFont val="Tahoma"/>
            <family val="2"/>
          </rPr>
          <t xml:space="preserve">Endereço completo desta planilha estimativa parcial
</t>
        </r>
      </text>
    </comment>
    <comment ref="I8" authorId="0">
      <text>
        <r>
          <rPr>
            <sz val="9"/>
            <color indexed="81"/>
            <rFont val="Tahoma"/>
            <family val="2"/>
          </rPr>
          <t xml:space="preserve">Àrea informada no projeto que originou a estimativa.
</t>
        </r>
        <r>
          <rPr>
            <b/>
            <u/>
            <sz val="9"/>
            <color indexed="81"/>
            <rFont val="Tahoma"/>
            <family val="2"/>
          </rPr>
          <t>OBS:</t>
        </r>
        <r>
          <rPr>
            <sz val="9"/>
            <color indexed="81"/>
            <rFont val="Tahoma"/>
            <family val="2"/>
          </rPr>
          <t xml:space="preserve"> O orçamentista deverá confirmar a área com o projetista.
Caso não seja possível  levantar a área, este campo deverá ser deixado em branco</t>
        </r>
      </text>
    </comment>
    <comment ref="D9" authorId="0">
      <text>
        <r>
          <rPr>
            <sz val="9"/>
            <color indexed="81"/>
            <rFont val="Tahoma"/>
            <family val="2"/>
          </rPr>
          <t>Encargos trabalhistas da tabela SINAPI em vigor aprovada pela Diretoria colegiada da NOVACAP</t>
        </r>
      </text>
    </comment>
    <comment ref="F9"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I9" authorId="0">
      <text>
        <r>
          <rPr>
            <sz val="9"/>
            <color indexed="81"/>
            <rFont val="Tahoma"/>
            <family val="2"/>
          </rPr>
          <t>Tabela de referência em vigor aprovada pela Diretoria colegiada da NOVACAP</t>
        </r>
      </text>
    </comment>
    <comment ref="B201"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4.xml><?xml version="1.0" encoding="utf-8"?>
<comments xmlns="http://schemas.openxmlformats.org/spreadsheetml/2006/main">
  <authors>
    <author>ivanr</author>
    <author>thelma.parada</author>
  </authors>
  <commentList>
    <comment ref="B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text>
        <r>
          <rPr>
            <sz val="9"/>
            <color indexed="81"/>
            <rFont val="Tahoma"/>
            <family val="2"/>
          </rPr>
          <t xml:space="preserve">Número da estimativa principal, de acordo com o controle da SEORÇA. </t>
        </r>
      </text>
    </comment>
    <comment ref="H6" authorId="0">
      <text>
        <r>
          <rPr>
            <sz val="9"/>
            <color indexed="81"/>
            <rFont val="Tahoma"/>
            <family val="2"/>
          </rPr>
          <t>Data da conclusão da estimativa</t>
        </r>
      </text>
    </comment>
    <comment ref="C7" authorId="0">
      <text>
        <r>
          <rPr>
            <sz val="9"/>
            <color indexed="81"/>
            <rFont val="Tahoma"/>
            <family val="2"/>
          </rPr>
          <t>Nome dado a esta planilha estimativa parcial</t>
        </r>
      </text>
    </comment>
    <comment ref="H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text>
        <r>
          <rPr>
            <sz val="9"/>
            <color indexed="81"/>
            <rFont val="Tahoma"/>
            <family val="2"/>
          </rPr>
          <t>Encargos trabalhistas da tabela SINAPI em vigor aprovada pela Diretoria colegiada da NOVACAP</t>
        </r>
      </text>
    </comment>
    <comment ref="E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text>
        <r>
          <rPr>
            <sz val="9"/>
            <color indexed="81"/>
            <rFont val="Tahoma"/>
            <family val="2"/>
          </rPr>
          <t>Tabela de referência em vigor aprovada pela Diretoria colegiada da NOVACAP</t>
        </r>
      </text>
    </comment>
    <comment ref="B1963"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5.xml><?xml version="1.0" encoding="utf-8"?>
<comments xmlns="http://schemas.openxmlformats.org/spreadsheetml/2006/main">
  <authors>
    <author>ivanr</author>
    <author>thelma.parada</author>
  </authors>
  <commentList>
    <comment ref="B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C6" authorId="0">
      <text>
        <r>
          <rPr>
            <sz val="9"/>
            <color indexed="81"/>
            <rFont val="Tahoma"/>
            <family val="2"/>
          </rPr>
          <t xml:space="preserve">Número da estimativa principal, de acordo com o controle da SEORÇA. </t>
        </r>
      </text>
    </comment>
    <comment ref="H6" authorId="0">
      <text>
        <r>
          <rPr>
            <sz val="9"/>
            <color indexed="81"/>
            <rFont val="Tahoma"/>
            <family val="2"/>
          </rPr>
          <t>Data da conclusão da estimativa</t>
        </r>
      </text>
    </comment>
    <comment ref="C7" authorId="0">
      <text>
        <r>
          <rPr>
            <sz val="9"/>
            <color indexed="81"/>
            <rFont val="Tahoma"/>
            <family val="2"/>
          </rPr>
          <t>Nome dado a esta planilha estimativa parcial</t>
        </r>
      </text>
    </comment>
    <comment ref="H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C8" authorId="0">
      <text>
        <r>
          <rPr>
            <sz val="9"/>
            <color indexed="81"/>
            <rFont val="Tahoma"/>
            <family val="2"/>
          </rPr>
          <t>Encargos trabalhistas da tabela SINAPI em vigor aprovada pela Diretoria colegiada da NOVACAP</t>
        </r>
      </text>
    </comment>
    <comment ref="E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H8" authorId="0">
      <text>
        <r>
          <rPr>
            <sz val="9"/>
            <color indexed="81"/>
            <rFont val="Tahoma"/>
            <family val="2"/>
          </rPr>
          <t>Tabela de referência em vigor aprovada pela Diretoria colegiada da NOVACAP</t>
        </r>
      </text>
    </comment>
    <comment ref="B527"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6.xml><?xml version="1.0" encoding="utf-8"?>
<comments xmlns="http://schemas.openxmlformats.org/spreadsheetml/2006/main">
  <authors>
    <author>ivanr</author>
    <author>thelma.parada</author>
  </authors>
  <commentList>
    <comment ref="B6" authorId="0">
      <text>
        <r>
          <rPr>
            <sz val="9"/>
            <color indexed="81"/>
            <rFont val="Tahoma"/>
            <family val="2"/>
          </rPr>
          <t>Número da estimativa parcial de acordo com o controle da SEORÇA</t>
        </r>
      </text>
    </comment>
    <comment ref="G6" authorId="0">
      <text>
        <r>
          <rPr>
            <sz val="9"/>
            <color indexed="81"/>
            <rFont val="Tahoma"/>
            <family val="2"/>
          </rPr>
          <t>Data da conclusão da estimativa</t>
        </r>
      </text>
    </comment>
    <comment ref="B7" authorId="0">
      <text>
        <r>
          <rPr>
            <sz val="9"/>
            <color indexed="81"/>
            <rFont val="Tahoma"/>
            <family val="2"/>
          </rPr>
          <t>Nome dado a esta planilha estimativa parcial</t>
        </r>
      </text>
    </comment>
    <comment ref="G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A530"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7.xml><?xml version="1.0" encoding="utf-8"?>
<comments xmlns="http://schemas.openxmlformats.org/spreadsheetml/2006/main">
  <authors>
    <author>alvaro.santos</author>
    <author>ivanr</author>
  </authors>
  <commentList>
    <comment ref="A48" authorId="0">
      <text>
        <r>
          <rPr>
            <b/>
            <sz val="9"/>
            <color indexed="81"/>
            <rFont val="Tahoma"/>
            <family val="2"/>
          </rPr>
          <t>PÁGINA 06 DO PDF</t>
        </r>
      </text>
    </comment>
    <comment ref="C48" authorId="0">
      <text>
        <r>
          <rPr>
            <b/>
            <sz val="9"/>
            <color indexed="81"/>
            <rFont val="Tahoma"/>
            <family val="2"/>
          </rPr>
          <t xml:space="preserve">PÁGINA 06 DO PDF
</t>
        </r>
      </text>
    </comment>
    <comment ref="E48" authorId="0">
      <text>
        <r>
          <rPr>
            <b/>
            <sz val="9"/>
            <color indexed="81"/>
            <rFont val="Tahoma"/>
            <family val="2"/>
          </rPr>
          <t>PÁGINA 06 DO PDF</t>
        </r>
      </text>
    </comment>
    <comment ref="G48" authorId="0">
      <text>
        <r>
          <rPr>
            <b/>
            <sz val="9"/>
            <color indexed="81"/>
            <rFont val="Tahoma"/>
            <family val="2"/>
          </rPr>
          <t xml:space="preserve">PÁGINA 06 DO PDF
</t>
        </r>
      </text>
    </comment>
    <comment ref="A56" authorId="0">
      <text>
        <r>
          <rPr>
            <b/>
            <sz val="9"/>
            <color indexed="81"/>
            <rFont val="Tahoma"/>
            <family val="2"/>
          </rPr>
          <t>PÁGINA 06 DO PDF</t>
        </r>
      </text>
    </comment>
    <comment ref="C56" authorId="0">
      <text>
        <r>
          <rPr>
            <b/>
            <sz val="9"/>
            <color indexed="81"/>
            <rFont val="Tahoma"/>
            <family val="2"/>
          </rPr>
          <t xml:space="preserve">PÁGINA 06 DO PDF
</t>
        </r>
      </text>
    </comment>
    <comment ref="E56" authorId="0">
      <text>
        <r>
          <rPr>
            <b/>
            <sz val="9"/>
            <color indexed="81"/>
            <rFont val="Tahoma"/>
            <family val="2"/>
          </rPr>
          <t>PÁGINA 06 DO PDF</t>
        </r>
      </text>
    </comment>
    <comment ref="G56" authorId="0">
      <text>
        <r>
          <rPr>
            <b/>
            <sz val="9"/>
            <color indexed="81"/>
            <rFont val="Tahoma"/>
            <family val="2"/>
          </rPr>
          <t xml:space="preserve">PÁGINA 06 DO PDF
</t>
        </r>
      </text>
    </comment>
    <comment ref="A64" authorId="0">
      <text>
        <r>
          <rPr>
            <b/>
            <sz val="9"/>
            <color indexed="81"/>
            <rFont val="Tahoma"/>
            <family val="2"/>
          </rPr>
          <t>PÁGINA 06 DO PDF</t>
        </r>
      </text>
    </comment>
    <comment ref="C64" authorId="0">
      <text>
        <r>
          <rPr>
            <b/>
            <sz val="9"/>
            <color indexed="81"/>
            <rFont val="Tahoma"/>
            <family val="2"/>
          </rPr>
          <t xml:space="preserve">PÁGINA 06 DO PDF
</t>
        </r>
      </text>
    </comment>
    <comment ref="E64" authorId="0">
      <text>
        <r>
          <rPr>
            <b/>
            <sz val="9"/>
            <color indexed="81"/>
            <rFont val="Tahoma"/>
            <family val="2"/>
          </rPr>
          <t>PÁGINA 06 DO PDF</t>
        </r>
      </text>
    </comment>
    <comment ref="G64" authorId="0">
      <text>
        <r>
          <rPr>
            <b/>
            <sz val="9"/>
            <color indexed="81"/>
            <rFont val="Tahoma"/>
            <family val="2"/>
          </rPr>
          <t xml:space="preserve">PÁGINA 06 DO PDF
</t>
        </r>
      </text>
    </comment>
    <comment ref="A72" authorId="0">
      <text>
        <r>
          <rPr>
            <b/>
            <sz val="9"/>
            <color indexed="81"/>
            <rFont val="Tahoma"/>
            <family val="2"/>
          </rPr>
          <t>PÁGINA 06 DO PDF</t>
        </r>
      </text>
    </comment>
    <comment ref="C72" authorId="0">
      <text>
        <r>
          <rPr>
            <b/>
            <sz val="9"/>
            <color indexed="81"/>
            <rFont val="Tahoma"/>
            <family val="2"/>
          </rPr>
          <t xml:space="preserve">PÁGINA 06 DO PDF
</t>
        </r>
      </text>
    </comment>
    <comment ref="E72" authorId="0">
      <text>
        <r>
          <rPr>
            <b/>
            <sz val="9"/>
            <color indexed="81"/>
            <rFont val="Tahoma"/>
            <family val="2"/>
          </rPr>
          <t>PÁGINA 06 DO PDF</t>
        </r>
      </text>
    </comment>
    <comment ref="G72" authorId="0">
      <text>
        <r>
          <rPr>
            <b/>
            <sz val="9"/>
            <color indexed="81"/>
            <rFont val="Tahoma"/>
            <family val="2"/>
          </rPr>
          <t xml:space="preserve">PÁGINA 06 DO PDF
</t>
        </r>
      </text>
    </comment>
    <comment ref="A80" authorId="0">
      <text>
        <r>
          <rPr>
            <b/>
            <sz val="9"/>
            <color indexed="81"/>
            <rFont val="Tahoma"/>
            <family val="2"/>
          </rPr>
          <t>PÁGINA 06 DO PDF</t>
        </r>
      </text>
    </comment>
    <comment ref="C80" authorId="0">
      <text>
        <r>
          <rPr>
            <b/>
            <sz val="9"/>
            <color indexed="81"/>
            <rFont val="Tahoma"/>
            <family val="2"/>
          </rPr>
          <t xml:space="preserve">PÁGINA 06 DO PDF
</t>
        </r>
      </text>
    </comment>
    <comment ref="E80" authorId="0">
      <text>
        <r>
          <rPr>
            <b/>
            <sz val="9"/>
            <color indexed="81"/>
            <rFont val="Tahoma"/>
            <family val="2"/>
          </rPr>
          <t>PÁGINA 06 DO PDF</t>
        </r>
      </text>
    </comment>
    <comment ref="G80" authorId="0">
      <text>
        <r>
          <rPr>
            <b/>
            <sz val="9"/>
            <color indexed="81"/>
            <rFont val="Tahoma"/>
            <family val="2"/>
          </rPr>
          <t xml:space="preserve">PÁGINA 06 DO PDF
</t>
        </r>
      </text>
    </comment>
    <comment ref="A88" authorId="0">
      <text>
        <r>
          <rPr>
            <b/>
            <sz val="9"/>
            <color indexed="81"/>
            <rFont val="Tahoma"/>
            <family val="2"/>
          </rPr>
          <t>PÁGINA 06 DO PDF</t>
        </r>
      </text>
    </comment>
    <comment ref="C88" authorId="0">
      <text>
        <r>
          <rPr>
            <b/>
            <sz val="9"/>
            <color indexed="81"/>
            <rFont val="Tahoma"/>
            <family val="2"/>
          </rPr>
          <t xml:space="preserve">PÁGINA 06 DO PDF
</t>
        </r>
      </text>
    </comment>
    <comment ref="E88" authorId="0">
      <text>
        <r>
          <rPr>
            <b/>
            <sz val="9"/>
            <color indexed="81"/>
            <rFont val="Tahoma"/>
            <family val="2"/>
          </rPr>
          <t>PÁGINA 06 DO PDF</t>
        </r>
      </text>
    </comment>
    <comment ref="G88" authorId="0">
      <text>
        <r>
          <rPr>
            <b/>
            <sz val="9"/>
            <color indexed="81"/>
            <rFont val="Tahoma"/>
            <family val="2"/>
          </rPr>
          <t xml:space="preserve">PÁGINA 06 DO PDF
</t>
        </r>
      </text>
    </comment>
    <comment ref="A96" authorId="0">
      <text>
        <r>
          <rPr>
            <b/>
            <sz val="9"/>
            <color indexed="81"/>
            <rFont val="Tahoma"/>
            <family val="2"/>
          </rPr>
          <t>PÁGINA 06 DO PDF</t>
        </r>
      </text>
    </comment>
    <comment ref="C96" authorId="0">
      <text>
        <r>
          <rPr>
            <b/>
            <sz val="9"/>
            <color indexed="81"/>
            <rFont val="Tahoma"/>
            <family val="2"/>
          </rPr>
          <t xml:space="preserve">PÁGINA 06 DO PDF
</t>
        </r>
      </text>
    </comment>
    <comment ref="E96" authorId="0">
      <text>
        <r>
          <rPr>
            <b/>
            <sz val="9"/>
            <color indexed="81"/>
            <rFont val="Tahoma"/>
            <family val="2"/>
          </rPr>
          <t>PÁGINA 06 DO PDF</t>
        </r>
      </text>
    </comment>
    <comment ref="G96" authorId="0">
      <text>
        <r>
          <rPr>
            <b/>
            <sz val="9"/>
            <color indexed="81"/>
            <rFont val="Tahoma"/>
            <family val="2"/>
          </rPr>
          <t xml:space="preserve">PÁGINA 06 DO PDF
</t>
        </r>
      </text>
    </comment>
    <comment ref="A104" authorId="0">
      <text>
        <r>
          <rPr>
            <b/>
            <sz val="9"/>
            <color indexed="81"/>
            <rFont val="Tahoma"/>
            <family val="2"/>
          </rPr>
          <t>PÁGINA 06 DO PDF</t>
        </r>
      </text>
    </comment>
    <comment ref="C104" authorId="0">
      <text>
        <r>
          <rPr>
            <b/>
            <sz val="9"/>
            <color indexed="81"/>
            <rFont val="Tahoma"/>
            <family val="2"/>
          </rPr>
          <t xml:space="preserve">PÁGINA 06 DO PDF
</t>
        </r>
      </text>
    </comment>
    <comment ref="E104" authorId="0">
      <text>
        <r>
          <rPr>
            <b/>
            <sz val="9"/>
            <color indexed="81"/>
            <rFont val="Tahoma"/>
            <family val="2"/>
          </rPr>
          <t>PÁGINA 06 DO PDF</t>
        </r>
      </text>
    </comment>
    <comment ref="G104" authorId="0">
      <text>
        <r>
          <rPr>
            <b/>
            <sz val="9"/>
            <color indexed="81"/>
            <rFont val="Tahoma"/>
            <family val="2"/>
          </rPr>
          <t xml:space="preserve">PÁGINA 06 DO PDF
</t>
        </r>
      </text>
    </comment>
    <comment ref="A109" authorId="1">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8.xml><?xml version="1.0" encoding="utf-8"?>
<comments xmlns="http://schemas.openxmlformats.org/spreadsheetml/2006/main">
  <authors>
    <author>ivanr</author>
    <author>thelma.parada</author>
    <author>Gilmar</author>
  </authors>
  <commentList>
    <comment ref="A4"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B5" authorId="0">
      <text>
        <r>
          <rPr>
            <sz val="9"/>
            <color indexed="81"/>
            <rFont val="Tahoma"/>
            <family val="2"/>
          </rPr>
          <t xml:space="preserve">Número da estimativa principal, de acordo com o controle da SEORÇA. </t>
        </r>
      </text>
    </comment>
    <comment ref="M5" authorId="0">
      <text>
        <r>
          <rPr>
            <sz val="9"/>
            <color indexed="81"/>
            <rFont val="Tahoma"/>
            <family val="2"/>
          </rPr>
          <t>Data da conclusão da estimativa</t>
        </r>
      </text>
    </comment>
    <comment ref="B6" authorId="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G6"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B7" authorId="0">
      <text>
        <r>
          <rPr>
            <sz val="9"/>
            <color indexed="81"/>
            <rFont val="Tahoma"/>
            <family val="2"/>
          </rPr>
          <t>Encargos trabalhistas da tabela SINAPI em vigor aprovada pela Diretoria colegiada da NOVACAP</t>
        </r>
      </text>
    </comment>
    <comment ref="H25" authorId="2">
      <text>
        <r>
          <rPr>
            <b/>
            <sz val="9"/>
            <color indexed="81"/>
            <rFont val="Segoe UI"/>
            <family val="2"/>
          </rPr>
          <t>Gilmar:</t>
        </r>
        <r>
          <rPr>
            <sz val="9"/>
            <color indexed="81"/>
            <rFont val="Segoe UI"/>
            <family val="2"/>
          </rPr>
          <t xml:space="preserve">
Esse mês a empresa fará o pagmto da aquisição das estacas prancha.</t>
        </r>
      </text>
    </comment>
    <comment ref="G55" authorId="2">
      <text>
        <r>
          <rPr>
            <b/>
            <sz val="9"/>
            <color indexed="81"/>
            <rFont val="Segoe UI"/>
            <family val="2"/>
          </rPr>
          <t>Gilmar:</t>
        </r>
        <r>
          <rPr>
            <sz val="9"/>
            <color indexed="81"/>
            <rFont val="Segoe UI"/>
            <family val="2"/>
          </rPr>
          <t xml:space="preserve">
Referente a plotagem de projetos</t>
        </r>
      </text>
    </comment>
    <comment ref="M118" authorId="2">
      <text>
        <r>
          <rPr>
            <b/>
            <sz val="9"/>
            <color indexed="81"/>
            <rFont val="Segoe UI"/>
            <family val="2"/>
          </rPr>
          <t>Gilmar:</t>
        </r>
        <r>
          <rPr>
            <sz val="9"/>
            <color indexed="81"/>
            <rFont val="Segoe UI"/>
            <family val="2"/>
          </rPr>
          <t xml:space="preserve">
Limpeza da ponte</t>
        </r>
      </text>
    </comment>
    <comment ref="A135"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comments9.xml><?xml version="1.0" encoding="utf-8"?>
<comments xmlns="http://schemas.openxmlformats.org/spreadsheetml/2006/main">
  <authors>
    <author>ivanr</author>
    <author>thelma.parada</author>
  </authors>
  <commentList>
    <comment ref="A5" authorId="0">
      <text>
        <r>
          <rPr>
            <b/>
            <sz val="9"/>
            <color indexed="81"/>
            <rFont val="Tahoma"/>
            <family val="2"/>
          </rPr>
          <t xml:space="preserve">Título: PLANILHA DE COMPOSIÇÕES.
</t>
        </r>
        <r>
          <rPr>
            <b/>
            <u/>
            <sz val="9"/>
            <color indexed="81"/>
            <rFont val="Tahoma"/>
            <family val="2"/>
          </rPr>
          <t>OBS</t>
        </r>
        <r>
          <rPr>
            <b/>
            <sz val="9"/>
            <color indexed="81"/>
            <rFont val="Tahoma"/>
            <family val="2"/>
          </rPr>
          <t xml:space="preserve">: </t>
        </r>
        <r>
          <rPr>
            <sz val="9"/>
            <color indexed="81"/>
            <rFont val="Tahoma"/>
            <family val="2"/>
          </rPr>
          <t>Caso queira o título poderá ser mais específico, por exemplo:  "PLANILHA DE COMPOSIÇÕES - ARQUITETURA", "PLANILHA DE COMPOSIÇÕES - INSTALAÇÕES", "PLANILHA DE COMPOSIÇÕES - IMPLANTAÇÃO", etc.</t>
        </r>
      </text>
    </comment>
    <comment ref="B6" authorId="0">
      <text>
        <r>
          <rPr>
            <sz val="9"/>
            <color indexed="81"/>
            <rFont val="Tahoma"/>
            <family val="2"/>
          </rPr>
          <t xml:space="preserve">Número da estimativa principal, de acordo com o controle da SEORÇA. </t>
        </r>
      </text>
    </comment>
    <comment ref="I6" authorId="0">
      <text>
        <r>
          <rPr>
            <sz val="9"/>
            <color indexed="81"/>
            <rFont val="Tahoma"/>
            <family val="2"/>
          </rPr>
          <t>Data da conclusão da estimativa</t>
        </r>
      </text>
    </comment>
    <comment ref="B7" authorId="0">
      <text>
        <r>
          <rPr>
            <sz val="9"/>
            <color indexed="81"/>
            <rFont val="Tahoma"/>
            <family val="2"/>
          </rPr>
          <t xml:space="preserve">Nome da estimativa contendo de forma completa o conteúdo do que está sendo orçado.
</t>
        </r>
        <r>
          <rPr>
            <b/>
            <u/>
            <sz val="9"/>
            <color indexed="81"/>
            <rFont val="Tahoma"/>
            <family val="2"/>
          </rPr>
          <t>Observaçãoes:</t>
        </r>
        <r>
          <rPr>
            <sz val="9"/>
            <color indexed="81"/>
            <rFont val="Tahoma"/>
            <family val="2"/>
          </rPr>
          <t xml:space="preserve">
A descrição do que é dado na estimativa pode ser utilizado na elaboração do objeto da obra, serviço de engenharia, aquisição de materiais e equipamentos, entre outros.
No nome deverá constar: Construção, Reforma, Revitalização, Ampliação, Demolição, Manutenção, Aquisição, Execução, entre outros.</t>
        </r>
      </text>
    </comment>
    <comment ref="I7" authorId="1">
      <text>
        <r>
          <rPr>
            <sz val="9"/>
            <color indexed="81"/>
            <rFont val="Tahoma"/>
            <family val="2"/>
          </rPr>
          <t xml:space="preserve">NÚMERO DO PROJETO batizado pela Coordenação de arquivos da DITEC
</t>
        </r>
        <r>
          <rPr>
            <b/>
            <u/>
            <sz val="9"/>
            <color indexed="81"/>
            <rFont val="Tahoma"/>
            <family val="2"/>
          </rPr>
          <t>Obs.</t>
        </r>
        <r>
          <rPr>
            <sz val="9"/>
            <color indexed="81"/>
            <rFont val="Tahoma"/>
            <family val="2"/>
          </rPr>
          <t>:  Quando não existir o número do projeto,</t>
        </r>
        <r>
          <rPr>
            <sz val="9"/>
            <color indexed="10"/>
            <rFont val="Tahoma"/>
            <family val="2"/>
          </rPr>
          <t xml:space="preserve"> no início da elaboração do orçamento procurar a coordenação de arquivos da DITEC que verificará se o projeto será batizado com um número</t>
        </r>
        <r>
          <rPr>
            <sz val="9"/>
            <color indexed="81"/>
            <rFont val="Tahoma"/>
            <family val="2"/>
          </rPr>
          <t>. Em último caso, este campo poderá ser deixado em branco, mas somente após ser consultado e autorizado pela coordenação de arquivos da DITEC que avaliará e decidirá.</t>
        </r>
      </text>
    </comment>
    <comment ref="B8" authorId="0">
      <text>
        <r>
          <rPr>
            <sz val="9"/>
            <color indexed="81"/>
            <rFont val="Tahoma"/>
            <family val="2"/>
          </rPr>
          <t>Encargos trabalhistas da tabela SINAPI em vigor aprovada pela Diretoria colegiada da NOVACAP</t>
        </r>
      </text>
    </comment>
    <comment ref="E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G8" authorId="0">
      <text>
        <r>
          <rPr>
            <sz val="9"/>
            <color indexed="81"/>
            <rFont val="Tahoma"/>
            <family val="2"/>
          </rPr>
          <t xml:space="preserve">Informar BDI=0,00%, pois na capa já consta o valor do BDI.
</t>
        </r>
        <r>
          <rPr>
            <b/>
            <u/>
            <sz val="9"/>
            <color indexed="81"/>
            <rFont val="Tahoma"/>
            <family val="2"/>
          </rPr>
          <t>OBS:</t>
        </r>
        <r>
          <rPr>
            <sz val="9"/>
            <color indexed="81"/>
            <rFont val="Tahoma"/>
            <family val="2"/>
          </rPr>
          <t xml:space="preserve"> Este campo somente será preenchido com valor diferente de zero em situações específicas, devendo obrigatoriamente ser consultado a coordenação.</t>
        </r>
      </text>
    </comment>
    <comment ref="I8" authorId="0">
      <text>
        <r>
          <rPr>
            <sz val="9"/>
            <color indexed="81"/>
            <rFont val="Tahoma"/>
            <family val="2"/>
          </rPr>
          <t>Tabela de referência em vigor aprovada pela Diretoria colegiada da NOVACAP</t>
        </r>
      </text>
    </comment>
    <comment ref="A368" authorId="0">
      <text>
        <r>
          <rPr>
            <sz val="9"/>
            <color indexed="81"/>
            <rFont val="Tahoma"/>
            <family val="2"/>
          </rPr>
          <t xml:space="preserve">Identificação do autor da estimativa:
- título profissional e nome completo;
- nº do CREA ou CAU;
- nº da ART ou RRT;
- nº da matrícula
</t>
        </r>
        <r>
          <rPr>
            <b/>
            <u/>
            <sz val="9"/>
            <color indexed="81"/>
            <rFont val="Tahoma"/>
            <family val="2"/>
          </rPr>
          <t>OBS</t>
        </r>
        <r>
          <rPr>
            <sz val="9"/>
            <color indexed="81"/>
            <rFont val="Tahoma"/>
            <family val="2"/>
          </rPr>
          <t>: para a entrega do orçamento não será aceito com carimbo pessoal, estes dados deverão ser digitados.</t>
        </r>
      </text>
    </comment>
  </commentList>
</comments>
</file>

<file path=xl/sharedStrings.xml><?xml version="1.0" encoding="utf-8"?>
<sst xmlns="http://schemas.openxmlformats.org/spreadsheetml/2006/main" count="68447" uniqueCount="27031">
  <si>
    <t>CÓDIGO</t>
  </si>
  <si>
    <t>DESCRIÇÃO</t>
  </si>
  <si>
    <t>QUANT.</t>
  </si>
  <si>
    <t>PROTEÇÃO E SINALIZAÇÃO</t>
  </si>
  <si>
    <t>L</t>
  </si>
  <si>
    <t>M</t>
  </si>
  <si>
    <t>DATA</t>
  </si>
  <si>
    <t>TELEFONE</t>
  </si>
  <si>
    <t>CNPJ</t>
  </si>
  <si>
    <t>PREÇO</t>
  </si>
  <si>
    <t xml:space="preserve">UN </t>
  </si>
  <si>
    <t>MATERIAL</t>
  </si>
  <si>
    <t>COTAÇÃO</t>
  </si>
  <si>
    <t>TÍTULO:</t>
  </si>
  <si>
    <r>
      <t xml:space="preserve">VER COMENTÁRIOS NAS CÉLULAS ANTES DE PREENCHER. 
</t>
    </r>
    <r>
      <rPr>
        <b/>
        <sz val="16"/>
        <color indexed="10"/>
        <rFont val="Calibri"/>
        <family val="2"/>
      </rPr>
      <t xml:space="preserve">FAVOR MANTER TODOS OS COMENTÁRIOS DAS CÉLULAS PARA FACILITAR A CONFERÊNCIA DO ARQUIVO </t>
    </r>
    <r>
      <rPr>
        <b/>
        <sz val="16"/>
        <color indexed="50"/>
        <rFont val="Calibri"/>
        <family val="2"/>
      </rPr>
      <t xml:space="preserve">
Sempre consultar a Cooordenação de arquivos da DITEC para quaisquer dúvidas. </t>
    </r>
  </si>
  <si>
    <r>
      <rPr>
        <b/>
        <u/>
        <sz val="15"/>
        <rFont val="Calibri"/>
        <family val="2"/>
      </rPr>
      <t xml:space="preserve"> CAPA DA PLANILHA ESTIMATIVA</t>
    </r>
  </si>
  <si>
    <t>Nº PROJETO:</t>
  </si>
  <si>
    <t>NOME  PROJETO:</t>
  </si>
  <si>
    <t>ENDEREÇO:</t>
  </si>
  <si>
    <t>PRAZO:</t>
  </si>
  <si>
    <t xml:space="preserve">DATA:            </t>
  </si>
  <si>
    <t>ORÇAMENTISTA(S):</t>
  </si>
  <si>
    <t>DOCUMENTO E SISPROT:</t>
  </si>
  <si>
    <t>PROCESSO:</t>
  </si>
  <si>
    <t>TABELA REFERÊNCIA:</t>
  </si>
  <si>
    <t>SISOBRAS:</t>
  </si>
  <si>
    <t>OBSERVAÇÕES:</t>
  </si>
  <si>
    <t>RESP. CAPA:</t>
  </si>
  <si>
    <t>NOTAS:</t>
  </si>
  <si>
    <t>*Esta planilha é orientativa. Desta  forma, é de  inteira  responsabilidade do contratado as  quantidades  e  valores  necessários a completa execução da obra.
*Havendo irregularidades neste instrumento, entre em contato com a Ouvidoria de Combate a Corrupção, no telefone 0800-6449060</t>
  </si>
  <si>
    <t>Nº  ESTIMATIVA:</t>
  </si>
  <si>
    <t>BDI</t>
  </si>
  <si>
    <t>BENEFÍCIOS E DESPESAS INDIRETAS</t>
  </si>
  <si>
    <t>A</t>
  </si>
  <si>
    <t>Administração Central</t>
  </si>
  <si>
    <t>Seguros + Garantias</t>
  </si>
  <si>
    <t>Riscos</t>
  </si>
  <si>
    <t>Despesas Financeiras</t>
  </si>
  <si>
    <t>B</t>
  </si>
  <si>
    <t>PIS - Programa de Integração Social</t>
  </si>
  <si>
    <t>C</t>
  </si>
  <si>
    <t>Lucro</t>
  </si>
  <si>
    <t>BDI =</t>
  </si>
  <si>
    <t>[(</t>
  </si>
  <si>
    <t>)</t>
  </si>
  <si>
    <t>]</t>
  </si>
  <si>
    <t>X 100</t>
  </si>
  <si>
    <t>(1 - I)</t>
  </si>
  <si>
    <t>AC</t>
  </si>
  <si>
    <t>Taxa representativa das despesas de rateio da Administração Central</t>
  </si>
  <si>
    <t>S</t>
  </si>
  <si>
    <t>Taxa Representativa de Seguros</t>
  </si>
  <si>
    <t>R</t>
  </si>
  <si>
    <t>Taxa Representativa de Riscos</t>
  </si>
  <si>
    <t>G</t>
  </si>
  <si>
    <t>Taxa Representativa de Garantias</t>
  </si>
  <si>
    <t>DF</t>
  </si>
  <si>
    <t>Taxa Representativa de Despesas Financeiras</t>
  </si>
  <si>
    <t>Taxa Representativa de Lucro</t>
  </si>
  <si>
    <t>I</t>
  </si>
  <si>
    <t>Taxa Representativa da Incidênca de Impostos é aplicada sobre o preço de venda da prestação do serviço, enquanto que as demais taxas são aplicadas sobre o custo</t>
  </si>
  <si>
    <t>Nº ESTIMATIVA PARCIAL:</t>
  </si>
  <si>
    <t>DATA:</t>
  </si>
  <si>
    <t>NOME ESTIMATIVA PARCIAL:</t>
  </si>
  <si>
    <t>EQNP 16/20 AE, Lotes  E,F e G - CEILÂNDIA - DF</t>
  </si>
  <si>
    <t>ÁREA:</t>
  </si>
  <si>
    <r>
      <t xml:space="preserve">ENCARGOS </t>
    </r>
    <r>
      <rPr>
        <b/>
        <sz val="10"/>
        <rFont val="Calibri"/>
        <family val="2"/>
      </rPr>
      <t>TRABALHISTAS:</t>
    </r>
  </si>
  <si>
    <t xml:space="preserve"> B.D.I. :</t>
  </si>
  <si>
    <t>0,00%</t>
  </si>
  <si>
    <t>TAB. REF.:</t>
  </si>
  <si>
    <t>SUBTOTAL (Divisão):</t>
  </si>
  <si>
    <t xml:space="preserve">TOTAL GERAL: </t>
  </si>
  <si>
    <t>ITEM</t>
  </si>
  <si>
    <t xml:space="preserve">01.00.000 </t>
  </si>
  <si>
    <t xml:space="preserve">02.01.200 </t>
  </si>
  <si>
    <t>LIGAÇÕES PROVISÓRIAS</t>
  </si>
  <si>
    <t xml:space="preserve">09.00.000 </t>
  </si>
  <si>
    <t>SERVIÇOS COMPLEMENTARES</t>
  </si>
  <si>
    <t>LIMPEZA DE OBRAS</t>
  </si>
  <si>
    <r>
      <t>ESTIMATIVAS DIRETORIA DE EDIFICAÇÕES</t>
    </r>
    <r>
      <rPr>
        <b/>
        <i/>
        <sz val="13"/>
        <rFont val="Calibri"/>
        <family val="2"/>
      </rPr>
      <t>:</t>
    </r>
  </si>
  <si>
    <t>02.01.400.1</t>
  </si>
  <si>
    <t>09.02.100.1</t>
  </si>
  <si>
    <t>Nº ESTIMATIVA PRINCIPAL:</t>
  </si>
  <si>
    <r>
      <t>ENCARGOS</t>
    </r>
    <r>
      <rPr>
        <b/>
        <sz val="10"/>
        <rFont val="Calibri"/>
        <family val="2"/>
      </rPr>
      <t xml:space="preserve"> TRABALHISTAS:</t>
    </r>
  </si>
  <si>
    <t xml:space="preserve">SER.CG </t>
  </si>
  <si>
    <t>SERVENTE COM ENCARGOS COMPLEMENTARES</t>
  </si>
  <si>
    <t>PEDREIRO COM ENCARGOS COMPLEMENTARES</t>
  </si>
  <si>
    <t>AUXILIAR DE ENCANADOR OU BOMBEIRO HIDRÁULICO COM ENCARGOS COMPLEMENTARES</t>
  </si>
  <si>
    <t>ENCANADOR OU BOMBEIRO HIDRÁULICO COM ENCARGOS COMPLEMENTARES</t>
  </si>
  <si>
    <t>KG</t>
  </si>
  <si>
    <t>UN</t>
  </si>
  <si>
    <t>00.776.574/0006-60</t>
  </si>
  <si>
    <t>REGISTRO DE GAVETA BRUTO, LATÃO, ROSCÁVEL, 3/4", FORNECIDO E INSTALADO EM RAMAL DE ÁGUA. AF_12/2014</t>
  </si>
  <si>
    <t>PREPARO DE FUNDO DE VALA COM LARGURA MENOR QUE 1,5 M, EM LOCAL COM NÍVEL BAIXO DE INTERFERÊNCIA. AF_06/2016</t>
  </si>
  <si>
    <t>INSTALACAO DE CONJ.MOTO BOMBA HORIZONTAL ATE 10 CV</t>
  </si>
  <si>
    <t>INTERRUPTOR SIMPLES (1 MÓDULO), 10A/250V, INCLUINDO SUPORTE E PLACA - FORNECIMENTO E INSTALAÇÃO. AF_12/2015</t>
  </si>
  <si>
    <t>TOMADA ALTA DE EMBUTIR (1 MÓDULO), 2P+T 10 A, INCLUINDO SUPORTE E PLACA - FORNECIMENTO E INSTALAÇÃO. AF_12/2015</t>
  </si>
  <si>
    <t>TOMADA MÉDIA DE EMBUTIR (1 MÓDULO), 2P+T 10 A, INCLUINDO SUPORTE E PLACA - FORNECIMENTO E INSTALAÇÃO. AF_12/2015</t>
  </si>
  <si>
    <t>TOMADA BAIXA DE EMBUTIR (1 MÓDULO), 2P+T 10 A, INCLUINDO SUPORTE E PLACA - FORNECIMENTO E INSTALAÇÃO. AF_12/2015</t>
  </si>
  <si>
    <t>CABO DE COBRE FLEXÍVEL ISOLADO, 2,5 MM², ANTI-CHAMA 450/750 V, PARA CIRCUITOS TERMINAIS - FORNECIMENTO E INSTALAÇÃO. AF_12/2015</t>
  </si>
  <si>
    <t>CABO DE COBRE FLEXÍVEL ISOLADO, 4 MM², ANTI-CHAMA 450/750 V, PARA CIRCUITOS TERMINAIS - FORNECIMENTO E INSTALAÇÃO. AF_12/2015</t>
  </si>
  <si>
    <t>CABO DE COBRE FLEXÍVEL ISOLADO, 6 MM², ANTI-CHAMA 0,6/1,0 KV, PARA CIRCUITOS TERMINAIS - FORNECIMENTO E INSTALAÇÃO. AF_12/2015</t>
  </si>
  <si>
    <t>CABO DE COBRE FLEXÍVEL ISOLADO, 35 MM², ANTI-CHAMA 0,6/1,0 KV, PARA DISTRIBUIÇÃO - FORNECIMENTO E INSTALAÇÃO. AF_12/2015</t>
  </si>
  <si>
    <t>CAIXA DE PASSAGEM 30X30X40 COM TAMPA E DRENO BRITA</t>
  </si>
  <si>
    <t>CAIXA RETANGULAR 4" X 2" BAIXA (0,30 M DO PISO), PVC, INSTALADA EM PAREDE - FORNECIMENTO E INSTALAÇÃO. AF_12/2015</t>
  </si>
  <si>
    <t>RASGO EM ALVENARIA PARA RAMAIS/ DISTRIBUIÇÃO COM DIAMETROS MENORES OU IGUAIS A 40 MM. AF_05/2015</t>
  </si>
  <si>
    <t>RASGO EM CONTRAPISO PARA RAMAIS/ DISTRIBUIÇÃO COM DIÂMETROS MENORES OU IGUAIS A 40 MM.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</si>
  <si>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</si>
  <si>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</si>
  <si>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</si>
  <si>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RASGO EM ALVENARIA PARA RAMAIS/ DISTRIBUIÇÃO COM DIÂMETROS MAIORES QUE 40 MM E MENORES OU IGUAIS A 75 MM. AF_05/2015</t>
  </si>
  <si>
    <t>DUTO ESPIRAL FLEXIVEL SINGELO PEAD D=50MM(2") REVESTIDO COM PVC COM FIO GUIA DE ACO GALVANIZADO, LANCADO DIRETO NO SOLO, INCL CONEXOES</t>
  </si>
  <si>
    <t>CAIXA ENTERRADA PARA INSTALACOES TELEFONICAS TIPO R1 0,60X0,35X0,50M EM BLOCOS DE CONCRETO ESTRUTURAL</t>
  </si>
  <si>
    <t>TAMPAO FOFO P/ CAIXA R1 PADRAO TELEBRAS COMPLETO - FORNECIMENTO E INSTALACAO</t>
  </si>
  <si>
    <t>CAIXA RETANGULAR 4" X 2" ALTA (2,00 M DO PISO), PVC, INSTALADA EM PAREDE - FORNECIMENTO E INSTALAÇÃO. AF_12/2015</t>
  </si>
  <si>
    <t>CAIXA RETANGULAR 4" X 2" MÉDIA (1,30 M DO PISO), PVC, INSTALADA EM PAREDE - FORNECIMENTO E INSTALAÇÃO. AF_12/2015</t>
  </si>
  <si>
    <t>MANOMETRO 0 A 200 PSI (0 A 14 KGF/CM2), D = 50MM - FORNECIMENTO E COLOCACAO</t>
  </si>
  <si>
    <t>TUBO DE AÇO GALVANIZADO COM COSTURA, CLASSE MÉDIA, DN 65 (2 1/2"), CONEXÃO ROSQUEADA, INSTALADO EM REDE DE ALIMENTAÇÃO PARA HIDRANTE - FORNECIMENTO E INSTALAÇÃO. AF_12/2015</t>
  </si>
  <si>
    <t>NIPLE, EM FERRO GALVANIZADO, DN 65 (2 1/2"), CONEXÃO ROSQUEADA, INSTALADO EM REDE DE ALIMENTAÇÃO PARA HIDRANTE - FORNECIMENTO E INSTALAÇÃO. AF_12/2015</t>
  </si>
  <si>
    <t>JOELHO 90 GRAUS, EM FERRO GALVANIZADO, DN 65 (2 1/2"), CONEXÃO ROSQUEADA, INSTALADO EM REDE DE ALIMENTAÇÃO PARA HIDRANTE - FORNECIMENTO E INSTALAÇÃO. AF_12/2015</t>
  </si>
  <si>
    <t>TÊ, EM FERRO GALVANIZADO, CONEXÃO ROSQUEADA, DN 65 (2 1/2"), INSTALADO EM REDE DE ALIMENTAÇÃO PARA HIDRANTE - FORNECIMENTO E INSTALAÇÃO. AF_12/2015</t>
  </si>
  <si>
    <t>LUVA, EM FERRO GALVANIZADO, CONEXÃO ROSQUEADA, DN 65 (2 1/2"), INSTALADO EM REDE DE ALIMENTAÇÃO PARA SPRINKLER - FORNECIMENTO E INSTALAÇÃO. AF_12/2015</t>
  </si>
  <si>
    <t>EXTINTOR INCENDIO TP PO QUIMICO 6KG - FORNECIMENTO E INSTALACAO</t>
  </si>
  <si>
    <t>Observação:</t>
  </si>
  <si>
    <t>BARRA LISA COM ARGAMASSA TRACO 1:4 (CIMENTO E AREIA GROSSA), ESPESSURA 2,0CM, INCLUSO ADITIVO IMPERMEABILIZANTE, PREPARO MECANICO DA ARGAMASSA</t>
  </si>
  <si>
    <t>ALVENARIA EM TIJOLO CERAMICO MACICO 5X10X20CM 1/2 VEZ (ESPESSURA 10CM), ASSENTADO COM ARGAMASSA TRACO 1:2:8 (CIMENTO, CAL E AREIA)</t>
  </si>
  <si>
    <t>LANÇAMENTO COM USO DE BALDES, ADENSAMENTO E ACABAMENTO DE CONCRETO EM ESTRUTURAS. AF_12/2015</t>
  </si>
  <si>
    <t>AUXILIAR DE ELETRICISTA COM ENCARGOS COMPLEMENTARES</t>
  </si>
  <si>
    <t>ELETRICISTA COM ENCARGOS COMPLEMENTARES</t>
  </si>
  <si>
    <t>MONTADOR (TUBO AÇO/EQUIPAMENTOS) COM ENCARGOS COMPLEMENTARES</t>
  </si>
  <si>
    <t>SERVIÇOS TÉCNICO-PROFISSIONAIS</t>
  </si>
  <si>
    <t>EXECUÇÃO DE RESERVATÓRIO ELEVADO DE ÁGUA (1000 LITROS) EM CANTEIRO DE OBRA, APOIADO EM ESTRUTURA DE MADEIRA. AF_02/2016</t>
  </si>
  <si>
    <t>PLACA DE OBRA EM CHAPA DE ACO GALVANIZADO</t>
  </si>
  <si>
    <t>ALMOXARIFE COM ENCARGOS COMPLEMENTARES</t>
  </si>
  <si>
    <t>MESTRE DE OBRAS COM ENCARGOS COMPLEMENTARES</t>
  </si>
  <si>
    <t>UNID.</t>
  </si>
  <si>
    <t>CARPINTEIRO DE FORMAS COM ENCARGOS COMPLEMENTARES</t>
  </si>
  <si>
    <t>VIGIA NOTURNO COM ENCARGOS COMPLEMENTARES</t>
  </si>
  <si>
    <t>PREÇO UNIT(R$)</t>
  </si>
  <si>
    <t>PREÇO TOTAL COM BDI (R$)</t>
  </si>
  <si>
    <t>% SIMPLES DO ITEM</t>
  </si>
  <si>
    <t>% ACUMULADO DO ITEM</t>
  </si>
  <si>
    <t>DESCRIÇÃO DOS SERVIÇOS</t>
  </si>
  <si>
    <t>04.00.000</t>
  </si>
  <si>
    <t>ARQUITETURA E ELEMENTOS DE URBANISMO</t>
  </si>
  <si>
    <t>10.00.000</t>
  </si>
  <si>
    <t>PERCENTUAL MENSAL (%)</t>
  </si>
  <si>
    <t>VALOR MENSAL (R$)</t>
  </si>
  <si>
    <t>PERCENTUAL ACUMULADO (%)</t>
  </si>
  <si>
    <t>VALOR ACUMULADO (R$)</t>
  </si>
  <si>
    <t>M2</t>
  </si>
  <si>
    <t>APICOAMENTO MANUAL DE SUPERFICIE DE CONCRETO</t>
  </si>
  <si>
    <t>73903/1</t>
  </si>
  <si>
    <t>04.01.000</t>
  </si>
  <si>
    <t>ARQUITETURA</t>
  </si>
  <si>
    <t>CURVA ABC</t>
  </si>
  <si>
    <t>CRONOGRAMA FISICO FINANCEIRO</t>
  </si>
  <si>
    <t>CUSTO TOTAL</t>
  </si>
  <si>
    <t/>
  </si>
  <si>
    <t>UND</t>
  </si>
  <si>
    <t>COTAÇÕES</t>
  </si>
  <si>
    <t>02.01.400.2</t>
  </si>
  <si>
    <t>FECHAMENTO DE CONSTRUÇÃO TEMPORÁRIA EM CHAPA DE MADEIRA COMPENSADA E=10MM, COM REAPROVEITAMENTO DE 2X.</t>
  </si>
  <si>
    <t>(COMPOSIÇÃO REPRESENTATIVA) DO SERVIÇO DE ALVENARIA DE VEDAÇÃO DE BLOCOS VAZADOS DE CONCRETO DE 14X19X39CM (ESPESSURA 14CM), PARA EDIFICAÇÃO HABITACIONAL UNIFAMILIAR (CASA) E EDIFICAÇÃO PÚBLICA PADRÃO. AF_12/2014</t>
  </si>
  <si>
    <t>(COMPOSIÇÃO REPRESENTATIVA) DO SERVIÇO DE ALVENARIA DE VEDAÇÃO DE BLOCOS VAZADOS DE CERÂMICA DE 9X19X19CM (ESPESSURA 9CM), PARA EDIFICAÇÃO HABITACIONAL UNIFAMILIAR (CASA) E EDIFICAÇÃO PÚBLICA PADRÃO. AF_11/2014</t>
  </si>
  <si>
    <t>FIXAÇÃO (ENCUNHAMENTO) DE ALVENARIA DE VEDAÇÃO COM TIJOLO MACIÇO. AF_03/2016</t>
  </si>
  <si>
    <t>MARMORISTA/GRANITEIRO COM ENCARGOS COMPLEMENTARES</t>
  </si>
  <si>
    <t>H</t>
  </si>
  <si>
    <t>ENTRADA PROVISORIA DE ENERGIA ELETRICA AEREA TRIFASICA 40A EM POSTE MADEIRA</t>
  </si>
  <si>
    <t>VIDRO ARAMADO, ESPESSURA 7MM</t>
  </si>
  <si>
    <t>MAT.</t>
  </si>
  <si>
    <t>SERRALHEIRO COM ENCARGOS COMPLEMENTARES</t>
  </si>
  <si>
    <t>M3</t>
  </si>
  <si>
    <t>TARJETA TIPO LIVRE/OCUPADO PARA PORTA DE BANHEIRO</t>
  </si>
  <si>
    <t>REVESTIMENTO EM LAMINADO MELAMINICO TEXTURIZADO, ESPESSURA 0,8 MM, FIXADO COM COLA</t>
  </si>
  <si>
    <t>AUXILIAR DE SERRALHEIRO COM ENCARGOS COMPLEMENTARES</t>
  </si>
  <si>
    <t>ESPELHO CRISTAL ESPESSURA 4MM, COM MOLDURA EM ALUMINIO E COMPENSADO 6MM PLASTIFICADO COLADO</t>
  </si>
  <si>
    <t>TELHADISTA COM ENCARGOS COMPLEMENTARES</t>
  </si>
  <si>
    <t>CHP</t>
  </si>
  <si>
    <t>GUINDASTE HIDRÁULICO AUTOPROPELIDO, COM LANÇA TELESCÓPICA 40 M, CAPACIDADE MÁXIMA 60 T, POTÊNCIA 260 KW - CHP DIURNO. AF_03/2016</t>
  </si>
  <si>
    <t>GUINDASTE HIDRÁULICO AUTOPROPELIDO, COM LANÇA TELESCÓPICA 40 M, CAPACIDADE MÁXIMA 60 T, POTÊNCIA 260 KW - CHI DIURNO. AF_03/2016</t>
  </si>
  <si>
    <t>CHI</t>
  </si>
  <si>
    <t>GUINCHO ELÉTRICO DE COLUNA, CAPACIDADE 400 KG, COM MOTO FREIO, MOTOR TRIFÁSICO DE 1,25 CV - CHP DIURNO. AF_03/2016</t>
  </si>
  <si>
    <t>GUINCHO ELÉTRICO DE COLUNA, CAPACIDADE 400 KG, COM MOTO FREIO, MOTOR TRIFÁSICO DE 1,25 CV - CHI DIURNO. AF_03/2016</t>
  </si>
  <si>
    <t>PINTURA PARA TELHAS DE ALUMINIO COM TINTA ESMALTE AUTOMOTIVA</t>
  </si>
  <si>
    <t>COMPACTACAO MECANICA, SEM CONTROLE DO GC (C/COMPACTADOR PLACA 400 KG)</t>
  </si>
  <si>
    <t>LASTRO DE CONCRETO, PREPARO MECÂNICO, INCLUSOS ADITIVO IMPERMEABILIZANTE, LANÇAMENTO E ADENSAMENTO</t>
  </si>
  <si>
    <t>CONTRAPISO EM ARGAMASSA TRAÇO 1:4 (CIMENTO E AREIA), PREPARO MECÂNICO COM BETONEIRA 400 L, APLICADO EM ÁREAS SECAS SOBRE LAJE, ADERIDO, ESPESSURA 2CM. AF_06/2014</t>
  </si>
  <si>
    <t>AZULEJISTA OU LADRILHISTA COM ENCARGOS COMPLEMENTARES</t>
  </si>
  <si>
    <t>PINTURA ACRILICA EM PISO CIMENTADO, TRES DEMAOS</t>
  </si>
  <si>
    <t>PINTURA ACRILICA DE FAIXAS DE DEMARCACAO EM QUADRA POLIESPORTIVA, 5 CM DE LARGURA</t>
  </si>
  <si>
    <t>-</t>
  </si>
  <si>
    <t>APLICAÇÃO E LIXAMENTO DE MASSA LÁTEX EM TETO, DUAS DEMÃOS. AF_06/2014</t>
  </si>
  <si>
    <t>APLICAÇÃO MANUAL DE PINTURA COM TINTA LÁTEX ACRÍLICA EM TETO, DUAS DEMÃOS. AF_06/2014</t>
  </si>
  <si>
    <t>EMBOÇO, PARA RECEBIMENTO DE CERÂMICA, EM ARGAMASSA TRAÇO 1:2:8, PREPARO MECÂNICO COM BETONEIRA 400L, APLICADO MANUALMENTE EM FACES INTERNAS DE PAREDES, PARA AMBIENTE COM ÁREA ENTRE 5M2 E 10M2,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</si>
  <si>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</si>
  <si>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APLICAÇÃO E LIXAMENTO DE MASSA LÁTEX EM PAREDES, DUAS DEMÃOS. AF_06/2014</t>
  </si>
  <si>
    <t>APLICAÇÃO DE FUNDO SELADOR ACRÍLICO EM PAREDES, UMA DEMÃO. AF_06/2014</t>
  </si>
  <si>
    <t>PINTOR COM ENCARGOS COMPLEMENTARES</t>
  </si>
  <si>
    <t>APLICAÇÃO MANUAL DE PINTURA COM TINTA LÁTEX ACRÍLICA EM PAREDES, DUAS DEMÃOS. AF_06/2014</t>
  </si>
  <si>
    <t>EMBOÇO OU MASSA ÚNICA EM ARGAMASSA TRAÇO 1:2:8, PREPARO MECÂNICO COM BETONEIRA 400 L, APLICADA MANUALMENTE EM PANOS DE FACHADA COM PRESENÇA DE VÃOS, ESPESSURA DE 25 MM. AF_06/2014</t>
  </si>
  <si>
    <t>SER.CG</t>
  </si>
  <si>
    <t>CHUVEIRO ELETRICO COMUM CORPO PLASTICO TIPO DUCHA, FORNECIMENTO E INSTALACAO</t>
  </si>
  <si>
    <t>SINALIZACAO HORIZONTAL COM TINTA RETRORREFLETIVA A BASE DE RESINA ACRILICA COM MICROESFERAS DE VIDRO</t>
  </si>
  <si>
    <t>CALCETEIRO COM ENCARGOS COMPLEMENTARES</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</si>
  <si>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</si>
  <si>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</si>
  <si>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EXECUÇÃO DE ESCRITÓRIO EM CANTEIRO DE OBRA EM CHAPA DE MADEIRA COMPENSADA, NÃO INCLUSO MOBILIÁRIO E EQUIPAMENTOS. AF_02/2016</t>
  </si>
  <si>
    <t>EXECUÇÃO DE REFEITÓRIO EM CANTEIRO DE OBRA EM CHAPA DE MADEIRA COMPENSADA, NÃO INCLUSO MOBILIÁRIO E EQUIPAMENTOS. AF_02/2016</t>
  </si>
  <si>
    <t>EXECUÇÃO DE SANITÁRIO E VESTIÁRIO EM CANTEIRO DE OBRA EM CHAPA DE MADEIRA COMPENSADA, NÃO INCLUSO MOBILIÁRIO.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</si>
  <si>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</si>
  <si>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</si>
  <si>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</si>
  <si>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DESMATAMENTO E LIMPEZA MECANIZADA DE TERRENO COM ARVORES ATE Ø 15CM, UTILIZANDO TRATOR DE ESTEIRAS</t>
  </si>
  <si>
    <t>CARGA E DESCARGA MECANIZADAS DE ENTULHO EM CAMINHAO BASCULANTE 6 M3</t>
  </si>
  <si>
    <t>M3XKM</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</si>
  <si>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</si>
  <si>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</si>
  <si>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</si>
  <si>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40MM, INSTALADO EM PRUMADA DE ÁGUA - FORNECIMENTO E INSTALAÇÃO. AF_12/2014</t>
  </si>
  <si>
    <t>TUBO, PVC, SOLDÁVEL, DN 50MM, INSTALADO EM PRUMADA DE ÁGUA - FORNECIMENTO E INSTALAÇÃO. AF_12/2014</t>
  </si>
  <si>
    <t>TUBO, PVC, SOLDÁVEL, DN 60MM, INSTALADO EM PRUMADA DE ÁGUA - FORNECIMENTO E INSTALAÇÃO. AF_12/2014</t>
  </si>
  <si>
    <t>TUBO, PVC, SOLDÁVEL, DN 75MM, INSTALADO EM PRUMADA DE ÁGUA - FORNECIMENTO E INSTALAÇÃO. AF_12/2014</t>
  </si>
  <si>
    <t>JOELHO 90 GRAUS, PVC, SOLDÁVEL, DN 25MM, INSTALADO EM RAMAL DE DISTRIBUIÇÃO DE ÁGUA - FORNECIMENTO E INSTALAÇÃO. AF_12/2014</t>
  </si>
  <si>
    <t>JOELHO 90 GRAUS, PVC, SOLDÁVEL, DN 32MM, INSTALADO EM RAMAL DE DISTRIBUIÇÃO DE ÁGUA - FORNECIMENTO E INSTALAÇÃO. AF_12/2014</t>
  </si>
  <si>
    <t>JOELHO 90 GRAUS, PVC, SOLDÁVEL, DN 40MM, INSTALADO EM PRUMADA DE ÁGUA - FORNECIMENTO E INSTALAÇÃO. AF_12/2014</t>
  </si>
  <si>
    <t>JOELHO 90 GRAUS, PVC, SOLDÁVEL, DN 50MM, INSTALADO EM PRUMADA DE ÁGUA - FORNECIMENTO E INSTALAÇÃO. AF_12/2014</t>
  </si>
  <si>
    <t>JOELHO 90 GRAUS, PVC, SOLDÁVEL, DN 60MM, INSTALADO EM PRUMADA DE ÁGUA - FORNECIMENTO E INSTALAÇÃO. AF_12/2014</t>
  </si>
  <si>
    <t>JOELHO 90 GRAUS, PVC, SOLDÁVEL, DN 75MM, INSTALADO EM PRUMADA DE ÁGUA - FORNECIMENTO E INSTALAÇÃO. AF_12/2014</t>
  </si>
  <si>
    <t>TE, PVC, SOLDÁVEL, DN 25MM, INSTALADO EM RAMAL DE DISTRIBUIÇÃO DE ÁGUA - FORNECIMENTO E INSTALAÇÃO. AF_12/2014</t>
  </si>
  <si>
    <t>TE, PVC, SOLDÁVEL, DN 32MM, INSTALADO EM RAMAL DE DISTRIBUIÇÃO DE ÁGUA - FORNECIMENTO E INSTALAÇÃO. AF_12/2014</t>
  </si>
  <si>
    <t>TE, PVC, SOLDÁVEL, DN 40MM, INSTALADO EM PRUMADA DE ÁGUA - FORNECIMENTO E INSTALAÇÃO. AF_12/2014</t>
  </si>
  <si>
    <t>TE, PVC, SOLDÁVEL, DN 50MM, INSTALADO EM PRUMADA DE ÁGUA - FORNECIMENTO E INSTALAÇÃO. AF_12/2014</t>
  </si>
  <si>
    <t>TE, PVC, SOLDÁVEL, DN 60MM, INSTALADO EM PRUMADA DE ÁGUA - FORNECIMENTO E INSTALAÇÃO. AF_12/2014</t>
  </si>
  <si>
    <t>TE, PVC, SOLDÁVEL, DN 75MM, INSTALADO EM PRUMADA DE ÁGUA - FORNECIMENTO E INSTALAÇÃO. AF_12/2014</t>
  </si>
  <si>
    <t>LUVA DE REDUÇÃO, PVC, SOLDÁVEL, DN 25MM X 20MM, INSTALADO EM RAMAL OU SUB-RAMAL DE ÁGUA - FORNECIMENTO E INSTALAÇÃO. AF_12/2014</t>
  </si>
  <si>
    <t>LUVA DE REDUÇÃO, PVC, SOLDÁVEL, DN 32MM X 25MM, INSTALADO EM RAMAL OU SUB-RAMAL DE ÁGUA - FORNECIMENTO E INSTALAÇÃO. AF_12/2014</t>
  </si>
  <si>
    <t>LUVA DE REDUÇÃO, PVC, SOLDÁVEL, DN 40MM X 32MM, INSTALADO EM PRUMADA DE ÁGUA - FORNECIMENTO E INSTALAÇÃO. AF_12/2014</t>
  </si>
  <si>
    <t>LUVA DE REDUÇÃO, PVC, SOLDÁVEL, DN 60MM X 50MM, INSTALADO EM PRUMADA DE ÁGUA - FORNECIMENTO E INSTALAÇÃO. AF_12/2014</t>
  </si>
  <si>
    <t>FIXAÇÃO DE TUBOS HORIZONTAIS DE PVC, CPVC OU COBRE DIÂMETROS MAIORES QUE 40 MM E MENORES OU IGUAIS A 75 MM COM ABRAÇADEIRA METÁLICA RÍGIDA TIPO D 1 1/2", FIXADA EM PERFILADO EM LAJE. AF_05/2015</t>
  </si>
  <si>
    <t>GRELHA DE FERRO FUNDIDO PARA CANALETA LARG = 30CM, FORNECIMENTO E ASSENTAMENTO</t>
  </si>
  <si>
    <t>ARMACAO EM TELA DE ACO SOLDADA NERVURADA Q-92, ACO CA-60, 4,2MM, MALHA 15X15CM</t>
  </si>
  <si>
    <t>MONTAGEM E DESMONTAGEM DE FÔRMA DE LAJE MACIÇA COM ÁREA MÉDIA MENOR OU IGUAL A 20 M², PÉ-DIREITO SIMPLES, EM CHAPA DE MADEIRA COMPENSADA RESINADA, 2 UTILIZAÇÕES. AF_12/2015</t>
  </si>
  <si>
    <t>EXECUCAO DE DRENO COM MANTA GEOTEXTIL 400 G/M2</t>
  </si>
  <si>
    <t>ESCAVACAO MECANICA DE VALAS (SOLO COM AGUA), PROFUNDIDADE MAIOR QUE 4,00 M ATE 6,00 M.</t>
  </si>
  <si>
    <t>ELETRODUTO RÍGIDO ROSCÁVEL, PVC, DN 25 MM (3/4"), PARA CIRCUITOS TERMINAIS, INSTALADO EM LAJE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</si>
  <si>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</si>
  <si>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</si>
  <si>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CURVA 90 GRAUS PARA ELETRODUTO, PVC, ROSCÁVEL, DN 32 MM (1"), PARA CIRCUITOS TERMINAIS, INSTALADA EM FORRO - FORNECIMENTO E INSTALAÇÃO. AF_12/2015</t>
  </si>
  <si>
    <t>CONDULETE DE ALUMÍNIO, TIPO C, PARA ELETRODUTO DE AÇO GALVANIZADO DN 20 MM (3/4''), APARENTE - FORNECIMENTO E INSTALAÇÃO. AF_11/2016_P</t>
  </si>
  <si>
    <t>CONDULETE DE ALUMÍNIO, TIPO T, PARA ELETRODUTO DE AÇO GALVANIZADO DN 20 MM (3/4''), APARENTE - FORNECIMENTO E INSTALAÇÃO. AF_11/2016_P</t>
  </si>
  <si>
    <t>CONDULETE DE ALUMÍNIO, TIPO E, PARA ELETRODUTO DE AÇO GALVANIZADO DN 20 MM (3/4''), APARENTE - FORNECIMENTO E INSTALAÇÃO. AF_11/2016_P</t>
  </si>
  <si>
    <t>CONDULETE DE ALUMÍNIO, TIPO LR, PARA ELETRODUTO DE AÇO GALVANIZADO DN 20 MM (3/4''), APARENTE - FORNECIMENTO E INSTALAÇÃO. AF_11/2016_P</t>
  </si>
  <si>
    <t>CONDULETE DE ALUMÍNIO, TIPO T, PARA ELETRODUTO DE AÇO GALVANIZADO DN 25 MM (1''), APARENTE - FORNECIMENTO E INSTALAÇÃO. AF_11/2016_P</t>
  </si>
  <si>
    <t>CONDULETE DE ALUMÍNIO, TIPO C, PARA ELETRODUTO DE AÇO GALVANIZADO DN 25 MM (1''), APARENTE - FORNECIMENTO E INSTALAÇÃO. AF_11/2016_P</t>
  </si>
  <si>
    <t>TERMINAL OU CONECTOR DE PRESSAO - PARA CABO 50MM2 - FORNECIMENTO E INSTALACAO</t>
  </si>
  <si>
    <t>CAIXA RETANGULAR 4" X 4" MÉDIA (1,30 M DO PISO), PVC, INSTALADA EM PAREDE - FORNECIMENTO E INSTALAÇÃO. AF_12/2015</t>
  </si>
  <si>
    <t>ELETRODUTO RÍGIDO ROSCÁVEL, PVC, DN 40 MM (1 1/4"), PARA CIRCUITOS TERMINAIS, INSTALADO EM PAREDE - FORNECIMENTO E INSTALAÇÃO. AF_12/2015</t>
  </si>
  <si>
    <t>JOELHO 90 GRAUS, EM FERRO GALVANIZADO, CONEXÃO ROSQUEADA, DN 80 (3"), INSTALADO EM REDE DE ALIMENTAÇÃO PARA HIDRANTE - FORNECIMENTO E INSTALAÇÃO. AF_12/2015</t>
  </si>
  <si>
    <t>TÊ, EM FERRO GALVANIZADO, CONEXÃO ROSQUEADA, DN 80 (3"), INSTALADO EM REDE DE ALIMENTAÇÃO PARA HIDRANTE - FORNECIMENTO E INSTALAÇÃO. AF_12/2015</t>
  </si>
  <si>
    <t>UNIÃO, EM FERRO GALVANIZADO, DN 65 (2 1/2"), CONEXÃO ROSQUEADA, INSTALADO EM REDE DE ALIMENTAÇÃO PARA HIDRANTE - FORNECIMENTO E INSTALAÇÃO. AF_12/2015</t>
  </si>
  <si>
    <t>UNIÃO, EM FERRO GALVANIZADO, DN 80 (3"), CONEXÃO ROSQUEADA, INSTALADO EM REDE DE ALIMENTAÇÃO PARA HIDRANTE - FORNECIMENTO E INSTALAÇÃO. AF_12/2015</t>
  </si>
  <si>
    <t>UNIÃO, EM FERRO GALVANIZADO, DN 25 (1"), CONEXÃO ROSQUEADA, INSTALADO EM REDE DE ALIMENTAÇÃO PARA HIDRANTE - FORNECIMENTO E INSTALAÇÃO. AF_12/2015</t>
  </si>
  <si>
    <t>PINTURA ACRILICA PARA SINALIZAÇÃO HORIZONTAL EM PISO CIMENTADO</t>
  </si>
  <si>
    <t>RASGO EM ALVENARIA PARA ELETRODUTOS COM DIAMETROS MENORES OU IGUAIS A 40 MM. AF_05/2015</t>
  </si>
  <si>
    <t>CURSO DE CAPACITAÇÃO PARA VIGIA NOTURNO (ENCARGOS COMPLEMENTARES) - HORISTA</t>
  </si>
  <si>
    <t>VIGIA DIURNO COM ENCARGOS COMPLEMENTARES</t>
  </si>
  <si>
    <t>VALOR ADOTADO</t>
  </si>
  <si>
    <t>30% MAIOR</t>
  </si>
  <si>
    <t>30%MENOR</t>
  </si>
  <si>
    <t>ASSENTAMENTO DE GUIA (MEIO-FIO) EM TRECHO RETO, CONFECCIONADA EM CONCRETO PRÉ-FABRICADO, DIMENSÕES 100X15X13X20 CM (COMPRIMENTO X BASE INFERIOR X BASE SUPERIOR X ALTURA), PARA URBANIZAÇÃO INTERNA DE EMPREENDIMENTOS. AF_06/2016_P</t>
  </si>
  <si>
    <t>MEDIANA</t>
  </si>
  <si>
    <t>CONTATO</t>
  </si>
  <si>
    <t>TUBO DE PVC PARA REDE COLETORA DE ESGOTO DE PAREDE MACIÇA, DN 100 MM, JUNTA ELÁSTICA, INSTALADO EM LOCAL COM NÍVEL BAIXO DE INTERFERÊNCIAS - FORNECIMENTO E ASSENTAMENTO. AF_06/2015</t>
  </si>
  <si>
    <t>TUBO DE CONCRETO PARA REDES COLETORAS DE ÁGUAS PLUVIAIS, DIÂMETRO DE 300MM, JUNTA RÍGIDA, INSTALADO EM LOCAL COM BAIXO NÍVEL DE INTERFERÊNCIAS - FORNECIMENTO E ASSENTAMENTO. AF_12/2015</t>
  </si>
  <si>
    <t>TUBO DE CONCRETO PARA REDES COLETORAS DE ÁGUAS PLUVIAIS, DIÂMETRO DE 400 MM, JUNTA RÍGIDA, INSTALADO EM LOCAL COM BAIXO NÍVEL DE INTERFERÊNCIAS - FORNECIMENTO E ASSENTAMENTO. AF_12/2015</t>
  </si>
  <si>
    <t>BOCA DE LOBO EM ALVENARIA TIJOLO MACICO, REVESTIDA C/ ARGAMASSA DE CIMENTO E AREIA 1:3, SOBRE LASTRO DE CONCRETO 10CM E TAMPA DE CONCRETO ARMADO</t>
  </si>
  <si>
    <t>POLIDORA DE PISO (POLITRIZ), PESO DE 100KG, DIÂMETRO 450 MM, MOTOR ELÉTRICO, POTÊNCIA 4 HP - CHP DIURNO. AF_09/2016</t>
  </si>
  <si>
    <t>POLIDORA DE PISO (POLITRIZ), PESO DE 100KG, DIÂMETRO 450 MM, MOTOR ELÉTRICO, POTÊNCIA 4 HP - CHI DIURNO. AF_09/2016</t>
  </si>
  <si>
    <t>LANCAMENTO/APLICACAO MANUAL DE CONCRETO EM FUNDACOES</t>
  </si>
  <si>
    <t>IMPERMEABILIZACAO DE ESTRUTURAS ENTERRADAS, COM TINTA ASFALTICA, DUAS DEMAOS.</t>
  </si>
  <si>
    <t>MONTAGEM E DESMONTAGEM DE FÔRMA DE PILARES RETANGULARES E ESTRUTURAS SIMILARES COM ÁREA MÉDIA DAS SEÇÕES MENOR OU IGUAL A 0,25 M², PÉ-DIREITO DUPLO, EM CHAPA DE MADEIRA COMPENSADA RESINADA, 6 UTILIZAÇÕES. AF_12/2015</t>
  </si>
  <si>
    <t>MONTAGEM E DESMONTAGEM DE FÔRMA DE PILARES RETANGULARES E ESTRUTURAS SIMILARES COM ÁREA MÉDIA DAS SEÇÕES MENOR OU IGUAL A 0,25 M², PÉ-DIREITO SIMPLES, EM CHAPA DE MADEIRA COMPENSADA RESINADA, 6 UTILIZAÇÕES. AF_12/2015</t>
  </si>
  <si>
    <t>MONTAGEM E DESMONTAGEM DE FÔRMA DE VIGA, ESCORAMENTO METÁLICO, PÉ-DIREITO DUPLO, EM CHAPA DE MADEIRA RESINADA, 6 UTILIZAÇÕES. AF_12/2015</t>
  </si>
  <si>
    <t>MONTAGEM E DESMONTAGEM DE FÔRMA DE VIGA, ESCORAMENTO METÁLICO, PÉ-DIREITO SIMPLES, EM CHAPA DE MADEIRA RESINADA, 6 UTILIZAÇÕES. AF_12/2015</t>
  </si>
  <si>
    <t>MONTAGEM E DESMONTAGEM DE FÔRMA DE LAJE MACIÇA COM ÁREA MÉDIA MAIOR QUE 20 M², PÉ-DIREITO SIMPLES, EM CHAPA DE MADEIRA COMPENSADA RESINADA, 2 UTILIZAÇÕES. AF_12/2015</t>
  </si>
  <si>
    <t>LAJE PRE-MOLDADA P/FORRO, SOBRECARGA 100KG/M2, VAOS ATE 3,50M/E=8CM, C/LAJOTAS E CAP.C/CONC FCK=20MPA, 3CM, INTER-EIXO 38CM, C/ESCORAMENTO (REAPR.3X) E FERRAGEM NEGATIVA</t>
  </si>
  <si>
    <t>CONCRETAGEM DE VIGAS E LAJES, FCK=20 MPA, PARA LAJES MACIÇAS OU NERVURADAS COM USO DE BOMBA EM EDIFICAÇÃO COM ÁREA MÉDIA DE LAJES MAIOR QUE 20 M² - LANÇAMENTO, ADENSAMENTO E ACABAMENTO. AF_12/2015</t>
  </si>
  <si>
    <t>ENCARREGADO GERAL DE OBRAS COM ENCARGOS COMPLEMENTARES</t>
  </si>
  <si>
    <t>GUINDASTE HIDRÁULICO AUTOPROPELIDO, COM LANÇA TELESCÓPICA 28,80 M, CAPACIDADE MÁXIMA 30 T, POTÊNCIA 97 KW, TRAÇÃO 4 X 4 - CHP DIURNO. AF_11/2014</t>
  </si>
  <si>
    <t>AJUDANTE DE CARPINTEIRO COM ENCARGOS COMPLEMENTARES</t>
  </si>
  <si>
    <t>CARPINTEIRO DE ESQUADRIA COM ENCARGOS COMPLEMENTARES</t>
  </si>
  <si>
    <t>DESENHISTA COPISTA COM ENCARGOS COMPLEMENTARES</t>
  </si>
  <si>
    <t>PLANILHA DE COMPOSIÇÕES</t>
  </si>
  <si>
    <t>CABO DE COBRE FLEXÍVEL ISOLADO, 6 MM², ANTI-CHAMA 450/750 V, PARA CIRCUITOS TERMINAIS - FORNECIMENTO E INSTALAÇÃO. AF_12/2015</t>
  </si>
  <si>
    <t>PREPARO DE FUNDO DE VALA COM LARGURA MAIOR OU IGUAL A 1,5 M E MENOR QUE 2,5 M, EM LOCAL COM NÍVEL BAIXO DE INTERFERÊNCIA. AF_06/2016</t>
  </si>
  <si>
    <t>GUINDAUTO HIDRÁULICO, CAPACIDADE MÁXIMA DE CARGA 6200 KG, MOMENTO MÁXIMO DE CARGA 11,7 TM, ALCANCE MÁXIMO HORIZONTAL 9,70 M, INCLUSIVE CAMINHÃO TOCO PBT 16.000 KG, POTÊNCIA DE 189 CV - CHP DIURNO. AF_06/2014</t>
  </si>
  <si>
    <t>PINTURA COM TINTA A BASE DE BORRACHA CLORADA, 2 DEMAOS</t>
  </si>
  <si>
    <t>DESCRICAO DA COMPOSICAO</t>
  </si>
  <si>
    <t>UNIDADE</t>
  </si>
  <si>
    <t>TUBO DE PVC PARA REDE COLETORA DE ESGOTO DE PAREDE MACIÇA, DN 150 MM, JUNTA ELÁSTICA, INSTALADO EM LOCAL COM NÍVEL BAIXO DE INTERFERÊNCIAS - FORNECIMENTO E ASSENTAMENTO. AF_06/2015</t>
  </si>
  <si>
    <t>TUBO DE PVC PARA REDE COLETORA DE ESGOTO DE PAREDE MACIÇA, DN 200 MM, JUNTA ELÁSTICA, INSTALADO EM LOCAL COM NÍVEL BAIXO DE INTERFERÊNCIAS - FORNECIMENTO E ASSENTAMENTO. AF_06/2015</t>
  </si>
  <si>
    <t>TUBO DE PVC PARA REDE COLETORA DE ESGOTO DE PAREDE MACIÇA, DN 250 MM, JUNTA ELÁSTICA, INSTALADO EM LOCAL COM NÍVEL BAIXO DE INTERFERÊNCIAS - FORNECIMENTO E ASSENTAMENTO. AF_06/2015</t>
  </si>
  <si>
    <t>TUBO DE PVC PARA REDE COLETORA DE ESGOTO DE PAREDE MACIÇA, DN 300 MM, JUNTA ELÁSTICA, INSTALADO EM LOCAL COM NÍVEL BAIXO DE INTERFERÊNCIAS - FORNECIMENTO E ASSENTAMENTO. AF_06/2015</t>
  </si>
  <si>
    <t>TUBO DE PVC PARA REDE COLETORA DE ESGOTO DE PAREDE MACIÇA, DN 350 MM, JUNTA ELÁSTICA, INSTALADO EM LOCAL COM NÍVEL BAIXO DE INTERFERÊNCIAS - FORNECIMENTO E ASSENTAMENTO. AF_06/2015</t>
  </si>
  <si>
    <t>TUBO DE PVC PARA REDE COLETORA DE ESGOTO DE PAREDE MACIÇA, DN 400 MM, JUNTA ELÁSTICA, INSTALADO EM LOCAL COM NÍVEL BAIXO DE INTERFERÊNCIAS - FORNECIMENTO E ASSENTAMENTO. AF_06/2015</t>
  </si>
  <si>
    <t>TUBO DE PVC CORRUGADO DE DUPLA PAREDE PARA REDE COLETORA DE ESGOTO, DN 150 MM, JUNTA ELÁSTICA, INSTALADO EM LOCAL COM NÍVEL BAIXO DE INTERFERÊNCIAS - FORNECIMENTO E ASSENTAMENTO. AF_06/2015</t>
  </si>
  <si>
    <t>TUBO DE PVC CORRUGADO DE DUPLA PAREDE PARA REDE COLETORA DE ESGOTO, DN 200 MM, JUNTA ELÁSTICA, INSTALADO EM LOCAL COM NÍVEL BAIXO DE INTERFERÊNCIAS - FORNECIMENTO E ASSENTAMENTO. AF_06/2015</t>
  </si>
  <si>
    <t>TUBO DE PVC CORRUGADO DE DUPLA PAREDE PARA REDE COLETORA DE ESGOTO, DN 250 MM, JUNTA ELÁSTICA, INSTALADO EM LOCAL COM NÍVEL BAIXO DE INTERFERÊNCIAS - FORNECIMENTO E ASSENTAMENTO. AF_06/2015</t>
  </si>
  <si>
    <t>TUBO DE PVC CORRUGADO DE DUPLA PAREDE PARA REDE COLETORA DE ESGOTO, DN 300 MM, JUNTA ELÁSTICA, INSTALADO EM LOCAL COM NÍVEL BAIXO DE INTERFERÊNCIAS - FORNECIMENTO E ASSENTAMENTO. AF_06/2015</t>
  </si>
  <si>
    <t>TUBO DE PVC CORRUGADO DE DUPLA PAREDE PARA REDE COLETORA DE ESGOTO, DN 350 MM, JUNTA ELÁSTICA, INSTALADO EM LOCAL COM NÍVEL BAIXO DE INTERFERÊNCIAS - FORNECIMENTO E ASSENTAMENTO. AF_06/2015</t>
  </si>
  <si>
    <t>TUBO DE PVC CORRUGADO DE DUPLA PAREDE PARA REDE COLETORA DE ESGOTO, DN 400 MM, JUNTA ELÁSTICA, INSTALADO EM LOCAL COM NÍVEL BAIXO DE INTERFERÊNCIAS - FORNECIMENTO E ASSENTAMENTO. AF_06/2015</t>
  </si>
  <si>
    <t>TUBO DE PEAD CORRUGADO DE DUPLA PAREDE PARA REDE COLETORA DE ESGOTO, DN 600 MM, JUNTA ELÁSTICA INTEGRADA, INSTALADO EM LOCAL COM NÍVEL BAIXO DE INTERFERÊNCIAS - FORNECIMENTO E ASSENTAMENTO. AF_06/2015</t>
  </si>
  <si>
    <t>TUBO DE PVC PARA REDE COLETORA DE ESGOTO DE PAREDE MACIÇA, DN 100 MM, JUNTA ELÁSTICA, INSTALADO EM LOCAL COM NÍVEL ALTO DE INTERFERÊNCIAS - FORNECIMENTO E ASSENTAMENTO. AF_06/2015</t>
  </si>
  <si>
    <t>TUBO DE PVC PARA REDE COLETORA DE ESGOTO DE PAREDE MACIÇA, DN 150 MM, JUNTA ELÁSTICA, INSTALADO EM LOCAL COM NÍVEL ALTO DE INTERFERÊNCIAS - FORNECIMENTO E ASSENTAMENTO. AF_06/2015</t>
  </si>
  <si>
    <t>TUBO DE PVC PARA REDE COLETORA DE ESGOTO DE PAREDE MACIÇA, DN 200 MM, JUNTA ELÁSTICA, INSTALADO EM LOCAL COM NÍVEL ALTO DE INTERFERÊNCIAS - FORNECIMENTO E ASSENTAMENTO. AF_06/2015</t>
  </si>
  <si>
    <t>TUBO DE PVC PARA REDE COLETORA DE ESGOTO DE PAREDE MACIÇA, DN 250 MM, JUNTA ELÁSTICA, INSTALADO EM LOCAL COM NÍVEL ALTO DE INTERFERÊNCIAS - FORNECIMENTO E ASSENTAMENTO. AF_06/2015</t>
  </si>
  <si>
    <t>TUBO DE PVC PARA REDE COLETORA DE ESGOTO DE PAREDE MACIÇA, DN 300 MM, JUNTA ELÁSTICA, INSTALADO EM LOCAL COM NÍVEL ALTO DE INTERFERÊNCIAS - FORNECIMENTO E ASSENTAMENTO. AF_06/2015</t>
  </si>
  <si>
    <t>TUBO DE PVC PARA REDE COLETORA DE ESGOTO DE PAREDE MACIÇA, DN 350 MM, JUNTA ELÁSTICA, INSTALADO EM LOCAL COM NÍVEL ALTO DE INTERFERÊNCIAS - FORNECIMENTO E ASSENTAMENTO. AF_06/2015</t>
  </si>
  <si>
    <t>TUBO DE PVC PARA REDE COLETORA DE ESGOTO DE PAREDE MACIÇA, DN 400 MM, JUNTA ELÁSTICA, INSTALADO EM LOCAL COM NÍVEL ALTO DE INTERFERÊNCIAS - FORNECIMENTO E ASSENTAMENTO. AF_06/2015</t>
  </si>
  <si>
    <t>TUBO DE PVC CORRUGADO DE DUPLA PAREDE PARA REDE COLETORA DE ESGOTO, DN 150 MM, JUNTA ELÁSTICA, INSTALADO EM LOCAL COM NÍVEL ALTO DE INTERFERÊNCIAS - FORNECIMENTO E ASSENTAMENTO. AF_06/2015</t>
  </si>
  <si>
    <t>TUBO DE PVC CORRUGADO DE DUPLA PAREDE PARA REDE COLETORA DE ESGOTO, DN 200 MM, JUNTA ELÁSTICA, INSTALADO EM LOCAL COM NÍVEL ALTO DE INTERFERÊNCIAS - FORNECIMENTO E ASSENTAMENTO. AF_06/2015</t>
  </si>
  <si>
    <t>TUBO DE PVC CORRUGADO DE DUPLA PAREDE PARA REDE COLETORA DE ESGOTO, DN 250 MM, JUNTA ELÁSTICA, INSTALADO EM LOCAL COM NÍVEL ALTO DE INTERFERÊNCIAS - FORNECIMENTO E ASSENTAMENTO. AF_06/2015</t>
  </si>
  <si>
    <t>TUBO DE PVC CORRUGADO DE DUPLA PAREDE PARA REDE COLETORA DE ESGOTO, DN 300 MM, JUNTA ELÁSTICA, INSTALADO EM LOCAL COM NÍVEL ALTO DE INTERFERÊNCIAS - FORNECIMENTO E ASSENTAMENTO. AF_06/2015</t>
  </si>
  <si>
    <t>TUBO DE PVC CORRUGADO DE DUPLA PAREDE PARA REDE COLETORA DE ESGOTO, DN 350 MM, JUNTA ELÁSTICA, INSTALADO EM LOCAL COM NÍVEL ALTO DE INTERFERÊNCIAS - FORNECIMENTO E ASSENTAMENTO. AF_06/2015</t>
  </si>
  <si>
    <t>TUBO DE PVC CORRUGADO DE DUPLA PAREDE PARA REDE COLETORA DE ESGOTO, DN 400 MM, EM JUNTA ELÁSTICA, INSTALADO EM LOCAL COM NÍVEL ALTO DE INTERFERÊNCIAS - FORNECIMENTO E ASSENTAMENTO. AF_06/2015</t>
  </si>
  <si>
    <t>TUBO DE PEAD CORRUGADO DE DUPLA PAREDE PARA REDE COLETORA DE ESGOTO, DN 600 MM, JUNTA ELÁSTICA INTEGRADA, INSTALADO EM LOCAL COM NÍVEL ALTO DE INTERFERÊNCIAS - FORNECIMENTO E ASSENTAMENTO. AF_06/2015</t>
  </si>
  <si>
    <t>JUNTA ARGAMASSADA ENTRE TUBO DN 100 MM E O POÇO DE VISITA/ CAIXA DE CONCRETO OU ALVENARIA EM REDES DE ESGOTO. AF_06/2015</t>
  </si>
  <si>
    <t>JUNTA ARGAMASSADA ENTRE TUBO DN 150 MM E O POÇO DE VISITA/ CAIXA DE CONCRETO OU ALVENARIA EM REDES DE ESGOTO. AF_06/2015</t>
  </si>
  <si>
    <t>JUNTA ARGAMASSADA ENTRE TUBO DN 200 MM E O POÇO/ CAIXA DE CONCRETO OU ALVENARIA EM REDES DE ESGOTO. AF_06/2015</t>
  </si>
  <si>
    <t>JUNTA ARGAMASSADA ENTRE TUBO DN 250 MM E O POÇO DE VISITA/ CAIXA DE CONCRETO OU ALVENARIA EM REDES DE ESGOTO. AF_06/2015</t>
  </si>
  <si>
    <t>JUNTA ARGAMASSADA ENTRE TUBO DN 300 MM E O POÇO DE VISITA/ CAIXA DE CONCRETO OU ALVENARIA EM REDES DE ESGOTO. AF_06/2015</t>
  </si>
  <si>
    <t>JUNTA ARGAMASSADA ENTRE TUBO DN 350 MM E O POÇO DE VISITA/ CAIXA DE CONCRETO OU ALVENARIA EM REDES DE ESGOTO. AF_06/2015</t>
  </si>
  <si>
    <t>JUNTA ARGAMASSADA ENTRE TUBO DN 400 MM E O POÇO DE VISITA/ CAIXA DE CONCRETO OU ALVENARIA EM REDES DE ESGOTO. AF_06/2015</t>
  </si>
  <si>
    <t>JUNTA ARGAMASSADA ENTRE TUBO DN 450 MM E O POÇO DE VISITA/ CAIXA DE CONCRETO OU ALVENARIA EM REDES DE ESGOTO. AF_06/2015</t>
  </si>
  <si>
    <t>JUNTA ARGAMASSADA ENTRE TUBO DN 600 MM E O POÇO DE VISITA/ CAIXA DE CONCRETO OU ALVENARIA EM REDES DE ESGOTO. AF_06/2015</t>
  </si>
  <si>
    <t>ASSENTAMENTO DE TUBO DE PVC PARA REDE COLETORA DE ESGOTO DE PAREDE MACIÇA, DN 100 MM, JUNTA ELÁSTICA, INSTALADO EM LOCAL COM NÍVEL BAIXO DE INTERFERÊNCIAS (NÃO INCLUI FORNECIMENTO). AF_06/2015</t>
  </si>
  <si>
    <t>ASSENTAMENTO DE TUBO DE PVC PARA REDE COLETORA DE ESGOTO DE PAREDE MACIÇA, DN 150 MM, JUNTA ELÁSTICA, INSTALADO EM LOCAL COM NÍVEL BAIXO DE INTERFERÊNCIAS (NÃO INCLUI FORNECIMENTO). AF_06/2015</t>
  </si>
  <si>
    <t>ASSENTAMENTO DE TUBO DE PVC PARA REDE COLETORA DE ESGOTO DE PAREDE MACIÇA, DN 200 MM, JUNTA ELÁSTICA, INSTALADO EM LOCAL COM NÍVEL BAIXO DE INTERFERÊNCIAS (NÃO INCLUI FORNECIMENTO). AF_06/2015</t>
  </si>
  <si>
    <t>ASSENTAMENTO DE TUBO DE PVC PARA REDE COLETORA DE ESGOTO DE PAREDE MACIÇA, DN 250 MM, JUNTA ELÁSTICA, INSTALADO EM LOCAL COM NÍVEL BAIXO DE INTERFERÊNCIAS (NÃO INCLUI FORNECIMENTO). AF_06/2015</t>
  </si>
  <si>
    <t>ASSENTAMENTO DE TUBO DE PVC PARA REDE COLETORA DE ESGOTO DE PAREDE MACIÇA, DN 300 MM, JUNTA ELÁSTICA, INSTALADO EM LOCAL COM NÍVEL BAIXO DE INTERFERÊNCIAS (NÃO INCLUI FORNECIMENTO). AF_06/2015</t>
  </si>
  <si>
    <t>ASSENTAMENTO DE TUBO DE PVC PARA REDE COLETORA DE ESGOTO DE PAREDE MACIÇA, DN 350 MM, JUNTA ELÁSTICA, INSTALADO EM LOCAL COM NÍVEL BAIXO DE INTERFERÊNCIAS (NÃO INCLUI FORNECIMENTO). AF_06/2015</t>
  </si>
  <si>
    <t>ASSENTAMENTO DE TUBO DE PVC PARA REDE COLETORA DE ESGOTO DE PAREDE MACIÇA, DN 400 MM, JUNTA ELÁSTICA, INSTALADO EM LOCAL COM NÍVEL BAIXO DE INTERFERÊNCIAS (NÃO INCLUI FORNECIMENTO). AF_06/2015</t>
  </si>
  <si>
    <t>ASSENTAMENTO DE TUBO DE PVC CORRUGADO DE DUPLA PAREDE PARA REDE COLETORA DE ESGOTO, DN 150 MM, JUNTA ELÁSTICA, INSTALADO EM LOCAL COM NÍVEL BAIXO DE INTERFERÊNCIAS (NÃO INCLUI FORNECIMENTO). AF_06/2015</t>
  </si>
  <si>
    <t>ASSENTAMENTO DE TUBO DE PVC CORRUGADO DE DUPLA PAREDE PARA REDE COLETORA DE ESGOTO, DN 200 MM, JUNTA ELÁSTICA, INSTALADO EM LOCAL COM NÍVEL BAIXO DE INTERFERÊNCIAS (NÃO INCLUI FORNECIMENTO). AF_06/2015</t>
  </si>
  <si>
    <t>ASSENTAMENTO DE TUBO DE PVC CORRUGADO DE DUPLA PAREDE PARA REDE COLETORA DE ESGOTO, DN 250 MM, JUNTA ELÁSTICA, INSTALADO EM LOCAL COM NÍVEL BAIXO DE INTERFERÊNCIAS (NÃO INCLUI FORNECIMENTO). AF_06/2015</t>
  </si>
  <si>
    <t>ASSENTAMENTO DE TUBO DE PVC CORRUGADO DE DUPLA PAREDE PARA REDE COLETORA DE ESGOTO, DN 300 MM, JUNTA ELÁSTICA, INSTALADO EM LOCAL COM NÍVEL BAIXO DE INTERFERÊNCIAS (NÃO INCLUI FORNECIMENTO). AF_06/2015</t>
  </si>
  <si>
    <t>ASSENTAMENTO DE TUBO DE PVC CORRUGADO DE DUPLA PAREDE PARA REDE COLETORA DE ESGOTO, DN 350 MM, JUNTA ELÁSTICA, INSTALADO EM LOCAL COM NÍVEL BAIXO DE INTERFERÊNCIAS (NÃO INCLUI FORNECIMENTO). AF_06/2015</t>
  </si>
  <si>
    <t>ASSENTAMENTO DE TUBO DE PVC CORRUGADO DE DUPLA PAREDE PARA REDE COLETORA DE ESGOTO, DN 400 MM, JUNTA ELÁSTICA, INSTALADO EM LOCAL COM NÍVEL BAIXO DE INTERFERÊNCIAS (NÃO INCLUI FORNECIMENTO). AF_06/2015</t>
  </si>
  <si>
    <t>ASSENTAMENTO DE TUBO DE PEAD CORRUGADO DE DUPLA PAREDE PARA REDE COLETORA DE ESGOTO, DN 450 MM, JUNTA ELÁSTICA INTEGRADA, INSTALADO EM LOCAL COM NÍVEL BAIXO DE INTERFERÊNCIAS (NÃO INCLUI FORNECIMENTO). AF_06/2015</t>
  </si>
  <si>
    <t>ASSENTAMENTO DE TUBO DE PEAD CORRUGADO DE DUPLA PAREDE PARA REDE COLETORA DE ESGOTO, DN 600 MM, JUNTA ELÁSTICA INTEGRADA, INSTALADO EM LOCAL COM NÍVEL BAIXO DE INTERFERÊNCIAS (NÃO INCLUI FORNECIMENTO). AF_06/2015</t>
  </si>
  <si>
    <t>ASSENTAMENTO DE TUBO DE PVC PARA REDE COLETORA DE ESGOTO DE PAREDE MACIÇA, DN 100 MM, JUNTA ELÁSTICA, INSTALADO EM LOCAL COM NÍVEL ALTO DE INTERFERÊNCIAS (NÃO INCLUI FORNECIMENTO). AF_06/2015</t>
  </si>
  <si>
    <t>ASSENTAMENTO DE TUBO DE PVC PARA REDE COLETORA DE ESGOTO DE PAREDE MACIÇA, DN 150 MM, JUNTA ELÁSTICA, INSTALADO EM LOCAL COM NÍVEL ALTO DE INTERFERÊNCIAS (NÃO INCLUI FORNECIMENTO). AF_06/2015</t>
  </si>
  <si>
    <t>ASSENTAMENTO DE TUBO DE PVC PARA REDE COLETORA DE ESGOTO DE PAREDE MACIÇA, DN 200 MM, JUNTA ELÁSTICA, INSTALADO EM LOCAL COM NÍVEL ALTO DE INTERFERÊNCIAS (NÃO INCLUI FORNECIMENTO). AF_06/2015</t>
  </si>
  <si>
    <t>ASSENTAMENTO DE TUBO DE PVC PARA REDE COLETORA DE ESGOTO DE PAREDE MACIÇA, DN 250 MM, JUNTA ELÁSTICA, INSTALADO EM LOCAL COM NÍVEL ALTO DE INTERFERÊNCIAS (NÃO INCLUI FORNECIMENTO). AF_06/2015</t>
  </si>
  <si>
    <t>ASSENTAMENTO DE TUBO DE PVC PARA REDE COLETORA DE ESGOTO DE PAREDE MACIÇA, DN 300 MM, JUNTA ELÁSTICA, INSTALADO EM LOCAL COM NÍVEL ALTO DE INTERFERÊNCIAS (NÃO INCLUI FORNECIMENTO). AF_06/2015</t>
  </si>
  <si>
    <t>ASSENTAMENTO DE TUBO DE PVC PARA REDE COLETORA DE ESGOTO DE PAREDE MACIÇA, DN 350 MM, JUNTA ELÁSTICA, INSTALADO EM LOCAL COM NÍVEL ALTO DE INTERFERÊNCIAS (NÃO INCLUI FORNECIMENTO). AF_06/2015</t>
  </si>
  <si>
    <t>ASSENTAMENTO DE TUBO DE PVC PARA REDE COLETORA DE ESGOTO DE PAREDE MACIÇA, DN 400 MM, JUNTA ELÁSTICA, INSTALADO EM LOCAL COM NÍVEL ALTO DE INTERFERÊNCIAS (NÃO INCLUI FORNECIMENTO). AF_06/2015</t>
  </si>
  <si>
    <t>ASSENTAMENTO DE TUBO DE PVC CORRUGADO DE DUPLA PAREDE PARA REDE COLETORA DE ESGOTO, DN 150 MM, JUNTA ELÁSTICA, INSTALADO EM LOCAL COM NÍVEL ALTO DE INTERFERÊNCIAS (NÃO INCLUI FORNECIMENTO). AF_06/2015</t>
  </si>
  <si>
    <t>ASSENTAMENTO DE TUBO DE PVC CORRUGADO DE DUPLA PAREDE PARA REDE COLETORA DE ESGOTO, DN 200 MM, JUNTA ELÁSTICA, INSTALADO EM LOCAL COM NÍVEL ALTO DE INTERFERÊNCIAS (NÃO INCLUI FORNECIMENTO). AF_06/2015</t>
  </si>
  <si>
    <t>ASSENTAMENTO DE TUBO DE PVC CORRUGADO DE DUPLA PAREDE PARA REDE COLETORA DE ESGOTO, DN 250 MM, JUNTA ELÁSTICA, INSTALADO EM LOCAL COM NÍVEL ALTO DE INTERFERÊNCIAS (NÃO INCLUI FORNECIMENTO). AF_06/2015</t>
  </si>
  <si>
    <t>ASSENTAMENTO DE TUBO DE PVC CORRUGADO DE DUPLA PAREDE PARA REDE COLETORA DE ESGOTO, DN 300 MM, JUNTA ELÁSTICA, INSTALADO EM LOCAL COM NÍVEL ALTO DE INTERFERÊNCIAS (NÃO INCLUI FORNECIMENTO). AF_06/2015</t>
  </si>
  <si>
    <t>ASSENTAMENTO DE TUBO DE PVC CORRUGADO DE DUPLA PAREDE PARA REDE COLETORA DE ESGOTO, DN 350 MM, JUNTA ELÁSTICA, INSTALADO EM LOCAL COM NÍVEL ALTO DE INTERFERÊNCIAS (NÃO INCLUI FORNECIMENTO). AF_06/2015</t>
  </si>
  <si>
    <t>ASSENTAMENTO DE TUBO DE PVC CORRUGADO DE DUPLA PAREDE PARA REDE COLETORA DE ESGOTO, DN 400 MM, EM JUNTA ELÁSTICA, INSTALADO EM LOCAL COM NÍVEL ALTO DE INTERFERÊNCIAS (NÃO INCLUI FORNECIMENTO). AF_06/2015</t>
  </si>
  <si>
    <t>ASSENTAMENTO DE TUBO DE PEAD CORRUGADO DE DUPLA PAREDE PARA REDE COLETORA DE ESGOTO, DN 450 MM, JUNTA ELÁSTICA INTEGRADA, INSTALADO EM LOCAL COM NÍVEL ALTO DE INTERFERÊNCIAS (NÃO INCLUI FORNECIMENTO). AF_06/2015</t>
  </si>
  <si>
    <t>ASSENTAMENTO DE TUBO DE PEAD CORRUGADO DE DUPLA PAREDE PARA REDE COLETORA DE ESGOTO, DN 600 MM, JUNTA ELÁSTICA INTEGRADA, INSTALADO EM LOCAL COM NÍVEL ALTO DE INTERFERÊNCIAS (NÃO INCLUI FORNECIMENTO). AF_06/2015</t>
  </si>
  <si>
    <t>TUBO DE PEAD CORRUGADO DE DUPLA PAREDE PARA REDE COLETORA DE ESGOTO, DN 250 MM, JUNTA ELÁSTICA INTEGRADA, INSTALADO EM LOCAL COM NÍVEL BAIXO DE INTERFERÊNCIAS - FORNECIMENTO E ASSENTAMENTO. AF_06/2016</t>
  </si>
  <si>
    <t>ASSENTAMENTO DE TUBO DE PEAD CORRUGADO DE DUPLA PAREDE PARA REDE COLETORA DE ESGOTO, DN 250 MM, JUNTA ELÁSTICA INTEGRADA, INSTALADO EM LOCAL COM NÍVEL BAIXO DE INTERFERÊNCIAS (NÃO INCLUI FORNECIMENTO). AF_06/2016</t>
  </si>
  <si>
    <t>TUBO DE PEAD CORRUGADO DE DUPLA PAREDE PARA REDE COLETORA DE ESGOTO, DN 300 MM, JUNTA ELÁSTICA INTEGRADA, INSTALADO EM LOCAL COM NÍVEL BAIXO DE INTERFERÊNCIAS - FORNECIMENTO E ASSENTAMENTO. AF_06/2016</t>
  </si>
  <si>
    <t>ASSENTAMENTO DE TUBO DE PEAD CORRUGADO DE DUPLA PAREDE PARA REDE COLETORA DE ESGOTO, DN 300 MM, JUNTA ELÁSTICA INTEGRADA, INSTALADO EM LOCAL COM NÍVEL BAIXO DE INTERFERÊNCIAS (NÃO INCLUI FORNECIMENTO). AF_06/2016</t>
  </si>
  <si>
    <t>TUBO DE PEAD CORRUGADO DE DUPLA PAREDE PARA REDE COLETORA DE ESGOTO, DN 750 MM, JUNTA ELÁSTICA INTEGRADA, INSTALADO EM LOCAL COM NÍVEL BAIXO DE INTERFERÊNCIAS - FORNECIMENTO E ASSENTAMENTO. AF_06/2016</t>
  </si>
  <si>
    <t>ASSENTAMENTO DE TUBO DE PEAD CORRUGADO DE DUPLA PAREDE PARA REDE COLETORA DE ESGOTO, DN 750 MM, JUNTA ELÁSTICA INTEGRADA, INSTALADO EM LOCAL COM NÍVEL BAIXO DE INTERFERÊNCIAS (NÃO INCLUI FORNECIMENTO). AF_06/2016</t>
  </si>
  <si>
    <t>ASSENTAMENTO DE TUBO DE PEAD CORRUGADO DE DUPLA PAREDE PARA REDE COLETORA DE ESGOTO, DN 900 MM, JUNTA ELÁSTICA INTEGRADA, INSTALADO EM LOCAL COM NÍVEL BAIXO DE INTERFERÊNCIAS (NÃO INCLUI FORNECIMENTO). AF_06/2016</t>
  </si>
  <si>
    <t>TUBO DE PEAD CORRUGADO DE DUPLA PAREDE PARA REDE COLETORA DE ESGOTO, DN 1000 MM, JUNTA ELÁSTICA INTEGRADA, INSTALADO EM LOCAL COM NÍVEL BAIXO DE INTERFERÊNCIAS - FORNECIMENTO E ASSENTAMENTO. AF_06/2016</t>
  </si>
  <si>
    <t>ASSENTAMENTO DE TUBO DE PEAD CORRUGADO DE DUPLA PAREDE PARA REDE COLETORA DE ESGOTO, DN 1000 MM, JUNTA ELÁSTICA INTEGRADA, INSTALADO EM LOCAL COM NÍVEL BAIXO DE INTERFERÊNCIAS (NÃO INCLUI FORNECIMENTO). AF_06/2016</t>
  </si>
  <si>
    <t>TUBO DE PEAD CORRUGADO DE DUPLA PAREDE PARA REDE COLETORA DE ESGOTO, DN 1200 MM, JUNTA ELÁSTICA INTEGRADA, INSTALADO EM LOCAL COM NÍVEL BAIXO DE INTERFERÊNCIAS - FORNECIMENTO E ASSENTAMENTO. AF_06/2016</t>
  </si>
  <si>
    <t>ASSENTAMENTO DE TUBO DE PEAD CORRUGADO DE DUPLA PAREDE PARA REDE COLETORA DE ESGOTO, DN 1200 MM, JUNTA ELÁSTICA INTEGRADA, INSTALADO EM LOCAL COM NÍVEL BAIXO DE INTERFERÊNCIAS (NÃO INCLUI FORNECIMENTO). AF_06/2016</t>
  </si>
  <si>
    <t>ASSENTAMENTO DE TUBO DE PEAD CORRUGADO DE DUPLA PAREDE PARA REDE COLETORA DE ESGOTO, DN 1500 MM, JUNTA ELÁSTICA INTEGRADA, INSTALADO EM LOCAL COM NÍVEL BAIXO DE INTERFERÊNCIAS (NÃO INCLUI FORNECIMENTO). AF_06/2016</t>
  </si>
  <si>
    <t>TUBO DE PEAD CORRUGADO DE DUPLA PAREDE PARA REDE COLETORA DE ESGOTO, DN 250 MM, JUNTA ELÁSTICA INTEGRADA, INSTALADO EM LOCAL COM NÍVEL ALTO DE INTERFERÊNCIAS - FORNECIMENTO E ASSENTAMENTO. AF_06/2016</t>
  </si>
  <si>
    <t>ASSENTAMENTO DE TUBO DE PEAD CORRUGADO DE DUPLA PAREDE PARA REDE COLETORA DE ESGOTO, DN 250 MM, JUNTA ELÁSTICA INTEGRADA, INSTALADO EM LOCAL COM NÍVEL ALTO DE INTERFERÊNCIAS (NÃO INCLUI FORNECIMENTO). AF_06/2016</t>
  </si>
  <si>
    <t>TUBO DE PEAD CORRUGADO DE DUPLA PAREDE PARA REDE COLETORA DE ESGOTO, DN 300 MM, JUNTA ELÁSTICA INTEGRADA, INSTALADO EM LOCAL COM NÍVEL ALTO DE INTERFERÊNCIAS - FORNECIMENTO E ASSENTAMENTO. AF_06/2016</t>
  </si>
  <si>
    <t>ASSENTAMENTO DE TUBO DE PEAD CORRUGADO DE DUPLA PAREDE PARA REDE COLETORA DE ESGOTO, DN 300 MM, JUNTA ELÁSTICA INTEGRADA, INSTALADO EM LOCAL COM NÍVEL ALTO DE INTERFERÊNCIAS (NÃO INCLUI FORNECIMENTO). AF_06/2016</t>
  </si>
  <si>
    <t>TUBO DE PEAD CORRUGADO DE DUPLA PAREDE PARA REDE COLETORA DE ESGOTO, DN 750 MM, JUNTA ELÁSTICA INTEGRADA, INSTALADO EM LOCAL COM NÍVEL ALTO DE INTERFERÊNCIAS - FORNECIMENTO E ASSENTAMENTO. AF_06/2016</t>
  </si>
  <si>
    <t>ASSENTAMENTO DE TUBO DE PEAD CORRUGADO DE DUPLA PAREDE PARA REDE COLETORA DE ESGOTO, DN 750 MM, JUNTA ELÁSTICA INTEGRADA, INSTALADO EM LOCAL COM NÍVEL ALTO DE INTERFERÊNCIAS (NÃO INCLUI FORNECIMENTO). AF_06/2016</t>
  </si>
  <si>
    <t>ASSENTAMENTO DE TUBO DE PEAD CORRUGADO DE DUPLA PAREDE PARA REDE COLETORA DE ESGOTO, DN 900 MM, JUNTA ELÁSTICA INTEGRADA, INSTALADO EM LOCAL COM NÍVEL ALTO DE INTERFERÊNCIAS (NÃO INCLUI FORNECIMENTO). AF_06/2016</t>
  </si>
  <si>
    <t>TUBO DE PEAD CORRUGADO DE DUPLA PAREDE PARA REDE COLETORA DE ESGOTO, DN 1000 MM, JUNTA ELÁSTICA INTEGRADA, INSTALADO EM LOCAL COM NÍVEL ALTO DE INTERFERÊNCIAS - FORNECIMENTO E ASSENTAMENTO. AF_06/2016</t>
  </si>
  <si>
    <t>ASSENTAMENTO DE TUBO DE PEAD CORRUGADO DE DUPLA PAREDE PARA REDE COLETORA DE ESGOTO, DN 1000 MM, JUNTA ELÁSTICA INTEGRADA, INSTALADO EM LOCAL COM NÍVEL ALTO DE INTERFERÊNCIAS (NÃO INCLUI FORNECIMENTO). AF_06/2016</t>
  </si>
  <si>
    <t>TUBO DE PEAD CORRUGADO DE DUPLA PAREDE PARA REDE COLETORA DE ESGOTO, DN 1200 MM, JUNTA ELÁSTICA INTEGRADA, INSTALADO EM LOCAL COM NÍVEL ALTO DE INTERFERÊNCIAS - FORNECIMENTO E ASSENTAMENTO. AF_06/2016</t>
  </si>
  <si>
    <t>ASSENTAMENTO DE TUBO DE PEAD CORRUGADO DE DUPLA PAREDE PARA REDE COLETORA DE ESGOTO, DN 1200 MM, JUNTA ELÁSTICA INTEGRADA, INSTALADO EM LOCAL COM NÍVEL ALTO DE INTERFERÊNCIAS (NÃO INCLUI FORNECIMENTO). AF_06/2016</t>
  </si>
  <si>
    <t>ASSENTAMENTO DE TUBO DE PEAD CORRUGADO DE DUPLA PAREDE PARA REDE COLETORA DE ESGOTO, DN 1500 MM, JUNTA ELÁSTICA INTEGRADA, INSTALADO EM LOCAL COM NÍVEL ALTO DE INTERFERÊNCIAS (NÃO INCLUI FORNECIMENTO). AF_06/2016</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</si>
  <si>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</si>
  <si>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</si>
  <si>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</si>
  <si>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</si>
  <si>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</si>
  <si>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</si>
  <si>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</si>
  <si>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</si>
  <si>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</si>
  <si>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</si>
  <si>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</si>
  <si>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</si>
  <si>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</si>
  <si>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</si>
  <si>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</si>
  <si>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</si>
  <si>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</si>
  <si>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</si>
  <si>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</si>
  <si>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</si>
  <si>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</si>
  <si>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</si>
  <si>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</si>
  <si>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</si>
  <si>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</si>
  <si>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</si>
  <si>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</si>
  <si>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</si>
  <si>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</si>
  <si>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</si>
  <si>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</si>
  <si>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</si>
  <si>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</si>
  <si>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</si>
  <si>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</si>
  <si>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</si>
  <si>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</si>
  <si>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</si>
  <si>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</si>
  <si>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</si>
  <si>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</si>
  <si>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</si>
  <si>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</si>
  <si>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</si>
  <si>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</si>
  <si>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</si>
  <si>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</si>
  <si>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</si>
  <si>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</si>
  <si>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</si>
  <si>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</si>
  <si>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</si>
  <si>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</si>
  <si>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</si>
  <si>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</si>
  <si>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</si>
  <si>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</si>
  <si>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</si>
  <si>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</si>
  <si>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</si>
  <si>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</si>
  <si>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</si>
  <si>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</si>
  <si>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</si>
  <si>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</si>
  <si>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</si>
  <si>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</si>
  <si>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</si>
  <si>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</si>
  <si>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</si>
  <si>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</si>
  <si>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</si>
  <si>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TAMPAO DE FERRO FUNDIDO 900 MM</t>
  </si>
  <si>
    <t>ASSENTAMENTO DE TAMPAO DE FERRO FUNDIDO 600 MM</t>
  </si>
  <si>
    <t>GRELHA DE FERRO FUNDIDO PARA CANALETA LARG = 20CM, FORNECIMENTO E ASSENTAMENTO</t>
  </si>
  <si>
    <t>GRELHA DE FERRO FUNDIDO PARA CANALETA LARG = 15CM, FORNECIMENTO E ASSENTAMENTO</t>
  </si>
  <si>
    <t>TAMPAO FOFO ARTICULADO, CLASSE B125 CARGA MAX 12,5 T, REDONDO TAMPA 600 MM, REDE PLUVIAL/ESGOTO, P = CHAMINE CX AREIA / POCO VISITA ASSENTADO COM ARG CIM/AREIA 1:4, FORNECIMENTO E ASSENTAMENTO</t>
  </si>
  <si>
    <t>ASSENTAMENTO DE PECAS, CONEXOES, APARELHOS E ACESSORIOS DE FERRO FUNDIDO DUCTIL, JUNTA ELASTICA, MECANICA OU FLANGEADA, COM DIAMETROS DE 50 A 300 MM.</t>
  </si>
  <si>
    <t>ASSENTAMENTO DE PECAS, CONEXOES, APARELHOS E ACESSORIOS DE FERRO FUNDIDO DUCTIL, JUNTA ELASTICA, MECANICA OU FLANGEADA, COM DIAMETROS DE 350 A 600 MM.</t>
  </si>
  <si>
    <t>ASSENTAMENTO DE PECAS, CONEXOES, APARELHOS E ACESSORIOS DE FERRO FUNDIDO DUCTIL, JUNTA ELASTICA, MECANICA OU FLANGEADA, COM DIAMETROS DE 700 A 1200 MM.</t>
  </si>
  <si>
    <t>TE PVC PARA COLETOR ESGOTO, EB644, D=100MM, COM JUNTA ELASTICA.</t>
  </si>
  <si>
    <t>CURVA PARA REDE COLETOR ESGOTO, EB 644, 90GR, DN=200MM, COM JUNTA ELASTICA</t>
  </si>
  <si>
    <t>CURVA PVC PARA REDE COLETOR ESGOTO, EB-644, 45 GR, 200 MM, COM JUNTA ELASTICA.</t>
  </si>
  <si>
    <t>EXECUÇÃO DE ESCRITÓRIO EM CANTEIRO DE OBRA EM ALVENARIA,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</si>
  <si>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</si>
  <si>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</si>
  <si>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ALVENARIA, NÃO INCLUSO MOBILIÁRIO E EQUIPAMENTOS. AF_02/2016</t>
  </si>
  <si>
    <t>EXECUÇÃO DE SANITÁRIO E VESTIÁRIO EM CANTEIRO DE OBRA EM ALVENARIA, NÃO INCLUSO MOBILIÁRIO. AF_02/2016</t>
  </si>
  <si>
    <t>EXECUÇÃO DE GUARITA EM CANTEIRO DE OBRA EM CHAPA DE MADEIRA COMPENSADA, NÃO INCLUSO MOBILIÁRIO. AF_04/2016</t>
  </si>
  <si>
    <t>74209/1</t>
  </si>
  <si>
    <t>MES</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</si>
  <si>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</si>
  <si>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</si>
  <si>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</si>
  <si>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</si>
  <si>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</si>
  <si>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</si>
  <si>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</si>
  <si>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</si>
  <si>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</si>
  <si>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</si>
  <si>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</si>
  <si>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</si>
  <si>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</si>
  <si>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</si>
  <si>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</si>
  <si>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</si>
  <si>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</si>
  <si>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</si>
  <si>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</si>
  <si>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</si>
  <si>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</si>
  <si>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</si>
  <si>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</si>
  <si>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</si>
  <si>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</si>
  <si>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</si>
  <si>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</si>
  <si>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</si>
  <si>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</si>
  <si>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</si>
  <si>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</si>
  <si>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</si>
  <si>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</si>
  <si>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</si>
  <si>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</si>
  <si>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</si>
  <si>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</si>
  <si>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</si>
  <si>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</si>
  <si>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</si>
  <si>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</si>
  <si>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</si>
  <si>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</si>
  <si>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</si>
  <si>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</si>
  <si>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</si>
  <si>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</si>
  <si>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</si>
  <si>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</si>
  <si>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</si>
  <si>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</si>
  <si>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</si>
  <si>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</si>
  <si>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</si>
  <si>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</si>
  <si>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</si>
  <si>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</si>
  <si>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</si>
  <si>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</si>
  <si>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</si>
  <si>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</si>
  <si>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</si>
  <si>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</si>
  <si>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</si>
  <si>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</si>
  <si>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</si>
  <si>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</si>
  <si>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</si>
  <si>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</si>
  <si>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</si>
  <si>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</si>
  <si>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</si>
  <si>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</si>
  <si>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</si>
  <si>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</si>
  <si>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</si>
  <si>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</si>
  <si>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</si>
  <si>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</si>
  <si>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</si>
  <si>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</si>
  <si>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</si>
  <si>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</si>
  <si>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</si>
  <si>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</si>
  <si>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</si>
  <si>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</si>
  <si>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</si>
  <si>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</si>
  <si>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</si>
  <si>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</si>
  <si>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</si>
  <si>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</si>
  <si>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</si>
  <si>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</si>
  <si>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</si>
  <si>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</si>
  <si>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</si>
  <si>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</si>
  <si>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</si>
  <si>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</si>
  <si>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</si>
  <si>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</si>
  <si>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</si>
  <si>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</si>
  <si>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</si>
  <si>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</si>
  <si>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</si>
  <si>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</si>
  <si>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</si>
  <si>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</si>
  <si>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</si>
  <si>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PULVERIZADOR DE TINTA ELÉTRICO/MÁQUINA DE PINTURA AIRLESS, VAZÃO 2 L/MIN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</si>
  <si>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</si>
  <si>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</si>
  <si>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</si>
  <si>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DESEMPENADEIRA DE CONCRETO, PESO DE 75KG,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</si>
  <si>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</si>
  <si>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</si>
  <si>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</si>
  <si>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</si>
  <si>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</si>
  <si>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</si>
  <si>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</si>
  <si>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</si>
  <si>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</si>
  <si>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</si>
  <si>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</si>
  <si>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</si>
  <si>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</si>
  <si>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</si>
  <si>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PERFURATRIZ ROTATIVA SOBRE ESTEIRA, TORQUE MAXIMO 2500 KGM, POTENCIA 110 HP, MOTOR DIESEL- CHP DIURNO. AF_05/2017</t>
  </si>
  <si>
    <t>COMPRESSOR DE AR, VAZAO DE 10 PCM, RESERVATORIO 100 L, PRESSAO DE TRABALHO ENTRE 6,9 E 9,7 BAR, POTENCIA 2 HP, TENSAO 110/220 V - CHP DIURNO. AF_05/2017</t>
  </si>
  <si>
    <t>ROLO COMPACTADOR DE PNEUS, ESTATICO, PRESSAO VARIAVEL, POTENCIA 110 HP, PESO SEM/COM LASTRO 10,8/27 T, LARGURA DE ROLAGEM 2,30 M - CHP DIURNO. AF_06/2017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</si>
  <si>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</si>
  <si>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</si>
  <si>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</si>
  <si>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</si>
  <si>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</si>
  <si>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</si>
  <si>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</si>
  <si>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</si>
  <si>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</si>
  <si>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</si>
  <si>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</si>
  <si>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</si>
  <si>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</si>
  <si>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</si>
  <si>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</si>
  <si>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</si>
  <si>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</si>
  <si>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</si>
  <si>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</si>
  <si>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</si>
  <si>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</si>
  <si>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</si>
  <si>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</si>
  <si>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</si>
  <si>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</si>
  <si>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</si>
  <si>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</si>
  <si>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</si>
  <si>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</si>
  <si>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</si>
  <si>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</si>
  <si>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</si>
  <si>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</si>
  <si>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</si>
  <si>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</si>
  <si>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</si>
  <si>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</si>
  <si>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</si>
  <si>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</si>
  <si>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</si>
  <si>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</si>
  <si>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</si>
  <si>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</si>
  <si>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</si>
  <si>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</si>
  <si>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</si>
  <si>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</si>
  <si>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</si>
  <si>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</si>
  <si>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</si>
  <si>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</si>
  <si>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</si>
  <si>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</si>
  <si>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</si>
  <si>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</si>
  <si>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</si>
  <si>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</si>
  <si>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</si>
  <si>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</si>
  <si>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</si>
  <si>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</si>
  <si>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</si>
  <si>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</si>
  <si>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</si>
  <si>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</si>
  <si>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</si>
  <si>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</si>
  <si>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</si>
  <si>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</si>
  <si>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</si>
  <si>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</si>
  <si>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</si>
  <si>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</si>
  <si>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</si>
  <si>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</si>
  <si>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</si>
  <si>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</si>
  <si>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</si>
  <si>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</si>
  <si>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</si>
  <si>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</si>
  <si>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</si>
  <si>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</si>
  <si>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</si>
  <si>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</si>
  <si>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</si>
  <si>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</si>
  <si>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</si>
  <si>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</si>
  <si>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</si>
  <si>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</si>
  <si>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</si>
  <si>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</si>
  <si>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</si>
  <si>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</si>
  <si>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</si>
  <si>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</si>
  <si>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</si>
  <si>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</si>
  <si>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</si>
  <si>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</si>
  <si>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</si>
  <si>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</si>
  <si>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</si>
  <si>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</si>
  <si>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</si>
  <si>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</si>
  <si>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</si>
  <si>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</si>
  <si>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</si>
  <si>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</si>
  <si>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</si>
  <si>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</si>
  <si>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PULVERIZADOR DE TINTA ELÉTRICO/MÁQUINA DE PINTURA AIRLESS, VAZÃO 2 L/MIN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</si>
  <si>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</si>
  <si>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</si>
  <si>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</si>
  <si>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</si>
  <si>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</si>
  <si>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</si>
  <si>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</si>
  <si>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</si>
  <si>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</si>
  <si>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</si>
  <si>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</si>
  <si>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</si>
  <si>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</si>
  <si>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</si>
  <si>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</si>
  <si>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</si>
  <si>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</si>
  <si>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</si>
  <si>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</si>
  <si>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PERFURATRIZ ROTATIVA SOBRE ESTEIRA, TORQUE MAXIMO 2500 KGM, POTENCIA 110 HP, MOTOR DIESEL - CHI DIURNO. AF_05/2017</t>
  </si>
  <si>
    <t>COMPRESSOR DE AR, VAZAO DE 10 PCM, RESERVATORIO 100 L, PRESSAO DE TRABALHO ENTRE 6,9 E 9,7 BAR  POTENCIA 2 HP, TENSAO 110/220 V  CHI DIURNO. AF_05/2017</t>
  </si>
  <si>
    <t>ROLO COMPACTADOR DE PNEUS, ESTATICO, PRESSAO VARIAVEL, POTENCIA 110 HP, PESO SEM/COM LASTRO 10,8/27 T, LARGURA DE ROLAGEM 2,30 M - CHI DIURNO. AF_06/2017</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</si>
  <si>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</si>
  <si>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</si>
  <si>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</si>
  <si>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</si>
  <si>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</si>
  <si>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</si>
  <si>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</si>
  <si>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</si>
  <si>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</si>
  <si>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</si>
  <si>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</si>
  <si>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</si>
  <si>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</si>
  <si>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</si>
  <si>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</si>
  <si>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</si>
  <si>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</si>
  <si>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</si>
  <si>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</si>
  <si>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</si>
  <si>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</si>
  <si>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</si>
  <si>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</si>
  <si>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</si>
  <si>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</si>
  <si>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</si>
  <si>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</si>
  <si>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</si>
  <si>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</si>
  <si>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</si>
  <si>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</si>
  <si>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</si>
  <si>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</si>
  <si>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</si>
  <si>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</si>
  <si>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</si>
  <si>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</si>
  <si>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</si>
  <si>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</si>
  <si>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</si>
  <si>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</si>
  <si>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</si>
  <si>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</si>
  <si>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</si>
  <si>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</si>
  <si>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</si>
  <si>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</si>
  <si>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</si>
  <si>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</si>
  <si>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</si>
  <si>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</si>
  <si>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</si>
  <si>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</si>
  <si>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</si>
  <si>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</si>
  <si>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</si>
  <si>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</si>
  <si>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</si>
  <si>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</si>
  <si>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</si>
  <si>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</si>
  <si>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</si>
  <si>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</si>
  <si>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</si>
  <si>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</si>
  <si>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</si>
  <si>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</si>
  <si>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</si>
  <si>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</si>
  <si>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</si>
  <si>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</si>
  <si>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</si>
  <si>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</si>
  <si>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</si>
  <si>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</si>
  <si>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</si>
  <si>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</si>
  <si>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</si>
  <si>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</si>
  <si>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</si>
  <si>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</si>
  <si>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</si>
  <si>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</si>
  <si>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</si>
  <si>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</si>
  <si>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</si>
  <si>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</si>
  <si>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</si>
  <si>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</si>
  <si>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</si>
  <si>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</si>
  <si>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</si>
  <si>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</si>
  <si>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</si>
  <si>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</si>
  <si>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</si>
  <si>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</si>
  <si>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</si>
  <si>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</si>
  <si>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</si>
  <si>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</si>
  <si>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</si>
  <si>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</si>
  <si>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</si>
  <si>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</si>
  <si>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</si>
  <si>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</si>
  <si>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</si>
  <si>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</si>
  <si>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</si>
  <si>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</si>
  <si>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</si>
  <si>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</si>
  <si>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</si>
  <si>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</si>
  <si>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</si>
  <si>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</si>
  <si>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</si>
  <si>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</si>
  <si>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</si>
  <si>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</si>
  <si>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</si>
  <si>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</si>
  <si>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</si>
  <si>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</si>
  <si>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</si>
  <si>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</si>
  <si>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</si>
  <si>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</si>
  <si>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</si>
  <si>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</si>
  <si>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</si>
  <si>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</si>
  <si>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</si>
  <si>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</si>
  <si>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</si>
  <si>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</si>
  <si>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</si>
  <si>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</si>
  <si>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</si>
  <si>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</si>
  <si>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</si>
  <si>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</si>
  <si>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</si>
  <si>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</si>
  <si>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</si>
  <si>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</si>
  <si>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</si>
  <si>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</si>
  <si>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</si>
  <si>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</si>
  <si>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</si>
  <si>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</si>
  <si>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</si>
  <si>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</si>
  <si>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</si>
  <si>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</si>
  <si>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</si>
  <si>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</si>
  <si>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</si>
  <si>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</si>
  <si>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</si>
  <si>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</si>
  <si>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</si>
  <si>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</si>
  <si>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</si>
  <si>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</si>
  <si>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</si>
  <si>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</si>
  <si>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</si>
  <si>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</si>
  <si>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</si>
  <si>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</si>
  <si>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</si>
  <si>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</si>
  <si>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</si>
  <si>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</si>
  <si>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</si>
  <si>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</si>
  <si>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</si>
  <si>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</si>
  <si>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</si>
  <si>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</si>
  <si>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</si>
  <si>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</si>
  <si>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</si>
  <si>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</si>
  <si>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</si>
  <si>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</si>
  <si>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</si>
  <si>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</si>
  <si>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</si>
  <si>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</si>
  <si>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</si>
  <si>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</si>
  <si>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</si>
  <si>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</si>
  <si>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</si>
  <si>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</si>
  <si>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</si>
  <si>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</si>
  <si>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</si>
  <si>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</si>
  <si>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</si>
  <si>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</si>
  <si>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</si>
  <si>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</si>
  <si>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</si>
  <si>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</si>
  <si>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</si>
  <si>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</si>
  <si>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</si>
  <si>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</si>
  <si>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</si>
  <si>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</si>
  <si>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</si>
  <si>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</si>
  <si>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</si>
  <si>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</si>
  <si>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</si>
  <si>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</si>
  <si>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</si>
  <si>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</si>
  <si>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</si>
  <si>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</si>
  <si>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</si>
  <si>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</si>
  <si>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</si>
  <si>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</si>
  <si>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</si>
  <si>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</si>
  <si>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</si>
  <si>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</si>
  <si>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</si>
  <si>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</si>
  <si>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</si>
  <si>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</si>
  <si>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</si>
  <si>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</si>
  <si>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</si>
  <si>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</si>
  <si>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</si>
  <si>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</si>
  <si>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</si>
  <si>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</si>
  <si>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</si>
  <si>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</si>
  <si>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</si>
  <si>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</si>
  <si>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</si>
  <si>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</si>
  <si>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</si>
  <si>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</si>
  <si>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</si>
  <si>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</si>
  <si>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</si>
  <si>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</si>
  <si>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</si>
  <si>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</si>
  <si>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</si>
  <si>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</si>
  <si>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</si>
  <si>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</si>
  <si>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</si>
  <si>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</si>
  <si>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</si>
  <si>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</si>
  <si>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</si>
  <si>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</si>
  <si>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</si>
  <si>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</si>
  <si>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</si>
  <si>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</si>
  <si>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</si>
  <si>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</si>
  <si>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</si>
  <si>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</si>
  <si>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</si>
  <si>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</si>
  <si>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</si>
  <si>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</si>
  <si>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</si>
  <si>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</si>
  <si>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</si>
  <si>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</si>
  <si>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</si>
  <si>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</si>
  <si>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</si>
  <si>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</si>
  <si>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</si>
  <si>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</si>
  <si>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</si>
  <si>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</si>
  <si>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</si>
  <si>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</si>
  <si>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</si>
  <si>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</si>
  <si>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</si>
  <si>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</si>
  <si>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</si>
  <si>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</si>
  <si>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</si>
  <si>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</si>
  <si>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</si>
  <si>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</si>
  <si>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</si>
  <si>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</si>
  <si>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</si>
  <si>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</si>
  <si>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</si>
  <si>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</si>
  <si>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</si>
  <si>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</si>
  <si>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</si>
  <si>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</si>
  <si>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</si>
  <si>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</si>
  <si>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</si>
  <si>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</si>
  <si>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</si>
  <si>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</si>
  <si>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</si>
  <si>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</si>
  <si>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</si>
  <si>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</si>
  <si>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</si>
  <si>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</si>
  <si>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</si>
  <si>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</si>
  <si>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</si>
  <si>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</si>
  <si>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</si>
  <si>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</si>
  <si>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</si>
  <si>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</si>
  <si>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</si>
  <si>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</si>
  <si>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</si>
  <si>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</si>
  <si>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</si>
  <si>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</si>
  <si>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</si>
  <si>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</si>
  <si>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</si>
  <si>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</si>
  <si>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</si>
  <si>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</si>
  <si>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</si>
  <si>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</si>
  <si>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</si>
  <si>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</si>
  <si>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</si>
  <si>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</si>
  <si>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</si>
  <si>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</si>
  <si>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</si>
  <si>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</si>
  <si>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</si>
  <si>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</si>
  <si>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</si>
  <si>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</si>
  <si>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</si>
  <si>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</si>
  <si>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</si>
  <si>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</si>
  <si>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</si>
  <si>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</si>
  <si>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</si>
  <si>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</si>
  <si>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</si>
  <si>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</si>
  <si>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</si>
  <si>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</si>
  <si>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</si>
  <si>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</si>
  <si>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</si>
  <si>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</si>
  <si>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</si>
  <si>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</si>
  <si>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</si>
  <si>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</si>
  <si>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</si>
  <si>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</si>
  <si>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</si>
  <si>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</si>
  <si>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</si>
  <si>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</si>
  <si>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</si>
  <si>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</si>
  <si>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</si>
  <si>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</si>
  <si>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</si>
  <si>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</si>
  <si>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</si>
  <si>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</si>
  <si>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</si>
  <si>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</si>
  <si>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</si>
  <si>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</si>
  <si>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</si>
  <si>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</si>
  <si>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</si>
  <si>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</si>
  <si>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</si>
  <si>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</si>
  <si>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</si>
  <si>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</si>
  <si>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</si>
  <si>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</si>
  <si>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</si>
  <si>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</si>
  <si>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</si>
  <si>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</si>
  <si>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</si>
  <si>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</si>
  <si>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</si>
  <si>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</si>
  <si>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</si>
  <si>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</si>
  <si>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</si>
  <si>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</si>
  <si>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</si>
  <si>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</si>
  <si>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</si>
  <si>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</si>
  <si>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</si>
  <si>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</si>
  <si>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</si>
  <si>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</si>
  <si>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</si>
  <si>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</si>
  <si>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</si>
  <si>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</si>
  <si>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</si>
  <si>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</si>
  <si>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</si>
  <si>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</si>
  <si>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</si>
  <si>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</si>
  <si>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</si>
  <si>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</si>
  <si>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</si>
  <si>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</si>
  <si>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</si>
  <si>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</si>
  <si>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</si>
  <si>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</si>
  <si>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</si>
  <si>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</si>
  <si>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</si>
  <si>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</si>
  <si>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</si>
  <si>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</si>
  <si>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</si>
  <si>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</si>
  <si>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</si>
  <si>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</si>
  <si>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</si>
  <si>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</si>
  <si>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</si>
  <si>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</si>
  <si>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</si>
  <si>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</si>
  <si>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</si>
  <si>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</si>
  <si>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</si>
  <si>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</si>
  <si>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</si>
  <si>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</si>
  <si>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</si>
  <si>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</si>
  <si>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</si>
  <si>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</si>
  <si>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</si>
  <si>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</si>
  <si>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</si>
  <si>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</si>
  <si>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</si>
  <si>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</si>
  <si>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</si>
  <si>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</si>
  <si>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</si>
  <si>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DEPRECIAÇÃO. AF_08/2016</t>
  </si>
  <si>
    <t>PULVERIZADOR DE TINTA ELÉTRICO/MÁQUINA DE PINTURA AIRLESS, VAZÃO 2 L/MIN - JUROS. AF_08/2016</t>
  </si>
  <si>
    <t>PULVERIZADOR DE TINTA ELÉTRICO/MÁQUINA DE PINTURA AIRLESS, VAZÃO 2 L/MIN - MANUTENÇÃO.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</si>
  <si>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</si>
  <si>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</si>
  <si>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</si>
  <si>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</si>
  <si>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</si>
  <si>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</si>
  <si>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</si>
  <si>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</si>
  <si>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</si>
  <si>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</si>
  <si>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</si>
  <si>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</si>
  <si>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</si>
  <si>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</si>
  <si>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</si>
  <si>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</si>
  <si>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</si>
  <si>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</si>
  <si>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</si>
  <si>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</si>
  <si>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</si>
  <si>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</si>
  <si>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</si>
  <si>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</si>
  <si>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</si>
  <si>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</si>
  <si>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</si>
  <si>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</si>
  <si>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</si>
  <si>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</si>
  <si>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</si>
  <si>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</si>
  <si>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</si>
  <si>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</si>
  <si>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</si>
  <si>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</si>
  <si>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</si>
  <si>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</si>
  <si>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</si>
  <si>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</si>
  <si>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</si>
  <si>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</si>
  <si>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</si>
  <si>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</si>
  <si>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</si>
  <si>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</si>
  <si>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</si>
  <si>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</si>
  <si>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</si>
  <si>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</si>
  <si>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</si>
  <si>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</si>
  <si>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</si>
  <si>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</si>
  <si>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</si>
  <si>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</si>
  <si>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</si>
  <si>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</si>
  <si>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</si>
  <si>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</si>
  <si>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</si>
  <si>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</si>
  <si>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</si>
  <si>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</si>
  <si>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</si>
  <si>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</si>
  <si>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</si>
  <si>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</si>
  <si>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</si>
  <si>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</si>
  <si>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</si>
  <si>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</si>
  <si>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</si>
  <si>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</si>
  <si>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</si>
  <si>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</si>
  <si>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</si>
  <si>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</si>
  <si>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</si>
  <si>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</si>
  <si>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COMPRESSOR DE AR, VAZAO DE 10 PCM, RESERVATORIO 100 L, PRESSAO DE TRABALHO ENTRE 6,9 E 9,7 BAR,  POTENCIA 2 HP, TENSAO 110/220 V - DEPRECIAÇÃO. AF_05/2017</t>
  </si>
  <si>
    <t>COMPRESSOR DE AR, VAZAO DE 10 PCM, RESERVATORIO 100 L, PRESSAO DE TRABALHO ENTRE 6,9 E 9,7 BAR,  POTENCIA 2 HP, TENSAO 110/220 V - JUROS. AF_05/2017</t>
  </si>
  <si>
    <t>COMPRESSOR DE AR, VAZAO DE 10 PCM, RESERVATORIO 100 L, PRESSAO DE TRABALHO ENTRE 6,9 E 9,7 BAR,  POTENCIA 2 HP, TENSAO 110/220 V - MANUTENÇÃO. AF_05/2017</t>
  </si>
  <si>
    <t>COMPRESSOR DE AR, VAZAO DE 10 PCM, RESERVATORIO 100 L, PRESSAO DE TRABALHO ENTRE 6,9 E 9,7 BAR, POTENCIA 2 HP, TENSAO 110/220 V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</si>
  <si>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</si>
  <si>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</si>
  <si>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</si>
  <si>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</si>
  <si>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IMUNIZACAO DE MADEIRAMENTO PARA COBERTURA UTILIZANDO CUPINICIDA INCOLOR</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</si>
  <si>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</si>
  <si>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</si>
  <si>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</si>
  <si>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</si>
  <si>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</si>
  <si>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</si>
  <si>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</si>
  <si>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</si>
  <si>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</si>
  <si>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</si>
  <si>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</si>
  <si>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</si>
  <si>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</si>
  <si>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</si>
  <si>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</si>
  <si>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</si>
  <si>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</si>
  <si>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</si>
  <si>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</si>
  <si>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</si>
  <si>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</si>
  <si>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</si>
  <si>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</si>
  <si>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</si>
  <si>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73882/1</t>
  </si>
  <si>
    <t>CALHA EM CONCRETO SIMPLES, EM MEIA CANA, DIAMETRO 200 MM</t>
  </si>
  <si>
    <t>73882/5</t>
  </si>
  <si>
    <t>CALHA EM CONCRETO SIMPLES, EM MEIA CANA DE CONCRETO, DIAMETRO 600 MM</t>
  </si>
  <si>
    <t>73816/1</t>
  </si>
  <si>
    <t>EXECUCAO DE DRENO COM TUBOS DE PVC CORRUGADO FLEXIVEL PERFURADO - DN 100</t>
  </si>
  <si>
    <t>73816/2</t>
  </si>
  <si>
    <t>EXECUCAO DE DRENO VERTICAL COM PEDRISCO, DIAMETRO 200MM</t>
  </si>
  <si>
    <t>73881/1</t>
  </si>
  <si>
    <t>EXECUCAO DE DRENO COM MANTA GEOTEXTIL 200 G/M2</t>
  </si>
  <si>
    <t>73881/3</t>
  </si>
  <si>
    <t>73883/1</t>
  </si>
  <si>
    <t>EXECUCAO DE DRENO FRANCES COM AREIA MEDIA</t>
  </si>
  <si>
    <t>73883/2</t>
  </si>
  <si>
    <t>EXECUCAO DE DRENO FRANCES COM BRITA NUM 2</t>
  </si>
  <si>
    <t>73883/3</t>
  </si>
  <si>
    <t>EXECUCAO DE DRENO FRANCES COM CASCALHO</t>
  </si>
  <si>
    <t>73969/1</t>
  </si>
  <si>
    <t>EXECUCAO DE DRENOS DE CHORUME EM TUBOS DRENANTES DE CONCRETO, DIAM=200MM, ENVOLTOS EM BRITA E GEOTEXTIL</t>
  </si>
  <si>
    <t>74017/1</t>
  </si>
  <si>
    <t>EXECUCAO DE DRENOS DE CHORUME EM TUBOS DRENANTES, PVC, DIAM=100 MM, ENVOLTOS EM BRITA E GEOTEXTIL</t>
  </si>
  <si>
    <t>74017/2</t>
  </si>
  <si>
    <t>EXECUCAO DE DRENOS DE CHORUME EM TUBOS DRENANTES, PVC, DIAM=150 MM, ENVOLTOS EM BRITA E GEOTEXTIL</t>
  </si>
  <si>
    <t>75029/1</t>
  </si>
  <si>
    <t>TUBO PVC CORRUGADO RIGIDO PERFURADO DN 150 PARA DRENAGEM - FORNECIMENTO E INSTALACAO</t>
  </si>
  <si>
    <t>TUBO PVC CORRUGADO PERFURADO 100 MM C/ JUNTA ELASTICA PARA DRENAGEM.</t>
  </si>
  <si>
    <t>EXECUCAO DRENO PROFUNDO, COM CORTE TRAPEZOIDAL EM SOLO, DE 70X80X150CM EXCL TUBO INCL MATERIAL EXECUCAO, COM SELO ENCHIMENTO MATERIAL DRENANTE E ESCAVACAO</t>
  </si>
  <si>
    <t>EXECUCAO DE DRENO PROFUNDO, CORTE EM SOLO, COM TUBO POROSO D=0,20M</t>
  </si>
  <si>
    <t>EXECUCAO DE DRENO CEGO</t>
  </si>
  <si>
    <t>EXECUCAO DE DRENO DE TUBO DE CONRETO SIMPLES POROSO D=0,20 M (0,5MX0,5M) PARA GALERIAS DE AGUAS PLUVIAIS</t>
  </si>
  <si>
    <t>FORNECIMENTO E INSTALACAO DE MANTA BIDIM RT - 14</t>
  </si>
  <si>
    <t>FORNECIMENTO/INSTALACAO MANTA BIDIM RT-16</t>
  </si>
  <si>
    <t>TUBO PVC DN 75 MM PARA DRENAGEM - FORNECIMENTO E INSTALACAO</t>
  </si>
  <si>
    <t>TUBO PVC DN 100 MM PARA DRENAGEM - FORNECIMENTO E INSTALACAO</t>
  </si>
  <si>
    <t>TUBO PVC D=2 COM MATERIAL DRENANTE PARA DRENO/BARBACA - FORNECIMENTO E INSTALACAO</t>
  </si>
  <si>
    <t>TUBO PVC D=3" COM MATERIAL DRENANTE PARA DRENO/BARBACA - FORNECIMENTO E INSTALACAO</t>
  </si>
  <si>
    <t>TUBO PVC D=4" COM MATERIAL DRENANTE PARA DRENO/BARBACA - FORNECIMENTO E INSTALACAO</t>
  </si>
  <si>
    <t>CAMADA VERTICAL DRENANTE C/ PEDRA BRITADA NUMS 1 E 2</t>
  </si>
  <si>
    <t>FORNECIMENTO/INSTALACAO DE MANTA BIDIM RT-31</t>
  </si>
  <si>
    <t>FORNECIMENTO/INSTALACAO DE MANTA BIDIM RT-10</t>
  </si>
  <si>
    <t>FORNECIMENTO E LANCAMENTO DE PEDRA DE MAO</t>
  </si>
  <si>
    <t>ENROCAMENTO COM PEDRA ARGAMASSADA TRAÇO 1:4 COM PEDRA DE MÃO</t>
  </si>
  <si>
    <t>ENROCAMENTO MANUAL, SEM ARRUMACAO DO MATERIAL</t>
  </si>
  <si>
    <t>ENROCAMENTO MANUAL, COM ARRUMACAO DO MATERIAL</t>
  </si>
  <si>
    <t>73890/1</t>
  </si>
  <si>
    <t>ENSECADEIRA DE MADEIRA COM PAREDE SIMPLES</t>
  </si>
  <si>
    <t>73890/2</t>
  </si>
  <si>
    <t>ENSECADEIRA DE MADEIRA COM PAREDE DUPLA</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</si>
  <si>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</si>
  <si>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</si>
  <si>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</si>
  <si>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</si>
  <si>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</si>
  <si>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</si>
  <si>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</si>
  <si>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</si>
  <si>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</si>
  <si>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</si>
  <si>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</si>
  <si>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</si>
  <si>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</si>
  <si>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</si>
  <si>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</si>
  <si>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</si>
  <si>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</si>
  <si>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</si>
  <si>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</si>
  <si>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</si>
  <si>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</si>
  <si>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</si>
  <si>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</si>
  <si>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</si>
  <si>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</si>
  <si>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</si>
  <si>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</si>
  <si>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</si>
  <si>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</si>
  <si>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</si>
  <si>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</si>
  <si>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</si>
  <si>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</si>
  <si>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</si>
  <si>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</si>
  <si>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</si>
  <si>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</si>
  <si>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</si>
  <si>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</si>
  <si>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</si>
  <si>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</si>
  <si>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</si>
  <si>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</si>
  <si>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</si>
  <si>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</si>
  <si>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</si>
  <si>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</si>
  <si>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</si>
  <si>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</si>
  <si>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</si>
  <si>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</si>
  <si>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</si>
  <si>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</si>
  <si>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</si>
  <si>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</si>
  <si>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</si>
  <si>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</si>
  <si>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73799/1</t>
  </si>
  <si>
    <t>GRELHA EM FERRO FUNDIDO SIMPLES COM REQUADRO, CARGA MÁXIMA 12,5 T,  300 X 1000 MM, E = 15 MM, FORNECIDA E ASSENTADA COM ARGAMASSA 1:4 CIMENTO:AREIA.</t>
  </si>
  <si>
    <t>73856/1</t>
  </si>
  <si>
    <t>BOCA P/BUEIRO SIMPLES TUBULAR D=0,40M EM CONCRETO CICLOPICO, INCLINDO FORMAS, ESCAVACAO, REATERRO E MATERIAIS, EXCLUINDO MATERIAL REATERRO JAZIDA E TRANSPORTE</t>
  </si>
  <si>
    <t>73856/2</t>
  </si>
  <si>
    <t>BOCA PARA BUEIRO SIMPLES TUBULAR, DIAMETRO =0,60M, EM CONCRETO CICLOPICO, INCLUINDO FORMAS, ESCAVACAO, REATERRO E MATERIAIS, EXCLUINDO MATERIAL REATERRO JAZIDA E TRANSPORTE.</t>
  </si>
  <si>
    <t>73856/3</t>
  </si>
  <si>
    <t>BOCA PARA BUEIRO SIMPLES TUBULAR, DIAMETRO =0,80M, EM CONCRETO CICLOPICO, INCLUINDO FORMAS, ESCAVACAO, REATERRO E MATERIAIS, EXCLUINDO MATERIAL REATERRO JAZIDA E TRANSPORTE.</t>
  </si>
  <si>
    <t>73856/4</t>
  </si>
  <si>
    <t>BOCA PARA BUEIRO SIMPLES TUBULAR, DIAMETRO =1,00M, EM CONCRETO CICLOPICO, INCLUINDO FORMAS, ESCAVACAO, REATERRO E MATERIAIS, EXCLUINDO MATERIAL REATERRO JAZIDA E TRANSPORTE.</t>
  </si>
  <si>
    <t>73856/5</t>
  </si>
  <si>
    <t>BOCA PARA BUEIRO SIMPLES TUBULAR, DIAMETRO =1,20M, EM CONCRETO CICLOPICO, INCLUINDO FORMAS, ESCAVACAO, REATERRO E MATERIAIS, EXCLUINDO MATERIAL REATERRO JAZIDA E TRANSPORTE.</t>
  </si>
  <si>
    <t>73856/6</t>
  </si>
  <si>
    <t>BOCA PARA BUEIRO DUPLO TUBULAR, DIAMETRO =0,40M, EM CONCRETO CICLOPICO, INCLUINDO FORMAS, ESCAVACAO, REATERRO E MATERIAIS, EXCLUINDO MATERIAL REATERRO JAZIDA E TRANSPORTE.</t>
  </si>
  <si>
    <t>73856/7</t>
  </si>
  <si>
    <t>BOCA PARA BUEIRO DUPLO TUBULAR, DIAMETRO =0,60M, EM CONCRETO CICLOPICO, INCLUINDO FORMAS, ESCAVACAO, REATERRO E MATERIAIS, EXCLUINDO MATERIAL REATERRO JAZIDA E TRANSPORTE.</t>
  </si>
  <si>
    <t>73856/8</t>
  </si>
  <si>
    <t>BOCA PARA BUEIRO DUPLO TUBULAR, DIAMETRO =0,80M, EM CONCRETO CICLOPICO, INCLUINDO FORMAS, ESCAVACAO, REATERRO E MATERIAIS, EXCLUINDO MATERIAL REATERRO JAZIDA E TRANSPORTE.</t>
  </si>
  <si>
    <t>73856/9</t>
  </si>
  <si>
    <t>BOCA PARA BUEIRO DUPLO TUBULAR, DIAMETRO =1,00M, EM CONCRETO CICLOPICO, INCLUINDO FORMAS, ESCAVACAO, REATERRO E MATERIAIS, EXCLUINDO MATERIAL REATERRO JAZIDA E TRANSPORTE.</t>
  </si>
  <si>
    <t>73856/10</t>
  </si>
  <si>
    <t>BOCA PARA BUEIRO DUPLOTUBULAR, DIAMETRO =1,20M, EM CONCRETO CICLOPICO, INCLUINDO FORMAS, ESCAVACAO, REATERRO E MATERIAIS, EXCLUINDO MATERIAL REATERRO JAZIDA E TRANSPORTE.</t>
  </si>
  <si>
    <t>73856/11</t>
  </si>
  <si>
    <t>BOCA PARA BUEIRO TRIPLO TUBULAR, DIAMETRO =0,40M, EM CONCRETO CICLOPICO, INCLUINDO FORMAS, ESCAVACAO, REATERRO E MATERIAIS, EXCLUINDO MATERIAL REATERRO JAZIDA E TRANSPORTE.</t>
  </si>
  <si>
    <t>73856/12</t>
  </si>
  <si>
    <t>BOCA PARA BUEIRO TRIPLO TUBULAR, DIAMETRO =0,60M, EM CONCRETO CICLOPICO, INCLUINDO FORMAS, ESCAVACAO, REATERRO E MATERIAIS, EXCLUINDO MATERIAL REATERRO JAZIDA E TRANSPORTE.</t>
  </si>
  <si>
    <t>73856/13</t>
  </si>
  <si>
    <t>BOCA PARA BUEIRO TRIPLO TUBULAR, DIAMETRO =0,80M, EM CONCRETO CICLOPICO, INCLUINDO FORMAS, ESCAVACAO, REATERRO E MATERIAIS, EXCLUINDO MATERIAL REATERRO JAZIDA E TRANSPORTE.</t>
  </si>
  <si>
    <t>73856/14</t>
  </si>
  <si>
    <t>BOCA PARA BUEIRO TRIPLO TUBULAR, DIAMETRO =1,00M, EM CONCRETO CICLOPICO, INCLUINDO FORMAS, ESCAVACAO, REATERRO E MATERIAIS, EXCLUINDO MATERIAL REATERRO JAZIDA E TRANSPORTE.</t>
  </si>
  <si>
    <t>73856/15</t>
  </si>
  <si>
    <t>BOCA PARA BUEIRO TRIPLO TUBULAR, DIAMETRO =1,20M, EM CONCRETO CICLOPICO, INCLUINDO FORMAS, ESCAVACAO, REATERRO E MATERIAIS, EXCLUINDO MATERIAL REATERRO JAZIDA E TRANSPORTE.</t>
  </si>
  <si>
    <t>74224/1</t>
  </si>
  <si>
    <t>POCO DE VISITA PARA DRENAGEM PLUVIAL, EM CONCRETO ESTRUTURAL, DIMENSOES INTERNAS DE 90X150X80CM (LARGXCOMPXALT), PARA REDE DE 600 MM, EXCLUSOS TAMPAO E CHAMINE.</t>
  </si>
  <si>
    <t>GRELHA FF 30X90CM, 135KG, P/ CX RALO COM ASSENTAMENTO DE ARGAMASSA CIMENTO/AREIA 1:4 - FORNECIMENTO E INSTALAÇÃO</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</si>
  <si>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</si>
  <si>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</si>
  <si>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</si>
  <si>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</si>
  <si>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</si>
  <si>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</si>
  <si>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</si>
  <si>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</si>
  <si>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</si>
  <si>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</si>
  <si>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</si>
  <si>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</si>
  <si>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</si>
  <si>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</si>
  <si>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</si>
  <si>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</si>
  <si>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</si>
  <si>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ESCORAMENTO DE VALA, TIPO PONTALETEAMENTO, COM PROFUNDIDADE DE 0 A 1,5 M, LARGURA MENOR QUE 1,5 M, EM LOCAL COM NÍVEL ALTO DE INTERFERÊNCIA. AF_06/2016</t>
  </si>
  <si>
    <t>ESCORAMENTO DE VALA, TIPO PONTALETEAMENTO, COM PROFUNDIDADE DE 0 A 1,5 M, LARGURA MAIOR OU IGUAL A 1,5 M E MENOR QUE 2,5 M, EM LOCAL COM NÍVEL ALTO DE INTERFERÊNCIA. AF_06/2016</t>
  </si>
  <si>
    <t>ESCORAMENTO DE VALA, TIPO PONTALETEAMENTO, COM PROFUNDIDADE DE 1,5 A 3,0 M, LARGURA MENOR QUE 1,5 M, EM LOCAL COM NÍVEL ALTO DE INTERFERÊNCIA. AF_06/2016</t>
  </si>
  <si>
    <t>ESCORAMENTO DE VALA, TIPO PONTALETEAMENTO, COM PROFUNDIDADE DE 1,5 A 3,0 M, LARGURA MAIOR OU IGUAL A 1,5 M E MENOR QUE 2,5 M, EM LOCAL COM NÍVEL ALTO DE INTERFERÊNCIA. AF_06/2016</t>
  </si>
  <si>
    <t>ESCORAMENTO DE VALA, TIPO PONTALETEAMENTO, COM PROFUNDIDADE DE 3,0 A 4,5 M, LARGURA MENOR QUE 1,5 M EM LOCAL COM NÍVEL ALTO DE INTERFERÊNCIA. AF_06/2016</t>
  </si>
  <si>
    <t>ESCORAMENTO DE VALA, TIPO PONTALETEAMENTO, COM PROFUNDIDADE DE 3,0 A 4,5 M, LARGURA MAIOR OU IGUAL A 1,5 M E MENOR QUE 2,5 M, EM LOCAL COM NÍVEL ALTO DE INTERFERÊNCIA. AF_06/2016</t>
  </si>
  <si>
    <t>ESCORAMENTO DE VALA, TIPO PONTALETEAMENTO, COM PROFUNDIDADE DE 0 A 1,5 M, LARGURA MENOR QUE 1,5 M, EM LOCAL COM NÍVEL BAIXO DE INTERFERÊNCIA. AF_06/2016</t>
  </si>
  <si>
    <t>ESCORAMENTO DE VALA, TIPO PONTALETEAMENTO, COM PROFUNDIDADE DE 0 A 1,5 M, LARGURA MAIOR OU IGUAL A 1,5 M E MENOR QUE 2,5 M, EM LOCAL COM NÍVEL BAIXO DE INTERFERÊNCIA. AF_06/2016</t>
  </si>
  <si>
    <t>ESCORAMENTO DE VALA, TIPO PONTALETEAMENTO, COM PROFUNDIDADE DE 1,5 A 3,0 M, LARGURA MENOR QUE 1,5 M, EM LOCAL COM NÍVEL BAIXO DE INTERFERÊNCIA. AF_06/2016</t>
  </si>
  <si>
    <t>ESCORAMENTO DE VALA, TIPO PONTALETEAMENTO, COM PROFUNDIDADE DE 1,5 A 3,0 M, LARGURA MAIOR OU IGUAL A 1,5 M E MENOR QUE 2,5 M, EM LOCAL COM NÍVEL BAIXO DE INTERFERÊNCIA. AF_06/2016</t>
  </si>
  <si>
    <t>ESCORAMENTO DE VALA, TIPO PONTALETEAMENTO, COM PROFUNDIDADE DE 3,0 A 4,5 M, LARGURA MENOR QUE 1,5 M EM LOCAL COM NÍVEL BAIXO DE INTERFERÊNCIA. AF_06/2016</t>
  </si>
  <si>
    <t>ESCORAMENTO DE VALA, TIPO PONTALETEAMENTO, COM PROFUNDIDADE DE 3,0 A 4,5 M, LARGURA MAIOR OU IGUAL A 1,5 M E MENOR QUE 2,5 M, EM LOCAL COM NÍVEL BAIXO DE INTERFERÊNCIA. AF_06/2016</t>
  </si>
  <si>
    <t>ESCORAMENTO DE VALA, TIPO DESCONTÍNUO, COM PROFUNDIDADE DE 0 A 1,5 M, LARGURA MENOR QUE 1,5 M, EM LOCAL COM NÍVEL ALTO DE INTERFERÊNCIA. AF_06/2016</t>
  </si>
  <si>
    <t>ESCORAMENTO DE VALA, TIPO DESCONTÍNUO, COM PROFUNDIDADE DE 0 A 1,5 M, LARGURA MAIOR OU IGUAL A 1,5 M E MENOR QUE 2,5 M, EM LOCAL COM NÍVEL ALTO DE INTERFERÊNCIA. AF_06/2016</t>
  </si>
  <si>
    <t>ESCORAMENTO DE VALA, TIPO DESCONTÍNUO, COM PROFUNDIDADE DE 1,5 M A 3,0 M, LARGURA MENOR QUE 1,5 M, EM LOCAL COM NÍVEL ALTO DE INTERFERÊNCIA. AF_06/2016</t>
  </si>
  <si>
    <t>ESCORAMENTO DE VALA, TIPO DESCONTÍNUO, COM PROFUNDIDADE DE 1,5 A 3,0 M, LARGURA MAIOR OU IGUAL A 1,5 M E MENOR QUE 2,5 M, EM LOCAL COM NÍVEL ALTO DE INTERFERÊNCIA. AF_06/2016</t>
  </si>
  <si>
    <t>ESCORAMENTO DE VALA, TIPO DESCONTÍNUO, COM PROFUNDIDADE DE 3,0 A 4,5 M, LARGURA MENOR QUE 1,5 M, EM LOCAL COM NÍVEL ALTO DE INTERFERÊNCIA. AF_06/2016</t>
  </si>
  <si>
    <t>ESCORAMENTO DE VALA, TIPO DESCONTÍNUO, COM PROFUNDIDADE DE 3,0 A 4,5 M, LARGURA MAIOR OU IGUAL A 1,5 E MENOR QUE 2,5 M, EM LOCAL COM NÍVEL ALTO DE INTERFERÊNCIA. AF_06/2016</t>
  </si>
  <si>
    <t>ESCORAMENTO DE VALA, TIPO DESCONTÍNUO, COM PROFUNDIDADE DE 0 A 1,5 M, LARGURA MENOR QUE 1,5 M, EM LOCAL COM NÍVEL BAIXO DE INTERFERÊNCIA. AF_06/2016</t>
  </si>
  <si>
    <t>ESCORAMENTO DE VALA, TIPO DESCONTÍNUO, COM PROFUNDIDADE DE 0 A 1,5 M, LARGURA MAIOR OU IGUAL A 1,5 M E MENOR QUE 2,5 M, EM LOCAL COM NÍVEL BAIXO DE INTERFERÊNCIA. AF_06/2016</t>
  </si>
  <si>
    <t>ESCORAMENTO DE VALA, TIPO DESCONTÍNUO, COM PROFUNDIDADE DE 1,5 M A 3,0 M, LARGURA MENOR QUE 1,5 M, EM LOCAL COM NÍVEL BAIXO DE INTERFERÊNCIA. AF_06/2016</t>
  </si>
  <si>
    <t>ESCORAMENTO DE VALA, TIPO DESCONTÍNUO, COM PROFUNDIDADE DE 1,5 A 3,0 M, LARGURA MAIOR OU IGUAL A 1,5 M E MENOR QUE 2,5 M, EM LOCAL COM NÍVEL BAIXO DE INTERFERÊNCIA. AF_06/2016</t>
  </si>
  <si>
    <t>ESCORAMENTO DE VALA, TIPO DESCONTÍNUO, COM PROFUNDIDADE DE 3,0 A 4,5 M, LARGURA MENOR QUE 1,5 M, EM LOCAL COM NÍVEL BAIXO DE INTERFERÊNCIA. AF_06/2016</t>
  </si>
  <si>
    <t>ESCORAMENTO DE VALA, TIPO DESCONTÍNUO, COM PROFUNDIDADE DE 3,0 A 4,5 M, LARGURA MAIOR OU IGUAL A 1,5 E MENOR QUE 2,5 M, EM LOCAL COM NÍVEL BAIXO DE INTERFERÊNCIA. AF_06/2016</t>
  </si>
  <si>
    <t>ESCORAMENTO CONTINUO DE VALAS, MISTO, COM PERFIL I DE 8"</t>
  </si>
  <si>
    <t>ESCORAMENTO FORMAS ATE H = 3,30M, COM MADEIRA DE 3A QUALIDADE, NAO APARELHADA, APROVEITAMENTO TABUAS 3X E PRUMOS 4X.</t>
  </si>
  <si>
    <t>ESCORAMENTO FORMAS DE H=3,30 A 3,50 M, COM MADEIRA 3A QUALIDADE, NAO APARELHADA, APROVEITAMENTO TABUAS 3X E PRUMOS 4X</t>
  </si>
  <si>
    <t>ESCORAMENTO FORMAS H=3,50 A 4,00 M, COM MADEIRA DE 3A QUALIDADE, NAO APARELHADA, APROVEITAMENTO TABUAS 3X E PRUMOS 4X.</t>
  </si>
  <si>
    <t>ESCADA TIPO MARINHEIRO EM ACO CA-50 9,52MM INCLUSO PINTURA COM FUNDO ANTICORROSIVO TIPO ZARCAO</t>
  </si>
  <si>
    <t>74194/1</t>
  </si>
  <si>
    <t>ESCADA TIPO MARINHEIRO EM TUBO ACO GALVANIZADO 1 1/2" 5 DEGRAUS</t>
  </si>
  <si>
    <t>JOGO DE FERRAGENS CROMADAS PARA PORTA DE VIDRO TEMPERADO, UMA FOLHA COMPOSTO DE DOBRADICAS SUPERIOR E INFERIOR, TRINCO, FECHADURA, CONTRA FECHADURA COM CAPUCHINHO SEM MOLA E PUXADOR</t>
  </si>
  <si>
    <t>MOLA HIDRAULICA DE PISO PARA PORTA DE VIDRO TEMPERADO</t>
  </si>
  <si>
    <t>74046/2</t>
  </si>
  <si>
    <t>VIDRO LISO COMUM TRANSPARENTE, ESPESSURA 3MM</t>
  </si>
  <si>
    <t>VIDRO LISO COMUM TRANSPARENTE, ESPESSURA 4MM</t>
  </si>
  <si>
    <t>VIDRO TEMPERADO INCOLOR, ESPESSURA 6MM, FORNECIMENTO E INSTALACAO, INCLUSIVE MASSA PARA VEDACAO</t>
  </si>
  <si>
    <t>VIDRO TEMPERADO INCOLOR, ESPESSURA 8MM, FORNECIMENTO E INSTALACAO, INCLUSIVE MASSA PARA VEDACAO</t>
  </si>
  <si>
    <t>VIDRO TEMPERADO INCOLOR, ESPESSURA 10MM, FORNECIMENTO E INSTALACAO, INCLUSIVE MASSA PARA VEDACAO</t>
  </si>
  <si>
    <t>VIDRO FANTASIA TIPO CANELADO, ESPESSURA 4MM</t>
  </si>
  <si>
    <t>73838/1</t>
  </si>
  <si>
    <t>PORTA DE VIDRO TEMPERADO, 0,9X2,10M, ESPESSURA 10MM, INCLUSIVE ACESSORIOS</t>
  </si>
  <si>
    <t>74125/1</t>
  </si>
  <si>
    <t>ESPELHO CRISTAL ESPESSURA 4MM, COM MOLDURA DE MADEIRA</t>
  </si>
  <si>
    <t>74125/2</t>
  </si>
  <si>
    <t>VIDRO LISO COMUM TRANSPARENTE, ESPESSURA 5MM</t>
  </si>
  <si>
    <t>VIDRO LISO COMUM TRANSPARENTE, ESPESSURA 6MM</t>
  </si>
  <si>
    <t>VIDRO LISO FUME, ESPESSURA 4MM</t>
  </si>
  <si>
    <t>VIDRO LISO FUME, ESPESSURA 6MM</t>
  </si>
  <si>
    <t>VIDRO FANTASIA MARTELADO 4MM</t>
  </si>
  <si>
    <t>ESPELHO CRISTAL, ESPESSURA 4MM, COM PARAFUSOS DE FIXACAO, SEM MOLDURA</t>
  </si>
  <si>
    <t>PORTAO DE FERRO EM CHAPA GALVANIZADA PLANA 14 GSG</t>
  </si>
  <si>
    <t>73908/1</t>
  </si>
  <si>
    <t>CANTONEIRA DE ALUMINIO 2"X2", PARA PROTECAO DE QUINA DE PAREDE</t>
  </si>
  <si>
    <t>73908/2</t>
  </si>
  <si>
    <t>CANTONEIRA DE ALUMINIO 1"X1, PARA PROTECAO DE QUINA DE PAREDE</t>
  </si>
  <si>
    <t>CANTONEIRA DE MADEIRA 3,0X3,0X1,0CM</t>
  </si>
  <si>
    <t>CANTONEIRA DE MADEIRA COM LAMINADO MELAMINICO FOSCO 3,0X3,0X1,0CM</t>
  </si>
  <si>
    <t>ARRASAMENTO MECANICO DE ESTACA DE CONCRETO ARMADO, DIAMETROS DE ATÉ 40 CM. AF_11/2016</t>
  </si>
  <si>
    <t>ARRASAMENTO MECANICO DE ESTACA DE CONCRETO ARMADO, DIAMETROS DE 41 CM A 60 CM. AF_11/2016</t>
  </si>
  <si>
    <t>ARRASAMENTO MECANICO DE ESTACA DE CONCRETO ARMADO, DIAMETROS DE 61 CM A 80 CM. AF_11/2016</t>
  </si>
  <si>
    <t>ARRASAMENTO MECANICO DE ESTACA DE CONCRETO ARMADO, DIAMETROS DE 81 CM A 100 CM. AF_11/2016</t>
  </si>
  <si>
    <t>ARRASAMENTO MECANICO DE ESTACA DE CONCRETO ARMADO, DIAMETROS DE 101 CM A 150 CM. AF_11/2016</t>
  </si>
  <si>
    <t>ARRASAMENTO DE ESTACA METÁLICA, PERFIL LAMINADO TIPO I FAMÍLIA 250. AF_11/2016</t>
  </si>
  <si>
    <t>ARRASAMENTO DE ESTACA METÁLICA, PERFIL LAMINADO TIPO H FAMÍLIA 250. AF_11/2016</t>
  </si>
  <si>
    <t>ARRASAMENTO DE ESTACA METÁLICA, PERFIL LAMINADO TIPO H FAMÍLIA 310. AF_11/2016</t>
  </si>
  <si>
    <t>ESTACA RAIZ, DIÂMETRO DE 20 CM, COMPRIMENTO DE ATÉ 10 M, SEM PRESENÇA DE ROCHA. AF_04/2017</t>
  </si>
  <si>
    <t>ESTACA RAIZ, DIÂMETRO DE 31 CM, COMPRIMENTO DE ATÉ 10 M, SEM PRESENÇA DE ROCHA. AF_05/2017</t>
  </si>
  <si>
    <t>ESTACA RAIZ, DIÂMETRO DE 40 CM, COMPRIMENTO DE ATÉ 10 M, SEM PRESENÇA DE ROCHA. AF_05/2017</t>
  </si>
  <si>
    <t>ESTACA RAIZ, DIÂMETRO DE 45 CM, COMPRIMENTO DE ATÉ 10 M, SEM PRESENÇA DE ROCHA. AF_05/2017</t>
  </si>
  <si>
    <t>ESTACA RAIZ, DIÂMETRO DE 20 CM, COMPRIMENTO DE 11 A 20 M, SEM PRESENÇA DE ROCHA. AF_05/2017</t>
  </si>
  <si>
    <t>ESTACA RAIZ, DIÂMETRO DE 31 CM, COMPRIMENTO DE 11 A 20 M, SEM PRESENÇA DE ROCHA. AF_05/2017</t>
  </si>
  <si>
    <t>ESTACA RAIZ, DIÂMETRO DE 40 CM, COMPRIMENTO DE 11 A 20 M, SEM PRESENÇA DE ROCHA. AF_05/2017</t>
  </si>
  <si>
    <t>ESTACA RAIZ, DIÂMETRO DE 45 CM, COMPRIMENTO DE 11 A 20 M, SEM PRESENÇA DE ROCHA. AF_05/2017</t>
  </si>
  <si>
    <t>ESTACA RAIZ, DIÂMETRO DE 20 CM, COMPRIMENTO DE 21 A 30 M, SEM PRESENÇA DE ROCHA. AF_05/2017</t>
  </si>
  <si>
    <t>ESTACA RAIZ, DIÂMETRO DE 31 CM, COMPRIMENTO DE 21 A 30 M, SEM PRESENÇA DE ROCHA. AF_05/2017</t>
  </si>
  <si>
    <t>ESTACA RAIZ, DIÂMETRO DE 40 CM, COMPRIMENTO DE 21 A 30 M, SEM PRESENÇA DE ROCHA. AF_05/2017</t>
  </si>
  <si>
    <t>ESTACA RAIZ, DIÂMETRO DE 45 CM, COMPRIMENTO DE 21 A 30 M, SEM PRESENÇA DE ROCHA. AF_05/2017</t>
  </si>
  <si>
    <t>ESTACA RAIZ, DIÂMETRO DE 20 CM, COMPRIMENTO DE ATÉ 10 M, COM PRESENÇA DE ROCHA. AF_05/2017</t>
  </si>
  <si>
    <t>ESTACA RAIZ, DIÂMETRO DE 31 CM, COMPRIMENTO DE ATÉ 10 M, COM PRESENÇA DE ROCHA. AF_05/2017</t>
  </si>
  <si>
    <t>ESTACA RAIZ, DIÂMETRO DE 40 CM, COMPRIMENTO DE ATÉ 10 M, COM PRESENÇA DE ROCHA. AF_05/2017</t>
  </si>
  <si>
    <t>ESTACA RAIZ, DIÂMETRO DE 45 CM, COMPRIMENTO DE ATÉ 10 M, COM PRESENÇA DE ROCHA. AF_05/2017</t>
  </si>
  <si>
    <t>ESTACA RAIZ, DIÂMETRO DE 20 CM, COMPRIMENTO DE 11 A 20 M, COM PRESENÇA DE ROCHA. AF_05/2017</t>
  </si>
  <si>
    <t>ESTACA RAIZ, DIÂMETRO DE 31 CM, COMPRIMENTO DE 11 A 20 M, COM PRESENÇA DE ROCHA. AF_05/2017</t>
  </si>
  <si>
    <t>ESTACA RAIZ, DIÂMETRO DE 40 CM, COMPRIMENTO DE 11 A 20 M, COM PRESENÇA DE ROCHA. AF_05/2017</t>
  </si>
  <si>
    <t>ESTACA RAIZ, DIÂMETRO DE 45 CM, COMPRIMENTO DE 11 A 20 M, COM PRESENÇA DE ROCHA. AF_05/2017</t>
  </si>
  <si>
    <t>ESTACA RAIZ, DIÂMETRO DE 20 CM, COMPRIMENTO DE 21 A 30 M, COM PRESENÇA DE ROCHA. AF_05/2017</t>
  </si>
  <si>
    <t>ESTACA RAIZ, DIÂMETRO DE 31 CM, COMPRIMENTO DE 21 A 30 M, COM PRESENÇA DE ROCHA. AF_05/2017</t>
  </si>
  <si>
    <t>ESTACA RAIZ, DIÂMETRO DE 40 CM, COMPRIMENTO DE 21 A 30 M, COM PRESENÇA DE ROCHA. AF_05/2017</t>
  </si>
  <si>
    <t>ESTACA RAIZ, DIÂMETRO DE 45 CM, COMPRIMENTO DE 21 A 30 M, COM PRESENÇA DE ROCHA. AF_05/2017</t>
  </si>
  <si>
    <t>FORMAS MANUSEÁVEIS PARA PAREDES DE CONCRETO MOLDADAS IN LOCO, DE EDIFICAÇÕES DE MULTIPLOS PAVIMENTO, EM PLATIBANDA. AF_06/2015</t>
  </si>
  <si>
    <t>FORMAS MANUSEÁVEIS PARA PAREDES DE CONCRETO MOLDADAS IN LOCO, DE EDIFICAÇÕES DE MULTIPLOS PAVIMENTOS, EM FACES INTERNAS DE PAREDES. AF_06/2015</t>
  </si>
  <si>
    <t>FORMAS MANUSEÁVEIS PARA PAREDES DE CONCRETO MOLDADAS IN LOCO, DE EDIFICAÇÕES DE MULTIPLOS PAVIMENTOS, EM LAJES. AF_06/2015</t>
  </si>
  <si>
    <t>FORMAS MANUSEÁVEIS PARA PAREDES DE CONCRETO MOLDADAS IN LOCO, DE EDIFICAÇÕES DE MULTIPLOS PAVIMENTOS, EM PANOS DE FACHADA COM VÃOS. AF_06/2015</t>
  </si>
  <si>
    <t>FORMAS MANUSEÁVEIS PARA PAREDES DE CONCRETO MOLDADAS IN LOCO, DE EDIFICAÇÕES DE MULTIPLOS PAVIMENTOS, EM PANOS DE FACHADA SEM VÃOS. AF_06/2015</t>
  </si>
  <si>
    <t>FORMAS MANUSEÁVEIS PARA PAREDES DE CONCRETO MOLDADAS IN LOCO, DE EDIFICAÇÕES DE MULTIPLOS PAVIMENTOS, EM PANOS DE FACHADA COM VARANDAS. AF_06/2015</t>
  </si>
  <si>
    <t>FORMAS MANUSEÁVEIS PARA PAREDES DE CONCRETO MOLDADAS IN LOCO, DE EDIFICAÇÕES DE PAVIMENTO ÚNICO, EM FACES INTERNAS DE PAREDES. AF_06/2015</t>
  </si>
  <si>
    <t>FORMAS MANUSEÁVEIS PARA PAREDES DE CONCRETO MOLDADAS IN LOCO, DE EDIFICAÇÕES DE PAVIMENTO ÚNICO, EM LAJES. AF_06/2015</t>
  </si>
  <si>
    <t>FORMAS MANUSEÁVEIS PARA PAREDES DE CONCRETO MOLDADAS IN LOCO, DE EDIFICAÇÕES DE PAVIMENTO ÚNICO, EM PANOS DE FACHADA COM VÃOS. AF_06/2015</t>
  </si>
  <si>
    <t>FORMAS MANUSEÁVEIS PARA PAREDES DE CONCRETO MOLDADAS IN LOCO, DE EDIFICAÇÕES DE PAVIMENTO ÚNICO, EM PANOS DE FACHADA SEM VÃOS. AF_06/2015</t>
  </si>
  <si>
    <t>FORMAS MANUSEÁVEIS PARA PAREDES DE CONCRETO MOLDADAS IN LOCO, DE EDIFICAÇÕES DE PAVIMENTO ÚNICO, EM PANOS DE FACHADA COM VARANDA. AF_06/2015</t>
  </si>
  <si>
    <t>FABRICAÇÃO DE FÔRMA PARA PILARES E ESTRUTURAS SIMILARES, EM CHAPA DE MADEIRA COMPENSADA RESINADA, E = 17 MM. AF_12/2015</t>
  </si>
  <si>
    <t>FABRICAÇÃO DE FÔRMA PARA PILARES E ESTRUTURAS SIMILARES, EM CHAPA DE MADEIRA COMPENSADA PLASTIFICADA, E = 18 MM. AF_12/2015</t>
  </si>
  <si>
    <t>FABRICAÇÃO DE FÔRMA PARA VIGAS, EM CHAPA DE MADEIRA COMPENSADA RESINADA, E = 17 MM. AF_12/2015</t>
  </si>
  <si>
    <t>FABRICAÇÃO DE FÔRMA PARA VIGAS, EM CHAPA DE MADEIRA COMPENSADA PLASTIFICADA, E = 18 MM. AF_12/2015</t>
  </si>
  <si>
    <t>FABRICAÇÃO DE FÔRMA PARA LAJES, EM CHAPA DE MADEIRA COMPENSADA RESINADA, E = 17 MM. AF_12/2015</t>
  </si>
  <si>
    <t>FABRICAÇÃO DE FÔRMA PARA LAJES, EM CHAPA DE MADEIRA COMPENSADA PLASTIFICADA, E = 18 MM. AF_12/2015</t>
  </si>
  <si>
    <t>FABRICAÇÃO DE FÔRMA PARA PILARES E ESTRUTURAS SIMILARES, EM MADEIRA SERRADA, E=25 MM. AF_12/2015</t>
  </si>
  <si>
    <t>FABRICAÇÃO DE FÔRMA PARA VIGAS, COM MADEIRA SERRADA, E = 25 MM. AF_12/2015</t>
  </si>
  <si>
    <t>FABRICAÇÃO DE FÔRMA PARA LAJES, EM MADEIRA SERRADA, E=25 MM. AF_12/2015</t>
  </si>
  <si>
    <t>FABRICAÇÃO DE ESCORAS DE VIGA DO TIPO GARFO, EM MADEIRA. AF_12/2015</t>
  </si>
  <si>
    <t>FABRICAÇÃO DE ESCORAS DO TIPO PONTALETE, EM MADEIRA. AF_12/2015</t>
  </si>
  <si>
    <t>MONTAGEM E DESMONTAGEM DE FÔRMA DE PILARES RETANGULARES E ESTRUTURAS SIMILARES COM ÁREA MÉDIA DAS SEÇÕES MENOR OU IGUAL A 0,25 M², PÉ-DIREITO SIMPLES, EM MADEIRA SERRADA, 1 UTILIZAÇÃO. AF_12/2015</t>
  </si>
  <si>
    <t>MONTAGEM E DESMONTAGEM DE FÔRMA DE PILARES RETANGULARES E ESTRUTURAS SIMILARES COM ÁREA MÉDIA DAS SEÇÕES MAIOR QUE 0,25 M², PÉ-DIREITO SIMPLES, EM MADEIRA SERRADA, 1 UTILIZAÇÃO. AF_12/2015</t>
  </si>
  <si>
    <t>MONTAGEM E DESMONTAGEM DE FÔRMA DE PILARES RETANGULARES E ESTRUTURAS SIMILARES COM ÁREA MÉDIA DAS SEÇÕES MENOR OU IGUAL A 0,25 M², PÉ-DIREITO SIMPLES, EM MADEIRA SERRADA, 2 UTILIZAÇÕES. AF_12/2015</t>
  </si>
  <si>
    <t>MONTAGEM E DESMONTAGEM DE FÔRMA DE PILARES RETANGULARES E ESTRUTURAS SIMILARES COM ÁREA MÉDIA DAS SEÇÕES MAIOR QUE 0,25 M², PÉ-DIREITO SIMPLES, EM MADEIRA SERRADA, 2 UTILIZAÇÕES. AF_12/2015</t>
  </si>
  <si>
    <t>MONTAGEM E DESMONTAGEM DE FÔRMA DE PILARES RETANGULARES E ESTRUTURAS SIMILARES COM ÁREA MÉDIA DAS SEÇÕES MENOR OU IGUAL A 0,25 M², PÉ-DIREITO SIMPLES, EM MADEIRA SERRADA, 4 UTILIZAÇÕES. AF_12/2015</t>
  </si>
  <si>
    <t>MONTAGEM E DESMONTAGEM DE FÔRMA DE PILARES RETANGULARES E ESTRUTURAS SIMILARES COM ÁREA MÉDIA DAS SEÇÕES MAIOR QUE 0,25 M², PÉ-DIREITO SIMPLES, EM MADEIRA SERRADA, 4 UTILIZAÇÕES. AF_12/2015</t>
  </si>
  <si>
    <t>MONTAGEM E DESMONTAGEM DE FÔRMA DE PILARES RETANGULARES E ESTRUTURAS SIMILARES COM ÁREA MÉDIA DAS SEÇÕES MENOR OU IGUAL A 0,25 M², PÉ-DIREITO SIMPLES, EM CHAPA DE MADEIRA COMPENSADA RESINADA, 2 UTILIZAÇÕES. AF_12/2015</t>
  </si>
  <si>
    <t>MONTAGEM E DESMONTAGEM DE FÔRMA DE PILARES RETANGULARES E ESTRUTURAS SIMILARES COM ÁREA MÉDIA DAS SEÇÕES MAIOR QUE 0,25 M², PÉ-DIREITO SIMPLES, EM CHAPA DE MADEIRA COMPENSADA RESINADA, 2 UTILIZAÇÕES. AF_12/2015</t>
  </si>
  <si>
    <t>MONTAGEM E DESMONTAGEM DE FÔRMA DE PILARES RETANGULARES E ESTRUTURAS SIMILARES COM ÁREA MÉDIA DAS SEÇÕES MENOR OU IGUAL A 0,25 M², PÉ-DIREITO DUPLO, EM CHAPA DE MADEIRA COMPENSADA RESINADA, 2 UTILIZAÇÕES. AF_12/2015</t>
  </si>
  <si>
    <t>MONTAGEM E DESMONTAGEM DE FÔRMA DE PILARES RETANGULARES E ESTRUTURAS SIMILARES COM ÁREA MÉDIA DAS SEÇÕES MAIOR QUE 0,25 M², PÉ-DIREITO DUPLO, EM CHAPA DE MADEIRA COMPENSADA RESINADA, 2 UTILIZAÇÕES. AF_12/2015</t>
  </si>
  <si>
    <t>MONTAGEM E DESMONTAGEM DE FÔRMA DE PILARES RETANGULARES E ESTRUTURAS SIMILARES COM ÁREA MÉDIA DAS SEÇÕES MENOR OU IGUAL A 0,25 M², PÉ-DIREITO SIMPLES, EM CHAPA DE MADEIRA COMPENSADA RESINADA, 4 UTILIZAÇÕES. AF_12/2015</t>
  </si>
  <si>
    <t>MONTAGEM E DESMONTAGEM DE FÔRMA DE PILARES RETANGULARES E ESTRUTURAS SIMILARES COM ÁREA MÉDIA DAS SEÇÕES MAIOR QUE 0,25 M², PÉ-DIREITO SIMPLES, EM CHAPA DE MADEIRA COMPENSADA RESINADA, 4 UTILIZAÇÕES. AF_12/2015</t>
  </si>
  <si>
    <t>MONTAGEM E DESMONTAGEM DE FÔRMA DE PILARES RETANGULARES E ESTRUTURAS SIMILARES COM ÁREA MÉDIA DAS SEÇÕES MENOR OU IGUAL A 0,25 M², PÉ-DIREITO DUPLO, EM CHAPA DE MADEIRA COMPENSADA RESINADA, 4 UTILIZAÇÕES. AF_12/2015</t>
  </si>
  <si>
    <t>MONTAGEM E DESMONTAGEM DE FÔRMA DE PILARES RETANGULARES E ESTRUTURAS SIMILARES COM ÁREA MÉDIA DAS SEÇÕES MAIOR QUE 0,25 M², PÉ-DIREITO DUPLO, EM CHAPA DE MADEIRA COMPENSADA RESINADA, 4 UTILIZAÇÕES. AF_12/2015</t>
  </si>
  <si>
    <t>MONTAGEM E DESMONTAGEM DE FÔRMA DE PILARES RETANGULARES E ESTRUTURAS SIMILARES COM ÁREA MÉDIA DAS SEÇÕES MAIOR QUE 0,25 M², PÉ-DIREITO SIMPLES, EM CHAPA DE MADEIRA COMPENSADA RESINADA, 6 UTILIZAÇÕES. AF_12/2015</t>
  </si>
  <si>
    <t>MONTAGEM E DESMONTAGEM DE FÔRMA DE PILARES RETANGULARES E ESTRUTURAS SIMILARES COM ÁREA MÉDIA DAS SEÇÕES MAIOR QUE 0,25 M², PÉ-DIREITO DUPLO, EM CHAPA DE MADEIRA COMPENSADA RESINADA, 6 UTILIZAÇÕES. AF_12/2015</t>
  </si>
  <si>
    <t>MONTAGEM E DESMONTAGEM DE FÔRMA DE PILARES RETANGULARES E ESTRUTURAS SIMILARES COM ÁREA MÉDIA DAS SEÇÕES MENOR OU IGUAL A 0,25 M², PÉ-DIREITO SIMPLES, EM CHAPA DE MADEIRA COMPENSADA RESINADA, 8 UTILIZAÇÕES. AF_12/2015</t>
  </si>
  <si>
    <t>MONTAGEM E DESMONTAGEM DE FÔRMA DE PILARES RETANGULARES E ESTRUTURAS SIMILARES COM ÁREA MÉDIA DAS SEÇÕES MAIOR QUE 0,25 M², PÉ-DIREITO SIMPLES, EM CHAPA DE MADEIRA COMPENSADA RESINADA, 8 UTILIZAÇÕES. AF_12/2015</t>
  </si>
  <si>
    <t>MONTAGEM E DESMONTAGEM DE FÔRMA DE PILARES RETANGULARES E ESTRUTURAS SIMILARES COM ÁREA MÉDIA DAS SEÇÕES MENOR OU IGUAL A 0,25 M², PÉ-DIREITO DUPLO, EM CHAPA DE MADEIRA COMPENSADA RESINADA, 8 UTILIZAÇÕES. AF_12/2015</t>
  </si>
  <si>
    <t>MONTAGEM E DESMONTAGEM DE FÔRMA DE PILARES RETANGULARES E ESTRUTURAS SIMILARES COM ÁREA MÉDIA DAS SEÇÕES MAIOR QUE 0,25 M², PÉ-DIREITO DUPLO, EM CHAPA DE MADEIRA COMPENSADA RESINADA, 8 UTILIZAÇÕES. AF_12/2015</t>
  </si>
  <si>
    <t>MONTAGEM E DESMONTAGEM DE FÔRMA DE PILARES RETANGULARES E ESTRUTURAS SIMILARES COM ÁREA MÉDIA DAS SEÇÕES MENOR OU IGUAL A 0,25 M², PÉ-DIREITO SIMPLES, EM CHAPA DE MADEIRA COMPENSADA PLASTIFICADA, 10 UTILIZAÇÕES. AF_12/2015</t>
  </si>
  <si>
    <t>MONTAGEM E DESMONTAGEM DE FÔRMA DE PILARES RETANGULARES E ESTRUTURAS SIMILARES COM ÁREA MÉDIA DAS SEÇÕES MAIOR QUE 0,25 M², PÉ-DIREITO SIMPLES, EM CHAPA DE MADEIRA COMPENSADA PLASTIFICADA, 10 UTILIZAÇÕES. AF_12/2015</t>
  </si>
  <si>
    <t>MONTAGEM E DESMONTAGEM DE FÔRMA DE PILARES RETANGULARES E ESTRUTURAS SIMILARES COM ÁREA MÉDIA DAS SEÇÕES MENOR OU IGUAL A 0,25 M², PÉ-DIREITO DUPLO, EM CHAPA DE MADEIRA COMPENSADA PLASTIFICADA, 10 UTILIZAÇÕES. AF_12/2015</t>
  </si>
  <si>
    <t>MONTAGEM E DESMONTAGEM DE FÔRMA DE PILARES RETANGULARES E ESTRUTURAS SIMILARES COM ÁREA MÉDIA DAS SEÇÕES MAIOR QUE 0,25 M², PÉ-DIREITO DUPLO, EM CHAPA DE MADEIRA COMPENSADA PLASTIFICADA, 10 UTILIZAÇÕES. AF_12/2015</t>
  </si>
  <si>
    <t>MONTAGEM E DESMONTAGEM DE FÔRMA DE PILARES RETANGULARES E ESTRUTURAS SIMILARES COM ÁREA MÉDIA DAS SEÇÕES MENOR OU IGUAL A 0,25 M², PÉ-DIREITO SIMPLES, EM CHAPA DE MADEIRA COMPENSADA PLASTIFICADA, 12 UTILIZAÇÕES. AF_12/2015</t>
  </si>
  <si>
    <t>MONTAGEM E DESMONTAGEM DE FÔRMA DE PILARES RETANGULARES E ESTRUTURAS SIMILARES COM ÁREA MÉDIA DAS SEÇÕES MAIOR QUE 0,25 M², PÉ-DIREITO SIMPLES, EM CHAPA DE MADEIRA COMPENSADA PLASTIFICADA, 12 UTILIZAÇÕES. AF_12/2015</t>
  </si>
  <si>
    <t>MONTAGEM E DESMONTAGEM DE FÔRMA DE PILARES RETANGULARES E ESTRUTURAS SIMILARES COM ÁREA MÉDIA DAS SEÇÕES MENOR OU IGUAL A 0,25 M², PÉ-DIREITO DUPLO, EM CHAPA DE MADEIRA COMPENSADA PLASTIFICADA, 12 UTILIZAÇÕES. AF_12/2015</t>
  </si>
  <si>
    <t>MONTAGEM E DESMONTAGEM DE FÔRMA DE PILARES RETANGULARES E ESTRUTURAS SIMILARES COM ÁREA MÉDIA DAS SEÇÕES MAIOR QUE 0,25 M², PÉ-DIREITO DUPLO, EM CHAPA DE MADEIRA COMPENSADA PLASTIFICADA, 12 UTILIZAÇÕES. AF_12/2015</t>
  </si>
  <si>
    <t>MONTAGEM E DESMONTAGEM DE FÔRMA DE PILARES RETANGULARES E ESTRUTURAS SIMILARES COM ÁREA MÉDIA DAS SEÇÕES MENOR OU IGUAL A 0,25 M², PÉ-DIREITO SIMPLES, EM CHAPA DE MADEIRA COMPENSADA PLASTIFICADA, 14 UTILIZAÇÕES. AF_12/2015</t>
  </si>
  <si>
    <t>MONTAGEM E DESMONTAGEM DE FÔRMA DE PILARES RETANGULARES E ESTRUTURAS SIMILARES COM ÁREA MÉDIA DAS SEÇÕES MAIOR QUE 0,25 M², PÉ-DIREITO SIMPLES, EM CHAPA DE MADEIRA COMPENSADA PLASTIFICADA, 14 UTILIZAÇÕES. AF_12/2015</t>
  </si>
  <si>
    <t>MONTAGEM E DESMONTAGEM DE FÔRMA DE PILARES RETANGULARES E ESTRUTURAS SIMILARES COM ÁREA MÉDIA DAS SEÇÕES MENOR OU IGUAL A 0,25 M², PÉ-DIREITO DUPLO, EM CHAPA DE MADEIRA COMPENSADA PLASTIFICADA, 14 UTILIZAÇÕES. AF_12/2015</t>
  </si>
  <si>
    <t>MONTAGEM E DESMONTAGEM DE FÔRMA DE PILARES RETANGULARES E ESTRUTURAS SIMILARES COM ÁREA MÉDIA DAS SEÇÕES MAIOR QUE 0,25 M², PÉ-DIREITO DUPLO, EM CHAPA DE MADEIRA COMPENSADA PLASTIFICADA, 14 UTILIZAÇÕES. AF_12/2015</t>
  </si>
  <si>
    <t>MONTAGEM E DESMONTAGEM DE FÔRMA DE PILARES RETANGULARES E ESTRUTURAS SIMILARES COM ÁREA MÉDIA DAS SEÇÕES MENOR OU IGUAL A 0,25 M², PÉ-DIREITO SIMPLES, EM CHAPA DE MADEIRA COMPENSADA PLASTIFICADA, 18 UTILIZAÇÕES. AF_12/2015</t>
  </si>
  <si>
    <t>MONTAGEM E DESMONTAGEM DE FÔRMA DE PILARES RETANGULARES E ESTRUTURAS SIMILARES COM ÁREA MÉDIA DAS SEÇÕES MAIOR QUE 0,25 M², PÉ-DIREITO SIMPLES, EM CHAPA DE MADEIRA COMPENSADA PLASTIFICADA, 18 UTILIZAÇÕES. AF_12/2015</t>
  </si>
  <si>
    <t>MONTAGEM E DESMONTAGEM DE FÔRMA DE PILARES RETANGULARES E ESTRUTURAS SIMILARES COM ÁREA MÉDIA DAS SEÇÕES MENOR OU IGUAL A 0,25 M², PÉ-DIREITO DUPLO, EM CHAPA DE MADEIRA COMPENSADA PLASTIFICADA, 18 UTILIZAÇÕES. AF_12/2015</t>
  </si>
  <si>
    <t>MONTAGEM E DESMONTAGEM DE FÔRMA DE PILARES RETANGULARES E ESTRUTURAS SIMILARES COM ÁREA MÉDIA DAS SEÇÕES MAIOR QUE 0,25 M², PÉ-DIREITO DUPLO, EM CHAPA DE MADEIRA COMPENSADA PLASTIFICADA, 18 UTILIZAÇÕES. AF_12/2015</t>
  </si>
  <si>
    <t>MONTAGEM E DESMONTAGEM DE FÔRMA DE VIGA, ESCORAMENTO COM PONTALETE DE MADEIRA, PÉ-DIREITO SIMPLES, EM MADEIRA SERRADA, 1 UTILIZAÇÃO. AF_12/2015</t>
  </si>
  <si>
    <t>MONTAGEM E DESMONTAGEM DE FÔRMA DE VIGA, ESCORAMENTO COM PONTALETE DE MADEIRA, PÉ-DIREITO SIMPLES, EM MADEIRA SERRADA, 2 UTILIZAÇÕES. AF_12/2015</t>
  </si>
  <si>
    <t>MONTAGEM E DESMONTAGEM DE FÔRMA DE VIGA, ESCORAMENTO COM PONTALETE DE MADEIRA, PÉ-DIREITO SIMPLES, EM MADEIRA SERRADA, 4 UTILIZAÇÕES. AF_12/2015</t>
  </si>
  <si>
    <t>MONTAGEM E DESMONTAGEM DE FÔRMA DE VIGA, ESCORAMENTO COM GARFO DE MADEIRA, PÉ-DIREITO DUPLO, EM CHAPA DE MADEIRA RESINADA, 2 UTILIZAÇÕES. AF_12/2015</t>
  </si>
  <si>
    <t>MONTAGEM E DESMONTAGEM DE FÔRMA DE VIGA, ESCORAMENTO METÁLICO, PÉ-DIREITO DUPLO, EM CHAPA DE MADEIRA RESINADA, 2 UTILIZAÇÕES. AF_12/2015</t>
  </si>
  <si>
    <t>MONTAGEM E DESMONTAGEM DE FÔRMA DE VIGA, ESCORAMENTO COM GARFO DE MADEIRA, PÉ-DIREITO SIMPLES, EM CHAPA DE MADEIRA RESINADA, 2 UTILIZAÇÕES. AF_12/2015</t>
  </si>
  <si>
    <t>MONTAGEM E DESMONTAGEM DE FÔRMA DE VIGA, ESCORAMENTO METÁLICO, PÉ-DIREITO SIMPLES, EM CHAPA DE MADEIRA RESINADA, 2 UTILIZAÇÕES. AF_12/2015</t>
  </si>
  <si>
    <t>MONTAGEM E DESMONTAGEM DE FÔRMA DE VIGA, ESCORAMENTO COM GARFO DE MADEIRA, PÉ-DIREITO DUPLO, EM CHAPA DE MADEIRA RESINADA, 4 UTILIZAÇÕES. AF_12/2015</t>
  </si>
  <si>
    <t>MONTAGEM E DESMONTAGEM DE FÔRMA DE VIGA, ESCORAMENTO METÁLICO, PÉ-DIREITO DUPLO, EM CHAPA DE MADEIRA RESINADA, 4 UTILIZAÇÕES. AF_12/2015</t>
  </si>
  <si>
    <t>MONTAGEM E DESMONTAGEM DE FÔRMA DE VIGA, ESCORAMENTO COM GARFO DE MADEIRA, PÉ-DIREITO SIMPLES, EM CHAPA DE MADEIRA RESINADA, 4 UTILIZAÇÕES. AF_12/2015</t>
  </si>
  <si>
    <t>MONTAGEM E DESMONTAGEM DE FÔRMA DE VIGA, ESCORAMENTO METÁLICO, PÉ-DIREITO SIMPLES, EM CHAPA DE MADEIRA RESINADA, 4 UTILIZAÇÕES. AF_12/2015</t>
  </si>
  <si>
    <t>MONTAGEM E DESMONTAGEM DE FÔRMA DE VIGA, ESCORAMENTO COM GARFO DE MADEIRA, PÉ-DIREITO DUPLO, EM CHAPA DE MADEIRA RESINADA, 6 UTILIZAÇÕES. AF_12/2015</t>
  </si>
  <si>
    <t>MONTAGEM E DESMONTAGEM DE FÔRMA DE VIGA, ESCORAMENTO COM GARFO DE MADEIRA, PÉ-DIREITO SIMPLES, EM CHAPA DE MADEIRA RESINADA, 6 UTILIZAÇÕES. AF_12/2015</t>
  </si>
  <si>
    <t>MONTAGEM E DESMONTAGEM DE FÔRMA DE VIGA, ESCORAMENTO COM GARFO DE MADEIRA, PÉ-DIREITO DUPLO, EM CHAPA DE MADEIRA RESINADA, 8 UTILIZAÇÕES. AF_12/2015</t>
  </si>
  <si>
    <t>MONTAGEM E DESMONTAGEM DE FÔRMA DE VIGA, ESCORAMENTO METÁLICO, PÉ-DIREITO DUPLO, EM CHAPA DE MADEIRA RESINADA, 8 UTILIZAÇÕES. AF_12/2015</t>
  </si>
  <si>
    <t>MONTAGEM E DESMONTAGEM DE FÔRMA DE VIGA, ESCORAMENTO COM GARFO DE MADEIRA, PÉ-DIREITO SIMPLES, EM CHAPA DE MADEIRA RESINADA, 8 UTILIZAÇÕES. AF_12/2015</t>
  </si>
  <si>
    <t>MONTAGEM E DESMONTAGEM DE FÔRMA DE VIGA, ESCORAMENTO METÁLICO, PÉ-DIREITO SIMPLES, EM CHAPA DE MADEIRA RESINADA, 8 UTILIZAÇÕES. AF_12/2015</t>
  </si>
  <si>
    <t>MONTAGEM E DESMONTAGEM DE FÔRMA DE VIGA, ESCORAMENTO COM GARFO DE MADEIRA, PÉ-DIREITO DUPLO, EM CHAPA DE MADEIRA PLASTIFICADA, 10 UTILIZAÇÕES. AF_12/2015</t>
  </si>
  <si>
    <t>MONTAGEM E DESMONTAGEM DE FÔRMA DE VIGA, ESCORAMENTO METÁLICO, PÉ-DIREITO DUPLO, EM CHAPA DE MADEIRA PLASTIFICADA, 10 UTILIZAÇÕES. AF_12/2015</t>
  </si>
  <si>
    <t>MONTAGEM E DESMONTAGEM DE FÔRMA DE VIGA, ESCORAMENTO COM GARFO DE MADEIRA, PÉ-DIREITO SIMPLES, EM CHAPA DE MADEIRA PLASTIFICADA, 10 UTILIZAÇÕES. AF_12/2015</t>
  </si>
  <si>
    <t>MONTAGEM E DESMONTAGEM DE FÔRMA DE VIGA, ESCORAMENTO METÁLICO, PÉ-DIREITO SIMPLES, EM CHAPA DE MADEIRA PLASTIFICADA, 10 UTILIZAÇÕES. AF_12/2015</t>
  </si>
  <si>
    <t>MONTAGEM E DESMONTAGEM DE FÔRMA DE VIGA, ESCORAMENTO COM GARFO DE MADEIRA, PÉ-DIREITO DUPLO, EM CHAPA DE MADEIRA PLASTIFICADA, 12 UTILIZAÇÕES. AF_12/2015</t>
  </si>
  <si>
    <t>MONTAGEM E DESMONTAGEM DE FÔRMA DE VIGA, ESCORAMENTO METÁLICO, PÉ-DIREITO DUPLO, EM CHAPA DE MADEIRA PLASTIFICADA, 12 UTILIZAÇÕES. AF_12/2015</t>
  </si>
  <si>
    <t>MONTAGEM E DESMONTAGEM DE FÔRMA DE VIGA, ESCORAMENTO COM GARFO DE MADEIRA, PÉ-DIREITO SIMPLES, EM CHAPA DE MADEIRA PLASTIFICADA, 12 UTILIZAÇÕES. AF_12/2015</t>
  </si>
  <si>
    <t>MONTAGEM E DESMONTAGEM DE FÔRMA DE VIGA, ESCORAMENTO METÁLICO, PÉ-DIREITO SIMPLES, EM CHAPA DE MADEIRA PLASTIFICADA, 12 UTILIZAÇÕES. AF_12/2015</t>
  </si>
  <si>
    <t>MONTAGEM E DESMONTAGEM DE FÔRMA DE VIGA, ESCORAMENTO COM GARFO DE MADEIRA, PÉ-DIREITO DUPLO, EM CHAPA DE MADEIRA PLASTIFICADA, 14 UTILIZAÇÕES. AF_12/2015</t>
  </si>
  <si>
    <t>MONTAGEM E DESMONTAGEM DE FÔRMA DE VIGA, ESCORAMENTO METÁLICO, PÉ-DIREITO DUPLO, EM CHAPA DE MADEIRA PLASTIFICADA, 14 UTILIZAÇÕES. AF_12/2015</t>
  </si>
  <si>
    <t>MONTAGEM E DESMONTAGEM DE FÔRMA DE VIGA, ESCORAMENTO COM GARFO DE MADEIRA, PÉ-DIREITO SIMPLES, EM CHAPA DE MADEIRA PLASTIFICADA, 14 UTILIZAÇÕES. AF_12/2015</t>
  </si>
  <si>
    <t>MONTAGEM E DESMONTAGEM DE FÔRMA DE VIGA, ESCORAMENTO METÁLICO, PÉ-DIREITO SIMPLES, EM CHAPA DE MADEIRA PLASTIFICADA, 14 UTILIZAÇÕES. AF_12/2015</t>
  </si>
  <si>
    <t>MONTAGEM E DESMONTAGEM DE FÔRMA DE VIGA, ESCORAMENTO COM GARFO DE MADEIRA, PÉ-DIREITO DUPLO, EM CHAPA DE MADEIRA PLASTIFICADA, 18 UTILIZAÇÕES. AF_12/2015</t>
  </si>
  <si>
    <t>MONTAGEM E DESMONTAGEM DE FÔRMA DE VIGA, ESCORAMENTO METÁLICO, PÉ-DIREITO DUPLO, EM CHAPA DE MADEIRA PLASTIFICADA, 18 UTILIZAÇÕES. AF_12/2015</t>
  </si>
  <si>
    <t>MONTAGEM E DESMONTAGEM DE FÔRMA DE VIGA, ESCORAMENTO COM GARFO DE MADEIRA, PÉ-DIREITO SIMPLES, EM CHAPA DE MADEIRA PLASTIFICADA, 18 UTILIZAÇÕES. AF_12/2015</t>
  </si>
  <si>
    <t>MONTAGEM E DESMONTAGEM DE FÔRMA DE VIGA, ESCORAMENTO METÁLICO, PÉ-DIREITO SIMPLES, EM CHAPA DE MADEIRA PLASTIFICADA, 18 UTILIZAÇÕES. AF_12/2015</t>
  </si>
  <si>
    <t>MONTAGEM E DESMONTAGEM DE FÔRMA DE LAJE MACIÇA COM ÁREA MÉDIA MENOR OU IGUAL A 20 M², PÉ-DIREITO SIMPLES, EM MADEIRA SERRADA, 1 UTILIZAÇÃO. AF_12/2015</t>
  </si>
  <si>
    <t>MONTAGEM E DESMONTAGEM DE FÔRMA DE LAJE MACIÇA COM ÁREA MÉDIA MAIOR QUE 20 M², PÉ-DIREITO SIMPLES, EM MADEIRA SERRADA, 1 UTILIZAÇÃO. AF_12/2015</t>
  </si>
  <si>
    <t>MONTAGEM E DESMONTAGEM DE FÔRMA DE LAJE MACIÇA COM ÁREA MÉDIA MENOR OU IGUAL A 20 M², PÉ-DIREITO SIMPLES, EM MADEIRA SERRADA, 2 UTILIZAÇÕES. AF_12/2015</t>
  </si>
  <si>
    <t>MONTAGEM E DESMONTAGEM DE FÔRMA DE LAJE MACIÇA COM ÁREA MÉDIA MAIOR QUE 20 M², PÉ-DIREITO SIMPLES, EM MADEIRA SERRADA, 2 UTILIZAÇÕES. AF_12/2015</t>
  </si>
  <si>
    <t>MONTAGEM E DESMONTAGEM DE FÔRMA DE LAJE MACIÇA COM ÁREA MÉDIA MENOR OU IGUAL A 20 M², PÉ-DIREITO SIMPLES, EM MADEIRA SERRADA, 4 UTILIZAÇÕES. AF_12/2015</t>
  </si>
  <si>
    <t>MONTAGEM E DESMONTAGEM DE FÔRMA DE LAJE MACIÇA COM ÁREA MÉDIA MAIOR QUE 20 M², PÉ-DIREITO SIMPLES, EM MADEIRA SERRADA, 4 UTILIZAÇÕES. AF_12/2015</t>
  </si>
  <si>
    <t>MONTAGEM E DESMONTAGEM DE FÔRMA DE LAJE NERVURADA COM CUBETA E ASSOALHO COM ÁREA MÉDIA MENOR OU IGUAL A 20 M², PÉ-DIREITO DUPLO, EM CHAPA DE MADEIRA COMPENSADA RESINADA, 8 UTILIZAÇÕES. AF_12/2015</t>
  </si>
  <si>
    <t>MONTAGEM E DESMONTAGEM DE FÔRMA DE LAJE NERVURADA COM CUBETA E ASSOALHO COM ÁREA MÉDIA MAIOR QUE 20 M², PÉ-DIREITO DUPLO, EM CHAPA DE MADEIRA COMPENSADA RESINADA, 8 UTILIZAÇÕES. AF_12/2015</t>
  </si>
  <si>
    <t>MONTAGEM E DESMONTAGEM DE FÔRMA DE LAJE NERVURADA COM CUBETA E ASSOALHO COM ÁREA MÉDIA MENOR OU IGUAL A 20 M², PÉ-DIREITO SIMPLES, EM CHAPA DE MADEIRA COMPENSADA RESINADA, 8 UTILIZAÇÕES. AF_12/2015</t>
  </si>
  <si>
    <t>MONTAGEM E DESMONTAGEM DE FÔRMA DE LAJE NERVURADA COM CUBETA E ASSOALHO COM ÁREA MÉDIA MAIOR QUE 20 M², PÉ-DIREITO SIMPLES, EM CHAPA DE MADEIRA COMPENSADA RESINADA, 8 UTILIZAÇÕES. AF_12/2015</t>
  </si>
  <si>
    <t>MONTAGEM E DESMONTAGEM DE FÔRMA DE LAJE NERVURADA COM CUBETA E ASSOALHO COM ÁREA MÉDIA MENOR OU IGUAL A 20 M², PÉ-DIREITO DUPLO, EM CHAPA DE MADEIRA COMPENSADA RESINADA, 10 UTILIZAÇÕES. AF_12/2015</t>
  </si>
  <si>
    <t>MONTAGEM E DESMONTAGEM DE FÔRMA DE LAJE NERVURADA COM CUBETA E ASSOALHO COM ÁREA MÉDIA MAIOR QUE 20 M², PÉ-DIREITO DUPLO, EM CHAPA DE MADEIRA COMPENSADA RESINADA, 10 UTILIZAÇÕES. AF_12/2015</t>
  </si>
  <si>
    <t>MONTAGEM E DESMONTAGEM DE FÔRMA DE LAJE NERVURADA COM CUBETA E ASSOALHO COM ÁREA MÉDIA MENOR OU IGUAL A 20 M², PÉ-DIREITO SIMPLES, EM CHAPA DE MADEIRA COMPENSADA RESINADA, 10 UTILIZAÇÕES. AF_12/2015</t>
  </si>
  <si>
    <t>MONTAGEM E DESMONTAGEM DE FÔRMA DE LAJE NERVURADA COM CUBETA E ASSOALHO COM ÁREA MÉDIA MAIOR QUE 20 M², PÉ-DIREITO SIMPLES, EM CHAPA DE MADEIRA COMPENSADA RESINADA, 10 UTILIZAÇÕES. AF_12/2015</t>
  </si>
  <si>
    <t>MONTAGEM E DESMONTAGEM DE FÔRMA DE LAJE NERVURADA COM CUBETA E ASSOALHO COM ÁREA MÉDIA MENOR OU IGUAL A 20 M², PÉ-DIREITO DUPLO, EM CHAPA DE MADEIRA COMPENSADA RESINADA, 12 UTILIZAÇÕES. AF_12/2015</t>
  </si>
  <si>
    <t>MONTAGEM E DESMONTAGEM DE FÔRMA DE LAJE NERVURADA COM CUBETA E ASSOALHO COM ÁREA MÉDIA MAIOR QUE 20 M², PÉ-DIREITO DUPLO, EM CHAPA DE MADEIRA COMPENSADA RESINADA, 12 UTILIZAÇÕES. AF_12/2015</t>
  </si>
  <si>
    <t>MONTAGEM E DESMONTAGEM DE FÔRMA DE LAJE NERVURADA COM CUBETA E ASSOALHO COM ÁREA MÉDIA MENOR OU IGUAL A 20 M², PÉ-DIREITO SIMPLES, EM CHAPA DE MADEIRA COMPENSADA RESINADA, 12 UTILIZAÇÕES. AF_12/2015</t>
  </si>
  <si>
    <t>MONTAGEM E DESMONTAGEM DE FÔRMA DE LAJE NERVURADA COM CUBETA E ASSOALHO COM ÁREA MÉDIA MAIOR QUE 20 M², PÉ-DIREITO SIMPLES, EM CHAPA DE MADEIRA COMPENSADA RESINADA, 12 UTILIZAÇÕES. AF_12/2015</t>
  </si>
  <si>
    <t>MONTAGEM E DESMONTAGEM DE FÔRMA DE LAJE NERVURADA COM CUBETA E ASSOALHO COM ÁREA MÉDIA MENOR OU IGUAL A 20 M², PÉ-DIREITO DUPLO, EM CHAPA DE MADEIRA COMPENSADA RESINADA, 14 UTILIZAÇÕES. AF_12/2015</t>
  </si>
  <si>
    <t>MONTAGEM E DESMONTAGEM DE FÔRMA DE LAJE NERVURADA COM CUBETA E ASSOALHO COM ÁREA MÉDIA MAIOR QUE 20 M², PÉ-DIREITO DUPLO, EM CHAPA DE MADEIRA COMPENSADA RESINADA, 14 UTILIZAÇÕES. AF_12/2015</t>
  </si>
  <si>
    <t>MONTAGEM E DESMONTAGEM DE FÔRMA DE LAJE NERVURADA COM CUBETA E ASSOALHO COM ÁREA MÉDIA MENOR OU IGUAL A 20 M², PÉ-DIREITO SIMPLES, EM CHAPA DE MADEIRA COMPENSADA RESINADA, 14 UTILIZAÇÕES. AF_12/2015</t>
  </si>
  <si>
    <t>MONTAGEM E DESMONTAGEM DE FÔRMA DE LAJE NERVURADA COM CUBETA E ASSOALHO COM ÁREA MÉDIA MAIOR QUE 20 M², PÉ-DIREITO SIMPLES, EM CHAPA DE MADEIRA COMPENSADA RESINADA, 14 UTILIZAÇÕES. AF_12/2015</t>
  </si>
  <si>
    <t>MONTAGEM E DESMONTAGEM DE FÔRMA DE LAJE NERVURADA COM CUBETA E ASSOALHO COM ÁREA MÉDIA MENOR OU IGUAL A 20 M², PÉ-DIREITO DUPLO, EM CHAPA DE MADEIRA COMPENSADA RESINADA, 18 UTILIZAÇÕES. AF_12/2015</t>
  </si>
  <si>
    <t>MONTAGEM E DESMONTAGEM DE FÔRMA DE LAJE NERVURADA COM CUBETA E ASSOALHO COM ÁREA MÉDIA MAIOR QUE 20 M², PÉ-DIREITO DUPLO, EM CHAPA DE MADEIRA COMPENSADA RESINADA, 18 UTILIZAÇÕES. AF_12/2015</t>
  </si>
  <si>
    <t>MONTAGEM E DESMONTAGEM DE FÔRMA DE LAJE NERVURADA COM CUBETA E ASSOALHO COM ÁREA MÉDIA MENOR OU IGUAL A 20 M², PÉ-DIREITO SIMPLES, EM CHAPA DE MADEIRA COMPENSADA RESINADA, 18 UTILIZAÇÕES. AF_12/2015</t>
  </si>
  <si>
    <t>MONTAGEM E DESMONTAGEM DE FÔRMA DE LAJE NERVURADA COM CUBETA E ASSOALHO COM ÁREA MÉDIA MAIOR QUE 20 M², PÉ-DIREITO SIMPLES, EM CHAPA DE MADEIRA COMPENSADA RESINADA, 18 UTILIZAÇÕES. AF_12/2015</t>
  </si>
  <si>
    <t>MONTAGEM E DESMONTAGEM DE FÔRMA DE LAJE MACIÇA COM ÁREA MÉDIA MENOR OU IGUAL A 20 M², PÉ-DIREITO DUPLO, EM CHAPA DE MADEIRA COMPENSADA RESINADA, 2 UTILIZAÇÕES. AF_12/2015</t>
  </si>
  <si>
    <t>MONTAGEM E DESMONTAGEM DE FÔRMA DE LAJE MACIÇA COM ÁREA MÉDIA MAIOR QUE 20 M², PÉ-DIREITO DUPLO, EM CHAPA DE MADEIRA COMPENSADA RESINADA, 2 UTILIZAÇÕES. AF_12/2015</t>
  </si>
  <si>
    <t>MONTAGEM E DESMONTAGEM DE FÔRMA DE LAJE MACIÇA COM ÁREA MÉDIA MENOR OU IGUAL A 20 M², PÉ-DIREITO DUPLO, EM CHAPA DE MADEIRA COMPENSADA RESINADA, 4 UTILIZAÇÕES. AF_12/2015</t>
  </si>
  <si>
    <t>MONTAGEM E DESMONTAGEM DE FÔRMA DE LAJE MACIÇA COM ÁREA MÉDIA MAIOR QUE 20 M², PÉ-DIREITO DUPLO, EM CHAPA DE MADEIRA COMPENSADA RESINADA, 4 UTILIZAÇÕES. AF_12/2015</t>
  </si>
  <si>
    <t>MONTAGEM E DESMONTAGEM DE FÔRMA DE LAJE MACIÇA COM ÁREA MÉDIA MENOR OU IGUAL A 20 M², PÉ-DIREITO SIMPLES, EM CHAPA DE MADEIRA COMPENSADA RESINADA, 4 UTILIZAÇÕES. AF_12/2015</t>
  </si>
  <si>
    <t>MONTAGEM E DESMONTAGEM DE FÔRMA DE LAJE MACIÇA COM ÁREA MÉDIA MAIOR QUE 20 M², PÉ-DIREITO SIMPLES, EM CHAPA DE MADEIRA COMPENSADA RESINADA, 4 UTILIZAÇÕES. AF_12/2015</t>
  </si>
  <si>
    <t>MONTAGEM E DESMONTAGEM DE FÔRMA DE LAJE MACIÇA COM ÁREA MÉDIA MAIOR QUE 20 M², PÉ-DIREITO DUPLO, EM CHAPA DE MADEIRA COMPENSADA RESINADA, 6 UTILIZAÇÕES. AF_12/2015</t>
  </si>
  <si>
    <t>MONTAGEM E DESMONTAGEM DE FÔRMA DE LAJE MACIÇA COM ÁREA MÉDIA MENOR OU IGUAL A 20 M², PÉ-DIREITO DUPLO, EM CHAPA DE MADEIRA COMPENSADA RESINADA, 6 UTILIZAÇÕES. AF_12/2015</t>
  </si>
  <si>
    <t>MONTAGEM E DESMONTAGEM DE FÔRMA DE LAJE MACIÇA COM ÁREA MÉDIA MENOR OU IGUAL A 20 M², PÉ-DIREITO SIMPLES, EM CHAPA DE MADEIRA COMPENSADA RESINADA, 6 UTILIZAÇÕES. AF_12/2015</t>
  </si>
  <si>
    <t>MONTAGEM E DESMONTAGEM DE FÔRMA DE LAJE MACIÇA COM ÁREA MÉDIA MAIOR QUE 20 M², PÉ-DIREITO SIMPLES, EM CHAPA DE MADEIRA COMPENSADA RESINADA, 6 UTILIZAÇÕES. AF_12/2015</t>
  </si>
  <si>
    <t>MONTAGEM E DESMONTAGEM DE FÔRMA DE LAJE MACIÇA COM ÁREA MÉDIA MENOR OU IGUAL A 20 M², PÉ-DIREITO DUPLO, EM CHAPA DE MADEIRA COMPENSADA RESINADA, 8 UTILIZAÇÕES. AF_12/2015</t>
  </si>
  <si>
    <t>MONTAGEM E DESMONTAGEM DE FÔRMA DE LAJE MACIÇA COM ÁREA MÉDIA MAIOR QUE 20 M², PÉ-DIREITO DUPLO, EM CHAPA DE MADEIRA COMPENSADA RESINADA, 8 UTILIZAÇÕES. AF_12/2015</t>
  </si>
  <si>
    <t>MONTAGEM E DESMONTAGEM DE FÔRMA DE LAJE MACIÇA COM ÁREA MÉDIA MENOR OU IGUAL A 20 M², PÉ-DIREITO SIMPLES, EM CHAPA DE MADEIRA COMPENSADA RESINADA, 8 UTILIZAÇÕES. AF_12/2015</t>
  </si>
  <si>
    <t>MONTAGEM E DESMONTAGEM DE FÔRMA DE LAJE MACIÇA COM ÁREA MÉDIA MAIOR QUE 20 M², PÉ-DIREITO SIMPLES, EM CHAPA DE MADEIRA COMPENSADA RESINADA, 8 UTILIZAÇÕES. AF_12/2015</t>
  </si>
  <si>
    <t>MONTAGEM E DESMONTAGEM DE FÔRMA DE LAJE MACIÇA COM ÁREA MÉDIA MENOR OU IGUAL A 20 M², PÉ-DIREITO DUPLO, EM CHAPA DE MADEIRA COMPENSADA PLASTIFICADA, 10 UTILIZAÇÕES. AF_12/2015</t>
  </si>
  <si>
    <t>MONTAGEM E DESMONTAGEM DE FÔRMA DE LAJE MACIÇA COM ÁREA MÉDIA MAIOR QUE 20 M², PÉ-DIREITO DUPLO, EM CHAPA DE MADEIRA COMPENSADA PLASTIFICADA, 10 UTILIZAÇÕES. AF_12/2015</t>
  </si>
  <si>
    <t>MONTAGEM E DESMONTAGEM DE FÔRMA DE LAJE MACIÇA COM ÁREA MÉDIA MENOR OU IGUAL A 20 M², PÉ-DIREITO SIMPLES, EM CHAPA DE MADEIRA COMPENSADA PLASTIFICADA, 10 UTILIZAÇÕES. AF_12/2015</t>
  </si>
  <si>
    <t>MONTAGEM E DESMONTAGEM DE FÔRMA DE LAJE MACIÇA COM ÁREA MÉDIA MAIOR QUE 20 M², PÉ-DIREITO SIMPLES, EM CHAPA DE MADEIRA COMPENSADA PLASTIFICADA, 10 UTILIZAÇÕES. AF_12/2015</t>
  </si>
  <si>
    <t>MONTAGEM E DESMONTAGEM DE FÔRMA DE LAJE MACIÇA COM ÁREA MÉDIA MENOR OU IGUAL A 20 M², PÉ-DIREITO DUPLO, EM CHAPA DE MADEIRA COMPENSADA PLASTIFICADA, 12 UTILIZAÇÕES. AF_12/2015</t>
  </si>
  <si>
    <t>MONTAGEM E DESMONTAGEM DE FÔRMA DE LAJE MACIÇA COM ÁREA MÉDIA MAIOR QUE 20 M², PÉ-DIREITO DUPLO, EM CHAPA DE MADEIRA COMPENSADA PLASTIFICADA, 12 UTILIZAÇÕES. AF_12/2015</t>
  </si>
  <si>
    <t>MONTAGEM E DESMONTAGEM DE FÔRMA DE LAJE MACIÇA COM ÁREA MÉDIA MENOR OU IGUAL A 20 M², PÉ-DIREITO SIMPLES, EM CHAPA DE MADEIRA COMPENSADA PLASTIFICADA, 12 UTILIZAÇÕES. AF_12/2015</t>
  </si>
  <si>
    <t>MONTAGEM E DESMONTAGEM DE FÔRMA DE LAJE MACIÇA COM ÁREA MÉDIA MAIOR QUE 20 M², PÉ-DIREITO SIMPLES, EM CHAPA DE MADEIRA COMPENSADA PLASTIFICADA, 12 UTILIZAÇÕES. AF_12/2015</t>
  </si>
  <si>
    <t>MONTAGEM E DESMONTAGEM DE FÔRMA DE LAJE MACIÇA COM ÁREA MÉDIA MENOR OU IGUAL A 20 M², PÉ-DIREITO DUPLO, EM CHAPA DE MADEIRA COMPENSADA PLASTIFICADA, 14 UTILIZAÇÕES. AF_12/2015</t>
  </si>
  <si>
    <t>MONTAGEM E DESMONTAGEM DE FÔRMA DE LAJE MACIÇA COM ÁREA MÉDIA MAIOR QUE 20 M², PÉ-DIREITO DUPLO, EM CHAPA DE MADEIRA COMPENSADA PLASTIFICADA, 14 UTILIZAÇÕES. AF_12/2015</t>
  </si>
  <si>
    <t>MONTAGEM E DESMONTAGEM DE FÔRMA DE LAJE MACIÇA COM ÁREA MÉDIA MENOR OU IGUAL A 20 M², PÉ-DIREITO SIMPLES, EM CHAPA DE MADEIRA COMPENSADA PLASTIFICADA, 14 UTILIZAÇÕES. AF_12/2015</t>
  </si>
  <si>
    <t>MONTAGEM E DESMONTAGEM DE FÔRMA DE LAJE MACIÇA COM ÁREA MÉDIA MAIOR QUE 20 M², PÉ-DIREITO SIMPLES, EM CHAPA DE MADEIRA COMPENSADA PLASTIFICADA, 14 UTILIZAÇÕES. AF_12/2015</t>
  </si>
  <si>
    <t>MONTAGEM E DESMONTAGEM DE FÔRMA DE LAJE MACIÇA COM ÁREA MÉDIA MENOR OU IGUAL A 20 M², PÉ-DIREITO DUPLO, EM CHAPA DE MADEIRA COMPENSADA PLASTIFICADA, 18 UTILIZAÇÕES. AF_12/2015</t>
  </si>
  <si>
    <t>MONTAGEM E DESMONTAGEM DE FÔRMA DE LAJE MACIÇA COM ÁREA MÉDIA MAIOR QUE 20 M², PÉ-DIREITO DUPLO, EM CHAPA DE MADEIRA COMPENSADA PLASTIFICADA, 18 UTILIZAÇÕES. AF_12/2015</t>
  </si>
  <si>
    <t>MONTAGEM E DESMONTAGEM DE FÔRMA DE LAJE MACIÇA COM ÁREA MÉDIA MENOR OU IGUAL A 20 M², PÉ-DIREITO SIMPLES, EM CHAPA DE MADEIRA COMPENSADA PLASTIFICADA, 18 UTILIZAÇÕES. AF_12/2015</t>
  </si>
  <si>
    <t>MONTAGEM E DESMONTAGEM DE FÔRMA DE LAJE MACIÇA COM ÁREA MÉDIA MAIOR QUE 20 M², PÉ-DIREITO SIMPLES, EM CHAPA DE MADEIRA COMPENSADA PLASTIFICADA, 18 UTILIZAÇÕES. AF_12/2015</t>
  </si>
  <si>
    <t>FABRICAÇÃO DE FÔRMA PARA ESCADAS, COM 2 LANCES, EM CHAPA DE MADEIRA COMPENSADA PLASTIFICADA, E=18 MM. AF_01/2017</t>
  </si>
  <si>
    <t>FABRICAÇÃO DE FÔRMA PARA ESCADAS, COM 2 LANCES, EM CHAPA DE MADEIRA COMPENSADA RESINADA, E= 17 MM. AF_01/2017</t>
  </si>
  <si>
    <t>FABRICAÇÃO DE FÔRMA PARA ESCADAS, COM 2 LANCES, EM MADEIRA SERRADA, E=25 MM. AF_01/2017</t>
  </si>
  <si>
    <t>MONTAGEM E DESMONTAGEM DE FÔRMA PARA ESCADAS, COM 2 LANCES, EM MADEIRA SERRADA, 1 UTILIZAÇÃO. AF_01/2017</t>
  </si>
  <si>
    <t>MONTAGEM E DESMONTAGEM DE FÔRMA PARA ESCADAS, COM 2 LANCES, EM MADEIRA SERRADA, 2 UTILIZAÇÕES. AF_01/2017</t>
  </si>
  <si>
    <t>MONTAGEM E DESMONTAGEM DE FÔRMA PARA ESCADAS, COM 2 LANCES, EM CHAPA DE MADEIRA COMPENSADA RESINADA, 4 UTILIZAÇÕES. AF_01/2017</t>
  </si>
  <si>
    <t>MONTAGEM E DESMONTAGEM DE FÔRMA PARA ESCADAS, COM 2 LANCES, EM CHAPA DE MADEIRA COMPENSADA PLASTIFICADA, 6 UTILIZAÇÕES. AF_01/2017</t>
  </si>
  <si>
    <t>MONTAGEM E DESMONTAGEM DE FÔRMA PARA ESCADAS, COM 2 LANCES, EM CHAPA DE MADEIRA COMPENSADA PLASTIFICADA, 8 UTILIZAÇÕES. AF_01/2017</t>
  </si>
  <si>
    <t>MONTAGEM E DESMONTAGEM DE FÔRMA PARA ESCADAS, COM 2 LANCES, EM CHAPA DE MADEIRA COMPENSADA PLASTIFICADA, 10 UTILIZAÇÕES. AF_01/2017</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</si>
  <si>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</si>
  <si>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</si>
  <si>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</si>
  <si>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</si>
  <si>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</si>
  <si>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</si>
  <si>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</si>
  <si>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</si>
  <si>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</si>
  <si>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</si>
  <si>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</si>
  <si>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</si>
  <si>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</si>
  <si>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</si>
  <si>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</si>
  <si>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</si>
  <si>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</si>
  <si>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</si>
  <si>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</si>
  <si>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73771/1</t>
  </si>
  <si>
    <t>PROTENSAO DE TIRANTES DE BARRA DE ACO CA-50 EXCL MATERIAIS</t>
  </si>
  <si>
    <t>73990/1</t>
  </si>
  <si>
    <t>ARMACAO ACO CA-50 P/1,0M3 DE CONCRETO</t>
  </si>
  <si>
    <t>ARMAÇÃO VERTICAL DE ALVENARIA ESTRUTURAL; DIÂMETRO DE 10,0 MM. AF_01/2015</t>
  </si>
  <si>
    <t>ARMAÇÃO VERTICAL DE ALVENARIA ESTRUTURAL; DIÂMETRO DE 12,5 MM. AF_01/2015</t>
  </si>
  <si>
    <t>ARMAÇÃO DE CINTA DE ALVENARIA ESTRUTURAL; DIÂMETRO DE 10,0 MM. AF_01/2015</t>
  </si>
  <si>
    <t>ARMAÇÃO DE VERGA E CONTRAVERGA DE ALVENARIA ESTRUTURAL; DIÂMETRO DE 8,0 MM. AF_01/2015</t>
  </si>
  <si>
    <t>ARMAÇÃO DE VERGA E CONTRAVERGA DE ALVENARIA ESTRUTURAL; DIÂMETRO DE 10,0 MM. AF_01/2015</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</si>
  <si>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</si>
  <si>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</si>
  <si>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ARMAÇÃO DE PILAR OU VIGA DE UMA ESTRUTURA CONVENCIONAL DE CONCRETO ARMADO EM UM EDIFÍCIO DE MÚLTIPLOS PAVIMENTOS UTILIZANDO AÇO CA-50 DE 8,0 MM - MONTAGEM. AF_12/2015</t>
  </si>
  <si>
    <t>ARMAÇÃO DE PILAR OU VIGA DE UMA ESTRUTURA CONVENCIONAL DE CONCRETO ARMADO EM UM EDIFÍCIO DE MÚLTIPLOS PAVIMENTOS UTILIZANDO AÇO CA-50 DE 10,0 MM - MONTAGEM. AF_12/2015</t>
  </si>
  <si>
    <t>ARMAÇÃO DE PILAR OU VIGA DE UMA ESTRUTURA CONVENCIONAL DE CONCRETO ARMADO EM UM EDIFÍCIO DE MÚLTIPLOS PAVIMENTOS UTILIZANDO AÇO CA-50 DE 12,5 MM - MONTAGEM. AF_12/2015</t>
  </si>
  <si>
    <t>ARMAÇÃO DE PILAR OU VIGA DE UMA ESTRUTURA CONVENCIONAL DE CONCRETO ARMADO EM UM EDIFÍCIO DE MÚLTIPLOS PAVIMENTOS UTILIZANDO AÇO CA-50 DE 16,0 MM - MONTAGEM. AF_12/2015</t>
  </si>
  <si>
    <t>ARMAÇÃO DE PILAR OU VIGA DE UMA ESTRUTURA CONVENCIONAL DE CONCRETO ARMADO EM UM EDIFÍCIO DE MÚLTIPLOS PAVIMENTOS UTILIZANDO AÇO CA-50 DE 20,0 MM - MONTAGEM. AF_12/2015</t>
  </si>
  <si>
    <t>ARMAÇÃO DE PILAR OU VIGA DE UMA ESTRUTURA CONVENCIONAL DE CONCRETO ARMADO EM UM EDIFÍCIO DE MÚLTIPLOS PAVIMENTOS UTILIZANDO AÇO CA-50 DE 25,0 MM - MONTAGEM. AF_12/2015</t>
  </si>
  <si>
    <t>ARMAÇÃO DE LAJE DE UMA ESTRUTURA CONVENCIONAL DE CONCRETO ARMADO EM UM EDIFÍCIO DE MÚLTIPLOS PAVIMENTOS UTILIZANDO AÇO CA-60 DE 4,2 MM - MONTAGEM. AF_12/2015</t>
  </si>
  <si>
    <t>ARMAÇÃO DE LAJE DE UMA ESTRUTURA CONVENCIONAL DE CONCRETO ARMADO EM UM EDIFÍCIO DE MÚLTIPLOS PAVIMENTOS UTILIZANDO AÇO CA-60 DE 5,0 MM - MONTAGEM. AF_12/2015</t>
  </si>
  <si>
    <t>ARMAÇÃO DE LAJE DE UMA ESTRUTURA CONVENCIONAL DE CONCRETO ARMADO EM UM EDIFÍCIO DE MÚLTIPLOS PAVIMENTOS UTILIZANDO AÇO CA-50 DE 6,3 MM - MONTAGEM. AF_12/2015</t>
  </si>
  <si>
    <t>ARMAÇÃO DE LAJE DE UMA ESTRUTURA CONVENCIONAL DE CONCRETO ARMADO EM UM EDIFÍCIO DE MÚLTIPLOS PAVIMENTOS UTILIZANDO AÇO CA-50 DE 8,0 MM - MONTAGEM. AF_12/2015</t>
  </si>
  <si>
    <t>ARMAÇÃO DE LAJE DE UMA ESTRUTURA CONVENCIONAL DE CONCRETO ARMADO EM UM EDIFÍCIO DE MÚLTIPLOS PAVIMENTOS UTILIZANDO AÇO CA-50 DE 10,0 MM - MONTAGEM. AF_12/2015</t>
  </si>
  <si>
    <t>ARMAÇÃO DE LAJE DE UMA ESTRUTURA CONVENCIONAL DE CONCRETO ARMADO EM UM EDIFÍCIO DE MÚLTIPLOS PAVIMENTOS UTILIZANDO AÇO CA-50 DE 12,5 MM - MONTAGEM. AF_12/2015</t>
  </si>
  <si>
    <t>ARMAÇÃO DE LAJE DE UMA ESTRUTURA CONVENCIONAL DE CONCRETO ARMADO EM UM EDIFÍCIO DE MÚLTIPLOS PAVIMENTOS UTILIZANDO AÇO CA-50 DE 16,0 MM - MONTAGEM. AF_12/2015</t>
  </si>
  <si>
    <t>ARMAÇÃO DE LAJE DE UMA ESTRUTURA CONVENCIONAL DE CONCRETO ARMADO EM UM EDIFÍCIO DE MÚLTIPLOS PAVIMENTOS UTILIZANDO AÇO CA-50 DE 20,0 MM - MONTAGEM.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</si>
  <si>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</si>
  <si>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</si>
  <si>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</si>
  <si>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</si>
  <si>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</si>
  <si>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</si>
  <si>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</si>
  <si>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</si>
  <si>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</si>
  <si>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</si>
  <si>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</si>
  <si>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</si>
  <si>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</si>
  <si>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</si>
  <si>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</si>
  <si>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</si>
  <si>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CA-60, DIÂMETRO DE 5,0 MM, UTILIZADO EM ESTRUTURAS DIVERSAS, EXCETO LAJES. AF_12/2015</t>
  </si>
  <si>
    <t>CORTE E DOBRA DE AÇO CA-50, DIÂMETRO DE 6,3 MM, UTILIZADO EM ESTRUTURAS DIVERSAS, EXCETO LAJES. AF_12/2015</t>
  </si>
  <si>
    <t>CORTE E DOBRA DE AÇO CA-50, DIÂMETRO DE 8,0 MM, UTILIZADO EM ESTRUTURAS DIVERSAS, EXCETO LAJES. AF_12/2015</t>
  </si>
  <si>
    <t>CORTE E DOBRA DE AÇO CA-50, DIÂMETRO DE 10,0 MM, UTILIZADO EM ESTRUTURAS DIVERSAS, EXCETO LAJES. AF_12/2015</t>
  </si>
  <si>
    <t>CORTE E DOBRA DE AÇO CA-50, DIÂMETRO DE 12,5 MM, UTILIZADO EM ESTRUTURAS DIVERSAS, EXCETO LAJES. AF_12/2015</t>
  </si>
  <si>
    <t>CORTE E DOBRA DE AÇO CA-50, DIÂMETRO DE 16,0 MM, UTILIZADO EM ESTRUTURAS DIVERSAS, EXCETO LAJES. AF_12/2015</t>
  </si>
  <si>
    <t>CORTE E DOBRA DE AÇO CA-50, DIÂMETRO DE 20,0 MM, UTILIZADO EM ESTRUTURAS DIVERSAS, EXCETO LAJES. AF_12/2015</t>
  </si>
  <si>
    <t>CORTE E DOBRA DE AÇO CA-50, DIÂMETRO DE 25,0 MM, UTILIZADO EM ESTRUTURAS DIVERSAS, EXCETO LAJES. AF_12/2015</t>
  </si>
  <si>
    <t>CORTE E DOBRA DE AÇO CA-60, DIÂMETRO DE 4,2 MM, UTILIZADO EM LAJE. AF_12/2015</t>
  </si>
  <si>
    <t>CORTE E DOBRA DE AÇO CA-60, DIÂMETRO DE 5,0 MM, UTILIZADO EM LAJE. AF_12/2015</t>
  </si>
  <si>
    <t>CORTE E DOBRA DE AÇO CA-50, DIÂMETRO DE 6,3 MM, UTILIZADO EM LAJE. AF_12/2015</t>
  </si>
  <si>
    <t>CORTE E DOBRA DE AÇO CA-50, DIÂMETRO DE 8,0 MM, UTILIZADO EM LAJE. AF_12/2015</t>
  </si>
  <si>
    <t>CORTE E DOBRA DE AÇO CA-50, DIÂMETRO DE 10,0 MM, UTILIZADO EM LAJE. AF_12/2015</t>
  </si>
  <si>
    <t>CORTE E DOBRA DE AÇO CA-50, DIÂMETRO DE 12,5 MM, UTILIZADO EM LAJE. AF_12/2015</t>
  </si>
  <si>
    <t>CORTE E DOBRA DE AÇO CA-50, DIÂMETRO DE 16,0 MM, UTILIZADO EM LAJE. AF_12/2015</t>
  </si>
  <si>
    <t>CORTE E DOBRA DE AÇO CA-50, DIÂMETRO DE 20,0 MM, UTILIZADO EM LAJE.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</si>
  <si>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</si>
  <si>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</si>
  <si>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</si>
  <si>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</si>
  <si>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</si>
  <si>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</si>
  <si>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</si>
  <si>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</si>
  <si>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</si>
  <si>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</si>
  <si>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</si>
  <si>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</si>
  <si>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</si>
  <si>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UTILIZANDO AÇO CA-25 DE 25,0 MM - MONTAGEM. AF_12/2015</t>
  </si>
  <si>
    <t>CORTE E DOBRA DE AÇO CA-60, DIÂMETRO DE 5,0 MM, UTILIZADO EM ESTRIBO CONTÍNUO HELICOIDAL. AF_10/2016</t>
  </si>
  <si>
    <t>CORTE E DOBRA DE AÇO CA-50, DIÂMETRO DE 6,3 MM, UTILIZADO EM ESTRIBO CONTÍNUO HELICOIDAL. AF_10/2016</t>
  </si>
  <si>
    <t>MONTAGEM DE ARMADURA LONGITUDINAL DE ESTACAS DE SEÇÃO CIRCULAR, DIÂMETRO = 10,0 MM. AF_11/2016</t>
  </si>
  <si>
    <t>MONTAGEM DE ARMADURA LONGITUDINAL DE ESTACAS DE SEÇÃO CIRCULAR, DIÂMETRO = 16,0 MM. AF_11/2016</t>
  </si>
  <si>
    <t>MONTAGEM DE ARMADURA LONGITUDINAL DE ESTACAS DE SEÇÃO CIRCULAR, DIÂMETRO = 20,0 MM. AF_11/2016</t>
  </si>
  <si>
    <t>MONTAGEM DE ARMADURA LONGITUDINAL DE ESTACAS DE SEÇÃO CIRCULAR, DIÂMETRO = 25,0 MM. AF_11/2016</t>
  </si>
  <si>
    <t>MONTAGEM DE ARMADURA TRANSVERSAL DE ESTACAS DE SEÇÃO CIRCULAR, DIÂMETRO = 5,0 MM. AF_11/2016</t>
  </si>
  <si>
    <t>MONTAGEM DE ARMADURA TRANSVERSAL DE ESTACAS DE SEÇÃO CIRCULAR, DIÂMETRO = 6,3 MM. AF_11/2016</t>
  </si>
  <si>
    <t>MONTAGEM DE ARMADURA LONGITUDINAL DE ESTACAS DE SEÇÃO RETANGULAR (BARRETE), DIÂMETRO = 10,0 MM. AF_11/2016</t>
  </si>
  <si>
    <t>MONTAGEM DE ARMADURA LONGITUDINAL DE ESTACAS DE SEÇÃO RETANGULAR (BARRETE), DIÂMETRO = 16,0 MM. AF_11/2016</t>
  </si>
  <si>
    <t>MONTAGEM DE ARMADURA LONGITUDINAL DE ESTACAS DE SEÇÃO RETANGULAR (BARRETE), DIÂMETRO = 20,0 MM. AF_11/2016</t>
  </si>
  <si>
    <t>MONTAGEM DE ARMADURA LONGITUDINAL DE ESTACAS DE SEÇÃO RETANGULAR (BARRETE), DIÂMETRO = 25,0 MM. AF_11/2016</t>
  </si>
  <si>
    <t>MONTAGEM DE ARMADURA TRANSVERSAL DE ESTACAS DE SEÇÃO RETANGULAR (BARRETE), DIÂMETRO = 5,0 MM. AF_11/2016</t>
  </si>
  <si>
    <t>MONTAGEM DE ARMADURA TRANSVERSAL DE ESTACAS DE SEÇÃO RETANGULAR (BARRETE), DIÂMETRO = 6,3 MM. AF_11/2016</t>
  </si>
  <si>
    <t>ARMAÇÃO DE ESCADA, COM 2 LANCES, DE UMA ESTRUTURA CONVENCIONAL DE CONCRETO ARMADO UTILIZANDO AÇO CA-60 DE 5,0 MM - MONTAGEM. AF_01/2017</t>
  </si>
  <si>
    <t>ARMAÇÃO DE ESCADA, COM 2 LANCES, DE UMA ESTRUTURA CONVENCIONAL DE CONCRETO ARMADO UTILIZANDO AÇO CA-50 DE 6,3 MM - MONTAGEM. AF_01/2017</t>
  </si>
  <si>
    <t>ARMAÇÃO DE ESCADA, COM 2 LANCES, DE UMA ESTRUTURA CONVENCIONAL DE CONCRETO ARMADO UTILIZANDO AÇO CA-50 DE 8,0 MM - MONTAGEM. AF_01/2017</t>
  </si>
  <si>
    <t>ARMAÇÃO DE ESCADA, COM 2 LANCES, DE UMA ESTRUTURA CONVENCIONAL DE CONCRETO ARMADO UTILIZANDO AÇO CA-50 DE 10,0 MM - MONTAGEM. AF_01/2017</t>
  </si>
  <si>
    <t>ARMAÇÃO DE ESCADA, COM 2 LANCES, DE UMA ESTRUTURA CONVENCIONAL DE CONCRETO ARMADO UTILIZANDO AÇO CA-50 DE 12,5 MM - MONTAGEM. AF_01/2017</t>
  </si>
  <si>
    <t>ARMAÇÃO DE ESCADA, COM 2 LANCES, DE UMA ESTRUTURA CONVENCIONAL DE CONCRETO ARMADO UTILIZANDO AÇO CA-50 DE 16,0 MM - MONTAGEM. AF_01/2017</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</si>
  <si>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</si>
  <si>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</si>
  <si>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</si>
  <si>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</si>
  <si>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</si>
  <si>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</si>
  <si>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</si>
  <si>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REGULARIZAÇÃO DE SUPERFICIE DE CONCRETO APARENTE</t>
  </si>
  <si>
    <t>74157/4</t>
  </si>
  <si>
    <t>GRAUTEAMENTO VERTICAL EM ALVENARIA ESTRUTURAL. AF_01/2015</t>
  </si>
  <si>
    <t>GRAUTEAMENTO DE CINTA INTERMEDIÁRIA OU DE CONTRAVERGA EM ALVENARIA ESTRUTURAL. AF_01/2015</t>
  </si>
  <si>
    <t>GRAUTEAMENTO DE CINTA SUPERIOR OU DE VERGA EM ALVENARIA ESTRUTURAL. AF_01/2015</t>
  </si>
  <si>
    <t>GRAUTE FGK=15 MPA; TRAÇO 1:0,04:2,0:2,4 (CIMENTO/ CAL/ AREIA GROSSA/ BRITA 0) - PREPARO MECÂNICO COM BETONEIRA 400 L. AF_02/2015</t>
  </si>
  <si>
    <t>GRAUTE FGK=20 MPA; TRAÇO 1:0,04:1,6:1,9 (CIMENTO/ CAL/ AREIA GROSSA/ BRITA 0) - PREPARO MECÂNICO COM BETONEIRA 400 L. AF_02/2015</t>
  </si>
  <si>
    <t>GRAUTE FGK=25 MPA; TRAÇO 1:0,02:1,2:1,5 (CIMENTO/ CAL/ AREIA GROSSA/ BRITA 0) - PREPARO MECÂNICO COM BETONEIRA 400 L. AF_02/2015</t>
  </si>
  <si>
    <t>GRAUTE FGK=30 MPA; TRAÇO 1:0,02:0,8:1,1 (CIMENTO/ CAL/ AREIA GROSSA/ BRITA 0) - PREPARO MECÂNICO COM BETONEIRA 400 L. AF_02/2015</t>
  </si>
  <si>
    <t>GRAUTE FGK=15 MPA; TRAÇO 1:2,0:2,4 (CIMENTO/ AREIA GROSSA/ BRITA 0/ ADITIVO) - PREPARO MECÂNICO COM BETONEIRA 400 L. AF_02/2015</t>
  </si>
  <si>
    <t>GRAUTE FGK=20 MPA; TRAÇO 1:1,6:1,9 (CIMENTO/ AREIA GROSSA/ BRITA 0/ ADITIVO) - PREPARO MECÂNICO COM BETONEIRA 400 L. AF_02/2015</t>
  </si>
  <si>
    <t>GRAUTE FGK=25 MPA; TRAÇO 1:1,2:1,5 (CIMENTO/ AREIA GROSSA/ BRITA 0/ ADITIVO) - PREPARO MECÂNICO COM BETONEIRA 400 L. AF_02/2015</t>
  </si>
  <si>
    <t>GRAUTE FGK=30 MPA; TRAÇO 1:0,8:1,1 (CIMENTO/ AREIA GROSSA/ BRITA 0/ ADITIVO) - PREPARO MECÂNICO COM BETONEIRA 400 L. AF_02/2015</t>
  </si>
  <si>
    <t>CONCRETAGEM DE PILARES, FCK = 25 MPA,  COM USO DE BALDES EM EDIFICAÇÃO COM SEÇÃO MÉDIA DE PILARES MENOR OU IGUAL A 0,25 M² - LANÇAMENTO, ADENSAMENTO E ACABAMENTO. AF_12/2015</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</si>
  <si>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</si>
  <si>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</si>
  <si>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</si>
  <si>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</si>
  <si>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</si>
  <si>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</si>
  <si>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</si>
  <si>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</si>
  <si>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</si>
  <si>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</si>
  <si>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</si>
  <si>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</si>
  <si>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</si>
  <si>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</si>
  <si>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</si>
  <si>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</si>
  <si>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</si>
  <si>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</si>
  <si>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</si>
  <si>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</si>
  <si>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BOMBA, ADENSAMENTO E ACABAMENTO DE CONCRETO EM ESTRUTURAS. AF_12/2015</t>
  </si>
  <si>
    <t>CONCRETO MAGRO PARA LASTRO, TRAÇO 1:4,5:4,5 (CIMENTO/ AREIA MÉDIA/ BRITA 1)  - PREPARO MECÂNICO COM BETONEIRA 400 L. AF_07/2016</t>
  </si>
  <si>
    <t>CONCRETO FCK = 15MPA, TRAÇO 1:3,4:3,5 (CIMENTO/ AREIA MÉDIA/ BRITA 1)  - PREPARO MECÂNICO COM BETONEIRA 400 L. AF_07/2016</t>
  </si>
  <si>
    <t>CONCRETO FCK = 20MPA, TRAÇO 1:2,7:3 (CIMENTO/ AREIA MÉDIA/ BRITA 1)  - PREPARO MECÂNICO COM BETONEIRA 400 L. AF_07/2016</t>
  </si>
  <si>
    <t>CONCRETO FCK = 25MPA, TRAÇO 1:2,3:2,7 (CIMENTO/ AREIA MÉDIA/ BRITA 1)  - PREPARO MECÂNICO COM BETONEIRA 400 L. AF_07/2016</t>
  </si>
  <si>
    <t>CONCRETO FCK = 30MPA, TRAÇO 1:2,1:2,5 (CIMENTO/ AREIA MÉDIA/ BRITA 1)  - PREPARO MECÂNICO COM BETONEIRA 400 L. AF_07/2016</t>
  </si>
  <si>
    <t>CONCRETO FCK = 40MPA, TRAÇO 1:1,6:1,9 (CIMENTO/ AREIA MÉDIA/ BRITA 1)  - PREPARO MECÂNICO COM BETONEIRA 400 L. AF_07/2016</t>
  </si>
  <si>
    <t>CONCRETO MAGRO PARA LASTRO, TRAÇO 1:4,5:4,5 (CIMENTO/ AREIA MÉDIA/ BRITA 1)  - PREPARO MECÂNICO COM BETONEIRA 600 L. AF_07/2016</t>
  </si>
  <si>
    <t>CONCRETO FCK = 15MPA, TRAÇO 1:3,4:3,5 (CIMENTO/ AREIA MÉDIA/ BRITA 1)  - PREPARO MECÂNICO COM BETONEIRA 600 L. AF_07/2016</t>
  </si>
  <si>
    <t>CONCRETO FCK = 20MPA, TRAÇO 1:2,7:3 (CIMENTO/ AREIA MÉDIA/ BRITA 1)  - PREPARO MECÂNICO COM BETONEIRA 600 L. AF_07/2016</t>
  </si>
  <si>
    <t>CONCRETO FCK = 25MPA, TRAÇO 1:2,3:2,7 (CIMENTO/ AREIA MÉDIA/ BRITA 1)  - PREPARO MECÂNICO COM BETONEIRA 600 L. AF_07/2016</t>
  </si>
  <si>
    <t>CONCRETO FCK = 30MPA, TRAÇO 1:2,1:2,5 (CIMENTO/ AREIA MÉDIA/ BRITA 1)  - PREPARO MECÂNICO COM BETONEIRA 600 L. AF_07/2016</t>
  </si>
  <si>
    <t>CONCRETO FCK = 40MPA, TRAÇO 1:1,6:1,9 (CIMENTO/ AREIA MÉDIA/ BRITA 1)  - PREPARO MECÂNICO COM BETONEIRA 600 L. AF_07/2016</t>
  </si>
  <si>
    <t>CONCRETO MAGRO PARA LASTRO, TRAÇO 1:4,5:4,5 (CIMENTO/ AREIA MÉDIA/ BRITA 1)  - PREPARO MANUAL. AF_07/2016</t>
  </si>
  <si>
    <t>CONCRETO FCK = 15MPA, TRAÇO 1:3,4:3,5 (CIMENTO/ AREIA MÉDIA/ BRITA 1)  - PREPARO MANUAL. AF_07/2016</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</si>
  <si>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</si>
  <si>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</si>
  <si>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</si>
  <si>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</si>
  <si>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74141/1</t>
  </si>
  <si>
    <t>LAJE PRE-MOLD BETA 11 P/1KN/M2 VAOS 4,40M/INCL VIGOTAS TIJOLOS ARMADURA NEGATIVA CAPEAMENTO 3CM CONCRETO 20MPA ESCORAMENTO MATERIAL E MAO  DE OBRA.</t>
  </si>
  <si>
    <t>74141/2</t>
  </si>
  <si>
    <t>LAJE PRE-MOLD BETA 12 P/3,5KN/M2 VAO 4,1M INCL VIGOTAS TIJOLOS ARMADU-RA NEGATIVA CAPEAMENTO 3CM CONCRETO 15MPA ESCORAMENTO MATERIAIS E MAO DE OBRA.</t>
  </si>
  <si>
    <t>74141/3</t>
  </si>
  <si>
    <t>LAJE PRE-MOLD BETA 16 P/3,5KN/M2 VAO 5,2M INCL VIGOTAS TIJOLOS ARMADU-RA NEGATIVA CAPEAMENTO 3CM CONCRETO 15MPA ESCORAMENTO MATERIAL E MAO  DE OBRA.</t>
  </si>
  <si>
    <t>74141/4</t>
  </si>
  <si>
    <t>LAJE PRE-MOLD BETA 20 P/3,5KN/M2 VAO 6,2M INCL VIGOTAS TIJOLOS ARMADU-RA NEGATIVA CAPEAMENTO 3CM CONCRETO 15MPA ESCORAMENTO MATERIAL E MAO  DE OBRA.</t>
  </si>
  <si>
    <t>74202/1</t>
  </si>
  <si>
    <t>74202/2</t>
  </si>
  <si>
    <t>LAJE PRE-MOLDADA P/PISO, SOBRECARGA 200KG/M2, VAOS ATE 3,50M/E=8CM, C/LAJOTAS E CAP.C/CONC FCK=20MPA, 4CM, INTER-EIXO 38CM, C/ESCORAMENTO (REAPR.3X) E FERRAGEM NEGATIVA</t>
  </si>
  <si>
    <t>73817/1</t>
  </si>
  <si>
    <t>EMBASAMENTO DE MATERIAL GRANULAR - PO DE PEDRA</t>
  </si>
  <si>
    <t>73817/2</t>
  </si>
  <si>
    <t>EMBASAMENTO DE MATERIAL GRANULAR - RACHAO</t>
  </si>
  <si>
    <t>74078/1</t>
  </si>
  <si>
    <t>AGULHAMENTO FUNDO DE VALAS C/MACO 30KG PEDRA-DE-MAO H=10CM</t>
  </si>
  <si>
    <t>ALVENARIA EMBASAMENTO E=20 CM BLOCO CONCRETO</t>
  </si>
  <si>
    <t>EMBASAMENTO C/PEDRA ARGAMASSADA UTILIZANDO ARG.CIM/AREIA 1:4</t>
  </si>
  <si>
    <t>JUNTA DE DILATACAO COM ISOPOR 10 MM</t>
  </si>
  <si>
    <t>73898/1</t>
  </si>
  <si>
    <t>JUNTA DE DILATACAO ELASTICA (PVC) O-220/6 PRESSAO ATE 30 MCA</t>
  </si>
  <si>
    <t>PINTURA ADESIVA P/ CONCRETO, A BASE DE RESINA EPOXI ( SIKADUR 32 )</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</si>
  <si>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</si>
  <si>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</si>
  <si>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</si>
  <si>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</si>
  <si>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</si>
  <si>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</si>
  <si>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</si>
  <si>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</si>
  <si>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</si>
  <si>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</si>
  <si>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</si>
  <si>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</si>
  <si>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</si>
  <si>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</si>
  <si>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</si>
  <si>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</si>
  <si>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</si>
  <si>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</si>
  <si>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</si>
  <si>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</si>
  <si>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CINTA DE AMARRAÇÃO DE ALVENARIA MOLDADA IN LOCO EM CONCRETO. AF_03/2016</t>
  </si>
  <si>
    <t>CINTA DE AMARRAÇÃO DE ALVENARIA MOLDADA IN LOCO COM UTILIZAÇÃO DE BLOCOS CANALETA. AF_03/2016</t>
  </si>
  <si>
    <t>CHAPIM DE CONCRETO APARENTE COM ACABAMENTO DESEMPENADO, FORMA DE COMPENSADO PLASTIFICADO (MADEIRIT) DE 14 X 10 CM, FUNDIDO NO LOCAL.</t>
  </si>
  <si>
    <t>74144/2</t>
  </si>
  <si>
    <t>SUPORTE APOIO CAIXA D AGUA BARROTES MADEIRA DE 1</t>
  </si>
  <si>
    <t>APARELHO DE APOIO NEOPRENE NAO FRETADO (1,4KG/DM3)</t>
  </si>
  <si>
    <t>APARELHO APOIO NEOPRENE FRETADO</t>
  </si>
  <si>
    <t>DM3</t>
  </si>
  <si>
    <t>ESCADA EM CONCRETO ARMADO, FCK = 15 MPA, MOLDADA IN LOCO</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</si>
  <si>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</si>
  <si>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</si>
  <si>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</si>
  <si>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</si>
  <si>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</si>
  <si>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</si>
  <si>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</si>
  <si>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IMPERMEABILIZACAO DE SUPERFICIE COM CIMENTO IMPERMEABILIZANTE DE PEGA ULTRA RAPIDA, TRACO 1:1, E=0,5 CM</t>
  </si>
  <si>
    <t>FORNECIMENTO/INSTALACAO LONA PLASTICA PRETA, PARA IMPERMEABILIZACAO, ESPESSURA 150 MICRAS.</t>
  </si>
  <si>
    <t>74033/1</t>
  </si>
  <si>
    <t>IMPERMEABILIZACAO DE SUPERFICIE COM GEOMEMBRANA (MANTA TERMOPLASTICA LISA) TIPO PEAD, E=2MM.</t>
  </si>
  <si>
    <t>73762/4</t>
  </si>
  <si>
    <t>IMPERMEABILIZACAO DE SUPERFICIE COM ASFALTO ELASTOMERICO, INCLUSOS PRIMER E VEU DE FIBRA DE VIDRO.</t>
  </si>
  <si>
    <t>74066/2</t>
  </si>
  <si>
    <t>IMPERMEABILIZACAO DE SUPERFICIE, COM IMPERMEABILIZANTE FLEXIVEL A BASE ACRILICA.</t>
  </si>
  <si>
    <t>74106/1</t>
  </si>
  <si>
    <t>73872/1</t>
  </si>
  <si>
    <t>IMPERMEABILIZACAO COM PINTURA A BASE DE RESINA EPOXI ALCATRAO, UMA DEMAO.</t>
  </si>
  <si>
    <t>73872/2</t>
  </si>
  <si>
    <t>IMPERMEABILIZACAO COM PINTURA A BASE DE RESINA EPOXI ALCATRAO, DUAS DEMAOS.</t>
  </si>
  <si>
    <t>IMPERMEABILIZACAO DE SUPERFICIE COM MASTIQUE ELASTICO A BASE DE SILICONE, POR VOLUME.</t>
  </si>
  <si>
    <t>74025/1</t>
  </si>
  <si>
    <t>IMPERMEABILIZACAO DE SUPERFICIE COM MASTIQUE BETUMINOSO A FRIO, POR METRO.</t>
  </si>
  <si>
    <t>74190/1</t>
  </si>
  <si>
    <t>IMPERMEABILIZACAO DE SUPERFICIE COM MASTIQUE BETUMINOSO A FRIO, POR AREA.</t>
  </si>
  <si>
    <t>73798/1</t>
  </si>
  <si>
    <t>73798/3</t>
  </si>
  <si>
    <t>DUTO ESPIRAL FLEXIVEL SINGELO PEAD D=75MM(3") REVESTIDO COM PVC COM FIO GUIA DE ACO GALVANIZADO, LANCADO DIRETO NO SOLO, INCL CONEXOES</t>
  </si>
  <si>
    <t>ELETRODUTO FLEXÍVEL CORRUGADO,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</si>
  <si>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</si>
  <si>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PVC, DN 32 MM (1"), PARA CIRCUITOS TERMINAIS, INSTALADO EM FORRO - FORNECIMENTO E INSTALAÇÃO. AF_12/2015</t>
  </si>
  <si>
    <t>ELETRODUTO FLEXÍVEL CORRUGADO, PVC, DN 20 MM (1/2"), PARA CIRCUITOS TERMINAIS, INSTALADO EM LAJE - FORNECIMENTO E INSTALAÇÃO. AF_12/2015</t>
  </si>
  <si>
    <t>ELETRODUTO FLEXÍVEL CORRUGADO, PVC, DN 25 MM (3/4"), PARA CIRCUITOS TERMINAIS, INSTALADO EM LAJE - FORNECIMENTO E INSTALAÇÃO. AF_12/2015</t>
  </si>
  <si>
    <t>ELETRODUTO FLEXÍVEL CORRUGADO, PVC, DN 32 MM (1"), PARA CIRCUITOS TERMINAIS, INSTALADO EM LAJE - FORNECIMENTO E INSTALAÇÃO. AF_12/2015</t>
  </si>
  <si>
    <t>ELETRODUTO FLEXÍVEL CORRUGADO,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</si>
  <si>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</si>
  <si>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PVC, DN 32 MM (1"),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</si>
  <si>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</si>
  <si>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</si>
  <si>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</si>
  <si>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</si>
  <si>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</si>
  <si>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</si>
  <si>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</si>
  <si>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</si>
  <si>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50 MM (1 1/2") - FORNECIMENTO E INSTALAÇÃO. AF_12/2015</t>
  </si>
  <si>
    <t>ELETRODUTO RÍGIDO ROSCÁVEL, PVC, DN 60 MM (2") - FORNECIMENTO E INSTALAÇÃO. AF_12/2015</t>
  </si>
  <si>
    <t>ELETRODUTO RÍGIDO ROSCÁVEL, PVC, DN 75 MM (2 1/2") - FORNECIMENTO E INSTALAÇÃO. AF_12/2015</t>
  </si>
  <si>
    <t>ELETRODUTO RÍGIDO ROSCÁVEL, PVC, DN 85 MM (3") - FORNECIMENTO E INSTALAÇÃO. AF_12/2015</t>
  </si>
  <si>
    <t>ELETRODUTO RÍGIDO ROSCÁVEL, PVC, DN 110 MM (4") - FORNECIMENTO E INSTALAÇÃO. AF_12/2015</t>
  </si>
  <si>
    <t>ELETRODUTO RÍGIDO SOLDÁVEL, PVC, DN 20 MM (½), APARENTE, INSTALADO EM TETO - FORNECIMENTO E INSTALAÇÃO. AF_11/2016_P</t>
  </si>
  <si>
    <t>ELETRODUTO RÍGIDO SOLDÁVEL, PVC, DN 25 MM (3/4), APARENTE, INSTALADO EM TETO - FORNECIMENTO E INSTALAÇÃO. AF_11/2016_P</t>
  </si>
  <si>
    <t>ELETRODUTO RÍGIDO SOLDÁVEL, PVC, DN 32 MM (1), APARENTE, INSTALADO EM TETO - FORNECIMENTO E INSTALAÇÃO. AF_11/2016_P</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</si>
  <si>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</si>
  <si>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</si>
  <si>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</si>
  <si>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</si>
  <si>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</si>
  <si>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</si>
  <si>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</si>
  <si>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</si>
  <si>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</si>
  <si>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</si>
  <si>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</si>
  <si>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</si>
  <si>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CONECTOR PARAFUSO FENDIDO SPLIT-BOLT - PARA CABO DE 16MM2 - FORNECIMENTO E INSTALACAO</t>
  </si>
  <si>
    <t>CONECTOR PARAFUSO FENDIDO SPLIT-BOLT - PARA CABO DE 35MM2 - FORNECIMENTO E INSTALACAO</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</si>
  <si>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</si>
  <si>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</si>
  <si>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</si>
  <si>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</si>
  <si>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</si>
  <si>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</si>
  <si>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</si>
  <si>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</si>
  <si>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</si>
  <si>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</si>
  <si>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</si>
  <si>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</si>
  <si>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</si>
  <si>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</si>
  <si>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</si>
  <si>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</si>
  <si>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</si>
  <si>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</si>
  <si>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</si>
  <si>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</si>
  <si>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</si>
  <si>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</si>
  <si>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</si>
  <si>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</si>
  <si>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</si>
  <si>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</si>
  <si>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</si>
  <si>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</si>
  <si>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</si>
  <si>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</si>
  <si>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</si>
  <si>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</si>
  <si>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</si>
  <si>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PARA ELETRODUTO, PVC, ROSCÁVEL, DN 60 MM (2") - FORNECIMENTO E INSTALAÇÃO. AF_12/2015</t>
  </si>
  <si>
    <t>LUVA PARA ELETRODUTO, PVC, ROSCÁVEL, DN 75 MM (2 1/2") - FORNECIMENTO E INSTALAÇÃO. AF_12/2015</t>
  </si>
  <si>
    <t>LUVA PARA ELETRODUTO, PVC, ROSCÁVEL, DN 85 MM (3") - FORNECIMENTO E INSTALAÇÃO. AF_12/2015</t>
  </si>
  <si>
    <t>LUVA PARA ELETRODUTO, PVC, ROSCÁVEL, DN 110 MM (4") - FORNECIMENTO E INSTALAÇÃO. AF_12/2015</t>
  </si>
  <si>
    <t>CURVA 90 GRAUS PARA ELETRODUTO, PVC, ROSCÁVEL, DN 50 MM (1 1/2") - FORNECIMENTO E INSTALAÇÃO. AF_12/2015</t>
  </si>
  <si>
    <t>CURVA 90 GRAUS PARA ELETRODUTO, PVC, ROSCÁVEL, DN 60 MM (2") - FORNECIMENTO E INSTALAÇÃO. AF_12/2015</t>
  </si>
  <si>
    <t>CURVA 90 GRAUS PARA ELETRODUTO, PVC, ROSCÁVEL, DN 75 MM (2 1/2") - FORNECIMENTO E INSTALAÇÃO. AF_12/2015</t>
  </si>
  <si>
    <t>CURVA 90 GRAUS PARA ELETRODUTO, PVC, ROSCÁVEL, DN 85 MM (3") - FORNECIMENTO E INSTALAÇÃO. AF_12/2015</t>
  </si>
  <si>
    <t>CURVA 90 GRAUS PARA ELETRODUTO, PVC, ROSCÁVEL, DN 110 MM (4") - FORNECIMENTO E INSTALAÇÃO. AF_12/2015</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</si>
  <si>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</si>
  <si>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</si>
  <si>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</si>
  <si>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</si>
  <si>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</si>
  <si>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</si>
  <si>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DE EMENDA PARA ELETRODUTO, AÇO GALVANIZADO, DN 25 MM (1''), APARENTE, INSTALADA EM TETO - FORNECIMENTO E INSTALAÇÃO. AF_11/2016_P</t>
  </si>
  <si>
    <t>LUVA DE EMENDA PARA ELETRODUTO, AÇO GALVANIZADO, DN 32 MM (1 1/4''), APARENTE, INSTALADA EM TETO - FORNECIMENTO E INSTALAÇÃO. AF_11/2016_P</t>
  </si>
  <si>
    <t>LUVA DE EMENDA PARA ELETRODUTO, AÇO GALVANIZADO, DN 40 MM (1 1/2''), APARENTE, INSTALADA EM TETO - FORNECIMENTO E INSTALAÇÃO. AF_11/2016_P</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</si>
  <si>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</si>
  <si>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</si>
  <si>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</si>
  <si>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</si>
  <si>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</si>
  <si>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</si>
  <si>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0,6/1,0 KV, PARA CIRCUITOS TERMINAIS - FORNECIMENTO E INSTALAÇÃO. AF_12/2015</t>
  </si>
  <si>
    <t>CABO DE COBRE FLEXÍVEL ISOLADO, 4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</si>
  <si>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</si>
  <si>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</si>
  <si>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</si>
  <si>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</si>
  <si>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</si>
  <si>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</si>
  <si>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</si>
  <si>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</si>
  <si>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</si>
  <si>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FLEXÍVEL ISOLADO, 25 MM², ANTI-CHAMA 0,6/1,0 KV, PARA DISTRIBUIÇÃO - FORNECIMENTO E INSTALAÇÃO. AF_12/2015</t>
  </si>
  <si>
    <t>CABO DE COBRE FLEXÍVEL ISOLADO, 35 MM², ANTI-CHAMA 450/750 V, PARA DISTRIBUIÇÃO - FORNECIMENTO E INSTALAÇÃO. AF_12/2015</t>
  </si>
  <si>
    <t>CABO DE COBRE FLEXÍVEL ISOLADO, 50 MM², ANTI-CHAMA 450/750 V, PARA DISTRIBUIÇÃO - FORNECIMENTO E INSTALAÇÃO. AF_12/2015</t>
  </si>
  <si>
    <t>CABO DE COBRE FLEXÍVEL ISOLADO, 50 MM², ANTI-CHAMA 0,6/1,0 KV, PARA DISTRIBUIÇÃO - FORNECIMENTO E INSTALAÇÃO. AF_12/2015</t>
  </si>
  <si>
    <t>CABO DE COBRE FLEXÍVEL ISOLADO, 70 MM², ANTI-CHAMA 450/750 V, PARA DISTRIBUIÇÃO - FORNECIMENTO E INSTALAÇÃO. AF_12/2015</t>
  </si>
  <si>
    <t>CABO DE COBRE FLEXÍVEL ISOLADO, 70 MM², ANTI-CHAMA 0,6/1,0 KV, PARA DISTRIBUIÇÃO - FORNECIMENTO E INSTALAÇÃO. AF_12/2015</t>
  </si>
  <si>
    <t>CABO DE COBRE FLEXÍVEL ISOLADO, 95 MM², ANTI-CHAMA 450/750 V, PARA DISTRIBUIÇÃO - FORNECIMENTO E INSTALAÇÃO. AF_12/2015</t>
  </si>
  <si>
    <t>CABO DE COBRE FLEXÍVEL ISOLADO, 95 MM², ANTI-CHAMA 0,6/1,0 KV, PARA DISTRIBUIÇÃO - FORNECIMENTO E INSTALAÇÃO. AF_12/2015</t>
  </si>
  <si>
    <t>CABO DE COBRE FLEXÍVEL ISOLADO, 120 MM², ANTI-CHAMA 450/750 V, PARA DISTRIBUIÇÃO - FORNECIMENTO E INSTALAÇÃO. AF_12/2015</t>
  </si>
  <si>
    <t>CABO DE COBRE FLEXÍVEL ISOLADO, 120 MM², ANTI-CHAMA 0,6/1,0 KV, PARA DISTRIBUIÇÃO - FORNECIMENTO E INSTALAÇÃO. AF_12/2015</t>
  </si>
  <si>
    <t>CABO DE COBRE FLEXÍVEL ISOLADO, 150 MM², ANTI-CHAMA 450/750 V, PARA DISTRIBUIÇÃO - FORNECIMENTO E INSTALAÇÃO. AF_12/2015</t>
  </si>
  <si>
    <t>CABO DE COBRE FLEXÍVEL ISOLADO, 150 MM², ANTI-CHAMA 0,6/1,0 KV, PARA DISTRIBUIÇÃO - FORNECIMENTO E INSTALAÇÃO. AF_12/2015</t>
  </si>
  <si>
    <t>CABO DE COBRE FLEXÍVEL ISOLADO, 185 MM², ANTI-CHAMA 450/750 V, PARA DISTRIBUIÇÃO - FORNECIMENTO E INSTALAÇÃO. AF_12/2015</t>
  </si>
  <si>
    <t>CABO DE COBRE FLEXÍVEL ISOLADO, 185 MM², ANTI-CHAMA 0,6/1,0 KV, PARA DISTRIBUIÇÃO - FORNECIMENTO E INSTALAÇÃO. AF_12/2015</t>
  </si>
  <si>
    <t>CABO DE COBRE FLEXÍVEL ISOLADO, 240 MM², ANTI-CHAMA 450/750 V, PARA DISTRIBUIÇÃO - FORNECIMENTO E INSTALAÇÃO. AF_12/2015</t>
  </si>
  <si>
    <t>CABO DE COBRE FLEXÍVEL ISOLADO, 240 MM², ANTI-CHAMA 0,6/1,0 KV, PARA DISTRIBUIÇÃO - FORNECIMENTO E INSTALAÇÃO. AF_12/2015</t>
  </si>
  <si>
    <t>CABO DE COBRE RÍGIDO ISOLADO, 300 MM², ANTI-CHAMA 450/750 V, PARA DISTRIBUIÇÃO - FORNECIMENTO E INSTALAÇÃO. AF_12/2015</t>
  </si>
  <si>
    <t>CABO DE COBRE FLEXÍVEL ISOLADO, 300 MM², ANTI-CHAMA 0,6/1,0 KV, PARA DISTRIBUIÇÃO - FORNECIMENTO E INSTALAÇÃO. AF_12/2015</t>
  </si>
  <si>
    <t>CAIXA OCTOGONAL 4" X 4", PVC, INSTALADA EM LAJE - FORNECIMENTO E INSTALAÇÃO. AF_12/2015</t>
  </si>
  <si>
    <t>CAIXA OCTOGONAL 3" X 3", PVC, INSTALADA EM LAJE - FORNECIMENTO E INSTALAÇÃO. AF_12/2015</t>
  </si>
  <si>
    <t>CAIXA RETANGULAR 4" X 4" ALTA (2,00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</si>
  <si>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</si>
  <si>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</si>
  <si>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</si>
  <si>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</si>
  <si>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</si>
  <si>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</si>
  <si>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</si>
  <si>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</si>
  <si>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</si>
  <si>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</si>
  <si>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B,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</si>
  <si>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</si>
  <si>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</si>
  <si>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</si>
  <si>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</si>
  <si>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</si>
  <si>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</si>
  <si>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</si>
  <si>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</si>
  <si>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</si>
  <si>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</si>
  <si>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</si>
  <si>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</si>
  <si>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</si>
  <si>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</si>
  <si>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</si>
  <si>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</si>
  <si>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</si>
  <si>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</si>
  <si>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</si>
  <si>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</si>
  <si>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</si>
  <si>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</si>
  <si>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</si>
  <si>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CAIXA DE PROTECAO PARA MEDIDOR MONOFASICO, FORNECIMENTO E INSTALACAO</t>
  </si>
  <si>
    <t>DISJUNTOR BAIXA TENSAO TRIPOLAR A SECO  800A/600V, INCLUSIVE ELETROTÉCNICO</t>
  </si>
  <si>
    <t>CONTATOR TRIPOLAR I NOMINAL 12A - FORNECIMENTO E INSTALACAO INCLUSIVE ELETROTÉCNICO</t>
  </si>
  <si>
    <t>CONTATOR TRIPOLAR I NOMINAL 22A - FORNECIMENTO E INSTALACAO INCLUSIVE ELETROTÉCNICO</t>
  </si>
  <si>
    <t>CONTATOR TRIPOLAR I NOMINAL 36A - FORNECIMENTO E INSTALACAO INCLUSIVE ELETROTÉCNICO</t>
  </si>
  <si>
    <t>CONTATOR TRIPOLAR I NOMIMAL 94A - FORNECIMENTO E INSTALACAO INCLUSIVE ELETROTÉCNICO</t>
  </si>
  <si>
    <t>74130/1</t>
  </si>
  <si>
    <t>DISJUNTOR TERMOMAGNETICO MONOPOLAR PADRAO NEMA (AMERICANO) 10 A 30A 240V, FORNECIMENTO E INSTALACAO</t>
  </si>
  <si>
    <t>74130/2</t>
  </si>
  <si>
    <t>DISJUNTOR TERMOMAGNETICO MONOPOLAR PADRAO NEMA (AMERICANO) 35 A 50A 240V, FORNECIMENTO E INSTALACAO</t>
  </si>
  <si>
    <t>74130/3</t>
  </si>
  <si>
    <t>DISJUNTOR TERMOMAGNETICO BIPOLAR PADRAO NEMA (AMERICANO) 10 A 50A 240V, FORNECIMENTO E INSTALACAO</t>
  </si>
  <si>
    <t>74130/4</t>
  </si>
  <si>
    <t>DISJUNTOR TERMOMAGNETICO TRIPOLAR PADRAO NEMA (AMERICANO) 10 A 50A 240V, FORNECIMENTO E INSTALACAO</t>
  </si>
  <si>
    <t>74130/5</t>
  </si>
  <si>
    <t>DISJUNTOR TERMOMAGNETICO TRIPOLAR PADRAO NEMA (AMERICANO) 60 A 100A 240V, FORNECIMENTO E INSTALACAO</t>
  </si>
  <si>
    <t>74130/6</t>
  </si>
  <si>
    <t>DISJUNTOR TERMOMAGNETICO TRIPOLAR PADRAO NEMA (AMERICANO) 125 A 150A 240V, FORNECIMENTO E INSTALACAO</t>
  </si>
  <si>
    <t>74130/7</t>
  </si>
  <si>
    <t>DISJUNTOR TERMOMAGNETICO TRIPOLAR EM CAIXA MOLDADA 250A 600V, FORNECIMENTO E INSTALACAO</t>
  </si>
  <si>
    <t>74130/8</t>
  </si>
  <si>
    <t>DISJUNTOR TERMOMAGNETICO TRIPOLAR EM CAIXA MOLDADA 300 A 400A 600V, FORNECIMENTO E INSTALACAO</t>
  </si>
  <si>
    <t>74130/9</t>
  </si>
  <si>
    <t>DISJUNTOR TERMOMAGNETICO TRIPOLAR EM CAIXA MOLDADA 500 A 600A 600V, FORNECIMENTO E INSTALACAO</t>
  </si>
  <si>
    <t>74130/10</t>
  </si>
  <si>
    <t>DISJUNTOR TERMOMAGNETICO TRIPOLAR EM CAIXA MOLDADA 175 A 225A 240V, FORNECIMENTO E INSTALACAO</t>
  </si>
  <si>
    <t>74131/1</t>
  </si>
  <si>
    <t>QUADRO DE DISTRIBUICAO DE ENERGIA DE EMBUTIR, EM CHAPA METALICA, PARA 3 DISJUNTORES TERMOMAGNETICOS MONOPOLARES SEM BARRAMENTO FORNECIMENTO E INSTALACAO</t>
  </si>
  <si>
    <t>74131/4</t>
  </si>
  <si>
    <t>QUADRO DE DISTRIBUICAO DE ENERGIA DE EMBUTIR, EM CHAPA METALICA, PARA 18 DISJUNTORES TERMOMAGNETICOS MONOPOLARES, COM BARRAMENTO TRIFASICO E NEUTRO, FORNECIMENTO E INSTALACAO</t>
  </si>
  <si>
    <t>74131/5</t>
  </si>
  <si>
    <t>QUADRO DE DISTRIBUICAO DE ENERGIA DE EMBUTIR, EM CHAPA METALICA, PARA 24 DISJUNTORES TERMOMAGNETICOS MONOPOLARES, COM BARRAMENTO TRIFASICO E NEUTRO, FORNECIMENTO E INSTALACAO</t>
  </si>
  <si>
    <t>74131/6</t>
  </si>
  <si>
    <t>QUADRO DE DISTRIBUICAO DE ENERGIA DE EMBUTIR, EM CHAPA METALICA, PARA 32 DISJUNTORES TERMOMAGNETICOS MONOPOLARES, COM BARRAMENTO TRIFASICO E NEUTRO, FORNECIMENTO E INSTALACAO</t>
  </si>
  <si>
    <t>74131/7</t>
  </si>
  <si>
    <t>QUADRO DE DISTRIBUICAO DE ENERGIA DE EMBUTIR, EM CHAPA METALICA, PARA 40 DISJUNTORES TERMOMAGNETICOS MONOPOLARES, COM BARRAMENTO TRIFASICO E NEUTRO, FORNECIMENTO E INSTALACAO</t>
  </si>
  <si>
    <t>74131/8</t>
  </si>
  <si>
    <t>QUADRO DE DISTRIBUICAO DE ENERGIA DE EMBUTIR, EM CHAPA METALICA, PARA 50 DISJUNTORES TERMOMAGNETICOS MONOPOLARES, COM BARRAMENTO TRIFASICO E NEUTRO, FORNECIMENTO E INSTALACAO</t>
  </si>
  <si>
    <t>QUADRO DE DISTRIBUICAO DE ENERGIA EM CHAPA DE ACO GALVANIZADO, PARA 12 DISJUNTORES TERMOMAGNETICOS MONOPOLARES, COM BARRAMENTO TRIFASICO E NEUTRO - FORNECIMENTO E INSTALACAO</t>
  </si>
  <si>
    <t>QUADRO DE DISTRIBUICAO DE ENERGIA P/ 6 DISJUNTORES TERMOMAGNETICOS MONOPOLARES SEM BARRAMENTO, DE EMBUTIR, EM CHAPA METALICA - FORNECIMENTO E INSTALACAO</t>
  </si>
  <si>
    <t>DISJUNTOR MONOPOLAR TIPO DIN, CORRENTE NOMINAL DE 10A - FORNECIMENTO E INSTALAÇÃO. AF_04/2016</t>
  </si>
  <si>
    <t>DISJUNTOR MONOPOLAR TIPO DIN, CORRENTE NOMINAL DE 16A - FORNECIMENTO E INSTALAÇÃO. AF_04/2016</t>
  </si>
  <si>
    <t>DISJUNTOR MONOPOLAR TIPO DIN, CORRENTE NOMINAL DE 20A - FORNECIMENTO E INSTALAÇÃO. AF_04/2016</t>
  </si>
  <si>
    <t>DISJUNTOR MONOPOLAR TIPO DIN, CORRENTE NOMINAL DE 25A - FORNECIMENTO E INSTALAÇÃO. AF_04/2016</t>
  </si>
  <si>
    <t>DISJUNTOR MONOPOLAR TIPO DIN, CORRENTE NOMINAL DE 32A - FORNECIMENTO E INSTALAÇÃO. AF_04/2016</t>
  </si>
  <si>
    <t>DISJUNTOR MONOPOLAR TIPO DIN, CORRENTE NOMINAL DE 40A - FORNECIMENTO E INSTALAÇÃO. AF_04/2016</t>
  </si>
  <si>
    <t>DISJUNTOR MONOPOLAR TIPO DIN, CORRENTE NOMINAL DE 50A - FORNECIMENTO E INSTALAÇÃO. AF_04/2016</t>
  </si>
  <si>
    <t>DISJUNTOR BIPOLAR TIPO DIN, CORRENTE NOMINAL DE 10A - FORNECIMENTO E INSTALAÇÃO. AF_04/2016</t>
  </si>
  <si>
    <t>DISJUNTOR BIPOLAR TIPO DIN, CORRENTE NOMINAL DE 16A - FORNECIMENTO E INSTALAÇÃO. AF_04/2016</t>
  </si>
  <si>
    <t>DISJUNTOR BIPOLAR TIPO DIN, CORRENTE NOMINAL DE 20A - FORNECIMENTO E INSTALAÇÃO. AF_04/2016</t>
  </si>
  <si>
    <t>DISJUNTOR BIPOLAR TIPO DIN, CORRENTE NOMINAL DE 25A - FORNECIMENTO E INSTALAÇÃO. AF_04/2016</t>
  </si>
  <si>
    <t>DISJUNTOR BIPOLAR TIPO DIN, CORRENTE NOMINAL DE 32A - FORNECIMENTO E INSTALAÇÃO. AF_04/2016</t>
  </si>
  <si>
    <t>DISJUNTOR BIPOLAR TIPO DIN, CORRENTE NOMINAL DE 40A - FORNECIMENTO E INSTALAÇÃO. AF_04/2016</t>
  </si>
  <si>
    <t>DISJUNTOR BIPOLAR TIPO DIN, CORRENTE NOMINAL DE 50A - FORNECIMENTO E INSTALAÇÃO. AF_04/2016</t>
  </si>
  <si>
    <t>DISJUNTOR TRIPOLAR TIPO DIN, CORRENTE NOMINAL DE 10A - FORNECIMENTO E INSTALAÇÃO. AF_04/2016</t>
  </si>
  <si>
    <t>DISJUNTOR TRIPOLAR TIPO DIN, CORRENTE NOMINAL DE 16A - FORNECIMENTO E INSTALAÇÃO. AF_04/2016</t>
  </si>
  <si>
    <t>DISJUNTOR TRIPOLAR TIPO DIN, CORRENTE NOMINAL DE 20A - FORNECIMENTO E INSTALAÇÃO. AF_04/2016</t>
  </si>
  <si>
    <t>DISJUNTOR TRIPOLAR TIPO DIN, CORRENTE NOMINAL DE 25A - FORNECIMENTO E INSTALAÇÃO. AF_04/2016</t>
  </si>
  <si>
    <t>DISJUNTOR TRIPOLAR TIPO DIN, CORRENTE NOMINAL DE 32A - FORNECIMENTO E INSTALAÇÃO. AF_04/2016</t>
  </si>
  <si>
    <t>DISJUNTOR TRIPOLAR TIPO DIN, CORRENTE NOMINAL DE 40A - FORNECIMENTO E INSTALAÇÃO. AF_04/2016</t>
  </si>
  <si>
    <t>DISJUNTOR TRIPOLAR TIPO DIN, CORRENTE NOMINAL DE 50A - FORNECIMENTO E INSTALAÇÃO. AF_04/2016</t>
  </si>
  <si>
    <t>TOMADA 3P+T 30A/440V SEM PLACA - FORNECIMENTO E INSTALACAO</t>
  </si>
  <si>
    <t>INTERRUPTOR PULSADOR DE CAMPAINHA OU MINUTERIA 2A/250V C/ CAIXA - FORNECIMENTO E INSTALACAO</t>
  </si>
  <si>
    <t>INTERRUPTOR INTERMEDIARIO (FOUR-WAY) - FORNECIMENTO E INSTALACAO</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</si>
  <si>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</si>
  <si>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</si>
  <si>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</si>
  <si>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</si>
  <si>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</si>
  <si>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</si>
  <si>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</si>
  <si>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</si>
  <si>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</si>
  <si>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</si>
  <si>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</si>
  <si>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</si>
  <si>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</si>
  <si>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</si>
  <si>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</si>
  <si>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</si>
  <si>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</si>
  <si>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</si>
  <si>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</si>
  <si>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</si>
  <si>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</si>
  <si>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</si>
  <si>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</si>
  <si>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</si>
  <si>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</si>
  <si>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</si>
  <si>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</si>
  <si>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</si>
  <si>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</si>
  <si>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</si>
  <si>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</si>
  <si>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TOMADA ALTA DE EMBUTIR (1 MÓDULO), 2P+T 10 A, SEM SUPORTE E SEM PLACA - FORNECIMENTO E INSTALAÇÃO. AF_12/2015</t>
  </si>
  <si>
    <t>TOMADA ALTA DE EMBUTIR (1 MÓDULO), 2P+T 20 A, SEM SUPORTE E SEM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</si>
  <si>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</si>
  <si>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</si>
  <si>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</si>
  <si>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</si>
  <si>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</si>
  <si>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</si>
  <si>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</si>
  <si>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</si>
  <si>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</si>
  <si>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</si>
  <si>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</si>
  <si>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</si>
  <si>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</si>
  <si>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</si>
  <si>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</si>
  <si>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</si>
  <si>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</si>
  <si>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</si>
  <si>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</si>
  <si>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</si>
  <si>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</si>
  <si>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</si>
  <si>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</si>
  <si>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</si>
  <si>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</si>
  <si>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</si>
  <si>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</si>
  <si>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</si>
  <si>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</si>
  <si>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</si>
  <si>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</si>
  <si>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</si>
  <si>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</si>
  <si>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</si>
  <si>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</si>
  <si>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</si>
  <si>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</si>
  <si>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</si>
  <si>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</si>
  <si>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</si>
  <si>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</si>
  <si>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LAMPADA VAPOR METALICO 400W - FORNECIMENTO E INSTALACAO</t>
  </si>
  <si>
    <t>IGNITOR PARA PARTIDA LÂMPADA VAPOR SÓDIO ALTA PRESSÃO ATÉ 400W</t>
  </si>
  <si>
    <t>73953/4</t>
  </si>
  <si>
    <t>LUMINÁRIAS TIPO CALHA, DE SOBREPOR, COM REATORES DE PARTIDA RÁPIDA E LÂMPADAS FLUORESCENTES 2X2X18W, COMPLETAS, FORNECIMENTO E INSTALAÇÃO</t>
  </si>
  <si>
    <t>73953/8</t>
  </si>
  <si>
    <t>LUMINÁRIAS TIPO CALHA, DE SOBREPOR, COM REATORES DE PARTIDA RÁPIDA E LÂMPADAS FLUORESCENTES 2X2X36W, COMPLETAS, FORNECIMENTO E INSTALAÇÃO</t>
  </si>
  <si>
    <t>73953/9</t>
  </si>
  <si>
    <t>LUMINARIA SOBREPOR TP CALHA C/REATOR PART CONVENC LAMP 1X20W E STARTERFIX EM LAJE OU FORRO - FORNECIMENTO E COLOCACAO</t>
  </si>
  <si>
    <t>REATOR PARA LAMPADA FLUORESCENTE 2X40W PARTIDA RAPIDA FORNECIMENTO E INSTALACAO</t>
  </si>
  <si>
    <t>REATOR PARA LAMPADA FLUORESCENTE 1X20W PARTIDA RAPIDA FORNECIMENTO E INSTALACAO</t>
  </si>
  <si>
    <t>REATOR PARA LAMPADA FLUORESCENTE 1X40W PARTIDA RAPIDA FORNECIMENTO E INSTALACAO</t>
  </si>
  <si>
    <t>LAMPADA FLUORESCENTE TP HO 85W - FORNECIMENTO E INSTALACAO</t>
  </si>
  <si>
    <t>LÂMPADA FLUORESCENTE COMPACTA 15 W 2U, BASE E27 - FORNECIMENTO E INSTALAÇÃO</t>
  </si>
  <si>
    <t>LÂMPADA FLUORESCENTE ESPIRAL BRANCA 65 W, BASE E27 - FORNECIMENTO E INSTALAÇÃO</t>
  </si>
  <si>
    <t>LÂMPADA FLUORESCENTE COMPACTA 3U BRANCA 20 W, BASE E27 - FORNECIMENTO E INSTALAÇÃO</t>
  </si>
  <si>
    <t>LÂMPADA FLUORESCENTE ESPIRAL BRANCA 45 W, BASE E27 - FORNECIMENTO E INSTALAÇÃO</t>
  </si>
  <si>
    <t>APARELHO SINALIZADOR DE SAIDA DE GARAGEM, COM CELULA FOTOELETRICA - FORNECIMENTO E INSTALACAO</t>
  </si>
  <si>
    <t>SUPORTE PARA TRANSFORMADOR EM POSTE DE CONCRETO CIRCULAR</t>
  </si>
  <si>
    <t>73767/1</t>
  </si>
  <si>
    <t>GRAMPO PARALELO EM ALUMINIO FUNDIDO OU ESTRUDADO DE 2 PARAFUSOS, PARA CABO DE 6 A 50 MM2, PASTA ANTIOXIDANTE. FORNEC E INSTALAÇÃO.</t>
  </si>
  <si>
    <t>73767/2</t>
  </si>
  <si>
    <t>ALCA PRE-FORMADA DISTRIBUIÇÃO EM  ACO RECOBERTO COM ALUMINIO PARA CABO 25MM2, ENCAPADO. FORNECIMENTO E INSTALAÇÃO.</t>
  </si>
  <si>
    <t>73767/3</t>
  </si>
  <si>
    <t>LACO DE ROLDANA PRE-FORMADO ACO RECOBERTO DE ALUMINIO PARA CABO DE ALUMINIO NU BITOLA 25MM2 - FORNECIMENTO E COLOCACAO</t>
  </si>
  <si>
    <t>73767/4</t>
  </si>
  <si>
    <t>ALCA PRE-FORMADA DISTRIBUICAO EM ACO RECOBERTO COM ALUMINIO NU PARA CABO 25MM2, ENCAPADO. FORNECIMENTO E INSTALACAO.</t>
  </si>
  <si>
    <t>73767/5</t>
  </si>
  <si>
    <t>ALCA PRE-FORMADA SERV DE ACO RECOB C/ALUM NU ENCAPADO 25MM2 (BITOLA)  CONF PROJ A4-148-CP RIOLUZ FORNECIMENTO E COLOCACAO</t>
  </si>
  <si>
    <t>73781/2</t>
  </si>
  <si>
    <t>ISOLADOR DE PINO TP HI-POT CILINDRICO CLASSE 15KV. FORNECIMENTO E INSTALACAO.</t>
  </si>
  <si>
    <t>73781/3</t>
  </si>
  <si>
    <t>ISOLADOR DE SUSPENSAO (DISCO) TP CAVILHA CLASSE 15KV - 6''. FORNECIMENTO E INSTALACAO.</t>
  </si>
  <si>
    <t>ARMACAO SECUNDARIA OU REX COMPLETA PARA TRESLINHAS-FORNECIMENTO E INSTALACAO.</t>
  </si>
  <si>
    <t>ARMACAO SECUNDARIA OU REX COMPLETA PARA DUAS LINHAS-FORNECIMENTO E INSTALACAO.</t>
  </si>
  <si>
    <t>ARMACAO SECUNDARIA OU REX COMPLETA PARA QUATRO LINHAS-FORNECIMENTO E INSTALACAO.</t>
  </si>
  <si>
    <t>REATOR PARA LAMPADA VAPOR DE MERCURIO USO EXTERNO 220V/400W</t>
  </si>
  <si>
    <t>REATOR PARA LAMPADA VAPOR DE SODIO ALTA PRESSAO - 220V/250W - USO EXTERNO</t>
  </si>
  <si>
    <t>73831/2</t>
  </si>
  <si>
    <t>LAMPADA DE VAPOR DE MERCURIO DE 250W - FORNECIMENTO E INSTALACAO</t>
  </si>
  <si>
    <t>73831/3</t>
  </si>
  <si>
    <t>LAMPADA DE VAPOR DE MERCURIO DE 400W/250V - FORNECIMENTO E INSTALACAO</t>
  </si>
  <si>
    <t>73831/4</t>
  </si>
  <si>
    <t>LAMPADA MISTA DE 160W - FORNECIMENTO E INSTALACAO</t>
  </si>
  <si>
    <t>73831/5</t>
  </si>
  <si>
    <t>LAMPADA MISTA DE 250W - FORNECIMENTO E INSTALACAO</t>
  </si>
  <si>
    <t>73831/6</t>
  </si>
  <si>
    <t>LAMPADA MISTA DE 500W - FORNECIMENTO E INSTALACAO</t>
  </si>
  <si>
    <t>73831/7</t>
  </si>
  <si>
    <t>LAMPADA DE VAPOR DE SODIO DE 150WX220V - FORNECIMENTO E INSTALACAO</t>
  </si>
  <si>
    <t>73831/8</t>
  </si>
  <si>
    <t>LAMPADA DE VAPOR DE SODIO DE 250WX220V - FORNECIMENTO E INSTALACAO</t>
  </si>
  <si>
    <t>73831/9</t>
  </si>
  <si>
    <t>LAMPADA DE VAPOR DE SODIO DE 400WX220V - FORNECIMENTO E INSTALACAO</t>
  </si>
  <si>
    <t>74231/1</t>
  </si>
  <si>
    <t>LUMINARIA ABERTA PARA ILUMINACAO PUBLICA, PARA LAMPADA A VAPOR DE MERCURIO ATE 400W E MISTA ATE 500W, COM BRACO EM TUBO DE ACO GALV D=50MM PROJ HOR=2.500MM E PROJ VERT= 2.200MM, FORNECIMENTO E INSTALACAO</t>
  </si>
  <si>
    <t>74246/1</t>
  </si>
  <si>
    <t>REFLETOR RETANGULAR FECHADO COM LAMPADA VAPOR METALICO 400 W</t>
  </si>
  <si>
    <t>RELE FOTOELETRICO P/ COMANDO DE ILUMINACAO EXTERNA 220V/1000W - FORNECIMENTO E INSTALACAO</t>
  </si>
  <si>
    <t>BRACO P/ ILUMINACAO DE RUAS EM TUBO ACO GALV 1" COMP = 1,20M E INCLINACAO 25GRAUS EM RELACAO AO PLANO VERTICAL P/ FIXACAO EM POSTE OU PAREDE - FORNECIMENTO E INSTALACAO</t>
  </si>
  <si>
    <t>BRACO P/ LUMINARIA PUBLICA 1 X 1,50 M, EM TUBO ACO GALV 3/4, P/ FIXACAO EM POSTE OU PAREDE - FORNECIMENTO E INSTALACAO</t>
  </si>
  <si>
    <t>ABRACADEIRA DE FIXACAO DE BRACOS DE LUMINARIAS DE 4" - FORNECIMENTO E INSTALACAO</t>
  </si>
  <si>
    <t>LUMINARIA FECHADA PARA ILUMINACAO PUBLICA COM REATOR DE PARTIDA RAPIDA COM LAMPADA A VAPOR DE MERCURIO 250W - FORNECIMENTO E INSTALACAO</t>
  </si>
  <si>
    <t>LUMINARIA FECHADA PARA ILUMINACAO PUBLICA - LAMPADAS DE 250/500W - FORNECIMENTO E INSTALACAO (EXCLUINDO LAMPADAS)</t>
  </si>
  <si>
    <t>LUMINARIA ESTANQUE - PROTECAO CONTRA AGUA, POEIRA OU IMPACTOS - TIPO AQUATIC PIAL OU EQUIVALENTE</t>
  </si>
  <si>
    <t>REATOR PARA LAMPADA VAPOR DE MERCURIO 125W  USO EXTERNO</t>
  </si>
  <si>
    <t>REATOR PARA LAMPADA VAPOR DE MERCURIO 250W USO EXTERNO</t>
  </si>
  <si>
    <t>73857/1</t>
  </si>
  <si>
    <t>TRANSFORMADOR DISTRIBUICAO  75KVA TRIFASICO 60HZ CLASSE 15KV IMERSO EM ÓLEO MINERAL FORNECIMENTO E INSTALACAO</t>
  </si>
  <si>
    <t>73857/2</t>
  </si>
  <si>
    <t>TRANSFORMADOR DISTRIBUICAO  112,5KVA TRIFASICO 60HZ CLASSE 15KV IMERSO EM ÓLEO MINERAL FORNECIMENTO E INSTALACAO</t>
  </si>
  <si>
    <t>73857/3</t>
  </si>
  <si>
    <t>TRANSFORMADOR DISTRIBUICAO  150KVA TRIFASICO 60HZ CLASSE 15KV IMERSO EM ÓLEO MINERAL FORNECIMENTO E INSTALACAO</t>
  </si>
  <si>
    <t>73857/4</t>
  </si>
  <si>
    <t>TRANSFORMADOR DISTRIBUICAO  225KVA TRIFASICO 60HZ CLASSE 15KV IMERSO EM ÓLEO MINERAL FORNECIMENTO E INSTALACAO</t>
  </si>
  <si>
    <t>73857/5</t>
  </si>
  <si>
    <t>TRANSFORMADOR DISTRIBUICAO  300KVA TRIFASICO 60HZ CLASSE 15KV IMERSO EM ÓLEO MINERAL FORNECIMENTO E INSTALACAO</t>
  </si>
  <si>
    <t>73857/6</t>
  </si>
  <si>
    <t>TRANSFORMADOR DISTRIBUICAO  500KVA TRIFASICO 60HZ CLASSE 15KV IMERSO EM ÓLEO MINERAL FORNECIMENTO E INSTALACAO</t>
  </si>
  <si>
    <t>73857/7</t>
  </si>
  <si>
    <t>TRANSFORMADOR DISTRIBUICAO  30KVA TRIFASICO 60HZ CLASSE 15KV IMERSO EM ÓLEO MINERAL FORNECIMENTO E INSTALACAO</t>
  </si>
  <si>
    <t>73857/8</t>
  </si>
  <si>
    <t>TRANSFORMADOR DISTRIBUICAO  45KVA TRIFASICO 60HZ CLASSE 15KV IMERSO EM ÓLEO MINERAL FORNECIMENTO E INSTALACAO</t>
  </si>
  <si>
    <t>73857/9</t>
  </si>
  <si>
    <t>TRANSFORMADOR DISTRIBUICAO  750KVA TRIFASICO 60HZ CLASSE 15KV IMERSO EM ÓLEO MINERAL FORNECIMENTO E INSTALACAO</t>
  </si>
  <si>
    <t>73857/10</t>
  </si>
  <si>
    <t>TRANSFORMADOR DISTRIBUICAO  1000KVA TRIFASICO 60HZ CLASSE 15KV IMERSO EM ÓLEO MINERAL FORNECIMENTO E INSTALACAO</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</si>
  <si>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</si>
  <si>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</si>
  <si>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</si>
  <si>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</si>
  <si>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</si>
  <si>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</si>
  <si>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</si>
  <si>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</si>
  <si>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</si>
  <si>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</si>
  <si>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</si>
  <si>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</si>
  <si>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INSTALACAO PARA-RAIOS P/RESERVATORIO</t>
  </si>
  <si>
    <t>TERMINAL AEREO EM ACO GALVANIZADO COM BASE DE FIXACAO H = 30CM</t>
  </si>
  <si>
    <t>CHAVE DE BOIA AUTOMÁTICA SUPERIOR 10A/250V - FORNECIMENTO E INSTALACAO</t>
  </si>
  <si>
    <t>ABRIGO PARA HIDRANTE, 75X45X17CM, COM REGISTRO GLOBO ANGULAR 45º 2.1/2", ADAPTADOR STORZ 2.1/2", MANGUEIRA DE INCÊNDIO 15M, REDUÇÃO 2.1/2X1.1/2" E ESGUICHO EM LATÃO 1.1/2" - FORNECIMENTO E INSTALAÇÃO</t>
  </si>
  <si>
    <t>CAIXA DE INCÊNDIO 45X75X17CM - FORNECIMENTO E INSTALAÇÃO</t>
  </si>
  <si>
    <t>EXTINTOR DE PQS 4KG - FORNECIMENTO E INSTALACAO</t>
  </si>
  <si>
    <t>EXTINTOR DE CO2 6KG - FORNECIMENTO E INSTALACAO</t>
  </si>
  <si>
    <t>73775/1</t>
  </si>
  <si>
    <t>EXTINTOR INCENDIO TP PO QUIMICO 4KG FORNECIMENTO E COLOCACAO</t>
  </si>
  <si>
    <t>73775/2</t>
  </si>
  <si>
    <t>EXTINTOR INCENDIO AGUA-PRESSURIZADA 10L INCL SUPORTE PAREDE CARGA     COMPLETA FORNECIMENTO E COLOCACAO</t>
  </si>
  <si>
    <t>HIDRANTE SUBTERRANEO FERRO FUNDIDO C/ CURVA LONGA E CAIXA DN=75MM</t>
  </si>
  <si>
    <t>EXTINTOR INCENDIO TP GAS CARBONICO 4KG COMPLETO - FORNECIMENTO E INSTALACAO</t>
  </si>
  <si>
    <t>73749/1</t>
  </si>
  <si>
    <t>73749/2</t>
  </si>
  <si>
    <t>CAIXA ENTERRADA PARA INSTALACOES TELEFONICAS TIPO R2 1,07X0,52X0,50M EM BLOCOS DE CONCRETO ESTRUTURAL</t>
  </si>
  <si>
    <t>73749/3</t>
  </si>
  <si>
    <t>CAIXA ENTERRADA PARA INSTALACOES TELEFONICAS TIPO R3 1,30X1,20X1,20M EM BLOCOS DE CONCRETO ESTRUTURAL</t>
  </si>
  <si>
    <t>TAMPAO FOFO P/ CAIXA R2 PADRAO TELEBRAS COMPLETO - FORNECIMENTO E INSTALACAO</t>
  </si>
  <si>
    <t>74003/1</t>
  </si>
  <si>
    <t>INSTALACOES GAS CENTRAL P/ EDIFICIO RESIDENCIAL C/ 4 PAVTOS 16 UNID.  UMA CENTRAL POR BLOCO COM 16 PONTOS</t>
  </si>
  <si>
    <t>BOMBA CENTRIFUGA C/ MOTOR ELETRICO TRIFASICO 1CV</t>
  </si>
  <si>
    <t>BOMBA SUBMERSIVEL ELETRICA, TRIFASICA, POTÊNCIA 3,75 HP, DIAMETRO DO ROTOR 90 MM SEMIABERTO, BOCAL DE SAIDA DIAMETRO DE 2 POLEGADAS, HM/Q = 5 M / 61,2 M3/H A 25,5 M / 3,6 M3/H</t>
  </si>
  <si>
    <t>BOMBA RECALQUE D'AGUA TRIFASICA 10,0 HP</t>
  </si>
  <si>
    <t>BOMBA RECALQUE D'AGUA TRIFASICA 3,0 HP</t>
  </si>
  <si>
    <t>BOMBA RECALQUE D'AGUA DE ESTAGIOS TRIFASICA 2,0 HP</t>
  </si>
  <si>
    <t>BOMBA RECALQUE D'AGUA TRIFASICA 1,5HP</t>
  </si>
  <si>
    <t>BOMBA RECALQUE D'AGUA TRIFASICA 0,5 HP</t>
  </si>
  <si>
    <t>BOMBA RECALQUE D'AGUA PREDIO 6 A 10 PAVTOS - 2UD</t>
  </si>
  <si>
    <t>BOMBA RECALQUE D'AGUA PREDIO 3 A 5 PAVTOS - 2UD</t>
  </si>
  <si>
    <t>TUBO, PVC, SOLDÁVEL, DN 20MM, INSTALADO EM RAMAL OU SUB-RAMAL DE ÁGUA - FORNECIMENTO E INSTALAÇÃO. AF_12/2014</t>
  </si>
  <si>
    <t>TUBO, PVC, SOLDÁVEL, DN 25MM, INSTALADO EM RAMAL OU SUB-RAMAL DE ÁGUA - FORNECIMENTO E INSTALAÇÃO. AF_12/2014</t>
  </si>
  <si>
    <t>TUBO, PVC, SOLDÁVEL, DN 32MM, INSTALADO EM RAMAL OU SUB-RAMAL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</si>
  <si>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</si>
  <si>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</si>
  <si>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85MM, INSTALADO EM PRUMADA DE ÁGUA - FORNECIMENTO E INSTALAÇÃO. AF_12/2014</t>
  </si>
  <si>
    <t>TUBO PVC, SÉRIE R, ÁGUA PLUVIAL, DN 40 MM, FORNECIDO E INSTALADO EM RAMAL DE ENCAMINHAMENTO. AF_12/2014</t>
  </si>
  <si>
    <t>TUBO PVC, SÉRIE R, ÁGUA PLUVIAL, DN 50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</si>
  <si>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</si>
  <si>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</si>
  <si>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</si>
  <si>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</si>
  <si>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</si>
  <si>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</si>
  <si>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SOLDÁVEL, DN 22MM, INSTALADO EM RAMAL OU SUB-RAMAL DE ÁGUA - FORNECIMENTO E INSTALAÇÃO. AF_12/2014</t>
  </si>
  <si>
    <t>TUBO, CPVC, SOLDÁVEL, DN 28MM, INSTALADO EM RAMAL OU SUB-RAMAL DE ÁGUA - FORNECIMENTO E INSTALAÇÃO. AF_12/2014</t>
  </si>
  <si>
    <t>TUBO, CPVC, SOLDÁVEL, DN 35MM, INSTALADO EM RAMAL OU SUB-RAMAL DE ÁGUA  FORNECIMENTO E INSTALAÇÃO.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</si>
  <si>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</si>
  <si>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</si>
  <si>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75 MM, FORNECIDO E INSTALADO EM RAMAL DE DESCARGA OU RAMAL DE ESGOTO SANITÁRIO. AF_12/2014</t>
  </si>
  <si>
    <t>TUBO PVC, SERIE NORMAL, ESGOTO PREDIAL, DN 100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</si>
  <si>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</si>
  <si>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</si>
  <si>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</si>
  <si>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</si>
  <si>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SOLDÁVEL, DN 73MM, INSTALADO EM PRUMADA DE ÁGUA  FORNECIMENTO E INSTALAÇÃO. AF_12/2014</t>
  </si>
  <si>
    <t>TUBO, CPVC, SOLDÁVEL, DN 89MM, INSTALADO EM PRUMADA DE ÁGUA  FORNECIMENTO E INSTALAÇÃO. AF_12/2014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</si>
  <si>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</si>
  <si>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</si>
  <si>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</si>
  <si>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</si>
  <si>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</si>
  <si>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</si>
  <si>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</si>
  <si>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</si>
  <si>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</si>
  <si>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</si>
  <si>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</si>
  <si>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</si>
  <si>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</si>
  <si>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</si>
  <si>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</si>
  <si>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</si>
  <si>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</si>
  <si>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</si>
  <si>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</si>
  <si>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DE AÇO GALVANIZADO COM COSTURA, CLASSE MÉDIA, CONEXÃO RANHURADA, DN 50 (2"), INSTALADO EM PRUMADAS - FORNECIMENTO E INSTALAÇÃO. AF_12/2015</t>
  </si>
  <si>
    <t>TUBO DE AÇO GALVANIZADO COM COSTURA, CLASSE MÉDIA, CONEXÃO RANHURADA, DN 65 (2 1/2"), INSTALADO EM PRUMADAS - FORNECIMENTO E INSTALAÇÃO. AF_12/2015</t>
  </si>
  <si>
    <t>TUBO DE AÇO GALVANIZADO COM COSTURA, CLASSE MÉDIA, CONEXÃO RANHURADA, DN 80 (3"), INSTALADO EM PRUMADAS - FORNECIMENTO E INSTALAÇÃO. AF_12/2015</t>
  </si>
  <si>
    <t>TUBO DE AÇO PRETO SEM COSTURA, CONEXÃO SOLDADA, DN 50 (2"), INSTALADO EM PRUMADAS - FORNECIMENTO E INSTALAÇÃO. AF_12/2015</t>
  </si>
  <si>
    <t>TUBO DE AÇO PRETO SEM COSTURA, CONEXÃO SOLDADA, DN 65 (2 1/2"), INSTALADO EM PRUMADAS - FORNECIMENTO E INSTALAÇÃO. AF_12/2015</t>
  </si>
  <si>
    <t>TUBO DE AÇO GALVANIZADO COM COSTURA, CLASSE MÉDIA, DN 50 (2"), CONEXÃO ROSQUEADA, INSTALADO EM PRUMADAS - FORNECIMENTO E INSTALAÇÃO. AF_12/2015</t>
  </si>
  <si>
    <t>TUBO DE AÇO GALVANIZADO COM COSTURA, CLASSE MÉDIA, DN 65 (2 1/2"), CONEXÃO ROSQUEADA, INSTALADO EM PRUMADAS - FORNECIMENTO E INSTALAÇÃO. AF_12/2015</t>
  </si>
  <si>
    <t>TUBO DE AÇO GALVANIZADO COM COSTURA, CLASSE MÉDIA, DN 80 (3"), CONEXÃO ROSQUEADA, INSTALADO EM PRUMADAS - FORNECIMENTO E INSTALAÇÃO. AF_12/2015</t>
  </si>
  <si>
    <t>TUBO DE AÇO PRETO SEM COSTURA, CONEXÃO SOLDADA, DN 50 (2"), INSTALADO EM REDE DE ALIMENTAÇÃO PARA HIDRANTE - FORNECIMENTO E INSTALAÇÃO. AF_12/2015</t>
  </si>
  <si>
    <t>TUBO DE AÇO PRETO SEM COSTURA, CONEXÃO SOLDADA, DN 65 (2 1/2"), INSTALADO EM REDE DE ALIMENTAÇÃO PARA HIDRANTE - FORNECIMENTO E INSTALAÇÃO. AF_12/2015</t>
  </si>
  <si>
    <t>TUBO DE AÇO GALVANIZADO COM COSTURA, CLASSE MÉDIA, DN 32 (1 1/4"), CONEXÃO ROSQUEADA, INSTALADO EM REDE DE ALIMENTAÇÃO PARA HIDRANTE - FORNECIMENTO E INSTALAÇÃO. AF_12/2015</t>
  </si>
  <si>
    <t>TUBO DE AÇO GALVANIZADO COM COSTURA, CLASSE MÉDIA, DN 40 (1 1/2"), CONEXÃO ROSQUEADA, INSTALADO EM REDE DE ALIMENTAÇÃO PARA HIDRANTE - FORNECIMENTO E INSTALAÇÃO. AF_12/2015</t>
  </si>
  <si>
    <t>TUBO DE AÇO GALVANIZADO COM COSTURA, CLASSE MÉDIA, DN 50 (2"), CONEXÃO ROSQUEADA, INSTALADO EM REDE DE ALIMENTAÇÃO PARA HIDRANTE - FORNECIMENTO E INSTALAÇÃO. AF_12/2015</t>
  </si>
  <si>
    <t>TUBO DE AÇO GALVANIZADO COM COSTURA, CLASSE MÉDIA, DN 80 (3"), CONEXÃO ROSQUEADA, INSTALADO EM REDE DE ALIMENTAÇÃO PARA HIDRANTE - FORNECIMENTO E INSTALAÇÃO. AF_12/2015</t>
  </si>
  <si>
    <t>TUBO DE AÇO PRETO SEM COSTURA, CONEXÃO SOLDADA, DN 40 (1 1/2"), INSTALADO EM REDE DE ALIMENTAÇÃO PARA SPRINKLER - FORNECIMENTO E INSTALAÇÃO. AF_12/2015</t>
  </si>
  <si>
    <t>TUBO DE AÇO PRETO SEM COSTURA, CONEXÃO SOLDADA, DN 50 (2"), INSTALADO EM REDE DE ALIMENTAÇÃO PARA SPRINKLER - FORNECIMENTO E INSTALAÇÃO. AF_12/2015</t>
  </si>
  <si>
    <t>TUBO DE AÇO PRETO SEM COSTURA, CONEXÃO SOLDADA, DN 65 (2 1/2"), INSTALADO EM REDE DE ALIMENTAÇÃO PARA SPRINKLER - FORNECIMENTO E INSTALAÇÃO. AF_12/2015</t>
  </si>
  <si>
    <t>TUBO DE AÇO GALVANIZADO COM COSTURA, CLASSE MÉDIA, CONEXÃO ROSQUEADA, DN 32 (1 1/4"), INSTALADO EM REDE DE ALIMENTAÇÃO PARA SPRINKLER - FORNECIMENTO E INSTALAÇÃO. AF_12/2015</t>
  </si>
  <si>
    <t>TUBO DE AÇO GALVANIZADO COM COSTURA, CLASSE MÉDIA, CONEXÃO ROSQUEADA, DN 40 (1 1/2"), INSTALADO EM REDE DE ALIMENTAÇÃO PARA SPRINKLER - FORNECIMENTO E INSTALAÇÃO. AF_12/2015</t>
  </si>
  <si>
    <t>TUBO DE AÇO GALVANIZADO COM COSTURA, CLASSE MÉDIA, CONEXÃO ROSQUEADA, DN 50 (2"), INSTALADO EM REDE DE ALIMENTAÇÃO PARA SPRINKLER - FORNECIMENTO E INSTALAÇÃO. AF_12/2015</t>
  </si>
  <si>
    <t>TUBO DE AÇO GALVANIZADO COM COSTURA, CLASSE MÉDIA, CONEXÃO ROSQUEADA, DN 65 (2 1/2"), INSTALADO EM REDE DE ALIMENTAÇÃO PARA SPRINKLER - FORNECIMENTO E INSTALAÇÃO. AF_12/2015</t>
  </si>
  <si>
    <t>TUBO DE AÇO GALVANIZADO COM COSTURA, CLASSE MÉDIA, CONEXÃO ROSQUEADA, DN 80 (3"), INSTALADO EM REDE DE ALIMENTAÇÃO PARA SPRINKLER - FORNECIMENTO E INSTALAÇÃO. AF_12/2015</t>
  </si>
  <si>
    <t>TUBO DE AÇO GALVANIZADO COM COSTURA, CLASSE MÉDIA, CONEXÃO ROSQUEADA, DN 15 (1/2"), INSTALADO EM RAMAIS E SUB-RAMAIS DE GÁS - FORNECIMENTO E INSTALAÇÃO. AF_12/2015</t>
  </si>
  <si>
    <t>TUBO DE AÇO GALVANIZADO COM COSTURA, CLASSE MÉDIA, CONEXÃO ROSQUEADA, DN 20 (3/4"), INSTALADO EM RAMAIS E SUB-RAMAIS DE GÁS - FORNECIMENTO E INSTALAÇÃO. AF_12/2015</t>
  </si>
  <si>
    <t>TUBO DE AÇO PRETO SEM COSTURA, CLASSE MÉDIA, CONEXÃO SOLDADA, DN 15 (1/2"), INSTALADO EM RAMAIS E SUB-RAMAIS DE GÁS - FORNECIMENTO E INSTALAÇÃO. AF_12/2015</t>
  </si>
  <si>
    <t>TUBO DE AÇO PRETO SEM COSTURA, CLASSE MÉDIA, CONEXÃO SOLDADA, DN 20 (3/4"), INSTALADO EM RAMAIS E SUB-RAMAIS DE GÁS - FORNECIMENTO E INSTALAÇÃO. AF_12/2015</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</si>
  <si>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</si>
  <si>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</si>
  <si>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</si>
  <si>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</si>
  <si>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</si>
  <si>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</si>
  <si>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</si>
  <si>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</si>
  <si>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</si>
  <si>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</si>
  <si>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</si>
  <si>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</si>
  <si>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</si>
  <si>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</si>
  <si>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</si>
  <si>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</si>
  <si>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</si>
  <si>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</si>
  <si>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CAP PVC ESGOTO 50MM (TAMPÃO) - FORNECIMENTO E INSTALAÇÃO</t>
  </si>
  <si>
    <t>COTOVELO DE AÇO GALVANIZADO 4" - FORNECIMENTO E INSTALAÇÃO</t>
  </si>
  <si>
    <t>COTOVELO DE AÇO GALVANIZADO 5" - FORNECIMENTO E INSTALAÇÃO</t>
  </si>
  <si>
    <t>COTOVELO DE AÇO GALVANIZADO 6" - FORNECIMENTO E INSTALAÇÃO</t>
  </si>
  <si>
    <t>UNIAO DE ACO GALVANIZADO 4" - FORNECIMENTO E INSTALACAO</t>
  </si>
  <si>
    <t>LUVA DE ACO GALVANIZADO 4" - FORNECIMENTO E INSTALACAO</t>
  </si>
  <si>
    <t>LUVA DE ACO GALVANIZADO 5" - FORNECIMENTO E INSTALACAO</t>
  </si>
  <si>
    <t>LUVA DE ACO GALVANIZADO 6" - FORNECIMENTO E INSTALACAO</t>
  </si>
  <si>
    <t>LUVA REDUCAO ACO GALVANIZADO 4X2.1/2" - FORNECIMENTO E INSTALACAO</t>
  </si>
  <si>
    <t>LUVA REDUCAO ACO GALVANIZADO 4X2" - FORNECIMENTO E INSTALACAO</t>
  </si>
  <si>
    <t>LUVA REDUCAO ACO GALVANIZADO 4X3" - FORNECIMENTO E INSTALACAO</t>
  </si>
  <si>
    <t>NIPLE DE ACO GALVANIZADO 4" - FORNECIMENTO E INSTALACAO</t>
  </si>
  <si>
    <t>NIPLE DE ACO GALVANIZADO 5" - FORNECIMENTO E INSTALACAO</t>
  </si>
  <si>
    <t>NIPLE DE ACO GALVANIZADO 6" - FORNECIMENTO E INSTALACAO</t>
  </si>
  <si>
    <t>TE DE ACO GALVANIZADO 4" - FORNECIMENTO E INSTALACAO</t>
  </si>
  <si>
    <t>TE DE ACO GALVANIZADO 5" - FORNECIMENTO E INSTALACAO</t>
  </si>
  <si>
    <t>TE DE ACO GALVANIZADO 6" - FORNECIMENTO E INSTALACAO</t>
  </si>
  <si>
    <t>JOELHO 90 GRAUS, PVC, SOLDÁVEL, DN 20MM, INSTALADO EM RAMAL OU SUB-RAMAL DE ÁGUA - FORNECIMENTO E INSTALAÇÃO. AF_12/2014</t>
  </si>
  <si>
    <t>JOELHO 45 GRAUS, PVC, SOLDÁVEL, DN 20MM, INSTALADO EM RAMAL OU SUB-RAMAL DE ÁGUA - FORNECIMENTO E INSTALAÇÃO. AF_12/2014</t>
  </si>
  <si>
    <t>CURVA 90 GRAUS, PVC, SOLDÁVEL, DN 20MM, INSTALADO EM RAMAL OU SUB-RAMAL DE ÁGUA - FORNECIMENTO E INSTALAÇÃO. AF_12/2014</t>
  </si>
  <si>
    <t>CURVA 45 GRAUS, PVC, SOLDÁVEL, DN 20MM, INSTALADO EM RAMAL OU SUB-RAMAL DE ÁGUA - FORNECIMENTO E INSTALAÇÃO. AF_12/2014</t>
  </si>
  <si>
    <t>JOELHO 90 GRAUS, PVC, SOLDÁVEL, DN 25MM, INSTALADO EM RAMAL OU SUB-RAMAL DE ÁGUA - FORNECIMENTO E INSTALAÇÃO. AF_12/2014</t>
  </si>
  <si>
    <t>JOELHO 45 GRAUS, PVC, SOLDÁVEL, DN 25MM, INSTALADO EM RAMAL OU SUB-RAMAL DE ÁGUA - FORNECIMENTO E INSTALAÇÃO. AF_12/2014</t>
  </si>
  <si>
    <t>CURVA 90 GRAUS, PVC, SOLDÁVEL, DN 25MM, INSTALADO EM RAMAL OU SUB-RAMAL DE ÁGUA - FORNECIMENTO E INSTALAÇÃO. AF_12/2014</t>
  </si>
  <si>
    <t>CURVA 45 GRAUS, PVC, SOLDÁVEL, DN 25MM, INSTALADO EM RAMAL OU SUB-RAMAL DE ÁGUA - FORNECIMENTO E INSTALAÇÃO. AF_12/2014</t>
  </si>
  <si>
    <t>JOELHO 90 GRAUS COM BUCHA DE LATÃO, PVC, SOLDÁVEL, DN 25MM, X 3/4 INSTALADO EM RAMAL OU SUB-RAMAL DE ÁGUA - FORNECIMENTO E INSTALAÇÃO. AF_12/2014</t>
  </si>
  <si>
    <t>JOELHO 90 GRAUS, PVC, SOLDÁVEL, DN 32MM, INSTALADO EM RAMAL OU SUB-RAMAL DE ÁGUA - FORNECIMENTO E INSTALAÇÃO. AF_12/2014</t>
  </si>
  <si>
    <t>JOELHO 45 GRAUS, PVC, SOLDÁVEL, DN 32MM, INSTALADO EM RAMAL OU SUB-RAMAL DE ÁGUA - FORNECIMENTO E INSTALAÇÃO. AF_12/2014</t>
  </si>
  <si>
    <t>CURVA 90 GRAUS, PVC, SOLDÁVEL, DN 32MM, INSTALADO EM RAMAL OU SUB-RAMAL DE ÁGUA - FORNECIMENTO E INSTALAÇÃO. AF_12/2014</t>
  </si>
  <si>
    <t>CURVA 45 GRAUS, PVC, SOLDÁVEL, DN 32MM, INSTALADO EM RAMAL OU SUB-RAMAL DE ÁGUA - FORNECIMENTO E INSTALAÇÃO. AF_12/2014</t>
  </si>
  <si>
    <t>LUVA, PVC, SOLDÁVEL, DN 20MM, INSTALADO EM RAMAL OU SUB-RAMAL DE ÁGUA - FORNECIMENTO E INSTALAÇÃO. AF_12/2014</t>
  </si>
  <si>
    <t>LUVA DE CORRER, PVC, SOLDÁVEL, DN 20MM, INSTALADO EM RAMAL OU SUB-RAMAL DE ÁGUA - FORNECIMENTO E INSTALAÇÃO. AF_12/2014</t>
  </si>
  <si>
    <t>LUVA COM BUCHA DE LATÃO, PVC, SOLDÁVEL, DN 20MM X 1/2, INSTALADO EM RAMAL OU SUB-RAMAL DE ÁGUA - FORNECIMENTO E INSTALAÇÃO. AF_12/2014</t>
  </si>
  <si>
    <t>UNIÃO, PVC, SOLDÁVEL, DN 20MM, INSTALADO EM RAMAL OU SUB-RAMAL DE ÁGUA - FORNECIMENTO E INSTALAÇÃO. AF_12/2014</t>
  </si>
  <si>
    <t>ADAPTADOR CURTO COM BOLSA E ROSCA PARA REGISTRO, PVC, SOLDÁVEL, DN 20MM X 1/2, INSTALADO EM RAMAL OU SUB-RAMAL DE ÁGUA - FORNECIMENTO E INSTALAÇÃO. AF_12/2014</t>
  </si>
  <si>
    <t>CURVA DE TRANSPOSIÇÃO, PVC, SOLDÁVEL, DN 20MM, INSTALADO EM RAMAL OU SUB-RAMAL DE ÁGUA - FORNECIMENTO E INSTALAÇÃO. AF_12/2014</t>
  </si>
  <si>
    <t>LUVA, PVC, SOLDÁVEL, DN 25MM, INSTALADO EM RAMAL OU SUB-RAMAL DE ÁGUA - FORNECIMENTO E INSTALAÇÃO. AF_12/2014</t>
  </si>
  <si>
    <t>LUVA DE CORRER, PVC, SOLDÁVEL, DN 25MM, INSTALADO EM RAMAL OU SUB-RAMAL DE ÁGUA - FORNECIMENTO E INSTALAÇÃO. AF_12/2014</t>
  </si>
  <si>
    <t>LUVA COM BUCHA DE LATÃO, PVC, SOLDÁVEL, DN 25MM X 3/4, INSTALADO EM RAMAL OU SUB-RAMAL DE ÁGUA - FORNECIMENTO E INSTALAÇÃO. AF_12/2014</t>
  </si>
  <si>
    <t>UNIÃO, PVC, SOLDÁVEL, DN 25MM, INSTALADO EM RAMAL OU SUB-RAMAL DE ÁGUA - FORNECIMENTO E INSTALAÇÃO. AF_12/2014</t>
  </si>
  <si>
    <t>ADAPTADOR CURTO COM BOLSA E ROSCA PARA REGISTRO, PVC, SOLDÁVEL, DN 25MM X 3/4, INSTALADO EM RAMAL OU SUB-RAMAL DE ÁGUA - FORNECIMENTO E INSTALAÇÃO. AF_12/2014</t>
  </si>
  <si>
    <t>CURVA DE TRANSPOSIÇÃO, PVC, SOLDÁVEL, DN 25MM, INSTALADO EM RAMAL OU SUB-RAMAL DE ÁGUA   FORNECIMENTO E INSTALAÇÃO. AF_12/2014</t>
  </si>
  <si>
    <t>LUVA SOLDÁVEL E COM ROSCA, PVC, SOLDÁVEL, DN 25MM X 3/4, INSTALADO EM RAMAL OU SUB-RAMAL DE ÁGUA - FORNECIMENTO E INSTALAÇÃO. AF_12/2014</t>
  </si>
  <si>
    <t>LUVA, PVC, SOLDÁVEL, DN 32MM, INSTALADO EM RAMAL OU SUB-RAMAL DE ÁGUA - FORNECIMENTO E INSTALAÇÃO. AF_12/2014</t>
  </si>
  <si>
    <t>LUVA DE CORRER, PVC, SOLDÁVEL, DN 32MM, INSTALADO EM RAMAL OU SUB-RAMAL DE ÁGUA   FORNECIMENTO E INSTALAÇÃO. AF_12/2014</t>
  </si>
  <si>
    <t>LUVA DE REDUÇÃO, PVC, SOLDÁVEL, DN 40MM X 32MM, INSTALADO EM RAMAL OU SUB-RAMAL DE ÁGUA - FORNECIMENTO E INSTALAÇÃO. AF_12/2014</t>
  </si>
  <si>
    <t>LUVA SOLDÁVEL E COM ROSCA, PVC, SOLDÁVEL, DN 32MM X 1, INSTALADO EM RAMAL OU SUB-RAMAL DE ÁGUA - FORNECIMENTO E INSTALAÇÃO. AF_12/2014</t>
  </si>
  <si>
    <t>UNIÃO, PVC, SOLDÁVEL, DN 32MM, INSTALADO EM RAMAL OU SUB-RAMAL DE ÁGUA - FORNECIMENTO E INSTALAÇÃO. AF_12/2014</t>
  </si>
  <si>
    <t>ADAPTADOR CURTO COM BOLSA E ROSCA PARA REGISTRO, PVC, SOLDÁVEL, DN 32MM X 1, INSTALADO EM RAMAL OU SUB-RAMAL DE ÁGUA - FORNECIMENTO E INSTALAÇÃO. AF_12/2014</t>
  </si>
  <si>
    <t>CURVA DE TRANSPOSIÇÃO, PVC, SOLDÁVEL, DN 32MM, INSTALADO EM RAMAL OU SUB-RAMAL DE ÁGUA   FORNECIMENTO E INSTALAÇÃO. AF_12/2014</t>
  </si>
  <si>
    <t>TE, PVC, SOLDÁVEL, DN 20MM, INSTALADO EM RAMAL OU SUB-RAMAL DE ÁGUA - FORNECIMENTO E INSTALAÇÃO. AF_12/2014</t>
  </si>
  <si>
    <t>TÊ COM BUCHA DE LATÃO NA BOLSA CENTRAL, PVC, SOLDÁVEL, DN 20MM X 1/2,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</si>
  <si>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</si>
  <si>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</si>
  <si>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25MM X 20MM, INSTALADO EM RAMAL OU SUB-RAMAL DE ÁGUA - FORNECIMENTO E INSTALAÇÃO. AF_12/2014</t>
  </si>
  <si>
    <t>TE, PVC, SOLDÁVEL, DN 32MM, INSTALADO EM RAMAL OU SUB-RAMAL DE ÁGUA - FORNECIMENTO E INSTALAÇÃO. AF_12/2014</t>
  </si>
  <si>
    <t>TÊ COM BUCHA DE LATÃO NA BOLSA CENTRAL, PVC, SOLDÁVEL, DN 32MM X 3/4, INSTALADO EM RAMAL OU SUB-RAMAL DE ÁGUA - FORNECIMENTO E INSTALAÇÃO. AF_12/2014</t>
  </si>
  <si>
    <t>TÊ DE REDUÇÃO, PVC, SOLDÁVEL, DN 32MM X 25MM,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</si>
  <si>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</si>
  <si>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</si>
  <si>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CURVA 90 GRAUS, PVC, SOLDÁVEL, DN 20MM, INSTALADO EM RAMAL DE DISTRIBUIÇÃO DE ÁGUA - FORNECIMENTO E INSTALAÇÃO. AF_12/2014</t>
  </si>
  <si>
    <t>CURVA 45 GRAUS, PVC, SOLDÁVEL, DN 20MM,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</si>
  <si>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</si>
  <si>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</si>
  <si>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</si>
  <si>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</si>
  <si>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45 GRAUS, PVC, SOLDÁVEL, DN 32MM, INSTALADO EM RAMAL DE DISTRIBUIÇÃO DE ÁGUA - FORNECIMENTO E INSTALAÇÃO. AF_12/2014</t>
  </si>
  <si>
    <t>CURVA 90 GRAUS, PVC, SOLDÁVEL, DN 32MM, INSTALADO EM RAMAL DE DISTRIBUIÇÃO DE ÁGUA - FORNECIMENTO E INSTALAÇÃO. AF_12/2014</t>
  </si>
  <si>
    <t>CURVA 45 GRAUS, PVC, SOLDÁVEL, DN 32MM, INSTALADO EM RAMAL DE DISTRIBUIÇÃO DE ÁGUA - FORNECIMENTO E INSTALAÇÃO. AF_12/2014</t>
  </si>
  <si>
    <t>LUVA, PVC, SOLDÁVEL, DN 20MM,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</si>
  <si>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</si>
  <si>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</si>
  <si>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</si>
  <si>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</si>
  <si>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</si>
  <si>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CURVA DE TRANSPOSIÇÃO, PVC, SOLDÁVEL, DN 20MM, INSTALADO EM RAMAL DE DISTRIBUIÇÃO DE ÁGUA   FORNECIMENTO E INSTALAÇÃO. AF_12/2014</t>
  </si>
  <si>
    <t>LUVA, PVC, SOLDÁVEL, DN 25MM, INSTALADO EM RAMAL DE DISTRIBUIÇÃO DE ÁGUA -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</si>
  <si>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</si>
  <si>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</si>
  <si>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</si>
  <si>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</si>
  <si>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</si>
  <si>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</si>
  <si>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PVC, SOLDÁVEL, DN 32MM, INSTALADO EM RAMAL DE DISTRIBUIÇÃO DE ÁGUA -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</si>
  <si>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</si>
  <si>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</si>
  <si>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</si>
  <si>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</si>
  <si>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</si>
  <si>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CURVA DE TRANSPOSIÇÃO, PVC, SOLDÁVEL, DN 32MM, INSTALADO EM RAMAL DE DISTRIBUIÇÃO DE ÁGUA   FORNECIMENTO E INSTALAÇÃO. AF_12/2014</t>
  </si>
  <si>
    <t>TE, PVC, SOLDÁVEL, DN 20MM, INSTALADO EM RAMAL DE DISTRIBUIÇÃO DE ÁGUA - FORNECIMENTO E INSTALAÇÃO. AF_12/2014</t>
  </si>
  <si>
    <t>TÊ SOLDÁVEL E COM ROSCA NA BOLSA CENTRAL, PVC, SOLDÁVEL, DN 20MM X 1/2, INSTALADO EM RAMAL DE DISTRIBUIÇÃO DE ÁGUA - FORNECIMENTO E INSTALAÇÃO. AF_12/2014</t>
  </si>
  <si>
    <t>TÊ COM BUCHA DE LATÃO NA BOLSA CENTRAL, PVC, SOLDÁVEL, DN 25MM X 1/2, INSTALADO EM RAMAL DE DISTRIBUIÇÃO DE ÁGUA - FORNECIMENTO E INSTALAÇÃO. AF_12/2014</t>
  </si>
  <si>
    <t>TÊ DE REDUÇÃO, PVC, SOLDÁVEL, DN 25MM X 20MM, INSTALADO EM RAMAL DE DISTRIBUIÇÃO DE ÁGUA - FORNECIMENTO E INSTALAÇÃO. AF_12/2014</t>
  </si>
  <si>
    <t>TÊ COM BUCHA DE LATÃO NA BOLSA CENTRAL, PVC, SOLDÁVEL, DN 32MM X 3/4,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</si>
  <si>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</si>
  <si>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</si>
  <si>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</si>
  <si>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</si>
  <si>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</si>
  <si>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90 GRAUS, PVC, SOLDÁVEL, DN 32MM,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</si>
  <si>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</si>
  <si>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</si>
  <si>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</si>
  <si>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45 GRAUS, PVC, SOLDÁVEL, DN 40MM, INSTALADO EM PRUMADA DE ÁGUA - FORNECIMENTO E INSTALAÇÃO. AF_12/2014</t>
  </si>
  <si>
    <t>CURVA 90 GRAUS, PVC, SOLDÁVEL, DN 40MM, INSTALADO EM PRUMADA DE ÁGUA - FORNECIMENTO E INSTALAÇÃO. AF_12/2014</t>
  </si>
  <si>
    <t>CURVA 45 GRAUS, PVC, SOLDÁVEL, DN 40MM, INSTALADO EM PRUMADA DE ÁGUA - FORNECIMENTO E INSTALAÇÃO. AF_12/2014</t>
  </si>
  <si>
    <t>JOELHO 45 GRAUS, PVC, SOLDÁVEL, DN 50MM, INSTALADO EM PRUMADA DE ÁGUA - FORNECIMENTO E INSTALAÇÃO. AF_12/2014</t>
  </si>
  <si>
    <t>CURVA 90 GRAUS, PVC, SOLDÁVEL, DN 50MM, INSTALADO EM PRUMADA DE ÁGUA - FORNECIMENTO E INSTALAÇÃO. AF_12/2014</t>
  </si>
  <si>
    <t>CURVA 45 GRAUS, PVC, SOLDÁVEL, DN 50MM, INSTALADO EM PRUMADA DE ÁGUA - FORNECIMENTO E INSTALAÇÃO. AF_12/2014</t>
  </si>
  <si>
    <t>JOELHO 45 GRAUS, PVC, SOLDÁVEL, DN 60MM, INSTALADO EM PRUMADA DE ÁGUA - FORNECIMENTO E INSTALAÇÃO. AF_12/2014</t>
  </si>
  <si>
    <t>CURVA 90 GRAUS, PVC, SOLDÁVEL, DN 60MM, INSTALADO EM PRUMADA DE ÁGUA - FORNECIMENTO E INSTALAÇÃO. AF_12/2014</t>
  </si>
  <si>
    <t>CURVA 45 GRAUS, PVC, SOLDÁVEL, DN 60MM, INSTALADO EM PRUMADA DE ÁGUA - FORNECIMENTO E INSTALAÇÃO. AF_12/2014</t>
  </si>
  <si>
    <t>JOELHO 90 GRAUS, PVC, SERIE R, ÁGUA PLUVIAL, DN 40 MM, JUNTA SOLDÁVEL, FORNECIDO E INSTALADO EM RAMAL DE ENCAMINHAMENTO. AF_12/2014</t>
  </si>
  <si>
    <t>JOELHO 45 GRAUS, PVC, SOLDÁVEL, DN 75MM, INSTALADO EM PRUMADA DE ÁGUA - FORNECIMENTO E INSTALAÇÃO. AF_12/2014</t>
  </si>
  <si>
    <t>JOELHO 45 GRAUS, PVC, SERIE R, ÁGUA PLUVIAL, DN 40 MM, JUNTA SOLDÁVEL, FORNECIDO E INSTALADO EM RAMAL DE ENCAMINHAMENTO. AF_12/2014</t>
  </si>
  <si>
    <t>CURVA 90 GRAUS, PVC, SOLDÁVEL, DN 75MM, INSTALADO EM PRUMADA DE ÁGUA - FORNECIMENTO E INSTALAÇÃO. AF_12/2014</t>
  </si>
  <si>
    <t>JOELHO 90 GRAUS, PVC, SERIE R, ÁGUA PLUVIAL, DN 50 MM, JUNTA ELÁSTICA, FORNECIDO E INSTALADO EM RAMAL DE ENCAMINHAMENTO. AF_12/2014</t>
  </si>
  <si>
    <t>CURVA 45 GRAUS, PVC, SOLDÁVEL, DN 75MM, INSTALADO EM PRUMADA DE ÁGUA - FORNECIMENTO E INSTALAÇÃO. AF_12/2014</t>
  </si>
  <si>
    <t>JOELHO 45 GRAUS, PVC, SERIE R, ÁGUA PLUVIAL, DN 50 MM, JUNTA ELÁSTICA, FORNECIDO E INSTALADO EM RAMAL DE ENCAMINHAMENTO. AF_12/2014</t>
  </si>
  <si>
    <t>JOELHO 90 GRAUS, PVC, SOLDÁVEL, DN 85MM, INSTALADO EM PRUMADA DE ÁGUA - FORNECIMENTO E INSTALAÇÃO. AF_12/2014</t>
  </si>
  <si>
    <t>JOELHO 90 GRAUS, PVC, SERIE R, ÁGUA PLUVIAL, DN 75 MM, JUNTA ELÁSTICA, FORNECIDO E INSTALADO EM RAMAL DE ENCAMINHAMENTO. AF_12/2014</t>
  </si>
  <si>
    <t>JOELHO 45 GRAUS, PVC, SOLDÁVEL, DN 85MM, INSTALADO EM PRUMADA DE ÁGUA - FORNECIMENTO E INSTALAÇÃO. AF_12/2014</t>
  </si>
  <si>
    <t>JOELHO 45 GRAUS, PVC, SERIE R, ÁGUA PLUVIAL, DN 75 MM, JUNTA ELÁSTICA, FORNECIDO E INSTALADO EM RAMAL DE ENCAMINHAMENTO. AF_12/2014</t>
  </si>
  <si>
    <t>CURVA 90 GRAUS, PVC, SOLDÁVEL, DN 85MM, INSTALADO EM PRUMADA DE ÁGUA - FORNECIMENTO E INSTALAÇÃO. AF_12/2014</t>
  </si>
  <si>
    <t>CURVA 87 GRAUS E 30 MINUTOS, PVC, SERIE R, ÁGUA PLUVIAL, DN 75 MM, JUNTA ELÁSTICA, FORNECIDO E INSTALADO EM RAMAL DE ENCAMINHAMENTO. AF_12/2014</t>
  </si>
  <si>
    <t>CURVA 45 GRAUS, PVC, SOLDÁVEL, DN 85MM, INSTALADO EM PRUMADA DE ÁGUA - FORNECIMENTO E INSTALAÇÃO. AF_12/2014</t>
  </si>
  <si>
    <t>LUVA, PVC, SOLDÁVEL, DN 25MM, INSTALADO EM PRUMADA DE ÁGUA - FORNECIMENTO E INSTALAÇÃO. AF_12/2014</t>
  </si>
  <si>
    <t>JOELHO 90 GRAUS, PVC, SERIE R, ÁGUA PLUVIAL, DN 100 MM, JUNTA ELÁSTICA, FORNECIDO E INSTALADO EM RAMAL DE ENCAMINHAMENTO. AF_12/2014</t>
  </si>
  <si>
    <t>LUVA DE CORRER, PVC, SOLDÁVEL, DN 25MM, INSTALADO EM PRUMADA DE ÁGUA - FORNECIMENTO E INSTALAÇÃO. AF_12/2014</t>
  </si>
  <si>
    <t>JOELHO 45 GRAUS, PVC, SERIE R, ÁGUA PLUVIAL, DN 100 MM, JUNTA ELÁSTICA, FORNECIDO E INSTALADO EM RAMAL DE ENCAMINHAMENTO. AF_12/2014</t>
  </si>
  <si>
    <t>LUVA DE REDUÇÃO, PVC, SOLDÁVEL, DN 32MM X 25MM, INSTALADO EM PRUMADA DE ÁGUA - FORNECIMENTO E INSTALAÇÃO.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</si>
  <si>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</si>
  <si>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</si>
  <si>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</si>
  <si>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</si>
  <si>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</si>
  <si>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</si>
  <si>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PVC, SOLDÁVEL, DN 32MM,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</si>
  <si>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</si>
  <si>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</si>
  <si>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</si>
  <si>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</si>
  <si>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SIMPLES, PVC, SERIE R, ÁGUA PLUVIAL, DN 75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</si>
  <si>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</si>
  <si>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</si>
  <si>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</si>
  <si>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</si>
  <si>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</si>
  <si>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ADAPTADOR CURTO COM BOLSA E ROSCA PARA REGISTRO, PVC, SOLDÁVEL, DN 32MM X 1, INSTALADO EM PRUMADA DE ÁGUA - FORNECIMENTO E INSTALAÇÃO. AF_12/2014</t>
  </si>
  <si>
    <t>LUVA SIMPLES, PVC, SERIE R, ÁGUA PLUVIAL, DN 100 MM, JUNTA ELÁSTICA, FORNECIDO E INSTALADO EM RAMAL DE ENCAMINHAMENTO. AF_12/2014</t>
  </si>
  <si>
    <t>CURVA DE TRANSPOSIÇÃO, PVC, SOLDÁVEL, DN 32MM, INSTALADO EM PRUMADA DE ÁGUA   FORNECIMENTO E INSTALAÇÃO. AF_12/2014</t>
  </si>
  <si>
    <t>LUVA DE CORRER, PVC, SERIE R, ÁGUA PLUVIAL, DN 100 MM, JUNTA ELÁSTICA, FORNECIDO E INSTALADO EM RAMAL DE ENCAMINHAMENTO. AF_12/2014</t>
  </si>
  <si>
    <t>REDUÇÃO EXCÊNTRICA, PVC, SERIE R, ÁGUA PLUVIAL, DN 100 X 75 MM, JUNTA ELÁSTICA, FORNECIDO E INSTALADO EM RAMAL DE ENCAMINHAMENTO. AF_12/2014</t>
  </si>
  <si>
    <t>LUVA, PVC, SOLDÁVEL, DN 40MM, INSTALADO EM PRUMADA DE ÁGUA - FORNECIMENTO E INSTALAÇÃO. AF_12/2014</t>
  </si>
  <si>
    <t>TÊ DE INSPEÇÃO, PVC, SERIE R, ÁGUA PLUVIAL, DN 100 MM, JUNTA ELÁSTICA, FORNECIDO E INSTALADO EM RAMAL DE ENCAMINHAMENTO. AF_12/2014</t>
  </si>
  <si>
    <t>JUNÇÃO SIMPLES, PVC, SERIE R, ÁGUA PLUVIAL, DN 40 MM, JUNTA SOLDÁVEL, FORNECIDO E INSTALADO EM RAMAL DE ENCAMINHAMENTO. AF_12/2014</t>
  </si>
  <si>
    <t>JUNÇÃO SIMPLES, PVC, SERIE R, ÁGUA PLUVIAL, DN 50 MM, JUNTA ELÁSTICA, FORNECIDO E INSTALADO EM RAMAL DE ENCAMINHAMENTO. AF_12/2014</t>
  </si>
  <si>
    <t>LUVA COM ROSCA, PVC, SOLDÁVEL, DN 40MM X 1.1/4, INSTALADO EM PRUMADA DE ÁGUA - FORNECIMENTO E INSTALAÇÃO. AF_12/2014</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</si>
  <si>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</si>
  <si>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</si>
  <si>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</si>
  <si>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UNIÃO, PVC, SOLDÁVEL, DN 40MM, INSTALADO EM PRUMADA DE ÁGUA - FORNECIMENTO E INSTALAÇÃO. AF_12/2014</t>
  </si>
  <si>
    <t>JUNÇÃO SIMPLES, PVC, SERIE R, ÁGUA PLUVIAL, DN 100 X 75 MM, JUNTA ELÁSTICA, FORNECIDO E INSTALADO EM RAMAL DE ENCAMINHAMENTO. AF_12/2014</t>
  </si>
  <si>
    <t>ADAPTADOR CURTO COM BOLSA E ROSCA PARA REGISTRO, PVC, SOLDÁVEL, DN 40MM X 1.1/2, INSTALADO EM PRUMADA DE ÁGUA - FORNECIMENTO E INSTALAÇÃO. AF_12/2014</t>
  </si>
  <si>
    <t>TÊ, PVC, SERIE R, ÁGUA PLUVIAL, DN 100 X 100 MM, JUNTA ELÁSTICA, FORNECIDO E INSTALADO EM RAMAL DE ENCAMINHAMENTO. AF_12/2014</t>
  </si>
  <si>
    <t>ADAPTADOR CURTO COM BOLSA E ROSCA PARA REGISTRO, PVC, SOLDÁVEL, DN 40MM X 1.1/4, INSTALADO EM PRUMADA DE ÁGUA - FORNECIMENTO E INSTALAÇÃO. AF_12/2014</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</si>
  <si>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</si>
  <si>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</si>
  <si>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SOLDÁVEL, DN 50MM, INSTALADO EM PRUMADA DE ÁGUA - FORNECIMENTO E INSTALAÇÃO. AF_12/2014</t>
  </si>
  <si>
    <t>LUVA DE CORRER, PVC, SOLDÁVEL, DN 50MM, INSTALADO EM PRUMADA DE ÁGUA - FORNECIMENTO E INSTALAÇÃO. AF_12/2014</t>
  </si>
  <si>
    <t>LUVA DE REDUÇÃO, PVC, SOLDÁVEL, DN 50MM X 25MM, INSTALADO EM PRUMADA DE ÁGUA   FORNECIMENTO E INSTALAÇÃO.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</si>
  <si>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</si>
  <si>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</si>
  <si>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CURVA 87 GRAUS E 30 MINUTOS, PVC, SERIE R, ÁGUA PLUVIAL, DN 75 MM, JUNTA ELÁSTICA, FORNECIDO E INSTALADO EM CONDUTORES VERTICAIS DE ÁGUAS PLUVIAIS.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</si>
  <si>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</si>
  <si>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</si>
  <si>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</si>
  <si>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</si>
  <si>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</si>
  <si>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</si>
  <si>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</si>
  <si>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</si>
  <si>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UNIÃO, PVC, SOLDÁVEL, DN 50MM, INSTALADO EM PRUMADA DE ÁGUA - FORNECIMENTO E INSTALAÇÃO. AF_12/2014</t>
  </si>
  <si>
    <t>ADAPTADOR CURTO COM BOLSA E ROSCA PARA REGISTRO, PVC, SOLDÁVEL, DN 50MM X 1.1/4, INSTALADO EM PRUMADA DE ÁGUA - FORNECIMENTO E INSTALAÇÃO. AF_12/2014</t>
  </si>
  <si>
    <t>ADAPTADOR CURTO COM BOLSA E ROSCA PARA REGISTRO, PVC, SOLDÁVEL, DN 50MM X 1.1/2, INSTALADO EM PRUMADA DE ÁGUA - FORNECIMENTO E INSTALAÇÃO. AF_12/2014</t>
  </si>
  <si>
    <t>LUVA, PVC, SOLDÁVEL, DN 60MM, INSTALADO EM PRUMADA DE ÁGUA - FORNECIMENTO E INSTALAÇÃO. AF_12/2014</t>
  </si>
  <si>
    <t>LUVA DE CORRER, PVC, SOLDÁVEL, DN 60MM, INSTALADO EM PRUMADA DE ÁGUA   FORNECIMENTO E INSTALAÇÃO. AF_12/2014</t>
  </si>
  <si>
    <t>LUVA SIMPLES, PVC, SERIE R, ÁGUA PLUVIAL, DN 75 MM, JUNTA ELÁSTICA, FORNECIDO E INSTALADO EM CONDUTORES VERTICAIS DE ÁGUAS PLUVIAIS. AF_12/2014</t>
  </si>
  <si>
    <t>LUVA DE CORRER, PVC, SERIE R, ÁGUA PLUVIAL, DN 75 MM, JUNTA ELÁSTICA, FORNECIDO E INSTALADO EM CONDUTORES VERTICAIS DE ÁGUAS PLUVIAIS. AF_12/2014</t>
  </si>
  <si>
    <t>UNIÃO, PVC, SOLDÁVEL, DN 60MM, INSTALADO EM PRUMADA DE ÁGUA - FORNECIMENTO E INSTALAÇÃO. AF_12/2014</t>
  </si>
  <si>
    <t>ADAPTADOR CURTO COM BOLSA E ROSCA PARA REGISTRO, PVC, SOLDÁVEL, DN 60MM X 2, INSTALADO EM PRUMADA DE ÁGUA - FORNECIMENTO E INSTALAÇÃO. AF_12/2014</t>
  </si>
  <si>
    <t>LUVA, PVC, SOLDÁVEL, DN 75MM, INSTALADO EM PRUMADA DE ÁGUA - FORNECIMENTO E INSTALAÇÃO. AF_12/2014</t>
  </si>
  <si>
    <t>UNIÃO, PVC, SOLDÁVEL, DN 75MM, INSTALADO EM PRUMADA DE ÁGUA - FORNECIMENTO E INSTALAÇÃO. AF_12/2014</t>
  </si>
  <si>
    <t>ADAPTADOR CURTO COM BOLSA E ROSCA PARA REGISTRO, PVC, SOLDÁVEL, DN 75MM X 2.1/2, INSTALADO EM PRUMADA DE ÁGUA - FORNECIMENTO E INSTALAÇÃO. AF_12/2014</t>
  </si>
  <si>
    <t>LUVA, PVC, SOLDÁVEL, DN 85MM, INSTALADO EM PRUMADA DE ÁGUA - FORNECIMENTO E INSTALAÇÃO. AF_12/2014</t>
  </si>
  <si>
    <t>UNIÃO, PVC, SOLDÁVEL, DN 85MM, INSTALADO EM PRUMADA DE ÁGUA - FORNECIMENTO E INSTALAÇÃO. AF_12/2014</t>
  </si>
  <si>
    <t>ADAPTADOR CURTO COM BOLSA E ROSCA PARA REGISTRO, PVC, SOLDÁVEL, DN 85MM X 3, INSTALADO EM PRUMADA DE ÁGUA - FORNECIMENTO E INSTALAÇÃO. AF_12/2014</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</si>
  <si>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</si>
  <si>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</si>
  <si>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</si>
  <si>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TE, PVC, SOLDÁVEL, DN 32MM, INSTALADO EM PRUMADA DE ÁGUA - FORNECIMENTO E INSTALAÇÃO. AF_12/2014</t>
  </si>
  <si>
    <t>TÊ COM BUCHA DE LATÃO NA BOLSA CENTRAL, PVC, SOLDÁVEL, DN 32MM X 3/4, INSTALADO EM PRUMADA DE ÁGUA - FORNECIMENTO E INSTALAÇÃO. AF_12/2014</t>
  </si>
  <si>
    <t>TÊ DE REDUÇÃO, PVC, SOLDÁVEL, DN 32MM X 25MM, INSTALADO EM PRUMADA DE ÁGUA - FORNECIMENTO E INSTALAÇÃO. AF_12/2014</t>
  </si>
  <si>
    <t>TÊ DE REDUÇÃO, PVC, SOLDÁVEL, DN 40MM X 32MM, INSTALADO EM PRUMADA DE ÁGUA - FORNECIMENTO E INSTALAÇÃO. AF_12/2014</t>
  </si>
  <si>
    <t>TÊ DE REDUÇÃO, PVC, SOLDÁVEL, DN 50MM X 40MM, INSTALADO EM PRUMADA DE ÁGUA - FORNECIMENTO E INSTALAÇÃO. AF_12/2014</t>
  </si>
  <si>
    <t>TÊ DE REDUÇÃO, PVC, SOLDÁVEL, DN 50MM X 25MM, INSTALADO EM PRUMADA DE ÁGUA - FORNECIMENTO E INSTALAÇÃO. AF_12/2014</t>
  </si>
  <si>
    <t>TE DE REDUÇÃO, PVC, SOLDÁVEL, DN 75MM X 50MM, INSTALADO EM PRUMADA DE ÁGUA - FORNECIMENTO E INSTALAÇÃO. AF_12/2014</t>
  </si>
  <si>
    <t>TE, PVC, SOLDÁVEL, DN 85MM, INSTALADO EM PRUMADA DE ÁGUA - FORNECIMENTO E INSTALAÇÃO. AF_12/2014</t>
  </si>
  <si>
    <t>TE DE REDUÇÃO, PVC, SOLDÁVEL, DN 85MM X 60MM, INSTALADO EM PRUMADA DE ÁGUA - FORNECIMENTO E INSTALAÇÃO. AF_12/2014</t>
  </si>
  <si>
    <t>JOELHO 90 GRAUS, CPVC, SOLDÁVEL, DN 15MM, INSTALADO EM RAMAL OU SUB-RAMAL DE ÁGUA - FORNECIMENTO E INSTALAÇÃO. AF_12/2014</t>
  </si>
  <si>
    <t>JOELHO 45 GRAUS, CPVC, SOLDÁVEL, DN 15MM, INSTALADO EM RAMAL OU SUB-RAMAL DE ÁGUA - FORNECIMENTO E INSTALAÇÃO. AF_12/2014</t>
  </si>
  <si>
    <t>CURVA 90 GRAUS, CPVC, SOLDÁVEL, DN 15MM, INSTALADO EM RAMAL OU SUB-RAMAL DE ÁGUA - FORNECIMENTO E INSTALAÇÃO. AF_12/2014</t>
  </si>
  <si>
    <t>JOELHO 90 GRAUS, CPVC, SOLDÁVEL, DN 22MM, INSTALADO EM RAMAL OU SUB-RAMAL DE ÁGUA - FORNECIMENTO E INSTALAÇÃO. AF_12/2014</t>
  </si>
  <si>
    <t>JOELHO 45 GRAUS, CPVC, SOLDÁVEL, DN 22MM, INSTALADO EM RAMAL OU SUB-RAMAL DE ÁGUA - FORNECIMENTO E INSTALAÇÃO. AF_12/2014</t>
  </si>
  <si>
    <t>CURVA 90 GRAUS, CPVC, SOLDÁVEL, DN 22MM, INSTALADO EM RAMAL OU SUB-RAMAL DE ÁGUA - FORNECIMENTO E INSTALAÇÃO. AF_12/2014</t>
  </si>
  <si>
    <t>JOELHO DE TRANSIÇÃO, 90 GRAUS, CPVC, SOLDÁVEL, DN 22MM X 3/4", INSTALADO EM RAMAL OU SUB-RAMAL DE ÁGUA - FORNECIMENTO E INSTALAÇÃO. AF_12/2014</t>
  </si>
  <si>
    <t>JOELHO 90 GRAUS, CPVC, SOLDÁVEL, DN 28MM, INSTALADO EM RAMAL OU SUB-RAMAL DE ÁGUA - FORNECIMENTO E INSTALAÇÃO. AF_12/2014</t>
  </si>
  <si>
    <t>JOELHO 45 GRAUS, CPVC, SOLDÁVEL, DN 28MM, INSTALADO EM RAMAL OU SUB-RAMAL DE ÁGUA  FORNECIMENTO E INSTALAÇÃO. AF_12/2014</t>
  </si>
  <si>
    <t>CURVA 90 GRAUS, CPVC, SOLDÁVEL, DN 28MM, INSTALADO EM RAMAL OU SUB-RAMAL DE ÁGUA  FORNECIMENTO E INSTALAÇÃO. AF_12/2014</t>
  </si>
  <si>
    <t>JOELHO 90 GRAUS, CPVC, SOLDÁVEL, DN 35MM, INSTALADO EM RAMAL OU SUB-RAMAL DE ÁGUA  FORNECIMENTO E INSTALAÇÃO. AF_12/2014</t>
  </si>
  <si>
    <t>JOELHO 45 GRAUS, CPVC, SOLDÁVEL, DN 35MM, INSTALADO EM RAMAL OU SUB-RAMAL DE ÁGUA  FORNECIMENTO E INSTALAÇÃO. AF_12/2014</t>
  </si>
  <si>
    <t>LUVA, CPVC, SOLDÁVEL, DN 15MM, INSTALADO EM RAMAL OU SUB-RAMAL DE ÁGUA - FORNECIMENTO E INSTALAÇÃO. AF_12/2014</t>
  </si>
  <si>
    <t>LUVA DE CORRER, CPVC, SOLDÁVEL, DN 15MM, INSTALADO EM RAMAL OU SUB-RAMAL DE ÁGUA  FORNECIMENTO E INSTALAÇÃO. AF_12/2014</t>
  </si>
  <si>
    <t>LUVA DE TRANSIÇÃO, CPVC, SOLDÁVEL, DN15MM X 1/2", INSTALADO EM RAMAL OU SUB-RAMAL DE ÁGUA - FORNECIMENTO E INSTALAÇÃO. AF_12/2014</t>
  </si>
  <si>
    <t>UNIÃO, CPVC, SOLDÁVEL, DN15MM, INSTALADO EM RAMAL OU SUB-RAMAL DE ÁGUA  FORNECIMENTO E INSTALAÇÃO. AF_12/2014</t>
  </si>
  <si>
    <t>CONECTOR, CPVC, SOLDÁVEL, DN 15MM X 1/2, INSTALADO EM RAMAL OU SUB-RAMAL DE ÁGUA  FORNECIMENTO E INSTALAÇÃO. AF_12/2014</t>
  </si>
  <si>
    <t>ADAPTADOR, CPVC, SOLDÁVEL, DN15MM, INSTALADO EM RAMAL OU SUB-RAMAL DE ÁGUA  FORNECIMENTO E INSTALAÇÃO. AF_12/2014</t>
  </si>
  <si>
    <t>CURVA DE TRANSPOSIÇÃO, CPVC, SOLDÁVEL, DN15MM, INSTALADO EM RAMAL OU SUB-RAMAL DE ÁGUA  FORNECIMENTO E INSTALAÇÃO. AF_12/2014</t>
  </si>
  <si>
    <t>LUVA, CPVC, SOLDÁVEL, DN 22MM, INSTALADO EM RAMAL OU SUB-RAMAL DE ÁGUA  FORNECIMENTO E INSTALAÇÃO. AF_12/2014</t>
  </si>
  <si>
    <t>LUVA DE CORRER, CPVC, SOLDÁVEL, DN 22MM, INSTALADO EM RAMAL OU SUB-RAMAL DE ÁGUA  FORNECIMENTO E INSTALAÇÃO. AF_12/2014</t>
  </si>
  <si>
    <t>LUVA DE TRANSIÇÃO, CPVC, SOLDÁVEL, DN22MM X 25MM, INSTALADO EM RAMAL OU SUB-RAMAL DE ÁGUA - FORNECIMENTO E INSTALAÇÃO. AF_12/2014</t>
  </si>
  <si>
    <t>UNIÃO, CPVC, SOLDÁVEL, DN22MM, INSTALADO EM RAMAL OU SUB-RAMAL DE ÁGUA  FORNECIMENTO E INSTALAÇÃO. AF_12/2014</t>
  </si>
  <si>
    <t>CONECTOR, CPVC, SOLDÁVEL, DN 22MM X 1/2, INSTALADO EM RAMAL OU SUB-RAMAL DE ÁGUA  FORNECIMENTO E INSTALAÇÃO. AF_12/2014</t>
  </si>
  <si>
    <t>ADAPTADOR, CPVC, SOLDÁVEL, DN22MM, INSTALADO EM RAMAL OU SUB-RAMAL DE ÁGUA  FORNECIMENTO E INSTALAÇÃO. AF_12/2014</t>
  </si>
  <si>
    <t>CURVA DE TRANSPOSIÇÃO, CPVC, SOLDÁVEL, DN22MM, INSTALADO EM RAMAL OU SUB-RAMAL DE ÁGUA  FORNECIMENTO E INSTALAÇÃO. AF_12/2014</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</si>
  <si>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</si>
  <si>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</si>
  <si>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</si>
  <si>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</si>
  <si>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LUVA SIMPLES, PVC, SERIE R, ÁGUA PLUVIAL, DN 100 MM, JUNTA ELÁSTICA, FORNECIDO E INSTALADO EM CONDUTORES VERTICAIS DE ÁGUAS PLUVIAIS. AF_12/2014</t>
  </si>
  <si>
    <t>LUVA, CPVC, SOLDÁVEL, DN 28MM, INSTALADO EM RAMAL OU SUB-RAMAL DE ÁGUA  FORNECIMENTO E INSTALAÇÃO. AF_12/2014</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</si>
  <si>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</si>
  <si>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</si>
  <si>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REDUÇÃO EXCÊNTRICA, PVC, SERIE R, ÁGUA PLUVIAL, DN 100 X 75 MM, JUNTA ELÁSTICA, FORNECIDO E INSTALADO EM CONDUTORES VERTICAIS DE ÁGUAS PLUVIAIS. AF_12/2014</t>
  </si>
  <si>
    <t>UNIÃO, CPVC, SOLDÁVEL, DN28MM, INSTALADO EM RAMAL OU SUB-RAMAL DE ÁGUA  FORNECIMENTO E INSTALAÇÃO. AF_12/2014</t>
  </si>
  <si>
    <t>TÊ DE INSPEÇÃO, PVC, SERIE R, ÁGUA PLUVIAL, DN 100 MM, JUNTA ELÁSTICA, FORNECIDO E INSTALADO EM CONDUTORES VERTICAIS DE ÁGUAS PLUVIAIS. AF_12/2014</t>
  </si>
  <si>
    <t>CONECTOR, CPVC, SOLDÁVEL, DN 28MM X 1, INSTALADO EM RAMAL OU SUB-RAMAL DE ÁGUA  FORNECIMENTO E INSTALAÇÃO. AF_12/2014</t>
  </si>
  <si>
    <t>LUVA SIMPLES, PVC, SERIE R, ÁGUA PLUVIAL, DN 150 MM, JUNTA ELÁSTICA, FORNECIDO E INSTALADO EM CONDUTORES VERTICAIS DE ÁGUAS PLUVIAIS. AF_12/2014</t>
  </si>
  <si>
    <t>BUCHA DE REDUÇÃO, CPVC, SOLDÁVEL, DN28MM X 22MM, INSTALADO EM RAMAL OU SUB-RAMAL DE ÁGUA  FORNECIMENTO E INSTALAÇÃO. AF_12/2014</t>
  </si>
  <si>
    <t>LUVA DE CORRER, PVC, SERIE R, ÁGUA PLUVIAL, DN 150 MM, JUNTA ELÁSTICA, FORNECIDO E INSTALADO EM CONDUTORES VERTICAIS DE ÁGUAS PLUVIAIS. AF_12/2014</t>
  </si>
  <si>
    <t>LUVA, CPVC, SOLDÁVEL, DN 35MM, INSTALADO EM RAMAL OU SUB-RAMAL DE ÁGUA  FORNECIMENTO E INSTALAÇÃO. AF_12/2014</t>
  </si>
  <si>
    <t>REDUÇÃO EXCÊNTRICA, PVC, SERIE R, ÁGUA PLUVIAL, DN 150 X 100 MM, JUNTA ELÁSTICA, FORNECIDO E INSTALADO EM CONDUTORES VERTICAIS DE ÁGUAS PLUVIAIS. AF_12/2014</t>
  </si>
  <si>
    <t>LUVA DE CORRER, CPVC, SOLDÁVEL, DN 35MM, INSTALADO EM RAMAL OU SUB-RAMAL DE ÁGUA  FORNECIMENTO E INSTALAÇÃO. AF_12/2014</t>
  </si>
  <si>
    <t>UNIÃO, CPVC, SOLDÁVEL, DN35MM, INSTALADO EM RAMAL OU SUB-RAMAL DE ÁGUA  FORNECIMENTO E INSTALAÇÃO. AF_12/2014</t>
  </si>
  <si>
    <t>JUNÇÃO SIMPLES, PVC, SERIE R, ÁGUA PLUVIAL, DN 75 X 75 MM, JUNTA ELÁSTICA, FORNECIDO E INSTALADO EM CONDUTORES VERTICAIS DE ÁGUAS PLUVIAIS. AF_12/2014</t>
  </si>
  <si>
    <t>CONECTOR, CPVC, SOLDÁVEL, DN 35MM X 1 1/4, INSTALADO EM RAMAL OU SUB-RAMAL DE ÁGUA  FORNECIMENTO E INSTALAÇÃO. AF_12/2014</t>
  </si>
  <si>
    <t>TÊ, PVC, SERIE R, ÁGUA PLUVIAL, DN 75 X 75 MM, JUNTA ELÁSTICA, FORNECIDO E INSTALADO EM CONDUTORES VERTICAIS DE ÁGUAS PLUVIAIS. AF_12/2014</t>
  </si>
  <si>
    <t>BUCHA DE REDUÇÃO, CPVC, SOLDÁVEL, DN35MM X 28MM, INSTALADO EM RAMAL OU SUB-RAMAL DE ÁGUA  FORNECIMENTO E INSTALAÇÃO. AF_12/2014</t>
  </si>
  <si>
    <t>JUNÇÃO SIMPLES, PVC, SERIE R, ÁGUA PLUVIAL, DN 100 X 100 MM, JUNTA ELÁSTICA, FORNECIDO E INSTALADO EM CONDUTORES VERTICAIS DE ÁGUAS PLUVIAIS. AF_12/2014</t>
  </si>
  <si>
    <t>TE, CPVC, SOLDÁVEL, DN 15MM, INSTALADO EM RAMAL OU SUB-RAMAL DE ÁGUA - FORNECIMENTO E INSTALAÇÃO. AF_12/2014</t>
  </si>
  <si>
    <t>JUNÇÃO SIMPLES, PVC, SERIE R, ÁGUA PLUVIAL, DN 100 X 75 MM, JUNTA ELÁSTICA, FORNECIDO E INSTALADO EM CONDUTORES VERTICAIS DE ÁGUAS PLUVIAIS. AF_12/2014</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</si>
  <si>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</si>
  <si>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</si>
  <si>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TÊ MISTURADOR, CPVC, SOLDÁVEL, DN15MM, INSTALADO EM RAMAL OU SUB-RAMAL DE ÁGUA  FORNECIMENTO E INSTALAÇÃO. AF_12/2014</t>
  </si>
  <si>
    <t>TÊ, PVC, SERIE R, ÁGUA PLUVIAL, DN 100 X 75 MM, JUNTA ELÁSTICA, FORNECIDO E INSTALADO EM CONDUTORES VERTICAIS DE ÁGUAS PLUVIAIS. AF_12/2014</t>
  </si>
  <si>
    <t>TE, CPVC, SOLDÁVEL, DN 22MM, INSTALADO EM RAMAL OU SUB-RAMAL DE ÁGUA - FORNECIMENTO E INSTALAÇÃO. AF_12/2014</t>
  </si>
  <si>
    <t>JUNÇÃO SIMPLES, PVC, SERIE R, ÁGUA PLUVIAL, DN 150 X 150 MM, JUNTA ELÁSTICA, FORNECIDO E INSTALADO EM CONDUTORES VERTICAIS DE ÁGUAS PLUVIAIS. AF_12/2014</t>
  </si>
  <si>
    <t>JUNÇÃO SIMPLES, PVC, SERIE R, ÁGUA PLUVIAL, DN 150 X 100 MM, JUNTA ELÁSTICA, FORNECIDO E INSTALADO EM CONDUTORES VERTICAIS DE ÁGUAS PLUVIAIS. AF_12/2014</t>
  </si>
  <si>
    <t>TE DE TRANSIÇÃO, CPVC, SOLDÁVEL, DN 22MM X 1/2, INSTALADO EM RAMAL OU SUB-RAMAL DE ÁGUA  FORNECIMENTO E INSTALAÇÃO. AF_12/2014</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</si>
  <si>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</si>
  <si>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</si>
  <si>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DE TRANSIÇÃO, CPVC, SOLDÁVEL, DN 22MM X 3/4", INSTALADO EM RAMAL OU SUB-RAMAL DE ÁGUA - FORNECIMENTO E INSTALAÇÃO. AF_12/2014</t>
  </si>
  <si>
    <t>TÊ, PVC, SERIE R, ÁGUA PLUVIAL, DN 150 X 100 MM, JUNTA ELÁSTICA, FORNECIDO E INSTALADO EM CONDUTORES VERTICAIS DE ÁGUAS PLUVIAIS. AF_12/2014</t>
  </si>
  <si>
    <t>TÊ, CPVC, SOLDÁVEL, DN28MM, INSTALADO EM RAMAL OU SUB-RAMAL DE ÁGUA   FORNECIMENTO E INSTALAÇÃO. AF_12/2014</t>
  </si>
  <si>
    <t>TÊ, CPVC, SOLDÁVEL, DN35MM, INSTALADO EM RAMAL OU SUB-RAMAL DE ÁGUA  FORNECIMENTO E INSTALAÇÃO. AF_12/2014</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</si>
  <si>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</si>
  <si>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</si>
  <si>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</si>
  <si>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</si>
  <si>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90 GRAUS, CPVC, SOLDÁVEL, DN 28MM, INSTALADO EM RAMAL DE DISTRIBUIÇÃO DE ÁGUA   FORNECIMENTO E INSTALAÇÃO. AF_12/2014</t>
  </si>
  <si>
    <t>JOELHO 90 GRAUS, PVC, SERIE NORMAL, ESGOTO PREDIAL, DN 40 MM, JUNTA SOLDÁVEL, FORNECIDO E INSTALADO EM RAMAL DE DESCARGA OU RAMAL DE ESGOTO SANITÁRIO. AF_12/2014</t>
  </si>
  <si>
    <t>JOELHO 45 GRAUS, CPVC, SOLDÁVEL, DN 28MM, INSTALADO EM RAMAL DE DISTRIBUIÇÃO DE ÁGUA   FORNECIMENTO E INSTALAÇÃO. AF_12/2014</t>
  </si>
  <si>
    <t>JOELHO 45 GRAUS, PVC, SERIE NORMAL, ESGOTO PREDIAL, DN 40 MM, JUNTA SOLDÁVEL, FORNECIDO E INSTALADO EM RAMAL DE DESCARGA OU RAMAL DE ESGOTO SANITÁRIO. AF_12/2014</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</si>
  <si>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</si>
  <si>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</si>
  <si>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</si>
  <si>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</si>
  <si>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</si>
  <si>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JOELHO 45 GRAUS, PVC, SERIE NORMAL, ESGOTO PREDIAL, DN 50 MM, JUNTA ELÁSTICA, FORNECIDO E INSTALADO EM RAMAL DE DESCARGA OU RAMAL DE ESGOTO SANITÁRIO. AF_12/2014</t>
  </si>
  <si>
    <t>CURVA CURTA 90 GRAUS, PVC, SERIE NORMAL, ESGOTO PREDIAL, DN 50 MM, JUNTA ELÁSTICA, FORNECIDO E INSTALADO EM RAMAL DE DESCARGA OU RAMAL DE ESGOTO SANITÁRIO. AF_12/2014</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</si>
  <si>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</si>
  <si>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</si>
  <si>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LUVA, CPVC, SOLDÁVEL, DN 22MM, INSTALADO EM RAMAL DE DISTRIBUIÇÃO DE ÁGUA   FORNECIMENTO E INSTALAÇÃO. AF_12/2014</t>
  </si>
  <si>
    <t>JOELHO 90 GRAUS, PVC, SERIE NORMAL, ESGOTO PREDIAL, DN 75 MM, JUNTA ELÁSTICA, FORNECIDO E INSTALADO EM RAMAL DE DESCARGA OU RAMAL DE ESGOTO SANITÁRIO. AF_12/2014</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</si>
  <si>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</si>
  <si>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AF_12/2014</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</si>
  <si>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</si>
  <si>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</si>
  <si>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</si>
  <si>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LONGA 90 GRAUS, PVC, SERIE NORMAL, ESGOTO PREDIAL, DN 75 MM, JUNTA ELÁSTICA, FORNECIDO E INSTALADO EM RAMAL DE DESCARGA OU RAMAL DE ESGOTO SANITÁRIO. AF_12/2014</t>
  </si>
  <si>
    <t>JOELHO 90 GRAUS, PVC, SERIE NORMAL, ESGOTO PREDIAL, DN 100 MM, JUNTA ELÁSTICA, FORNECIDO E INSTALADO EM RAMAL DE DESCARGA OU RAMAL DE ESGOTO SANITÁRIO. AF_12/2014</t>
  </si>
  <si>
    <t>CONECTOR, CPVC, SOLDÁVEL, DN 22MM X 1/2 , INSTALADO EM RAMAL DE DISTRIBUIÇÃO DE ÁGUA   FORNECIMENTO E INSTALAÇÃO. AF_12/2014</t>
  </si>
  <si>
    <t>JOELHO 45 GRAUS, PVC, SERIE NORMAL, ESGOTO PREDIAL, DN 100 MM, JUNTA ELÁSTICA, FORNECIDO E INSTALADO EM RAMAL DE DESCARGA OU RAMAL DE ESGOTO SANITÁRIO. AF_12/2014</t>
  </si>
  <si>
    <t>ADAPTADOR, CPVC, SOLDÁVEL, DN 22MM, INSTALADO EM RAMAL DE DISTRIBUIÇÃO DE ÁGUA   FORNECIMENTO E INSTALAÇÃO. AF_12/2014</t>
  </si>
  <si>
    <t>CURVA CURTA 90 GRAUS, PVC, SERIE NORMAL, ESGOTO PREDIAL, DN 100 MM, JUNTA ELÁSTICA, FORNECIDO E INSTALADO EM RAMAL DE DESCARGA OU RAMAL DE ESGOTO SANITÁRIO. AF_12/2014</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</si>
  <si>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</si>
  <si>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</si>
  <si>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BUCHA DE REDUÇÃO, CPVC, SOLDÁVEL, DN 22MM X 15MM, INSTALADO EM RAMAL DE DISTRIBUIÇÃO DE ÁGUA   FORNECIMENTO E INSTALAÇÃO. AF_12/2014</t>
  </si>
  <si>
    <t>LUVA SIMPLES, PVC, SERIE NORMAL, ESGOTO PREDIAL, DN 40 MM, JUNTA SOLDÁVEL, FORNECIDO E INSTALADO EM RAMAL DE DESCARGA OU RAMAL DE ESGOTO SANITÁRIO. AF_12/2014</t>
  </si>
  <si>
    <t>LUVA SIMPLES, PVC, SERIE NORMAL, ESGOTO PREDIAL, DN 50 MM, JUNTA ELÁSTICA, FORNECIDO E INSTALADO EM RAMAL DE DESCARGA OU RAMAL DE ESGOTO SANITÁRIO. AF_12/2014</t>
  </si>
  <si>
    <t>LUVA DE CORRER, PVC, SERIE NORMAL, ESGOTO PREDIAL, DN 50 MM, JUNTA ELÁSTICA, FORNECIDO E INSTALADO EM RAMAL DE DESCARGA OU RAMAL DE ESGOTO SANITÁRIO. AF_12/2014</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</si>
  <si>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</si>
  <si>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</si>
  <si>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</si>
  <si>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</si>
  <si>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</si>
  <si>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</si>
  <si>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</si>
  <si>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</si>
  <si>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</si>
  <si>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</si>
  <si>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</si>
  <si>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</si>
  <si>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</si>
  <si>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</si>
  <si>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</si>
  <si>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</si>
  <si>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SERIE NORMAL, ESGOTO PREDIAL, DN 75 MM, JUNTA ELÁSTICA, FORNECIDO E INSTALADO EM RAMAL DE DESCARGA OU RAMAL DE ESGOTO SANITÁRIO. AF_12/2014</t>
  </si>
  <si>
    <t>LUVA DE CORRER, PVC, SERIE NORMAL, ESGOTO PREDIAL, DN 75 MM, JUNTA ELÁSTICA, FORNECIDO E INSTALADO EM RAMAL DE DESCARGA OU RAMAL DE ESGOTO SANITÁRIO. AF_12/2014</t>
  </si>
  <si>
    <t>JOELHO 90 GRAUS, CPVC, SOLDÁVEL, DN 35MM, INSTALADO EM PRUMADA DE ÁGUA  FORNECIMENTO E INSTALAÇÃO. AF_12/2014</t>
  </si>
  <si>
    <t>LUVA SIMPLES, PVC, SERIE NORMAL, ESGOTO PREDIAL, DN 100 MM, JUNTA ELÁSTICA, FORNECIDO E INSTALADO EM RAMAL DE DESCARGA OU RAMAL DE ESGOTO SANITÁRIO. AF_12/2014</t>
  </si>
  <si>
    <t>LUVA DE CORRER, PVC, SERIE NORMAL, ESGOTO PREDIAL, DN 100 MM, JUNTA ELÁSTICA, FORNECIDO E INSTALADO EM RAMAL DE DESCARGA OU RAMAL DE ESGOTO SANITÁRIO. AF_12/2014</t>
  </si>
  <si>
    <t>JOELHO 45 GRAUS, CPVC, SOLDÁVEL, DN 35MM, INSTALADO EM PRUMADA DE ÁGUA - FORNECIMENTO E INSTALAÇÃO. AF_12/2014</t>
  </si>
  <si>
    <t>JOELHO 90 GRAUS, CPVC, SOLDÁVEL, DN 42MM, INSTALADO EM PRUMADA DE ÁGUA  FORNECIMENTO E INSTALAÇÃO. AF_12/2014</t>
  </si>
  <si>
    <t>TE, PVC, SERIE NORMAL, ESGOTO PREDIAL, DN 40 X 40 MM, JUNTA SOLDÁVEL, FORNECIDO E INSTALADO EM RAMAL DE DESCARGA OU RAMAL DE ESGOTO SANITÁRIO. AF_12/2014</t>
  </si>
  <si>
    <t>JUNÇÃO SIMPLES, PVC, SERIE NORMAL, ESGOTO PREDIAL, DN 40 MM, JUNTA SOLDÁVEL, FORNECIDO E INSTALADO EM RAMAL DE DESCARGA OU RAMAL DE ESGOTO SANITÁRIO. AF_12/2014</t>
  </si>
  <si>
    <t>TE, PVC, SERIE NORMAL, ESGOTO PREDIAL, DN 50 X 50 MM, JUNTA ELÁSTICA, FORNECIDO E INSTALADO EM RAMAL DE DESCARGA OU RAMAL DE ESGOTO SANITÁRIO. AF_12/2014</t>
  </si>
  <si>
    <t>JUNÇÃO SIMPLES, PVC, SERIE NORMAL, ESGOTO PREDIAL, DN 50 X 50 MM, JUNTA ELÁSTICA, FORNECIDO E INSTALADO EM RAMAL DE DESCARGA OU RAMAL DE ESGOTO SANITÁRIO. AF_12/2014</t>
  </si>
  <si>
    <t>TE, PVC, SERIE NORMAL, ESGOTO PREDIAL, DN 75 X 75 MM, JUNTA ELÁSTICA, FORNECIDO E INSTALADO EM RAMAL DE DESCARGA OU RAMAL DE ESGOTO SANITÁRIO. AF_12/2014</t>
  </si>
  <si>
    <t>JOELHO 45 GRAUS, CPVC, SOLDÁVEL, DN 42MM, INSTALADO EM PRUMADA DE ÁGUA  FORNECIMENTO E INSTALAÇÃO. AF_12/2014</t>
  </si>
  <si>
    <t>JOELHO 90 GRAUS, CPVC, SOLDÁVEL, DN 54MM, INSTALADO EM PRUMADA DE ÁGUA  FORNECIMENTO E INSTALAÇÃO. AF_12/2014</t>
  </si>
  <si>
    <t>JOELHO 45 GRAUS, CPVC, SOLDÁVEL, DN 54MM, INSTALADO EM PRUMADA DE ÁGUA  FORNECIMENTO E INSTALAÇÃO. AF_12/2014</t>
  </si>
  <si>
    <t>JOELHO 90 GRAUS, CPVC, SOLDÁVEL, DN 73MM, INSTALADO EM PRUMADA DE ÁGUA  FORNECIMENTO E INSTALAÇÃO. AF_12/2014</t>
  </si>
  <si>
    <t>JOELHO 45 GRAUS, CPVC, SOLDÁVEL, DN 73MM, INSTALADO EM PRUMADA DE ÁGUA  FORNECIMENTO E INSTALAÇÃO. AF_12/2014</t>
  </si>
  <si>
    <t>JOELHO 90 GRAUS, CPVC, SOLDÁVEL, DN 89MM, INSTALADO EM PRUMADA DE ÁGUA  FORNECIMENTO E INSTALAÇÃO. AF_12/2014</t>
  </si>
  <si>
    <t>JOELHO 45 GRAUS, CPVC, SOLDÁVEL, DN 89MM, INSTALADO EM PRUMADA DE ÁGUA  FORNECIMENTO E INSTALAÇÃO. AF_12/2014</t>
  </si>
  <si>
    <t>LUVA, CPVC, SOLDÁVEL, DN 35MM, INSTALADO EM PRUMADA DE ÁGUA  FORNECIMENTO E INSTALAÇÃO. AF_12/2014</t>
  </si>
  <si>
    <t>JUNÇÃO SIMPLES, PVC, SERIE NORMAL, ESGOTO PREDIAL, DN 75 X 75 MM, JUNTA ELÁSTICA, FORNECIDO E INSTALADO EM RAMAL DE DESCARGA OU RAMAL DE ESGOTO SANITÁRIO. AF_12/2014</t>
  </si>
  <si>
    <t>TE, PVC, SERIE NORMAL, ESGOTO PREDIAL, DN 100 X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</si>
  <si>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</si>
  <si>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</si>
  <si>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</si>
  <si>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</si>
  <si>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</si>
  <si>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</si>
  <si>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</si>
  <si>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</si>
  <si>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</si>
  <si>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</si>
  <si>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JOELHO 45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</si>
  <si>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</si>
  <si>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</si>
  <si>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SIMPLES, PVC, SERIE NORMAL, ESGOTO PREDIAL, DN 50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</si>
  <si>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</si>
  <si>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</si>
  <si>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</si>
  <si>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LUVA SIMPLES, PVC, SERIE NORMAL, ESGOTO PREDIAL, DN 75 MM, JUNTA ELÁSTICA, FORNECIDO E INSTALADO EM PRUMADA DE ESGOTO SANITÁRIO OU VENTILAÇÃO.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</si>
  <si>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</si>
  <si>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</si>
  <si>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</si>
  <si>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SIMPLES, PVC, SERIE NORMAL, ESGOTO PREDIAL, DN 100 MM, JUNTA ELÁSTICA, FORNECIDO E INSTALADO EM PRUMADA DE ESGOTO SANITÁRIO OU VENTILAÇÃO. AF_12/2014</t>
  </si>
  <si>
    <t>LUVA, CPVC, SOLDÁVEL, DN 42MM, INSTALADO EM PRUMADA DE ÁGUA  FORNECIMENTO E INSTALAÇÃO. AF_12/2014</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</si>
  <si>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</si>
  <si>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</si>
  <si>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</si>
  <si>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</si>
  <si>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</si>
  <si>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</si>
  <si>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</si>
  <si>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</si>
  <si>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CONECTOR, CPVC, SOLDÁVEL, DN 42MM X 1.1/2, INSTALADO EM PRUMADA DE ÁGUA  FORNECIMENTO E INSTALAÇÃO. AF_12/2014</t>
  </si>
  <si>
    <t>BUCHA DE REDUÇÃO, CPVC, SOLDÁVEL, DN 42MM X 22MM, INSTALADO EM RAMAL DE DISTRIBUIÇÃO DE ÁGUA - FORNECIMENTO E INSTALAÇÃO.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</si>
  <si>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</si>
  <si>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</si>
  <si>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LUVA, CPVC, SOLDÁVEL, DN 54MM, INSTALADO EM PRUMADA DE ÁGUA  FORNECIMENTO E INSTALAÇÃO. AF_12/2014</t>
  </si>
  <si>
    <t>LUVA DE TRANSIÇÃO, CPVC, SOLDÁVEL, DN 54MM X 2, INSTALADO EM PRUMADA DE ÁGUA  FORNECIMENTO E INSTALAÇÃO. AF_12/2014</t>
  </si>
  <si>
    <t>UNIÃO, CPVC, SOLDÁVEL, DN 54MM, INSTALADO EM PRUMADA DE ÁGUA  FORNECIMENTO E INSTALAÇÃO. AF_12/2014</t>
  </si>
  <si>
    <t>LUVA, CPVC, SOLDÁVEL, DN 73MM, INSTALADO EM PRUMADA DE ÁGUA  FORNECIMENTO E INSTALAÇÃO. AF_12/2014</t>
  </si>
  <si>
    <t>UNIÃO, CPVC, SOLDÁVEL, DN 73MM, INSTALADO EM PRUMADA DE ÁGUA  FORNECIMENTO E INSTALAÇÃO. AF_12/2014</t>
  </si>
  <si>
    <t>LUVA, CPVC, SOLDÁVEL, DN 89MM, INSTALADO EM PRUMADA DE ÁGUA  FORNECIMENTO E INSTALAÇÃO. AF_12/2014</t>
  </si>
  <si>
    <t>UNIÃO, CPVC, SOLDÁVEL, DN 89MM, INSTALADO EM PRUMADA DE ÁGUA  FORNECIMENTO E INSTALAÇÃO. AF_12/2014</t>
  </si>
  <si>
    <t>TÊ, CPVC, SOLDÁVEL, DN 35MM, INSTALADO EM PRUMADA DE ÁGUA  FORNECIMENTO E INSTALAÇÃO. AF_12/2014</t>
  </si>
  <si>
    <t>TE, CPVC, SOLDÁVEL, DN  42MM, INSTALADO EM PRUMADA DE ÁGUA  FORNECIMENTO E INSTALAÇÃO. AF_12/2014</t>
  </si>
  <si>
    <t>TÊ, CPVC, SOLDÁVEL, DN 54 MM, INSTALADO EM PRUMADA DE ÁGUA  FORNECIMENTO E INSTALAÇÃO. AF_12/2014</t>
  </si>
  <si>
    <t>TÊ, CPVC, SOLDÁVEL, DN 73MM, INSTALADO EM PRUMADA DE ÁGUA  FORNECIMENTO E INSTALAÇÃO. AF_12/2014</t>
  </si>
  <si>
    <t>TÊ, CPVC, SOLDÁVEL, DN 89MM, INSTALADO EM PRUMADA DE ÁGUA  FORNECIMENTO E INSTALAÇÃO. AF_12/2014</t>
  </si>
  <si>
    <t>JOELHO 90 GRAUS, PVC, SERIE NORMAL, ESGOTO PREDIAL, DN 100 MM, JUNTA ELÁSTICA, FORNECIDO E INSTALADO EM SUBCOLETOR AÉREO DE ESGOTO SANITÁRIO. AF_12/2014</t>
  </si>
  <si>
    <t>JOELHO 45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</si>
  <si>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</si>
  <si>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</si>
  <si>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</si>
  <si>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45 GRAUS, PVC, SERIE NORMAL, ESGOTO PREDIAL, DN 150 MM, JUNTA ELÁSTICA, FORNECIDO E INSTALADO EM SUBCOLETOR AÉREO DE ESGOTO SANITÁRIO. AF_12/2014</t>
  </si>
  <si>
    <t>LUVA SIMPLES, PVC, SERIE NORMAL, ESGOTO PREDIAL, DN 100 MM, JUNTA ELÁSTICA, FORNECIDO E INSTALADO EM SUBCOLETOR AÉREO DE ESGOTO SANITÁRIO. AF_12/2014</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</si>
  <si>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</si>
  <si>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</si>
  <si>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TE, PVC, SERIE NORMAL, ESGOTO PREDIAL, DN 100 X 100 MM, JUNTA ELÁSTICA, FORNECIDO E INSTALADO EM SUBCOLETOR AÉREO DE ESGOTO SANITÁRIO. AF_12/2014</t>
  </si>
  <si>
    <t>JUNÇÃO SIMPLES,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</si>
  <si>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</si>
  <si>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JUNÇÃO SIMPLES, PVC, SERIE NORMAL, ESGOTO PREDIAL, DN 150 X 150 MM, JUNTA ELÁSTICA, FORNECIDO E INSTALADO EM SUBCOLETOR AÉREO DE ESGOTO SANITÁRIO. AF_12/2014</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</si>
  <si>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</si>
  <si>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</si>
  <si>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</si>
  <si>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</si>
  <si>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</si>
  <si>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</si>
  <si>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</si>
  <si>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</si>
  <si>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TÊ COM BUCHA DE LATÃO NA BOLSA CENTRAL, PVC, SOLDÁVEL, DN 25MM X 3/4, INSTALADO EM RAMAL OU SUB-RAMAL DE ÁGUA - FORNECIMENTO E INSTALAÇÃO. AF_03/2015</t>
  </si>
  <si>
    <t>BUCHA DE REDUÇÃO, PVC, SOLDÁVEL, DN 40MM X 32MM, INSTALADO EM RAMAL OU SUB-RAMAL DE ÁGUA - FORNECIMENTO E INSTALAÇÃO. AF_03/2015</t>
  </si>
  <si>
    <t>NIPLE, EM FERRO GALVANIZADO, DN 50 (2"), CONEXÃO ROSQUEADA, INSTALADO EM PRUMADAS - FORNECIMENTO E INSTALAÇÃO. AF_12/2015</t>
  </si>
  <si>
    <t>LUVA, EM FERRO GALVANIZADO, DN 50 (2"), CONEXÃO ROSQUEADA, INSTALADO EM PRUMADAS - FORNECIMENTO E INSTALAÇÃO. AF_12/2015</t>
  </si>
  <si>
    <t>NIPLE, EM FERRO GALVANIZADO, DN 65 (2 1/2"), CONEXÃO ROSQUEADA, INSTALADO EM PRUMADAS - FORNECIMENTO E INSTALAÇÃO. AF_12/2015</t>
  </si>
  <si>
    <t>LUVA, EM FERRO GALVANIZADO, DN 65 (2 1/2"), CONEXÃO ROSQUEADA, INSTALADO EM PRUMADAS - FORNECIMENTO E INSTALAÇÃO. AF_12/2015</t>
  </si>
  <si>
    <t>NIPLE, EM FERRO GALVANIZADO, DN 80 (3"), CONEXÃO ROSQUEADA, INSTALADO EM PRUMADAS - FORNECIMENTO E INSTALAÇÃO. AF_12/2015</t>
  </si>
  <si>
    <t>LUVA, EM FERRO GALVANIZADO, DN 80 (3"), CONEXÃO ROSQUEADA, INSTALADO EM PRUMADAS - FORNECIMENTO E INSTALAÇÃO. AF_12/2015</t>
  </si>
  <si>
    <t>JOELHO 45 GRAUS, EM FERRO GALVANIZADO, DN 50 (2"), CONEXÃO ROSQUEADA, INSTALADO EM PRUMADAS - FORNECIMENTO E INSTALAÇÃO. AF_12/2015</t>
  </si>
  <si>
    <t>JOELHO 90 GRAUS, EM FERRO GALVANIZADO, DN 50 (2"), CONEXÃO ROSQUEADA, INSTALADO EM PRUMADAS - FORNECIMENTO E INSTALAÇÃO. AF_12/2015</t>
  </si>
  <si>
    <t>JOELHO 45 GRAUS, EM FERRO GALVANIZADO, DN 65 (2 1/2"), CONEXÃO ROSQUEADA, INSTALADO EM PRUMADAS - FORNECIMENTO E INSTALAÇÃO. AF_12/2015</t>
  </si>
  <si>
    <t>JOELHO 90 GRAUS, EM FERRO GALVANIZADO, DN 65 (2 1/2"), CONEXÃO ROSQUEADA, INSTALADO EM PRUMADAS - FORNECIMENTO E INSTALAÇÃO. AF_12/2015</t>
  </si>
  <si>
    <t>JOELHO 45 GRAUS, EM FERRO GALVANIZADO, DN 80 (3"), CONEXÃO ROSQUEADA, INSTALADO EM PRUMADAS - FORNECIMENTO E INSTALAÇÃO. AF_12/2015</t>
  </si>
  <si>
    <t>JOELHO 90 GRAUS, EM FERRO GALVANIZADO, DN 80 (3"), CONEXÃO ROSQUEADA, INSTALADO EM PRUMADAS - FORNECIMENTO E INSTALAÇÃO. AF_12/2015</t>
  </si>
  <si>
    <t>TÊ, EM FERRO GALVANIZADO, DN 50 (2"), CONEXÃO ROSQUEADA, INSTALADO EM PRUMADAS - FORNECIMENTO E INSTALAÇÃO. AF_12/2015</t>
  </si>
  <si>
    <t>TÊ, EM FERRO GALVANIZADO, DN 65 (2 1/2"), CONEXÃO ROSQUEADA, INSTALADO EM PRUMADAS - FORNECIMENTO E INSTALAÇÃO. AF_12/2015</t>
  </si>
  <si>
    <t>TÊ, EM FERRO GALVANIZADO, DN 80 (3"), CONEXÃO ROSQUEADA, INSTALADO EM PRUMADAS - FORNECIMENTO E INSTALAÇÃO. AF_12/2015</t>
  </si>
  <si>
    <t>NIPLE, EM FERRO GALVANIZADO, DN 25 (1"), CONEXÃO ROSQUEADA, INSTALADO EM REDE DE ALIMENTAÇÃO PARA HIDRANTE - FORNECIMENTO E INSTALAÇÃO. AF_12/2015</t>
  </si>
  <si>
    <t>LUVA, EM FERRO GALVANIZADO, DN 25 (1"), CONEXÃO ROSQUEADA, INSTALADO EM REDE DE ALIMENTAÇÃO PARA HIDRANTE - FORNECIMENTO E INSTALAÇÃO. AF_12/2015</t>
  </si>
  <si>
    <t>NIPLE, EM FERRO GALVANIZADO, DN 32 (1 1/4"), CONEXÃO ROSQUEADA, INSTALADO EM REDE DE ALIMENTAÇÃO PARA HIDRANTE - FORNECIMENTO E INSTALAÇÃO. AF_12/2015</t>
  </si>
  <si>
    <t>LUVA, EM FERRO GALVANIZADO, DN 32 (1 1/4"), CONEXÃO ROSQUEADA, INSTALADO EM REDE DE ALIMENTAÇÃO PARA HIDRANTE - FORNECIMENTO E INSTALAÇÃO. AF_12/2015</t>
  </si>
  <si>
    <t>NIPLE, EM FERRO GALVANIZADO, DN 40 (1 1/2"), CONEXÃO ROSQUEADA, INSTALADO EM REDE DE ALIMENTAÇÃO PARA HIDRANTE - FORNECIMENTO E INSTALAÇÃO. AF_12/2015</t>
  </si>
  <si>
    <t>LUVA, EM FERRO GALVANIZADO, DN 40 (1 1/2"), CONEXÃO ROSQUEADA, INSTALADO EM REDE DE ALIMENTAÇÃO PARA HIDRANTE - FORNECIMENTO E INSTALAÇÃO. AF_12/2015</t>
  </si>
  <si>
    <t>NIPLE, EM FERRO GALVANIZADO, DN 50 (2"), CONEXÃO ROSQUEADA, INSTALADO EM REDE DE ALIMENTAÇÃO PARA HIDRANTE - FORNECIMENTO E INSTALAÇÃO. AF_12/2015</t>
  </si>
  <si>
    <t>LUVA, EM FERRO GALVANIZADO, DN 50 (2"), CONEXÃO ROSQUEADA, INSTALADO EM REDE DE ALIMENTAÇÃO PARA HIDRANTE - FORNECIMENTO E INSTALAÇÃO. AF_12/2015</t>
  </si>
  <si>
    <t>LUVA, EM FERRO GALVANIZADO, DN 65 (2 1/2"), CONEXÃO ROSQUEADA, INSTALADO EM REDE DE ALIMENTAÇÃO PARA HIDRANTE - FORNECIMENTO E INSTALAÇÃO. AF_12/2015</t>
  </si>
  <si>
    <t>NIPLE, EM FERRO GALVANIZADO, DN 80 (3"), CONEXÃO ROSQUEADA, INSTALADO EM REDE DE ALIMENTAÇÃO PARA HIDRANTE - FORNECIMENTO E INSTALAÇÃO. AF_12/2015</t>
  </si>
  <si>
    <t>LUVA, EM FERRO GALVANIZADO, DN 80 (3"), CONEXÃO ROSQUEADA, INSTALADO EM REDE DE ALIMENTAÇÃO PARA HIDRANTE - FORNECIMENTO E INSTALAÇÃO. AF_12/2015</t>
  </si>
  <si>
    <t>JOELHO 45 GRAUS, EM FERRO GALVANIZADO, DN 25 (1"), CONEXÃO ROSQUEADA, INSTALADO EM REDE DE ALIMENTAÇÃO PARA HIDRANTE - FORNECIMENTO E INSTALAÇÃO. AF_12/2015</t>
  </si>
  <si>
    <t>JOELHO 90 GRAUS, EM FERRO GALVANIZADO, DN 25 (1"), CONEXÃO ROSQUEADA, INSTALADO EM REDE DE ALIMENTAÇÃO PARA HIDRANTE - FORNECIMENTO E INSTALAÇÃO. AF_12/2015</t>
  </si>
  <si>
    <t>JOELHO 45 GRAUS, EM FERRO GALVANIZADO, DN 32 (1 1/4"), CONEXÃO ROSQUEADA, INSTALADO EM REDE DE ALIMENTAÇÃO PARA HIDRANTE - FORNECIMENTO E INSTALAÇÃO. AF_12/2015</t>
  </si>
  <si>
    <t>JOELHO 90 GRAUS, EM FERRO GALVANIZADO, DN 32 (1 1/4"), CONEXÃO ROSQUEADA, INSTALADO EM REDE DE ALIMENTAÇÃO PARA HIDRANTE - FORNECIMENTO E INSTALAÇÃO. AF_12/2015</t>
  </si>
  <si>
    <t>JOELHO 45 GRAUS, EM FERRO GALVANIZADO, DN 40 (1 1/2"), CONEXÃO ROSQUEADA, INSTALADO EM REDE DE ALIMENTAÇÃO PARA HIDRANTE - FORNECIMENTO E INSTALAÇÃO. AF_12/2015</t>
  </si>
  <si>
    <t>JOELHO 90 GRAUS, EM FERRO GALVANIZADO, DN 40 (1 1/2"), CONEXÃO ROSQUEADA, INSTALADO EM REDE DE ALIMENTAÇÃO PARA HIDRANTE - FORNECIMENTO E INSTALAÇÃO. AF_12/2015</t>
  </si>
  <si>
    <t>JOELHO 45 GRAUS, EM FERRO GALVANIZADO, DN 50 (2"), CONEXÃO ROSQUEADA, INSTALADO EM REDE DE ALIMENTAÇÃO PARA HIDRANTE - FORNECIMENTO E INSTALAÇÃO. AF_12/2015</t>
  </si>
  <si>
    <t>JOELHO 90 GRAUS, EM FERRO GALVANIZADO, DN 50 (2"), CONEXÃO ROSQUEADA, INSTALADO EM REDE DE ALIMENTAÇÃO PARA HIDRANTE - FORNECIMENTO E INSTALAÇÃO. AF_12/2015</t>
  </si>
  <si>
    <t>JOELHO 45 GRAUS, EM FERRO GALVANIZADO, DN 65 (2 1/2"), CONEXÃO ROSQUEADA, INSTALADO EM REDE DE ALIMENTAÇÃO PARA HIDRANTE - FORNECIMENTO E INSTALAÇÃO. AF_12/2015</t>
  </si>
  <si>
    <t>JOELHO 45 GRAUS, EM FERRO GALVANIZADO, CONEXÃO ROSQUEADA, DN 80 (3"), INSTALADO EM REDE DE ALIMENTAÇÃO PARA HIDRANTE - FORNECIMENTO E INSTALAÇÃO. AF_12/2015</t>
  </si>
  <si>
    <t>TÊ, EM FERRO GALVANIZADO, CONEXÃO ROSQUEADA, DN 25 (1"), INSTALADO EM REDE DE ALIMENTAÇÃO PARA HIDRANTE - FORNECIMENTO E INSTALAÇÃO. AF_12/2015</t>
  </si>
  <si>
    <t>TÊ, EM FERRO GALVANIZADO, CONEXÃO ROSQUEADA, DN 32 (1 1/4"), INSTALADO EM REDE DE ALIMENTAÇÃO PARA HIDRANTE - FORNECIMENTO E INSTALAÇÃO. AF_12/2015</t>
  </si>
  <si>
    <t>TÊ, EM FERRO GALVANIZADO, CONEXÃO ROSQUEADA, DN 40 (1 1/2"), INSTALADO EM REDE DE ALIMENTAÇÃO PARA HIDRANTE - FORNECIMENTO E INSTALAÇÃO. AF_12/2015</t>
  </si>
  <si>
    <t>TÊ, EM FERRO GALVANIZADO, CONEXÃO ROSQUEADA, DN 50 (2"), INSTALADO EM REDE DE ALIMENTAÇÃO PARA HIDRANTE - FORNECIMENTO E INSTALAÇÃO. AF_12/2015</t>
  </si>
  <si>
    <t>NIPLE, EM FERRO GALVANIZADO, CONEXÃO ROSQUEADA, DN 25 (1"), INSTALADO EM REDE DE ALIMENTAÇÃO PARA SPRINKLER - FORNECIMENTO E INSTALAÇÃO. AF_12/2015</t>
  </si>
  <si>
    <t>LUVA, EM FERRO GALVANIZADO, CONEXÃO ROSQUEADA, DN 25 (1"), INSTALADO EM REDE DE ALIMENTAÇÃO PARA SPRINKLER - FORNECIMENTO E INSTALAÇÃO. AF_12/2015</t>
  </si>
  <si>
    <t>NIPLE, EM FERRO GALVANIZADO, CONEXÃO ROSQUEADA, DN 32 (1 1/4"), INSTALADO EM REDE DE ALIMENTAÇÃO PARA SPRINKLER - FORNECIMENTO E INSTALAÇÃO. AF_12/2015</t>
  </si>
  <si>
    <t>LUVA, EM FERRO GALVANIZADO, CONEXÃO ROSQUEADA, DN 32 (1 1/4"), INSTALADO EM REDE DE ALIMENTAÇÃO PARA SPRINKLER - FORNECIMENTO E INSTALAÇÃO. AF_12/2015</t>
  </si>
  <si>
    <t>NIPLE, EM FERRO GALVANIZADO, CONEXÃO ROSQUEADA, DN 40 (1 1/2"), INSTALADO EM REDE DE ALIMENTAÇÃO PARA SPRINKLER - FORNECIMENTO E INSTALAÇÃO. AF_12/2015</t>
  </si>
  <si>
    <t>LUVA, EM FERRO GALVANIZADO, CONEXÃO ROSQUEADA, DN 40 (1 1/2"), INSTALADO EM REDE DE ALIMENTAÇÃO PARA SPRINKLER - FORNECIMENTO E INSTALAÇÃO. AF_12/2015</t>
  </si>
  <si>
    <t>NIPLE, EM FERRO GALVANIZADO, CONEXÃO ROSQUEADA, DN 50 (2"), INSTALADO EM REDE DE ALIMENTAÇÃO PARA SPRINKLER - FORNECIMENTO E INSTALAÇÃO. AF_12/2015</t>
  </si>
  <si>
    <t>LUVA, EM FERRO GALVANIZADO, CONEXÃO ROSQUEADA, DN 50 (2"), INSTALADO EM REDE DE ALIMENTAÇÃO PARA SPRINKLER - FORNECIMENTO E INSTALAÇÃO. AF_12/2015</t>
  </si>
  <si>
    <t>NIPLE, EM FERRO GALVANIZADO, CONEXÃO ROSQUEADA, DN 65 (2 1/2"), INSTALADO EM REDE DE ALIMENTAÇÃO PARA SPRINKLER - FORNECIMENTO E INSTALAÇÃO. AF_12/2015</t>
  </si>
  <si>
    <t>NIPLE, EM FERRO GALVANIZADO, CONEXÃO ROSQUEADA, DN 80 (3"), INSTALADO EM REDE DE ALIMENTAÇÃO PARA SPRINKLER - FORNECIMENTO E INSTALAÇÃO. AF_12/2015</t>
  </si>
  <si>
    <t>LUVA, EM FERRO GALVANIZADO, CONEXÃO ROSQUEADA, DN 80 (3"), INSTALADO EM REDE DE ALIMENTAÇÃO PARA SPRINKLER - FORNECIMENTO E INSTALAÇÃO. AF_12/2015</t>
  </si>
  <si>
    <t>JOELHO 45 GRAUS, EM FERRO GALVANIZADO, CONEXÃO ROSQUEADA, DN 25 (1"), INSTALADO EM REDE DE ALIMENTAÇÃO PARA SPRINKLER - FORNECIMENTO E INSTALAÇÃO. AF_12/2015</t>
  </si>
  <si>
    <t>JOELHO 90 GRAUS, EM FERRO GALVANIZADO, CONEXÃO ROSQUEADA, DN 25 (1"), INSTALADO EM REDE DE ALIMENTAÇÃO PARA SPRINKLER - FORNECIMENTO E INSTALAÇÃO. AF_12/2015</t>
  </si>
  <si>
    <t>JOELHO 45 GRAUS, EM FERRO GALVANIZADO, CONEXÃO ROSQUEADA, DN 32 (1 1/4"), INSTALADO EM REDE DE ALIMENTAÇÃO PARA SPRINKLER - FORNECIMENTO E INSTALAÇÃO. AF_12/2015</t>
  </si>
  <si>
    <t>JOELHO 90 GRAUS, EM FERRO GALVANIZADO, CONEXÃO ROSQUEADA, DN 32 (1 1/4"), INSTALADO EM REDE DE ALIMENTAÇÃO PARA SPRINKLER - FORNECIMENTO E INSTALAÇÃO. AF_12/2015</t>
  </si>
  <si>
    <t>JOELHO 45 GRAUS, EM FERRO GALVANIZADO, CONEXÃO ROSQUEADA, DN 40 (1 1/2"), INSTALADO EM REDE DE ALIMENTAÇÃO PARA SPRINKLER - FORNECIMENTO E INSTALAÇÃO. AF_12/2015</t>
  </si>
  <si>
    <t>JOELHO 90 GRAUS, EM FERRO GALVANIZADO, CONEXÃO ROSQUEADA, DN 40 (1 1/2"), INSTALADO EM REDE DE ALIMENTAÇÃO PARA SPRINKLER - FORNECIMENTO E INSTALAÇÃO. AF_12/2015</t>
  </si>
  <si>
    <t>JOELHO 45 GRAUS, EM FERRO GALVANIZADO, CONEXÃO ROSQUEADA, DN 50 (2"), INSTALADO EM REDE DE ALIMENTAÇÃO PARA SPRINKLER - FORNECIMENTO E INSTALAÇÃO. AF_12/2015</t>
  </si>
  <si>
    <t>JOELHO 90 GRAUS, EM FERRO GALVANIZADO, CONEXÃO ROSQUEADA, DN 50 (2"), INSTALADO EM REDE DE ALIMENTAÇÃO PARA SPRINKLER - FORNECIMENTO E INSTALAÇÃO. AF_12/2015</t>
  </si>
  <si>
    <t>JOELHO 45 GRAUS, EM FERRO GALVANIZADO, CONEXÃO ROSQUEADA, DN 65 (2 1/2"), INSTALADO EM REDE DE ALIMENTAÇÃO PARA SPRINKLER - FORNECIMENTO E INSTALAÇÃO. AF_12/2015</t>
  </si>
  <si>
    <t>JOELHO 90 GRAUS, EM FERRO GALVANIZADO, CONEXÃO ROSQUEADA, DN 65 (2 1/2"), INSTALADO EM REDE DE ALIMENTAÇÃO PARA SPRINKLER - FORNECIMENTO E INSTALAÇÃO. AF_12/2015</t>
  </si>
  <si>
    <t>JOELHO 45 GRAUS, EM FERRO GALVANIZADO, CONEXÃO ROSQUEADA, DN 80 (3"), INSTALADO EM REDE DE ALIMENTAÇÃO PARA SPRINKLER - FORNECIMENTO E INSTALAÇÃO. AF_12/2015</t>
  </si>
  <si>
    <t>JOELHO 90 GRAUS, EM FERRO GALVANIZADO, CONEXÃO ROSQUEADA, DN 80 (3"), INSTALADO EM REDE DE ALIMENTAÇÃO PARA SPRINKLER - FORNECIMENTO E INSTALAÇÃO. AF_12/2015</t>
  </si>
  <si>
    <t>TÊ, EM FERRO GALVANIZADO, CONEXÃO ROSQUEADA, DN 25 (1"), INSTALADO EM REDE DE ALIMENTAÇÃO PARA SPRINKLER - FORNECIMENTO E INSTALAÇÃO. AF_12/2015</t>
  </si>
  <si>
    <t>TÊ, EM FERRO GALVANIZADO, CONEXÃO ROSQUEADA, DN 32 (1 1/4"), INSTALADO EM REDE DE ALIMENTAÇÃO PARA SPRINKLER - FORNECIMENTO E INSTALAÇÃO. AF_12/2015</t>
  </si>
  <si>
    <t>TÊ, EM FERRO GALVANIZADO, CONEXÃO ROSQUEADA, DN 40 (1 1/2"), INSTALADO EM REDE DE ALIMENTAÇÃO PARA SPRINKLER - FORNECIMENTO E INSTALAÇÃO. AF_12/2015</t>
  </si>
  <si>
    <t>TÊ, EM FERRO GALVANIZADO, CONEXÃO ROSQUEADA, DN 50 (2"), INSTALADO EM REDE DE ALIMENTAÇÃO PARA SPRINKLER - FORNECIMENTO E INSTALAÇÃO. AF_12/2015</t>
  </si>
  <si>
    <t>TÊ, EM FERRO GALVANIZADO, CONEXÃO ROSQUEADA, DN 65 (2 1/2"), INSTALADO EM REDE DE ALIMENTAÇÃO PARA SPRINKLER - FORNECIMENTO E INSTALAÇÃO. AF_12/2015</t>
  </si>
  <si>
    <t>TÊ, EM FERRO GALVANIZADO, CONEXÃO ROSQUEADA, DN 80 (3"), INSTALADO EM REDE DE ALIMENTAÇÃO PARA SPRINKLER - FORNECIMENTO E INSTALAÇÃO. AF_12/2015</t>
  </si>
  <si>
    <t>NIPLE, EM FERRO GALVANIZADO, CONEXÃO ROSQUEADA, DN 15 (1/2"), INSTALADO EM RAMAIS E SUB-RAMAIS DE GÁS - FORNECIMENTO E INSTALAÇÃO. AF_12/2015</t>
  </si>
  <si>
    <t>LUVA, EM FERRO GALVANIZADO, CONEXÃO ROSQUEADA, DN 15 (1/2"), INSTALADO EM RAMAIS E SUB-RAMAIS DE GÁS - FORNECIMENTO E INSTALAÇÃO. AF_12/2015</t>
  </si>
  <si>
    <t>NIPLE, EM FERRO GALVANIZADO, CONEXÃO ROSQUEADA, DN 20 (3/4"), INSTALADO EM RAMAIS E SUB-RAMAIS DE GÁS - FORNECIMENTO E INSTALAÇÃO. AF_12/2015</t>
  </si>
  <si>
    <t>LUVA, EM FERRO GALVANIZADO, CONEXÃO ROSQUEADA, DN 20 (3/4"), INSTALADO EM RAMAIS E SUB-RAMAIS DE GÁS - FORNECIMENTO E INSTALAÇÃO. AF_12/2015</t>
  </si>
  <si>
    <t>NIPLE, EM FERRO GALVANIZADO, CONEXÃO ROSQUEADA, DN 25 (1"), INSTALADO EM RAMAIS E SUB-RAMAIS DE GÁS - FORNECIMENTO E INSTALAÇÃO. AF_12/2015</t>
  </si>
  <si>
    <t>LUVA, EM FERRO GALVANIZADO, CONEXÃO ROSQUEADA, DN 25 (1"), INSTALADO EM RAMAIS E SUB-RAMAIS DE GÁS - FORNECIMENTO E INSTALAÇÃO. AF_12/2015</t>
  </si>
  <si>
    <t>JOELHO 45 GRAUS, EM FERRO GALVANIZADO, CONEXÃO ROSQUEADA, DN 15 (1/2"), INSTALADO EM RAMAIS E SUB-RAMAIS DE GÁS - FORNECIMENTO E INSTALAÇÃO. AF_12/2015</t>
  </si>
  <si>
    <t>JOELHO 90 GRAUS, EM FERRO GALVANIZADO, CONEXÃO ROSQUEADA, DN 15 (1/2"), INSTALADO EM RAMAIS E SUB-RAMAIS DE GÁS - FORNECIMENTO E INSTALAÇÃO. AF_12/2015</t>
  </si>
  <si>
    <t>JOELHO 45 GRAUS, EM FERRO GALVANIZADO, CONEXÃO ROSQUEADA, DN 20 (3/4"), INSTALADO EM RAMAIS E SUB-RAMAIS DE GÁS - FORNECIMENTO E INSTALAÇÃO. AF_12/2015</t>
  </si>
  <si>
    <t>JOELHO 90 GRAUS, EM FERRO GALVANIZADO, CONEXÃO ROSQUEADA, DN 20 (3/4"), INSTALADO EM RAMAIS E SUB-RAMAIS DE GÁS - FORNECIMENTO E INSTALAÇÃO. AF_12/2015</t>
  </si>
  <si>
    <t>JOELHO 45 GRAUS, EM FERRO GALVANIZADO, CONEXÃO ROSQUEADA, DN 25 (1"), INSTALADO EM RAMAIS E SUB-RAMAIS DE GÁS - FORNECIMENTO E INSTALAÇÃO. AF_12/2015</t>
  </si>
  <si>
    <t>JOELHO 90 GRAUS, EM FERRO GALVANIZADO, CONEXÃO ROSQUEADA, DN 25 (1"), INSTALADO EM RAMAIS E SUB-RAMAIS DE GÁS - FORNECIMENTO E INSTALAÇÃO. AF_12/2015</t>
  </si>
  <si>
    <t>TÊ, EM FERRO GALVANIZADO, CONEXÃO ROSQUEADA, DN 15 (1/2"), INSTALADO EM RAMAIS E SUB-RAMAIS DE GÁS - FORNECIMENTO E INSTALAÇÃO. AF_12/2015</t>
  </si>
  <si>
    <t>TÊ, EM FERRO GALVANIZADO, CONEXÃO ROSQUEADA, DN 20 (3/4"), INSTALADO EM RAMAIS E SUB-RAMAIS DE GÁS - FORNECIMENTO E INSTALAÇÃO. AF_12/2015</t>
  </si>
  <si>
    <t>TÊ, EM FERRO GALVANIZADO, CONEXÃO ROSQUEADA, DN 25 (1"), INSTALADO EM RAMAIS E SUB-RAMAIS DE GÁS - FORNECIMENTO E INSTALAÇÃO. AF_12/2015</t>
  </si>
  <si>
    <t>UNIÃO, EM FERRO GALVANIZADO, DN 50 (2"), CONEXÃO ROSQUEADA, INSTALADO EM PRUMADAS - FORNECIMENTO E INSTALAÇÃO. AF_12/2015</t>
  </si>
  <si>
    <t>UNIÃO, EM FERRO GALVANIZADO, DN 65 (2 1/2"), CONEXÃO ROSQUEADA, INSTALADO EM PRUMADAS - FORNECIMENTO E INSTALAÇÃO. AF_12/2015</t>
  </si>
  <si>
    <t>UNIÃO, EM FERRO GALVANIZADO, DN 80 (3"), CONEXÃO ROSQUEADA, INSTALADO EM PRUMADAS - FORNECIMENTO E INSTALAÇÃO. AF_12/2015</t>
  </si>
  <si>
    <t>UNIÃO, EM FERRO GALVANIZADO, DN 32 (1 1/4"), CONEXÃO ROSQUEADA, INSTALADO EM REDE DE ALIMENTAÇÃO PARA HIDRANTE - FORNECIMENTO E INSTALAÇÃO. AF_12/2015</t>
  </si>
  <si>
    <t>UNIÃO, EM FERRO GALVANIZADO, DN 40 (1 1/2"), CONEXÃO ROSQUEADA, INSTALADO EM REDE DE ALIMENTAÇÃO PARA HIDRANTE - FORNECIMENTO E INSTALAÇÃO. AF_12/2015</t>
  </si>
  <si>
    <t>UNIÃO, EM FERRO GALVANIZADO, DN 50 (2"), CONEXÃO ROSQUEADA, INSTALADO EM REDE DE ALIMENTAÇÃO PARA HIDRANTE - FORNECIMENTO E INSTALAÇÃO. AF_12/2015</t>
  </si>
  <si>
    <t>UNIÃO, EM FERRO GALVANIZADO, CONEXÃO ROSQUEADA, DN 25 (1"), INSTALADO EM REDE DE ALIMENTAÇÃO PARA SPRINKLER - FORNECIMENTO E INSTALAÇÃO. AF_12/2015</t>
  </si>
  <si>
    <t>UNIÃO, EM FERRO GALVANIZADO, CONEXÃO ROSQUEADA, DN 32 (1 1/4"), INSTALADO EM REDE DE ALIMENTAÇÃO PARA SPRINKLER - FORNECIMENTO E INSTALAÇÃO. AF_12/2015</t>
  </si>
  <si>
    <t>UNIÃO, EM FERRO GALVANIZADO, CONEXÃO ROSQUEADA, DN 40 (1 1/2"), INSTALADO EM REDE DE ALIMENTAÇÃO PARA SPRINKLER - FORNECIMENTO E INSTALAÇÃO. AF_12/2015</t>
  </si>
  <si>
    <t>UNIÃO, EM FERRO GALVANIZADO, CONEXÃO ROSQUEADA, DN 50 (2"), INSTALADO EM REDE DE ALIMENTAÇÃO PARA SPRINKLER - FORNECIMENTO E INSTALAÇÃO. AF_12/2015</t>
  </si>
  <si>
    <t>UNIÃO, EM FERRO GALVANIZADO, CONEXÃO ROSQUEADA, DN 65 (2 1/2"), INSTALADO EM REDE DE ALIMENTAÇÃO PARA SPRINKLER - FORNECIMENTO E INSTALAÇÃO. AF_12/2015</t>
  </si>
  <si>
    <t>UNIÃO, EM FERRO GALVANIZADO, CONEXÃO ROSQUEADA, DN 80 (3"), INSTALADO EM REDE DE ALIMENTAÇÃO PARA SPRINKLER - FORNECIMENTO E INSTALAÇÃO. AF_12/2015</t>
  </si>
  <si>
    <t>UNIÃO, EM FERRO GALVANIZADO, CONEXÃO ROSQUEADA, DN 15 (1/2"), INSTALADO EM RAMAIS E SUB-RAMAIS DE GÁS - FORNECIMENTO E INSTALAÇÃO. AF_12/2015</t>
  </si>
  <si>
    <t>UNIÃO, EM FERRO GALVANIZADO, CONEXÃO ROSQUEADA, DN 20 (3/4"), INSTALADO EM RAMAIS E SUB-RAMAIS DE GÁS - FORNECIMENTO E INSTALAÇÃO. AF_12/2015</t>
  </si>
  <si>
    <t>UNIÃO, EM FERRO GALVANIZADO, CONEXÃO ROSQUEADA, DN 25 (1"), INSTALADO EM RAMAIS E SUB-RAMAIS DE GÁS - FORNECIMENTO E INSTALAÇÃO. AF_12/2015</t>
  </si>
  <si>
    <t>LUVA DE REDUÇÃO, EM FERRO GALVANIZADO, 2" X 1", CONEXÃO ROSQUEADA, INSTALADO EM PRUMADAS - FORNECIMENTO E INSTALAÇÃO. AF_12/2015</t>
  </si>
  <si>
    <t>LUVA DE REDUÇÃO, EM FERRO GALVANIZADO, 3" X 2", CONEXÃO ROSQUEADA, INSTALADO EM PRUMADAS - FORNECIMENTO E INSTALAÇÃO. AF_12/2015</t>
  </si>
  <si>
    <t>LUVA DE REDUÇÃO, EM FERRO GALVANIZADO, 1" X 1/2", CONEXÃO ROSQUEADA, INSTALADO EM REDE DE ALIMENTAÇÃO PARA HIDRANTE - FORNECIMENTO E INSTALAÇÃO. AF_12/2015</t>
  </si>
  <si>
    <t>LUVA DE REDUÇÃO, EM FERRO GALVANIZADO, 1" X 3/4", CONEXÃO ROSQUEADA, INSTALADO EM REDE DE ALIMENTAÇÃO PARA HIDRANTE - FORNECIMENTO E INSTALAÇÃO. AF_12/2015</t>
  </si>
  <si>
    <t>LUVA DE REDUÇÃO, EM FERRO GALVANIZADO, 1 1/4" X 1", CONEXÃO ROSQUEADA, INSTALADO EM REDE DE ALIMENTAÇÃO PARA HIDRANTE - FORNECIMENTO E INSTALAÇÃO. AF_12/2015</t>
  </si>
  <si>
    <t>LUVA DE REDUÇÃO, EM FERRO GALVANIZADO, 1 1/4" X 1/2", CONEXÃO ROSQUEADA, INSTALADO EM REDE DE ALIMENTAÇÃO PARA HIDRANTE - FORNECIMENTO E INSTALAÇÃO. AF_12/2015</t>
  </si>
  <si>
    <t>LUVA DE REDUÇÃO, EM FERRO GALVANIZADO, 1 1/4" X 3/4", CONEXÃO ROSQUEADA, INSTALADO EM REDE DE ALIMENTAÇÃO PARA HIDRANTE - FORNECIMENTO E INSTALAÇÃO. AF_12/2015</t>
  </si>
  <si>
    <t>LUVA DE REDUÇÃO, EM FERRO GALVANIZADO, 2" X 1", CONEXÃO ROSQUEADA, INSTALADO EM REDE DE ALIMENTAÇÃO PARA HIDRANTE - FORNECIMENTO E INSTALAÇÃO. AF_12/2015</t>
  </si>
  <si>
    <t>LUVA DE REDUÇÃO, EM FERRO GALVANIZADO, 3" X 2", CONEXÃO ROSQUEADA, INSTALADO EM REDE DE ALIMENTAÇÃO PARA HIDRANTE - FORNECIMENTO E INSTALAÇÃO. AF_12/2015</t>
  </si>
  <si>
    <t>LUVA DE REDUÇÃO, EM FERRO GALVANIZADO, 1" X 1/2", CONEXÃO ROSQUEADA, INSTALADO EM REDE DE ALIMENTAÇÃO PARA SPRINKLER - FORNECIMENTO E INSTALAÇÃO. AF_12/2015</t>
  </si>
  <si>
    <t>LUVA DE REDUÇÃO, EM FERRO GALVANIZADO, 1" X 3/4", CONEXÃO ROSQUEADA, INSTALADO EM REDE DE ALIMENTAÇÃO PARA SPRINKLER - FORNECIMENTO E INSTALAÇÃO. AF_12/2015</t>
  </si>
  <si>
    <t>LUVA DE REDUÇÃO, EM FERRO GALVANIZADO, 2" X 1", CONEXÃO ROSQUEADA, INSTALADO EM REDE DE ALIMENTAÇÃO PARA SPRINKLER - FORNECIMENTO E INSTALAÇÃO. AF_12/2015</t>
  </si>
  <si>
    <t>LUVA DE REDUÇÃO, EM FERRO GALVANIZADO, 2 1/2" X 2", CONEXÃO ROSQUEADA, INSTALADO EM REDE DE ALIMENTAÇÃO PARA SPRINKLER - FORNECIMENTO E INSTALAÇÃO. AF_12/2015</t>
  </si>
  <si>
    <t>LUVA DE REDUÇÃO, EM FERRO GALVANIZADO, 3" X 2", CONEXÃO ROSQUEADA, INSTALADO EM REDE DE ALIMENTAÇÃO PARA SPRINKLER - FORNECIMENTO E INSTALAÇÃO. AF_12/2015</t>
  </si>
  <si>
    <t>LUVA DE REDUÇÃO, EM FERRO GALVANIZADO, 3/4" X 1/2", CONEXÃO ROSQUEADA, INSTALADO EM RAMAIS E SUB-RAMAIS DE GÁS - FORNECIMENTO E INSTALAÇÃO. AF_12/2015</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</si>
  <si>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</si>
  <si>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</si>
  <si>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</si>
  <si>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</si>
  <si>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</si>
  <si>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</si>
  <si>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</si>
  <si>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</si>
  <si>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</si>
  <si>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</si>
  <si>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</si>
  <si>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</si>
  <si>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</si>
  <si>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</si>
  <si>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</si>
  <si>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</si>
  <si>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</si>
  <si>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</si>
  <si>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</si>
  <si>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</si>
  <si>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</si>
  <si>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</si>
  <si>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</si>
  <si>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</si>
  <si>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</si>
  <si>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</si>
  <si>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</si>
  <si>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</si>
  <si>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</si>
  <si>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</si>
  <si>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</si>
  <si>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</si>
  <si>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</si>
  <si>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</si>
  <si>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</si>
  <si>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</si>
  <si>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</si>
  <si>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</si>
  <si>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</si>
  <si>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</si>
  <si>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</si>
  <si>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</si>
  <si>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</si>
  <si>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</si>
  <si>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</si>
  <si>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</si>
  <si>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</si>
  <si>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</si>
  <si>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</si>
  <si>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</si>
  <si>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</si>
  <si>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</si>
  <si>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</si>
  <si>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</si>
  <si>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</si>
  <si>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</si>
  <si>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</si>
  <si>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</si>
  <si>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</si>
  <si>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</si>
  <si>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</si>
  <si>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</si>
  <si>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</si>
  <si>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</si>
  <si>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</si>
  <si>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</si>
  <si>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</si>
  <si>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</si>
  <si>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</si>
  <si>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</si>
  <si>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</si>
  <si>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</si>
  <si>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</si>
  <si>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</si>
  <si>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</si>
  <si>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</si>
  <si>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</si>
  <si>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</si>
  <si>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</si>
  <si>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</si>
  <si>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</si>
  <si>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</si>
  <si>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</si>
  <si>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</si>
  <si>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</si>
  <si>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</si>
  <si>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</si>
  <si>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</si>
  <si>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</si>
  <si>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</si>
  <si>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</si>
  <si>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</si>
  <si>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</si>
  <si>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</si>
  <si>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</si>
  <si>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</si>
  <si>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</si>
  <si>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</si>
  <si>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</si>
  <si>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</si>
  <si>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</si>
  <si>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</si>
  <si>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</si>
  <si>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</si>
  <si>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</si>
  <si>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</si>
  <si>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</si>
  <si>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</si>
  <si>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</si>
  <si>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</si>
  <si>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</si>
  <si>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</si>
  <si>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</si>
  <si>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</si>
  <si>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</si>
  <si>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TAMPA DE CONCRETO ARMADO 60X60X5CM PARA CAIXA</t>
  </si>
  <si>
    <t>74166/1</t>
  </si>
  <si>
    <t>CAIXA DE INSPEÇÃO EM CONCRETO PRÉ-MOLDADO DN 60CM COM TAMPA H= 60CM - FORNECIMENTO E INSTALACAO</t>
  </si>
  <si>
    <t>74166/2</t>
  </si>
  <si>
    <t>CAIXA DE INSPECAO EM ANEL DE CONCRETO PRE MOLDADO, COM 950MM DE ALTURA TOTAL. ANEIS COM ESP=50MM, DIAM.=600MM. EXCLUSIVE TAMPAO E ESCAVACAO - FORNECIMENTO E INSTALACAO</t>
  </si>
  <si>
    <t>CAIXA D´ÁGUA EM POLIETILENO, 1000 LITROS, COM ACESSÓRIOS</t>
  </si>
  <si>
    <t>CAIXA D´AGUA EM POLIETILENO, 500 LITROS, COM ACESSÓRIOS</t>
  </si>
  <si>
    <t>CAIXA SIFONADA, PVC, DN 100 X 100 X 50 MM, FORNECIDA E INSTALADA EM RAMAIS DE ENCAMINHAMENTO DE ÁGUA PLUVIAL. AF_12/2014</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</si>
  <si>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</si>
  <si>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</si>
  <si>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</si>
  <si>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</si>
  <si>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SIFONADO, PVC, DN 100 X 40 MM, JUNTA SOLDÁVEL, FORNECIDO E INSTALADO EM RAMAL DE DESCARGA OU EM RAMAL DE ESGOTO SANITÁRIO. AF_12/2014</t>
  </si>
  <si>
    <t>RALO SECO, PVC, DN 100 X 40 MM, JUNTA SOLDÁVEL, FORNECIDO E INSTALADO EM RAMAL DE DESCARGA OU EM RAMAL DE ESGOTO SANITÁRIO. AF_12/2014</t>
  </si>
  <si>
    <t>VASO SANITARIO SIFONADO CONVENCIONAL COM LOUÇA BRANCA, INCLUSO CONJUNTO DE LIGAÇÃO PARA BACIA SANITÁRIA AJUSTÁVEL - FORNECIMENTO E INSTALAÇÃO. AF_10/2016</t>
  </si>
  <si>
    <t>TAMPA EM CONCRETO ARMADO 60X60X5CM P/CX INSPECAO/FOSSA SEPTICA</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</si>
  <si>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</si>
  <si>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</si>
  <si>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74093/1</t>
  </si>
  <si>
    <t>VALVULA PE COM CRIVO BRONZE 1.1/4" - FORNECIMENTO E INSTALACAO</t>
  </si>
  <si>
    <t>74169/1</t>
  </si>
  <si>
    <t>REGISTRO/VALVULA GLOBO ANGULAR 45 GRAUS EM LATAO PARA HIDRANTES DE INCÊNDIO PREDIAL DN 2.1/2, COM VOLANTE, CLASSE DE PRESSAO DE ATE 200 PSI - FORNECIMENTO E INSTALACAO</t>
  </si>
  <si>
    <t>REGISTRO DE PRESSÃO BRUTO, LATÃO, ROSCÁVEL, 1/2", FORNECIDO E INSTALADO EM RAMAL DE ÁGUA. AF_12/2014</t>
  </si>
  <si>
    <t>REGISTRO DE GAVETA BRUTO, LATÃO, ROSCÁVEL, 1/2", FORNECIDO E INSTALADO EM RAMAL DE ÁGUA. AF_12/2014</t>
  </si>
  <si>
    <t>MISTURADOR MONOCOMANDO PARA CHUVEIRO, BASE BRUTA E ACABAMENTO CROMADO, FORNECIDO E INSTALADO EM RAMAL DE ÁGUA. AF_12/2014</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</si>
  <si>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</si>
  <si>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</si>
  <si>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</si>
  <si>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</si>
  <si>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</si>
  <si>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</si>
  <si>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FORNECIDO E INSTALADO EM RAMAL DE ÁGUA. AF_12/2014</t>
  </si>
  <si>
    <t>REGISTRO DE PRESSÃO BRUTO, LATÃO, ROSCÁVEL, 3/4", COM ACABAMENTO E CANOPLA CROMADOS. FORNECIDO E INSTALADO EM RAMAL DE ÁGUA. AF_12/2014</t>
  </si>
  <si>
    <t>REGISTRO DE GAVETA BRUTO, LATÃO, ROSCÁVEL, 1/2", COM ACABAMENTO E CANOPLA CROMADOS. FORNECIDO E INSTALADO EM RAMAL DE ÁGUA. AF_12/2014</t>
  </si>
  <si>
    <t>REGISTRO DE GAVETA BRUTO, LATÃO, ROSCÁVEL, 3/4", COM ACABAMENTO E CANOPLA CROMADOS. FORNECIDO E INSTALADO EM RAMAL DE ÁGUA. AF_12/2014</t>
  </si>
  <si>
    <t>REGISTRO DE ESFERA, PVC, ROSCÁVEL, 3/4", FORNECIDO E INSTALADO EM RAMAL DE ÁGUA. AF_03/2015</t>
  </si>
  <si>
    <t>REGISTRO DE ESFERA, PVC, SOLDÁVEL, DN  25 MM, INSTALADO EM RESERVAÇÃO DE ÁGUA DE EDIFICAÇÃO QUE POSSUA RESERVATÓRIO DE FIBRA/FIBROCIMENTO   FORNECIMENTO E INSTALAÇÃO. AF_06/2016</t>
  </si>
  <si>
    <t>REGISTRO DE ESFERA, PVC, SOLDÁVEL, DN  32 MM, INSTALADO EM RESERVAÇÃO DE ÁGUA DE EDIFICAÇÃO QUE POSSUA RESERVATÓRIO DE FIBRA/FIBROCIMENTO   FORNECIMENTO E INSTALAÇÃO. AF_06/2016</t>
  </si>
  <si>
    <t>REGISTRO DE ESFERA, PVC, SOLDÁVEL, DN  40 MM, INSTALADO EM RESERVAÇÃO DE ÁGUA DE EDIFICAÇÃO QUE POSSUA RESERVATÓRIO DE FIBRA/FIBROCIMENTO   FORNECIMENTO E INSTALAÇÃO. AF_06/2016</t>
  </si>
  <si>
    <t>REGISTRO DE ESFERA, PVC, SOLDÁVEL, DN  50 MM, INSTALADO EM RESERVAÇÃO DE ÁGUA DE EDIFICAÇÃO QUE POSSUA RESERVATÓRIO DE FIBRA/FIBROCIMENTO   FORNECIMENTO E INSTALAÇÃO. AF_06/2016</t>
  </si>
  <si>
    <t>REGISTRO DE ESFERA, PVC, SOLDÁVEL, DN  60 MM, INSTALADO EM RESERVAÇÃO DE ÁGUA DE EDIFICAÇÃO QUE POSSUA RESERVATÓRIO DE FIBRA/FIBROCIMENTO   FORNECIMENTO E INSTALAÇÃO. AF_06/2016</t>
  </si>
  <si>
    <t>REGISTRO DE GAVETA BRUTO, LATÃO, ROSCÁVEL, 3/4, INSTALADO EM RESERVAÇÃO DE ÁGUA DE EDIFICAÇÃO QUE POSSUA RESERVATÓRIO DE FIBRA/FIBROCIMENTO  FORNECIMENTO E INSTALAÇÃO. AF_06/2016</t>
  </si>
  <si>
    <t>REGISTRO DE GAVETA BRUTO, LATÃO, ROSCÁVEL, 1, INSTALADO EM RESERVAÇÃO DE ÁGUA DE EDIFICAÇÃO QUE POSSUA RESERVATÓRIO DE FIBRA/FIBROCIMENTO  FORNECIMENTO E INSTALAÇÃO. AF_06/2016</t>
  </si>
  <si>
    <t>REGISTRO DE GAVETA BRUTO, LATÃO, ROSCÁVEL, 1 1/4, INSTALADO EM RESERVAÇÃO DE ÁGUA DE EDIFICAÇÃO QUE POSSUA RESERVATÓRIO DE FIBRA/FIBROCIMENTO  FORNECIMENTO E INSTALAÇÃO. AF_06/2016</t>
  </si>
  <si>
    <t>REGISTRO DE GAVETA BRUTO, LATÃO, ROSCÁVEL, 1 1/2, INSTALADO EM RESERVAÇÃO DE ÁGUA DE EDIFICAÇÃO QUE POSSUA RESERVATÓRIO DE FIBRA/FIBROCIMENTO  FORNECIMENTO E INSTALAÇÃO. AF_06/2016</t>
  </si>
  <si>
    <t>REGISTRO DE GAVETA BRUTO, LATÃO, ROSCÁVEL, 2, INSTALADO EM RESERVAÇÃO DE ÁGUA DE EDIFICAÇÃO QUE POSSUA RESERVATÓRIO DE FIBRA/FIBROCIMENTO  FORNECIMENTO E INSTALAÇÃO. AF_06/2016</t>
  </si>
  <si>
    <t>REGISTRO DE GAVETA BRUTO, LATÃO, ROSCÁVEL, 2 1/2, INSTALADO EM RESERVAÇÃO DE ÁGUA DE EDIFICAÇÃO QUE POSSUA RESERVATÓRIO DE FIBRA/FIBROCIMENTO  FORNECIMENTO E INSTALAÇÃO. AF_06/2016</t>
  </si>
  <si>
    <t>REGISTRO DE GAVETA BRUTO, LATÃO, ROSCÁVEL, 3, INSTALADO EM RESERVAÇÃO DE ÁGUA DE EDIFICAÇÃO QUE POSSUA RESERVATÓRIO DE FIBRA/FIBROCIMENTO  FORNECIMENTO E INSTALAÇÃO. AF_06/2016</t>
  </si>
  <si>
    <t>REGISTRO DE GAVETA BRUTO, LATÃO, ROSCÁVEL, 4, INSTALADO EM RESERVAÇÃO DE ÁGUA DE EDIFICAÇÃO QUE POSSUA RESERVATÓRIO DE FIBRA/FIBROCIMENTO  FORNECIMENTO E INSTALAÇÃO. AF_06/2016</t>
  </si>
  <si>
    <t>REGISTRO DE GAVETA BRUTO, LATÃO, ROSCÁVEL, 1, COM ACABAMENTO E CANOPLA CROMADOS, INSTALADO EM RESERVAÇÃO DE ÁGUA DE EDIFICAÇÃO QUE POSSUA RESERVATÓRIO DE FIBRA/FIBROCIMENTO  FORNECIMENTO E INSTALAÇÃO. AF_06/2016</t>
  </si>
  <si>
    <t>REGISTRO DE GAVETA BRUTO, LATÃO, ROSCÁVEL, 1 1/4, COM ACABAMENTO E CANOPLA CROMADOS, INSTALADO EM RESERVAÇÃO DE ÁGUA DE EDIFICAÇÃO QUE POSSUA RESERVATÓRIO DE FIBRA/FIBROCIMENTO  FORNECIMENTO E INSTALAÇÃO. AF_06/2016</t>
  </si>
  <si>
    <t>REGISTRO DE GAVETA BRUTO, LATÃO, ROSCÁVEL, 1 1/2, COM ACABAMENTO E CANOPLA CROMADOS, INSTALADO EM RESERVAÇÃO DE ÁGUA DE EDIFICAÇÃO QUE POSSUA RESERVATÓRIO DE FIBRA/FIBROCIMENTO  FORNECIMENTO E INSTALAÇÃO. AF_06/2016</t>
  </si>
  <si>
    <t>VÁLVULA DE ESFERA BRUTA, BRONZE, ROSCÁVEL, 1/2  , INSTALADO EM RESERVAÇÃO DE ÁGUA DE EDIFICAÇÃO QUE POSSUA RESERVATÓRIO DE FIBRA/FIBROCIMENTO - FORNECIMENTO E INSTALAÇÃO. AF_06/2016</t>
  </si>
  <si>
    <t>VÁLVULA DE ESFERA BRUTA, BRONZE, ROSCÁVEL, 3/4'', INSTALADO EM RESERVAÇÃO DE ÁGUA DE EDIFICAÇÃO QUE POSSUA RESERVATÓRIO DE FIBRA/FIBROCIMENTO - FORNECIMENTO E INSTALAÇÃO. AF_06/2016</t>
  </si>
  <si>
    <t>VÁLVULA DE ESFERA BRUTA, BRONZE, ROSCÁVEL, 1'', INSTALADO EM RESERVAÇÃO DE ÁGUA DE EDIFICAÇÃO QUE POSSUA RESERVATÓRIO DE FIBRA/FIBROCIMENTO -   FORNECIMENTO E INSTALAÇÃO. AF_06/2016</t>
  </si>
  <si>
    <t>VÁLVULA DE ESFERA BRUTA, BRONZE, ROSCÁVEL, 1 1/4'', INSTALADO EM RESERVAÇÃO DE ÁGUA DE EDIFICAÇÃO QUE POSSUA RESERVATÓRIO DE FIBRA/FIBROCIMENTO -   FORNECIMENTO E INSTALAÇÃO. AF_06/2016</t>
  </si>
  <si>
    <t>VÁLVULA DE ESFERA BRUTA, BRONZE, ROSCÁVEL, 1 1/2'', INSTALADO EM RESERVAÇÃO DE ÁGUA DE EDIFICAÇÃO QUE POSSUA RESERVATÓRIO DE FIBRA/FIBROCIMENTO -   FORNECIMENTO E INSTALAÇÃO. AF_06/2016</t>
  </si>
  <si>
    <t>VÁLVULA DE ESFERA BRUTA, BRONZE, ROSCÁVEL, 2'', INSTALADO EM RESERVAÇÃO DE ÁGUA DE EDIFICAÇÃO QUE POSSUA RESERVATÓRIO DE FIBRA/FIBROCIMENTO - FORNECIMENTO E INSTALAÇÃO. AF_06/2016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</si>
  <si>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</si>
  <si>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</si>
  <si>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</si>
  <si>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</si>
  <si>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</si>
  <si>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</si>
  <si>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</si>
  <si>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</si>
  <si>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</si>
  <si>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</si>
  <si>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</si>
  <si>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</si>
  <si>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</si>
  <si>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</si>
  <si>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CAIXA DE AREIA 40X40X40CM EM ALVENARIA - EXECUÇÃO</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</si>
  <si>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</si>
  <si>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</si>
  <si>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</si>
  <si>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</si>
  <si>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</si>
  <si>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</si>
  <si>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CONTRAPISO PARA RAMAIS/ DISTRIBUIÇÃO COM DIÂMETROS MAIORES QUE 40 MM E MENORES OU IGUAIS A 75 MM. AF_05/2015</t>
  </si>
  <si>
    <t>RASGO EM CONTRAPISO PARA RAMAIS/ DISTRIBUIÇÃO COM DIÂMETROS MAIORES QUE 75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</si>
  <si>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</si>
  <si>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</si>
  <si>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</si>
  <si>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</si>
  <si>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</si>
  <si>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</si>
  <si>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</si>
  <si>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</si>
  <si>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</si>
  <si>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PERFILADO DE SEÇÃO 38X76 MM PARA SUPORTE DE ATÉ 3 TUBOS HORIZONTAIS. AF_05/2015</t>
  </si>
  <si>
    <t>PERFILADO DE SEÇÃO 38X76 MM PARA SUPORTE DE MAIS DE 3 TUBOS HORIZONTAIS. AF_05/2015</t>
  </si>
  <si>
    <t>PERFILADO DE SEÇÃO 38X38 MM PARA SUPORTE DE ATÉ 3 TUBOS VERTICAIS. AF_05/2015</t>
  </si>
  <si>
    <t>PERFILADO DE SEÇÃO 38X38 MM PARA SUPORTE DE MAIS DE 3 TUBOS VERTICAIS.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</si>
  <si>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</si>
  <si>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</si>
  <si>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</si>
  <si>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</si>
  <si>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</si>
  <si>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</si>
  <si>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</si>
  <si>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</si>
  <si>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</si>
  <si>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</si>
  <si>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</si>
  <si>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</si>
  <si>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</si>
  <si>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</si>
  <si>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</si>
  <si>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</si>
  <si>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</si>
  <si>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</si>
  <si>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</si>
  <si>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</si>
  <si>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</si>
  <si>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</si>
  <si>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</si>
  <si>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</si>
  <si>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</si>
  <si>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</si>
  <si>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</si>
  <si>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</si>
  <si>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</si>
  <si>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</si>
  <si>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</si>
  <si>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</si>
  <si>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</si>
  <si>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MÃO-FRANCESA EM AÇO, ABAS IGUAIS 40 CM, CAPACIDADE MÍNIMA 70 KG, BRANCO  FORNECIMENTO E INSTALAÇÃO. AF_11/2016</t>
  </si>
  <si>
    <t>MÃO-FRANCESA EM AÇO, ABAS IGUAIS 30 CM, CAPACIDADE MÍNIMA 60 KG, BRANCO  FORNECIMENTO E INSTALAÇÃO. AF_11/2016</t>
  </si>
  <si>
    <t>PERFILADO DE SEÇÃO 38X76 MM PARA SUPORTE DE DUTO EM CHAPA GALVANIZADA BITOLA 26. AF_07/2017</t>
  </si>
  <si>
    <t>PERFILADO DE SEÇÃO 38X76 MM PARA SUPORTE DE DUTO EM CHAPA GALVANIZADA BITOLA 24. AF_07/2017</t>
  </si>
  <si>
    <t>PERFILADO DE SEÇÃO 38X76 MM PARA SUPORTE DE DUTO EM CHAPA GALVANIZADA BITOLA 22. AF_07/2017</t>
  </si>
  <si>
    <t>PERFILADO DE SEÇÃO 38X76 MM PARA SUPORTE DE ELETROCALHA LISA OU PERFURADA EM AÇO GALVANIZADO, LARGURA 200 OU 400 MM E ALTURA 50 MM. AF_07/2017</t>
  </si>
  <si>
    <t>PERFILADO DE SEÇÃO 38X76 MM PARA SUPORTE DE ELETROCALHA LISA OU PERFURADA EM AÇO GALVANIZADO, LARGURA 500 OU 800 MM E ALTURA 50 MM. AF_07/2017</t>
  </si>
  <si>
    <t>73826/1</t>
  </si>
  <si>
    <t>INSTALACAO DE COMPRESSOR DE AR, POTENCIA &lt;= 5 CV</t>
  </si>
  <si>
    <t>73826/2</t>
  </si>
  <si>
    <t>INSTALACAO DE COMPRESSOR DE AR, POTENCIA &gt; 5 E &lt;= 10 CV</t>
  </si>
  <si>
    <t>73834/1</t>
  </si>
  <si>
    <t>INSTALACAO DE CONJ.MOTO BOMBA SUBMERSIVEL ATE 10 CV</t>
  </si>
  <si>
    <t>73834/2</t>
  </si>
  <si>
    <t>INSTALACAO DE CONJ.MOTO BOMBA SUBMERSIVEL DE 11 A 25 CV</t>
  </si>
  <si>
    <t>73834/3</t>
  </si>
  <si>
    <t>INSTALACAO DE CONJ.MOTO BOMBA SUBMERSIVEL DE 26 A 50 CV</t>
  </si>
  <si>
    <t>73834/4</t>
  </si>
  <si>
    <t>INSTALACAO DE CONJ.MOTO BOMBA SUBMERSIVEL DE 51 A 100 CV</t>
  </si>
  <si>
    <t>73835/1</t>
  </si>
  <si>
    <t>INSTALACAO DE CONJ.MOTO BOMBA VERTICAL POT &lt;= 100 CV</t>
  </si>
  <si>
    <t>73835/2</t>
  </si>
  <si>
    <t>INSTALACAO DE CONJ.MOTO BOMBA VERTICAL 100 &lt; POT &lt;= 200 CV</t>
  </si>
  <si>
    <t>73835/3</t>
  </si>
  <si>
    <t>INSTALACAO DE CONJ.MOTO BOMBA VERTICAL 200 &lt; POT &lt;= 300 CV</t>
  </si>
  <si>
    <t>73836/1</t>
  </si>
  <si>
    <t>73836/2</t>
  </si>
  <si>
    <t>INSTALACAO DE CONJ.MOTO BOMBA HORIZONTAL DE 12,5 A 25 CV</t>
  </si>
  <si>
    <t>73836/3</t>
  </si>
  <si>
    <t>INSTALACAO DE CONJ.MOTO BOMBA HORIZONTAL DE 30 A 75 CV</t>
  </si>
  <si>
    <t>73836/4</t>
  </si>
  <si>
    <t>INSTALACAO DE CONJ.MOTO BOMBA HORIZONTAL DE 100 A 150 CV</t>
  </si>
  <si>
    <t>73837/1</t>
  </si>
  <si>
    <t>INSTALACAO DE CONJ.MOTO BOMBA SUBMERSO ATE 5 CV</t>
  </si>
  <si>
    <t>73837/2</t>
  </si>
  <si>
    <t>INSTALACAO DE CONJ.MOTO BOMBA SUBMERSO DE 6 A 25 CV</t>
  </si>
  <si>
    <t>73837/3</t>
  </si>
  <si>
    <t>INSTALACAO DE CONJ.MOTO BOMBA SUBMERSO DE 26 A 50 CV</t>
  </si>
  <si>
    <t>INSTALACAO DE CLORADOR</t>
  </si>
  <si>
    <t>LEITO FILTRANTE - ASSENTAMENTO DE BLOCOS LEOPOLD</t>
  </si>
  <si>
    <t>LEITO FILTRANTE - COLOCACAO DE LONA PLASTICA</t>
  </si>
  <si>
    <t>INSTALACAO DE BOMBA DOSADORA</t>
  </si>
  <si>
    <t>INSTALACAO DE AGITADOR</t>
  </si>
  <si>
    <t>73824/1</t>
  </si>
  <si>
    <t>INSTALACAO DE MISTURADOR VERTICAL</t>
  </si>
  <si>
    <t>73825/2</t>
  </si>
  <si>
    <t>VERTEDOR TRIANGULAR DE ALUMINIO</t>
  </si>
  <si>
    <t>73873/1</t>
  </si>
  <si>
    <t>LEITO FILTRANTE - COLOCACAO E APILOAMENTO DE TERRA NO FILTRO</t>
  </si>
  <si>
    <t>73873/2</t>
  </si>
  <si>
    <t>LEITO FILTRANTE - FORN.E ENCHIMENTO C/ BRITA NO. 4</t>
  </si>
  <si>
    <t>73873/3</t>
  </si>
  <si>
    <t>LEITO FILTRANTE - COLOCACAO DE AREIA NOS FILTROS</t>
  </si>
  <si>
    <t>73873/4</t>
  </si>
  <si>
    <t>LEITO FILTRANTE - COLOCACAO DE PEDREGULHOS NOS FILTROS</t>
  </si>
  <si>
    <t>73873/5</t>
  </si>
  <si>
    <t>LEITO FILTRANTE - COLOCACAO DE ANTRACITO NOS FILTROS</t>
  </si>
  <si>
    <t>73827/1</t>
  </si>
  <si>
    <t>KIT CAVALETE PVC COM REGISTRO 1/2" - FORNECIMENTO E INSTALAÇÃO</t>
  </si>
  <si>
    <t>74218/1</t>
  </si>
  <si>
    <t>KIT CAVALETE PVC COM REGISTRO 3/4" - FORNECIMENTO E INSTALACAO</t>
  </si>
  <si>
    <t>74253/1</t>
  </si>
  <si>
    <t>RAMAL PREDIAL EM TUBO PEAD 20MM - FORNECIMENTO, INSTALAÇÃO, ESCAVAÇÃO E REATERRO</t>
  </si>
  <si>
    <t>LIGACAO DA REDE 50MM AO RAMAL PREDIAL 1/2"</t>
  </si>
  <si>
    <t>LIGACAO DA REDE 75MM AO RAMAL PREDIAL 1/2"</t>
  </si>
  <si>
    <t>LIGAÇÃO DOMICILIAR DE ESGOTO DN 100MM, DA CASA ATÉ A CAIXA, COMPOSTO POR 10,0M TUBO DE PVC ESGOTO PREDIAL DN 100MM E CAIXA DE ALVENARIA COM TAMPA DE CONCRETO - FORNECIMENTO E INSTALAÇÃO</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</si>
  <si>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</si>
  <si>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</si>
  <si>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</si>
  <si>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</si>
  <si>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</si>
  <si>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</si>
  <si>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</si>
  <si>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</si>
  <si>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ESCAVACAO SUBMERSA COM DRAGA DE MANDIBULA</t>
  </si>
  <si>
    <t>DRAGAGEM (C/ ESCAVADEIRA DRAG LINE DE ARRASTE 140HP)</t>
  </si>
  <si>
    <t>LIMPEZA SUPERFICIAL DA CAMADA VEGETAL EM JAZIDA</t>
  </si>
  <si>
    <t>74151/1</t>
  </si>
  <si>
    <t>ESCAVACAO E CARGA MATERIAL 1A CATEGORIA, UTILIZANDO TRATOR DE ESTEIRAS DE 110 A 160HP COM LAMINA, PESO OPERACIONAL * 13T  E PA CARREGADEIRA COM 170 HP.</t>
  </si>
  <si>
    <t>74154/1</t>
  </si>
  <si>
    <t>ESCAVACAO, CARGA E TRANSPORTE DE  MATERIAL DE 1A CATEGORIA COM TRATOR SOBRE ESTEIRAS 347 HP E CACAMBA 6M3,  DMT 50 A 200M</t>
  </si>
  <si>
    <t>74155/1</t>
  </si>
  <si>
    <t>ESCAVACAO E TRANSPORTE DE MATERIAL DE  1A CAT DMT 50M COM TRATOR SOBRE  ESTEIRAS 347 HP COM LAMINA E ESCARIFICADOR</t>
  </si>
  <si>
    <t>74155/2</t>
  </si>
  <si>
    <t>ESCAVACAO E TRANSPORTE DE MATERIAL DE  2A CAT DMT 50M COM TRATOR SOBRE  ESTEIRAS 347 HP COM LAMINA E ESCARIFICADOR</t>
  </si>
  <si>
    <t>74205/1</t>
  </si>
  <si>
    <t>ESCAVACAO MECANICA DE MATERIAL 1A. CATEGORIA, PROVENIENTE DE CORTE DE SUBLEITO (C/TRATOR ESTEIRAS  160HP)</t>
  </si>
  <si>
    <t>ESCAVACAO MECANICA CAMPO ABERTO EM SOLO EXCETO ROCHA ATE 2,00M PROFUNDIDADE</t>
  </si>
  <si>
    <t>ESCAVACAO MECANICA PARA ACERTO DE TALUDES, EM MATERIAL DE 1A CATEGORIA, COM ESCAVADEIRA HIDRAULICA</t>
  </si>
  <si>
    <t>ESCAVACAO MECANICA, A CEU ABERTO, EM MATERIAL DE 1A CATEGORIA, COM ESCAVADEIRA HIDRAULICA, CAPACIDADE DE 0,78 M3</t>
  </si>
  <si>
    <t>ESCAVAÇÃO VERTICAL A CÉU ABERTO, INCLUINDO CARGA, DESCARGA E TRANSPORTE, EM SOLO DE 1ª CATEGORIA COM ESCAVADEIRA HIDRÁULICA (CAÇAMBA: 0,8 M³ / 111 HP), FROTA DE 3 CAMINHÕES BASCULANTES DE 14 M³, DMT DE 0,2 KM E VELOCIDADE MÉDIA 4 KM/H. AF_12/2013</t>
  </si>
  <si>
    <t>ESCAVAÇÃO VERTICAL A CÉU ABERTO, INCLUINDO CARGA, DESCARGA E TRANSPORTE, EM SOLO DE 1ª CATEGORIA COM ESCAVADEIRA HIDRÁULICA (CAÇAMBA: 0,8 M³ / 111 HP), FROTA DE 3 CAMINHÕES BASCULANTES DE 14 M³, DMT DE 0,3 KM E VELOCIDADE MÉDIA 5,9 KM/H. AF_12/2013</t>
  </si>
  <si>
    <t>ESCAVAÇÃO VERTICAL A CÉU ABERTO, INCLUINDO CARGA, DESCARGA E TRANSPORTE, EM SOLO DE 1ª CATEGORIA COM ESCAVADEIRA HIDRÁULICA (CAÇAMBA: 0,8 M³ / 111 HP), FROTA DE 3 CAMINHÕES BASCULANTES DE 14 M³, DMT DE 0,6 KM E VELOCIDADE MÉDIA 10 KM/H. AF_12/2013</t>
  </si>
  <si>
    <t>ESCAVAÇÃO VERTICAL A CÉU ABERTO, INCLUINDO CARGA, DESCARGA E TRANSPORTE, EM SOLO DE 1ª CATEGORIA COM ESCAVADEIRA HIDRÁULICA (CAÇAMBA: 0,8 M³ / 111 HP), FROTA DE 3 CAMINHÕES BASCULANTES DE 14 M³, DMT DE 0,8 KM E VELOCIDADE MÉDIA 14 KM/H. AF_12/2013</t>
  </si>
  <si>
    <t>ESCAVAÇÃO VERTICAL A CÉU ABERTO, INCLUINDO CARGA, DESCARGA E TRANSPORTE, EM SOLO DE 1ª CATEGORIA COM ESCAVADEIRA HIDRÁULICA (CAÇAMBA: 0,8 M³ / 111 HP), FROTA DE 3 CAMINHÕES BASCULANTES DE 14 M³, DMT DE 1 KM E VELOCIDADE MÉDIA 15 KM/H. AF_12/2013</t>
  </si>
  <si>
    <t>ESCAVAÇÃO VERTICAL A CÉU ABERTO, INCLUINDO CARGA, DESCARGA E TRANSPORTE, EM SOLO DE 1ª CATEGORIA COM ESCAVADEIRA HIDRÁULICA (CAÇAMBA: 0,8 M³ / 111 HP), FROTA DE 4 CAMINHÕES BASCULANTES DE 14 M³, DMT DE 1,5 KM E VELOCIDADE MÉDIA 18 KM/H. AF_12/2013</t>
  </si>
  <si>
    <t>ESCAVAÇÃO VERTICAL A CÉU ABERTO, INCLUINDO CARGA, DESCARGA E TRANSPORTE, EM SOLO DE 1ª CATEGORIA COM ESCAVADEIRA HIDRÁULICA (CAÇAMBA: 0,8 M³ / 111 HP), FROTA DE 5 CAMINHÕES BASCULANTES DE 14 M³, DMT DE 3 KM E VELOCIDADE MÉDIA 20 KM/H. AF_12/2013</t>
  </si>
  <si>
    <t>ESCAVAÇÃO VERTICAL A CÉU ABERTO, INCLUINDO CARGA, DESCARGA E TRANSPORTE, EM SOLO DE 1ª CATEGORIA COM ESCAVADEIRA HIDRÁULICA (CAÇAMBA: 0,8 M³ / 111 HP), FROTA DE 6 CAMINHÕES BASCULANTES DE 14 M³, DMT DE 4 KM E VELOCIDADE MÉDIA 22 KM/H. AF_12/2013</t>
  </si>
  <si>
    <t>ESCAVAÇÃO VERTICAL A CÉU ABERTO, INCLUINDO CARGA, DESCARGA E TRANSPORTE, EM SOLO DE 1ª CATEGORIA COM ESCAVADEIRA HIDRÁULICA (CAÇAMBA: 0,8 M³ / 111 HP), FROTA DE 7 CAMINHÕES BASCULANTES DE 14 M³, DMT DE 6 KM E VELOCIDADE MÉDIA 22 KM/H. AF_12/2013</t>
  </si>
  <si>
    <t>ESCAVAÇÃO VERTICAL A CÉU ABERTO, INCLUINDO CARGA, DESCARGA E TRANSPORTE, EM SOLO DE 1ª CATEGORIA COM ESCAVADEIRA HIDRÁULICA (CAÇAMBA: 0,8 M³ / 111 HP), FROTA DE 2 CAMINHÕES BASCULANTES DE 18 M³, DMT DE 0,2 KM E VELOCIDADE MÉDIA 4 KM/H. AF_12/2013</t>
  </si>
  <si>
    <t>ESCAVAÇÃO VERTICAL A CÉU ABERTO, INCLUINDO CARGA, DESCARGA E TRANSPORTE, EM SOLO DE 1ª CATEGORIA COM ESCAVADEIRA HIDRÁULICA (CAÇAMBA: 0,8 M³ / 111 HP), FROTA DE 2 CAMINHÕES BASCULANTES DE 18 M³, DMT DE 0,3 KM E VELOCIDADE MÉDIA 5,9KM/H. AF_12/2013</t>
  </si>
  <si>
    <t>ESCAVAÇÃO VERTICAL A CÉU ABERTO, INCLUINDO CARGA, DESCARGA E TRANSPORTE, EM SOLO DE 1ª CATEGORIA COM ESCAVADEIRA HIDRÁULICA (CAÇAMBA: 0,8 M³ / 111 HP), FROTA DE 2 CAMINHÕES BASCULANTES DE 18 M³, DMT DE 0,6 KM E VELOCIDADE MÉDIA 10 KM/H. AF_12/2013</t>
  </si>
  <si>
    <t>ESCAVAÇÃO VERTICAL A CÉU ABERTO, INCLUINDO CARGA, DESCARGA E TRANSPORTE, EM SOLO DE 1ª CATEGORIA COM ESCAVADEIRA HIDRÁULICA (CAÇAMBA: 0,8 M³ / 111 HP), FROTA DE 2 CAMINHÕES BASCULANTES DE 18 M³, DMT DE 0,8 KM E VELOCIDADE MÉDIA 14 KM/H. AF_12/2013</t>
  </si>
  <si>
    <t>ESCAVAÇÃO VERTICAL A CÉU ABERTO, INCLUINDO CARGA, DESCARGA E TRANSPORTE, EM SOLO DE 1ª CATEGORIA COM ESCAVADEIRA HIDRÁULICA (CAÇAMBA: 0,8 M³ / 111 HP), FROTA DE 3 CAMINHÕES BASCULANTES DE 18 M³, DMT DE 1 KM E VELOCIDADE MÉDIA 15 KM/H. AF_12/2013</t>
  </si>
  <si>
    <t>ESCAVAÇÃO VERTICAL A CÉU ABERTO, INCLUINDO CARGA, DESCARGA E TRANSPORTE, EM SOLO DE 1ª CATEGORIA COM ESCAVADEIRA HIDRÁULICA (CAÇAMBA: 0,8 M³ / 111 HP), FROTA DE 4 CAMINHÕES BASCULANTES DE 18 M³, DMT DE 1,5 KM E VELOCIDADE MÉDIA 18 KM/H. AF_12/2013</t>
  </si>
  <si>
    <t>ESCAVAÇÃO VERTICAL A CÉU ABERTO, INCLUINDO CARGA, DESCARGA E TRANSPORTE, EM SOLO DE 1ª CATEGORIA COM ESCAVADEIRA HIDRÁULICA (CAÇAMBA: 0,8 M³ / 111 HP), FROTA DE 5 CAMINHÕES BASCULANTES DE 18 M³, DMT DE 3 KM E VELOCIDADE MÉDIA 20 KM/H. AF_12/2013</t>
  </si>
  <si>
    <t>ESCAVAÇÃO VERTICAL A CÉU ABERTO, INCLUINDO CARGA, DESCARGA E TRANSPORTE, EM SOLO DE 1ª CATEGORIA COM ESCAVADEIRA HIDRÁULICA (CAÇAMBA: 0,8 M³ / 111 HP), FROTA DE 5 CAMINHÕES BASCULANTES DE 18 M³, DMT DE 4 KM E VELOCIDADE MÉDIA 22 KM/H. AF_12/2013</t>
  </si>
  <si>
    <t>ESCAVAÇÃO VERTICAL A CÉU ABERTO, INCLUINDO CARGA, DESCARGA E TRANSPORTE, EM SOLO DE 1ª CATEGORIA COM ESCAVADEIRA HIDRÁULICA (CAÇAMBA: 0,8 M³ / 111 HP), FROTA DE 6 CAMINHÕES BASCULANTES DE 18 M³, DMT DE 6 KM E VELOCIDADE MÉDIA 22 KM/H. AF_12/2013</t>
  </si>
  <si>
    <t>ESCAVAÇÃO VERTICAL A CÉU ABERTO, INCLUINDO CARGA, DESCARGA E TRANSPORTE, EM SOLO DE 1ª CATEGORIA COM ESCAVADEIRA HIDRÁULICA (CAÇAMBA: 1,2 M³ / 155 HP), FROTA DE 3 CAMINHÕES BASCULANTES DE 14 M³, DMT DE 0,2 KM E VELOCIDADE MÉDIA 4 KM/H. AF_12/2013</t>
  </si>
  <si>
    <t>ESCAVAÇÃO VERTICAL A CÉU ABERTO, INCLUINDO CARGA, DESCARGA E TRANSPORTE, EM SOLO DE 1ª CATEGORIA COM ESCAVADEIRA HIDRÁULICA (CAÇAMBA: 1,2 M³ / 155 HP), FROTA DE 3 CAMINHÕES BASCULANTES DE 14 M³, DMT DE 0,3 KM E VELOCIDADE MÉDIA 5,9 KM/H. AF_12/2013</t>
  </si>
  <si>
    <t>ESCAVAÇÃO VERTICAL A CÉU ABERTO, INCLUINDO CARGA, DESCARGA E TRANSPORTE, EM SOLO DE 1ª CATEGORIA COM ESCAVADEIRA HIDRÁULICA (CAÇAMBA: 1,2 M³ / 155 HP), FROTA DE 3 CAMINHÕES BASCULANTES DE 14 M³, DMT DE 0,6 KM E VELOCIDADE MÉDIA 10 KM/H. AF_12/2013</t>
  </si>
  <si>
    <t>ESCAVAÇÃO VERTICAL A CÉU ABERTO, INCLUINDO CARGA, DESCARGA E TRANSPORTE, EM SOLO DE 1ª CATEGORIA COM ESCAVADEIRA HIDRÁULICA (CAÇAMBA: 1,2 M³ / 155 HP), FROTA DE 3 CAMINHÕES BASCULANTES DE 14 M³, DMT DE 0,8 KM E VELOCIDADE MÉDIA 14 KM/H. AF_12/2013</t>
  </si>
  <si>
    <t>ESCAVAÇÃO VERTICAL A CÉU ABERTO, INCLUINDO CARGA, DESCARGA E TRANSPORTE, EM SOLO DE 1ª CATEGORIA COM ESCAVADEIRA HIDRÁULICA (CAÇAMBA: 1,2 M³ / 155 HP), FROTA DE 3 CAMINHÕES BASCULANTES DE 14 M³, DMT DE 1 KM E VELOCIDADE MÉDIA 15 KM/H. AF_12/2013</t>
  </si>
  <si>
    <t>ESCAVAÇÃO VERTICAL A CÉU ABERTO, INCLUINDO CARGA, DESCARGA E TRANSPORTE, EM SOLO DE 1ª CATEGORIA COM ESCAVADEIRA HIDRÁULICA (CAÇAMBA: 1,2 M³ / 155 HP), FROTA DE 5 CAMINHÕES BASCULANTES DE 14 M³, DMT DE 1,5 KM E VELOCIDADE MÉDIA 18 KM/H. AF_12/2013</t>
  </si>
  <si>
    <t>ESCAVAÇÃO VERTICAL A CÉU ABERTO, INCLUINDO CARGA, DESCARGA E TRANSPORTE, EM SOLO DE 1ª CATEGORIA COM ESCAVADEIRA HIDRÁULICA (CAÇAMBA: 1,2 M³ / 155 HP), FROTA DE 7 CAMINHÕES BASCULANTES DE 14 M³, DMT DE 3 KM E VELOCIDADE MÉDIA 20 KM/H. AF_12/2013</t>
  </si>
  <si>
    <t>ESCAVAÇÃO VERTICAL A CÉU ABERTO, INCLUINDO CARGA, DESCARGA E TRANSPORTE, EM SOLO DE 1ª CATEGORIA COM ESCAVADEIRA HIDRÁULICA (CAÇAMBA: 1,2 M³ / 155 HP), FROTA DE 7 CAMINHÕES BASCULANTES DE 14 M³, DMT DE 4 KM E VELOCIDADE MÉDIA 22 KM/H. AF_12/2013</t>
  </si>
  <si>
    <t>ESCAVAÇÃO VERTICAL A CÉU ABERTO, INCLUINDO CARGA, DESCARGA E TRANSPORTE, EM SOLO DE 1ª CATEGORIA COM ESCAVADEIRA HIDRÁULICA (CAÇAMBA: 1,2 M³ / 155 HP), FROTA DE 9 CAMINHÕES BASCULANTES DE 14 M³, DMT DE 6 KM E VELOCIDADE MÉDIA 22 KM/H. AF_12/2013</t>
  </si>
  <si>
    <t>ESCAVAÇÃO VERTICAL A CÉU ABERTO, INCLUINDO CARGA, DESCARGA E TRANSPORTE, EM SOLO DE 1ª CATEGORIA COM ESCAVADEIRA HIDRÁULICA (CAÇAMBA: 1,2 M³ / 155 HP), FROTA DE 3 CAMINHÕES BASCULANTES DE 18 M³, DMT DE 0,2 KM E VELOCIDADE MÉDIA 4 KM/H. AF_12/2013</t>
  </si>
  <si>
    <t>ESCAVAÇÃO VERTICAL A CÉU ABERTO, INCLUINDO CARGA, DESCARGA E TRANSPORTE, EM SOLO DE 1ª CATEGORIA COM ESCAVADEIRA HIDRÁULICA (CAÇAMBA: 1,2 M³ / 155 HP), FROTA DE 3 CAMINHÕES BASCULANTES DE 18 M³, DMT DE 0,3 KM E VELOCIDADE MÉDIA 5,9 KM/H. AF_12/2013</t>
  </si>
  <si>
    <t>ESCAVAÇÃO VERTICAL A CÉU ABERTO, INCLUINDO CARGA, DESCARGA E TRANSPORTE, EM SOLO DE 1ª CATEGORIA COM ESCAVADEIRA HIDRÁULICA (CAÇAMBA: 1,2 M³ / 155 HP), FROTA DE 3 CAMINHÕES BASCULANTES DE 18 M³, DMT DE 0,6 KM E VELOCIDADE MÉDIA 10 KM/H. AF_12/2013</t>
  </si>
  <si>
    <t>ESCAVAÇÃO VERTICAL A CÉU ABERTO, INCLUINDO CARGA, DESCARGA E TRANSPORTE, EM SOLO DE 1ª CATEGORIA COM ESCAVADEIRA HIDRÁULICA (CAÇAMBA: 1,2 M³ / 155 HP), FROTA DE 3 CAMINHÕES BASCULANTES DE 18 M³, DMT DE 0,8 KM E VELOCIDADE MÉDIA 14 KM/H. AF_12/2013</t>
  </si>
  <si>
    <t>ESCAVAÇÃO VERTICAL A CÉU ABERTO, INCLUINDO CARGA, DESCARGA E TRANSPORTE, EM SOLO DE 1ª CATEGORIA COM ESCAVADEIRA HIDRÁULICA (CAÇAMBA: 1,2 M³ / 155 HP), FROTA DE 3 CAMINHÕES BASCULANTES DE 18 M³, DMT DE 1 KM E VELOCIDADE MÉDIA 15 KM/H. AF_12/2013</t>
  </si>
  <si>
    <t>ESCAVAÇÃO VERTICAL A CÉU ABERTO, INCLUINDO CARGA, DESCARGA E TRANSPORTE, EM SOLO DE 1ª CATEGORIA COM ESCAVADEIRA HIDRÁULICA (CAÇAMBA: 1,2 M³ / 155 HP), FROTA DE 5 CAMINHÕES BASCULANTES DE 18 M³, DMT DE 1,5 KM E VELOCIDADE MÉDIA 18 KM/H. AF_12/2013</t>
  </si>
  <si>
    <t>ESCAVAÇÃO VERTICAL A CÉU ABERTO, INCLUINDO CARGA, DESCARGA E TRANSPORTE, EM SOLO DE 1ª CATEGORIA COM ESCAVADEIRA HIDRÁULICA (CAÇAMBA: 1,2 M³ / 155 HP), FROTA DE 6 CAMINHÕES BASCULANTES DE 18 M³, DMT DE 3 KM E VELOCIDADE MÉDIA 20 KM/H. AF_12/2013</t>
  </si>
  <si>
    <t>ESCAVAÇÃO VERTICAL A CÉU ABERTO, INCLUINDO CARGA, DESCARGA E TRANSPORTE, EM SOLO DE 1ª CATEGORIA COM ESCAVADEIRA HIDRÁULICA (CAÇAMBA: 1,2 M³ / 155 HP), FROTA DE 7 CAMINHÕES BASCULANTES DE 18 M³, DMT DE 4 KM E VELOCIDADE MÉDIA 22 KM/H. AF_12/2013</t>
  </si>
  <si>
    <t>ESCAVAÇÃO VERTICAL A CÉU ABERTO, INCLUINDO CARGA, DESCARGA E TRANSPORTE, EM SOLO DE 1ª CATEGORIA COM ESCAVADEIRA HIDRÁULICA (CAÇAMBA: 1,2 M³ / 155 HP), FROTA DE 8 CAMINHÕES BASCULANTES DE 18 M³, DMT DE 6 KM E VELOCIDADE MÉDIA 22 KM/H. AF_12/2013</t>
  </si>
  <si>
    <t>ESCAVAÇÃO MECANIZADA PARA BLOCO DE COROAMENTO OU SAPATA, SEM PREVISÃO DE FÔRMA, COM RETROESCAVADEIRA. AF_06/2017</t>
  </si>
  <si>
    <t>ESCAVAÇÃO MECANIZADA PARA BLOCO DE COROAMENTO OU SAPATA, COM PREVISÃO DE FÔRMA, COM RETROESCAVADEIRA. AF_06/2017</t>
  </si>
  <si>
    <t>ESCAVAÇÃO MANUAL PARA BLOCO DE COROAMENTO OU SAPATA, SEM PREVISÃO DE FÔRMA. AF_06/2017</t>
  </si>
  <si>
    <t>ESCAVAÇÃO MANUAL PARA BLOCO DE COROAMENTO OU SAPATA, COM PREVISÃO DE FÔRMA. AF_06/2017</t>
  </si>
  <si>
    <t>ESCAVAÇÃO MECANIZADA PARA VIGA BALDRAME, SEM PREVISÃO DE FÔRMA, COM MINI-ESCAVADEIRA. AF_06/2017</t>
  </si>
  <si>
    <t>ESCAVAÇÃO MECANIZADA PARA VIGA BALDRAME, COM PREVISÃO DE FÔRMA, COM MINI-ESCAVADEIRA. AF_06/2017</t>
  </si>
  <si>
    <t>ESCAVAÇÃO MANUAL DE VALA PARA VIGA BALDRAME, SEM PREVISÃO DE FÔRMA. AF_06/2017</t>
  </si>
  <si>
    <t>ESCAVAÇÃO MANUAL DE VALA PARA VIGA BALDRAME, COM PREVISÃO DE FÔRMA. AF_06/2017</t>
  </si>
  <si>
    <t>FABRICAÇÃO, MONTAGEM E DESMONTAGEM DE FÔRMA PARA BLOCO DE COROAMENTO, EM MADEIRA SERRADA, E=25 MM, 1 UTILIZAÇÃO. AF_06/2017</t>
  </si>
  <si>
    <t>ESCAVACAO MECANICA DE VALA EM MATERIAL DE 2A. CATEGORIA ATE 2 M DE PROFUNDIDADE COM UTILIZACAO DE ESCAVADEIRA HIDRAULICA</t>
  </si>
  <si>
    <t>ESCAVACAO MECANICA DE VALA EM MATERIAL 2A. CATEGORIA DE 2,01 ATE 4,00 M DE PROFUNDIDADE COM UTILIZACAO DE ESCAVADEIRA HIDRAULICA</t>
  </si>
  <si>
    <t>ESCAVACAO MECANICA DE VALA EM MATERIAL 2A. CATEGORIA DE 4,01 ATE 6,00 M DE PROFUNDIDADE COM UTILIZACAO DE ESCAVADEIRA HIDRAULICA</t>
  </si>
  <si>
    <t>73965/9</t>
  </si>
  <si>
    <t>ESCAVACAO MANUAL DE VALA EM LODO, DE 1,5 ATE 3M, EXCLUINDO ESGOTAMENTO/ESCORAMENTO.</t>
  </si>
  <si>
    <t>79506/2</t>
  </si>
  <si>
    <t>ESCAVAÇÃO MANUAL DE VALA/CAVA EM LODO, ENTRE 3 E 4,5M DE PROFUNDIDADE</t>
  </si>
  <si>
    <t>ESCAVAÇÃO MECANIZADA DE VALA COM PROF. MAIOR QUE 1,5 M ATÉ 3,0 M (MÉDIA ENTRE MONTANTE E JUSANTE/UMA COMPOSIÇÃO POR TRECHO), COM ESCAVADEIRA HIDRÁULICA (0,8 M3/111 HP), LARGURA ATÉ 1,5 M, EM SOLO DE 1A CATEGORIA, EM LOCAIS COM ALTO NÍVEL DE INTERFERÊNCIA. AF_01/2015</t>
  </si>
  <si>
    <t>ESCAVAÇÃO MECANIZADA DE VALA COM PROF. MAIOR QUE 1,5 M ATÉ 3,0 M (MÉDIA ENTRE MONTANTE E JUSANTE/UMA COMPOSIÇÃO POR TRECHO), COM ESCAVADEIRA HIDRÁULICA (0,8 M3/111 HP), LARG. DE 1,5 M A 2,5 M, EM SOLO DE 1A CATEGORIA, EM LOCAIS COM ALTO NÍVEL DE INTERFERÊNCIA. AF_01/2015</t>
  </si>
  <si>
    <t>ESCAVAÇÃO MECANIZADA DE VALA COM PROF. MAIOR QUE 3,0 M ATÉ 4,5 M(MÉDIA ENTRE MONTANTE E JUSANTE/UMA COMPOSIÇÃO POR TRECHO), COM ESCAVADEIRA HIDRÁULICA (0,8 M3/111 HP), LARG. MENOR QUE 1,5 M, EM SOLO DE 1A CATEGORIA, EM LOCAIS COM ALTO NÍVEL DE INTERFERÊNCIA. AF_01/2015</t>
  </si>
  <si>
    <t>ESCAVAÇÃO MECANIZADA DE VALA COM PROF. DE 3,0 M ATÉ 4,5 M(MÉDIA ENTRE MONTANTE E JUSANTE/UMA COMPOSIÇÃO POR TRECHO), COM ESCAVADEIRA HIDRÁULICA (1,2 M3/155 HP), LARG. DE 1,5 M A 2,5 M, EM SOLO DE 1A CATEGORIA, EM LOCAIS COM ALTO NÍVEL DE INTERFERÊNCIA. AF_01/2015</t>
  </si>
  <si>
    <t>ESCAVAÇÃO MECANIZADA DE VALA COM PROF. MAIOR QUE 4,5 M ATÉ 6,0 M(MÉDIA ENTRE MONTANTE E JUSANTE/UMA COMPOSIÇÃO POR TRECHO), COM ESCAVADEIRA HIDRÁULICA (1,2 M3/155 HP), LARG. MENOR QUE 1,5 M, EM SOLO DE 1A CATEGORIA, EM LOCAIS COM ALTO NÍVEL DE INTERFERÊNCIA. AF_01/2015</t>
  </si>
  <si>
    <t>ESCAVAÇÃO MECANIZADA DE VALA COM PROF. MAIOR QUE 4,5 M ATÉ 6,0 M(MÉDIA ENTRE MONTANTE E JUSANTE/UMA COMPOSIÇÃO POR TRECHO), COM ESCAVADEIRA HIDRÁULICA (1,2 M3/155 HP), LARG. DE 1,5 M A 2,5 M, EM SOLO DE 1A CATEGORIA, EM LOCAIS COM ALTO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</si>
  <si>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</si>
  <si>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1,5 M ATÉ 3,0 M (MÉDIA ENTRE MONTANTE E JUSANTE/UMA COMPOSIÇÃO POR TRECHO), COM ESCAVADEIRA HIDRÁULICA (0,8 M3/111 HP), LARG. DE 1,5 M A 2,5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</si>
  <si>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</si>
  <si>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(1,2 M3/155 HP), LARG. DE 1,5 M A 2,5 M, EM SOLO DE 1A CATEGORIA, LOCAIS COM BAIXO NÍVEL DE INTERFERÊNCIA. AF_01/2015</t>
  </si>
  <si>
    <t>ESCAVAÇÃO MECANIZADA DE VALA COM PROF. MAIOR QUE 4,5 M ATÉ 6,0 M (MÉDIA ENTRE MONTANTE E JUSANTE/UMA COMPOSIÇÃO POR TRECHO), COM ESCAVADEIRA HIDRÁULICA (1,2 M3/155 HP), LARG. MENOR QUE 1,5 M, EM SOLO DE 1A CATEGORIA, LOCAIS COM BAIXO NÍVEL DE INTERFERÊNCIA. AF_01/2015</t>
  </si>
  <si>
    <t>ESCAVAÇÃO MECANIZADA DE VALA COM PROF. MAIOR QUE 4,5 M ATÉ 6,0 M (MÉDIA ENTRE MONTANTE E JUSANTE/UMA COMPOSIÇÃO POR TRECHO), COM ESCAVADEIRA HIDRÁULICA (1,2 M3/155 HP), LARG. DE 1,5 M A 2,5 M, EM SOLO DE 1A CATEGORIA, LOCAIS COM BAIXO NÍVEL DE INTERFERÊNCIA. AF_01/2015</t>
  </si>
  <si>
    <t>ESCAVAÇÃO MECANIZADA DE VALA COM PROF. ATÉ 1,5 M (MÉDIA ENTRE MONTANTE E JUSANTE/UMA COMPOSIÇÃO POR TRECHO), COM RETROESCAVADEIRA (0,26 M3/88 HP), LARG. MENOR QUE 0,8 M, EM SOLO DE 1A CATEGORIA, EM LOCAIS COM ALTO NÍVEL DE INTERFERÊNCIA. AF_01/2015</t>
  </si>
  <si>
    <t>ESCAVAÇÃO MECANIZADA DE VALA COM PROF. ATÉ 1,5 M (MÉDIA ENTRE MONTANTE E JUSANTE/UMA COMPOSIÇÃO POR TRECHO), COM RETROESCAVADEIRA (0,26 M3/88 HP), LARG. DE 0,8 M A 1,5 M, EM SOLO DE 1A CATEGORIA, EM LOCAIS COM ALTO NÍVEL DE INTERFERÊNCIA. AF_01/2015</t>
  </si>
  <si>
    <t>ESCAVAÇÃO MECANIZADA DE VALA COM PROF. MAIOR QUE 1,5 M ATÉ 3,0 M (MÉDIA ENTRE MONTANTE E JUSANTE/UMA COMPOSIÇÃO POR TRECHO), COM RETROESCAVADEIRA (0,26 M3/88 HP), LARG. MENOR QUE 0,8 M, EM SOLO DE 1A CATEGORIA, EM LOCAIS COM ALTO NÍVEL DE INTERFERÊNCIA.AF_01/2015</t>
  </si>
  <si>
    <t>ESCAVAÇÃO MECANIZADA DE VALA COM PROF. MAIOR QUE 1,5 M ATÉ 3,0 M (MÉDIA ENTRE MONTANTE E JUSANTE/UMA COMPOSIÇÃO POR TRECHO), COM RETROESCAVADEIRA (0,26 M3/ POTÊNCIA:88 HP), LARGURA DE 0,8 M A 1,5 M, EM SOLO DE 1A CATEGORIA, EM LOCAIS COM ALTO NÍVEL DE INTERFERÊNCIA. AF_01/2015</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</si>
  <si>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</si>
  <si>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</si>
  <si>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</si>
  <si>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</si>
  <si>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</si>
  <si>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</si>
  <si>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</si>
  <si>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</si>
  <si>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</si>
  <si>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</si>
  <si>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</si>
  <si>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</si>
  <si>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</si>
  <si>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</si>
  <si>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</si>
  <si>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</si>
  <si>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</si>
  <si>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</si>
  <si>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</si>
  <si>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</si>
  <si>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</si>
  <si>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</si>
  <si>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</si>
  <si>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</si>
  <si>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</si>
  <si>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</si>
  <si>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</si>
  <si>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UMEDECIMENTO DE MATERIAL PARA FECHAMENTO DE VALAS.</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</si>
  <si>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</si>
  <si>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</si>
  <si>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</si>
  <si>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</si>
  <si>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</si>
  <si>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</si>
  <si>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</si>
  <si>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</si>
  <si>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TRANSPORTE COMERCIAL COM CAMINHAO CARROCERIA 9 T, RODOVIA EM LEITO NATURAL</t>
  </si>
  <si>
    <t>TXKM</t>
  </si>
  <si>
    <t>TRANSPORTE COMERCIAL COM CAMINHAO CARROCERIA 9 T, RODOVIA COM REVESTIMENTO PRIMARIO</t>
  </si>
  <si>
    <t>TRANSPORTE COMERCIAL COM CAMINHAO CARROCERIA 9 T, RODOVIA PAVIMENTADA</t>
  </si>
  <si>
    <t>CARGA, MANOBRAS E DESCARGA DE AREIA, BRITA, PEDRA DE MAO E SOLOS COM CAMINHAO BASCULANTE 6 M3 (DESCARGA LIVRE)</t>
  </si>
  <si>
    <t>T</t>
  </si>
  <si>
    <t>CARGA, MANOBRAS E DESCARGA DE BRITA PARA TRATAMENTOS SUPERFICIAIS, COM CAMINHAO BASCULANTE 6 M3</t>
  </si>
  <si>
    <t>CARGA, MANOBRAS E DESCARGA DE MISTURA BETUMINOSA A QUENTE, COM CAMINHAO BASCULANTE 6 M3</t>
  </si>
  <si>
    <t>CARGA, MANOBRAS E DESCARGA DE MISTURA BETUMINOSA A FRIO, COM CAMINHAO BASCULANTE 6 M3</t>
  </si>
  <si>
    <t>CARGA, MANOBRAS E DESCARGA DE BRITA PARA BASE DE MACADAME, COM CAMINHAO BASCULANTE 6 M3</t>
  </si>
  <si>
    <t>CARGA, MANOBRAS E DESCARGA DE MISTURAS DE SOLOS E AGREGADOS (BASES ESTABILIZADAS EM USINA) COM CAMINHAO BASCULANTE 6 M3</t>
  </si>
  <si>
    <t>CARGA, MANOBRAS E DESCARGA DE MATERIAIS DIVERSOS, COM CAMINHAO CARROCERIA 9T (CARGA E DESCARGA MANUAIS)</t>
  </si>
  <si>
    <t>CARGA, MANOBRAS E DESCARGA DE BRITA PARA TRATAMENTOS SUPERFICIAIS, COM CAMINHAO BASCULANTE 6 M3, DESCARGA EM DISTRIBUIDOR</t>
  </si>
  <si>
    <t>CARGA, MANOBRAS E DESCARGA DE MISTURA BETUMINOSA A QUENTE, COM CAMINHAO BASCULANTE 6 M3, DESCARGA EM VIBRO-ACABADORA</t>
  </si>
  <si>
    <t>CARGA, MANOBRAS E DESCARGA DE DE MISTURA BETUMINOSA A FRIO, COM CAMINHAO BASCULANTE 6 M3, DESCARGA EM VIBRO-ACABADORA</t>
  </si>
  <si>
    <t>CARGA, MANOBRAS E DESCARGA DE BRITA PARA BASE DE MACADAME, COM CAMINHAO BASCULANTE 6 M3, DESCARGA EM DISTRIBUIDOR</t>
  </si>
  <si>
    <t>CARGA, MANOBRAS E DESCARGA DE MISTURAS DE SOLOS E AGREGADOS, COM CAMINHAO BASCULANTE 6 M3, DESCARGA EM DISTRIBUIDOR</t>
  </si>
  <si>
    <t>CARGA, MANOBRAS E DESCARGA DE MATERIAIS DIVERSOS, COM CAMINHAO BASCULANTE 6M3 (CARGA E DESCARGA MANUAIS)</t>
  </si>
  <si>
    <t>CARGA MANUAL DE ENTULHO EM CAMINHAO BASCULANTE 6 M3</t>
  </si>
  <si>
    <t>TRANSPORTE DE ENTULHO COM CAMINHÃO BASCULANTE 6 M3, RODOVIA PAVIMENTADA, DMT ATE 0,5 KM</t>
  </si>
  <si>
    <t>TRANSPORTE DE ENTULHO COM CAMINHAO BASCULANTE 6 M3, RODOVIA PAVIMENTADA, DMT 0,5 A 1,0 KM</t>
  </si>
  <si>
    <t>74010/1</t>
  </si>
  <si>
    <t>CARGA E DESCARGA MECANICA DE SOLO UTILIZANDO CAMINHAO BASCULANTE 6,0M3/16T E PA CARREGADEIRA SOBRE PNEUS 128 HP, CAPACIDADE DA CAÇAMBA 1,7 A 2,8 M3, PESO OPERACIONAL 11632 KG</t>
  </si>
  <si>
    <t>TRANSPORTE COMERCIAL DE BRITA</t>
  </si>
  <si>
    <t>TRANSPORTE DE PAVIMENTACAO REMOVIDA (RODOVIAS NAO URBANAS)</t>
  </si>
  <si>
    <t>TRANSPORTE COM CAMINHÃO BASCULANTE 10 M3 DE MASSA ASFALTICA PARA PAVIMENTAÇÃO URBANA</t>
  </si>
  <si>
    <t>PREPARO DE FUNDO DE VALA  COM LARGURA MENOR QUE 1,5 M, EM LOCAL COM NÍVEL ALTO DE INTERFERÊNCIA. AF_06/2016</t>
  </si>
  <si>
    <t>PREPARO DE FUNDO DE VALA  COM LARGURA MAIOR OU IGUAL A 1,5 M E MENOR QUE 2,5 M, EM LOCAL COM NÍVEL ALTO DE INTERFERÊNCIA. AF_06/2016</t>
  </si>
  <si>
    <t>LASTRO DE VALA COM PREPARO DE FUNDO, LARGURA MENOR QUE 1,5 M, COM CAMADA DE AREIA, LANÇAMENTO MANUAL, EM LOCAL COM NÍVEL BAIXO DE INTERFERÊNCIA. AF_06/2016</t>
  </si>
  <si>
    <t>LASTRO DE VALA COM PREPARO DE FUNDO, LARGURA MENOR QUE 1,5 M, COM CAMADA DE BRITA, LANÇAMENTO MANUAL, EM LOCAL COM NÍVEL BAIXO DE INTERFERÊNCIA. AF_06/2016</t>
  </si>
  <si>
    <t>LASTRO DE VALA COM PREPARO DE FUNDO, LARGURA MENOR QUE 1,5 M, COM CAMADA DE AREIA, LANÇAMENTO MANUAL, EM LOCAL COM NÍVEL ALTO DE INTERFERÊNCIA. AF_06/2016</t>
  </si>
  <si>
    <t>LASTRO DE VALA COM PREPARO DE FUNDO, LARGURA MENOR QUE 1,5 M, COM CAMADA DE BRITA, LANÇAMENTO MANUAL, EM LOCAL COM NÍVEL ALTO DE INTERFERÊNCIA. AF_06/2016</t>
  </si>
  <si>
    <t>LASTRO COM PREPARO DE FUNDO, LARGURA MAIOR OU IGUAL A 1,5 M, COM CAMADA DE AREIA, LANÇAMENTO MANUAL, EM LOCAL COM NÍVEL BAIXO DE INTERFERÊNCIA. AF_06/2016</t>
  </si>
  <si>
    <t>LASTRO COM PREPARO DE FUNDO, LARGURA MAIOR OU IGUAL A 1,5 M, COM CAMADA DE BRITA, LANÇAMENTO MANUAL, EM LOCAL COM NÍVEL BAIXO DE INTERFERÊNCIA. AF_06/2016</t>
  </si>
  <si>
    <t>LASTRO COM PREPARO DE FUNDO, LARGURA MAIOR OU IGUAL A 1,5 M, COM CAMADA DE AREIA, LANÇAMENTO MANUAL, EM LOCAL COM NÍVEL ALTO DE INTERFERÊNCIA. AF_06/2016</t>
  </si>
  <si>
    <t>LASTRO COM PREPARO DE FUNDO, LARGURA MAIOR OU IGUAL A 1,5 M, COM CAMADA DE BRITA, LANÇAMENTO MANUAL, EM LOCAL COM NÍVEL ALTO DE INTERFERÊNCIA. AF_06/2016</t>
  </si>
  <si>
    <t>LASTRO DE VALA COM PREPARO DE FUNDO, LARGURA MENOR QUE 1,5 M, COM CAMADA DE AREIA, LANÇAMENTO MECANIZADO, EM LOCAL COM NÍVEL BAIXO DE INTERFERÊNCIA. AF_06/2016</t>
  </si>
  <si>
    <t>LASTRO DE VALA COM PREPARO DE FUNDO, LARGURA MENOR QUE 1,5 M, COM CAMADA DE BRITA, LANÇAMENTO MECANIZADO, EM LOCAL COM NÍVEL BAIXO DE INTERFERÊNCIA. AF_06/2016</t>
  </si>
  <si>
    <t>LASTRO DE VALA COM PREPARO DE FUNDO, LARGURA MENOR QUE 1,5 M, COM CAMADA DE AREIA, LANÇAMENTO MECANIZADO, EM LOCAL COM NÍVEL ALTO DE INTERFERÊNCIA. AF_06/2016</t>
  </si>
  <si>
    <t>LASTRO DE VALA COM PREPARO DE FUNDO, LARGURA MENOR QUE 1,5 M, COM CAMADA DE BRITA, LANÇAMENTO MECANIZADO, EM LOCAL COM NÍVEL ALTO DE INTERFERÊNCIA. AF_06/2016</t>
  </si>
  <si>
    <t>LASTRO COM PREPARO DE FUNDO, LARGURA MAIOR OU IGUAL A 1,5 M, COM CAMADA DE AREIA, LANÇAMENTO MECANIZADO, EM LOCAL COM NÍVEL BAIXO DE INTERFERÊNCIA. AF_06/2016</t>
  </si>
  <si>
    <t>LASTRO COM PREPARO DE FUNDO, LARGURA MAIOR OU IGUAL A 1,5 M, COM CAMADA DE BRITA, LANÇAMENTO MECANIZADO, EM LOCAL COM NÍVEL BAIXO DE INTERFERÊNCIA. AF_06/2016</t>
  </si>
  <si>
    <t>LASTRO COM PREPARO DE FUNDO, LARGURA MAIOR OU IGUAL A 1,5 M, COM CAMADA DE AREIA, LANÇAMENTO MECANIZADO, EM LOCAL COM NÍVEL ALTO DE INTERFERÊNCIA. AF_06/2016</t>
  </si>
  <si>
    <t>LASTRO COM PREPARO DE FUNDO, LARGURA MAIOR OU IGUAL A 1,5 M, COM CAMADA DE BRITA, LANÇAMENTO MECANIZADO, EM LOCAL COM NÍVEL ALTO DE INTERFERÊNCIA. AF_06/2016</t>
  </si>
  <si>
    <t>FORNECIMENTO E LANCAMENTO DE BRITA N. 4</t>
  </si>
  <si>
    <t>FORNECIMENTO E ASSENTAMENTO DE BRITA 2-DRENOS E FILTROS   MM</t>
  </si>
  <si>
    <t>74005/1</t>
  </si>
  <si>
    <t>UMIDIFICAÇÃO DE MATERIAL PARA VALAS COM CAMINHÃO PIPA 10000L. AF_11/2016</t>
  </si>
  <si>
    <t>ALVENARIA EM TIJOLO CERAMICO MACICO 5X10X20CM 1 VEZ (ESPESSURA 20CM), ASSENTADO COM ARGAMASSA TRACO 1:2:8 (CIMENTO, CAL E AREIA)</t>
  </si>
  <si>
    <t>ALVENARIA EM TIJOLO CERAMICO MACICO 5X10X20CM 1 1/2 VEZ (ESPESSURA 30CM), ASSENTADO COM ARGAMASSA TRACO 1:2:8 (CIMENTO, CAL E AREIA)</t>
  </si>
  <si>
    <t>ALVENARIA DE VEDAÇÃO DE BLOCOS CERÂMICOS FURADOS NA VERTICAL DE 9X19X39CM (ESPESSURA 9CM) DE PAREDES COM ÁREA LÍQUIDA MENOR QUE 6M² SEM VÃOS E ARGAMASSA DE ASSENTAMENTO COM PREPARO EM BETONEIRA. AF_06/2014</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</si>
  <si>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</si>
  <si>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</si>
  <si>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</si>
  <si>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</si>
  <si>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</si>
  <si>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</si>
  <si>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</si>
  <si>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</si>
  <si>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</si>
  <si>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</si>
  <si>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</si>
  <si>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</si>
  <si>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</si>
  <si>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</si>
  <si>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</si>
  <si>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</si>
  <si>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</si>
  <si>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</si>
  <si>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</si>
  <si>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</si>
  <si>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</si>
  <si>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</si>
  <si>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</si>
  <si>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</si>
  <si>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</si>
  <si>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</si>
  <si>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</si>
  <si>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</si>
  <si>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</si>
  <si>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</si>
  <si>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</si>
  <si>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</si>
  <si>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</si>
  <si>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</si>
  <si>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</si>
  <si>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</si>
  <si>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</si>
  <si>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</si>
  <si>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</si>
  <si>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</si>
  <si>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</si>
  <si>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</si>
  <si>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</si>
  <si>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</si>
  <si>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</si>
  <si>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</si>
  <si>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</si>
  <si>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</si>
  <si>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</si>
  <si>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</si>
  <si>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</si>
  <si>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</si>
  <si>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</si>
  <si>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</si>
  <si>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</si>
  <si>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</si>
  <si>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FURADOS NA VERTICAL DE 14X19X39CM (ESPESSURA 14CM) DE PAREDES COM ÁREA LÍQUIDA MENOR QUE 6M2 COM VÃOS E ARGAMASSA DE ASSENTAMENTO COM PREPARO MANUAL. AF_06/2014</t>
  </si>
  <si>
    <t>ALVENARIA DE EMBASAMENTO EM TIJOLOS CERAMICOS MACICOS 5X10X20CM, ASSENTADO  COM ARGAMASSA TRACO 1:2:8 (CIMENTO, CAL E AREIA)</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</si>
  <si>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</si>
  <si>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</si>
  <si>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</si>
  <si>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</si>
  <si>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</si>
  <si>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</si>
  <si>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</si>
  <si>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</si>
  <si>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</si>
  <si>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</si>
  <si>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</si>
  <si>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</si>
  <si>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</si>
  <si>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</si>
  <si>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</si>
  <si>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</si>
  <si>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</si>
  <si>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</si>
  <si>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</si>
  <si>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</si>
  <si>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</si>
  <si>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</si>
  <si>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</si>
  <si>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</si>
  <si>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</si>
  <si>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</si>
  <si>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</si>
  <si>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</si>
  <si>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</si>
  <si>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</si>
  <si>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</si>
  <si>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</si>
  <si>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COBOGO CERAMICO (ELEMENTO VAZADO), 9X20X20CM, ASSENTADO COM ARGAMASSA TRACO 1:4 DE CIMENTO E AREIA</t>
  </si>
  <si>
    <t>ALVENARIA DE VEDAÇÃO DE BLOCOS VAZADOS DE CONCRETO DE 9X19X39CM (ESPESSURA 9CM) DE PAREDES COM ÁREA LÍQUIDA MENOR QUE 6M² SEM VÃOS E ARGAMASSA DE ASSENTAMENTO COM PREPARO EM BETONEIRA. AF_06/2014</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</si>
  <si>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</si>
  <si>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</si>
  <si>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</si>
  <si>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</si>
  <si>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</si>
  <si>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</si>
  <si>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</si>
  <si>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</si>
  <si>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</si>
  <si>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</si>
  <si>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</si>
  <si>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</si>
  <si>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</si>
  <si>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</si>
  <si>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</si>
  <si>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</si>
  <si>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</si>
  <si>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</si>
  <si>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</si>
  <si>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</si>
  <si>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</si>
  <si>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</si>
  <si>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</si>
  <si>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</si>
  <si>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</si>
  <si>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73937/1</t>
  </si>
  <si>
    <t>COBOGO DE CONCRETO (ELEMENTO VAZADO), 7X50X50CM, ASSENTADO COM ARGAMASSA TRACO 1:4 (CIMENTO E AREIA)</t>
  </si>
  <si>
    <t>73937/3</t>
  </si>
  <si>
    <t>COBOGO DE CONCRETO (ELEMENTO VAZADO), 7X50X50CM, ASSENTADO COM ARGAMASSA TRACO 1:3 (CIMENTO E AREIA)</t>
  </si>
  <si>
    <t>73937/5</t>
  </si>
  <si>
    <t>COBOGO DE CONCRETO (ELEMENTO VAZADO), 10X29X39CM ABERTURA COM VIDRO, ASSENTADO COM ARGAMASSA TRACO 1:4 (CIMENTO E AREIA MEDIA NAO PENEIRADA)</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</si>
  <si>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</si>
  <si>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</si>
  <si>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</si>
  <si>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</si>
  <si>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</si>
  <si>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</si>
  <si>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</si>
  <si>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</si>
  <si>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</si>
  <si>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</si>
  <si>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</si>
  <si>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</si>
  <si>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</si>
  <si>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</si>
  <si>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</si>
  <si>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</si>
  <si>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</si>
  <si>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</si>
  <si>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</si>
  <si>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</si>
  <si>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</si>
  <si>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</si>
  <si>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</si>
  <si>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</si>
  <si>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</si>
  <si>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</si>
  <si>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</si>
  <si>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</si>
  <si>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</si>
  <si>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</si>
  <si>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</si>
  <si>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</si>
  <si>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</si>
  <si>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</si>
  <si>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BLOCOS DE VIDRO TIPO CANELADO 19X19X8CM, ASSENTADO COM ARGAMASSA TRACO 1:3 (CIMENTO E AREIA GROSSA) PREPARO MECANICO, COM REJUNTAMENTO EM CIMENTO BRANCO E BARRAS DE ACO</t>
  </si>
  <si>
    <t>BLOCOS DE VIDRO TIPO XADREZ 20X20X10CM, ASSENTADO COM ARGAMASSA TRACO 1:3 (CIMENTO E AREIA GROSSA) PREPARO MECANICO, COM REJUNTAMENTO EM CIMENTO BRANCO E BARRAS DE ACO</t>
  </si>
  <si>
    <t>BLOCOS DE VIDRO TIPO XADREZ 20X10X8CM, ASSENTADO COM ARGAMASSA TRACO 1:3 (CIMENTO E AREIA GROSSA) PREPARO MECANICO, COM REJUNTAMENTO EM CIMENTO BRANCO E BARRAS DE ACO</t>
  </si>
  <si>
    <t>RETIRADA DE DIVISORIAS EM CHAPAS DE MADEIRA, COM MONTANTES METALICOS</t>
  </si>
  <si>
    <t>RECOLOCACAO DE PLACAS DIVISORIAS DE GRANILITE, CONSIDERANDO REAPROVEITAMENTO DO MATERIAL</t>
  </si>
  <si>
    <t>RECOLOCACAO DE DIVISORIAS TIPO CHAPAS OU TABUAS, EXCLUSIVE ENTARUGAMENTO, CONSIDERANDO REAPROVEITAMENTO DO MATERIAL</t>
  </si>
  <si>
    <t>RECOLOCACAO DE DIVISORIAS TIPO CHAPAS OU TABUAS, INCLUSIVE ENTARUGAMENTO, CONSIDERANDO REAPROVEITAMENTO DO MATERIAL</t>
  </si>
  <si>
    <t>73774/1</t>
  </si>
  <si>
    <t>DIVISORIA EM MARMORITE ESPESSURA 35MM, CHUMBAMENTO NO PISO E PAREDE COM ARGAMASSA DE CIMENTO E AREIA, POLIMENTO MANUAL, EXCLUSIVE FERRAGENS</t>
  </si>
  <si>
    <t>73909/1</t>
  </si>
  <si>
    <t>DIVISORIA EM MADEIRA COMPENSADA RESINADA ESPESSURA 6MM, ESTRUTURADA EM MADEIRA DE LEI 3"X3"</t>
  </si>
  <si>
    <t>74229/1</t>
  </si>
  <si>
    <t>DIVISORIA EM MARMORE BRANCO POLIDO, ESPESSURA 3 CM, ASSENTADO COM ARGAMASSA TRACO 1:4 (CIMENTO E AREIA), ARREMATE COM CIMENTO BRANCO, EXCLUSIVE FERRAGENS</t>
  </si>
  <si>
    <t>DIVISORIA EM GRANITO BRANCO POLIDO, ESP = 3CM, ASSENTADO COM ARGAMASSA TRACO 1:4, ARREMATE EM CIMENTO BRANCO, EXCLUSIVE FERRAGENS</t>
  </si>
  <si>
    <t>PAREDE COM PLACAS DE GESSO ACARTONADO (DRYWALL), PARA USO INTERNO, COM DUAS FACES SIMPLES E ESTRUTURA METÁLICA COM GUIAS SIMPLES, SEM VÃOS. AF_06/2017_P</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</si>
  <si>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</si>
  <si>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</si>
  <si>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</si>
  <si>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</si>
  <si>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</si>
  <si>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</si>
  <si>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</si>
  <si>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</si>
  <si>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</si>
  <si>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</si>
  <si>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</si>
  <si>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</si>
  <si>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</si>
  <si>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ISOLAMENTO COM LÃ DE ROCHA EM PAREDES DRYWALL. AF_06/2017</t>
  </si>
  <si>
    <t>INSTALAÇÃO DE REFORÇO METÁLICO EM PAREDE DRYWALL. AF_06/2017</t>
  </si>
  <si>
    <t>INSTALAÇÃO DE REFORÇO DE MADEIRA EM PAREDE DRYWALL. AF_06/2017</t>
  </si>
  <si>
    <t>73863/1</t>
  </si>
  <si>
    <t>ALVENARIA COM BLOCOS DE CONCRETO CELULAR 10X30X60CM, ESPESSURA 10CM, ASSENTADOS COM ARGAMASSA TRACO 1:2:9 (CIMENTO, CAL E AREIA) PREPARO MANUAL</t>
  </si>
  <si>
    <t>73863/2</t>
  </si>
  <si>
    <t>ALVENARIA COM BLOCOS DE CONCRETO CELULAR 20X30X60CM, ESPESSURA 20CM, ASSENTADOS COM ARGAMASSA TRACO 1:2:9 (CIMENTO, CAL E AREIA) PREPARO MANUAL</t>
  </si>
  <si>
    <t>73790/2</t>
  </si>
  <si>
    <t>REASSENTAMENTO DE PARALELEPIPEDO SOBRE COLCHAO DE PO DE PEDRA ESPESSURA 10CM, REJUNTADO COM BETUME E PEDRISCO, CONSIDERANDO APROVEITAMENTO DO PARALELEPIPEDO</t>
  </si>
  <si>
    <t>73790/4</t>
  </si>
  <si>
    <t>REASSENTAMENTO DE PARALELEPIPEDO SOBRE COLCHAO DE PO DE PEDRA ESPESSURA 10CM, REJUNTADO COM ARGAMASSA TRACO 1:3 (CIMENTO E AREIA), CONSIDERANDO APROVEITAMENTO DO PARALELEPIPEDO</t>
  </si>
  <si>
    <t>RECOMPOSICAO DE PAVIMENTACAO TIPO BLOKRET SOBRE COLCHAO DE AREIA COM REAPROVEITAMENTO DE MATERIAL</t>
  </si>
  <si>
    <t>83695/1</t>
  </si>
  <si>
    <t>REJUNTAMENTO PAVIMENTACAO PARALELEPIPEDO BETUME CASCALH INCL MATERIAIS</t>
  </si>
  <si>
    <t>RECOMPOSICAO DE REVESTIMENTO PRIMARIO MEDIDO P/ VOLUME COMPACTADO</t>
  </si>
  <si>
    <t>DEMOLIÇÃO DE PAVIMENTAÇÃO ASFÁLTICA COM UTILIZAÇÃO DE MARTELO PERFURADOR, ESPESSURA ATÉ 15 CM, EXCLUSIVE CARGA E TRANSPORTE</t>
  </si>
  <si>
    <t>PAVIMENTO EM PARALELEPIPEDO SOBRE COLCHAO DE AREIA REJUNTADO COM ARGAMASSA DE CIMENTO E AREIA NO TRAÇO 1:3 (PEDRAS PEQUENAS 30 A 35 PECAS POR M2)</t>
  </si>
  <si>
    <t>PINTURA DE LIGACAO COM EMULSAO RR-1C</t>
  </si>
  <si>
    <t>PINTURA DE LIGACAO COM EMULSAO RR-2C</t>
  </si>
  <si>
    <t>CONTENCAO LATERAL COM SOLO LOCAL PARA PAVIMENTO POLIEDRICO</t>
  </si>
  <si>
    <t>CORTE E PREPARO DE CORDAO DE PEDRA PARA PAVIMENTO POLIEDRICO</t>
  </si>
  <si>
    <t>CORTE E PREPARO DE PEDRA PARA PAVIMENTO POLIEDRICO</t>
  </si>
  <si>
    <t>DESMONTE MANUAL DE PEDRA PARA PAVIMENTO POLIEDRICO</t>
  </si>
  <si>
    <t>EXTRACAO, CARGA E ASSENTAMENTO DE CORDAO DE PEDRA PARA PAVIMENTO POLIEDRICO, EXCLUSIVE TRANSPORTE DE PEDRA E INDENIZACAO PEDREIRA</t>
  </si>
  <si>
    <t>EXTRACAO, CARGA, PREPARO E ASSENTAMENTO DE PEDRAS POLIEDRICAS, EXCLUSIVE TRANSPORTE DE PEDRA E INDENIZACAO PEDREIRA</t>
  </si>
  <si>
    <t>73760/1</t>
  </si>
  <si>
    <t>CAPA SELANTE COMPREENDENDO APLICAÇÃO DE ASFALTO NA PROPORÇÃO DE 0,7 A 1,5L / M2, DISTRIBUIÇÃO DE AGREGADOS DE 5 A 15KG/M2 E COMPACTAÇÃO COM ROLO - COM USO DA EMULSAO RR-2C, INCLUSO APLICACAO E COMPACTACAO</t>
  </si>
  <si>
    <t>73849/1</t>
  </si>
  <si>
    <t>AREIA ASFALTO A QUENTE (AAUQ) COM CAP 50/70, INCLUSO USINAGEM E APLICACAO, EXCLUSIVE TRANSPORTE</t>
  </si>
  <si>
    <t>73849/2</t>
  </si>
  <si>
    <t>AREIA ASFALTO A FRIO (AAUF), COM EMULSAO RR-2C INCLUSO USINAGEM E APLICACAO, EXCLUSIVE TRANSPORTE</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</si>
  <si>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</si>
  <si>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</si>
  <si>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</si>
  <si>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</si>
  <si>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</si>
  <si>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</si>
  <si>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</si>
  <si>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</si>
  <si>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</si>
  <si>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</si>
  <si>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</si>
  <si>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</si>
  <si>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</si>
  <si>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</si>
  <si>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</si>
  <si>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</si>
  <si>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</si>
  <si>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</si>
  <si>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</si>
  <si>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</si>
  <si>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</si>
  <si>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CAIACAO EM MEIO FIO</t>
  </si>
  <si>
    <t>73770/1</t>
  </si>
  <si>
    <t>BARREIRA PRE-MOLDADA EXTERNA CONCRETO ARMADO 0,25X0,40X1,14M FCK=25MPA ACO CA-50 INCL VIGOTA HORIZONTAL MONTANTE A CADA 1,00M  FERROS DE LIGACAO E MATERIAIS.</t>
  </si>
  <si>
    <t>73770/2</t>
  </si>
  <si>
    <t>BARREIRA DUPLA PRE-MOL INTER CONCRETO ARMADO 0,15X0,65X0,77M FCK=25MPA ACO CA-50 INCL FERROS DE LIGACAO E MATERIAIS.</t>
  </si>
  <si>
    <t>83696/1</t>
  </si>
  <si>
    <t>PINTURA GUARDA-CORPO GUARDA-RODA E MURETA PROTECAO COM CAL EM PONTES EVIADUTOS MEDIDA PELO DOBRO DA AREA TOTAL (LARGURAXALTURA).</t>
  </si>
  <si>
    <t>USINAGEM DE CBUQ COM CAP 50/70, PARA CAPA DE ROLAMENTO</t>
  </si>
  <si>
    <t>USINAGEM DE CBUQ COM CAP 50/70, PARA BINDER</t>
  </si>
  <si>
    <t>73759/2</t>
  </si>
  <si>
    <t>USINAGEM DE BRITA GRADUADA SIMPLES, UTILIZANDO BRITA COMERCIAL COM USINA 300 T/H. AF_06/2017</t>
  </si>
  <si>
    <t>USINAGEM DE BRITA GRADUADA TRATADA COM CIMENTO, UTILIZANDO BRITA COMERCIAL COM USINA 300 T/H. AF_06/2017</t>
  </si>
  <si>
    <t>USINAGEM DE CONCRETO PARA COMPACTAÇÃO COM ROLO, UTILIZANDO BRITA COMERCIAL. AF_06/2017</t>
  </si>
  <si>
    <t>CAIACAO INT OU EXT SOBRE REVESTIMENTO LISO C/ADOCAO DE FIXADOR COM    COM DUAS DEMAOS</t>
  </si>
  <si>
    <t>PINTURA DE SUPERFICIE C/TINTA GRAFITE</t>
  </si>
  <si>
    <t>74133/1</t>
  </si>
  <si>
    <t>EMASSAMENTO COM MASSA A OLEO, UMA DEMAO</t>
  </si>
  <si>
    <t>74133/2</t>
  </si>
  <si>
    <t>EMASSAMENTO COM MASSA A OLEO, DUAS DEMAOS</t>
  </si>
  <si>
    <t>EMASSAMENTO COM MASSA EPOXI, 2 DEMAOS</t>
  </si>
  <si>
    <t>79494/1</t>
  </si>
  <si>
    <t>PINTURA DE QUADRO ESCOLAR COM TINTA ESMALTE ACABAMENTO FOSCO, DUAS DEMAOS SOBRE MASSA ACRILICA</t>
  </si>
  <si>
    <t>PINTURA COM TINTA IMPERMEAVEL MINERAL EM PO, DUAS DEMAOS</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</si>
  <si>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</si>
  <si>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</si>
  <si>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</si>
  <si>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</si>
  <si>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</si>
  <si>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</si>
  <si>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</si>
  <si>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</si>
  <si>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</si>
  <si>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</si>
  <si>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</si>
  <si>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</si>
  <si>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</si>
  <si>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</si>
  <si>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</si>
  <si>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</si>
  <si>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LÁTEX PVA EM TETO, UMA DEMÃO. AF_06/2014</t>
  </si>
  <si>
    <t>APLICAÇÃO DE FUNDO SELADOR LÁTEX PVA EM PAREDES, UMA DEMÃO. AF_06/2014</t>
  </si>
  <si>
    <t>APLICAÇÃO DE FUNDO SELADOR ACRÍLICO EM TETO, UMA DEMÃO. AF_06/2014</t>
  </si>
  <si>
    <t>APLICAÇÃO MANUAL DE PINTURA COM TINTA LÁTEX PVA EM TETO, DUAS DEMÃOS. AF_06/2014</t>
  </si>
  <si>
    <t>APLICAÇÃO MANUAL DE PINTURA COM TINTA LÁTEX PVA EM PAREDES, DUAS DEMÃOS. AF_06/2014</t>
  </si>
  <si>
    <t>APLICAÇÃO MECÂNICA DE PINTURA COM TINTA LÁTEX PVA EM TETO, DUAS DEMÃOS. AF_06/2014</t>
  </si>
  <si>
    <t>APLICAÇÃO MECÂNICA DE PINTURA COM TINTA LÁTEX PVA EM PAREDES, DUAS DEMÃOS. AF_06/2014</t>
  </si>
  <si>
    <t>APLICAÇÃO MECÂNICA DE PINTURA COM TINTA LÁTEX ACRÍLICA EM TETO, DUAS DEMÃOS. AF_06/2014</t>
  </si>
  <si>
    <t>APLICAÇÃO MECÂNICA DE PINTURA COM TINTA LÁTEX ACRÍLICA EM PAREDES, DUAS DEMÃOS. AF_06/2014</t>
  </si>
  <si>
    <t>APLICAÇÃO E LIXAMENTO DE MASSA LÁTEX EM TETO, UMA DEMÃO. AF_06/2014</t>
  </si>
  <si>
    <t>APLICAÇÃO E LIXAMENTO DE MASSA LÁTEX EM PAREDES, UMA DEMÃO.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</si>
  <si>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</si>
  <si>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</si>
  <si>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</si>
  <si>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</si>
  <si>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</si>
  <si>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</si>
  <si>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</si>
  <si>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</si>
  <si>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</si>
  <si>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</si>
  <si>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</si>
  <si>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</si>
  <si>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</si>
  <si>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</si>
  <si>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</si>
  <si>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</si>
  <si>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</si>
  <si>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EPOXI, DUAS DEMAOS</t>
  </si>
  <si>
    <t>79514/1</t>
  </si>
  <si>
    <t>PINTURA EPOXI, TRES DEMAOS</t>
  </si>
  <si>
    <t>PINTURA EPOXI INCLUSO EMASSAMENTO E FUNDO PREPARADOR</t>
  </si>
  <si>
    <t>TRATAMENTO EM  CONCRETO COM ESTUQUE E LIXAMENTO</t>
  </si>
  <si>
    <t>PINTURA EM VERNIZ SINTETICO BRILHANTE EM MADEIRA, TRES DEMAOS</t>
  </si>
  <si>
    <t>VERNIZ SINTETICO EM MADEIRA, DUAS DEMAOS</t>
  </si>
  <si>
    <t>73739/1</t>
  </si>
  <si>
    <t>PINTURA ESMALTE ACETINADO EM MADEIRA, DUAS DEMAOS</t>
  </si>
  <si>
    <t>74065/1</t>
  </si>
  <si>
    <t>PINTURA ESMALTE FOSCO PARA MADEIRA, DUAS DEMAOS, SOBRE FUNDO NIVELADOR BRANCO</t>
  </si>
  <si>
    <t>74065/2</t>
  </si>
  <si>
    <t>PINTURA ESMALTE ACETINADO PARA MADEIRA, DUAS DEMAOS, SOBRE FUNDO NIVELADOR BRANCO</t>
  </si>
  <si>
    <t>74065/3</t>
  </si>
  <si>
    <t>PINTURA ESMALTE BRILHANTE PARA MADEIRA, DUAS DEMAOS, SOBRE FUNDO NIVELADOR BRANCO</t>
  </si>
  <si>
    <t>PINTURA A OLEO, 1 DEMAO</t>
  </si>
  <si>
    <t>PINTURA A OLEO, 2 DEMAOS</t>
  </si>
  <si>
    <t>PINTURA COM VERNIZ POLIURETANO, 2 DEMAOS</t>
  </si>
  <si>
    <t>79497/1</t>
  </si>
  <si>
    <t>PINTURA A OLEO, 3 DEMAOS</t>
  </si>
  <si>
    <t>VERNIZ SINTETICO BRILHANTE, 2 DEMAOS</t>
  </si>
  <si>
    <t>FUNDO SINTETICO NIVELADOR BRANCO</t>
  </si>
  <si>
    <t>PINTURA ESMALTE FOSCO EM MADEIRA, DUAS DEMAOS</t>
  </si>
  <si>
    <t>PINTURA IMUNIZANTE PARA MADEIRA, DUAS DEMAOS</t>
  </si>
  <si>
    <t>PINTURA VERNIZ POLIURETANO BRILHANTE EM MADEIRA, TRES DEMAOS</t>
  </si>
  <si>
    <t>73978/1</t>
  </si>
  <si>
    <t>PINTURA HIDROFUGANTE COM SILICONE SOBRE PISO CIMENTADO, UMA DEMAO</t>
  </si>
  <si>
    <t>74245/1</t>
  </si>
  <si>
    <t>PINTURA ACRILICA EM PISO CIMENTADO DUAS DEMAOS</t>
  </si>
  <si>
    <t>PINTURA COM TINTA A BASE DE BORRACHA CLORADA , DE FAIXAS DE DEMARCACAO, EM QUADRA POLIESPORTIVA, 5 CM DE LARGURA.</t>
  </si>
  <si>
    <t>ML</t>
  </si>
  <si>
    <t>79500/2</t>
  </si>
  <si>
    <t>APLICACAO DE VERNIZ POLIURETANO FOSCO SOBRE PISO DE PEDRAS DECORATIVAS, 3 DEMAOS</t>
  </si>
  <si>
    <t>POLIMENTO E ENCERAMENTO DE PISO EM MADEIRA</t>
  </si>
  <si>
    <t>RECOLOCACAO DE TACOS DE MADEIRA COM REAPROVEITAMENTO DE MATERIAL E ASSENTAMENTO COM ARGAMASSA 1:4 (CIMENTO E AREIA)</t>
  </si>
  <si>
    <t>73734/1</t>
  </si>
  <si>
    <t>PISO EM TACO DE MADEIRA 7X21CM, ASSENTADO COM ARGAMASSA TRACO 1:4 (CIMENTO E AREIA MEDIA)</t>
  </si>
  <si>
    <t>PISO EM TACO DE MADEIRA 7X21CM, FIXADO COM COLA BASE DE PVA</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</si>
  <si>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</si>
  <si>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</si>
  <si>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</si>
  <si>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</si>
  <si>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</si>
  <si>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</si>
  <si>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</si>
  <si>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</si>
  <si>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</si>
  <si>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</si>
  <si>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</si>
  <si>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</si>
  <si>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</si>
  <si>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</si>
  <si>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</si>
  <si>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(COMPOSIÇÃO REPRESENTATIVA) DO SERVIÇO DE REVESTIMENTO CERÂMICO PARA PISO COM PLACAS TIPO GRÉS DE DIMENSÕES 35X35 CM, PARA EDIFICAÇÃO HABITACIONAL MULTIFAMILIAR (PRÉDIO). AF_11/2014</t>
  </si>
  <si>
    <t>(COMPOSIÇÃO REPRESENTATIVA) DO SERVIÇO DE REVESTIMENTO CERÂMICO PARA PISO COM PLACAS TIPO GRÉS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</si>
  <si>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</si>
  <si>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</si>
  <si>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</si>
  <si>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73743/1</t>
  </si>
  <si>
    <t>PISO EM PEDRA SÃO TOME ASSENTADO SOBRE ARGAMASSA 1:3 (CIMENTO E AREIA) REJUNTADO COM CIMENTO BRANCO</t>
  </si>
  <si>
    <t>73921/2</t>
  </si>
  <si>
    <t>PISO EM PEDRA ARDOSIA ASSENTADO SOBRE ARGAMASSA COLANTE REJUNTADO COM CIMENTO COMUM</t>
  </si>
  <si>
    <t>PISO EM PEDRA PORTUGUESA ASSENTADO SOBRE BASE DE AREIA, REJUNTADO COM CIMENTO COMUM</t>
  </si>
  <si>
    <t>PISO DE BORRACHA FRISADO, ESPESSURA 7MM, ASSENTADO COM ARGAMASSA TRACO 1:3 (CIMENTO E AREIA)</t>
  </si>
  <si>
    <t>PISO DE BORRACHA PASTILHADO, ESPESSURA 7MM, ASSENTADO COM ARGAMASSA TRACO 1:3 (CIMENTO E AREIA)</t>
  </si>
  <si>
    <t>73876/1</t>
  </si>
  <si>
    <t>PISO DE BORRACHA PASTILHADO, ESPESSURA 7MM, FIXADO COM COLA</t>
  </si>
  <si>
    <t>PISO DE BORRACHA CANELADA, ESPESSURA 3,5MM, FIXADO COM COLA</t>
  </si>
  <si>
    <t>ASSENTAMENTO DE PISO DE BORRACHA PASTILHADA FIXADO COM COLA</t>
  </si>
  <si>
    <t>APLICACAO DE TINTA A BASE DE EPOXI SOBRE PISO</t>
  </si>
  <si>
    <t>PISO EM GRANILITE, MARMORITE OU GRANITINA ESPESSURA 8 MM, INCLUSO JUNTAS DE DILATACAO PLASTICAS</t>
  </si>
  <si>
    <t>74111/1</t>
  </si>
  <si>
    <t>SOLEIRA / TABEIRA EM MARMORE BRANCO COMUM, POLIDO, LARGURA 5 CM, ESPESSURA 2 CM, ASSENTADA COM ARGAMASSA COLANTE</t>
  </si>
  <si>
    <t>73886/1</t>
  </si>
  <si>
    <t>RODAPE EM MADEIRA, ALTURA 7CM, FIXADO EM PECAS DE MADEIRA</t>
  </si>
  <si>
    <t>RODAPE EM MADEIRA, ALTURA 7CM, FIXADO COM COLA</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</si>
  <si>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</si>
  <si>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</si>
  <si>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</si>
  <si>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</si>
  <si>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73850/1</t>
  </si>
  <si>
    <t>RODAPE EM MARMORITE, ALTURA 10CM</t>
  </si>
  <si>
    <t>RODAPE EM ARDOSIA ASSENTADO COM ARGAMASSA TRACO 1:4 (CIMENTO E AREIA) ALTURA 10CM</t>
  </si>
  <si>
    <t>PISO EM CONCRETO 20 MPA PREPARO MECANICO, ESPESSURA 7CM, INCLUSO SELANTE ELASTICO A BASE DE POLIURETANO</t>
  </si>
  <si>
    <t>PISO EM CONCRETO 20 MPA PREPARO MECANICO, ESPESSURA 7CM, INCLUSO JUNTAS DE DILATACAO EM MADEIRA</t>
  </si>
  <si>
    <t>PISO EM CONCRETO 20MPA PREPARO MECANICO, ESPESSURA 7 CM, COM ARMACAO EM TELA SOLDADA</t>
  </si>
  <si>
    <t>EXECUÇÃO DE PASSEIO (CALÇADA) OU PISO DE CONCRETO COM CONCRETO MOLDADO IN LOCO, FEITO EM OBRA, ACABAMENTO CONVENCIONAL, NÃO ARMADO. AF_07/2016</t>
  </si>
  <si>
    <t>EXECUÇÃO DE PASSEIO (CALÇADA) OU PISO DE CONCRETO COM CONCRETO MOLDADO IN LOCO, USINADO,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</si>
  <si>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</si>
  <si>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</si>
  <si>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</si>
  <si>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</si>
  <si>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</si>
  <si>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</si>
  <si>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</si>
  <si>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</si>
  <si>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CONTRAPISO EM ARGAMASSA TRAÇO 1:4 (CIMENTO E AREIA), PREPARO MANUAL, APLICADO EM ÁREAS SECAS SOBRE LAJE, ADERIDO, ESPESSURA 2CM. AF_06/2014</t>
  </si>
  <si>
    <t>CONTRAPISO EM ARGAMASSA PRONTA, PREPARO MECÂNICO COM MISTURADOR 300 KG, APLICADO EM ÁREAS SECAS SOBRE LAJE, ADERIDO, ESPESSURA 2CM. AF_06/2014</t>
  </si>
  <si>
    <t>CONTRAPISO EM ARGAMASSA PRONTA, PREPARO MANUAL, APLICADO EM ÁREAS SECAS SOBRE LAJE, ADERIDO, ESPESSURA 2CM. AF_06/2014</t>
  </si>
  <si>
    <t>CONTRAPISO EM ARGAMASSA TRAÇO 1:4 (CIMENTO E AREIA), PREPARO MECÂNICO COM BETONEIRA 400 L, APLICADO EM ÁREAS SECAS SOBRE LAJE, ADERIDO, ESPESSURA 3CM. AF_06/2014</t>
  </si>
  <si>
    <t>CONTRAPISO EM ARGAMASSA TRAÇO 1:4 (CIMENTO E AREIA), PREPARO MANUAL, APLICADO EM ÁREAS SECAS SOBRE LAJE, ADERIDO, ESPESSURA 3CM. AF_06/2014</t>
  </si>
  <si>
    <t>CONTRAPISO EM ARGAMASSA PRONTA, PREPARO MECÂNICO COM MISTURADOR 300 KG, APLICADO EM ÁREAS SECAS SOBRE LAJE, ADERIDO, ESPESSURA 3CM. AF_06/2014</t>
  </si>
  <si>
    <t>CONTRAPISO EM ARGAMASSA PRONTA, PREPARO MANUAL, APLICADO EM ÁREAS SECAS SOBRE LAJE, ADERIDO, ESPESSURA 3CM. AF_06/2014</t>
  </si>
  <si>
    <t>CONTRAPISO EM ARGAMASSA TRAÇO 1:4 (CIMENTO E AREIA), PREPARO MECÂNICO COM BETONEIRA 400 L, APLICADO EM ÁREAS SECAS SOBRE LAJE, ADERIDO, ESPESSURA 4CM. AF_06/2014</t>
  </si>
  <si>
    <t>CONTRAPISO EM ARGAMASSA TRAÇO 1:4 (CIMENTO E AREIA), PREPARO MANUAL, APLICADO EM ÁREAS SECAS SOBRE LAJE, ADERIDO, ESPESSURA 4CM. AF_06/2014</t>
  </si>
  <si>
    <t>CONTRAPISO EM ARGAMASSA PRONTA, PREPARO MECÂNICO COM MISTURADOR 300 KG, APLICADO EM ÁREAS SECAS SOBRE LAJE, ADERIDO, ESPESSURA 4CM. AF_06/2014</t>
  </si>
  <si>
    <t>CONTRAPISO EM ARGAMASSA PRONTA, PREPARO MANUAL, APLICADO EM ÁREAS SECAS SOBRE LAJE, ADERIDO, ESPESSURA 4CM. AF_06/2014</t>
  </si>
  <si>
    <t>CONTRAPISO EM ARGAMASSA TRAÇO 1:4 (CIMENTO E AREIA), PREPARO MECÂNICO COM BETONEIRA 400 L, APLICADO EM ÁREAS SECAS SOBRE LAJE, NÃO ADERIDO, ESPESSURA 4CM. AF_06/2014</t>
  </si>
  <si>
    <t>CONTRAPISO EM ARGAMASSA TRAÇO 1:4 (CIMENTO E AREIA), PREPARO MANUAL, APLICADO EM ÁREAS SECAS SOBRE LAJE, NÃO ADERIDO, ESPESSURA 4CM. AF_06/2014</t>
  </si>
  <si>
    <t>CONTRAPISO EM ARGAMASSA PRONTA, PREPARO MECÂNICO COM MISTURADOR 300 KG, APLICADO EM ÁREAS SECAS SOBRE LAJE, NÃO ADERIDO, ESPESSURA 4CM. AF_06/2014</t>
  </si>
  <si>
    <t>CONTRAPISO EM ARGAMASSA PRONTA, PREPARO MANUAL, APLICADO EM ÁREAS SECAS SOBRE LAJE, NÃO ADERIDO, ESPESSURA 4CM. AF_06/2014</t>
  </si>
  <si>
    <t>CONTRAPISO EM ARGAMASSA TRAÇO 1:4 (CIMENTO E AREIA), PREPARO MECÂNICO COM BETONEIRA 400 L, APLICADO EM ÁREAS SECAS SOBRE LAJE, NÃO ADERIDO, ESPESSURA 5CM. AF_06/2014</t>
  </si>
  <si>
    <t>CONTRAPISO EM ARGAMASSA TRAÇO 1:4 (CIMENTO E AREIA), PREPARO MANUAL, APLICADO EM ÁREAS SECAS SOBRE LAJE, NÃO ADERIDO, ESPESSURA 5CM. AF_06/2014</t>
  </si>
  <si>
    <t>CONTRAPISO EM ARGAMASSA PRONTA, PREPARO MECÂNICO COM MISTURADOR 300 KG, APLICADO EM ÁREAS SECAS SOBRE LAJE, NÃO ADERIDO, ESPESSURA 5CM. AF_06/2014</t>
  </si>
  <si>
    <t>CONTRAPISO EM ARGAMASSA PRONTA, PREPARO MANUAL, APLICADO EM ÁREAS SECAS SOBRE LAJE, NÃO ADERIDO, ESPESSURA 5CM. AF_06/2014</t>
  </si>
  <si>
    <t>CONTRAPISO EM ARGAMASSA TRAÇO 1:4 (CIMENTO E AREIA), PREPARO MECÂNICO COM BETONEIRA 400 L, APLICADO EM ÁREAS SECAS SOBRE LAJE, NÃO ADERIDO, ESPESSURA 6CM. AF_06/2014</t>
  </si>
  <si>
    <t>CONTRAPISO EM ARGAMASSA TRAÇO 1:4 (CIMENTO E AREIA), PREPARO MANUAL, APLICADO EM ÁREAS SECAS SOBRE LAJE, NÃO ADERIDO, ESPESSURA 6CM. AF_06/2014</t>
  </si>
  <si>
    <t>CONTRAPISO EM ARGAMASSA PRONTA, PREPARO MECÂNICO COM MISTURADOR 300 KG, APLICADO EM ÁREAS SECAS SOBRE LAJE, NÃO ADERIDO, ESPESSURA 6CM. AF_06/2014</t>
  </si>
  <si>
    <t>CONTRAPISO EM ARGAMASSA PRONTA, PREPARO MANUAL, APLICADO EM ÁREAS SECAS SOBRE LAJE, NÃO ADERIDO, ESPESSURA 6CM. AF_06/2014</t>
  </si>
  <si>
    <t>CONTRAPISO EM ARGAMASSA TRAÇO 1:4 (CIMENTO E AREIA), PREPARO MECÂNICO COM BETONEIRA 400 L, APLICADO EM ÁREAS MOLHADAS SOBRE LAJE, ADERIDO, ESPESSURA 2CM. AF_06/2014</t>
  </si>
  <si>
    <t>CONTRAPISO EM ARGAMASSA TRAÇO 1:4 (CIMENTO E AREIA), PREPARO MANUAL, APLICADO EM ÁREAS MOLHADAS SOBRE LAJE, ADERIDO, ESPESSURA 2CM. AF_06/2014</t>
  </si>
  <si>
    <t>CONTRAPISO EM ARGAMASSA PRONTA, PREPARO MECÂNICO COM MISTURADOR 300 KG, APLICADO EM ÁREAS MOLHADAS SOBRE LAJE, ADERIDO, ESPESSURA 2CM. AF_06/2014</t>
  </si>
  <si>
    <t>CONTRAPISO EM ARGAMASSA PRONTA, PREPARO MANUAL, APLICADO EM ÁREAS MOLHADAS SOBRE LAJE, ADERIDO, ESPESSURA 2CM. AF_06/2014</t>
  </si>
  <si>
    <t>CONTRAPISO EM ARGAMASSA TRAÇO 1:4 (CIMENTO E AREIA), PREPARO MECÂNICO COM BETONEIRA 400 L, APLICADO EM ÁREAS MOLHADAS SOBRE LAJE, ADERIDO, ESPESSURA 3CM. AF_06/2014</t>
  </si>
  <si>
    <t>CONTRAPISO EM ARGAMASSA TRAÇO 1:4 (CIMENTO E AREIA), PREPARO MANUAL, APLICADO EM ÁREAS MOLHADAS SOBRE LAJE, ADERIDO, ESPESSURA 3CM. AF_06/2014</t>
  </si>
  <si>
    <t>CONTRAPISO EM ARGAMASSA PRONTA, PREPARO MECÂNICO COM MISTURADOR 300 KG, APLICADO EM ÁREAS MOLHADAS SOBRE LAJE, ADERIDO, ESPESSURA 3CM. AF_06/2014</t>
  </si>
  <si>
    <t>CONTRAPISO EM ARGAMASSA PRONTA, PREPARO MANUAL, APLICADO EM ÁREAS MOLHADAS SOBRE LAJE, ADERIDO, ESPESSURA 3CM. AF_06/2014</t>
  </si>
  <si>
    <t>CONTRAPISO EM ARGAMASSA TRAÇO 1:4 (CIMENTO E AREIA), PREPARO MECÂNICO COM BETONEIRA 400 L, APLICADO EM ÁREAS MOLHADAS SOBRE IMPERMEABILIZAÇÃO, ESPESSURA 3CM. AF_06/2014</t>
  </si>
  <si>
    <t>CONTRAPISO EM ARGAMASSA TRAÇO 1:4 (CIMENTO E AREIA), PREPARO MANUAL, APLICADO EM ÁREAS MOLHADAS SOBRE IMPERMEABILIZAÇÃO, ESPESSURA 3CM. AF_06/2014</t>
  </si>
  <si>
    <t>CONTRAPISO EM ARGAMASSA PRONTA, PREPARO MECÂNICO COM MISTURADOR 300 KG, APLICADO EM ÁREAS MOLHADAS SOBRE IMPERMEABILIZAÇÃO, ESPESSURA 3CM. AF_06/2014</t>
  </si>
  <si>
    <t>CONTRAPISO EM ARGAMASSA PRONTA, PREPARO MANUAL, APLICADO EM ÁREAS MOLHADAS SOBRE IMPERMEABILIZAÇÃO, ESPESSURA 3CM. AF_06/2014</t>
  </si>
  <si>
    <t>CONTRAPISO EM ARGAMASSA TRAÇO 1:4 (CIMENTO E AREIA), PREPARO MECÂNICO COM BETONEIRA 400 L, APLICADO EM ÁREAS MOLHADAS SOBRE IMPERMEABILIZAÇÃO, ESPESSURA 4CM. AF_06/2014</t>
  </si>
  <si>
    <t>CONTRAPISO EM ARGAMASSA TRAÇO 1:4 (CIMENTO E AREIA), PREPARO MANUAL, APLICADO EM ÁREAS MOLHADAS SOBRE IMPERMEABILIZAÇÃO, ESPESSURA 4CM. AF_06/2014</t>
  </si>
  <si>
    <t>CONTRAPISO EM ARGAMASSA PRONTA, PREPARO MECÂNICO COM MISTURADOR 300 KG, APLICADO EM ÁREAS MOLHADAS SOBRE IMPERMEABILIZAÇÃO, ESPESSURA 4CM. AF_06/2014</t>
  </si>
  <si>
    <t>CONTRAPISO EM ARGAMASSA PRONTA, PREPARO MANUAL, APLICADO EM ÁREAS MOLHADAS SOBRE IMPERMEABILIZAÇÃO, ESPESSURA 4CM. AF_06/2014</t>
  </si>
  <si>
    <t>CONTRAPISO AUTONIVELANTE, APLICADO SOBRE LAJE, NÃO ADERIDO, ESPESSURA 3CM. AF_06/2014</t>
  </si>
  <si>
    <t>CONTRAPISO AUTONIVELANTE, APLICADO SOBRE LAJE, NÃO ADERIDO, ESPESSURA 4CM. AF_06/2014</t>
  </si>
  <si>
    <t>CONTRAPISO AUTONIVELANTE, APLICADO SOBRE LAJE, NÃO ADERIDO, ESPESSURA 5CM. AF_06/2014</t>
  </si>
  <si>
    <t>CONTRAPISO AUTONIVELANTE, APLICADO SOBRE LAJE, ADERIDO, ESPESSURA 2CM. AF_06/2014</t>
  </si>
  <si>
    <t>CONTRAPISO AUTONIVELANTE, APLICADO SOBRE LAJE, ADERIDO, ESPESSURA 3CM. AF_06/2014</t>
  </si>
  <si>
    <t>CONTRAPISO AUTONIVELANTE, APLICADO SOBRE LAJE, ADERIDO, ESPESSURA 4CM. AF_06/2014</t>
  </si>
  <si>
    <t>CONTRAPISO ACÚSTICO EM ARGAMASSA TRAÇO 1:4 (CIMENTO E AREIA), PREPARO MECÂNICO COM BETONEIRA 400L, APLICADO EM ÁREAS SECAS MENORES QUE 15M2, ESPESSURA 5CM. AF_10/2014</t>
  </si>
  <si>
    <t>CONTRAPISO ACÚSTICO EM ARGAMASSA TRAÇO 1:4 (CIMENTO E AREIA), PREPARO MANUAL, APLICADO EM ÁREAS SECAS MENORES QUE 15M2, ESPESSURA 5CM. AF_10/2014</t>
  </si>
  <si>
    <t>CONTRAPISO ACÚSTICO EM ARGAMASSA PRONTA, PREPARO MECÂNICO COM MISTURADOR 300 KG, APLICADO EM ÁREAS SECAS MENORES QUE 15M2, ESPESSURA 5CM. AF_10/2014</t>
  </si>
  <si>
    <t>CONTRAPISO ACÚSTICO EM ARGAMASSA PRONTA, PREPARO MANUAL, APLICADO EM ÁREAS SECAS MENORES QUE 15M2, ESPESSURA 5CM. AF_10/2014</t>
  </si>
  <si>
    <t>CONTRAPISO ACÚSTICO EM ARGAMASSA TRAÇO 1:4 (CIMENTO E AREIA), PREPARO MECÂNICO COM BETONEIRA 400L, APLICADO EM ÁREAS SECAS MENORES QUE 15M2, ESPESSURA 6CM. AF_10/2014</t>
  </si>
  <si>
    <t>CONTRAPISO ACÚSTICO EM ARGAMASSA TRAÇO 1:4 (CIMENTO E AREIA), PREPARO MANUAL, APLICADO EM ÁREAS SECAS MENORES QUE 15M2, ESPESSURA 6CM. AF_10/2014</t>
  </si>
  <si>
    <t>CONTRAPISO ACÚSTICO EM ARGAMASSA PRONTA, PREPARO MECÂNICO COM MISTURADOR 300 KG, APLICADO EM ÁREAS SECAS MENORES QUE 15M2, ESPESSURA 6CM. AF_10/2014</t>
  </si>
  <si>
    <t>CONTRAPISO ACÚSTICO EM ARGAMASSA PRONTA, PREPARO MANUAL, APLICADO EM ÁREAS SECAS MENORES QUE 15M2, ESPESSURA 6CM. AF_10/2014</t>
  </si>
  <si>
    <t>CONTRAPISO ACÚSTICO EM ARGAMASSA TRAÇO 1:4 (CIMENTO E AREIA), PREPARO MECÂNICO COM BETONEIRA 400L, APLICADO EM ÁREAS SECAS MENORES QUE 15M2, ESPESSURA 7CM. AF_10/2014</t>
  </si>
  <si>
    <t>CONTRAPISO ACÚSTICO EM ARGAMASSA TRAÇO 1:4 (CIMENTO E AREIA), PREPARO MANUAL, APLICADO EM ÁREAS SECAS MENORES QUE 15M2, ESPESSURA 7CM. AF_10/2014</t>
  </si>
  <si>
    <t>CONTRAPISO ACÚSTICO EM ARGAMASSA PRONTA, PREPARO MECÂNICO COM MISTURADOR 300 KG, APLICADO EM ÁREAS SECAS MENORES QUE 15M2, ESPESSURA 7CM. AF_10/2014</t>
  </si>
  <si>
    <t>CONTRAPISO ACÚSTICO EM ARGAMASSA PRONTA, PREPARO MANUAL, APLICADO EM ÁREAS SECAS MENORES QUE 15M2, ESPESSURA 7CM. AF_10/2014</t>
  </si>
  <si>
    <t>CONTRAPISO ACÚSTICO EM ARGAMASSA TRAÇO 1:4 (CIMENTO E AREIA), PREPARO MECÂNICO COM BETONEIRA 400L, APLICADO EM ÁREAS SECAS MAIORES QUE 15M2, ESPESSURA 5CM. AF_10/2014</t>
  </si>
  <si>
    <t>CONTRAPISO ACÚSTICO EM ARGAMASSA TRAÇO 1:4 (CIMENTO E AREIA), PREPARO MANUAL, APLICADO EM ÁREAS SECAS MAIORES QUE 15M2, ESPESSURA 5CM. AF_10/2014</t>
  </si>
  <si>
    <t>CONTRAPISO ACÚSTICO EM ARGAMASSA PRONTA, PREPARO MECÂNICO COM MISTURADOR 300 KG, APLICADO EM ÁREAS SECAS MAIORES QUE 15M2, ESPESSURA 5CM. AF_10/2014</t>
  </si>
  <si>
    <t>CONTRAPISO ACÚSTICO EM ARGAMASSA PRONTA, PREPARO MANUAL, APLICADO EM ÁREAS SECAS MAIORES QUE 15M2, ESPESSURA 5CM. AF_10/2014</t>
  </si>
  <si>
    <t>CONTRAPISO ACÚSTICO EM ARGAMASSA TRAÇO 1:4 (CIMENTO E AREIA), PREPARO MECÂNICO COM BETONEIRA 400L, APLICADO EM ÁREAS SECAS MAIORES QUE 15M2, ESPESSURA 6CM. AF_10/2014</t>
  </si>
  <si>
    <t>CONTRAPISO ACÚSTICO EM ARGAMASSA TRAÇO 1:4 (CIMENTO E AREIA), PREPARO MANUAL, APLICADO EM ÁREAS SECAS MAIORES QUE 15M2, ESPESSURA 6CM. AF_10/2014</t>
  </si>
  <si>
    <t>CONTRAPISO ACÚSTICO EM ARGAMASSA PRONTA, PREPARO MECÂNICO COM MISTURADOR 300 KG, APLICADO EM ÁREAS SECAS MAIORES QUE 15M2, ESPESSURA 6CM. AF_10/2014</t>
  </si>
  <si>
    <t>CONTRAPISO ACÚSTICO EM ARGAMASSA PRONTA, PREPARO MANUAL, APLICADO EM ÁREAS SECAS MAIORES QUE 15M2, ESPESSURA 6CM. AF_10/2014</t>
  </si>
  <si>
    <t>CONTRAPISO ACÚSTICO EM ARGAMASSA TRAÇO 1:4 (CIMENTO E AREIA), PREPARO MECÂNICO COM BETONEIRA 400L, APLICADO EM ÁREAS SECAS MAIORES QUE 15M2, ESPESSURA 7CM. AF_10/2014</t>
  </si>
  <si>
    <t>CONTRAPISO ACÚSTICO EM ARGAMASSA TRAÇO 1:4 (CIMENTO E AREIA), PREPARO MANUAL, APLICADO EM ÁREAS SECAS MAIORES QUE 15M2, ESPESSURA 7CM. AF_10/2014</t>
  </si>
  <si>
    <t>CONTRAPISO ACÚSTICO EM ARGAMASSA PRONTA, PREPARO MECÂNICO COM MISTURADOR 300 KG, APLICADO EM ÁREAS SECAS MAIORES QUE 15M2, ESPESSURA 7CM. AF_10/2014</t>
  </si>
  <si>
    <t>CONTRAPISO ACÚSTICO EM ARGAMASSA PRONTA, PREPARO MANUAL, APLICADO EM ÁREAS SECAS MAIORES QUE 15M2, ESPESSURA 7CM. AF_10/2014</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</si>
  <si>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</si>
  <si>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</si>
  <si>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</si>
  <si>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</si>
  <si>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RODAPE BORRACHA LISO, ALTURA = 7CM, ESPESSURA = 2 MM, PARA ARGAMASSA</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</si>
  <si>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</si>
  <si>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</si>
  <si>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</si>
  <si>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</si>
  <si>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</si>
  <si>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</si>
  <si>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</si>
  <si>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</si>
  <si>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</si>
  <si>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</si>
  <si>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</si>
  <si>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</si>
  <si>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</si>
  <si>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</si>
  <si>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</si>
  <si>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</si>
  <si>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</si>
  <si>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</si>
  <si>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</si>
  <si>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</si>
  <si>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</si>
  <si>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</si>
  <si>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</si>
  <si>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</si>
  <si>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</si>
  <si>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</si>
  <si>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</si>
  <si>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</si>
  <si>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</si>
  <si>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</si>
  <si>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</si>
  <si>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</si>
  <si>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BARRA LISA TRACO 1:3 (CIMENTO E AREIA MEDIA), ESPESSURA 1,5CM, PREPARO MANUAL DA ARGAMASSA</t>
  </si>
  <si>
    <t>BARRA LISA TRACO 1:3 (CIMENTO E AREIA MEDIA), ESPESSURA 1,0CM, PREPARO MANUAL DA ARGAMASSA</t>
  </si>
  <si>
    <t>BARRA LISA TRACO 1:4 (CIMENTO E AREIA MEDIA), ESPESSURA 2,0CM, PREPARO MANUAL DA ARGAMASSA</t>
  </si>
  <si>
    <t>BARRA LISA TRACO 1:3 (CIMENTO E AREIA MEDIA), ESPESSURA 0,5CM, PREPARO MANUAL DA ARGAMASSA</t>
  </si>
  <si>
    <t>BARRA LISA TRACO 1:4 (CIMENTO E AREIA MEDIA), COM CORANTE AMARELO, ESPESSURA 2,0CM, PREPARO MANUAL DA ARGAMASSA</t>
  </si>
  <si>
    <t>BARRA LISA TRACO 1:3 (CIMENTO E AREIA MEDIA NAO PENEIRADA), INCLUSO ADITIVO IMPERMEABILIZANTE, ESPESSURA 0,5CM, PREPARO MANUAL DA ARGAMASSA</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</si>
  <si>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</si>
  <si>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</si>
  <si>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</si>
  <si>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</si>
  <si>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</si>
  <si>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</si>
  <si>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</si>
  <si>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</si>
  <si>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</si>
  <si>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</si>
  <si>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</si>
  <si>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</si>
  <si>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</si>
  <si>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</si>
  <si>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</si>
  <si>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</si>
  <si>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</si>
  <si>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</si>
  <si>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</si>
  <si>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</si>
  <si>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</si>
  <si>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</si>
  <si>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</si>
  <si>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</si>
  <si>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</si>
  <si>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</si>
  <si>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</si>
  <si>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</si>
  <si>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</si>
  <si>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</si>
  <si>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</si>
  <si>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</si>
  <si>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</si>
  <si>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</si>
  <si>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</si>
  <si>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</si>
  <si>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</si>
  <si>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</si>
  <si>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</si>
  <si>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</si>
  <si>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</si>
  <si>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</si>
  <si>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</si>
  <si>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</si>
  <si>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</si>
  <si>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</si>
  <si>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</si>
  <si>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</si>
  <si>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</si>
  <si>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</si>
  <si>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</si>
  <si>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</si>
  <si>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</si>
  <si>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MANUAL,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</si>
  <si>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</si>
  <si>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</si>
  <si>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</si>
  <si>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</si>
  <si>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</si>
  <si>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</si>
  <si>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</si>
  <si>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</si>
  <si>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</si>
  <si>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</si>
  <si>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</si>
  <si>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TRAÇO 1:2:8, PREPARO MANUAL,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</si>
  <si>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</si>
  <si>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</si>
  <si>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</si>
  <si>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</si>
  <si>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</si>
  <si>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</si>
  <si>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</si>
  <si>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</si>
  <si>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</si>
  <si>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</si>
  <si>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</si>
  <si>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</si>
  <si>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</si>
  <si>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</si>
  <si>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</si>
  <si>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</si>
  <si>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</si>
  <si>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</si>
  <si>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</si>
  <si>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</si>
  <si>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</si>
  <si>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</si>
  <si>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</si>
  <si>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</si>
  <si>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</si>
  <si>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</si>
  <si>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</si>
  <si>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</si>
  <si>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</si>
  <si>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</si>
  <si>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</si>
  <si>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</si>
  <si>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</si>
  <si>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</si>
  <si>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</si>
  <si>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</si>
  <si>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</si>
  <si>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</si>
  <si>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</si>
  <si>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</si>
  <si>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</si>
  <si>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</si>
  <si>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</si>
  <si>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</si>
  <si>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</si>
  <si>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</si>
  <si>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</si>
  <si>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</si>
  <si>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</si>
  <si>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</si>
  <si>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</si>
  <si>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</si>
  <si>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</si>
  <si>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</si>
  <si>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</si>
  <si>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</si>
  <si>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</si>
  <si>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</si>
  <si>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</si>
  <si>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</si>
  <si>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</si>
  <si>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</si>
  <si>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</si>
  <si>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</si>
  <si>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</si>
  <si>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</si>
  <si>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</si>
  <si>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</si>
  <si>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</si>
  <si>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</si>
  <si>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</si>
  <si>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</si>
  <si>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</si>
  <si>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</si>
  <si>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</si>
  <si>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</si>
  <si>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</si>
  <si>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</si>
  <si>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</si>
  <si>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</si>
  <si>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</si>
  <si>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(COMPOSIÇÃO REPRESENTATIVA) DO SERVIÇO DE REVESTIMENTO CERÂMICO PARA AMBIENTES DE ÁREAS MOLHADAS, MEIA PAREDE OU PAREDE INTEIRA, COM PLACAS TIPO GRÊS OU SEMI-GRÊS, DIMENSÕES 20X20 CM, PARA EDIFICAÇÃO HABITACIONAL MULTIFAMILIAR (PRÉDIO). AF_11/2014</t>
  </si>
  <si>
    <t>(COMPOSIÇÃO REPRESENTATIVA) DO SERVIÇO DE REVESTIMENTO CERÂMICO PARA PAREDES INTERNAS, MEIA PAREDE, OU PAREDE INTEIRA, PLACAS GRÊS OU SEMI-GRÊS DE 20X20 CM, PARA EDIFICAÇÕES HABITACIONAIS UNIFAMILIAR (CASAS) E EDIFICAÇÕES PÚBLICAS PADRÃO. AF_11/2014</t>
  </si>
  <si>
    <t>PEITORIL EM MARMORE BRANCO, LARGURA DE 15CM, ASSENTADO COM ARGAMASSA TRACO 1:4 (CIMENTO E AREIA MEDIA), PREPARO MANUAL DA ARGAMASSA</t>
  </si>
  <si>
    <t>PEITORIL EM MARMORE BRANCO, LARGURA DE 25CM, ASSENTADO COM ARGAMASSA TRACO 1:3 (CIMENTO E AREIA MEDIA), PREPARO MANUAL DA ARGAMASSA</t>
  </si>
  <si>
    <t>ASSENTAMENTO DE PEITORIL COM ARGAMASSA DE CIMENTO COLANTE</t>
  </si>
  <si>
    <t>TABEIRA DE MADEIRA LEI, 1A QUALIDADE, 2,5X30,0CM PARA BEIRAL DE TELHADO</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</si>
  <si>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</si>
  <si>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</si>
  <si>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</si>
  <si>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t>
  </si>
  <si>
    <t>FORRO EM DRYWALL, PARA AMBIENTES RESIDENCIAIS, INCLUSIVE ESTRUTURA DE FIXAÇÃO. AF_05/2017_P</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</si>
  <si>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</si>
  <si>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</si>
  <si>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</si>
  <si>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</si>
  <si>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73807/1</t>
  </si>
  <si>
    <t>CORRIMAO EM MARMORITE, LARGURA 15CM</t>
  </si>
  <si>
    <t>RECOLOCACO DE FORROS EM REGUA DE PVC E PERFIS, CONSIDERANDO REAPROVEITAMENTO DO MATERIAL</t>
  </si>
  <si>
    <t>FORRO EM RÉGUAS DE PVC, FRISADO, PARA AMBIENTES RESIDENCIAIS, INCLUSIVE ESTRUTURA DE FIXAÇÃO. AF_05/2017_P</t>
  </si>
  <si>
    <t>FORRO EM RÉGUAS DE PVC, FRISADO, PARA AMBIENTES COMERCIAIS, INCLUSIVE ESTRUTURA DE FIXAÇÃO. AF_05/2017_P</t>
  </si>
  <si>
    <t>ACABAMENTOS PARA FORRO (RODA-FORRO EM PERFIL METÁLICO E PLÁSTICO). AF_05/2017</t>
  </si>
  <si>
    <t>FORRO EM RÉGUAS DE PVC, LISO, PARA AMBIENTES RESIDENCIAIS, INCLUSIVE ESTRUTURA DE FIXAÇÃO. AF_05/2017_P</t>
  </si>
  <si>
    <t>FORRO DE PVC, LISO, PARA AMBIENTES COMERCIAIS, INCLUSIVE ESTRUTURA DE FIXAÇÃO. AF_05/2017_P</t>
  </si>
  <si>
    <t>ISOLAMENTO TERMICO COM ARGAMASSA TRACO 1:3 (CIMENTO E AREIA GROSSA NAO PENEIRADA), COM ADICAO DE PEROLAS DE ISOPOR, ESPESSURA 6CM, PREPARO MANUAL DA ARGAMASSA</t>
  </si>
  <si>
    <t>73833/1</t>
  </si>
  <si>
    <t>ISOLAMENTO TERMICO COM MANTA DE LA DE VIDRO, ESPESSURA 2,5CM</t>
  </si>
  <si>
    <t>REPARO ESTRUTURAL DE ESTRUTURAS DE CONCRETO COM ARGAMASSA POLIMERICA DE ALTO DESEMPENHO, E=2 CM</t>
  </si>
  <si>
    <t>REPARO/COLAGEM DE ESTRUTURAS DE CONCRETO COM ADESIVO ESTRUTURAL A BASE DE EPOXI, E=2 MM</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</si>
  <si>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</si>
  <si>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</si>
  <si>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</si>
  <si>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</si>
  <si>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</si>
  <si>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</si>
  <si>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</si>
  <si>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</si>
  <si>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PARA REVESTIMENTO DECORATIVO MONOCAMADA (MONOCAPA), MISTURA E PROJEÇÃO DE 2 M3/H DE ARGAMASSA. AF_06/2014</t>
  </si>
  <si>
    <t>ARGAMASSA INDUSTRIALIZADA PARA REVESTIMENTOS, MISTURA E PROJEÇÃO DE 2 M³/H DE ARGAMASSA. AF_06/2014</t>
  </si>
  <si>
    <t>ARGAMASSA TRAÇO 1:4 (CIMENTO E AREIA MÉDIA), PREPARO MECÂNICO COM BETONEIRA 400 L. AF_08/2014</t>
  </si>
  <si>
    <t>ARGAMASSA TRAÇO 1:1,65 (CIMENTO E AREIA MÉDIA), FCK 20 MPA, PREPARO MECÂNICO COM MISTURADOR DUPLO HORIZONTAL DE ALTA TURBULÊNCIA. AF_11/2016</t>
  </si>
  <si>
    <t>PENEIRAMENTO DE AREIA COM PENEIRA ELÉTRICA. AF_11/2015</t>
  </si>
  <si>
    <t>PENEIRAMENTO DE AREIA COM PENEIRA MANUAL. AF_11/2015</t>
  </si>
  <si>
    <t>ENSACAMENTO DE AREIA. AF_11/2015</t>
  </si>
  <si>
    <t>RASPAGEM / CALAFETACAO TACOS MADEIRA 1 DEMAO CERA</t>
  </si>
  <si>
    <t>ENCERAMENTO MANUAL EM MADEIRA - 3 DEMAOS</t>
  </si>
  <si>
    <t>74163/1</t>
  </si>
  <si>
    <t>PERFURACAO DE POCO COM PERFURATRIZ PNEUMATICA</t>
  </si>
  <si>
    <t>74163/2</t>
  </si>
  <si>
    <t>PERFURACAO DE POCO COM PERFURATRIZ A PERCUSSAO</t>
  </si>
  <si>
    <t>REVESTIMENTO DE POCOS C/ TUBOS DE CONCRETO</t>
  </si>
  <si>
    <t>ABRACADEIRA P/POCOS PROFUNDOS</t>
  </si>
  <si>
    <t>CONJUNTO DE MANGUEIRA PARA COMBATE A INCENDIO EM FIBRA DE POLIESTER PURA, COM 1.1/2", REVESTIDA INTERNAMENTE, COM 2 LANCES DE 15M CADA</t>
  </si>
  <si>
    <t>CONCRETO CICLOPICO FCK=10MPA 30% PEDRA DE MAO INCLUSIVE LANCAMENTO</t>
  </si>
  <si>
    <t>CAIXA PARA RALO C OM GRELHA FOFO 135 KG DE ALV TIJOLO MACICO (7X10X20) PAREDES DE UMA VEZ (0.20 M) DE 0.90X1.20X1.50 M (EXTERNA) COM ARGAMASSA 1:4 CIMENTO:AREIA, BASE CONC FCK=10 MPA, EXCLUSIVE ESCAVACAO E REATERRO.</t>
  </si>
  <si>
    <t>73916/2</t>
  </si>
  <si>
    <t>PLACA ESMALTADA PARA IDENTIFICAÇÃO NR DE RUA, DIMENSÕES 45X25CM</t>
  </si>
  <si>
    <t>73822/2</t>
  </si>
  <si>
    <t>LIMPEZA MECANIZADA DE TERRENO COM REMOCAO DE CAMADA VEGETAL, UTILIZANDO MOTONIVELADORA</t>
  </si>
  <si>
    <t>73859/1</t>
  </si>
  <si>
    <t>DESMATAMENTO E LIMPEZA MECANIZADA DE TERRENO COM REMOCAO DE CAMADA VEGETAL, UTILIZANDO TRATOR DE ESTEIRAS</t>
  </si>
  <si>
    <t>73859/2</t>
  </si>
  <si>
    <t>CAPINA E LIMPEZA MANUAL DE TERRENO</t>
  </si>
  <si>
    <t>CORTE DE CAPOEIRA FINA A FOICE</t>
  </si>
  <si>
    <t>PREPARO MANUAL DE TERRENO S/ RASPAGEM SUPERFICIAL</t>
  </si>
  <si>
    <t>74220/1</t>
  </si>
  <si>
    <t>TAPUME DE CHAPA DE MADEIRA COMPENSADA, E= 6MM, COM PINTURA A CAL E REAPROVEITAMENTO DE 2X</t>
  </si>
  <si>
    <t>74221/1</t>
  </si>
  <si>
    <t>SINALIZACAO DE TRANSITO - NOTURNA</t>
  </si>
  <si>
    <t>74219/1</t>
  </si>
  <si>
    <t>PASSADICOS COM TABUAS DE MADEIRA PARA PEDESTRES</t>
  </si>
  <si>
    <t>74219/2</t>
  </si>
  <si>
    <t>PASSADICOS COM TABUAS DE MADEIRA PARA VEICULOS</t>
  </si>
  <si>
    <t>CHAPA DE ACO CARBONO 3/8 (COLOC/ USO/ RETIR) P/ PASS VEICULO SOBRE VALA MEDIDA P/ AREA CHAPA EM CADA APLICACAO</t>
  </si>
  <si>
    <t>REMOCAO DE VIDRO COMUM</t>
  </si>
  <si>
    <t>ISOLAMENTO DE OBRA COM TELA PLASTICA COM MALHA DE 5MM</t>
  </si>
  <si>
    <t>ISOLAMENTO DE OBRA COM TELA PLASTICA COM MALHA DE 5MM E ESTRUTURA DE MADEIRA PONTALETEADA</t>
  </si>
  <si>
    <t>SERVIÇOS TÉCNICOS ESPECIALIZADOS PARA ACOMPANHAMENTO DE EXECUÇÃO DE FUNDAÇÕES PROFUNDAS E ESTRUTURAS DE CONTENÇÃO</t>
  </si>
  <si>
    <t>SERVICOS TOPOGRAFICOS PARA PAVIMENTACAO, INCLUSIVE NOTA DE SERVICOS, ACOMPANHAMENTO E GREIDE</t>
  </si>
  <si>
    <t>TRANSPORTE COM CAMINHÃO BASCULANTE DE 10 M3, EM VIA URBANA EM LEITO NATURAL (UNIDADE: M3XKM). AF_04/2016</t>
  </si>
  <si>
    <t>TRANSPORTE COM CAMINHÃO BASCULANTE DE 10 M3, EM VIA URBANA EM REVESTIMENTO PRIMÁRIO (UNIDADE: M3XKM). AF_04/2016</t>
  </si>
  <si>
    <t>TRANSPORTE COM CAMINHÃO BASCULANTE DE 10 M3, EM VIA URBANA PAVIMENTADA, DMT ACIMA DE 30KM (UNIDADE: M3XKM). AF_04/2016</t>
  </si>
  <si>
    <t>TRANSPORTE COM CAMINHÃO BASCULANTE DE 14 M3, EM VIA URBANA EM LEITO NATURAL (UNIDADE: M3XKM). AF_04/2016</t>
  </si>
  <si>
    <t>TRANSPORTE COM CAMINHÃO BASCULANTE DE 14 M3, EM VIA URBANA EM REVESTIMENTO PRIMÁRIO (UNIDADE: M3XKM). AF_04/2016</t>
  </si>
  <si>
    <t>TRANSPORTE COM CAMINHÃO BASCULANTE DE 14 M3, EM VIA URBANA PAVIMENTADA, DMT ACIMA DE 30 KM (UNIDADE: M3XKM). AF_04/2016</t>
  </si>
  <si>
    <t>TRANSPORTE COM CAMINHÃO BASCULANTE DE 18 M3, EM VIA URBANA EM LEITO NATURAL (UNIDADE: M3XKM). AF_09/2016</t>
  </si>
  <si>
    <t>TRANSPORTE COM CAMINHÃO BASCULANTE DE 18 M3, EM VIA URBANA EM REVESTIMENTO PRIMÁRIO (UNIDADE: M3XKM). AF_09/2016</t>
  </si>
  <si>
    <t>TRANSPORTE COM CAMINHÃO BASCULANTE DE 18 M3, EM VIA URBANA PAVIMENTADA, DMT ACIMA DE 30 KM(UNIDADE: M3XKM). AF_09/2016</t>
  </si>
  <si>
    <t>TRANSPORTE COM CAMINHÃO BASCULANTE DE 10 M3, EM VIA URBANA PAVIMENTADA, DMT ATÉ 30 KM (UNIDADE: M3XKM). AF_12/2016</t>
  </si>
  <si>
    <t>TRANSPORTE COM CAMINHÃO BASCULANTE DE 14 M3, EM VIA URBANA PAVIMENTADA, DMT ATÉ 30 KM (UNIDADE: M3XKM). AF_12/2016</t>
  </si>
  <si>
    <t>TRANSPORTE COM CAMINHÃO BASCULANTE DE 18 M3, EM VIA URBANA PAVIMENTADA, DMT ATÉ 30 KM (UNIDADE: M3XKM). AF_12/2016</t>
  </si>
  <si>
    <t>TRANSPORTE DE MATERIAL ASFALTICO, COM CAMINHÃO COM CAPACIDADE DE 30000 L EM RODOVIA PAVIMENTADA PARA DISTÂNCIAS MÉDIAS DE TRANSPORTE SUPERIORES A 100 KM. AF_02/2016</t>
  </si>
  <si>
    <t>TRANSPORTE DE MATERIAL ASFALTICO, COM CAMINHÃO COM CAPACIDADE DE 20000 L EM RODOVIA PAVIMENTADA PARA DISTÂNCIAS MÉDIAS DE TRANSPORTE IGUAL OU INFERIOR A 100 KM. AF_02/2016</t>
  </si>
  <si>
    <t>TRANSPORTE DE MATERIAL ASFALTICO, COM CAMINHÃO COM CAPACIDADE DE 30000 L EM RODOVIA NÃO PAVIMENTADA PARA DISTÂNCIAS MÉDIAS DE TRANSPORTE SUPERIORES A 100 KM. AF_02/2016</t>
  </si>
  <si>
    <t>TRANSPORTE DE MATERIAL ASFALTICO, COM CAMINHÃO COM CAPACIDADE DE 20000 L EM RODOVIA NÃO PAVIMENTADA PARA DISTÂNCIAS MÉDIAS DE TRANSPORTE IGUAL OU INFERIOR A 100 KM. AF_02/2016</t>
  </si>
  <si>
    <t>74038/1</t>
  </si>
  <si>
    <t>PORTAO COM MOUROES DE MADEIRA ROLICA, DIAMETRO 11CM, COM 5 FIOS DE ARAME FARPADO Nº 14 CLASSE 250, SEM DOBRADICAS</t>
  </si>
  <si>
    <t>74039/1</t>
  </si>
  <si>
    <t>CERCA COM MOUROES DE MADEIRA ROLICA, DIAMETRO 11CM, ESPACAMENTO DE 2M, ALTURA LIVRE DE 1M, CRAVADOS 0,5M, COM 5 FIOS DE ARAME FARPADO Nº 14 CLASSE 250</t>
  </si>
  <si>
    <t>74142/1</t>
  </si>
  <si>
    <t>CERCA COM MOUROES DE CONCRETO, RETO, ESPACAMENTO DE 3M, CRAVADOS 0,5M, COM 4 FIOS DE ARAME FARPADO Nº 14 CLASSE 250</t>
  </si>
  <si>
    <t>74142/2</t>
  </si>
  <si>
    <t>CERCA COM MOUROES DE MADEIRA, 7,5X7,5CM, ESPACAMENTO DE 2M, ALTURA LIVRE DE 2M, CRAVADOS 0,5M, COM 4 FIOS DE ARAME FARPADO Nº 14 CLASSE 250</t>
  </si>
  <si>
    <t>74142/3</t>
  </si>
  <si>
    <t>CERCA COM MOUROES DE MADEIRA, 7,5X7,5CM, ESPACAMENTO DE 2M, ALTURA LIVRE DE 2M, CRAVADOS 0,5M, COM 8 FIOS DE ARAME FARPADO Nº 14 CLASSE 250</t>
  </si>
  <si>
    <t>74142/4</t>
  </si>
  <si>
    <t>CERCA COM MOUROES DE CONCRETO, SECAO "T" PONTA INCLINADA, 10X10CM, ESPACAMENTO DE 3M, CRAVADOS 0,5M, COM 11 FIOS DE ARAME FARPADO Nº 16</t>
  </si>
  <si>
    <t>74143/1</t>
  </si>
  <si>
    <t>CERCA COM MOUROES DE CONCRETO, RETO, 15X15CM, ESPACAMENTO DE 3M, CRAVADOS 0,5M, ESCORAS DE 10X10CM NOS CANTOS, COM 12 FIOS DE ARAME DE ACO OVALADO 15X17</t>
  </si>
  <si>
    <t>74143/2</t>
  </si>
  <si>
    <t>CERCA COM MOUROES DE CONCRETO, RETO, 15X15CM, ESPACAMENTO DE 3M, CRAVADOS 0,5M, ESCORAS DE 10X10CM NOS CANTOS, COM 9 FIOS DE ARAME DE ACO OVALADO 15X17</t>
  </si>
  <si>
    <t>RECOMPOSICAO PARCIAL DO ARAME FARPADO Nº 14 CLASSE 250, FIXADO EM CERCA COM MOURÕES DE CONCRETO, RETO, 15X15CM</t>
  </si>
  <si>
    <t>73787/1</t>
  </si>
  <si>
    <t>ALAMBRADO EM TUBOS DE ACO GALVANIZADO, COM COSTURA, DIN 2440, DIAMETRO 2", ALTURA 3M, FIXADOS A CADA 2M EM BLOCOS DE CONCRETO, COM TELA DE ARAME GALVANIZADO REVESTIDO COM PVC, FIO 12 BWG E MALHA 7,5X7,5CM</t>
  </si>
  <si>
    <t>74244/1</t>
  </si>
  <si>
    <t>ALAMBRADO PARA QUADRA POLIESPORTIVA, ESTRUTURADO POR TUBOS DE ACO GALVANIZADO, COM COSTURA, DIN 2440, DIAMETRO 2", COM TELA DE ARAME GALVANIZADO, FIO 14 BWG E MALHA QUADRADA 5X5CM</t>
  </si>
  <si>
    <t>73788/2</t>
  </si>
  <si>
    <t>GRADE EM MADEIRA PARA PROTECAO DE MUDAS DE ARVORES</t>
  </si>
  <si>
    <t>PLANTIO DE GRAMA SAO CARLOS EM LEIVAS</t>
  </si>
  <si>
    <t>PLANTIO DE GRAMA ESMERALDA EM ROLO</t>
  </si>
  <si>
    <t>RETIRADA DE GRAMA EM PLACAS</t>
  </si>
  <si>
    <t>PODA E LIMPEZA DE ARBUSTO TIPO CERCA VIVA</t>
  </si>
  <si>
    <t>AJUDANTE DE ARMADOR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</si>
  <si>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</si>
  <si>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</si>
  <si>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</si>
  <si>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</si>
  <si>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</si>
  <si>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</si>
  <si>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</si>
  <si>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</si>
  <si>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</si>
  <si>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</si>
  <si>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</si>
  <si>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</si>
  <si>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CADASTRISTA DE REDES DE AGUA E ESGOTO COM ENCARGOS COMPLEMENTARES</t>
  </si>
  <si>
    <t>CALAFETADOR/CALAFATE COM ENCARGOS COMPLEMENTARES</t>
  </si>
  <si>
    <t>CAVOUQUEIRO OU OPERADOR PERFURATRIZ/ROMPEDOR COM ENCARGOS COMPLEMENTARES</t>
  </si>
  <si>
    <t>ELETRICISTA INDUSTRIAL COM ENCARGOS COMPLEMENTARES</t>
  </si>
  <si>
    <t>ELETROTÉCNICO COM ENCARGOS COMPLEMENTARES</t>
  </si>
  <si>
    <t>ESTUCADOR COM ENCARGOS COMPLEMENTARES</t>
  </si>
  <si>
    <t>GESSEIRO COM ENCARGOS COMPLEMENTARES</t>
  </si>
  <si>
    <t>IMPERMEABILIZADOR COM ENCARGOS COMPLEMENTARES</t>
  </si>
  <si>
    <t>MACARIQUEIRO COM ENCARGOS COMPLEMENTARES</t>
  </si>
  <si>
    <t>MARCENEIRO COM ENCARGOS COMPLEMENTARES</t>
  </si>
  <si>
    <t>MECÃNICO DE EQUIPAMENTOS PESADOS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</si>
  <si>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</si>
  <si>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</si>
  <si>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</si>
  <si>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</si>
  <si>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</si>
  <si>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</si>
  <si>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</si>
  <si>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</si>
  <si>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</si>
  <si>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</si>
  <si>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</si>
  <si>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</si>
  <si>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</si>
  <si>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</si>
  <si>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</si>
  <si>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</si>
  <si>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</si>
  <si>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</si>
  <si>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</si>
  <si>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</si>
  <si>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</si>
  <si>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</si>
  <si>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</si>
  <si>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</si>
  <si>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</si>
  <si>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</si>
  <si>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</si>
  <si>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</si>
  <si>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COM ENCARGOS COMPLEMENTARES</t>
  </si>
  <si>
    <t>RASTELEIRO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</si>
  <si>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</si>
  <si>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</si>
  <si>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</si>
  <si>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</si>
  <si>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</si>
  <si>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TRATORISTA COM ENCARGOS COMPLEMENTARES</t>
  </si>
  <si>
    <t>VIDRACEIRO COM ENCARGOS COMPLEMENTARES</t>
  </si>
  <si>
    <t>OPERADOR DE BETONEIRA ESTACIONÁRIA/MISTURADOR COM ENCARGOS COMPLEMENTARES</t>
  </si>
  <si>
    <t>JARDINEIRO COM ENCARGOS COMPLEMENTARES</t>
  </si>
  <si>
    <t>DESENHISTA DETALHISTA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</si>
  <si>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</si>
  <si>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</si>
  <si>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</si>
  <si>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</si>
  <si>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</si>
  <si>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</si>
  <si>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</si>
  <si>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</si>
  <si>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</si>
  <si>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</si>
  <si>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</si>
  <si>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TOPOGRAFO COM ENCARGOS COMPLEMENTARES</t>
  </si>
  <si>
    <t>ENGENHEIRO ELETRICISTA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</si>
  <si>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</si>
  <si>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</si>
  <si>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</si>
  <si>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</si>
  <si>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</si>
  <si>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</si>
  <si>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</si>
  <si>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</si>
  <si>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</si>
  <si>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</si>
  <si>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</si>
  <si>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</si>
  <si>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</si>
  <si>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</si>
  <si>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</si>
  <si>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</si>
  <si>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</si>
  <si>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</si>
  <si>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</si>
  <si>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</si>
  <si>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</si>
  <si>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</si>
  <si>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</si>
  <si>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</si>
  <si>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CALAFETADOR/CALAFATE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</si>
  <si>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</si>
  <si>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</si>
  <si>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</si>
  <si>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</si>
  <si>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</si>
  <si>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</si>
  <si>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</si>
  <si>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</si>
  <si>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ESTUCADOR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</si>
  <si>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</si>
  <si>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</si>
  <si>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</si>
  <si>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</si>
  <si>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</si>
  <si>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</si>
  <si>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</si>
  <si>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</si>
  <si>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</si>
  <si>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</si>
  <si>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</si>
  <si>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</si>
  <si>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</si>
  <si>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</si>
  <si>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</si>
  <si>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</si>
  <si>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</si>
  <si>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</si>
  <si>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</si>
  <si>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</si>
  <si>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</si>
  <si>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</si>
  <si>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</si>
  <si>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</si>
  <si>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</si>
  <si>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</si>
  <si>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</si>
  <si>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</si>
  <si>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</si>
  <si>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</si>
  <si>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</si>
  <si>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</si>
  <si>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</si>
  <si>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</si>
  <si>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</si>
  <si>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</si>
  <si>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</si>
  <si>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</si>
  <si>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</si>
  <si>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</si>
  <si>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</si>
  <si>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</si>
  <si>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</si>
  <si>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</si>
  <si>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</si>
  <si>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</si>
  <si>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</si>
  <si>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</si>
  <si>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</si>
  <si>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</si>
  <si>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</si>
  <si>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</si>
  <si>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</si>
  <si>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</si>
  <si>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</si>
  <si>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</si>
  <si>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</si>
  <si>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</si>
  <si>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</si>
  <si>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</si>
  <si>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</si>
  <si>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</si>
  <si>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</si>
  <si>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</si>
  <si>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</si>
  <si>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</si>
  <si>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</si>
  <si>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</si>
  <si>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</si>
  <si>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</si>
  <si>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</si>
  <si>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</si>
  <si>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</si>
  <si>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</si>
  <si>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</si>
  <si>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</si>
  <si>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</si>
  <si>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</si>
  <si>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</si>
  <si>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</si>
  <si>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</si>
  <si>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</si>
  <si>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</si>
  <si>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</si>
  <si>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</si>
  <si>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LOCALIDADE: 4495 - BRASILIA</t>
  </si>
  <si>
    <t xml:space="preserve">CODIGO  </t>
  </si>
  <si>
    <t>DESCRICAO DO INSUMO</t>
  </si>
  <si>
    <t xml:space="preserve">H     </t>
  </si>
  <si>
    <t xml:space="preserve">UN    </t>
  </si>
  <si>
    <t xml:space="preserve">M3    </t>
  </si>
  <si>
    <t xml:space="preserve">M2    </t>
  </si>
  <si>
    <t xml:space="preserve">M     </t>
  </si>
  <si>
    <t xml:space="preserve">KG    </t>
  </si>
  <si>
    <t xml:space="preserve">L     </t>
  </si>
  <si>
    <t xml:space="preserve">18L   </t>
  </si>
  <si>
    <t xml:space="preserve">MES   </t>
  </si>
  <si>
    <t xml:space="preserve">PAR   </t>
  </si>
  <si>
    <t xml:space="preserve">DM3   </t>
  </si>
  <si>
    <t xml:space="preserve">JG    </t>
  </si>
  <si>
    <t xml:space="preserve">MIL   </t>
  </si>
  <si>
    <t xml:space="preserve">T     </t>
  </si>
  <si>
    <t xml:space="preserve">50KG  </t>
  </si>
  <si>
    <t xml:space="preserve">CJ    </t>
  </si>
  <si>
    <t xml:space="preserve">100M  </t>
  </si>
  <si>
    <t xml:space="preserve">KW/H  </t>
  </si>
  <si>
    <t xml:space="preserve">CENTO </t>
  </si>
  <si>
    <t xml:space="preserve">GL    </t>
  </si>
  <si>
    <t>SC25KG</t>
  </si>
  <si>
    <t xml:space="preserve">310ML </t>
  </si>
  <si>
    <t>SERVIÇO</t>
  </si>
  <si>
    <t>CCU</t>
  </si>
  <si>
    <t>INSUMO</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</si>
  <si>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</si>
  <si>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</si>
  <si>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</si>
  <si>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</si>
  <si>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</si>
  <si>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</si>
  <si>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</si>
  <si>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</si>
  <si>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</si>
  <si>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</si>
  <si>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</si>
  <si>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</si>
  <si>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</si>
  <si>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</si>
  <si>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</si>
  <si>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</si>
  <si>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</si>
  <si>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</si>
  <si>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</si>
  <si>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</si>
  <si>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</si>
  <si>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</si>
  <si>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</si>
  <si>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</si>
  <si>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</si>
  <si>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</si>
  <si>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</si>
  <si>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</si>
  <si>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</si>
  <si>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</si>
  <si>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</si>
  <si>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</si>
  <si>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</si>
  <si>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</si>
  <si>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</si>
  <si>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</si>
  <si>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</si>
  <si>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</si>
  <si>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</si>
  <si>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</si>
  <si>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</si>
  <si>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</si>
  <si>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</si>
  <si>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</si>
  <si>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</si>
  <si>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</si>
  <si>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</si>
  <si>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</si>
  <si>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</si>
  <si>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</si>
  <si>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</si>
  <si>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</si>
  <si>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</si>
  <si>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</si>
  <si>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</si>
  <si>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</si>
  <si>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</si>
  <si>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</si>
  <si>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</si>
  <si>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</si>
  <si>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</si>
  <si>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</si>
  <si>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</si>
  <si>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</si>
  <si>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</si>
  <si>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</si>
  <si>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</si>
  <si>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</si>
  <si>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</si>
  <si>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</si>
  <si>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</si>
  <si>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EXECUÇÃO DE RESERVATÓRIO ELEVADO DE ÁGUA (2000 LITROS) EM CANTEIRO DE OBRA, APOIADO EM ESTRUTURA DE MADEIRA. AF_02/2016</t>
  </si>
  <si>
    <t>TUBULÃO A CÉU ABERTO, DIÂMETRO DO FUSTE DE 70 CM, PROFUNDIDADE MENOR OU IGUAL A 5 M, ESCAVAÇÃO MANUAL, SEM ALARGAMENTO DE BASE, CONCRETO FEITO EM OBRA E LANÇADO COM JERICA. AF_01/2018</t>
  </si>
  <si>
    <t>TUBULÃO A CÉU ABERTO, DIÂMETRO DO FUSTE DE 80 CM, PROFUNDIDADE MENOR OU IGUAL A 5 M, ESCAVAÇÃO MANUAL, SEM ALARGAMENTO DE BASE, CONCRETO FEITO EM OBRA E LANÇADO COM JERICA. AF_01/2018</t>
  </si>
  <si>
    <t>TUBULÃO A CÉU ABERTO, DIÂMETRO DO FUSTE DE 100 CM, PROFUNDIDADE MENOR OU IGUAL A 5 M, ESCAVAÇÃO MANUAL, SEM ALARGAMENTO DE BASE, CONCRETO FEITO EM OBRA E LANÇADO COM JERICA. AF_01/2018</t>
  </si>
  <si>
    <t>TUBULÃO A CÉU ABERTO, DIÂMETRO DO FUSTE DE 120 CM, PROFUNDIDADE MENOR OU IGUAL A 5 M, ESCAVAÇÃO MANUAL, SEM ALARGAMENTO DE BASE, CONCRETO FEITO EM OBRA E LANÇADO COM JERICA. AF_01/2018</t>
  </si>
  <si>
    <t>TUBULÃO A CÉU ABERTO, DIÂMETRO DO FUSTE DE 70 CM, PROFUNDIDADE MAIOR QUE 5 M E MENOR OU IGUAL A 10 M, ESCAVAÇÃO MANUAL, SEM ALARGAMENTO DE BASE, CONCRETO FEITO EM OBRA E LANÇADO COM JERICA. AF_01/2018</t>
  </si>
  <si>
    <t>TUBULÃO A CÉU ABERTO, DIÂMETRO DO FUSTE DE 80 CM, PROFUNDIDADE MAIOR QUE 5 M E MENOR OU IGUAL A 10 M, ESCAVAÇÃO MANUAL, SEM ALARGAMENTO DE BASE, CONCRETO FEITO EM OBRA E LANÇADO COM JERICA. AF_01/2018</t>
  </si>
  <si>
    <t>TUBULÃO A CÉU ABERTO, DIÂMETRO DO FUSTE DE 100 CM, PROFUNDIDADE MAIOR QUE 5 M E MENOR OU IGUAL A 10 M, ESCAVAÇÃO MANUAL, SEM ALARGAMENTO DE BASE, CONCRETO FEITO EM OBRA E LANÇADO COM JERICA. AF_01/2018</t>
  </si>
  <si>
    <t>TUBULÃO A CÉU ABERTO, DIÂMETRO DO FUSTE DE 120 CM, PROFUNDIDADE MAIOR QUE 5 M E MENOR OU IGUAL A 10 M, ESCAVAÇÃO MANUAL, SEM ALARGAMENTO DE BASE, CONCRETO FEITO EM OBRA E LANÇADO COM JERICA. AF_01/2018</t>
  </si>
  <si>
    <t>TUBULÃO A CÉU ABERTO, DIÂMETRO DO FUSTE DE 70 CM, PROFUNDIDADE MAIOR QUE 10 M, ESCAVAÇÃO MANUAL, SEM ALARGAMENTO DE BASE, CONCRETO FEITO EM OBRA E LANÇADO COM JERICA. AF_01/2018</t>
  </si>
  <si>
    <t>TUBULÃO A CÉU ABERTO, DIÂMETRO DO FUSTE DE 80 CM, PROFUNDIDADE MAIOR QUE 10 M, ESCAVAÇÃO MANUAL, SEM ALARGAMENTO DE BASE, CONCRETO FEITO EM OBRA E LANÇADO COM JERICA. AF_01/2018</t>
  </si>
  <si>
    <t>TUBULÃO A CÉU ABERTO, DIÂMETRO DO FUSTE DE 100 CM, PROFUNDIDADE MAIOR QUE 10 M, ESCAVAÇÃO MANUAL, SEM ALARGAMENTO DE BASE, CONCRETO FEITO EM OBRA E LANÇADO COM JERICA. AF_01/2018</t>
  </si>
  <si>
    <t>TUBULÃO A CÉU ABERTO, DIÂMETRO DO FUSTE DE 120 CM, PROFUNDIDADE MAIOR QUE 10 M, ESCAVAÇÃO MANUAL, SEM ALARGAMENTO DE BASE, CONCRETO FEITO EM OBRA E LANÇADO COM JERICA. AF_01/2018</t>
  </si>
  <si>
    <t>TUBULÃO A CÉU ABERTO, DIÂMETRO DO FUSTE DE 70 CM, PROFUNDIDADE MENOR OU IGUAL A 5 M, ESCAVAÇÃO MECÂNICA, SEM ALARGAMENTO DE BASE, CONCRETO FEITO EM OBRA E LANÇADO COM JERICA. AF_01/2018</t>
  </si>
  <si>
    <t>TUBULÃO A CÉU ABERTO, DIÂMETRO DO FUSTE DE 80 CM, PROFUNDIDADE MENOR OU IGUAL A 5 M, ESCAVAÇÃO MECÂNICA, SEM ALARGAMENTO DE BASE, CONCRETO FEITO EM OBRA E LANÇADO COM JERICA. AF_01/2018</t>
  </si>
  <si>
    <t>TUBULÃO A CÉU ABERTO, DIÂMETRO DO FUSTE DE 100 CM, PROFUNDIDADE MENOR OU IGUAL A 5 M, ESCAVAÇÃO MECÂNICA, SEM ALARGAMENTO DE BASE, CONCRETO FEITO EM OBRA E LANÇADO COM JERICA. AF_01/2018</t>
  </si>
  <si>
    <t>TUBULÃO A CÉU ABERTO, DIÂMETRO DO FUSTE DE 120 CM, PROFUNDIDADE MENOR OU IGUAL A 5 M, ESCAVAÇÃO MECÂNICA, SEM ALARGAMENTO DE BASE, CONCRETO FEITO EM OBRA E LANÇADO COM JERICA. AF_01/2018</t>
  </si>
  <si>
    <t>TUBULÃO A CÉU ABERTO, DIÂMETRO DO FUSTE DE 70 CM, PROFUNDIDADE MAIOR QUE 5 M E MENOR OU IGUAL A 10 M, ESCAVAÇÃO MECÂNICA, SEM ALARGAMENTO DE BASE, CONCRETO FEITO EM OBRA E LANÇADO COM JERICA. AF_01/2018</t>
  </si>
  <si>
    <t>TUBULÃO A CÉU ABERTO, DIÂMETRO DO FUSTE DE 80 CM, PROFUNDIDADE MAIOR QUE 5 M E MENOR OU IGUAL A 10 M, ESCAVAÇÃO MECÂNICA, SEM ALARGAMENTO DE BASE, CONCRETO FEITO EM OBRA E LANÇADO COM JERICA. AF_01/2018</t>
  </si>
  <si>
    <t>TUBULÃO A CÉU ABERTO, DIÂMETRO DO FUSTE DE 100 CM, PROFUNDIDADE MAIOR QUE 5 M E MENOR OU IGUAL A 10 M, ESCAVAÇÃO MECÂNICA, SEM ALARGAMENTO DE BASE, CONCRETO FEITO EM OBRA E LANÇADO COM JERICA. AF_01/2018</t>
  </si>
  <si>
    <t>TUBULÃO A CÉU ABERTO, DIÂMETRO DO FUSTE DE 120 CM, PROFUNDIDADE MAIOR QUE 5 M E MENOR OU IGUAL A 10 M, ESCAVAÇÃO MECÂNICA, SEM ALARGAMENTO DE BASE, CONCRETO FEITO EM OBRA E LANÇADO COM JERICA. AF_01/2018</t>
  </si>
  <si>
    <t>TUBULÃO A CÉU ABERTO, DIÂMETRO DO FUSTE DE 70 CM, PROFUNDIDADE MAIOR QUE 10 M, ESCAVAÇÃO MECÂNICA, SEM ALARGAMENTO DE BASE, CONCRETO FEITO EM OBRA E LANÇADO COM JERICA. AF_01/2018</t>
  </si>
  <si>
    <t>TUBULÃO A CÉU ABERTO, DIÂMETRO DO FUSTE DE 80 CM, PROFUNDIDADE MAIOR QUE 10 M, ESCAVAÇÃO MECÂNICA, SEM ALARGAMENTO DE BASE, CONCRETO FEITO EM OBRA E LANÇADO COM JERICA. AF_01/2018</t>
  </si>
  <si>
    <t>TUBULÃO A CÉU ABERTO, DIÂMETRO DO FUSTE DE 100 CM, PROFUNDIDADE MAIOR QUE 10 M, ESCAVAÇÃO MECÂNICA, SEM ALARGAMENTO DE BASE, CONCRETO FEITO EM OBRA E LANÇADO COM JERICA. AF_01/2018</t>
  </si>
  <si>
    <t>TUBULÃO A CÉU ABERTO, DIÂMETRO DO FUSTE DE 120 CM, PROFUNDIDADE MAIOR QUE 10 M, ESCAVAÇÃO MECÂNICA, SEM ALARGAMENTO DE BASE, CONCRETO FEITO EM OBRA E LANÇADO COM JERICA. AF_01/2018</t>
  </si>
  <si>
    <t>TUBULÃO A CÉU ABERTO, DIÂMETRO DO FUSTE DE 70 CM, PROFUNDIDADE MENOR OU IGUAL A 5 M, ESCAVAÇÃO MANUAL, SEM ALARGAMENTO DE BASE, CONCRETO USINADO E LANÇADO COM BOMBA OU DIRETAMENTE DO CAMINHÃO. AF_01/2018</t>
  </si>
  <si>
    <t>TUBULÃO A CÉU ABERTO, DIÂMETRO DO FUSTE DE 80 CM, PROFUNDIDADE MENOR OU IGUAL A 5 M, ESCAVAÇÃO MANUAL, SEM ALARGAMENTO DE BASE, CONCRETO USINADO E LANÇADO COM BOMBA OU DIRETAMENTE DO CAMINHÃO. AF_01/2018</t>
  </si>
  <si>
    <t>TUBULÃO A CÉU ABERTO, DIÂMETRO DO FUSTE DE 100 CM, PROFUNDIDADE MENOR OU IGUAL A 5 M, ESCAVAÇÃO MANUAL, SEM ALARGAMENTO DE BASE, CONCRETO USINADO E LANÇADO COM BOMBA OU DIRETAMENTE DO CAMINHÃO. AF_01/2018</t>
  </si>
  <si>
    <t>TUBULÃO A CÉU ABERTO, DIÂMETRO DO FUSTE DE 120 CM, PROFUNDIDADE MENOR OU IGUAL A 5 M, ESCAVAÇÃO MANUAL, SEM ALARGAMENTO DE BASE, CONCRETO USINADO E LANÇADO COM BOMBA OU DIRETAMENTE DO CAMINHÃO. AF_01/2018</t>
  </si>
  <si>
    <t>TUBULÃO A CÉU ABERTO, DIÂMETRO DO FUSTE DE 70 CM, PROFUNDIDADE MAIOR QUE 5 M E MENOR OU IGUAL A 10 M, ESCAVAÇÃO MANUAL, SEM ALARGAMENTO DE BASE, CONCRETO USINADO E LANÇADO COM BOMBA OU DIRETAMENTE DO CAMINHÃO. AF_01/2018</t>
  </si>
  <si>
    <t>TUBULÃO A CÉU ABERTO, DIÂMETRO DO FUSTE DE 80 CM, PROFUNDIDADE MAIOR QUE 5 M E MENOR OU IGUAL A 10 M, ESCAVAÇÃO MANUAL, SEM ALARGAMENTO DE BASE, CONCRETO USINADO E LANÇADO COM BOMBA OU DIRETAMENTE DO CAMINHÃO. AF_01/2018</t>
  </si>
  <si>
    <t>TUBULÃO A CÉU ABERTO, DIÂMETRO DO FUSTE DE 100 CM, PROFUNDIDADE MAIOR QUE 5 M E MENOR OU IGUAL A 10 M, ESCAVAÇÃO MANUAL, SEM ALARGAMENTO DE BASE, CONCRETO USINADO E LANÇADO COM BOMBA OU DIRETAMENTE DO CAMINHÃO. AF_01/2018</t>
  </si>
  <si>
    <t>TUBULÃO A CÉU ABERTO, DIÂMETRO DO FUSTE DE 120 CM, PROFUNDIDADE MAIOR QUE 5 M E MENOR OU IGUAL A 10 M, ESCAVAÇÃO MANUAL, SEM ALARGAMENTO DE BASE, CONCRETO USINADO E LANÇADO COM BOMBA OU DIRETAMENTE DO CAMINHÃO. AF_01/2018</t>
  </si>
  <si>
    <t>TUBULÃO A CÉU ABERTO, DIÂMETRO DO FUSTE DE 70 CM, PROFUNDIDADE MAIOR QUE 10 M, ESCAVAÇÃO MANUAL, SEM ALARGAMENTO DE BASE, CONCRETO USINADO E LANÇADO COM BOMBA OU DIRETAMENTE DO CAMINHÃO. AF_01/2018</t>
  </si>
  <si>
    <t>TUBULÃO A CÉU ABERTO, DIÂMETRO DO FUSTE DE 80 CM, PROFUNDIDADE MAIOR QUE 10 M, ESCAVAÇÃO MANUAL, SEM ALARGAMENTO DE BASE, CONCRETO USINADO E LANÇADO COM BOMBA OU DIRETAMENTE DO CAMINHÃO. AF_01/2018</t>
  </si>
  <si>
    <t>TUBULÃO A CÉU ABERTO, DIÂMETRO DO FUSTE DE 100 CM, PROFUNDIDADE MAIOR QUE 10 M, ESCAVAÇÃO MANUAL, SEM ALARGAMENTO DE BASE, CONCRETO USINADO E LANÇADO COM BOMBA OU DIRETAMENTE DO CAMINHÃO. AF_01/2018</t>
  </si>
  <si>
    <t>TUBULÃO A CÉU ABERTO, DIÂMETRO DO FUSTE DE 120 CM, PROFUNDIDADE MAIOR QUE 10 M, ESCAVAÇÃO MANUAL, SEM ALARGAMENTO DE BASE, CONCRETO USINADO E LANÇADO COM BOMBA OU DIRETAMENTE DO CAMINHÃO. AF_01/2018</t>
  </si>
  <si>
    <t>TUBULÃO A CÉU ABERTO, DIÂMETRO DO FUSTE DE 70 CM, PROFUNDIDADE MENOR OU IGUAL A 5 M, ESCAVAÇÃO MECÂNICA, SEM ALARGAMENTO DE BASE, CONCRETO USINADO E LANÇADO COM BOMBA OU DIRETAMENTE DO CAMINHÃO. AF_01/2018</t>
  </si>
  <si>
    <t>TUBULÃO A CÉU ABERTO, DIÂMETRO DO FUSTE DE 80 CM, PROFUNDIDADE MENOR OU IGUAL A 5 M, ESCAVAÇÃO MECÂNICA, SEM ALARGAMENTO DE BASE, CONCRETO USINADO E LANÇADO COM BOMBA OU DIRETAMENTE DO CAMINHÃO. AF_01/2018</t>
  </si>
  <si>
    <t>TUBULÃO A CÉU ABERTO, DIÂMETRO DO FUSTE DE 100 CM, PROFUNDIDADE MENOR OU IGUAL A 5 M, ESCAVAÇÃO MECÂNICA, SEM ALARGAMENTO DE BASE, CONCRETO USINADO E LANÇADO COM BOMBA OU DIRETAMENTE DO CAMINHÃO. AF_01/2018</t>
  </si>
  <si>
    <t>TUBULÃO A CÉU ABERTO, DIÂMETRO DO FUSTE DE 120 CM, PROFUNDIDADE MENOR OU IGUAL A 5 M, ESCAVAÇÃO MECÂNICA, SEM ALARGAMENTO DE BASE, CONCRETO USINADO E LANÇADO COM BOMBA OU DIRETAMENTE DO CAMINHÃO. AF_01/2018</t>
  </si>
  <si>
    <t>TUBULÃO A CÉU ABERTO, DIÂMETRO DO FUSTE DE 70 CM, PROFUNDIDADE MAIOR QUE 5 M E MENOR OU IGUAL A 10M, ESCAVAÇÃO MECÂNICA, SEM ALARGAMENTO DE BASE, CONCRETO USINADO E LANÇADO COM BOMBA OU DIRETAMENTE DO CAMINHÃO. AF_01/2018</t>
  </si>
  <si>
    <t>TUBULÃO A CÉU ABERTO, DIÂMETRO DO FUSTE DE 80 CM, PROFUNDIDADE MAIOR QUE 5 M E MENOR OU IGUAL A 10M, ESCAVAÇÃO MECÂNICA, SEM ALARGAMENTO DE BASE, CONCRETO USINADO E LANÇADO COM BOMBA OU DIRETAMENTE DO CAMINHÃO. AF_01/2018</t>
  </si>
  <si>
    <t>TUBULÃO A CÉU ABERTO, DIÂMETRO DO FUSTE DE 100 CM, PROFUNDIDADE MAIOR QUE 5 M E MENOR OU IGUAL A 10M, ESCAVAÇÃO MECÂNICA, SEM ALARGAMENTO DE BASE, CONCRETO USINADO E LANÇADO COM BOMBA OU DIRETAMENTE DO CAMINHÃO. AF_01/2018</t>
  </si>
  <si>
    <t>TUBULÃO A CÉU ABERTO, DIÂMETRO DO FUSTE DE 120 CM, PROFUNDIDADE MAIOR QUE 5 M E MENOR OU IGUAL A 10M, ESCAVAÇÃO MECÂNICA, SEM ALARGAMENTO DE BASE, CONCRETO USINADO E LANÇADO COM BOMBA OU DIRETAMENTE DO CAMINHÃO. AF_01/2018</t>
  </si>
  <si>
    <t>TUBULÃO A CÉU ABERTO, DIÂMETRO DO FUSTE DE 70 CM, PROFUNDIDADE MAIOR QUE 10M, ESCAVAÇÃO MECÂNICA, SEM ALARGAMENTO DE BASE, CONCRETO USINADO E LANÇADO COM BOMBA OU DIRETAMENTE DO CAMINHÃO. AF_01/2018</t>
  </si>
  <si>
    <t>TUBULÃO A CÉU ABERTO, DIÂMETRO DO FUSTE DE 80 CM, PROFUNDIDADE MAIOR QUE 10M, ESCAVAÇÃO MECÂNICA, SEM ALARGAMENTO DE BASE, CONCRETO USINADO E LANÇADO COM BOMBA OU DIRETAMENTE DO CAMINHÃO. AF_01/2018</t>
  </si>
  <si>
    <t>TUBULÃO A CÉU ABERTO, DIÂMETRO DO FUSTE DE 100 CM, PROFUNDIDADE MAIOR QUE 10M, ESCAVAÇÃO MECÂNICA, SEM ALARGAMENTO DE BASE, CONCRETO USINADO E LANÇADO COM BOMBA OU DIRETAMENTE DO CAMINHÃO. AF_01/2018</t>
  </si>
  <si>
    <t>TUBULÃO A CÉU ABERTO, DIÂMETRO DO FUSTE DE 120 CM, PROFUNDIDADE MAIOR QUE 10M, ESCAVAÇÃO MECÂNICA, SEM ALARGAMENTO DE BASE, CONCRETO USINADO E LANÇADO COM BOMBA OU DIRETAMENTE DO CAMINHÃO. AF_01/2018</t>
  </si>
  <si>
    <t>ALARGAMENTO DE BASE DE TUBULÃO A CÉU ABERTO, ESCAVAÇÃO MANUAL, CONCRETO FEITO EM OBRA E LANÇADO COM JERICA. AF_01/2018</t>
  </si>
  <si>
    <t>ALARGAMENTO DE BASE DE TUBULÃO A CÉU ABERTO, ESCAVAÇÃO MANUAL, CONCRETO USINADO E LANÇADO COM BOMBA OU DIRETAMENTE DO CAMINHÃO. AF_01/2018</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</si>
  <si>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</si>
  <si>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</si>
  <si>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</si>
  <si>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OU RADIERS. AF_08/2017</t>
  </si>
  <si>
    <t>LASTRO COM MATERIAL GRANULAR, APLICAÇÃO EM BLOCOS DE COROAMENTO, ESPESSURA DE *5 CM*. AF_08/2017</t>
  </si>
  <si>
    <t>LASTRO COM MATERIAL GRANULAR, APLICAÇÃO EM PISOS OU RADIERS, ESPESSURA DE *5 CM*. AF_08/2017</t>
  </si>
  <si>
    <t>LASTRO COM MATERIAL GRANULAR, APLICADO EM BLOCOS DE COROAMENTO, ESPESSURA DE *10 CM*. AF_08/2017</t>
  </si>
  <si>
    <t>ESCAVAÇÃO MANUAL DE VIGA DE BORDA PARA RADIER. AF_09/2017</t>
  </si>
  <si>
    <t>COMPACTAÇÃO MECÂNICA DE SOLO PARA EXECUÇÃO DE RADIER, COM COMPACTADOR DE SOLOS A PERCUSSÃO. AF_09/2017</t>
  </si>
  <si>
    <t>COMPACTAÇÃO MECÂNICA DE SOLO PARA EXECUÇÃO DE RADIER, COM COMPACTADOR DE SOLOS TIPO PLACA VIBRATÓRIA. AF_09/2017</t>
  </si>
  <si>
    <t>FABRICAÇÃO, MONTAGEM E DESMONTAGEM DE FORMA PARA RADIER, EM MADEIRA SERRADA, 4 UTILIZAÇÕES. AF_09/2017</t>
  </si>
  <si>
    <t>CONCRETAGEM DE RADIER, PISO OU LAJE SOBRE SOLO, FCK 30 MPA, PARA ESPESSURA DE 10 CM - LANÇAMENTO, ADENSAMENTO E ACABAMENTO. AF_09/2017</t>
  </si>
  <si>
    <t>CONCRETAGEM DE RADIER, PISO OU LAJE SOBRE SOLO, FCK 30 MPA, PARA ESPESSURA DE 15 CM - LANÇAMENTO, ADENSAMENTO E ACABAMENTO. AF_09/2017</t>
  </si>
  <si>
    <t>CONCRETAGEM DE RADIER, PISO OU LAJE SOBRE SOLO, FCK 30 MPA, PARA ESPESSURA DE 20 CM - LANÇAMENTO, ADENSAMENTO E ACABAMENTO. AF_09/2017</t>
  </si>
  <si>
    <t>MONTAGEM E DESMONTAGEM DE FÔRMA DE PILARES CIRCULARES, COM ÁREA MÉDIA DAS SEÇÕES MAIOR QUE 0,28 M², PÉ-DIREITO DUPLO, EM MADEIRA, 2 UTILIZAÇÕES.  AF_06/2017</t>
  </si>
  <si>
    <t>ARMAÇÃO DE ESTRUTURAS DE CONCRETO ARMADO, EXCETO VIGAS, PILARES, LAJES E FUNDAÇÕES, UTILIZANDO AÇO CA-60 DE 5,0 MM - MONTAGEM. AF_12/2015</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</si>
  <si>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</si>
  <si>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</si>
  <si>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</si>
  <si>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</si>
  <si>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</si>
  <si>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</si>
  <si>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</si>
  <si>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MONTAGEM DE ARMADURA LONGITUDINAL/TRANSVERSAL DE ESTACAS DE SEÇÃO CIRCULAR, DIÂMETRO = 8,0 MM. AF_11/2016</t>
  </si>
  <si>
    <t>MONTAGEM DE ARMADURA LONGITUDINAL/TRANSVERSAL DE ESTACAS DE SEÇÃO CIRCULAR, DIÂMETRO = 12,5 MM. AF_11/2016</t>
  </si>
  <si>
    <t>MONTAGEM DE ARMADURA LONGITUDINAL/TRANSVERSAL DE ESTACAS DE SEÇÃO RETANGULAR (BARRETE), DIÂMETRO = 8,0 MM. AF_11/2016</t>
  </si>
  <si>
    <t>MONTAGEM DE ARMADURA LONGITUDINAL/TRANSVERSAL DE ESTACAS DE SEÇÃO RETANGULAR (BARRETE), DIÂMETRO = 12,5 MM. AF_11/2016</t>
  </si>
  <si>
    <t>FIXAÇÃO (ENCUNHAMENTO) DE ALVENARIA DE VEDAÇÃO COM ESPUMA DE POLIURETANO EXPANSIVA.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</si>
  <si>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</si>
  <si>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</si>
  <si>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</si>
  <si>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</si>
  <si>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</si>
  <si>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</si>
  <si>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PEÇA CIRCULAR PRÉ-MOLDADA, VOLUME DE CONCRETO ACIMA DE 100 LITROS, TAXA DE AÇO APROXIMADA DE 30KG/M³. AF_01/2018</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</si>
  <si>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</si>
  <si>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</si>
  <si>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</si>
  <si>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</si>
  <si>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</si>
  <si>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</si>
  <si>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</si>
  <si>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</si>
  <si>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</si>
  <si>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</si>
  <si>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</si>
  <si>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</si>
  <si>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LUMINÁRIA TIPO CALHA, DE SOBREPOR, COM 1 LÂMPADA TUBULAR DE 18 W - FORNECIMENTO E INSTALAÇÃO. AF_11/2017</t>
  </si>
  <si>
    <t>LUMINÁRIA TIPO CALHA, DE SOBREPOR, COM 1 LÂMPADA TUBULAR DE 36 W - FORNECIMENTO E INSTALAÇÃO. AF_11/2017</t>
  </si>
  <si>
    <t>LUMINÁRIA TIPO CALHA, DE SOBREPOR, COM 2 LÂMPADAS TUBULARES DE 18 W - FORNECIMENTO E INSTALAÇÃO. AF_11/2017</t>
  </si>
  <si>
    <t>LUMINÁRIA TIPO CALHA, DE SOBREPOR, COM 2 LÂMPADAS TUBULARES DE 36 W - FORNECIMENTO E INSTALAÇÃO. AF_11/2017</t>
  </si>
  <si>
    <t>LUMINÁRIA TIPO CALHA, DE EMBUTIR, COM 2 LÂMPADAS DE 14 W COM REFLETOR - FORNECIMENTO E INSTALAÇÃO. AF_11/2017</t>
  </si>
  <si>
    <t>LUMINÁRIA TIPO PLAFON EM PLÁSTICO, DE SOBREPOR, COM 1 LÂMPADA DE 15 W, - FORNECIMENTO E INSTALAÇÃO. AF_11/2017</t>
  </si>
  <si>
    <t>LUMINÁRIA TIPO PLAFON REDONDO COM VIDRO FOSCO, DE SOBREPOR, COM 1 LÂMPADA DE 15 W - FORNECIMENTO E INSTALAÇÃO. AF_11/2017</t>
  </si>
  <si>
    <t>LUMINÁRIA TIPO PLAFON REDONDO COM VIDRO FOSCO, DE SOBREPOR, COM 2 LÂMPADAS DE 15 W - FORNECIMENTO E INSTALAÇÃO. AF_11/2017</t>
  </si>
  <si>
    <t>LUMINÁRIA TIPO PLAFON, DE SOBREPOR, COM 1 LÂMPADA LED - FORNECIMENTO E INSTALAÇÃO. AF_11/2017</t>
  </si>
  <si>
    <t>LUMINÁRIA TIPO SPOT, DE SOBREPOR, COM 1 LÂMPADA DE 15 W - FORNECIMENTO E INSTALAÇÃO. AF_11/2017</t>
  </si>
  <si>
    <t>LUMINÁRIA TIPO SPOT, DE SOBREPOR, COM 2 LÂMPADAS DE 15 W - FORNECIMENTO E INSTALAÇÃO. AF_11/2017</t>
  </si>
  <si>
    <t>SENSOR DE PRESENÇA COM FOTOCÉLULA, FIXAÇÃO EM PAREDE - FORNECIMENTO E INSTALAÇÃO. AF_11/2017</t>
  </si>
  <si>
    <t>SENSOR DE PRESENÇA SEM FOTOCÉLULA, FIXAÇÃO EM PAREDE - FORNECIMENTO E INSTALAÇÃO. AF_11/2017</t>
  </si>
  <si>
    <t>SENSOR DE PRESENÇA COM FOTOCÉLULA, FIXAÇÃO EM TETO - FORNECIMENTO E INSTALAÇÃO. AF_11/2017</t>
  </si>
  <si>
    <t>SENSOR DE PRESENÇA SEM FOTOCÉLULA, FIXAÇÃO EM TETO - FORNECIMENTO E INSTALAÇÃO. AF_11/2017</t>
  </si>
  <si>
    <t>LUMINÁRIA DE EMERGÊNCIA - FORNECIMENTO E INSTALAÇÃO. AF_11/2017</t>
  </si>
  <si>
    <t>LÂMPADA COMPACTA DE LED 6 W, BASE E27 - FORNECIMENTO E INSTALAÇÃO. AF_11/2017</t>
  </si>
  <si>
    <t>LÂMPADA COMPACTA DE LED 10 W, BASE E27 - FORNECIMENTO E INSTALAÇÃO. AF_11/2017</t>
  </si>
  <si>
    <t>LÂMPADA COMPACTA FLUORESCENTE DE 15 W, BASE E27 - FORNECIMENTO E INSTALAÇÃO. AF_11/2017</t>
  </si>
  <si>
    <t>LÂMPADA COMPACTA FLUORESCENTE DE 20 W, BASE E27 - FORNECIMENTO E INSTALAÇÃO. AF_11/2017</t>
  </si>
  <si>
    <t>LÂMPADA COMPACTA DE VAPOR MERCURIO 125 W, BASE E27 - FORNECIMENTO E INSTALAÇÃO. AF_11/2017</t>
  </si>
  <si>
    <t>LÂMPADA COMPACTA DE VAPOR METÁLICO OVOIDE 150 W, BASE E27 - FORNECIMENTO E INSTALAÇÃO. AF_11/2017</t>
  </si>
  <si>
    <t>LÂMPADA TUBULAR FLUORESCENTE T8 DE 16/18 W, BASE G13 - FORNECIMENTO E INSTALAÇÃO. AF_11/2017_P</t>
  </si>
  <si>
    <t>LÂMPADA TUBULAR FLUORESCENTE T8 DE 32/36 W, BASE G13 - FORNECIMENTO E INSTALAÇÃO. AF_11/2017_P</t>
  </si>
  <si>
    <t>LÂMPADA TUBULAR FLUORESCENTE T10 DE 20/40 W, BASE G13 - FORNECIMENTO E INSTALAÇÃO. AF_11/2017_P</t>
  </si>
  <si>
    <t>LÂMPADA TUBULAR FLUORESCENTE T5 DE 14 W, BASE G13 - FORNECIMENTO E INSTALAÇÃO. AF_11/2017_P</t>
  </si>
  <si>
    <t>REFLETOR EM ALUMÍNIO COM SUPORTE E ALÇA, LÂMPADA 125 W - FORNECIMENTO E INSTALAÇÃO. AF_11/2017</t>
  </si>
  <si>
    <t>REFLETOR EM ALUMÍNIO COM SUPORTE E ALÇA, LÂMPADA 250 W - FORNECIMENTO E INSTALAÇÃO. AF_11/2017</t>
  </si>
  <si>
    <t>LUMINÁRIA ARANDELA TIPO MEIA-LUA, PARA 1 LÂMPADA LED - FORNECIMENTO E INSTALAÇÃO. AF_11/2017</t>
  </si>
  <si>
    <t>LUMINÁRIA ARANDELA TIPO MEIA-LUA, PARA 1 LÂMPADA DE 15 W - FORNECIMENTO E INSTALAÇÃO. AF_11/2017</t>
  </si>
  <si>
    <t>LUMINÁRIA ARANDELA TIPO TARTARUGA PARA 1 LÂMPADA LED - FORNECIMENTO E INSTALAÇÃO. AF_11/2017</t>
  </si>
  <si>
    <t>LUMINÁRIA ARANDELA TIPO TARTARUGA, COM GRADE, PARA 1 LÂMPADA DE 15 W - FORNECIMENTO E INSTALAÇÃO. AF_11/2017</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</si>
  <si>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</si>
  <si>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</si>
  <si>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</si>
  <si>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</si>
  <si>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</si>
  <si>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</si>
  <si>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</si>
  <si>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</si>
  <si>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</si>
  <si>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SUPORTE ISOLADOR PARA CORDOALHA DE COBRE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</si>
  <si>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</si>
  <si>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</si>
  <si>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</si>
  <si>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</si>
  <si>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</si>
  <si>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</si>
  <si>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TUBO, PPR, DN 25, CLASSE PN 20,  INSTALADO EM RAMAL OU SUB-RAMAL DE ÁGUA  FORNECIMENTO E INSTALAÇÃO. AF_06/2015</t>
  </si>
  <si>
    <t>TUBO, PPR, DN 25, CLASSE PN 25 INSTALADO EM RAMAL OU SUB-RAMAL DE ÁGUA  FORNECIMENTO E INSTALAÇÃO. AF_06/2015</t>
  </si>
  <si>
    <t>TUBO, PPR, DN 25, CLASSE PN 20,  INSTALADO EM RAMAL DE DISTRIBUIÇÃO DE ÁGUA  FORNECIMENTO E INSTALAÇÃO. AF_06/2015</t>
  </si>
  <si>
    <t>TUBO, PPR, DN 32, CLASSE PN 12,  INSTALADO EM RAMAL DE DISTRIBUIÇÃO DE ÁGUA  FORNECIMENTO E INSTALAÇÃO. AF_06/2015</t>
  </si>
  <si>
    <t>TUBO, PPR, DN 40, CLASSE PN 12,  INSTALADO EM RAMAL DE DISTRIBUIÇÃO DE ÁGUA  FORNECIMENTO E INSTALAÇÃO. AF_06/2015</t>
  </si>
  <si>
    <t>TUBO, PPR, DN 25, CLASSE PN 25,  INSTALADO EM RAMAL DE DISTRIBUIÇÃO DE ÁGUA  FORNECIMENTO E INSTALAÇÃO. AF_06/2015</t>
  </si>
  <si>
    <t>TUBO, PPR, DN 32, CLASSE PN 25,  INSTALADO EM RAMAL DE DISTRIBUIÇÃO DE ÁGUA  FORNECIMENTO E INSTALAÇÃO. AF_06/2015</t>
  </si>
  <si>
    <t>TUBO, PPR, DN 40, CLASSE PN 25,  INSTALADO EM RAMAL DE DISTRIBUIÇÃO DE ÁGUA  FORNECIMENTO E INSTALAÇÃO. AF_06/2015</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</si>
  <si>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</si>
  <si>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</si>
  <si>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</si>
  <si>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</si>
  <si>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DN 63, CLASSE PN 12,  INSTALADO EM PRUMADA DE ÁGUA  FORNECIMENTO E INSTALAÇÃO. AF_06/2015</t>
  </si>
  <si>
    <t>TUBO, PPR, DN 75, CLASSE PN 12,  INSTALADO EM PRUMADA DE ÁGUA  FORNECIMENTO E INSTALAÇÃO. AF_06/2015</t>
  </si>
  <si>
    <t>TUBO, PPR, DN 90, CLASSE PN 12,  INSTALADO EM PRUMADA DE ÁGUA  FORNECIMENTO E INSTALAÇÃO. AF_06/2015</t>
  </si>
  <si>
    <t>TUBO, PPR, DN 110, CLASSE PN 12,  INSTALADO EM PRUMADA DE ÁGUA  FORNECIMENTO E INSTALAÇÃO. AF_06/2015</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</si>
  <si>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</si>
  <si>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</si>
  <si>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</si>
  <si>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</si>
  <si>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DN 63, CLASSE PN 25,  INSTALADO EM PRUMADA DE ÁGUA  FORNECIMENTO E INSTALAÇÃO. AF_06/2015</t>
  </si>
  <si>
    <t>TUBO, PPR, DN 75, CLASSE PN 25,  INSTALADO EM PRUMADA DE ÁGUA  FORNECIMENTO E INSTALAÇÃO. AF_06/2015</t>
  </si>
  <si>
    <t>TUBO, PPR, DN 90, CLASSE PN 25,  INSTALADO EM PRUMADA DE ÁGUA  FORNECIMENTO E INSTALAÇÃO. AF_06/2015</t>
  </si>
  <si>
    <t>TUBO, PPR, DN 110, CLASSE PN 25,  INSTALADO EM PRUMADA DE ÁGUA  FORNECIMENTO E INSTALAÇÃO. AF_06/2015</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</si>
  <si>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</si>
  <si>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</si>
  <si>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</si>
  <si>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</si>
  <si>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</si>
  <si>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</si>
  <si>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</si>
  <si>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</si>
  <si>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</si>
  <si>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</si>
  <si>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</si>
  <si>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</si>
  <si>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</si>
  <si>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</si>
  <si>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</si>
  <si>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</si>
  <si>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</si>
  <si>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</si>
  <si>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</si>
  <si>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</si>
  <si>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</si>
  <si>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</si>
  <si>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</si>
  <si>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</si>
  <si>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</si>
  <si>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</si>
  <si>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JOELHO 90 GRAUS, PPR, DN 25 MM, CLASSE PN 25, INSTALADO EM RAMAL OU SUB-RAMAL DE ÁGUA  FORNECIMENTO E INSTALAÇÃO . AF_06/2015</t>
  </si>
  <si>
    <t>JOELHO 45 GRAUS, PPR, DN 25 MM, CLASSE PN 25, INSTALADO EM RAMAL OU SUB-RAMAL DE ÁGUA  FORNECIMENTO E INSTALAÇÃO . AF_06/2015</t>
  </si>
  <si>
    <t>LUVA, PPR, DN 25 MM, CLASSE PN 25, INSTALADO EM RAMAL OU SUB-RAMAL DE ÁGUA  FORNECIMENTO E INSTALAÇÃO . AF_06/2015</t>
  </si>
  <si>
    <t>CONECTOR MACHO, PPR, 25 X 1/2'', CLASSE PN 25, INSTALADO EM RAMAL OU SUB-RAMAL DE ÁGUA   FORNECIMENTO E INSTALAÇÃO . AF_06/2015</t>
  </si>
  <si>
    <t>CONECTOR FÊMEA, PPR, 25 X 1/2'', CLASSE PN 25, INSTALADO EM RAMAL OU SUB-RAMAL DE ÁGUA   FORNECIMENTO E INSTALAÇÃO . AF_06/2015</t>
  </si>
  <si>
    <t>TÊ NORMAL, PPR, DN 25 MM, CLASSE PN 25, INSTALADO EM RAMAL OU SUB-RAMAL DE ÁGUA  FORNECIMENTO E INSTALAÇÃO . AF_06/2015</t>
  </si>
  <si>
    <t>TÊ MISTURADOR, PPR, 25 X 3/4'' , CLASSE PN 25, INSTALADO EM RAMAL OU SUB-RAMAL DE ÁGUA  FORNECIMENTO E INSTALAÇÃO . AF_06/2015</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</si>
  <si>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</si>
  <si>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</si>
  <si>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</si>
  <si>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45 GRAUS, PPR, DN 32 MM, CLASSE PN 25, INSTALADO EM RAMAL DE DISTRIBUIÇÃO DE ÁGUA  FORNECIMENTO E INSTALAÇÃO . AF_06/2015</t>
  </si>
  <si>
    <t>JOELHO 90 GRAUS, PPR, DN 40 MM, CLASSE PN 25, INSTALADO EM RAMAL DE DISTRIBUIÇÃO  FORNECIMENTO E INSTALAÇÃO . AF_06/2015</t>
  </si>
  <si>
    <t>JOELHO 45 GRAUS, PPR, DN 40 MM, CLASSE PN 25, INSTALADO EM RAMAL DE DISTRIBUIÇÃO DE ÁGUA  FORNECIMENTO E INSTALAÇÃO . AF_06/2015</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</si>
  <si>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</si>
  <si>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</si>
  <si>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</si>
  <si>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</si>
  <si>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CONECTOR MACHO, PPR, 32 X 3/4'', CLASSE PN 25, INSTALADO EM RAMAL DE DISTRIBUIÇÃO DE ÁGUA   FORNECIMENTO E INSTALAÇÃO. AF_06/2015</t>
  </si>
  <si>
    <t>CONECTOR FÊMEA, PPR, 32 X 3/4'', CLASSE PN 25, INSTALADO EM RAMAL DE DISTRIBUIÇÃO DE ÁGUA   FORNECIMENTO E INSTALAÇÃO . AF_06/2015</t>
  </si>
  <si>
    <t>BUCHA DE REDUÇÃO, PPR, 32 X 25, CLASSE PN 25, INSTALADO EM RAMAL DE DISTRIBUIÇÃO DE ÁGUA  FORNECIMENTO E INSTALAÇÃO . AF_06/2015</t>
  </si>
  <si>
    <t>LUVA, PPR, DN 40 MM, CLASSE PN 25, INSTALADO EM RAMAL DE DISTRIBUIÇÃO DE ÁGUA  FORNECIMENTO E INSTALAÇÃO. AF_06/2015</t>
  </si>
  <si>
    <t>BUCHA DE REDUÇÃO, PPR, 40 X 25, CLASSE PN 25, INSTALADO EM RAMAL DE DISTRIBUIÇÃO DE ÁGUA  FORNECIMENTO E INSTALAÇÃO . AF_06/2015</t>
  </si>
  <si>
    <t>TÊ NORMAL, PPR, DN 25 MM, CLASSE PN 25, INSTALADO EM RAMAL DE DISTRIBUIÇÃO DE ÁGUA  FORNECIMENTO E INSTALAÇÃO . AF_06/2015</t>
  </si>
  <si>
    <t>TÊ NORMAL, PPR, DN 32 MM, CLASSE PN 25, INSTALADO EM RAMAL DE DISTRIBUIÇÃO DE ÁGUA  FORNECIMENTO E INSTALAÇÃO . AF_06/2015</t>
  </si>
  <si>
    <t>TÊ NORMAL, PPR, DN 40 MM, CLASSE PN 25, INSTALADO EM RAMAL DE DISTRIBUIÇÃO DE ÁGUA  FORNECIMENTO E INSTALAÇÃO . AF_06/2015</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</si>
  <si>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</si>
  <si>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</si>
  <si>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</si>
  <si>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</si>
  <si>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</si>
  <si>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</si>
  <si>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</si>
  <si>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45 GRAUS, PPR, DN 50 MM, CLASSE PN 25, INSTALADO EM PRUMADA DE ÁGUA  FORNECIMENTO E INSTALAÇÃO . AF_06/2015</t>
  </si>
  <si>
    <t>JOELHO 90 GRAUS, PPR, DN 63 MM, CLASSE PN 25, INSTALADO EM PRUMADA DE ÁGUA  FORNECIMENTO E INSTALAÇÃO . AF_06/2015</t>
  </si>
  <si>
    <t>JOELHO 45 GRAUS, PPR, DN 63 MM, CLASSE PN 25, INSTALADO EM PRUMADA DE ÁGUA  FORNECIMENTO E INSTALAÇÃO . AF_06/2015</t>
  </si>
  <si>
    <t>JOELHO 90 GRAUS, PPR, DN 75 MM, CLASSE PN 25, INSTALADO EM PRUMADA DE ÁGUA  FORNECIMENTO E INSTALAÇÃO . AF_06/2015</t>
  </si>
  <si>
    <t>JOELHO 45 GRAUS, PPR, DN 75 MM, CLASSE PN 25, INSTALADO EM PRUMADA DE ÁGUA  FORNECIMENTO E INSTALAÇÃO . AF_06/2015</t>
  </si>
  <si>
    <t>JOELHO 90 GRAUS, PPR, DN 90 MM, CLASSE PN 25, INSTALADO EM PRUMADA DE ÁGUA  FORNECIMENTO E INSTALAÇÃO . AF_06/2015</t>
  </si>
  <si>
    <t>JOELHO 90 GRAUS, PPR, DN 110 MM, CLASSE PN 25, INSTALADO EM PRUMADA DE ÁGUA  FORNECIMENTO E INSTALAÇÃO . AF_06/2015</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</si>
  <si>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</si>
  <si>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</si>
  <si>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</si>
  <si>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</si>
  <si>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</si>
  <si>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</si>
  <si>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</si>
  <si>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</si>
  <si>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DN 63 MM, CLASSE PN 25, INSTALADO EM PRUMADA DE ÁGUA  FORNECIMENTO E INSTALAÇÃO. AF_06/2015</t>
  </si>
  <si>
    <t>LUVA, PPR, DN 75 MM, CLASSE PN 25, INSTALADO EM PRUMADA DE ÁGUA  FORNECIMENTO E INSTALAÇÃO. AF_06/2015</t>
  </si>
  <si>
    <t>LUVA, PPR, DN 90 MM, CLASSE PN 25, INSTALADO EM PRUMADA DE ÁGUA  FORNECIMENTO E INSTALAÇÃO. AF_06/2015</t>
  </si>
  <si>
    <t>LUVA, PPR, DN 110 MM, CLASSE PN 25, INSTALADO EM PRUMADA DE ÁGUA  FORNECIMENTO E INSTALAÇÃO. AF_06/2015</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</si>
  <si>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</si>
  <si>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</si>
  <si>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</si>
  <si>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</si>
  <si>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TÊ NORMAL, PPR, DN 63 MM, CLASSE PN 25, INSTALADO EM PRUMADA DE ÁGUA  FORNECIMENTO E INSTALAÇÃO . AF_06/2015</t>
  </si>
  <si>
    <t>TÊ NORMAL, PPR, DN 75 MM, CLASSE PN 25, INSTALADO EM PRUMADA DE ÁGUA  FORNECIMENTO E INSTALAÇÃO . AF_06/2015</t>
  </si>
  <si>
    <t>TÊ NORMAL, PPR, DN 90 MM, CLASSE PN 25, INSTALADO EM PRUMADA DE ÁGUA  FORNECIMENTO E INSTALAÇÃO . AF_06/2015</t>
  </si>
  <si>
    <t>TÊ NORMAL, PPR, DN 110 MM, CLASSE PN 25, INSTALADO EM PRUMADA DE ÁGUA  FORNECIMENTO E INSTALAÇÃO . AF_06/2015</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</si>
  <si>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</si>
  <si>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</si>
  <si>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</si>
  <si>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</si>
  <si>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</si>
  <si>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</si>
  <si>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</si>
  <si>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</si>
  <si>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</si>
  <si>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</si>
  <si>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</si>
  <si>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</si>
  <si>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</si>
  <si>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</si>
  <si>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</si>
  <si>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</si>
  <si>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</si>
  <si>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</si>
  <si>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</si>
  <si>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</si>
  <si>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</si>
  <si>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</si>
  <si>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</si>
  <si>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</si>
  <si>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</si>
  <si>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</si>
  <si>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</si>
  <si>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</si>
  <si>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</si>
  <si>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</si>
  <si>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</si>
  <si>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</si>
  <si>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</si>
  <si>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</si>
  <si>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</si>
  <si>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</si>
  <si>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</si>
  <si>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</si>
  <si>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</si>
  <si>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</si>
  <si>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</si>
  <si>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</si>
  <si>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</si>
  <si>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</si>
  <si>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</si>
  <si>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</si>
  <si>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</si>
  <si>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</si>
  <si>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</si>
  <si>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</si>
  <si>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</si>
  <si>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</si>
  <si>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</si>
  <si>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</si>
  <si>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</si>
  <si>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</si>
  <si>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</si>
  <si>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</si>
  <si>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</si>
  <si>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</si>
  <si>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</si>
  <si>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</si>
  <si>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</si>
  <si>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</si>
  <si>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</si>
  <si>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</si>
  <si>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</si>
  <si>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</si>
  <si>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</si>
  <si>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</si>
  <si>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</si>
  <si>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</si>
  <si>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</si>
  <si>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</si>
  <si>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</si>
  <si>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</si>
  <si>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</si>
  <si>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</si>
  <si>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</si>
  <si>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</si>
  <si>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</si>
  <si>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</si>
  <si>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</si>
  <si>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</si>
  <si>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</si>
  <si>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</si>
  <si>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</si>
  <si>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</si>
  <si>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</si>
  <si>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</si>
  <si>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</si>
  <si>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</si>
  <si>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</si>
  <si>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</si>
  <si>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</si>
  <si>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</si>
  <si>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</si>
  <si>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</si>
  <si>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</si>
  <si>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</si>
  <si>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</si>
  <si>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</si>
  <si>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</si>
  <si>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</si>
  <si>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</si>
  <si>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</si>
  <si>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</si>
  <si>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</si>
  <si>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</si>
  <si>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KIT CAVALETE PARA MEDIÇÃO DE ÁGUA - ENTRADA INDIVIDUALIZADA, EM PVC DN 25 (¾), PARA 1 MEDIDOR  FORNECIMENTO E INSTALAÇÃO (EXCLUSIVE HIDRÔMETRO). AF_11/2016</t>
  </si>
  <si>
    <t>REATERRO MANUAL APILOADO COM SOQUETE. AF_10/2017</t>
  </si>
  <si>
    <t>TRANSPORTE COM CAMINHÃO BASCULANTE DE 6 M3, EM VIA URBANA EM LEITO NATURAL (UNIDADE: M3XKM). AF_01/2018</t>
  </si>
  <si>
    <t>TRANSPORTE COM CAMINHÃO BASCULANTE DE 6 M3, EM VIA URBANA EM REVESTIMENTO PRIMÁRIO (UNIDADE: M3XKM). AF_01/2018</t>
  </si>
  <si>
    <t>TRANSPORTE COM CAMINHÃO BASCULANTE DE 6 M3, EM VIA URBANA PAVIMENTADA, DMT ATÉ 30 KM (UNIDADE: M3XKM). AF_01/2018</t>
  </si>
  <si>
    <t>TRANSPORTE COM CAMINHÃO BASCULANTE DE 6 M3, EM VIA URBANA PAVIMENTADA, DMT ACIMA DE 30 KM (UNIDADE: M3XKM). AF_01/2018</t>
  </si>
  <si>
    <t>TRANSPORTE COM CAMINHÃO BASCULANTE DE 6 M3, EM VIA URBANA EM LEITO NATURAL (UNIDADE: TXKM). AF_01/2018</t>
  </si>
  <si>
    <t>TRANSPORTE COM CAMINHÃO BASCULANTE DE 6 M3, EM VIA URBANA EM REVESTIMENTO PRIMÁRIO (UNIDADE: TXKM). AF_01/2018</t>
  </si>
  <si>
    <t>TRANSPORTE COM CAMINHÃO BASCULANTE DE 6 M3, EM VIA URBANA PAVIMENTADA, DMT ATÉ 30 KM (UNIDADE: TXKM). AF_01/2018</t>
  </si>
  <si>
    <t>TRANSPORTE COM CAMINHÃO BASCULANTE DE 6 M3, EM VIA URBANA PAVIMENTADA, DMT ACIMA DE 30 KM (UNIDADE: TXKM). AF_01/2018</t>
  </si>
  <si>
    <t>EXECUÇÃO DE JUNTAS DE CONTRAÇÃO PARA PAVIMENTOS DE CONCRETO. AF_11/2017</t>
  </si>
  <si>
    <t>APLICAÇÃO DE GRAXA EM BARRAS DE TRANSFERÊNCIA PARA EXECUÇÃO DE PAVIMENTO DE CONCRETO. AF_11/2017</t>
  </si>
  <si>
    <t>BARRAS DE LIGAÇÃO, AÇO CA-50 DE 10 MM, PARA EXECUÇÃO DE PAVIMENTO DE CONCRETO  FORNECIMENTO E INSTALAÇÃO. AF_11/2017</t>
  </si>
  <si>
    <t>MASSA ÚNICA, PARA RECEBIMENTO DE PINTURA OU CERÂMICA, ARGAMASSA INDUSTRIALIZADA, PREPARO MECÂNICO, APLICADO COM EQUIPAMENTO DE MISTURA E PROJEÇÃO DE 1,5 M3/H EM FACES INTERNAS DE PAREDES, ESPESSURA DE 5MM, SEM EXECUÇÃO DE TALISCAS. AF_06/2014</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</si>
  <si>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</si>
  <si>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</si>
  <si>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</si>
  <si>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</si>
  <si>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</si>
  <si>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</si>
  <si>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</si>
  <si>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</si>
  <si>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</si>
  <si>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</si>
  <si>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</si>
  <si>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</si>
  <si>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</si>
  <si>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</si>
  <si>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</si>
  <si>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</si>
  <si>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</si>
  <si>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</si>
  <si>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</si>
  <si>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</si>
  <si>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</si>
  <si>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</si>
  <si>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</si>
  <si>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</si>
  <si>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</si>
  <si>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</si>
  <si>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</si>
  <si>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</si>
  <si>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</si>
  <si>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</si>
  <si>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</si>
  <si>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</si>
  <si>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</si>
  <si>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</si>
  <si>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</si>
  <si>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</si>
  <si>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</si>
  <si>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</si>
  <si>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</si>
  <si>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</si>
  <si>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</si>
  <si>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</si>
  <si>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</si>
  <si>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</si>
  <si>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</si>
  <si>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</si>
  <si>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</si>
  <si>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</si>
  <si>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</si>
  <si>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</si>
  <si>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</si>
  <si>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</si>
  <si>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</si>
  <si>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</si>
  <si>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</si>
  <si>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</si>
  <si>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</si>
  <si>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</si>
  <si>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</si>
  <si>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</si>
  <si>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</si>
  <si>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</si>
  <si>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TRANSPORTE COM CAMINHÃO BASCULANTE DE 10 M3, EM VIA URBANA EM LEITO NATURAL (UNIDADE: TXKM). AF_04/2016</t>
  </si>
  <si>
    <t>TRANSPORTE COM CAMINHÃO BASCULANTE DE 10 M3, EM VIA URBANA EM REVESTIMENTO PRIMÁRIO (UNIDADE: TXKM). AF_04/2016</t>
  </si>
  <si>
    <t>TRANSPORTE COM CAMINHÃO BASCULANTE DE 10 M3, EM VIA URBANA PAVIMENTADA, DMT ACIMA DE 30 KM (UNIDADE: TXKM). AF_04/2016</t>
  </si>
  <si>
    <t>TRANSPORTE COM CAMINHÃO BASCULANTE DE 14 M3, EM VIA URBANA EM LEITO NATURAL (UNIDADE: TXKM). AF_04/2016</t>
  </si>
  <si>
    <t>TRANSPORTE COM CAMINHÃO BASCULANTE DE 14 M3, EM VIA URBANA EM REVESTIMENTO PRIMÁRIO (UNIDADE: TXKM). AF_04/2016</t>
  </si>
  <si>
    <t>TRANSPORTE COM CAMINHÃO BASCULANTE DE 14 M3, EM VIA URBANA PAVIMENTADA, DMT ACIMA DE 30 KM (UNIDADE: TXKM). AF_04/2016</t>
  </si>
  <si>
    <t>TRANSPORTE COM CAMINHÃO BASCULANTE DE 18 M3, EM VIA URBANA EM LEITO NATURAL (UNIDADE: TXKM). AF_09/2016</t>
  </si>
  <si>
    <t>TRANSPORTE COM CAMINHÃO BASCULANTE DE 18 M3, EM VIA URBANA EM REVESTIMENTO PRIMÁRIO (UNIDADE: TXKM). AF_09/2016</t>
  </si>
  <si>
    <t>TRANSPORTE COM CAMINHÃO BASCULANTE DE 18 M3, EM VIA URBANA PAVIMENTADA, DMT ACIMA DE 30 KM (UNIDADE: TXKM). AF_09/2016</t>
  </si>
  <si>
    <t>TRANSPORTE COM CAMINHÃO BASCULANTE DE 10 M3, EM VIA URBANA PAVIMENTADA, DMT ATÉ 30 KM (UNIDADE: TXKM). AF_12/2016</t>
  </si>
  <si>
    <t>TRANSPORTE COM CAMINHÃO BASCULANTE DE 14 M3, EM VIA URBANA PAVIMENTADA, DMT ATÉ 30 KM (UNIDADE: TXKM). AF_12/2016</t>
  </si>
  <si>
    <t>TRANSPORTE COM CAMINHÃO BASCULANTE DE 18 M3, EM VIA URBANA PAVIMENTADA, DMT ATÉ 30 KM (UNIDADE: TXKM). AF_12/2016</t>
  </si>
  <si>
    <t>02.02.180.1</t>
  </si>
  <si>
    <t>02.02.330.1</t>
  </si>
  <si>
    <t>02.02.330.2</t>
  </si>
  <si>
    <t>GOVERNO DO DISTRITO FEDERAL</t>
  </si>
  <si>
    <t>SECRETARIA DE ESTADO DE INFRAESTRUTURA E SERVIÇOS PÚBLICOS</t>
  </si>
  <si>
    <t>COMPANHIA URBANIZADORA DA NOVA CAPITAL DO BRASIL</t>
  </si>
  <si>
    <t xml:space="preserve">COMPANHIA URBANIZADORA DA NOVA CAPITAL DO BRASIL </t>
  </si>
  <si>
    <t>LEROY MERLIN</t>
  </si>
  <si>
    <t>01.438.784/0048-60</t>
  </si>
  <si>
    <t>4007-1380</t>
  </si>
  <si>
    <t>leroymerlin.com.br</t>
  </si>
  <si>
    <t>MÊS</t>
  </si>
  <si>
    <t>% ADM local</t>
  </si>
  <si>
    <t>R$ / M2</t>
  </si>
  <si>
    <t>Edificações</t>
  </si>
  <si>
    <t>SEM Desoneração da Folha de Pagamento</t>
  </si>
  <si>
    <t>Médio</t>
  </si>
  <si>
    <t>Grupo</t>
  </si>
  <si>
    <t>Componentes</t>
  </si>
  <si>
    <t>Incidências</t>
  </si>
  <si>
    <t>Despesas Indiretas</t>
  </si>
  <si>
    <t>Subtotal A</t>
  </si>
  <si>
    <t>Tributos</t>
  </si>
  <si>
    <t>COFINS - Contribuição Para o Financiamento Seguridade Social</t>
  </si>
  <si>
    <t>ISS - Imposto Sobre Serviços de Qualquer Natureza</t>
  </si>
  <si>
    <t>CPRB - Contribuição Previdenciária Sobre Receita Bruta</t>
  </si>
  <si>
    <t>Subtotal B</t>
  </si>
  <si>
    <t>Bonificação</t>
  </si>
  <si>
    <t>Subtotal C</t>
  </si>
  <si>
    <t>FÓRMULA PARA CÁLCULO DO BDI</t>
  </si>
  <si>
    <t>(1 + (AC + S + R + G)) x ((1 + DF) X (1 + L))</t>
  </si>
  <si>
    <t>Taxa Representativa de Incidência de Impostos</t>
  </si>
  <si>
    <t>Taxa Representativa da Incidência de Impostos é aplicada sobre o preço de venda da prestação do serviço, enquanto que as demais taxas são aplicadas sobre o custo</t>
  </si>
  <si>
    <t>Referência:</t>
  </si>
  <si>
    <t>Relatório do Acordão n° 2.622/2013 - TCU/Plenário</t>
  </si>
  <si>
    <t>Vias Urbanas e Rodovias (incluindo obras de arte especiais)</t>
  </si>
  <si>
    <t>COM Desoneração da Folha de Pagamento</t>
  </si>
  <si>
    <t>1º Quartil</t>
  </si>
  <si>
    <t>3º Quartil</t>
  </si>
  <si>
    <t>Fornecimento de Materiais Betuminosos e Outros Materiais e Equipamentos de Grande Relevância de Natureza Específica</t>
  </si>
  <si>
    <t>CLASS</t>
  </si>
  <si>
    <t>ASSENTAMENTO DE TUBO DE AÇO CARBONO PARA REDE DE ÁGUA, DN 1000 MM (40  ) OU DN 1100 MM (44  ), JUNTA SOLDADA, INSTALADO EM LOCAL COM NÍVEL BAIXO DE INTERFERÊNCIAS (NÃO INCLUI FORNECIMENTO). AF_11/2017</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</si>
  <si>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</si>
  <si>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</si>
  <si>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</si>
  <si>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</si>
  <si>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</si>
  <si>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</si>
  <si>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</si>
  <si>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</si>
  <si>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</si>
  <si>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</si>
  <si>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</si>
  <si>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</si>
  <si>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</si>
  <si>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</si>
  <si>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</si>
  <si>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</si>
  <si>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</si>
  <si>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</si>
  <si>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</si>
  <si>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DÁGUA ELEVADA DE 1000 LITROS. AF_05/2018</t>
  </si>
  <si>
    <t>ESTRUTURA DE MADEIRA PROVISÓRIA PARA SUPORTE DE CAIXA DÁGUA ELEVADA DE 3000 LITROS. AF_05/2018</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</si>
  <si>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</si>
  <si>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</si>
  <si>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</si>
  <si>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</si>
  <si>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CAMINHÃO PARA EQUIPAMENTO DE LIMPEZA A SUCÇÃO COM CAMINHÃO TRUCADO DE PESO BRUTO TOTAL 23000 KG, CARGA ÚTIL MÁX. 15935 KG, DISTÂNCIA ENTRE EIXOS 4,80 M, POTÊNCIA 230 CV, INCLUSIVE LIMPADORA A SUCÇÃO, TANQUE 12000 L - MATERIAIS NA OPERAÇÃO. AF_11/2015</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</si>
  <si>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</si>
  <si>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</si>
  <si>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</si>
  <si>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</si>
  <si>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</si>
  <si>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</si>
  <si>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</si>
  <si>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</si>
  <si>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</si>
  <si>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</si>
  <si>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</si>
  <si>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</si>
  <si>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</si>
  <si>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</si>
  <si>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</si>
  <si>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</si>
  <si>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</si>
  <si>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</si>
  <si>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</si>
  <si>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</si>
  <si>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</si>
  <si>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</si>
  <si>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</si>
  <si>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</si>
  <si>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</si>
  <si>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</si>
  <si>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</si>
  <si>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</si>
  <si>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</si>
  <si>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</si>
  <si>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</si>
  <si>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</si>
  <si>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</si>
  <si>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</si>
  <si>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</si>
  <si>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</si>
  <si>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</si>
  <si>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</si>
  <si>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</si>
  <si>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</si>
  <si>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</si>
  <si>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</si>
  <si>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</si>
  <si>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</si>
  <si>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</si>
  <si>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</si>
  <si>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</si>
  <si>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</si>
  <si>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</si>
  <si>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</si>
  <si>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</si>
  <si>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</si>
  <si>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</si>
  <si>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</si>
  <si>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</si>
  <si>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</si>
  <si>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</si>
  <si>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</si>
  <si>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</si>
  <si>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</si>
  <si>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</si>
  <si>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ISOLAMENTO TERMOACÚSTICO COM LÃ MINERAL NA SUBCOBERTURA, INCLUSO TRANSPORTE VERTICAL.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</si>
  <si>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</si>
  <si>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</si>
  <si>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</si>
  <si>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</si>
  <si>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</si>
  <si>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</si>
  <si>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</si>
  <si>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</si>
  <si>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</si>
  <si>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</si>
  <si>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</si>
  <si>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</si>
  <si>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6 MM,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</si>
  <si>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</si>
  <si>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</si>
  <si>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</si>
  <si>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</si>
  <si>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</si>
  <si>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</si>
  <si>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</si>
  <si>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</si>
  <si>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</si>
  <si>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</si>
  <si>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</si>
  <si>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</si>
  <si>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</si>
  <si>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</si>
  <si>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</si>
  <si>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</si>
  <si>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</si>
  <si>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</si>
  <si>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</si>
  <si>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</si>
  <si>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</si>
  <si>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</si>
  <si>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</si>
  <si>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</si>
  <si>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</si>
  <si>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</si>
  <si>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</si>
  <si>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</si>
  <si>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</si>
  <si>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</si>
  <si>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</si>
  <si>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</si>
  <si>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</si>
  <si>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</si>
  <si>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</si>
  <si>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</si>
  <si>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</si>
  <si>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</si>
  <si>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</si>
  <si>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</si>
  <si>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</si>
  <si>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</si>
  <si>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</si>
  <si>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</si>
  <si>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</si>
  <si>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</si>
  <si>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</si>
  <si>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</si>
  <si>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</si>
  <si>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</si>
  <si>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</si>
  <si>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</si>
  <si>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</si>
  <si>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</si>
  <si>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</si>
  <si>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</si>
  <si>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</si>
  <si>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</si>
  <si>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</si>
  <si>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</si>
  <si>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</si>
  <si>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</si>
  <si>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</si>
  <si>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</si>
  <si>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</si>
  <si>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</si>
  <si>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</si>
  <si>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</si>
  <si>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</si>
  <si>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</si>
  <si>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</si>
  <si>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</si>
  <si>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</si>
  <si>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</si>
  <si>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</si>
  <si>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</si>
  <si>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</si>
  <si>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</si>
  <si>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</si>
  <si>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</si>
  <si>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</si>
  <si>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</si>
  <si>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</si>
  <si>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</si>
  <si>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POÇO DE INSPEÇÃO CIRCULAR PARA ESGOTO, EM ALVENARIA COM TIJOLOS CERÂMICOS MACIÇOS, DIÂMETRO INTERNO = 0,6 M, PROFUNDIDADE = 1 M, EXCLUINDO TAMPÃO. AF_05/2018</t>
  </si>
  <si>
    <t>POÇO DE INSPEÇÃO CIRCULAR PARA ESGOTO, EM ALVENARIA COM TIJOLOS CERÂMICOS MACIÇOS, DIÂMETRO INTERNO = 0,6 M, PROFUNDIDADE = 1,5 M, EXCLUINDO TAMPÃO. AF_05/2018</t>
  </si>
  <si>
    <t>BASE PARA POÇO DE VISITA CIRCULAR PARA  ESGOTO, EM ALVENARIA COM TIJOLOS CERÂMICOS MACIÇOS, DIÂMETRO INTERNO = 0,8 M, PROFUNDIDADE = 1,45 M, EXCLUINDO TAMPÃO. AF_05/2018</t>
  </si>
  <si>
    <t>ACRÉSCIMO PARA POÇO DE VISITA CIRCULAR PARA ESGOTO, EM ALVENARIA COM TIJOLOS CERÂMICOS MACIÇOS, DIÂMETRO INTERNO = 0,8 M. AF_05/2018</t>
  </si>
  <si>
    <t>ACRÉSCIMO PARA POÇO DE VISITA CIRCULAR PARA ESGOTO, EM CONCRETO PRÉ-MOLDADO, DIÂMETRO INTERNO = 1 M. AF_05/2018</t>
  </si>
  <si>
    <t>ACRÉSCIMO PARA POÇO DE VISITA CIRCULAR PARA  ESGOTO, EM ALVENARIA COM TIJOLOS CERÂMICOS MACIÇOS, DIÂMETRO INTERNO = 1 M. AF_05/2018</t>
  </si>
  <si>
    <t>ACRÉSCIMO PARA POÇO DE VISITA CIRCULAR PARA ESGOTO, EM CONCRETO PRÉ-MOLDADO, DIÂMETRO INTERNO = 1,2 M. AF_05/2018</t>
  </si>
  <si>
    <t>BASE PARA POÇO DE VISITA CIRCULAR PARA  ESGOTO, EM ALVENARIA COM TIJOLOS CERÂMICOS MACIÇOS, DIÂMETRO INTERNO = 1,2 M, PROFUNDIDADE = 1,45 M, EXCLUINDO TAMPÃO. AF_05/2018</t>
  </si>
  <si>
    <t>ACRÉSCIMO PARA POÇO DE VISITA CIRCULAR PARA ESGOTO, EM ALVENARIA COM TIJOLOS CERÂMICOS MACIÇOS, DIÂMETRO INTERNO = 1,2 M. AF_05/2018</t>
  </si>
  <si>
    <t>ACRÉSCIMO PARA POÇO DE VISITA CIRCULAR PARA  ESGOTO, EM CONCRETO PRÉ-MOLDADO, DIÂMETRO INTERNO = 1,5 M. AF_05/2018</t>
  </si>
  <si>
    <t>BASE PARA POÇO DE VISITA CIRCULAR PARA  ESGOTO, EM ALVENARIA COM TIJOLOS CERÂMICOS MACIÇOS, DIÂMETRO INTERNO = 1,5 M, PROFUNDIDADE = 1,45 M, EXCLUINDO TAMPÃO. AF_05/2018</t>
  </si>
  <si>
    <t>ACRÉSCIMO PARA POÇO DE VISITA CIRCULAR PARA  ESGOTO, EM ALVENARIA COM TIJOLOS CERÂMICOS MACIÇOS, DIÂMETRO INTERNO = 1,5 M. AF_05/2018</t>
  </si>
  <si>
    <t>BASE PARA POÇO DE VISITA RETANGULAR PARA  ESGOTO, EM ALVENARIA COM BLOCOS DE CONCRETO, DIMENSÕES INTERNAS = 1X1 M, PROFUNDIDADE = 1,45 M, EXCLUINDO TAMPÃO. AF_05/2018</t>
  </si>
  <si>
    <t>ACRÉSCIMO PARA POÇO DE VISITA RETANGULAR PARA ESGOTO, EM ALVENARIA COM BLOCOS DE CONCRETO, DIMENSÕES INTERNAS = 1X1 M. AF_05/2018</t>
  </si>
  <si>
    <t>BASE PARA POÇO DE VISITA RETANGULAR PARA ESGOTO, EM ALVENARIA COM BLOCOS DE CONCRETO, DIMENSÕES INTERNAS = 1X1,5 M, PROFUNDIDADE = 1,45 M, EXCLUINDO TAMPÃO. AF_05/2018</t>
  </si>
  <si>
    <t>ACRÉSCIMO PARA POÇO DE VISITA RETANGULAR PARA ESGOTO, EM ALVENARIA COM BLOCOS DE CONCRETO, DIMENSÕES INTERNAS = 1X1,5 M. AF_05/2018</t>
  </si>
  <si>
    <t>ACRÉSCIMO PARA POÇO DE VISITA RETANGULAR PARA ESGOTO, EM ALVENARIA COM BLOCOS DE CONCRETO, DIMENSÕES INTERNAS = 1X2 M. AF_05/2018</t>
  </si>
  <si>
    <t>ACRÉSCIMO PARA POÇO DE VISITA RETANGULAR PARA ESGOTO, EM ALVENARIA COM BLOCOS DE CONCRETO, DIMENSÕES INTERNAS = 1X2,5 M. AF_05/2018</t>
  </si>
  <si>
    <t>BASE PARA POÇO DE VISITA RETANGULAR PARA ESGOTO, EM ALVENARIA COM BLOCOS DE CONCRETO, DIMENSÕES INTERNAS = 1X3 M, PROFUNDIDADE = 1,45 M, EXCLUINDO TAMPÃO. AF_05/2018</t>
  </si>
  <si>
    <t>ACRÉSCIMO PARA POÇO DE VISITA RETANGULAR PARA ESGOTO, EM ALVENARIA COM BLOCOS DE CONCRETO, DIMENSÕES INTERNAS = 1X3 M. AF_05/2018</t>
  </si>
  <si>
    <t>ACRÉSCIMO PARA POÇO DE VISITA RETANGULAR PARA ESGOTO, EM ALVENARIA COM BLOCOS DE CONCRETO, DIMENSÕES INTERNAS = 1X3,5 M. AF_05/2018</t>
  </si>
  <si>
    <t>BASE PARA POÇO DE VISITA RETANGULAR PARA ESGOTO, EM ALVENARIA COM BLOCOS DE CONCRETO, DIMENSÕES INTERNAS = 1X4 M, PROFUNDIDADE = 1,45 M, EXCLUINDO TAMPÃO. AF_05/2018</t>
  </si>
  <si>
    <t>ACRÉSCIMO PARA POÇO DE VISITA RETANGULAR PARA ESGOTO, EM ALVENARIA COM BLOCOS DE CONCRETO, DIMENSÕES INTERNAS = 1X4 M. AF_05/2018</t>
  </si>
  <si>
    <t>BASE PARA POÇO DE VISITA RETANGULAR PARA ESGOTO, EM ALVENARIA COM BLOCOS DE CONCRETO, DIMENSÕES INTERNAS = 1,5X1,5 M, PROFUNDIDADE = 1,45 M, EXCLUINDO TAMPÃO . AF_05/2018</t>
  </si>
  <si>
    <t>ACRÉSCIMO PARA POÇO DE VISITA RETANGULAR PARA ESGOTO, EM ALVENARIA COM BLOCOS DE CONCRETO, DIMENSÕES INTERNAS = 1,5X1,5 M. AF_05/2018</t>
  </si>
  <si>
    <t>BASE PARA POÇO DE VISITA RETANGULAR PARA ESGOTO, EM ALVENARIA COM BLOCOS DE CONCRETO, DIMENSÕES INTERNAS = 1,5X2 M, PROFUNDIDADE = 1,45 M, EXCLUINDO TAMPÃO. AF_05/2018</t>
  </si>
  <si>
    <t>ACRÉSCIMO PARA POÇO DE VISITA RETANGULAR PARA ESGOTO, EM ALVENARIA COM BLOCOS DE CONCRETO, DIMENSÕES INTERNAS = 1,5X2 M. AF_05/2018</t>
  </si>
  <si>
    <t>BASE PARA POÇO DE VISITA RETANGULAR PARA ESGOTO, EM ALVENARIA COM BLOCOS DE CONCRETO, DIMENSÕES INTERNAS = 1,5X2,5 M, PROFUNDIDADE = 1,45 M, EXCLUINDO TAMPÃO. AF_05/2018</t>
  </si>
  <si>
    <t>ACRÉSCIMO PARA POÇO DE VISITA RETANGULAR PARA ESGOTO, EM ALVENARIA COM BLOCOS DE CONCRETO, DIMENSÕES INTERNAS = 1,5X2,5 M. AF_05/2018</t>
  </si>
  <si>
    <t>BASE PARA POÇO DE VISITA RETANGULAR PARA ESGOTO, EM ALVENARIA COM BLOCOS DE CONCRETO, DIMENSÕES INTERNAS = 1,5X3 M, PROFUNDIDADE = 1,45 M, EXCLUINDO TAMPÃO. AF_05/2018</t>
  </si>
  <si>
    <t>ACRÉSCIMO PARA POÇO DE VISITA RETANGULAR PARA ESGOTO, EM ALVENARIA COM BLOCOS DE CONCRETO, DIMENSÕES INTERNAS = 1,5X3 M. AF_05/2018</t>
  </si>
  <si>
    <t>BASE PARA POÇO DE VISITA RETANGULAR PARA ESGOTO, EM ALVENARIA COM BLOCOS DE CONCRETO, DIMENSÕES INTERNAS = 1,5X3,5 M, PROFUNDIDADE = 1,45 M, EXCLUINDO TAMPÃO. AF_05/2018</t>
  </si>
  <si>
    <t>ACRÉSCIMO PARA POÇO DE VISITA RETANGULAR PARA ESGOTO, EM ALVENARIA COM BLOCOS DE CONCRETO, DIMENSÕES INTERNAS = 1,5X3,5 M. AF_05/2018</t>
  </si>
  <si>
    <t>BASE PARA POÇO DE VISITA RETANGULAR PARA ESGOTO, EM ALVENARIA COM BLOCOS DE CONCRETO, DIMENSÕES INTERNAS = 1,5X4 M, PROFUNDIDADE = 1,45 M, EXCLUINDO TAMPÃO. AF_05/2018</t>
  </si>
  <si>
    <t>ACRÉSCIMO PARA POÇO DE VISITA RETANGULAR PARA ESGOTO, EM ALVENARIA COM BLOCOS DE CONCRETO, DIMENSÕES INTERNAS = 1,5X4 M. AF_05/2018</t>
  </si>
  <si>
    <t>BASE PARA POÇO DE VISITA RETANGULAR PARA ESGOTO, EM ALVENARIA COM BLOCOS DE CONCRETO, DIMENSÕES INTERNAS = 2X2 M, PROFUNDIDADE = 1,45 M, EXCLUINDO TAMPÃO. AF_05/2018</t>
  </si>
  <si>
    <t>ACRÉSCIMO PARA POÇO DE VISITA RETANGULAR PARA ESGOTO, EM ALVENARIA COM BLOCOS DE CONCRETO, DIMENSÕES INTERNAS = 2X2 M. AF_05/2018</t>
  </si>
  <si>
    <t>BASE PARA POÇO DE VISITA RETANGULAR PARA ESGOTO, EM ALVENARIA COM BLOCOS DE CONCRETO, DIMENSÕES INTERNAS = 2X2,5 M, PROFUNDIDADE = 1,45 M, EXCLUINDO TAMPÃO. AF_05/2018</t>
  </si>
  <si>
    <t>ACRÉSCIMO PARA POÇO DE VISITA RETANGULAR PARA ESGOTO, EM ALVENARIA COM BLOCOS DE CONCRETO, DIMENSÕES INTERNAS = 2X2,5 M. AF_05/2018</t>
  </si>
  <si>
    <t>BASE PARA POÇO DE VISITA RETANGULAR PARA ESGOTO, EM ALVENARIA COM BLOCOS DE CONCRETO, DIMENSÕES INTERNAS = 2X3 M, PROFUNDIDADE = 1,45 M, EXCLUINDO TAMPÃO. AF_05/2018</t>
  </si>
  <si>
    <t>ACRÉSCIMO PARA POÇO DE VISITA RETANGULAR PARA ESGOTO, EM ALVENARIA COM BLOCOS DE CONCRETO, DIMENSÕES INTERNAS = 2X3 M. AF_05/2018</t>
  </si>
  <si>
    <t>BASE PARA POÇO DE VISITA RETANGULAR PARA ESGOTO, EM ALVENARIA COM BLOCOS DE CONCRETO, DIMENSÕES INTERNAS = 2X3,5 M, PROFUNDIDADE = 1,45 M, EXCLUINDO TAMPÃO. AF_05/2018</t>
  </si>
  <si>
    <t>ACRÉSCIMO PARA POÇO DE VISITA RETANGULAR PARA ESGOTO, EM ALVENARIA COM BLOCOS DE CONCRETO, DIMENSÕES INTERNAS = 2X3,5 M. AF_05/2018</t>
  </si>
  <si>
    <t>BASE PARA POÇO DE VISITA RETANGULAR PARA ESGOTO, EM ALVENARIA COM BLOCOS DE CONCRETO, DIMENSÕES INTERNAS = 2X4 M, PROFUNDIDADE = 1,45 M, EXCLUINDO TAMPÃO. AF_05/2018</t>
  </si>
  <si>
    <t>ACRÉSCIMO PARA POÇO DE VISITA RETANGULAR PARA ESGOTO, EM ALVENARIA COM BLOCOS DE CONCRETO, DIMENSÕES INTERNAS = 2X4 M. AF_05/2018</t>
  </si>
  <si>
    <t>BASE PARA POÇO DE VISITA RETANGULAR PARA ESGOTO, EM ALVENARIA COM BLOCOS DE CONCRETO, DIMENSÕES INTERNAS = 2,5X2,5 M, PROFUNDIDADE = 1,45 M, EXCLUINDO TAMPÃO. AF_05/2018</t>
  </si>
  <si>
    <t>ACRÉSCIMO PARA POÇO DE VISITA RETANGULAR PARA ESGOTO, EM ALVENARIA COM BLOCOS DE CONCRETO, DIMENSÕES INTERNAS = 2,5X2,5 M. AF_05/2018</t>
  </si>
  <si>
    <t>BASE PARA POÇO DE VISITA RETANGULAR PARA ESGOTO, EM ALVENARIA COM BLOCOS DE CONCRETO, DIMENSÕES INTERNAS = 2,5X3 M, PROFUNDIDADE = 1,45 M, EXCLUINDO TAMPÃO. AF_05/2018</t>
  </si>
  <si>
    <t>ACRÉSCIMO PARA POÇO DE VISITA RETANGULAR PARA ESGOTO, EM ALVENARIA COM BLOCOS DE CONCRETO, DIMENSÕES INTERNAS = 2,5X3 M. AF_05/2018</t>
  </si>
  <si>
    <t>BASE PARA POÇO DE VISITA RETANGULAR PARA ESGOTO, EM ALVENARIA COM BLOCOS DE CONCRETO, DIMENSÕES INTERNAS = 2,5X3,5 M, PROFUNDIDADE = 1,45 M, EXCLUINDO TAMPÃO. AF_05/2018</t>
  </si>
  <si>
    <t>ACRÉSCIMO PARA POÇO DE VISITA RETANGULAR PARA ESGOTO, EM ALVENARIA COM BLOCOS DE CONCRETO, DIMENSÕES INTERNAS = 2,5X3,5 M. AF_05/2018</t>
  </si>
  <si>
    <t>BASE PARA POÇO DE VISITA RETANGULAR PARA ESGOTO, EM ALVENARIA COM BLOCOS DE CONCRETO, DIMENSÕES INTERNAS = 2,5X4 M, PROFUNDIDADE = 1,45 M, EXCLUINDO TAMPÃO. AF_05/2018</t>
  </si>
  <si>
    <t>ACRÉSCIMO PARA POÇO DE VISITA RETANGULAR PARA ESGOTO, EM ALVENARIA COM BLOCOS DE CONCRETO, DIMENSÕES INTERNAS = 2,5X4 M. AF_05/2018</t>
  </si>
  <si>
    <t>BASE PARA POÇO DE VISITA RETANGULAR PARA ESGOTO, EM ALVENARIA COM BLOCOS DE CONCRETO, DIMENSÕES INTERNAS = 3X3 M, PROFUNDIDADE = 1,45 M, EXCLUINDO TAMPÃO. AF_05/2018</t>
  </si>
  <si>
    <t>ACRÉSCIMO PARA POÇO DE VISITA RETANGULAR PARA ESGOTO, EM ALVENARIA COM BLOCOS DE CONCRETO, DIMENSÕES INTERNAS = 3X3 M. AF_05/2018</t>
  </si>
  <si>
    <t>BASE PARA POÇO DE VISITA RETANGULAR PARA ESGOTO, EM ALVENARIA COM BLOCOS DE CONCRETO, DIMENSÕES INTERNAS = 3X3,5 M, PROFUNDIDADE = 1,45 M, EXCLUINDO TAMPÃO. AF_05/2018</t>
  </si>
  <si>
    <t>ACRÉSCIMO PARA POÇO DE VISITA RETANGULAR PARA ESGOTO, EM ALVENARIA COM BLOCOS DE CONCRETO, DIMENSÕES INTERNAS = 3X3,5 M. AF_05/2018</t>
  </si>
  <si>
    <t>BASE PARA POÇO DE VISITA RETANGULAR PARA ESGOTO, EM ALVENARIA COM BLOCOS DE CONCRETO, DIMENSÕES INTERNAS = 3X4 M, PROFUNDIDADE = 1,45 M, EXCLUINDO TAMPÃO. AF_05/2018</t>
  </si>
  <si>
    <t>ACRÉSCIMO PARA POÇO DE VISITA RETANGULAR PARA ESGOTO, EM ALVENARIA COM BLOCOS DE CONCRETO, DIMENSÕES INTERNAS = 3X4 M. AF_05/2018</t>
  </si>
  <si>
    <t>BASE PARA POÇO DE VISITA RETANGULAR PARA ESGOTO, EM ALVENARIA COM BLOCOS DE CONCRETO, DIMENSÕES INTERNAS = 3,5X3,5 M, PROFUNDIDADE = 1,45 M, EXCLUINDO TAMPÃO. AF_05/2018</t>
  </si>
  <si>
    <t>ACRÉSCIMO PARA POÇO DE VISITA RETANGULAR PARA ESGOTO, EM ALVENARIA COM BLOCOS DE CONCRETO, DIMENSÕES INTERNAS = 3,5X3,5 M. AF_05/2018</t>
  </si>
  <si>
    <t>BASE PARA POÇO DE VISITA RETANGULAR PARA ESGOTO, EM ALVENARIA COM BLOCOS DE CONCRETO, DIMENSÕES INTERNAS = 3,5X4 M, PROFUNDIDADE = 1,45 M, EXCLUINDO TAMPÃO. AF_05/2018</t>
  </si>
  <si>
    <t>ACRÉSCIMO PARA POÇO DE VISITA RETANGULAR PARA ESGOTO, EM ALVENARIA COM BLOCOS DE CONCRETO, DIMENSÕES INTERNAS = 3,5X4 M. AF_05/2018</t>
  </si>
  <si>
    <t>BASE PARA POÇO DE VISITA RETANGULAR PARA ESGOTO, EM ALVENARIA COM BLOCOS DE CONCRETO, DIMENSÕES INTERNAS = 4X4 M, PROFUNDIDADE = 1,45 M, EXCLUINDO TAMPÃO. AF_05/2018</t>
  </si>
  <si>
    <t>ACRÉSCIMO PARA POÇO DE VISITA RETANGULAR PARA ESGOTO, EM ALVENARIA COM BLOCOS DE CONCRETO, DIMENSÕES INTERNAS = 4X4 M. AF_05/2018</t>
  </si>
  <si>
    <t>CHAMINÉ CIRCULAR PARA POÇO DE VISITA PARA ESGOTO, EM CONCRETO PRÉ-MOLDADO, DIÂMETRO INTERNO = 0,6 M. AF_05/2018</t>
  </si>
  <si>
    <t>CHAMINÉ CIRCULAR PARA POÇO DE VISITA PARA ESGOTO, EM ALVENARIA COM TIJOLOS CERÂMICOS MACIÇOS, DIÂMETRO INTERNO = 0,6 M. AF_05/2018</t>
  </si>
  <si>
    <t>BASE PARA POÇO DE VISITA CIRCULAR PARA  ESGOTO, EM ALVENARIA COM TIJOLOS CERÂMICOS MACIÇOS, DIÂMETRO INTERNO = 1 M, PROFUNDIDADE = 1,45 M, EXCLUINDO TAMPÃO. AF_05/2018</t>
  </si>
  <si>
    <t>BASE PARA POÇO DE VISITA RETANGULAR PARA ESGOTO, EM ALVENARIA COM BLOCOS DE CONCRETO, DIMENSÕES INTERNAS = 1X3,5 M, PROFUNDIDADE = 1,45 M, EXCLUINDO TAMPÃO. AF_05/2018</t>
  </si>
  <si>
    <t>BASE PARA POÇO DE VISITA RETANGULAR PARA ESGOTO, EM ALVENARIA COM BLOCOS DE CONCRETO, DIMENSÕES INTERNAS = 1X2 M, PROFUNDIDADE = 1,45 M, EXCLUINDO TAMPÃO. AF_05/2018</t>
  </si>
  <si>
    <t>BASE PARA POÇO DE VISITA RETANGULAR PARA ESGOTO, EM ALVENARIA COM BLOCOS DE CONCRETO, DIMENSÕES INTERNAS = 1X2,5 M, PROFUNDIDADE = 1,45 M, EXCLUINDO TAMPÃO. AF_05/2018</t>
  </si>
  <si>
    <t>ACRÉSCIMO PARA POÇO DE VISITA CIRCULAR PARA ESGOTO, EM CONCRETO PRÉ-MOLDADO, DIÂMETRO INTERNO = 0,8 M. AF_05/2018</t>
  </si>
  <si>
    <t>BASE PARA POÇO DE VISITA CIRCULAR PARA  ESGOTO, EM CONCRETO PRÉ-MOLDADO, DIÂMETRO INTERNO = 1 M, PROFUNDIDADE = 1,45 M, EXCLUINDO TAMPÃO. AF_05/2018_P</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</si>
  <si>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</si>
  <si>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</si>
  <si>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</si>
  <si>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</si>
  <si>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</si>
  <si>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</si>
  <si>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</si>
  <si>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</si>
  <si>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</si>
  <si>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</si>
  <si>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</si>
  <si>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</si>
  <si>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</si>
  <si>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</si>
  <si>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</si>
  <si>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</si>
  <si>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</si>
  <si>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</si>
  <si>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</si>
  <si>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</si>
  <si>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ACRÉSCIMO PARA POÇO DE VISITA CIRCULAR PARA DRENAGEM, EM CONCRETO PRÉ-MOLDADO, DIÂMETRO INTERNO = 1,2 M. AF_05/2018</t>
  </si>
  <si>
    <t>ACRÉSCIMO PARA POÇO DE VISITA RETANGULAR PARA DRENAGEM, EM ALVENARIA COM BLOCOS DE CONCRETO, DIMENSÕES INTERNAS = 1,5X1,5 M. AF_05/2018</t>
  </si>
  <si>
    <t>BASE PARA POÇO DE VISITA CIRCULAR PARA DRENAGEM, EM ALVENARIA COM TIJOLOS CERÂMICOS MACIÇOS, DIÂMETRO INTERNO = 1,2 M, PROFUNDIDADE = 1,45 M, EXCLUINDO TAMPÃO. AF_05/2018</t>
  </si>
  <si>
    <t>ACRÉSCIMO PARA POÇO DE VISITA CIRCULAR PARA DRENAGEM, EM ALVENARIA COM TIJOLOS CERÂMICOS MACIÇOS, DIÂMETRO INTERNO = 1,2 M. AF_05/2018</t>
  </si>
  <si>
    <t>BASE PARA POÇO DE VISITA RETANGULAR PARA DRENAGEM, EM ALVENARIA COM BLOCOS DE CONCRETO, DIMENSÕES INTERNAS = 1,5X2 M, PROFUNDIDADE = 1,45 M, EXCLUINDO TAMPÃO. AF_05/2018</t>
  </si>
  <si>
    <t>ACRÉSCIMO PARA POÇO DE VISITA CIRCULAR PARA DRENAGEM, EM CONCRETO PRÉ-MOLDADO, DIÂMETRO INTERNO = 1,5 M. AF_05/2018</t>
  </si>
  <si>
    <t>ACRÉSCIMO PARA POÇO DE VISITA RETANGULAR PARA DRENAGEM, EM ALVENARIA COM BLOCOS DE CONCRETO, DIMENSÕES INTERNAS = 1,5X2 M. AF_05/2018</t>
  </si>
  <si>
    <t>BASE PARA POÇO DE VISITA CIRCULAR PARA DRENAGEM, EM ALVENARIA COM TIJOLOS CERÂMICOS MACIÇOS, DIÂMETRO INTERNO = 1,5 M, PROFUNDIDADE = 1,45 M, EXCLUINDO TAMPÃO. AF_05/2018</t>
  </si>
  <si>
    <t>ACRÉSCIMO PARA POÇO DE VISITA CIRCULAR PARA DRENAGEM, EM ALVENARIA COM TIJOLOS CERÂMICOS MACIÇOS, DIÂMETRO INTERNO = 1,5 M. AF_05/2018</t>
  </si>
  <si>
    <t>BASE PARA POÇO DE VISITA RETANGULAR PARA DRENAGEM, EM ALVENARIA COM BLOCOS DE CONCRETO, DIMENSÕES INTERNAS = 1X1 M, PROFUNDIDADE = 1,45 M, EXCLUINDO TAMPÃO. AF_05/2018</t>
  </si>
  <si>
    <t>ACRÉSCIMO PARA POÇO DE VISITA RETANGULAR PARA DRENAGEM, EM ALVENARIA COM BLOCOS DE CONCRETO, DIMENSÕES INTERNAS = 1X1 M. AF_05/2018</t>
  </si>
  <si>
    <t>BASE PARA POÇO DE VISITA RETANGULAR PARA DRENAGEM, EM ALVENARIA COM BLOCOS DE CONCRETO, DIMENSÕES INTERNAS = 1,5X2,5 M, PROFUNDIDADE = 1,45 M, EXCLUINDO TAMPÃO. AF_05/2018</t>
  </si>
  <si>
    <t>BASE PARA POÇO DE VISITA RETANGULAR PARA DRENAGEM, EM ALVENARIA COM BLOCOS DE CONCRETO, DIMENSÕES INTERNAS = 1X1,5 M, PROFUNDIDADE = 1,45 M, EXCLUINDO TAMPÃO. AF_05/2018</t>
  </si>
  <si>
    <t>ACRÉSCIMO PARA POÇO DE VISITA RETANGULAR PARA DRENAGEM, EM ALVENARIA COM BLOCOS DE CONCRETO, DIMENSÕES INTERNAS = 1X1,5 M. AF_05/2018</t>
  </si>
  <si>
    <t>ACRÉSCIMO PARA POÇO DE VISITA RETANGULAR PARA DRENAGEM, EM ALVENARIA COM BLOCOS DE CONCRETO, DIMENSÕES INTERNAS = 1,5X2,5 M. AF_05/2018</t>
  </si>
  <si>
    <t>BASE PARA POÇO DE VISITA RETANGULAR PARA DRENAGEM, EM ALVENARIA COM BLOCOS DE CONCRETO, DIMENSÕES INTERNAS = 1X2 M, PROFUNDIDADE = 1,45 M, EXCLUINDO TAMPÃO. AF_05/2018</t>
  </si>
  <si>
    <t>ACRÉSCIMO PARA POÇO DE VISITA RETANGULAR PARA DRENAGEM, EM ALVENARIA COM BLOCOS DE CONCRETO, DIMENSÕES INTERNAS = 1X2 M. AF_05/2018</t>
  </si>
  <si>
    <t>BASE PARA POÇO DE VISITA RETANGULAR PARA DRENAGEM, EM ALVENARIA COM BLOCOS DE CONCRETO, DIMENSÕES INTERNAS = 1X2,5 M, PROFUNDIDADE = 1,45 M, EXCLUINDO TAMPÃO. AF_05/2018</t>
  </si>
  <si>
    <t>ACRÉSCIMO PARA POÇO DE VISITA RETANGULAR PARA DRENAGEM, EM ALVENARIA COM BLOCOS DE CONCRETO, DIMENSÕES INTERNAS = 1X2,5 M. AF_05/2018</t>
  </si>
  <si>
    <t>BASE PARA POÇO DE VISITA RETANGULAR PARA DRENAGEM, EM ALVENARIA COM BLOCOS DE CONCRETO, DIMENSÕES INTERNAS = 1,5X3 M, PROFUNDIDADE = 1,45 M, EXCLUINDO TAMPÃO. AF_05/2018</t>
  </si>
  <si>
    <t>POÇO DE INSPEÇÃO CIRCULAR PARA DRENAGEM, EM ALVENARIA COM TIJOLOS CERÂMICOS MACIÇOS, DIÂMETRO INTERNO = 0,6 M, PROFUNDIDADE = 1 M, EXCLUINDO TAMPÃO. AF_05/2018</t>
  </si>
  <si>
    <t>POÇO DE INSPEÇÃO CIRCULAR PARA DRENAGEM, EM ALVENARIA COM TIJOLOS CERÂMICOS MACIÇOS, DIÂMETRO INTERNO = 0,6 M, PROFUNDIDADE = 1,5 M, EXCLUINDO TAMPÃO. AF_05/2018</t>
  </si>
  <si>
    <t>BASE PARA POÇO DE VISITA RETANGULAR PARA DRENAGEM, EM ALVENARIA COM BLOCOS DE CONCRETO, DIMENSÕES INTERNAS = 1X3 M, PROFUNDIDADE = 1,45 M, EXCLUINDO TAMPÃO. AF_05/2018</t>
  </si>
  <si>
    <t>ACRÉSCIMO PARA POÇO DE VISITA RETANGULAR PARA DRENAGEM, EM ALVENARIA COM BLOCOS DE CONCRETO, DIMENSÕES INTERNAS = 1,5X3 M. AF_05/2018</t>
  </si>
  <si>
    <t>ACRÉSCIMO PARA POÇO DE VISITA RETANGULAR PARA DRENAGEM, EM ALVENARIA COM BLOCOS DE CONCRETO, DIMENSÕES INTERNAS = 1X3 M. AF_05/2018</t>
  </si>
  <si>
    <t>ACRÉSCIMO PARA POÇO DE VISITA CIRCULAR PARA DRENAGEM, EM CONCRETO PRÉ-MOLDADO, DIÂMETRO INTERNO = 0,8 M. AF_05/2018</t>
  </si>
  <si>
    <t>BASE PARA POÇO DE VISITA RETANGULAR PARA DRENAGEM, EM ALVENARIA COM BLOCOS DE CONCRETO, DIMENSÕES INTERNAS = 1X3,5 M, PROFUNDIDADE = 1,45 M, EXCLUINDO TAMPÃO. AF_05/2018</t>
  </si>
  <si>
    <t>BASE PARA POÇO DE VISITA CIRCULAR PARA DRENAGEM, EM ALVENARIA COM TIJOLOS CERÂMICOS MACIÇOS, DIÂMETRO INTERNO = 0,8 M, PROFUNDIDADE = 1,45 M, EXCLUINDO TAMPÃO. AF_05/2018</t>
  </si>
  <si>
    <t>ACRÉSCIMO PARA POÇO DE VISITA RETANGULAR PARA DRENAGEM, EM ALVENARIA COM BLOCOS DE CONCRETO, DIMENSÕES INTERNAS = 1X3,5 M. AF_05/2018</t>
  </si>
  <si>
    <t>ACRÉSCIMO PARA POÇO DE VISITA RETANGULAR PARA DRENAGEM, EM ALVENARIA COM BLOCOS DE CONCRETO, DIMENSÕES INTERNAS = 2,5X2,5 M. AF_05/2018</t>
  </si>
  <si>
    <t>ACRÉSCIMO PARA POÇO DE VISITA CIRCULAR PARA DRENAGEM, EM ALVENARIA COM TIJOLOS CERÂMICOS MACIÇOS, DIÂMETRO INTERNO = 0,8 M. AF_05/2018</t>
  </si>
  <si>
    <t>BASE PARA POÇO DE VISITA RETANGULAR PARA DRENAGEM, EM ALVENARIA COM BLOCOS DE CONCRETO, DIMENSÕES INTERNAS = 1,5X3,5 M, PROFUNDIDADE = 1,45 M, EXCLUINDO TAMPÃO. AF_05/2018</t>
  </si>
  <si>
    <t>BASE PARA POÇO DE VISITA RETANGULAR PARA DRENAGEM, EM ALVENARIA COM BLOCOS DE CONCRETO, DIMENSÕES INTERNAS = 1X4 M, PROFUNDIDADE = 1,45 M, EXCLUINDO TAMPÃO. AF_05/2018</t>
  </si>
  <si>
    <t>BASE PARA POÇO DE VISITA RETANGULAR PARA DRENAGEM, EM ALVENARIA COM BLOCOS DE CONCRETO, DIMENSÕES INTERNAS = 2,5X3 M, PROFUNDIDADE = 1,45 M, EXCLUINDO TAMPÃO. AF_05/2018</t>
  </si>
  <si>
    <t>ACRÉSCIMO PARA POÇO DE VISITA CIRCULAR PARA DRENAGEM, EM CONCRETO PRÉ-MOLDADO, DIÂMETRO INTERNO = 1 M. AF_05/2018</t>
  </si>
  <si>
    <t>ACRÉSCIMO PARA POÇO DE VISITA RETANGULAR PARA DRENAGEM, EM ALVENARIA COM BLOCOS DE CONCRETO, DIMENSÕES INTERNAS = 1X4 M. AF_05/2018</t>
  </si>
  <si>
    <t>BASE PARA POÇO DE VISITA RETANGULAR PARA DRENAGEM, EM ALVENARIA COM BLOCOS DE CONCRETO, DIMENSÕES INTERNAS = 1,5X1,5 M, PROFUNDIDADE = 1,45 M, EXCLUINDO TAMPÃO. AF_05/2018</t>
  </si>
  <si>
    <t>ACRÉSCIMO PARA POÇO DE VISITA RETANGULAR PARA DRENAGEM, EM ALVENARIA COM BLOCOS DE CONCRETO, DIMENSÕES INTERNAS = 1,5X3,5 M. AF_05/2018</t>
  </si>
  <si>
    <t>BASE PARA POÇO DE VISITA CIRCULAR PARA DRENAGEM, EM ALVENARIA COM TIJOLOS CERÂMICOS MACIÇOS, DIÂMETRO INTERNO = 1 M, PROFUNDIDADE = 1,45 M, EXCLUINDO TAMPÃO. AF_05/2018</t>
  </si>
  <si>
    <t>ACRÉSCIMO PARA POÇO DE VISITA CIRCULAR PARA DRENAGEM, EM ALVENARIA COM TIJOLOS CERÂMICOS MACIÇOS, DIÂMETRO INTERNO = 1 M. AF_05/2018</t>
  </si>
  <si>
    <t>BASE PARA POÇO DE VISITA RETANGULAR PARA DRENAGEM, EM ALVENARIA COM BLOCOS DE CONCRETO, DIMENSÕES INTERNAS = 1,5X4 M, PROFUNDIDADE = 1,45 M, EXCLUINDO TAMPÃO. AF_05/2018</t>
  </si>
  <si>
    <t>ACRÉSCIMO PARA POÇO DE VISITA RETANGULAR PARA DRENAGEM, EM ALVENARIA COM BLOCOS DE CONCRETO, DIMENSÕES INTERNAS = 2,5X3 M. AF_05/2018</t>
  </si>
  <si>
    <t>ACRÉSCIMO PARA POÇO DE VISITA RETANGULAR PARA DRENAGEM, EM ALVENARIA COM BLOCOS DE CONCRETO, DIMENSÕES INTERNAS = 1,5X4 M. AF_05/2018</t>
  </si>
  <si>
    <t>BASE PARA POÇO DE VISITA RETANGULAR PARA DRENAGEM, EM ALVENARIA COM BLOCOS DE CONCRETO, DIMENSÕES INTERNAS = 2,5X3,5 M, PROFUNDIDADE = 1,45 M, EXCLUINDO TAMPÃO. AF_05/2018</t>
  </si>
  <si>
    <t>ACRÉSCIMO PARA POÇO DE VISITA RETANGULAR PARA DRENAGEM, EM ALVENARIA COM BLOCOS DE CONCRETO, DIMENSÕES INTERNAS = 2,5X3,5 M. AF_05/2018</t>
  </si>
  <si>
    <t>BASE PARA POÇO DE VISITA RETANGULAR PARA DRENAGEM, EM ALVENARIA COM BLOCOS DE CONCRETO, DIMENSÕES INTERNAS = 2,5X4 M, PROFUNDIDADE = 1,45 M, EXCLUINDO TAMPÃO. AF_05/2018</t>
  </si>
  <si>
    <t>BASE PARA POÇO DE VISITA RETANGULAR PARA DRENAGEM, EM ALVENARIA COM BLOCOS DE CONCRETO, DIMENSÕES INTERNAS = 2X2 M, PROFUNDIDADE = 1,45 M, EXCLUINDO TAMPÃO. AF_05/2018</t>
  </si>
  <si>
    <t>ACRÉSCIMO PARA POÇO DE VISITA RETANGULAR PARA DRENAGEM, EM ALVENARIA COM BLOCOS DE CONCRETO, DIMENSÕES INTERNAS = 2,5X4 M. AF_05/2018</t>
  </si>
  <si>
    <t>BASE PARA POÇO DE VISITA RETANGULAR PARA DRENAGEM, EM ALVENARIA COM BLOCOS DE CONCRETO, DIMENSÕES INTERNAS = 3X3 M, PROFUNDIDADE = 1,45 M, EXCLUINDO TAMPÃO. AF_05/2018</t>
  </si>
  <si>
    <t>ACRÉSCIMO PARA POÇO DE VISITA RETANGULAR PARA DRENAGEM, EM ALVENARIA COM BLOCOS DE CONCRETO, DIMENSÕES INTERNAS = 3X3 M. AF_05/2018</t>
  </si>
  <si>
    <t>BASE PARA POÇO DE VISITA RETANGULAR PARA DRENAGEM, EM ALVENARIA COM BLOCOS DE CONCRETO, DIMENSÕES INTERNAS = 3X3,5 M, PROFUNDIDADE = 1,45 M, EXCLUINDO TAMPÃO. AF_05/2018</t>
  </si>
  <si>
    <t>ACRÉSCIMO PARA POÇO DE VISITA RETANGULAR PARA DRENAGEM, EM ALVENARIA COM BLOCOS DE CONCRETO, DIMENSÕES INTERNAS = 3X3,5 M. AF_05/2018</t>
  </si>
  <si>
    <t>ACRÉSCIMO PARA POÇO DE VISITA RETANGULAR PARA DRENAGEM, EM ALVENARIA COM BLOCOS DE CONCRETO, DIMENSÕES INTERNAS = 2X2 M. AF_05/2018</t>
  </si>
  <si>
    <t>BASE PARA POÇO DE VISITA RETANGULAR PARA DRENAGEM, EM ALVENARIA COM BLOCOS DE CONCRETO, DIMENSÕES INTERNAS = 3X4 M, PROFUNDIDADE = 1,45 M, EXCLUINDO TAMPÃO. AF_05/2018</t>
  </si>
  <si>
    <t>ACRÉSCIMO PARA POÇO DE VISITA RETANGULAR PARA DRENAGEM, EM ALVENARIA COM BLOCOS DE CONCRETO, DIMENSÕES INTERNAS = 3X4 M. AF_05/2018</t>
  </si>
  <si>
    <t>BASE PARA POÇO DE VISITA RETANGULAR PARA DRENAGEM, EM ALVENARIA COM BLOCOS DE CONCRETO, DIMENSÕES INTERNAS = 3,5X3,5 M, PROFUNDIDADE = 1,45 M, EXCLUINDO TAMPÃO. AF_05/2018</t>
  </si>
  <si>
    <t>ACRÉSCIMO PARA POÇO DE VISITA RETANGULAR PARA DRENAGEM, EM ALVENARIA COM BLOCOS DE CONCRETO, DIMENSÕES INTERNAS = 3,5X3,5 M. AF_05/2018</t>
  </si>
  <si>
    <t>BASE PARA POÇO DE VISITA RETANGULAR PARA DRENAGEM, EM ALVENARIA COM BLOCOS DE CONCRETO, DIMENSÕES INTERNAS = 2X2,5 M, PROFUNDIDADE = 1,45 M, EXCLUINDO TAMPÃO. AF_05/2018</t>
  </si>
  <si>
    <t>BASE PARA POÇO DE VISITA RETANGULAR PARA DRENAGEM, EM ALVENARIA COM BLOCOS DE CONCRETO, DIMENSÕES INTERNAS = 3,5X4 M, PROFUNDIDADE = 1,45 M, EXCLUINDO TAMPÃO. AF_05/2018</t>
  </si>
  <si>
    <t>ACRÉSCIMO PARA POÇO DE VISITA RETANGULAR PARA DRENAGEM, EM ALVENARIA COM BLOCOS DE CONCRETO, DIMENSÕES INTERNAS = 3,5X4 M. AF_05/2018</t>
  </si>
  <si>
    <t>BASE PARA POÇO DE VISITA RETANGULAR PARA DRENAGEM, EM ALVENARIA COM BLOCOS DE CONCRETO, DIMENSÕES INTERNAS = 4X4 M, PROFUNDIDADE = 1,45 M, EXCLUINDO TAMPÃO. AF_05/2018</t>
  </si>
  <si>
    <t>ACRÉSCIMO PARA POÇO DE VISITA RETANGULAR PARA DRENAGEM, EM ALVENARIA COM BLOCOS DE CONCRETO, DIMENSÕES INTERNAS = 2X2,5 M. AF_05/2018</t>
  </si>
  <si>
    <t>CHAMINÉ CIRCULAR PARA POÇO DE VISITA PARA DRENAGEM, EM CONCRETO PRÉ-MOLDADO, DIÂMETRO INTERNO = 0,6 M. AF_05/2018</t>
  </si>
  <si>
    <t>CHAMINÉ CIRCULAR PARA POÇO DE VISITA PARA DRENAGEM, EM ALVENARIA COM TIJOLOS CERÂMICOS MACIÇOS, DIÂMETRO INTERNO = 0,6 M. AF_05/2018</t>
  </si>
  <si>
    <t>BASE PARA POÇO DE VISITA RETANGULAR PARA DRENAGEM, EM ALVENARIA COM BLOCOS DE CONCRETO, DIMENSÕES INTERNAS = 2X3 M, PROFUNDIDADE = 1,45 M, EXCLUINDO TAMPÃO. AF_05/2018</t>
  </si>
  <si>
    <t>ACRÉSCIMO PARA POÇO DE VISITA RETANGULAR PARA DRENAGEM, EM ALVENARIA COM BLOCOS DE CONCRETO, DIMENSÕES INTERNAS = 2X3 M. AF_05/2018</t>
  </si>
  <si>
    <t>BASE PARA POÇO DE VISITA RETANGULAR PARA DRENAGEM, EM ALVENARIA COM BLOCOS DE CONCRETO, DIMENSÕES INTERNAS = 2X3,5 M, PROFUNDIDADE = 1,45 M, EXCLUINDO TAMPÃO. AF_05/2018</t>
  </si>
  <si>
    <t>ACRÉSCIMO PARA POÇO DE VISITA RETANGULAR PARA DRENAGEM, EM ALVENARIA COM BLOCOS DE CONCRETO, DIMENSÕES INTERNAS = 2X3,5 M. AF_05/2018</t>
  </si>
  <si>
    <t>BASE PARA POÇO DE VISITA RETANGULAR PARA DRENAGEM, EM ALVENARIA COM BLOCOS DE CONCRETO, DIMENSÕES INTERNAS = 2X4 M, PROFUNDIDADE = 1,45 M, EXCLUINDO TAMPÃO. AF_05/2018</t>
  </si>
  <si>
    <t>ACRÉSCIMO PARA POÇO DE VISITA RETANGULAR PARA DRENAGEM, EM ALVENARIA COM BLOCOS DE CONCRETO, DIMENSÕES INTERNAS = 2X4 M. AF_05/2018</t>
  </si>
  <si>
    <t>BASE PARA POÇO DE VISITA RETANGULAR PARA DRENAGEM, EM ALVENARIA COM BLOCOS DE CONCRETO, DIMENSÕES INTERNAS = 2,5X2,5 M, PROFUNDIDADE = 1,45 M, EXCLUINDO TAMPÃO. AF_05/2018</t>
  </si>
  <si>
    <t>ACRÉSCIMO PARA POÇO DE VISITA RETANGULAR PARA DRENAGEM, EM ALVENARIA COM BLOCOS DE CONCRETO, DIMENSÕES INTERNAS = 4X4 M. AF_05/2018</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</si>
  <si>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</si>
  <si>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</si>
  <si>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</si>
  <si>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</si>
  <si>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</si>
  <si>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</si>
  <si>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</si>
  <si>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</si>
  <si>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</si>
  <si>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</si>
  <si>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</si>
  <si>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</si>
  <si>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</si>
  <si>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</si>
  <si>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</si>
  <si>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</si>
  <si>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</si>
  <si>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ESTACA BROCA DE CONCRETO, DIÃMETRO DE 20 CM, PROFUNDIDADE DE ATÉ 3 M, ESCAVAÇÃO MANUAL COM TRADO CONCHA, NÃO ARMADA. AF_03/2018</t>
  </si>
  <si>
    <t>ESTACA BROCA DE CONCRETO, DIÃMETRO DE 25 CM, PROFUNDIDADE DE ATÉ 3 M, ESCAVAÇÃO MANUAL COM TRADO CONCHA, NÃO ARMADA. AF_03/2018</t>
  </si>
  <si>
    <t>ESTACA BROCA DE CONCRETO, DIÂMETRO DE 30 CM, PROFUNDIDADE DE ATÉ 3 M, ESCAVAÇÃO MANUAL COM TRADO CONCHA, NÃO ARMADA. AF_03/2018</t>
  </si>
  <si>
    <t>LASTRO DE CONCRETO MAGRO, APLICADO EM PISOS OU RADIERS, ESPESSURA DE 3 CM. AF_07/2016</t>
  </si>
  <si>
    <t>LASTRO DE CONCRETO MAGRO, APLICADO EM PISOS OU RADIERS, ESPESSURA DE 5 CM. AF_07/2016</t>
  </si>
  <si>
    <t>LASTRO COM MATERIAL GRANULAR (PEDRA BRITADA N.2), APLICADO EM PISOS OU RADIERS, ESPESSURA DE *10 CM*. AF_08/2017</t>
  </si>
  <si>
    <t>LASTRO COM MATERIAL GRANULAR (PEDRA BRITADA N.3), APLICADO EM PISOS OU RADIERS, ESPESSURA DE *10 CM*. AF_07/2019</t>
  </si>
  <si>
    <t>LASTRO COM MATERIAL GRANULAR (AREIA MÉDIA), APLICADO EM PISOS OU RADIERS, ESPESSURA DE *10 CM*. AF_07/2019</t>
  </si>
  <si>
    <t>LASTRO COM MATERIAL GRANULAR (PEDRA BRITADA N.1 E PEDRA BRITADA N.2), APLICADO EM PISOS OU RADIERS, ESPESSURA DE *10 CM*. AF_07/2019</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</si>
  <si>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</si>
  <si>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</si>
  <si>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</si>
  <si>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</si>
  <si>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</si>
  <si>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</si>
  <si>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</si>
  <si>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</si>
  <si>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</si>
  <si>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</si>
  <si>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</si>
  <si>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</si>
  <si>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</si>
  <si>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</si>
  <si>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CONCRETAGEM DE LAJES EM EDIFICAÇÕES UNIFAMILIARES FEITAS COM SISTEMA DE FÔRMAS MANUSEÁVEIS, COM CONCRETO USINADO BOMBEÁVEL FCK 20 MPA - LANÇAMENTO, ADENSAMENTO E ACABAMENTO. AF_06/2015</t>
  </si>
  <si>
    <t>CONCRETAGEM DE PAREDES EM EDIFICAÇÕES UNIFAMILIARES FEITAS COM SISTEMA DE FÔRMAS MANUSEÁVEIS, COM CONCRETO USINADO BOMBEÁVEL FCK 20 MPA - LANÇAMENTO, ADENSAMENTO E ACABAMENTO. AF_06/2015</t>
  </si>
  <si>
    <t>CONCRETAGEM DE PLATIBANDA EM EDIFICAÇÕES UNIFAMILIARES FEITAS COM SISTEMA DE FÔRMAS MANUSEÁVEIS, COM CONCRETO USINADO BOMBEÁVEL FCK 20 MPA - LANÇAMENTO, ADENSAMENTO E ACABAMENTO. AF_06/2015</t>
  </si>
  <si>
    <t>CONCRETAGEM DE LAJES EM EDIFICAÇÕES MULTIFAMILIARES FEITAS COM SISTEMA DE FÔRMAS MANUSEÁVEIS, COM CONCRETO USINADO BOMBEÁVEL FCK 20 MPA - LANÇAMENTO, ADENSAMENTO E ACABAMENTO. AF_06/2015</t>
  </si>
  <si>
    <t>CONCRETAGEM DE PAREDES EM EDIFICAÇÕES MULTIFAMILIARES FEITAS COM SISTEMA DE FÔRMAS MANUSEÁVEIS, COM CONCRETO USINADO BOMBEÁVEL FCK 20 MPA - LANÇAMENTO, ADENSAMENTO E ACABAMENTO. AF_06/2015</t>
  </si>
  <si>
    <t>CONCRETAGEM DE PLATIBANDA EM EDIFICAÇÕES MULTIFAMILIARES FEITAS COM SISTEMA DE FÔRMAS MANUSEÁVEIS, COM CONCRETO USINADO BOMBEÁVEL FCK 20 MPA - LANÇAMENTO, ADENSAMENTO E ACABAMENTO. AF_06/2015</t>
  </si>
  <si>
    <t>CONCRETAGEM DE PLATIBANDA EM EDIFICAÇÕES UNIFAMILIARES FEITAS COM SISTEMA DE FÔRMAS MANUSEÁVEIS, COM CONCRETO USINADO AUTOADENSÁVEL FCK 20 MPA - LANÇAMENTO E ACABAMENTO. AF_06/2015</t>
  </si>
  <si>
    <t>CONCRETAGEM DE PLATIBANDA EM EDIFICAÇÕES MULTIFAMILIARES FEITAS COM SISTEMA DE FÔRMAS MANUSEÁVEIS, COM CONCRETO USINADO AUTOADENSÁVEL FCK 20 MPA - LANÇAMENTO E ACABAMENTO. AF_06/2015</t>
  </si>
  <si>
    <t>CONCRETAGEM DE EDIFICAÇÕES (PAREDES E LAJES) FEITAS COM SISTEMA DE FÔRMAS MANUSEÁVEIS, COM CONCRETO USINADO BOMBEÁVEL FCK 20 MPA - LANÇAMENTO, ADENSAMENTO E ACABAMENTO. AF_06/2015</t>
  </si>
  <si>
    <t>CONCRETAGEM DE EDIFICAÇÕES (PAREDES E LAJES) FEITAS COM SISTEMA DE FÔRMAS MANUSEÁVEIS, COM CONCRETO USINADO AUTOADENSÁVEL FCK 20 MPA - LANÇAMENTO E ACABAMENTO. AF_06/2015</t>
  </si>
  <si>
    <t>CONCRETAGEM DE VIGAS E LAJES, FCK=20 MPA, PARA LAJES MACIÇAS OU NERVURADAS COM JERICAS EM ELEVADOR DE CABO EM EDIFICAÇÃO DE ATÉ 16 ANDARES, COM ÁREA MÉDIA DE LAJES MENOR OU IGUAL A 20 M² - LANÇAMENTO, ADENSAMENTO E ACABAMENTO. AF_12/2015</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</si>
  <si>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</si>
  <si>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</si>
  <si>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</si>
  <si>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</si>
  <si>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</si>
  <si>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</si>
  <si>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</si>
  <si>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</si>
  <si>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</si>
  <si>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</si>
  <si>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TRATAMENTO DE JUNTA DE DILATAÇÃO COM MANTA ASFÁLTICA ADERIDA COM MAÇARICO. AF_06/2018</t>
  </si>
  <si>
    <t>PEÇA CIRCULAR PRÉ-MOLDADA, VOLUME DE CONCRETO DE 10 A 30 LITROS, TAXA DE FIBRA DE POLIPROPILENO APROXIMADA DE 6 KG/M³. AF_01/2018_P</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</si>
  <si>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</si>
  <si>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</si>
  <si>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</si>
  <si>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</si>
  <si>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</si>
  <si>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</si>
  <si>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</si>
  <si>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</si>
  <si>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</si>
  <si>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</si>
  <si>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</si>
  <si>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</si>
  <si>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</si>
  <si>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</si>
  <si>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</si>
  <si>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</si>
  <si>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</si>
  <si>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</si>
  <si>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</si>
  <si>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</si>
  <si>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</si>
  <si>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</si>
  <si>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</si>
  <si>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</si>
  <si>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</si>
  <si>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</si>
  <si>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</si>
  <si>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</si>
  <si>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</si>
  <si>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</si>
  <si>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</si>
  <si>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</si>
  <si>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</si>
  <si>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</si>
  <si>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</si>
  <si>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</si>
  <si>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</si>
  <si>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</si>
  <si>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</si>
  <si>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</si>
  <si>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</si>
  <si>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</si>
  <si>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</si>
  <si>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</si>
  <si>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REFORÇADO, PVC, DN 20 MM (1/2"), PARA CIRCUITOS TERMINAIS, INSTALADO EM FORRO - FORNECIMENTO E INSTALAÇÃO. AF_12/2015</t>
  </si>
  <si>
    <t>ELETRODUTO FLEXÍVEL CORRUGADO REFORÇADO, PVC, DN 25 MM (3/4"),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</si>
  <si>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</si>
  <si>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</si>
  <si>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</si>
  <si>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</si>
  <si>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REFORÇADO, PVC, DN 20 MM (1/2"), PARA CIRCUITOS TERMINAIS, INSTALADO EM LAJE - FORNECIMENTO E INSTALAÇÃO. AF_12/2015</t>
  </si>
  <si>
    <t>ELETRODUTO FLEXÍVEL CORRUGADO REFORÇADO, PVC, DN 25 MM (3/4"),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</si>
  <si>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</si>
  <si>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</si>
  <si>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</si>
  <si>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</si>
  <si>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REFORÇADO, PVC, DN 20 MM (1/2"), PARA CIRCUITOS TERMINAIS, INSTALADO EM PAREDE - FORNECIMENTO E INSTALAÇÃO. AF_12/2015</t>
  </si>
  <si>
    <t>ELETRODUTO FLEXÍVEL CORRUGADO REFORÇADO, PVC, DN 25 MM (3/4"),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</si>
  <si>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</si>
  <si>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</si>
  <si>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</si>
  <si>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</si>
  <si>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</si>
  <si>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</si>
  <si>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</si>
  <si>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</si>
  <si>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CURVA 180 GRAUS PARA ELETRODUTO, PVC, ROSCÁVEL, DN 32 MM (1"), PARA CIRCUITOS TERMINAIS, INSTALADA EM FORRO - FORNECIMENTO E INSTALAÇÃO. AF_12/2015</t>
  </si>
  <si>
    <t>CURVA 180 GRAUS PARA ELETRODUTO, PVC, ROSCÁVEL, DN 32 MM (1), PARA CIRCUITOS TERMINAIS, INSTALADA EM LAJE - FORNECIMENTO E INSTALAÇÃO. AF_12/2015</t>
  </si>
  <si>
    <t>CURVA 180 GRAUS PARA ELETRODUTO, PVC, ROSCÁVEL, DN 32 MM (1), PARA CIRCUITOS TERMINAIS, INSTALADA EM PAREDE - FORNECIMENTO E INSTALAÇÃO. AF_12/2015</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</si>
  <si>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</si>
  <si>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</si>
  <si>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</si>
  <si>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CAIXA ENTERRADA ELÉTRICA RETANGULAR, EM ALVENARIA COM TIJOLOS CERÂMICOS MACIÇOS, FUNDO COM BRITA, DIMENSÕES INTERNAS: 0,3X0,3X0,3 M. AF_05/2018</t>
  </si>
  <si>
    <t>CAIXA ENTERRADA ELÉTRICA RETANGULAR, EM ALVENARIA COM TIJOLOS CERÂMICOS MACIÇOS, FUNDO COM BRITA, DIMENSÕES INTERNAS: 0,4X0,4X0,4 M. AF_05/2018</t>
  </si>
  <si>
    <t>CAIXA ENTERRADA ELÉTRICA RETANGULAR, EM ALVENARIA COM TIJOLOS CERÂMICOS MACIÇOS, FUNDO COM BRITA, DIMENSÕES INTERNAS: 0,6X0,6X0,6 M. AF_05/2018</t>
  </si>
  <si>
    <t>CAIXA ENTERRADA ELÉTRICA RETANGULAR, EM ALVENARIA COM TIJOLOS CERÂMICOS MACIÇOS, FUNDO COM BRITA, DIMENSÕES INTERNAS: 0,8X0,8X0,6 M. AF_05/2018</t>
  </si>
  <si>
    <t>CAIXA ENTERRADA ELÉTRICA RETANGULAR, EM ALVENARIA COM TIJOLOS CERÂMICOS MACIÇOS, FUNDO COM BRITA, DIMENSÕES INTERNAS: 1X1X0,6 M. AF_05/2018</t>
  </si>
  <si>
    <t>CAIXA ENTERRADA ELÉTRICA RETANGULAR, EM ALVENARIA COM BLOCOS DE CONCRETO, FUNDO COM BRITA, DIMENSÕES INTERNAS: 0,4X0,4X0,4 M. AF_05/2018</t>
  </si>
  <si>
    <t>CAIXA ENTERRADA ELÉTRICA RETANGULAR, EM ALVENARIA COM BLOCOS DE CONCRETO, FUNDO COM BRITA, DIMENSÕES INTERNAS: 0,6X0,6X0,6 M. AF_05/2018</t>
  </si>
  <si>
    <t>CAIXA ENTERRADA ELÉTRICA RETANGULAR, EM ALVENARIA COM BLOCOS DE CONCRETO, FUNDO COM BRITA, DIMENSÕES INTERNAS: 0,8X0,8X0,6 M. AF_05/2018</t>
  </si>
  <si>
    <t>CAIXA ENTERRADA ELÉTRICA RETANGULAR, EM ALVENARIA COM BLOCOS DE CONCRETO, FUNDO COM BRITA, DIMENSÕES INTERNAS: 1X1X0,6 M. AF_05/2018</t>
  </si>
  <si>
    <t>ABRIGO PARA HIDRANTE, 90X60X17CM, COM REGISTRO GLOBO ANGULAR 45 GRAUS 2 1/2", ADAPTADOR STORZ 2 1/2", MANGUEIRA DE INCÊNDIO 20M, REDUÇÃO 2 1/2 X 1 1/2" E ESGUICHO EM LATÃO 1 1/2" - FORNECIMENTO E INSTALAÇÃO. AF_08/2017</t>
  </si>
  <si>
    <t>PINTURA ANTICORROSIVA DE DUTO METÁLICO. AF_04/2018</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</si>
  <si>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</si>
  <si>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</si>
  <si>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</si>
  <si>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</si>
  <si>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</si>
  <si>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</si>
  <si>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</si>
  <si>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EM COBRE RÍGIDO, DN 28 MM, CLASSE E, COM ISOLAMENTO, INSTALADO EM PRUMADA  FORNECIMENTO E INSTALAÇÃO. AF_12/2015</t>
  </si>
  <si>
    <t>TUBO EM COBRE RÍGIDO, DN 35 MM, CLASSE E, COM ISOLAMENTO, INSTALADO EM PRUMADA  FORNECIMENTO E INSTALAÇÃO. AF_12/2015</t>
  </si>
  <si>
    <t>TUBO EM COBRE RÍGIDO, DN 42 MM, CLASSE E, COM ISOLAMENTO, INSTALADO EM PRUMADA  FORNECIMENTO E INSTALAÇÃO. AF_12/2015</t>
  </si>
  <si>
    <t>TUBO EM COBRE RÍGIDO, DN 54 MM, CLASSE E, COM ISOLAMENTO, INSTALADO EM PRUMADA  FORNECIMENTO E INSTALAÇÃO. AF_12/2015</t>
  </si>
  <si>
    <t>TUBO EM COBRE RÍGIDO, DN 66 MM, CLASSE E, COM ISOLAMENTO, INSTALADO EM PRUMADA  FORNECIMENTO E INSTALAÇÃO. AF_12/2015</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</si>
  <si>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</si>
  <si>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</si>
  <si>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</si>
  <si>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</si>
  <si>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</si>
  <si>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</si>
  <si>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</si>
  <si>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</si>
  <si>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</si>
  <si>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</si>
  <si>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</si>
  <si>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</si>
  <si>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</si>
  <si>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</si>
  <si>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</si>
  <si>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</si>
  <si>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</si>
  <si>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</si>
  <si>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</si>
  <si>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</si>
  <si>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</si>
  <si>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</si>
  <si>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</si>
  <si>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</si>
  <si>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</si>
  <si>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</si>
  <si>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</si>
  <si>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</si>
  <si>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</si>
  <si>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</si>
  <si>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</si>
  <si>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</si>
  <si>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</si>
  <si>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</si>
  <si>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</si>
  <si>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</si>
  <si>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</si>
  <si>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</si>
  <si>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</si>
  <si>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</si>
  <si>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</si>
  <si>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</si>
  <si>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</si>
  <si>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</si>
  <si>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</si>
  <si>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</si>
  <si>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</si>
  <si>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</si>
  <si>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</si>
  <si>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AF_12/2015</t>
  </si>
  <si>
    <t>TUBO DE AÇO GALVANIZADO COM COSTURA, CLASSE MÉDIA, CONEXÃO ROSQUEADA, DN 25 (1"), INSTALADO EM REDE DE ALIMENTAÇÃO PARA SPRINKLER - FORNECIMENTO E INSTALAÇÃO. AF_12/2015</t>
  </si>
  <si>
    <t>TUBO DE AÇO GALVANIZADO COM COSTURA, CLASSE MÉDIA, CONEXÃO ROSQUEADA, DN 25 (1"), INSTALADO EM RAMAIS  E SUB-RAMAIS DE GÁS - FORNECIMENTO E INSTALAÇÃO. AF_12/2015</t>
  </si>
  <si>
    <t>JOELHO DE TRANSIÇÃO, 90 GRAUS, CPVC, SOLDÁVEL, DN 15MM X 1/2",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</si>
  <si>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</si>
  <si>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1/2", INSTALADO EM RAMAL DE ALIMENTAÇAÕ DE ÁGUA - FORNECIMENTO E INSTALAÇÃO. AF_12/2014</t>
  </si>
  <si>
    <t>COTOVELO EM COBRE, DN 22 MM, 90 GRAUS, SEM ANEL DE SOLDA, INSTALADO EM PRUMADA   FORNECIMENTO E INSTALAÇÃO. AF_12/2015</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</si>
  <si>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</si>
  <si>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</si>
  <si>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</si>
  <si>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</si>
  <si>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</si>
  <si>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</si>
  <si>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</si>
  <si>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</si>
  <si>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</si>
  <si>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</si>
  <si>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</si>
  <si>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</si>
  <si>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</si>
  <si>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</si>
  <si>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</si>
  <si>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</si>
  <si>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</si>
  <si>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</si>
  <si>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</si>
  <si>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</si>
  <si>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</si>
  <si>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</si>
  <si>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</si>
  <si>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</si>
  <si>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</si>
  <si>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</si>
  <si>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</si>
  <si>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</si>
  <si>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</si>
  <si>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</si>
  <si>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</si>
  <si>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</si>
  <si>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</si>
  <si>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</si>
  <si>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</si>
  <si>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DE REDUÇÃO, EM FERRO GALVANIZADO, 2" X 1 1/2", CONEXÃO ROSQUEADA, INSTALADO EM PRUMADAS - FORNECIMENTO E INSTALAÇÃO. AF_12/2015</t>
  </si>
  <si>
    <t>LUVA DE REDUÇÃO, EM FERRO GALVANIZADO, 2" X 1 1/4", CONEXÃO ROSQUEADA, INSTALADO EM PRUMADAS - FORNECIMENTO E INSTALAÇÃO. AF_12/2015</t>
  </si>
  <si>
    <t>LUVA DE REDUÇÃO, EM FERRO GALVANIZADO, 2 1/2" X 1 1/2", CONEXÃO ROSQUEADA, INSTALADO EM PRUMADAS - FORNECIMENTO E INSTALAÇÃO. AF_12/2015</t>
  </si>
  <si>
    <t>LUVA DE REDUÇÃO, EM FERRO GALVANIZADO, 2 1/2" X 2", CONEXÃO ROSQUEADA, INSTALADO EM PRUMADAS - FORNECIMENTO E INSTALAÇÃO. AF_12/2015</t>
  </si>
  <si>
    <t>LUVA DE REDUÇÃO, EM FERRO GALVANIZADO, 3" X 1 1/2", CONEXÃO ROSQUEADA, INSTALADO EM PRUMADAS - FORNECIMENTO E INSTALAÇÃO. AF_12/2015</t>
  </si>
  <si>
    <t>LUVA DE REDUÇÃO, EM FERRO GALVANIZADO, 3" X 2 1/2", CONEXÃO ROSQUEADA, INSTALADO EM PRUMADAS - FORNECIMENTO E INSTALAÇÃO. AF_12/2015</t>
  </si>
  <si>
    <t>LUVA DE REDUÇÃO, EM FERRO GALVANIZADO, 1 1/2" X 1 1/4", CONEXÃO ROSQUEADA, INSTALADO EM REDE DE ALIMENTAÇÃO PARA HIDRANTE - FORNECIMENTO E INSTALAÇÃO. AF_12/2015</t>
  </si>
  <si>
    <t>LUVA DE REDUÇÃO, EM FERRO GALVANIZADO, 1 1/2" X 1", CONEXÃO ROSQUEADA, INSTALADO EM REDE DE ALIMENTAÇÃO PARA HIDRANTE - FORNECIMENTO E INSTALAÇÃO. AF_12/2015</t>
  </si>
  <si>
    <t>LUVA DE REDUÇÃO, EM FERRO GALVANIZADO, 1 1/2" X 3/4", CONEXÃO ROSQUEADA, INSTALADO EM REDE DE ALIMENTAÇÃO PARA HIDRANTE - FORNECIMENTO E INSTALAÇÃO. AF_12/2015</t>
  </si>
  <si>
    <t>LUVA DE REDUÇÃO, EM FERRO GALVANIZADO, 2" X 1 1/2", CONEXÃO ROSQUEADA, INSTALADO EM REDE DE ALIMENTAÇÃO PARA HIDRANTE - FORNECIMENTO E INSTALAÇÃO. AF_12/2015</t>
  </si>
  <si>
    <t>LUVA DE REDUÇÃO, EM FERRO GALVANIZADO, 2" X 1 1/4", CONEXÃO ROSQUEADA, INSTALADO EM REDE DE ALIMENTAÇÃO PARA HIDRANTE - FORNECIMENTO E INSTALAÇÃO. AF_12/2015</t>
  </si>
  <si>
    <t>LUVA DE REDUÇÃO, EM FERRO GALVANIZADO, 2 1/2" X 1 1/2", CONEXÃO ROSQUEADA, INSTALADO EM REDE DE ALIMENTAÇÃO PARA HIDRANTE - FORNECIMENTO E INSTALAÇÃO. AF_12/2015</t>
  </si>
  <si>
    <t>LUVA DE REDUÇÃO, EM FERRO GALVANIZADO, 2 1/2" X 2", CONEXÃO ROSQUEADA, INSTALADO EM REDE DE ALIMENTAÇÃO PARA HIDRANTE - FORNECIMENTO E INSTALAÇÃO. AF_12/2015</t>
  </si>
  <si>
    <t>LUVA DE REDUÇÃO, EM FERRO GALVANIZADO, 3" X 2 1/2", CONEXÃO ROSQUEADA, INSTALADO EM REDE DE ALIMENTAÇÃO PARA HIDRANTE - FORNECIMENTO E INSTALAÇÃO. AF_12/2015</t>
  </si>
  <si>
    <t>LUVA DE REDUÇÃO, EM FERRO GALVANIZADO, 1 1/4" X 1", CONEXÃO ROSQUEADA, INSTALADO EM REDE DE ALIMENTAÇÃO PARA SPRINKLER - FORNECIMENTO E INSTALAÇÃO. AF_12/2015</t>
  </si>
  <si>
    <t>LUVA DE REDUÇÃO, EM FERRO GALVANIZADO, 1 1/4" X 1/2", CONEXÃO ROSQUEADA, INSTALADO EM REDE DE ALIMENTAÇÃO PARA SPRINKLER - FORNECIMENTO E INSTALAÇÃO. AF_12/2015</t>
  </si>
  <si>
    <t>LUVA DE REDUÇÃO, EM FERRO GALVANIZADO, 1 1/4" X 3/4", CONEXÃO ROSQUEADA, INSTALADO EM REDE DE ALIMENTAÇÃO PARA SPRINKLER - FORNECIMENTO E INSTALAÇÃO. AF_12/2015</t>
  </si>
  <si>
    <t>LUVA DE REDUÇÃO, EM FERRO GALVANIZADO, 1 1/2" X 1 1/4", CONEXÃO ROSQUEADA, INSTALADO EM REDE DE ALIMENTAÇÃO PARA SPRINKLER - FORNECIMENTO E INSTALAÇÃO. AF_12/2015</t>
  </si>
  <si>
    <t>LUVA DE REDUÇÃO, EM FERRO GALVANIZADO, 1 1/2" X 1", CONEXÃO ROSQUEADA, INSTALADO EM REDE DE ALIMENTAÇÃO PARA SPRINKLER - FORNECIMENTO E INSTALAÇÃO. AF_12/2015</t>
  </si>
  <si>
    <t>LUVA DE REDUÇÃO, EM FERRO GALVANIZADO, 1 1/2" X 3/4", CONEXÃO ROSQUEADA, INSTALADO EM REDE DE ALIMENTAÇÃO PARA SPRINKLER - FORNECIMENTO E INSTALAÇÃO. AF_12/2015</t>
  </si>
  <si>
    <t>LUVA DE REDUÇÃO, EM FERRO GALVANIZADO, 2" X 1 1/2", CONEXÃO ROSQUEADA, INSTALADO EM REDE DE ALIMENTAÇÃO PARA SPRINKLER - FORNECIMENTO E INSTALAÇÃO. AF_12/2015</t>
  </si>
  <si>
    <t>LUVA DE REDUÇÃO, EM FERRO GALVANIZADO, 2" X 1 1/4", CONEXÃO ROSQUEADA, INSTALADO EM REDE DE ALIMENTAÇÃO PARA SPRINKLER - FORNECIMENTO E INSTALAÇÃO. AF_12/2015</t>
  </si>
  <si>
    <t>LUVA DE REDUÇÃO, EM FERRO GALVANIZADO, 2 1/2" X 1 1/2", CONEXÃO ROSQUEADA, INSTALADO EM REDE DE ALIMENTAÇÃO PARA SPRINKLER - FORNECIMENTO E INSTALAÇÃO. AF_12/2015</t>
  </si>
  <si>
    <t>LUVA DE REDUÇÃO, EM FERRO GALVANIZADO, 3" X 2 1/2", CONEXÃO ROSQUEADA, INSTALADO EM REDE DE ALIMENTAÇÃO PARA SPRINKLER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</si>
  <si>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</si>
  <si>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</si>
  <si>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</si>
  <si>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</si>
  <si>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</si>
  <si>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</si>
  <si>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</si>
  <si>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</si>
  <si>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</si>
  <si>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</si>
  <si>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</si>
  <si>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</si>
  <si>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</si>
  <si>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</si>
  <si>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</si>
  <si>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</si>
  <si>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</si>
  <si>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</si>
  <si>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</si>
  <si>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</si>
  <si>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</si>
  <si>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</si>
  <si>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</si>
  <si>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</si>
  <si>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</si>
  <si>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</si>
  <si>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</si>
  <si>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</si>
  <si>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</si>
  <si>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</si>
  <si>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</si>
  <si>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</si>
  <si>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</si>
  <si>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</si>
  <si>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</si>
  <si>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</si>
  <si>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</si>
  <si>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</si>
  <si>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</si>
  <si>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</si>
  <si>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</si>
  <si>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</si>
  <si>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</si>
  <si>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</si>
  <si>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</si>
  <si>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</si>
  <si>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</si>
  <si>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</si>
  <si>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</si>
  <si>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</si>
  <si>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</si>
  <si>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</si>
  <si>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</si>
  <si>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</si>
  <si>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</si>
  <si>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</si>
  <si>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</si>
  <si>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</si>
  <si>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</si>
  <si>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</si>
  <si>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</si>
  <si>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</si>
  <si>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</si>
  <si>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</si>
  <si>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</si>
  <si>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</si>
  <si>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</si>
  <si>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</si>
  <si>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</si>
  <si>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</si>
  <si>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</si>
  <si>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</si>
  <si>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</si>
  <si>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</si>
  <si>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</si>
  <si>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</si>
  <si>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</si>
  <si>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</si>
  <si>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</si>
  <si>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</si>
  <si>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</si>
  <si>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</si>
  <si>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</si>
  <si>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</si>
  <si>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</si>
  <si>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</si>
  <si>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</si>
  <si>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</si>
  <si>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</si>
  <si>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</si>
  <si>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</si>
  <si>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SPRINKLER TIPO PENDENTE, 68 °C, UNIÃO POR ROSCA DN 15 (1/2") - FORNECIMENTO E INSTALAÇÃO. AF_12/2015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</si>
  <si>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</si>
  <si>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</si>
  <si>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</si>
  <si>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</si>
  <si>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</si>
  <si>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AF_12/2015</t>
  </si>
  <si>
    <t>ACOPLAMENTO RÍGIDO EM AÇO, CONEXÃO RANHURADA, DN 65 (2 1/2"), INSTALADO EM PRUMADAS - FORNECIMENTO E INSTALAÇÃO. AF_12/2015</t>
  </si>
  <si>
    <t>ACOPLAMENTO RÍGIDO EM AÇO, CONEXÃO RANHURADA, DN 80 (3"), INSTALADO EM PRUMADAS - FORNECIMENTO E INSTALAÇÃO. AF_12/2015</t>
  </si>
  <si>
    <t>CURVA 45 GRAUS, EM AÇO, CONEXÃO RANHURADA, DN 50 (2), INSTALADO EM PRUMADAS - FORNECIMENTO E INSTALAÇÃO. AF_12/2015</t>
  </si>
  <si>
    <t>CURVA 90 GRAUS, EM AÇO, CONEXÃO RANHURADA, DN 50 (2"), INSTALADO EM PRUMADAS - FORNECIMENTO E INSTALAÇÃO. AF_12/2015</t>
  </si>
  <si>
    <t>CURVA 45 GRAUS, EM AÇO, CONEXÃO RANHURADA, DN 65 (2 1/2"), INSTALADO EM PRUMADAS - FORNECIMENTO E INSTALAÇÃO. AF_12/2015</t>
  </si>
  <si>
    <t>CURVA 90 GRAUS, EM AÇO, CONEXÃO RANHURADA, DN 65 (2 1/2), INSTALADO EM PRUMADAS - FORNECIMENTO E INSTALAÇÃO. AF_12/2015</t>
  </si>
  <si>
    <t>CURVA 45 GRAUS, EM AÇO, CONEXÃO RANHURADA, DN 80 (3"), INSTALADO EM PRUMADAS - FORNECIMENTO E INSTALAÇÃO. AF_12/2015</t>
  </si>
  <si>
    <t>CURVA 90 GRAUS, EM AÇO, CONEXÃO RANHURADA, DN 80 (3"), INSTALADO EM PRUMADAS - FORNECIMENTO E INSTALAÇÃO. AF_12/2015</t>
  </si>
  <si>
    <t>TÊ, EM AÇO, CONEXÃO RANHURADA, DN 50 (2"), INSTALADO EM PRUMADAS - FORNECIMENTO E INSTALAÇÃO. AF_12/2015</t>
  </si>
  <si>
    <t>TÊ, EM AÇO, CONEXÃO RANHURADA, DN 65 (2 1/2"), INSTALADO EM PRUMADAS - FORNECIMENTO E INSTALAÇÃO. AF_12/2015</t>
  </si>
  <si>
    <t>TÊ, EM AÇO, CONEXÃO RANHURADA, DN 80 (3"), INSTALADO EM PRUMADAS - FORNECIMENTO E INSTALAÇÃO. AF_12/2015</t>
  </si>
  <si>
    <t>LUVA, EM AÇO, CONEXÃO SOLDADA, DN 50 (2"), INSTALADO EM PRUMADAS - FORNECIMENTO E INSTALAÇÃO. AF_12/2015</t>
  </si>
  <si>
    <t>LUVA COM REDUÇÃO, EM AÇO, CONEXÃO SOLDADA, DN 50 X 40 MM (2 X 1 1/2), INSTALADO EM PRUMADAS - FORNECIMENTO E INSTALAÇÃO. AF_12/2015</t>
  </si>
  <si>
    <t>LUVA, EM AÇO, CONEXÃO SOLDADA, DN 65 (2 1/2"), INSTALADO EM PRUMADAS - FORNECIMENTO E INSTALAÇÃO. AF_12/2015</t>
  </si>
  <si>
    <t>LUVA COM REDUÇÃO, EM AÇO, CONEXÃO SOLDADA, DN 65 X 50 MM (2 1/2" X 2"), INSTALADO EM PRUMADAS - FORNECIMENTO E INSTALAÇÃO. AF_12/2015</t>
  </si>
  <si>
    <t>LUVA, EM AÇO, CONEXÃO SOLDADA, DN 80 (3), INSTALADO EM PRUMADAS - FORNECIMENTO E INSTALAÇÃO. AF_12/2015</t>
  </si>
  <si>
    <t>LUVA COM REDUÇÃO, EM AÇO, CONEXÃO SOLDADA, DN 80 X 65 MM (3" X 2 1/2"), INSTALADO EM PRUMADAS - FORNECIMENTO E INSTALAÇÃO. AF_12/2015</t>
  </si>
  <si>
    <t>CURVA 45 GRAUS, EM AÇO, CONEXÃO SOLDADA, DN 50 (2), INSTALADO EM PRUMADAS - FORNECIMENTO E INSTALAÇÃO. AF_12/2015</t>
  </si>
  <si>
    <t>CURVA 90 GRAUS, EM AÇO, CONEXÃO SOLDADA, DN 50 (2), INSTALADO EM PRUMADAS - FORNECIMENTO E INSTALAÇÃO. AF_12/2015</t>
  </si>
  <si>
    <t>CURVA 45 GRAUS, EM AÇO, CONEXÃO SOLDADA, DN 65 (2 1/2), INSTALADO EM PRUMADAS - FORNECIMENTO E INSTALAÇÃO. AF_12/2015</t>
  </si>
  <si>
    <t>CURVA 90 GRAUS, EM AÇO, CONEXÃO SOLDADA, DN 65 (2 1/2), INSTALADO EM PRUMADAS - FORNECIMENTO E INSTALAÇÃO. AF_12/2015</t>
  </si>
  <si>
    <t>CURVA 45 GRAUS, EM AÇO, CONEXÃO SOLDADA, DN 80 (3), INSTALADO EM PRUMADAS - FORNECIMENTO E INSTALAÇÃO. AF_12/2015</t>
  </si>
  <si>
    <t>CURVA 90 GRAUS, EM AÇO, CONEXÃO SOLDADA, DN 80 (3), INSTALADO EM PRUMADAS - FORNECIMENTO E INSTALAÇÃO. AF_12/2015</t>
  </si>
  <si>
    <t>TÊ, EM AÇO, CONEXÃO SOLDADA, DN 50 (2"), INSTALADO EM PRUMADAS - FORNECIMENTO E INSTALAÇÃO. AF_12/2015</t>
  </si>
  <si>
    <t>TÊ, EM AÇO, CONEXÃO SOLDADA, DN 65 (2 1/2"), INSTALADO EM PRUMADAS - FORNECIMENTO E INSTALAÇÃO. AF_12/2015</t>
  </si>
  <si>
    <t>TÊ, EM AÇO, CONEXÃO SOLDADA, DN 80 (3"), INSTALADO EM PRUMADAS - FORNECIMENTO E INSTALAÇÃO. AF_12/2015</t>
  </si>
  <si>
    <t>LUVA, EM AÇO, CONEXÃO SOLDADA, DN 25 (1), INSTALADO EM REDE DE ALIMENTAÇÃO PARA HIDRANTE - FORNECIMENTO E INSTALAÇÃO. AF_12/2015</t>
  </si>
  <si>
    <t>LUVA COM REDUÇÃO, EM AÇO, CONEXÃO SOLDADA, DN 25 X 20 MM (1 X 3/4), INSTALADO EM REDE DE ALIMENTAÇÃO PARA HIDRANTE - FORNECIMENTO E INSTALAÇÃO. AF_12/2015</t>
  </si>
  <si>
    <t>LUVA, EM AÇO, CONEXÃO SOLDADA, DN 32 (1 1/4), INSTALADO EM REDE DE ALIMENTAÇÃO PARA HIDRANTE - FORNECIMENTO E INSTALAÇÃO. AF_12/2015</t>
  </si>
  <si>
    <t>LUVA COM REDUÇÃO, EM AÇO, CONEXÃO SOLDADA, DN 32 X 25 MM (1 1/4  X 1), INSTALADO EM REDE DE ALIMENTAÇÃO PARA HIDRANTE - FORNECIMENTO E INSTALAÇÃO. AF_12/2015</t>
  </si>
  <si>
    <t>LUVA, EM AÇO, CONEXÃO SOLDADA, DN 40 (1 1/2), INSTALADO EM REDE DE ALIMENTAÇÃO PARA HIDRANTE - FORNECIMENTO E INSTALAÇÃO. AF_12/2015</t>
  </si>
  <si>
    <t>LUVA COM REDUÇÃO, EM AÇO, CONEXÃO SOLDADA, DN 40  X 32 MM (1 1/2 X 1 1/4), INSTALADO EM REDE DE ALIMENTAÇÃO PARA HIDRANTE - FORNECIMENTO E INSTALAÇÃO. AF_12/2015</t>
  </si>
  <si>
    <t>LUVA, EM AÇO, CONEXÃO SOLDADA, DN 50 (2), INSTALADO EM REDE DE ALIMENTAÇÃO PARA HIDRANTE - FORNECIMENTO E INSTALAÇÃO. AF_12/2015</t>
  </si>
  <si>
    <t>LUVA COM REDUÇÃO, EM AÇO, CONEXÃO SOLDADA, DN 50 X 40 MM (2 X 1 1/2), INSTALADO EM REDE DE ALIMENTAÇÃO PARA HIDRANTE - FORNECIMENTO E INSTALAÇÃO. AF_12/2015</t>
  </si>
  <si>
    <t>LUVA, EM AÇO, CONEXÃO SOLDADA, DN 65 (2 1/2), INSTALADO EM REDE DE ALIMENTAÇÃO PARA HIDRANTE - FORNECIMENTO E INSTALAÇÃO. AF_12/2015</t>
  </si>
  <si>
    <t>LUVA COM REDUÇÃO, EM AÇO, CONEXÃO SOLDADA, DN 65 X 50 MM (2 1/2 X 2), INSTALADO EM REDE DE ALIMENTAÇÃO PARA HIDRANTE - FORNECIMENTO E INSTALAÇÃO. AF_12/2015</t>
  </si>
  <si>
    <t>LUVA, EM AÇO, CONEXÃO SOLDADA, DN 80 (3), INSTALADO EM REDE DE ALIMENTAÇÃO PARA HIDRANTE - FORNECIMENTO E INSTALAÇÃO. AF_12/2015</t>
  </si>
  <si>
    <t>LUVA COM REDUÇÃO, EM AÇO, CONEXÃO SOLDADA, DN 80 X 65 MM (3 X 2 1/2), INSTALADO EM REDE DE ALIMENTAÇÃO PARA HIDRANTE - FORNECIMENTO E INSTALAÇÃO. AF_12/2015</t>
  </si>
  <si>
    <t>CURVA 45 GRAUS, EM AÇO, CONEXÃO SOLDADA, DN 25 (1), INSTALADO EM REDE DE ALIMENTAÇÃO PARA HIDRANTE - FORNECIMENTO E INSTALAÇÃO. AF_12/2015</t>
  </si>
  <si>
    <t>CURVA 90 GRAUS, EM AÇO, CONEXÃO SOLDADA, DN 25 (1), INSTALADO EM REDE DE ALIMENTAÇÃO PARA HIDRANTE - FORNECIMENTO E INSTALAÇÃO. AF_12/2015</t>
  </si>
  <si>
    <t>CURVA 45 GRAUS, EM AÇO, CONEXÃO SOLDADA, DN 32 (1 1/4), INSTALADO EM REDE DE ALIMENTAÇÃO PARA HIDRANTE - FORNECIMENTO E INSTALAÇÃO. AF_12/2015</t>
  </si>
  <si>
    <t>CURVA 90 GRAUS, EM AÇO, CONEXÃO SOLDADA, DN 32 (1 1/4), INSTALADO EM REDE DE ALIMENTAÇÃO PARA HIDRANTE - FORNECIMENTO E INSTALAÇÃO. AF_12/2015</t>
  </si>
  <si>
    <t>CURVA 45 GRAUS, EM AÇO, CONEXÃO SOLDADA, DN 40 (1 1/2"), INSTALADO EM REDE DE ALIMENTAÇÃO PARA HIDRANTE - FORNECIMENTO E INSTALAÇÃO. AF_12/2015</t>
  </si>
  <si>
    <t>CURVA 90 GRAUS, EM AÇO, CONEXÃO SOLDADA, DN 40 (1 1/2"), INSTALADO EM REDE DE ALIMENTAÇÃO PARA HIDRANTE - FORNECIMENTO E INSTALAÇÃO. AF_12/2015</t>
  </si>
  <si>
    <t>CURVA 45 GRAUS, EM AÇO, CONEXÃO SOLDADA, DN 50 (2"), INSTALADO EM REDE DE ALIMENTAÇÃO PARA HIDRANTE - FORNECIMENTO E INSTALAÇÃO. AF_12/2015</t>
  </si>
  <si>
    <t>CURVA 90 GRAUS, EM AÇO, CONEXÃO SOLDADA, DN 50 (2"), INSTALADO EM REDE DE ALIMENTAÇÃO PARA HIDRANTE - FORNECIMENTO E INSTALAÇÃO. AF_12/2015</t>
  </si>
  <si>
    <t>CURVA 45 GRAUS, EM AÇO, CONEXÃO SOLDADA, DN 65 (2 1/2"), INSTALADO EM REDE DE ALIMENTAÇÃO PARA HIDRANTE - FORNECIMENTO E INSTALAÇÃO. AF_12/2015</t>
  </si>
  <si>
    <t>CURVA 90 GRAUS, EM AÇO, CONEXÃO SOLDADA, DN 65 (2 1/2"), INSTALADO EM REDE DE ALIMENTAÇÃO PARA HIDRANTE - FORNECIMENTO E INSTALAÇÃO. AF_12/2015</t>
  </si>
  <si>
    <t>CURVA 45 GRAUS, EM AÇO, CONEXÃO SOLDADA, DN 80 (3"), INSTALADO EM REDE DE ALIMENTAÇÃO PARA HIDRANTE - FORNECIMENTO E INSTALAÇÃO. AF_12/2015</t>
  </si>
  <si>
    <t>CURVA 90 GRAUS, EM AÇO, CONEXÃO SOLDADA, DN 80 (3"), INSTALADO EM REDE DE ALIMENTAÇÃO PARA HIDRANTE - FORNECIMENTO E INSTALAÇÃO. AF_12/2015</t>
  </si>
  <si>
    <t>TÊ, EM AÇO, CONEXÃO SOLDADA, DN 25 (1"), INSTALADO EM REDE DE ALIMENTAÇÃO PARA HIDRANTE - FORNECIMENTO E INSTALAÇÃO. AF_12/2015</t>
  </si>
  <si>
    <t>TÊ, EM AÇO, CONEXÃO SOLDADA, DN 32 (1 1/4"), INSTALADO EM REDE DE ALIMENTAÇÃO PARA HIDRANTE - FORNECIMENTO E INSTALAÇÃO. AF_12/2015</t>
  </si>
  <si>
    <t>TÊ, EM AÇO, CONEXÃO SOLDADA, DN 40 (1 1/2"), INSTALADO EM REDE DE ALIMENTAÇÃO PARA HIDRANTE - FORNECIMENTO E INSTALAÇÃO. AF_12/2015</t>
  </si>
  <si>
    <t>TÊ, EM AÇO, CONEXÃO SOLDADA, DN 50 (2"), INSTALADO EM REDE DE ALIMENTAÇÃO PARA HIDRANTE - FORNECIMENTO E INSTALAÇÃO. AF_12/2015</t>
  </si>
  <si>
    <t>TÊ, EM AÇO, CONEXÃO SOLDADA, DN 65 (2 1/2"), INSTALADO EM REDE DE ALIMENTAÇÃO PARA HIDRANTE - FORNECIMENTO E INSTALAÇÃO. AF_12/2015</t>
  </si>
  <si>
    <t>TÊ, EM AÇO, CONEXÃO SOLDADA, DN 80 (3"), INSTALADO EM REDE DE ALIMENTAÇÃO PARA HIDRANTE - FORNECIMENTO E INSTALAÇÃO. AF_12/2015</t>
  </si>
  <si>
    <t>LUVA, EM AÇO, CONEXÃO SOLDADA, DN 25 (1"), INSTALADO EM REDE DE ALIMENTAÇÃO PARA SPRINKLER - FORNECIMENTO E INSTALAÇÃO. AF_12/2015</t>
  </si>
  <si>
    <t>LUVA COM REDUÇÃO, EM AÇO, CONEXÃO SOLDADA, DN 25 X 20 MM (1" X 3/4"), INSTALADO EM REDE DE ALIMENTAÇÃO PARA SPRINKLER - FORNECIMENTO E INSTALAÇÃO. AF_12/2015</t>
  </si>
  <si>
    <t>LUVA, EM AÇO, CONEXÃO SOLDADA, DN 32 (1 1/4"), INSTALADO EM REDE DE ALIMENTAÇÃO PARA SPRINKLER - FORNECIMENTO E INSTALAÇÃO. AF_12/2015</t>
  </si>
  <si>
    <t>LUVA COM REDUÇÃO, EM AÇO, CONEXÃO SOLDADA, DN 32 X 25 MM (1 1/4"  X 1"), INSTALADO EM REDE DE ALIMENTAÇÃO PARA SPRINKLER - FORNECIMENTO E INSTALAÇÃO. AF_12/2015</t>
  </si>
  <si>
    <t>LUVA, EM AÇO, CONEXÃO SOLDADA, DN 40 (1 1/2"), INSTALADO EM REDE DE ALIMENTAÇÃO PARA SPRINKLER - FORNECIMENTO E INSTALAÇÃO. AF_12/2015</t>
  </si>
  <si>
    <t>LUVA COM REDUÇÃO, EM AÇO, CONEXÃO SOLDADA, DN 40  X 32 MM (1 1/2" X 1 1/4"), INSTALADO EM REDE DE ALIMENTAÇÃO PARA SPRINKLER - FORNECIMENTO E INSTALAÇÃO. AF_12/2015</t>
  </si>
  <si>
    <t>LUVA, EM AÇO, CONEXÃO SOLDADA, DN 50 (2"), INSTALADO EM REDE DE ALIMENTAÇÃO PARA SPRINKLER - FORNECIMENTO E INSTALAÇÃO. AF_12/2015</t>
  </si>
  <si>
    <t>LUVA COM REDUÇÃO, EM AÇO, CONEXÃO SOLDADA, DN 50 X 40 MM (2" X 1 1/2"), INSTALADO EM REDE DE ALIMENTAÇÃO PARA SPRINKLER - FORNECIMENTO E INSTALAÇÃO. AF_12/2015</t>
  </si>
  <si>
    <t>LUVA, EM AÇO, CONEXÃO SOLDADA, DN 65 (2 1/2"), INSTALADO EM REDE DE ALIMENTAÇÃO PARA SPRINKLER - FORNECIMENTO E INSTALAÇÃO. AF_12/2015</t>
  </si>
  <si>
    <t>LUVA COM REDUÇÃO, EM AÇO, CONEXÃO SOLDADA, DN 65 X 50 MM (2 1/2" X 2"), INSTALADO EM REDE DE ALIMENTAÇÃO PARA SPRINKLER - FORNECIMENTO E INSTALAÇÃO. AF_12/2015</t>
  </si>
  <si>
    <t>LUVA, EM AÇO, CONEXÃO SOLDADA, DN 80 (3"), INSTALADO EM REDE DE ALIMENTAÇÃO PARA SPRINKLER - FORNECIMENTO E INSTALAÇÃO. AF_12/2015</t>
  </si>
  <si>
    <t>LUVA COM REDUÇÃO, EM AÇO, CONEXÃO SOLDADA, DN 80 X 65 MM (3" X 2 1/2"), INSTALADO EM REDE DE ALIMENTAÇÃO PARA SPRINKLER - FORNECIMENTO E INSTALAÇÃO. AF_12/2015</t>
  </si>
  <si>
    <t>CURVA 45 GRAUS, EM AÇO, CONEXÃO SOLDADA, DN 25 (1"), INSTALADO EM REDE DE ALIMENTAÇÃO PARA SPRINKLER - FORNECIMENTO E INSTALAÇÃO. AF_12/2015</t>
  </si>
  <si>
    <t>CURVA 90 GRAUS, EM AÇO, CONEXÃO SOLDADA, DN 25 (1"), INSTALADO EM REDE DE ALIMENTAÇÃO PARA SPRINKLER - FORNECIMENTO E INSTALAÇÃO. AF_12/2015</t>
  </si>
  <si>
    <t>CURVA 45 GRAUS, EM AÇO, CONEXÃO SOLDADA, DN 32 (1 1/4"), INSTALADO EM REDE DE ALIMENTAÇÃO PARA SPRINKLER - FORNECIMENTO E INSTALAÇÃO. AF_12/2015</t>
  </si>
  <si>
    <t>CURVA 90 GRAUS, EM AÇO, CONEXÃO SOLDADA, DN 32 (1 1/4"), INSTALADO EM REDE DE ALIMENTAÇÃO PARA SPRINKLER - FORNECIMENTO E INSTALAÇÃO. AF_12/2015</t>
  </si>
  <si>
    <t>CURVA 45 GRAUS, EM AÇO, CONEXÃO SOLDADA, DN 40 (1 1/2"), INSTALADO EM REDE DE ALIMENTAÇÃO PARA SPRINKLER - FORNECIMENTO E INSTALAÇÃO. AF_12/2015</t>
  </si>
  <si>
    <t>CURVA 90 GRAUS, EM AÇO, CONEXÃO SOLDADA, DN 40 (1 1/2"), INSTALADO EM REDE DE ALIMENTAÇÃO PARA SPRINKLER - FORNECIMENTO E INSTALAÇÃO. AF_12/2015</t>
  </si>
  <si>
    <t>CURVA 45 GRAUS, EM AÇO, CONEXÃO SOLDADA, DN 50 (2"), INSTALADO EM REDE DE ALIMENTAÇÃO PARA SPRINKLER - FORNECIMENTO E INSTALAÇÃO. AF_12/2015</t>
  </si>
  <si>
    <t>CURVA 90 GRAUS, EM AÇO, CONEXÃO SOLDADA, DN 50 (2"), INSTALADO EM REDE DE ALIMENTAÇÃO PARA SPRINKLER - FORNECIMENTO E INSTALAÇÃO. AF_12/2015</t>
  </si>
  <si>
    <t>CURVA 45 GRAUS, EM AÇO, CONEXÃO SOLDADA, DN 65 (2 1/2"), INSTALADO EM REDE DE ALIMENTAÇÃO PARA SPRINKLER - FORNECIMENTO E INSTALAÇÃO. AF_12/2015</t>
  </si>
  <si>
    <t>CURVA 90 GRAUS, EM AÇO, CONEXÃO SOLDADA, DN 65 (2 1/2"), INSTALADO EM REDE DE ALIMENTAÇÃO PARA SPRINKLER - FORNECIMENTO E INSTALAÇÃO. AF_12/2015</t>
  </si>
  <si>
    <t>CURVA 45 GRAUS, EM AÇO, CONEXÃO SOLDADA, DN 80 (3"), INSTALADO EM REDE DE ALIMENTAÇÃO PARA SPRINKLER - FORNECIMENTO E INSTALAÇÃO. AF_12/2015</t>
  </si>
  <si>
    <t>CURVA 90 GRAUS, EM AÇO, CONEXÃO SOLDADA, DN 80 (3"), INSTALADO EM REDE DE ALIMENTAÇÃO PARA SPRINKLER - FORNECIMENTO E INSTALAÇÃO. AF_12/2015</t>
  </si>
  <si>
    <t>TÊ, EM AÇO, CONEXÃO SOLDADA, DN 25 (1"), INSTALADO EM REDE DE ALIMENTAÇÃO PARA SPRINKLER - FORNECIMENTO E INSTALAÇÃO. AF_12/2015</t>
  </si>
  <si>
    <t>TÊ, EM AÇO, CONEXÃO SOLDADA, DN 32 (1 1/4"), INSTALADO EM REDE DE ALIMENTAÇÃO PARA SPRINKLER - FORNECIMENTO E INSTALAÇÃO. AF_12/2015</t>
  </si>
  <si>
    <t>TÊ, EM AÇO, CONEXÃO SOLDADA, DN 40 (1 1/2"), INSTALADO EM REDE DE ALIMENTAÇÃO PARA SPRINKLER - FORNECIMENTO E INSTALAÇÃO. AF_12/2015</t>
  </si>
  <si>
    <t>TÊ, EM AÇO, CONEXÃO SOLDADA, DN 50 (2"), INSTALADO EM REDE DE ALIMENTAÇÃO PARA SPRINKLER - FORNECIMENTO E INSTALAÇÃO. AF_12/2015</t>
  </si>
  <si>
    <t>TÊ, EM AÇO, CONEXÃO SOLDADA, DN 65 (2 1/2"), INSTALADO EM REDE DE ALIMENTAÇÃO PARA SPRINKLER - FORNECIMENTO E INSTALAÇÃO. AF_12/2015</t>
  </si>
  <si>
    <t>TÊ, EM AÇO, CONEXÃO SOLDADA, DN 80 (3"), INSTALADO EM REDE DE ALIMENTAÇÃO PARA SPRINKLER - FORNECIMENTO E INSTALAÇÃO. AF_12/2015</t>
  </si>
  <si>
    <t>LUVA, EM AÇO, CONEXÃO SOLDADA, DN 15 (1/2"), INSTALADO EM RAMAIS E SUB-RAMAIS DE GÁS - FORNECIMENTO E INSTALAÇÃO. AF_12/2015</t>
  </si>
  <si>
    <t>LUVA, EM AÇO, CONEXÃO SOLDADA, DN 20 (3/4"), INSTALADO EM RAMAIS E SUB-RAMAIS DE GÁS - FORNECIMENTO E INSTALAÇÃO. AF_12/2015</t>
  </si>
  <si>
    <t>LUVA COM REDUÇÃO, EM AÇO, CONEXÃO SOLDADA, DN 20 X 15 MM (3/4 " X 1/2"), INSTALADO EM RAMAIS E SUB-RAMAIS DE GÁS - FORNECIMENTO E INSTALAÇÃO. AF_12/2015</t>
  </si>
  <si>
    <t>LUVA, EM AÇO, CONEXÃO SOLDADA, DN 25 (1"), INSTALADO EM RAMAIS E SUB-RAMAIS DE GÁS - FORNECIMENTO E INSTALAÇÃO. AF_12/2015</t>
  </si>
  <si>
    <t>LUVA COM REDUÇÃO, EM AÇO, CONEXÃO SOLDADA, DN 25 X 20 MM (1" X 3/4"), INSTALADO EM RAMAIS E SUB-RAMAIS DE GÁS - FORNECIMENTO E INSTALAÇÃO. AF_12/2015</t>
  </si>
  <si>
    <t>CURVA 45 GRAUS, EM AÇO, CONEXÃO SOLDADA, DN 15 (1/2"), INSTALADO EM RAMAIS E SUB-RAMAIS DE GÁS - FORNECIMENTO E INSTALAÇÃO. AF_12/2015</t>
  </si>
  <si>
    <t>CURVA 90 GRAUS, EM AÇO, CONEXÃO SOLDADA, DN 15 (1/2"), INSTALADO EM RAMAIS E SUB-RAMAIS DE GÁS - FORNECIMENTO E INSTALAÇÃO. AF_12/2015</t>
  </si>
  <si>
    <t>CURVA 45 GRAUS, EM AÇO, CONEXÃO SOLDADA, DN 20 (3/4"), INSTALADO EM RAMAIS E SUB-RAMAIS DE GÁS - FORNECIMENTO E INSTALAÇÃO. AF_12/2015</t>
  </si>
  <si>
    <t>CURVA 90 GRAUS, EM AÇO, CONEXÃO SOLDADA, DN 20 (3/4"), INSTALADO EM RAMAIS E SUB-RAMAIS DE GÁS - FORNECIMENTO E INSTALAÇÃO. AF_12/2015</t>
  </si>
  <si>
    <t>CURVA 45 GRAUS, EM AÇO, CONEXÃO SOLDADA, DN 25 (1"), INSTALADO EM RAMAIS E SUB-RAMAIS DE GÁS - FORNECIMENTO E INSTALAÇÃO. AF_12/2015</t>
  </si>
  <si>
    <t>CURVA 90 GRAUS, EM AÇO, CONEXÃO SOLDADA, DN 25 (1"), INSTALADO EM RAMAIS E SUB-RAMAIS DE GÁS - FORNECIMENTO E INSTALAÇÃO. AF_12/2015</t>
  </si>
  <si>
    <t>TÊ, EM AÇO, CONEXÃO SOLDADA, DN 15 (1/2"), INSTALADO EM RAMAIS E SUB-RAMAIS DE GÁS - FORNECIMENTO E INSTALAÇÃO. AF_12/2015</t>
  </si>
  <si>
    <t>TÊ, EM AÇO, CONEXÃO SOLDADA, DN 20 (3/4"), INSTALADO EM RAMAIS E SUB-RAMAIS DE GÁS - FORNECIMENTO E INSTALAÇÃO. AF_12/2015</t>
  </si>
  <si>
    <t>TÊ, EM AÇO, CONEXÃO SOLDADA, DN 25 (1"), INSTALADO EM RAMAIS E SUB-RAMAIS DE GÁS - FORNECIMENTO E INSTALAÇÃO. AF_12/2015</t>
  </si>
  <si>
    <t>CONECTOR EM BRONZE/LATÃO, DN 22 MM X 1/2", SEM ANEL DE SOLDA, BOLSA X ROSCA F, INSTALADO EM PRUMADA  FORNECIMENTO E INSTALAÇÃO. AF_01/2016</t>
  </si>
  <si>
    <t>CAIXA ENTERRADA HIDRÁULICA RETANGULAR EM ALVENARIA COM TIJOLOS CERÂMICOS MACIÇOS, DIMENSÕES INTERNAS: 0,3X0,3X0,3 M PARA REDE DE ESGOTO. AF_05/2018</t>
  </si>
  <si>
    <t>CAIXA ENTERRADA HIDRÁULICA RETANGULAR EM ALVENARIA COM TIJOLOS CERÂMICOS MACIÇOS, DIMENSÕES INTERNAS: 0,4X0,4X0,4 M PARA REDE DE ESGOTO. AF_05/2018</t>
  </si>
  <si>
    <t>CAIXA ENTERRADA HIDRÁULICA RETANGULAR EM ALVENARIA COM TIJOLOS CERÂMICOS MACIÇOS, DIMENSÕES INTERNAS: 0,6X0,6X0,6 M PARA REDE DE ESGOTO. AF_05/2018</t>
  </si>
  <si>
    <t>CAIXA ENTERRADA HIDRÁULICA RETANGULAR EM ALVENARIA COM TIJOLOS CERÂMICOS MACIÇOS, DIMENSÕES INTERNAS: 0,8X0,8X0,6 M PARA REDE DE ESGOTO. AF_05/2018</t>
  </si>
  <si>
    <t>CAIXA ENTERRADA HIDRÁULICA RETANGULAR EM ALVENARIA COM TIJOLOS CERÂMICOS MACIÇOS, DIMENSÕES INTERNAS: 1X1X0,6 M PARA REDE DE ESGOTO. AF_05/2018</t>
  </si>
  <si>
    <t>CAIXA ENTERRADA HIDRÁULICA RETANGULAR, EM ALVENARIA COM BLOCOS DE CONCRETO, DIMENSÕES INTERNAS: 0,4X0,4X0,4 M PARA REDE DE ESGOTO. AF_05/2018</t>
  </si>
  <si>
    <t>CAIXA ENTERRADA HIDRÁULICA RETANGULAR, EM ALVENARIA COM BLOCOS DE CONCRETO, DIMENSÕES INTERNAS: 0,6X0,6X0,6 M PARA REDE DE ESGOTO. AF_05/2018</t>
  </si>
  <si>
    <t>CAIXA ENTERRADA HIDRÁULICA RETANGULAR, EM ALVENARIA COM BLOCOS DE CONCRETO, DIMENSÕES INTERNAS: 0,8X0,8X0,6 M PARA REDE DE ESGOTO. AF_05/2018</t>
  </si>
  <si>
    <t>CAIXA ENTERRADA HIDRÁULICA RETANGULAR, EM ALVENARIA COM BLOCOS DE CONCRETO, DIMENSÕES INTERNAS: 1X1X0,6 M PARA REDE DE ESGOTO. AF_05/2018</t>
  </si>
  <si>
    <t>CAIXA DE GORDURA SIMPLES, CIRCULAR, EM CONCRETO PRÉ-MOLDADO, DIÂMETRO INTERNO = 0,4 M, ALTURA INTERNA = 0,4 M. AF_05/2018</t>
  </si>
  <si>
    <t>CAIXA DE GORDURA DUPLA, CIRCULAR, EM CONCRETO PRÉ-MOLDADO, DIÂMETRO INTERNO = 0,6 M, ALTURA INTERNA = 0,6 M. AF_05/2018</t>
  </si>
  <si>
    <t>CAIXA DE GORDURA SIMPLES (CAPACIDADE: 36L), RETANGULAR, EM ALVENARIA COM TIJOLOS CERÂMICOS MACIÇOS, DIMENSÕES INTERNAS = 0,2X0,4 M, ALTURA INTERNA = 0,8 M. AF_05/2018</t>
  </si>
  <si>
    <t>CAIXA DE GORDURA DUPLA (CAPACIDADE: 126 L), RETANGULAR, EM ALVENARIA COM TIJOLOS CERÂMICOS MACIÇOS, DIMENSÕES INTERNAS = 0,4X0,7 M, ALTURA INTERNA = 0,8 M. AF_05/2018</t>
  </si>
  <si>
    <t>CAIXA DE GORDURA ESPECIAL (CAPACIDADE: 312 L - PARA ATÉ 146 PESSOAS SERVIDAS NO PICO), RETANGULAR, EM ALVENARIA COM TIJOLOS CERÂMICOS MACIÇOS, DIMENSÕES INTERNAS = 0,4X1,2 M, ALTURA INTERNA = 1 M. AF_05/2018</t>
  </si>
  <si>
    <t>CAIXA DE GORDURA SIMPLES (CAPACIDADE: 36 L), RETANGULAR, EM ALVENARIA COM BLOCOS DE CONCRETO, DIMENSÕES INTERNAS = 0,2X0,4 M, ALTURA INTERNA = 0,8 M. AF_05/2018</t>
  </si>
  <si>
    <t>CAIXA DE GORDURA DUPLA (CAPACIDADE: 126 L), RETANGULAR, EM ALVENARIA COM BLOCOS DE CONCRETO, DIMENSÕES INTERNAS = 0,4X0,7 M, ALTURA INTERNA = 0,8 M. AF_05/2018</t>
  </si>
  <si>
    <t>CAIXA ENTERRADA HIDRÁULICA RETANGULAR EM ALVENARIA COM TIJOLOS CERÂMICOS MACIÇOS, DIMENSÕES INTERNAS: 0,3X0,3X0,3 M PARA REDE DE DRENAGEM. AF_05/2018</t>
  </si>
  <si>
    <t>CAIXA ENTERRADA HIDRÁULICA RETANGULAR EM ALVENARIA COM TIJOLOS CERÂMICOS MACIÇOS, DIMENSÕES INTERNAS: 0,4X0,4X0,4 M PARA REDE DE DRENAGEM. AF_05/2018</t>
  </si>
  <si>
    <t>CAIXA ENTERRADA HIDRÁULICA RETANGULAR EM ALVENARIA COM TIJOLOS CERÂMICOS MACIÇOS, DIMENSÕES INTERNAS: 0,6X0,6X0,6 M PARA REDE DE DRENAGEM. AF_05/2018</t>
  </si>
  <si>
    <t>CAIXA ENTERRADA HIDRÁULICA RETANGULAR EM ALVENARIA COM TIJOLOS CERÂMICOS MACIÇOS, DIMENSÕES INTERNAS: 0,8X0,8X0,6 M PARA REDE DE DRENAGEM. AF_05/2018</t>
  </si>
  <si>
    <t>CAIXA ENTERRADA HIDRÁULICA RETANGULAR EM ALVENARIA COM TIJOLOS CERÂMICOS MACIÇOS, DIMENSÕES INTERNAS: 1X1X0,6 M PARA REDE DE DRENAGEM. AF_05/2018</t>
  </si>
  <si>
    <t>CAIXA ENTERRADA HIDRÁULICA RETANGULAR, EM ALVENARIA COM BLOCOS DE CONCRETO, DIMENSÕES INTERNAS: 0,4X0,4X0,4 M PARA REDE DE DRENAGEM. AF_05/2018</t>
  </si>
  <si>
    <t>CAIXA ENTERRADA HIDRÁULICA RETANGULAR, EM ALVENARIA COM BLOCOS DE CONCRETO, DIMENSÕES INTERNAS: 0,6X0,6X0,6 M PARA REDE DE DRENAGEM. AF_05/2018</t>
  </si>
  <si>
    <t>CAIXA ENTERRADA HIDRÁULICA RETANGULAR, EM ALVENARIA COM BLOCOS DE CONCRETO, DIMENSÕES INTERNAS: 0,8X0,8X0,6 M PARA REDE DE DRENAGEM. AF_05/2018</t>
  </si>
  <si>
    <t>CAIXA ENTERRADA HIDRÁULICA RETANGULAR, EM ALVENARIA COM BLOCOS DE CONCRETO, DIMENSÕES INTERNAS: 1X1X0,6 M PARA REDE DE DRENAGEM. AF_05/2018</t>
  </si>
  <si>
    <t>TANQUE SÉPTICO CIRCULAR, EM CONCRETO PRÉ-MOLDADO, DIÂMETRO INTERNO = 1,10 M, ALTURA INTERNA = 2,50 M, VOLUME ÚTIL: 2138,2 L (PARA 5 CONTRIBUINTES). AF_05/2018</t>
  </si>
  <si>
    <t>TANQUE SÉPTICO CIRCULAR, EM CONCRETO PRÉ-MOLDADO, DIÂMETRO INTERNO = 1,40 M, ALTURA INTERNA = 2,50 M, VOLUME ÚTIL: 3463,6 L (PARA 13 CONTRIBUINTES). AF_05/2018</t>
  </si>
  <si>
    <t>TANQUE SÉPTICO CIRCULAR, EM CONCRETO PRÉ-MOLDADO, DIÂMETRO INTERNO = 1,88 M, ALTURA INTERNA = 2,50 M, VOLUME ÚTIL: 6245,8 L (PARA 32 CONTRIBUINTES). AF_05/2018</t>
  </si>
  <si>
    <t>TANQUE SÉPTICO CIRCULAR, EM CONCRETO PRÉ-MOLDADO, DIÂMETRO INTERNO = 2,38 M, ALTURA INTERNA = 2,50 M, VOLUME ÚTIL: 10009,8 L (PARA 69 CONTRIBUINTES). AF_05/2018</t>
  </si>
  <si>
    <t>TANQUE SÉPTICO CIRCULAR, EM CONCRETO PRÉ-MOLDADO, DIÂMETRO INTERNO = 2,38 M, ALTURA INTERNA = 3,0 M, VOLUME ÚTIL: 12234,2 L (PARA 86 CONTRIBUINTES). AF_05/2018</t>
  </si>
  <si>
    <t>TANQUE SÉPTICO CIRCULAR, EM CONCRETO PRÉ-MOLDADO, DIÂMETRO INTERNO = 2,88 M, ALTURA INTERNA = 2,50 M, VOLUME ÚTIL: 14657,4 L (PARA 105 CONTRIBUINTES). AF_05/2018</t>
  </si>
  <si>
    <t>TANQUE SÉPTICO RETANGULAR, EM ALVENARIA COM TIJOLOS CERÂMICOS MACIÇOS, DIMENSÕES INTERNAS: 1,0 X 2,0 X 1,4 M, VOLUME ÚTIL: 2000 L (PARA 5 CONTRIBUINTES). AF_05/2018</t>
  </si>
  <si>
    <t>TANQUE SÉPTICO RETANGULAR, EM ALVENARIA COM TIJOLOS CERÂMICOS MACIÇOS, DIMENSÕES INTERNAS: 1,2 X 2,4 X 1,6 M, VOLUME ÚTIL: 3456 L (PARA 13 CONTRIBUINTES). AF_05/2018</t>
  </si>
  <si>
    <t>TANQUE SÉPTICO RETANGULAR, EM ALVENARIA COM TIJOLOS CERÂMICOS MACIÇOS, DIMENSÕES INTERNAS: 1,4 X 3,2 X 1,8 M, VOLUME ÚTIL: 6272 L (PARA 32 CONTRIBUINTES). AF_05/2018</t>
  </si>
  <si>
    <t>TANQUE SÉPTICO RETANGULAR, EM ALVENARIA COM TIJOLOS CERÂMICOS MACIÇOS, DIMENSÕES INTERNAS: 1,6 X 4,4 X 1,8 M, VOLUME ÚTIL: 9856 L (PARA 68 CONTRIBUINTES). AF_05/2018</t>
  </si>
  <si>
    <t>TANQUE SÉPTICO RETANGULAR, EM ALVENARIA COM TIJOLOS CERÂMICOS MACIÇOS, DIMENSÕES INTERNAS: 1,6 X 4,8 X 2,0 M, VOLUME ÚTIL: 12288 L (PARA 86 CONTRIBUINTES). AF_05/2018</t>
  </si>
  <si>
    <t>TANQUE SÉPTICO RETANGULAR, EM ALVENARIA COM TIJOLOS CERÂMICOS MACIÇOS, DIMENSÕES INTERNAS: 1,6 X 4,6 X 2,4 M, VOLUME ÚTIL: 14720 L (PARA 105 CONTRIBUINTES). AF_05/2018</t>
  </si>
  <si>
    <t>FILTRO ANAERÓBIO RETANGULAR, EM ALVENARIA COM TIJOLOS CERÂMICOS MACIÇOS, DIMENSÕES INTERNAS: 0,8 X 1,2 X 1,67 M, VOLUME ÚTIL: 1152 L (PARA 5 CONTRIBUINTES). AF_05/2018</t>
  </si>
  <si>
    <t>FILTRO ANAERÓBIO RETANGULAR, EM ALVENARIA COM TIJOLOS CERÂMICOS MACIÇOS, DIMENSÕES INTERNAS: 1,2 X 1,8 X 1,67 M, VOLUME ÚTIL: 2592 L (PARA 13 CONTRIBUINTES). AF_05/2018</t>
  </si>
  <si>
    <t>FILTRO ANAERÓBIO RETANGULAR, EM ALVENARIA COM TIJOLOS CERÂMICOS MACIÇOS, DIMENSÕES INTERNAS: 1,4 X 3,0 X 1,67 M, VOLUME ÚTIL: 5040 L (PARA 32 CONTRIBUINTES). AF_05/2018</t>
  </si>
  <si>
    <t>FILTRO ANAERÓBIO RETANGULAR, EM ALVENARIA COM TIJOLOS CERÂMICOS MACIÇOS, DIMENSÕES INTERNAS: 1,4 X 4,2 X 1,67 M, VOLUME ÚTIL: 7056 L (PARA 67 CONTRIBUINTES). AF_05/2018</t>
  </si>
  <si>
    <t>FILTRO ANAERÓBIO RETANGULAR, EM ALVENARIA COM TIJOLOS CERÂMICOS MACIÇOS, DIMENSÕES INTERNAS: 1,6 X 4,6 X 1,67 M, VOLUME ÚTIL: 8832 L (PARA 84 CONTRIBUINTES). AF_05/2018</t>
  </si>
  <si>
    <t>FILTRO ANAERÓBIO RETANGULAR, EM ALVENARIA COM TIJOLOS CERÂMICOS MACIÇOS, DIMENSÕES INTERNAS: 1,6 X 5,6 X 1,67 M, VOLUME ÚTIL: 10752 L (PARA 103 CONTRIBUINTES). AF_05/2018</t>
  </si>
  <si>
    <t>SUMIDOURO RETANGULAR, EM ALVENARIA COM TIJOLOS CERÂMICOS MACIÇOS, DIMENSÕES INTERNAS: 0,8 X 1,4 X 3,0 M, ÁREA DE INFILTRAÇÃO: 13,2 M² (PARA 5 CONTRIBUINTES). AF_05/2018</t>
  </si>
  <si>
    <t>SUMIDOURO RETANGULAR, EM ALVENARIA COM TIJOLOS CERÂMICOS MACIÇOS, DIMENSÕES INTERNAS: 1,0 X 3,0 X 3,0 M, ÁREA DE INFILTRAÇÃO: 25 M² (PARA 10 CONTRIBUINTES). AF_05/2018</t>
  </si>
  <si>
    <t>SUMIDOURO RETANGULAR, EM ALVENARIA COM TIJOLOS CERÂMICOS MACIÇOS, DIMENSÕES INTERNAS: 1,6 X 3,4 X 3,0 M, ÁREA DE INFILTRAÇÃO: 32,9 M² (PARA 13 CONTRIBUINTES). AF_05/2018</t>
  </si>
  <si>
    <t>SUMIDOURO RETANGULAR, EM ALVENARIA COM TIJOLOS CERÂMICOS MACIÇOS, DIMENSÕES INTERNAS: 1,6 X 5,8 X 3,0 M, ÁREA DE INFILTRAÇÃO: 50 M² (PARA 20 CONTRIBUINTES). AF_05/2018</t>
  </si>
  <si>
    <t>TANQUE SÉPTICO RETANGULAR, EM ALVENARIA COM BLOCOS DE CONCRETO, DIMENSÕES INTERNAS: 1,0 X 2,0 X 1,4 M, VOLUME ÚTIL: 2000 L (PARA 5 CONTRIBUINTES). AF_05/2018</t>
  </si>
  <si>
    <t>TANQUE SÉPTICO RETANGULAR, EM ALVENARIA COM BLOCOS DE CONCRETO, DIMENSÕES INTERNAS: 1,2 X 2,4 X 1,6 M, VOLUME ÚTIL: 3456 L (PARA 13 CONTRIBUINTES). AF_05/2018</t>
  </si>
  <si>
    <t>TANQUE SÉPTICO RETANGULAR, EM ALVENARIA COM BLOCOS DE CONCRETO, DIMENSÕES INTERNAS: 1,4 X 3,2 X 1,8 M, VOLUME ÚTIL: 6272 L (PARA 32 CONTRIBUINTES). AF_05/2018</t>
  </si>
  <si>
    <t>TANQUE SÉPTICO RETANGULAR, EM ALVENARIA COM BLOCOS DE CONCRETO, DIMENSÕES INTERNAS: 1,6 X 4,4 X 1,8 M, VOLUME ÚTIL: 9856 L (PARA 68 CONTRIBUINTES). AF_05/2018</t>
  </si>
  <si>
    <t>TANQUE SÉPTICO RETANGULAR, EM ALVENARIA COM BLOCOS DE CONCRETO, DIMENSÕES INTERNAS: 1,6 X 4,8 X 2,0 M, VOLUME ÚTIL: 12288 L (PARA 86 CONTRIBUINTES). AF_05/2018</t>
  </si>
  <si>
    <t>TANQUE SÉPTICO RETANGULAR, EM ALVENARIA COM BLOCOS DE CONCRETO, DIMENSÕES INTERNAS: 1,6 X 4,6 X 2,4 M, VOLUME ÚTIL: 14720 L (PARA 105 CONTRIBUINTES). AF_05/2018</t>
  </si>
  <si>
    <t>FILTRO ANAERÓBIO RETANGULAR, EM ALVENARIA COM BLOCOS DE CONCRETO, DIMENSÕES INTERNAS: 0,8 X 1,2 X 1,67 M, VOLUME ÚTIL: 1152 L (PARA 5 CONTRIBUINTES). AF_05/2018</t>
  </si>
  <si>
    <t>FILTRO ANAERÓBIO RETANGULAR, EM ALVENARIA COM BLOCOS DE CONCRETO, DIMENSÕES INTERNAS: 1,2 X 1,8 X 1,67 M, VOLUME ÚTIL: 2592 L (PARA 13 CONTRIBUINTES). AF_05/2018</t>
  </si>
  <si>
    <t>FILTRO ANAERÓBIO RETANGULAR, EM ALVENARIA COM BLOCOS DE CONCRETO, DIMENSÕES INTERNAS: 1,4 X 3,0 X 1,67 M, VOLUME ÚTIL: 5040 L (PARA 32 CONTRIBUINTES). AF_05/2018</t>
  </si>
  <si>
    <t>FILTRO ANAERÓBIO RETANGULAR, EM ALVENARIA COM BLOCOS DE CONCRETO, DIMENSÕES INTERNAS: 1,4 X 4,2 X 1,67 M, VOLUME ÚTIL: 7056 L (PARA 67 CONTRIBUINTES). AF_05/2018</t>
  </si>
  <si>
    <t>FILTRO ANAERÓBIO RETANGULAR, EM ALVENARIA COM BLOCOS DE CONCRETO, DIMENSÕES INTERNAS: 1,6 X 4,6 X 1,67 M, VOLUME ÚTIL: 8832 L (PARA 84 CONTRIBUINTES). AF_05/2018</t>
  </si>
  <si>
    <t>FILTRO ANAERÓBIO RETANGULAR, EM ALVENARIA COM BLOCOS DE CONCRETO, DIMENSÕES INTERNAS: 1,6 X 5,6 X 1,67 M, VOLUME ÚTIL: 10752 L (PARA 103 CONTRIBUINTES). AF_05/2018</t>
  </si>
  <si>
    <t>SUMIDOURO RETANGULAR, EM ALVENARIA COM BLOCOS DE CONCRETO, DIMENSÕES INTERNAS: 0,8 X 1,4 X 3,0 M, ÁREA DE INFILTRAÇÃO: 13,2 M² (PARA 5 CONTRIBUINTES). AF_05/2018</t>
  </si>
  <si>
    <t>SUMIDOURO RETANGULAR, EM ALVENARIA COM BLOCOS DE CONCRETO, DIMENSÕES INTERNAS: 1,0 X 3,0 X 3,0 M, ÁREA DE INFILTRAÇÃO: 25 M² (PARA 10 CONTRIBUINTES). AF_05/2018</t>
  </si>
  <si>
    <t>SUMIDOURO RETANGULAR, EM ALVENARIA COM BLOCOS DE CONCRETO, DIMENSÕES INTERNAS: 1,6 X 3,4 X 3,0 M, ÁREA DE INFILTRAÇÃO: 32,9 M² (PARA 13 CONTRIBUINTES). AF_05/2018</t>
  </si>
  <si>
    <t>SUMIDOURO RETANGULAR, EM ALVENARIA COM BLOCOS DE CONCRETO, DIMENSÕES INTERNAS: 1,6 X 5,8 X 3,0 M, ÁREA DE INFILTRAÇÃO: 50 M² (PARA 20 CONTRIBUINTES). AF_05/2018</t>
  </si>
  <si>
    <t>CAIXA DE GORDURA ESPECIAL (CAPACIDADE: 312 L - PARA ATÉ 146 PESSOAS SERVIDAS NO PICO), RETANGULAR, EM ALVENARIA COM BLOCOS DE CONCRETO, DIMENSÕES INTERNAS = 0,4X1,2 M, ALTURA INTERNA = 1 M. AF_05/2018</t>
  </si>
  <si>
    <t>CAIXA DE GORDURA PEQUENA (CAPACIDADE: 19 L), CIRCULAR, EM PVC, DIÂMETRO INTERNO= 0,3 M. AF_05/2018</t>
  </si>
  <si>
    <t>CAIXA DE INSPEÇÃO PARA ATERRAMENTO, CIRCULAR, EM POLIETILENO, DIÂMETRO INTERNO = 0,3 M. AF_05/2018</t>
  </si>
  <si>
    <t>TAMPA CIRCULAR PARA ESGOTO E DRENAGEM, EM FERRO FUNDIDO, DIÂMETRO INTERNO = 0,6 M. AF_05/2018</t>
  </si>
  <si>
    <t>TAMPA CIRCULAR PARA ESGOTO E DRENAGEM, EM CONCRETO PRÉ-MOLDADO, DIÂMETRO INTERNO = 0,6 M. AF_05/2018</t>
  </si>
  <si>
    <t>REGISTRO DE PRESSÃO BRUTO, LATÃO,  ROSCÁVEL, 3/4, FORNECIDO E INSTALADO EM RAMAL DE ÁGUA. AF_12/2014</t>
  </si>
  <si>
    <t>TORNEIRA DE BOIA, ROSCÁVEL, 1/2 , FORNECIDA E INSTALADA EM RESERVAÇÃO DE ÁGUA. AF_06/2016</t>
  </si>
  <si>
    <t>TORNEIRA DE BOIA, ROSCÁVEL, 3/4 , FORNECIDA E INSTALADA EM RESERVAÇÃO DE ÁGUA. AF_06/2016</t>
  </si>
  <si>
    <t>TORNEIRA DE BOIA, ROSCÁVEL, 1, FORNECIDA E INSTALADA EM RESERVAÇÃO DE ÁGUA. AF_06/2016</t>
  </si>
  <si>
    <t>TORNEIRA DE BOIA, ROSCÁVEL, 1 1/4 , FORNECIDA E INSTALADA EM RESERVAÇÃO DE ÁGUA. AF_06/2016</t>
  </si>
  <si>
    <t>TORNEIRA DE BOIA, ROSCÁVEL, 1 1/2 , FORNECIDA E INSTALADA EM RESERVAÇÃO DE ÁGUA. AF_06/2016</t>
  </si>
  <si>
    <t>TORNEIRA DE BOIA, ROSCÁVEL, 2, FORNECIDA E INSTALADA EM RESERVAÇÃO DE ÁGUA. AF_06/2016</t>
  </si>
  <si>
    <t>VÁLVULA DE RETENÇÃO HORIZONTAL, DE BRONZE, ROSCÁVEL, 3/4" - FORNECIMENTO E INSTALAÇÃO. AF_01/2019</t>
  </si>
  <si>
    <t>VÁLVULA DE RETENÇÃO HORIZONTAL, DE BRONZE, ROSCÁVEL, 1" - FORNECIMENTO E INSTALAÇÃO. AF_01/2019</t>
  </si>
  <si>
    <t>VÁLVULA DE RETENÇÃO HORIZONTAL, DE BRONZE, ROSCÁVEL, 1 1/4" - FORNECIMENTO E INSTALAÇÃO. AF_01/2019</t>
  </si>
  <si>
    <t>VÁLVULA DE RETENÇÃO HORIZONTAL, DE BRONZE, ROSCÁVEL, 1 1/2"  - FORNECIMENTO E INSTALAÇÃO. AF_01/2019</t>
  </si>
  <si>
    <t>VÁLVULA DE RETENÇÃO HORIZONTAL, DE BRONZE, ROSCÁVEL, 2"  - FORNECIMENTO E INSTALAÇÃO. AF_01/2019</t>
  </si>
  <si>
    <t>VÁLVULA DE RETENÇÃO HORIZONTAL, DE BRONZE, ROSCÁVEL, 2 1/2" - FORNECIMENTO E INSTALAÇÃO. AF_01/2019</t>
  </si>
  <si>
    <t>VÁLVULA DE RETENÇÃO HORIZONTAL, DE BRONZE, ROSCÁVEL, 3" - FORNECIMENTO E INSTALAÇÃO. AF_01/2019</t>
  </si>
  <si>
    <t>VÁLVULA DE RETENÇÃO HORIZONTAL, DE BRONZE, ROSCÁVEL, 4" - FORNECIMENTO E INSTALAÇÃO. AF_01/2019</t>
  </si>
  <si>
    <t>VÁLVULA DE RETENÇÃO VERTICAL, DE BRONZE, ROSCÁVEL, 1/2" - FORNECIMENTO E INSTALAÇÃO. AF_01/2019</t>
  </si>
  <si>
    <t>VÁLVULA DE RETENÇÃO VERTICAL, DE BRONZE, ROSCÁVEL, 3/4" - FORNECIMENTO E INSTALAÇÃO. AF_01/2019</t>
  </si>
  <si>
    <t>VÁLVULA DE RETENÇÃO VERTICAL, DE BRONZE, ROSCÁVEL, 1" - FORNECIMENTO E INSTALAÇÃO. AF_01/2019</t>
  </si>
  <si>
    <t>VÁLVULA DE RETENÇÃO VERTICAL, DE BRONZE, ROSCÁVEL, 1 1/4" - FORNECIMENTO E INSTALAÇÃO. AF_01/2019</t>
  </si>
  <si>
    <t>VÁLVULA DE RETENÇÃO VERTICAL, DE BRONZE, ROSCÁVEL, 1 1/2" - FORNECIMENTO E INSTALAÇÃO. AF_01/2019</t>
  </si>
  <si>
    <t>VÁLVULA DE RETENÇÃO VERTICAL, DE BRONZE, ROSCÁVEL, 2" - FORNECIMENTO E INSTALAÇÃO. AF_01/2019</t>
  </si>
  <si>
    <t>VÁLVULA DE RETENÇÃO VERTICAL, DE BRONZE, ROSCÁVEL, 3" - FORNECIMENTO E INSTALAÇÃO. AF_01/2019</t>
  </si>
  <si>
    <t>VÁLVULA DE RETENÇÃO VERTICAL, DE BRONZE, ROSCÁVEL, 4" - FORNECIMENTO E INSTALAÇÃO. AF_01/2019</t>
  </si>
  <si>
    <t>VÁLVULA DE DESCARGA METÁLICA, BASE 1 1/2 ", ACABAMENTO METALICO CROMADO - FORNECIMENTO E INSTALAÇÃO. AF_01/2019</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</si>
  <si>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</si>
  <si>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</si>
  <si>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ESCAVAÇÃO VERTICAL A CÉU ABERTO, INCLUINDO CARGA, DESCARGA E TRANSPORTE, EM SOLO DE 1ª CATEGORIA COM ESCAVADEIRA HIDRÁULICA (CAÇAMBA: 0,8 M³ / 111 HP), FROTA DE 4 CAMINHÕES BASCULANTES DE 14 M³, DMT DE 2 KM E VELOCIDADE MÉDIA 20 KM/H. AF_02/2018</t>
  </si>
  <si>
    <t>ESCAVAÇÃO VERTICAL A CÉU ABERTO, INCLUINDO CARGA, DESCARGA E TRANSPORTE, EM SOLO DE 1ª CATEGORIA COM ESCAVADEIRA HIDRÁULICA (CAÇAMBA: 0,8 M³ / 111 HP), FROTA DE 4 CAMINHÕES BASCULANTES DE 18 M³, DMT DE 2 KM E VELOCIDADE MÉDIA 20 KM/H. AF_02/2018</t>
  </si>
  <si>
    <t>ESCAVAÇÃO VERTICAL A CÉU ABERTO, INCLUINDO CARGA, DESCARGA E TRANSPORTE, EM SOLO DE 1ª CATEGORIA COM ESCAVADEIRA HIDRÁULICA (CAÇAMBA: 1,2 M³ / 155 HP), FROTA DE 6 CAMINHÕES BASCULANTES DE 14 M³, DMT DE 2 KM E VELOCIDADE MÉDIA 20 KM/H. AF_02/2018</t>
  </si>
  <si>
    <t>ESCAVAÇÃO VERTICAL A CÉU ABERTO, INCLUINDO CARGA, DESCARGA E TRANSPORTE, EM SOLO DE 1ª CATEGORIA COM ESCAVADEIRA HIDRÁULICA (CAÇAMBA: 1,2 M³ / 155 HP), FROTA DE 5 CAMINHÕES BASCULANTES DE 18 M³, DMT DE 2 KM E VELOCIDADE MÉDIA 20 KM/H. AF_02/2018</t>
  </si>
  <si>
    <t>ESCAVAÇÃO MECANIZADA DE VALA COM PROF. ATÉ 1,5 M (MÉDIA ENTRE MONTANTE E JUSANTE/UMA COMPOSIÇÃO POR TRECHO), COM ESCAVADEIRA HIDRÁULICA (0,8 M3), LARG. DE 1,5 M A 2,5 M, EM SOLO DE 1A CATEGORIA, EM LOCAIS COM ALTO NÍVEL DE INTERFERÊNCIA. AF_01/2015</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</si>
  <si>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</si>
  <si>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</si>
  <si>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ESCAVAÇÃO MANUAL DE VALA COM PROFUNDIDADE MENOR OU IGUAL A 1,30 M. AF_03/2016</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</si>
  <si>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</si>
  <si>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</si>
  <si>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</si>
  <si>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</si>
  <si>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</si>
  <si>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</si>
  <si>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</si>
  <si>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</si>
  <si>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</si>
  <si>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</si>
  <si>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</si>
  <si>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</si>
  <si>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</si>
  <si>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</si>
  <si>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</si>
  <si>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PRE-MISTURADO A FRIO COM EMULSAO RL-1C, INCLUSO USINAGEM E APLICACAO, EXCLUSIVE TRANSPORTE</t>
  </si>
  <si>
    <t>PISO EM LADRILHO HIDRÁULICO APLICADO EM AMBIENTES INTERNOS, INCLUSO APLICAÇÃO DE RESINA. AF_06/2018</t>
  </si>
  <si>
    <t>PISO EM GRANITO APLICADO EM AMBIENTES INTERNOS. AF_06/2018</t>
  </si>
  <si>
    <t>PISO EM MÁRMORE APLICADO EM AMBIENTES INTERNOS. AF_06/2018</t>
  </si>
  <si>
    <t>PISO VINÍLICO SEMI-FLEXÍVEL EM PLACAS, PADRÃO LISO, ESPESSURA 3,2 MM, FIXADO COM COLA. AF_06/2018</t>
  </si>
  <si>
    <t>PISO CIMENTADO, TRAÇO 1:3 (CIMENTO E AREIA), ACABAMENTO LISO, ESPESSURA 2,0 CM, PREPARO MECÂNICO DA ARGAMASSA. AF_06/2018</t>
  </si>
  <si>
    <t>PISO CIMENTADO, TRAÇO 1:3 (CIMENTO E AREIA), ACABAMENTO LISO, ESPESSURA 3,0 CM, PREPARO MECÂNICO DA ARGAMASSA. AF_06/2018</t>
  </si>
  <si>
    <t>PISO CIMENTADO, TRAÇO 1:3 (CIMENTO E AREIA), ACABAMENTO RÚSTICO, ESPESSURA 2,0 CM, PREPARO MECÂNICO DA ARGAMASSA. AF_06/2018</t>
  </si>
  <si>
    <t>PISO CIMENTADO, TRAÇO 1:3 (CIMENTO E AREIA), ACABAMENTO RÚSTICO, ESPESSURA 3,0 CM, PREPARO MECÂNICO DA ARGAMASSA. AF_06/2018</t>
  </si>
  <si>
    <t>RODAPÉ EM GRANITO, ALTURA 10 CM. AF_06/2018</t>
  </si>
  <si>
    <t>RODAPÉ EM LADRILHO HIDRÁULICO, ALTURA 7 CM. AF_06/2018</t>
  </si>
  <si>
    <t>RODAPÉ EM POLIESTIRENO, ALTURA 5 CM. AF_06/2018</t>
  </si>
  <si>
    <t>SOLEIRA EM GRANITO, LARGURA 15 CM, ESPESSURA 2,0 CM. AF_06/2018</t>
  </si>
  <si>
    <t>SOLEIRA EM MÁRMORE, LARGURA 15 CM, ESPESSURA 2,0 CM. AF_06/2018</t>
  </si>
  <si>
    <t>RODAPÉ EM MÁRMORE, ALTURA 7 CM. AF_06/2018</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</si>
  <si>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</si>
  <si>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</si>
  <si>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</si>
  <si>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</si>
  <si>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</si>
  <si>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</si>
  <si>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</si>
  <si>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</si>
  <si>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ACABAMENTOS PARA FORRO (SANCA DE GESSO MONTADA NA OBRA). AF_05/2017_P</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</si>
  <si>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</si>
  <si>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</si>
  <si>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</si>
  <si>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</si>
  <si>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</si>
  <si>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</si>
  <si>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</si>
  <si>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</si>
  <si>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</si>
  <si>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</si>
  <si>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</si>
  <si>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</si>
  <si>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</si>
  <si>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</si>
  <si>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</si>
  <si>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</si>
  <si>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</si>
  <si>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</si>
  <si>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</si>
  <si>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</si>
  <si>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</si>
  <si>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</si>
  <si>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</si>
  <si>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</si>
  <si>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</si>
  <si>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</si>
  <si>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</si>
  <si>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</si>
  <si>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</si>
  <si>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</si>
  <si>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</si>
  <si>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</si>
  <si>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</si>
  <si>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</si>
  <si>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</si>
  <si>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</si>
  <si>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</si>
  <si>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</si>
  <si>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</si>
  <si>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</si>
  <si>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</si>
  <si>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</si>
  <si>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</si>
  <si>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</si>
  <si>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</si>
  <si>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</si>
  <si>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</si>
  <si>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</si>
  <si>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</si>
  <si>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</si>
  <si>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</si>
  <si>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</si>
  <si>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</si>
  <si>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</si>
  <si>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</si>
  <si>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</si>
  <si>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</si>
  <si>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</si>
  <si>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</si>
  <si>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</si>
  <si>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</si>
  <si>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</si>
  <si>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</si>
  <si>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</si>
  <si>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</si>
  <si>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</si>
  <si>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</si>
  <si>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</si>
  <si>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</si>
  <si>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</si>
  <si>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</si>
  <si>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</si>
  <si>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</si>
  <si>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</si>
  <si>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</si>
  <si>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</si>
  <si>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</si>
  <si>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</si>
  <si>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</si>
  <si>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</si>
  <si>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</si>
  <si>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</si>
  <si>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</si>
  <si>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</si>
  <si>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</si>
  <si>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</si>
  <si>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</si>
  <si>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</si>
  <si>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</si>
  <si>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</si>
  <si>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</si>
  <si>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</si>
  <si>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</si>
  <si>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</si>
  <si>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</si>
  <si>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</si>
  <si>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</si>
  <si>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</si>
  <si>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</si>
  <si>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</si>
  <si>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</si>
  <si>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</si>
  <si>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</si>
  <si>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</si>
  <si>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</si>
  <si>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</si>
  <si>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</si>
  <si>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</si>
  <si>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</si>
  <si>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</si>
  <si>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</si>
  <si>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</si>
  <si>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</si>
  <si>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</si>
  <si>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</si>
  <si>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SINALIZAÇÃO COM FITA FIXADA NA ESTRUTURA. AF_11/2017</t>
  </si>
  <si>
    <t>SINALIZAÇÃO COM FITA FIXADA EM CONE PLÁSTICO, INCLUINDO CONE. AF_11/2017</t>
  </si>
  <si>
    <t>COBERTURA PARA PROTEÇÃO DE PEDESTRES SOBRE ESTRUTURA DE ANDAIME, INCLUSIVE MONTAGEM E DESMONTAGEM. AF_11/2017</t>
  </si>
  <si>
    <t>LOCAÇÃO DE PONTO PARA REFERÊNCIA TOPOGRÁFICA. AF_10/2018</t>
  </si>
  <si>
    <t>LOCACAO CONVENCIONAL DE OBRA, UTILIZANDO GABARITO DE TÁBUAS CORRIDAS PONTALETADAS A CADA 2,00M -  2 UTILIZAÇÕES. AF_10/2018</t>
  </si>
  <si>
    <t>CAVALETE DE OBRA COM ALTURA DE 1,00 M - 2 UTILIZAÇÕES. AF_10/2018</t>
  </si>
  <si>
    <t>CAVALETE DE OBRA COM ALTURA DE 0,50 M - 2 UTILIZAÇÕES. AF_10/2018</t>
  </si>
  <si>
    <t>MARCAÇÃO DE PONTOS EM GABARITO OU CAVALETE. AF_10/2018</t>
  </si>
  <si>
    <t>LOCAÇÃO DE REDE DE ÁGUA OU ESGOTO. AF_10/2018</t>
  </si>
  <si>
    <t>LOCAÇÃO DE PAVIMENTAÇÃO. AF_10/2018</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</si>
  <si>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</si>
  <si>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</si>
  <si>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</si>
  <si>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</si>
  <si>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</si>
  <si>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</si>
  <si>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</si>
  <si>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</si>
  <si>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</si>
  <si>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</si>
  <si>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EM PLACAS.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</si>
  <si>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</si>
  <si>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</si>
  <si>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</si>
  <si>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</si>
  <si>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</si>
  <si>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</si>
  <si>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</si>
  <si>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</si>
  <si>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</si>
  <si>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</si>
  <si>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</si>
  <si>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</si>
  <si>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CURSO DE CAPACITAÇÃO PARA VIGIA DIURNO (ENCARGOS COMPLEMENTARES) - HORISTA</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</si>
  <si>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</si>
  <si>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</si>
  <si>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</si>
  <si>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</si>
  <si>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</si>
  <si>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</si>
  <si>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</si>
  <si>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</si>
  <si>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</si>
  <si>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</si>
  <si>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</si>
  <si>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</si>
  <si>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</si>
  <si>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</si>
  <si>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</si>
  <si>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</si>
  <si>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</si>
  <si>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</si>
  <si>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</si>
  <si>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</si>
  <si>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</si>
  <si>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</si>
  <si>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</si>
  <si>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</si>
  <si>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</si>
  <si>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</si>
  <si>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</si>
  <si>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TÉCNICO EM SEGURANÇA DO TRABALHO COM ENCARGOS COMPLEMENTARES</t>
  </si>
  <si>
    <t>AJUDANTE ESPECIALIZADO</t>
  </si>
  <si>
    <t>ALMOXARIFE</t>
  </si>
  <si>
    <t>ARMADOR</t>
  </si>
  <si>
    <t>ELETRICISTA</t>
  </si>
  <si>
    <t>JARDINEIRO</t>
  </si>
  <si>
    <t>M2XMES</t>
  </si>
  <si>
    <t xml:space="preserve">MXMES </t>
  </si>
  <si>
    <t>PEDREIRO</t>
  </si>
  <si>
    <t>PINTOR</t>
  </si>
  <si>
    <t>SERRALHEIRO</t>
  </si>
  <si>
    <t>SOLDADOR</t>
  </si>
  <si>
    <t>TOTAL DE INSUMOS : 5331</t>
  </si>
  <si>
    <t>CCU - 02.001</t>
  </si>
  <si>
    <t>02.01.400.3</t>
  </si>
  <si>
    <t>CCU - 02.002</t>
  </si>
  <si>
    <t>02.01.400.4</t>
  </si>
  <si>
    <t>CCU - 02.003</t>
  </si>
  <si>
    <t>CCU - 02.004</t>
  </si>
  <si>
    <t>CCU - 02.005</t>
  </si>
  <si>
    <t>CCU - 02.006</t>
  </si>
  <si>
    <t>CCU - 02.007</t>
  </si>
  <si>
    <t>CCU - 02.008</t>
  </si>
  <si>
    <t>CCU - 02.009</t>
  </si>
  <si>
    <t>CCU - 02.010</t>
  </si>
  <si>
    <t>CCU - 02.011</t>
  </si>
  <si>
    <t>CCU - 02.012</t>
  </si>
  <si>
    <t>CCU - 02.013</t>
  </si>
  <si>
    <t>CCU - 02.014</t>
  </si>
  <si>
    <t>CCU - 02.015</t>
  </si>
  <si>
    <t>CCU - 02.016</t>
  </si>
  <si>
    <t>CCU - 03.001</t>
  </si>
  <si>
    <t>CCU - 03.002</t>
  </si>
  <si>
    <t>CCU - 03.003</t>
  </si>
  <si>
    <t>CCU - 03.004</t>
  </si>
  <si>
    <t>CCA - 001</t>
  </si>
  <si>
    <t>CCU - 03.005</t>
  </si>
  <si>
    <t>PLANILHA DE COMPOSIÇÕES AUXILIARES</t>
  </si>
  <si>
    <t>CCU - 04.001</t>
  </si>
  <si>
    <t>CCU - 04.002</t>
  </si>
  <si>
    <t>CCU - 04.003</t>
  </si>
  <si>
    <t>CCU - 04.004</t>
  </si>
  <si>
    <t>CCU - 04.005</t>
  </si>
  <si>
    <t>CCU - 04.006</t>
  </si>
  <si>
    <t>CCU - 04.007</t>
  </si>
  <si>
    <t>CCU - 04.008</t>
  </si>
  <si>
    <t>CCU - 04.009</t>
  </si>
  <si>
    <t>CCU - 04.010</t>
  </si>
  <si>
    <t>CCU - 04.011</t>
  </si>
  <si>
    <t>CCU - 04.012</t>
  </si>
  <si>
    <t>CCU - 04.013</t>
  </si>
  <si>
    <t>CCU - 04.014</t>
  </si>
  <si>
    <t>CCU - 04.015</t>
  </si>
  <si>
    <t>CCU - 04.016</t>
  </si>
  <si>
    <t>CCU - 04.017</t>
  </si>
  <si>
    <t>CCU - 04.018</t>
  </si>
  <si>
    <t>EQUIP.</t>
  </si>
  <si>
    <t>M0789</t>
  </si>
  <si>
    <t>M0787</t>
  </si>
  <si>
    <t>M3237</t>
  </si>
  <si>
    <t>M3235</t>
  </si>
  <si>
    <t>M3153</t>
  </si>
  <si>
    <t>SUBMARINO</t>
  </si>
  <si>
    <t>4003-5544</t>
  </si>
  <si>
    <t>www.submarino.com.br</t>
  </si>
  <si>
    <t>MÉDIA TENSÃO</t>
  </si>
  <si>
    <t>(11) 2384-0155</t>
  </si>
  <si>
    <t>12.275.858/0001-48</t>
  </si>
  <si>
    <t>M0682</t>
  </si>
  <si>
    <t xml:space="preserve">EMPRESA 1 </t>
  </si>
  <si>
    <t>EMPRESA 3</t>
  </si>
  <si>
    <t>CONDOR ATACADISTA</t>
  </si>
  <si>
    <t>(61) 2107-8800</t>
  </si>
  <si>
    <t>ANDRÉ LOPES</t>
  </si>
  <si>
    <t>03.261.204/0003-36</t>
  </si>
  <si>
    <t>INFRA ELETROCALHAS</t>
  </si>
  <si>
    <t>vendas@infraeletrocalhas.com.br</t>
  </si>
  <si>
    <t>(21) 3148-2253</t>
  </si>
  <si>
    <t>CCU - 10.001</t>
  </si>
  <si>
    <t>10.04.500.1</t>
  </si>
  <si>
    <t>CCU - 10.002</t>
  </si>
  <si>
    <t>PARAFUSO FÁCIL</t>
  </si>
  <si>
    <t>sac@parafusofacil.com.br</t>
  </si>
  <si>
    <t>01.056.640/0001-86</t>
  </si>
  <si>
    <t>(47) 3032-0780</t>
  </si>
  <si>
    <t>CASA DOS PARAFUSOS</t>
  </si>
  <si>
    <t>CCU - 02.017</t>
  </si>
  <si>
    <t>M1378</t>
  </si>
  <si>
    <t>ENGº. GILMAR DA MOTA FERNANDES - CREA 23785/D-DF</t>
  </si>
  <si>
    <t>LAGO PARANOÁ, LIGAÇÃO DA SHIS QL 26 DO LAGO SUL AO SCES TRECHO 02 DO PLANO PILOTO</t>
  </si>
  <si>
    <t>ÁREA DE CONSTRUÇÃO/RECUPERAÇÃO - 28.800,00 m²</t>
  </si>
  <si>
    <t>PLANILHA ESTIMATIVA DOS SERVIÇOS DE RECUPERAÇÃO E MANUTENÇÃO</t>
  </si>
  <si>
    <t>28.800,00 m²</t>
  </si>
  <si>
    <t>18,20%
(obra)</t>
  </si>
  <si>
    <t xml:space="preserve"> B.D.I. : 18,20% (obra)</t>
  </si>
  <si>
    <t>CUSTO UNIT. (R$)</t>
  </si>
  <si>
    <t>18,20% e 10,89%</t>
  </si>
  <si>
    <t>BDI APLICADO</t>
  </si>
  <si>
    <t>PLANILHA ESTIMATIVA DOS SERVIÇOS DE IMPLANTAÇÃO DO CANTEIRO DE OBRAS</t>
  </si>
  <si>
    <t xml:space="preserve">                   </t>
  </si>
  <si>
    <t xml:space="preserve">SERVIÇOS PRELIMINARES  </t>
  </si>
  <si>
    <t xml:space="preserve">CANTEIRO DE OBRAS  </t>
  </si>
  <si>
    <t xml:space="preserve">CONSTRUÇÕES PROVISÓRIAS  </t>
  </si>
  <si>
    <t>ESCRITÓRIOS</t>
  </si>
  <si>
    <t>02.01.101.1</t>
  </si>
  <si>
    <t>02.01.101.2</t>
  </si>
  <si>
    <t>02.01.101.3</t>
  </si>
  <si>
    <t>DEPÓSITOS</t>
  </si>
  <si>
    <t>EXECUÇÃO DE ÁREA DE DESCARGA E DEPOSITO DE MATERIAIS DIVERSOS</t>
  </si>
  <si>
    <t>0,0166000</t>
  </si>
  <si>
    <t>0,0828000</t>
  </si>
  <si>
    <t>0,4837000</t>
  </si>
  <si>
    <t>0,2219000</t>
  </si>
  <si>
    <t>0,3397000</t>
  </si>
  <si>
    <t>0,9334000</t>
  </si>
  <si>
    <t>0,9472000</t>
  </si>
  <si>
    <t>0,0331000</t>
  </si>
  <si>
    <t>1,2467000</t>
  </si>
  <si>
    <t>0,1656000</t>
  </si>
  <si>
    <t>0,0013000</t>
  </si>
  <si>
    <t>0,0662000</t>
  </si>
  <si>
    <t>0,1325000</t>
  </si>
  <si>
    <t>0,0981000</t>
  </si>
  <si>
    <t>0,1129000</t>
  </si>
  <si>
    <t>0,1532000</t>
  </si>
  <si>
    <t>0,1195000</t>
  </si>
  <si>
    <t>REF: 93582 SINAPI JUL 2019</t>
  </si>
  <si>
    <t xml:space="preserve"> 02.01.102             </t>
  </si>
  <si>
    <t xml:space="preserve"> 02.00.000              </t>
  </si>
  <si>
    <t xml:space="preserve"> 02.01.000              </t>
  </si>
  <si>
    <t xml:space="preserve"> 02.01.100              </t>
  </si>
  <si>
    <t xml:space="preserve"> 02.01.101              </t>
  </si>
  <si>
    <t>02.01.102.1</t>
  </si>
  <si>
    <t>02.01.102.2</t>
  </si>
  <si>
    <t xml:space="preserve"> 02.01.103           </t>
  </si>
  <si>
    <t>02.01.103.1</t>
  </si>
  <si>
    <t xml:space="preserve"> 02.01.104        </t>
  </si>
  <si>
    <t>02.01.104.1</t>
  </si>
  <si>
    <t xml:space="preserve"> 02.01.105       </t>
  </si>
  <si>
    <t>REFEITÓRIOS</t>
  </si>
  <si>
    <t>SANITÁRIOS E VESTIÁRIOS</t>
  </si>
  <si>
    <t>GUARITAS</t>
  </si>
  <si>
    <t xml:space="preserve"> 02.01.106      </t>
  </si>
  <si>
    <t>02.01.106.1</t>
  </si>
  <si>
    <t>02.01.105.1</t>
  </si>
  <si>
    <t>AMBULATÓRIO</t>
  </si>
  <si>
    <t>02.01.104.2</t>
  </si>
  <si>
    <t>COTAÇÃO-001</t>
  </si>
  <si>
    <t>LOCAÇÃO DE BANHEIRO ECOLOGICO  PARA CANTEIRO DE OBRAS - 2 UNDIDADES</t>
  </si>
  <si>
    <t>EMPRESA 2</t>
  </si>
  <si>
    <t xml:space="preserve"> 02.01.107      </t>
  </si>
  <si>
    <t>CENTRAIS DE PRODUÇÃO</t>
  </si>
  <si>
    <t xml:space="preserve"> 02.01.107.1      </t>
  </si>
  <si>
    <t>02.01.107.1.1</t>
  </si>
  <si>
    <t xml:space="preserve"> 02.01.107.2     </t>
  </si>
  <si>
    <t>02.01.107.2.1</t>
  </si>
  <si>
    <t xml:space="preserve">CENTRAL DE ARMADURA    </t>
  </si>
  <si>
    <t>CENTRAL DE CARPINTARIA</t>
  </si>
  <si>
    <t xml:space="preserve"> 02.01.107.3     </t>
  </si>
  <si>
    <t>02.01.107.3.1</t>
  </si>
  <si>
    <t>CENTRAL DE PROTENÇÃO</t>
  </si>
  <si>
    <t>CENTRAL DE PROTENSÃO E DEPÓSITO DE BOBINAS E TUBOS PEAD 300MM</t>
  </si>
  <si>
    <t xml:space="preserve"> 02.01.108    </t>
  </si>
  <si>
    <t xml:space="preserve">ATRACADOURO/PIER    </t>
  </si>
  <si>
    <t>02.01.108.1</t>
  </si>
  <si>
    <t xml:space="preserve"> 02.01.109    </t>
  </si>
  <si>
    <t>LAVA RODAS</t>
  </si>
  <si>
    <t>RAMPA DE LAVAGEM - INCLUSIVE DEMOLIÇÃO</t>
  </si>
  <si>
    <t>02.01.109.1</t>
  </si>
  <si>
    <t xml:space="preserve">02.01.201 </t>
  </si>
  <si>
    <t>ÁGUA</t>
  </si>
  <si>
    <t>02.01.201.1</t>
  </si>
  <si>
    <t>02.01.201.2</t>
  </si>
  <si>
    <t>02.01.201.3</t>
  </si>
  <si>
    <t>02.01.201.4</t>
  </si>
  <si>
    <t>02.01.201.5</t>
  </si>
  <si>
    <t>02.01.201.6</t>
  </si>
  <si>
    <t>02.01.201.7</t>
  </si>
  <si>
    <t>02.01.201.8</t>
  </si>
  <si>
    <t>02.01.201.9</t>
  </si>
  <si>
    <t>02.01.201.10</t>
  </si>
  <si>
    <t>02.01.201.11</t>
  </si>
  <si>
    <t>02.01.201.12</t>
  </si>
  <si>
    <t>02.01.201.13</t>
  </si>
  <si>
    <t>02.01.201.14</t>
  </si>
  <si>
    <t>02.01.201.15</t>
  </si>
  <si>
    <t>02.01.201.16</t>
  </si>
  <si>
    <t>02.01.201.17</t>
  </si>
  <si>
    <t>02.01.201.18</t>
  </si>
  <si>
    <t>02.01.201.19</t>
  </si>
  <si>
    <t>02.01.201.20</t>
  </si>
  <si>
    <t>02.01.201.21</t>
  </si>
  <si>
    <t>02.01.201.22</t>
  </si>
  <si>
    <t>02.01.201.23</t>
  </si>
  <si>
    <t>02.01.201.24</t>
  </si>
  <si>
    <t>02.01.201.25</t>
  </si>
  <si>
    <t>02.01.201.26</t>
  </si>
  <si>
    <t>02.01.201.27</t>
  </si>
  <si>
    <t>02.01.201.28</t>
  </si>
  <si>
    <t>02.01.201.29</t>
  </si>
  <si>
    <t>02.01.201.30</t>
  </si>
  <si>
    <t>ENERGIA ELÉTRICA</t>
  </si>
  <si>
    <t>02.01.202</t>
  </si>
  <si>
    <t>02.01.202.1</t>
  </si>
  <si>
    <t>02.01.202.2</t>
  </si>
  <si>
    <t>02.01.202.3</t>
  </si>
  <si>
    <t>02.01.202.4</t>
  </si>
  <si>
    <t>02.01.202.5</t>
  </si>
  <si>
    <t>02.01.202.6</t>
  </si>
  <si>
    <t>02.01.202.7</t>
  </si>
  <si>
    <t>02.01.202.8</t>
  </si>
  <si>
    <t>02.01.202.9</t>
  </si>
  <si>
    <t>02.01.202.10</t>
  </si>
  <si>
    <t>02.01.202.11</t>
  </si>
  <si>
    <t>02.01.202.12</t>
  </si>
  <si>
    <t>02.01.202.13</t>
  </si>
  <si>
    <t>02.01.202.14</t>
  </si>
  <si>
    <t>02.01.202.15</t>
  </si>
  <si>
    <t>02.01.202.16</t>
  </si>
  <si>
    <t>02.01.202.17</t>
  </si>
  <si>
    <t>02.01.202.18</t>
  </si>
  <si>
    <t>02.01.202.19</t>
  </si>
  <si>
    <t>02.01.202.20</t>
  </si>
  <si>
    <t>02.01.202.21</t>
  </si>
  <si>
    <t>02.01.202.22</t>
  </si>
  <si>
    <t>02.01.202.23</t>
  </si>
  <si>
    <t>02.01.202.24</t>
  </si>
  <si>
    <t>02.01.202.25</t>
  </si>
  <si>
    <t>02.01.202.26</t>
  </si>
  <si>
    <t>02.01.202.27</t>
  </si>
  <si>
    <t>02.01.202.28</t>
  </si>
  <si>
    <t>02.01.202.29</t>
  </si>
  <si>
    <t>02.01.202.30</t>
  </si>
  <si>
    <t>02.01.202.31</t>
  </si>
  <si>
    <t>02.01.202.32</t>
  </si>
  <si>
    <t>02.01.202.33</t>
  </si>
  <si>
    <t>MURETA EM ALVENARIA PARA INSTALAÇÃO DO CONJUNTO DE MEDIÇÃO TR COM DIMENÇÕES DE 2,13 M DE COMPRIMENTO, 0,46M DE LARGURA E 1,70M DE ALTURA.</t>
  </si>
  <si>
    <t>LAJE EM CONCRETO ARMADO PARA PROTEÇÃO DO TOPO, DIMENSÃO DE 215X66X10 CM</t>
  </si>
  <si>
    <t>CCA</t>
  </si>
  <si>
    <t>1,0000000</t>
  </si>
  <si>
    <t>COTAÇÃO-006</t>
  </si>
  <si>
    <t>REF: C4245 - SEINFRA ABRIL 2017</t>
  </si>
  <si>
    <t>POSTE CONCRETO SEÇÃO CIRCULAR COMPRIMENTO=10M CARGA NOMINAL NO TOPO 600KG INCLUSIVE ESCAVACAO EXCLUSIVE TRANSPORTE - FORNECIMENTO E COLOCAÇÃO</t>
  </si>
  <si>
    <t>REF: SINAPI - 73783/17 JAN/2018</t>
  </si>
  <si>
    <t>6,0000000</t>
  </si>
  <si>
    <t>1,2500000</t>
  </si>
  <si>
    <t>0,1500000</t>
  </si>
  <si>
    <t>CCA - 002</t>
  </si>
  <si>
    <t>CECIN SARKIS</t>
  </si>
  <si>
    <t>00.533.018/0001-59</t>
  </si>
  <si>
    <t>3234-8900</t>
  </si>
  <si>
    <t>CANTONEIRA AUXILIAR PARA BRAÇO TIPO "C"</t>
  </si>
  <si>
    <t>CONJUNTO DE MEDIÇÃO TR, CONTENDO CAIXAS (CX.B, CX.TR, CX.P4, CX.P1) CONFORME PROJETO.</t>
  </si>
  <si>
    <t>WOLTEC</t>
  </si>
  <si>
    <t>ONE AUTOMAÇÃO</t>
  </si>
  <si>
    <t>USIBRA PAINÉIS</t>
  </si>
  <si>
    <t>FELIPE MATHEUS</t>
  </si>
  <si>
    <t>PARK</t>
  </si>
  <si>
    <t>MARCELO</t>
  </si>
  <si>
    <t>04.634.511/0001-16</t>
  </si>
  <si>
    <t>20.034.843/0001-16</t>
  </si>
  <si>
    <t>19.052.451/0001-09</t>
  </si>
  <si>
    <t>61 3363-7117</t>
  </si>
  <si>
    <t>11 2414-0383</t>
  </si>
  <si>
    <t>61 3399-4500</t>
  </si>
  <si>
    <t>COTAÇÃO-002</t>
  </si>
  <si>
    <t>COTAÇÃO-003</t>
  </si>
  <si>
    <t>COTAÇÃO-004</t>
  </si>
  <si>
    <t>COTAÇÃO-005</t>
  </si>
  <si>
    <t>BRAÇO TIPO "C"</t>
  </si>
  <si>
    <t>SUBESTAÇÃO AÉREA DE 90 KVA 380/220V COM CONJUNTO DE MEDIÇÃO TR, CONFORME DETALAMENTO EM PROJETO - FORNECIMENTO E INSTALACAO</t>
  </si>
  <si>
    <t>POSTE CONCRETO SEÇÃO CIRCULAR COMPRIMENTO=11M CARGA NOMINAL NO TOPO 200KG INCLUSIVE ESCAVACAO EXCLUSIVE TRANSPORTE - FORNECIMENTO E COLOCAÇÃO</t>
  </si>
  <si>
    <t>CABO DE COBRE UNIPOLAR 50 MM2, BLINDADO, ISOLACAO 12/20 KV EPR, COBERTURA EM PVC - FORNECIMENTO E INSTALAÇÃO</t>
  </si>
  <si>
    <t>CORDOALHA DE AÇO 9,54MM - FORNECIMENTO E INSTALAÇÃO</t>
  </si>
  <si>
    <t>0,2299000</t>
  </si>
  <si>
    <t>0,5518000</t>
  </si>
  <si>
    <t>LUMINÁRIA ARANDELA TIPO TARTARUGA, COM GRADE, PARA 1 LÂMPADA DE 60 W - FORNECIMENTO E INSTALAÇÃO. AF_11/2017</t>
  </si>
  <si>
    <t>REFLETOR LED COM POTENCIA DE 30W</t>
  </si>
  <si>
    <t>ILUMINIM</t>
  </si>
  <si>
    <t>23.429.903/0001-98</t>
  </si>
  <si>
    <t>(11) 4210-0494</t>
  </si>
  <si>
    <t>www.iluminim.com.br/refletor</t>
  </si>
  <si>
    <t>REF: 09508/ORSE JULHO 2019</t>
  </si>
  <si>
    <t>REF: 11401/ORSE JULHO 2019</t>
  </si>
  <si>
    <t>REF: 97608 SINAPI JULHO 2019</t>
  </si>
  <si>
    <t>REF: 11153/ORSE JULHO 2019</t>
  </si>
  <si>
    <t>REFLETOR LED COM POTENCIA DE 30W - FORNECIMENTO E INSTALAÇÃO</t>
  </si>
  <si>
    <t>POSTE DE AÇO CONICO CONTÍNUO CURVO SIMPLES, FLANGEADO, COM JANELA DE INSPEÇÃO H=7M - FORNECIMENTO E INSTALACAO</t>
  </si>
  <si>
    <t>02.01.205</t>
  </si>
  <si>
    <t>ESGOTO</t>
  </si>
  <si>
    <t>02.01.205.1</t>
  </si>
  <si>
    <t>02.01.205.2</t>
  </si>
  <si>
    <t>02.01.205.3</t>
  </si>
  <si>
    <t>02.01.205.4</t>
  </si>
  <si>
    <t>02.01.205.5</t>
  </si>
  <si>
    <t>02.01.205.6</t>
  </si>
  <si>
    <t xml:space="preserve">FOSSA SEPTICA,SEM FILTRO, PARA 40 A 52 CONTRIBUINTES, CILINDRICA, COM TAMPA, EM POLIETILENO DE ALTA DENSIDADE (PEAD), CAPACIDADE APROXIMADA DE 10000 LITROS - INCLUSO ESCAVAÇÃO(NBR 7229) </t>
  </si>
  <si>
    <t>02.01.205.7</t>
  </si>
  <si>
    <t>02.01.300</t>
  </si>
  <si>
    <t>ACESSOS PROVISÓRIOS</t>
  </si>
  <si>
    <t>DESMATAMENTO, DESTOCAMENTO, LIMPEZA DE ÁREA E ESTOCAGEM DO MATERIAL DE LIMPEZA COM ÁRVORES DE DIÂMETRO ATÉ 0,15 M</t>
  </si>
  <si>
    <t>ESCAVAÇÃO, CARGA E TRANSPORTE DE MATERIAL DE 1ª CATEGORIA - DMT DE 200 A 400 M - CAMINHO DE SERVIÇO EM LEITO NATURAL - COM ESCAVADEIRA E CAMINHÃO BASCULANTE DE 14 M³</t>
  </si>
  <si>
    <t>REGULARIZAÇÃO DO SUBLEITO</t>
  </si>
  <si>
    <t>LASTRO DE BRITA COMERCIAL - ESPALHAMENTO MECÂNICO</t>
  </si>
  <si>
    <t>MEIO FIO DE CONCRETO - MFC 06 MOLDADO NO LOCAL COM EXTRUSORA E CONCRETO USINADO - AREIA E BRITA COMERCIAIS M 10,41</t>
  </si>
  <si>
    <t>PAVIMENTO DE CONCRETO COM EQUIPAMENTO DE PEQUENO PORTE, ESPESSURA DE 0,20 M, COM AGENTE DE CURA E COM TELA SOLDADA - CONCRETO USINADO - AREIA E BRITA COMERCIAIS</t>
  </si>
  <si>
    <t xml:space="preserve"> 02.01.310    </t>
  </si>
  <si>
    <t xml:space="preserve"> 02.01.311    </t>
  </si>
  <si>
    <t>02.01.311.1</t>
  </si>
  <si>
    <t xml:space="preserve"> 02.01.312    </t>
  </si>
  <si>
    <t>02.01.312.1</t>
  </si>
  <si>
    <t>02.01.312.2</t>
  </si>
  <si>
    <t>02.01.312.3</t>
  </si>
  <si>
    <t>02.01.312.4</t>
  </si>
  <si>
    <t xml:space="preserve"> 02.01.313   </t>
  </si>
  <si>
    <t xml:space="preserve"> 02.01.314   </t>
  </si>
  <si>
    <t>02.01.314.1</t>
  </si>
  <si>
    <t>02.01.314.2</t>
  </si>
  <si>
    <t>02.01.314.3</t>
  </si>
  <si>
    <t>LIMPEZA DO TERRENO - GERAL</t>
  </si>
  <si>
    <t>PAVIMENTOS PROVISÓRIOS - CANTEIRO</t>
  </si>
  <si>
    <t xml:space="preserve">PISTA CIRCULAÇÃO - CANTEIRO           </t>
  </si>
  <si>
    <t>CALÇADAS - CANTEIRO</t>
  </si>
  <si>
    <t>BASE DE CONCRETO - PIER</t>
  </si>
  <si>
    <t xml:space="preserve"> 02.01.315    </t>
  </si>
  <si>
    <t xml:space="preserve">PISTA ACESSO - CANTEIRO           </t>
  </si>
  <si>
    <t>BASE OU SUB-BASE DE MACADAME SECO COM BRITA COMERCIAL</t>
  </si>
  <si>
    <t>02.01.315.1</t>
  </si>
  <si>
    <t>02.01.315.2</t>
  </si>
  <si>
    <t>02.01.315.3</t>
  </si>
  <si>
    <t>02.01.315.4</t>
  </si>
  <si>
    <t xml:space="preserve"> 02.01.316    </t>
  </si>
  <si>
    <t>02.01.316.1</t>
  </si>
  <si>
    <t>02.01.316.2</t>
  </si>
  <si>
    <t>02.01.316.3</t>
  </si>
  <si>
    <t>02.01.316.4</t>
  </si>
  <si>
    <t>GABIÃO COLCHÃO ESPESSURA 0,23 M - ZN/AL + PVC - D = 2,0 MM - PEDRA DE MÃO COMERCIAL - FORNECIMENTO E ASSENTAMENTO</t>
  </si>
  <si>
    <t>GABIÃO CAIXA 2 X 1 X 1,00 M - ZN/AL + PVC - D = 2,4 MM - PEDRA DE MÃO COMERCIAL - FORNECIMENTO E ASSENTAMENTO</t>
  </si>
  <si>
    <t>APLICAÇÃO DE GEOTEXTIL NÃO-TECIDO AGULHADO RT 14</t>
  </si>
  <si>
    <t>ESCAVAÇÃO, CARGA E TRANSPORTE DE SOLOS MOLES - DMT DE 0 A 50 M</t>
  </si>
  <si>
    <t>02.01.400</t>
  </si>
  <si>
    <t>02.01.400.5</t>
  </si>
  <si>
    <t>02.01.400.6</t>
  </si>
  <si>
    <t>02.01.400.7</t>
  </si>
  <si>
    <t>02.01.400.8</t>
  </si>
  <si>
    <t>02.01.400.9</t>
  </si>
  <si>
    <t>02.01.400.10</t>
  </si>
  <si>
    <t>PINTURA DE SETAS E ZEBRADOS - TINTA BASE ACRÍLICA EMULSIONADA EM ÁGUA - ESPESSURA DE 0,4 MM</t>
  </si>
  <si>
    <t>PINTURA DE FAIXA - TINTA BASE ACRÍLICA - ESPESSURA DE 0,4 MM</t>
  </si>
  <si>
    <t>FORNECIMENTO E IMPLANTAÇÃO DE SUPORTE E TRAVESSA PARA PLACA DE SINALIZAÇÃO EM MADEIRA DE LEI TRATADA 8 X 8 CM</t>
  </si>
  <si>
    <t>REF: 5213378 SICRO JULHO 2019</t>
  </si>
  <si>
    <t>CAMINHÃO CARROCERIA COM CAPACIDADE DE 5 T - 115 KW</t>
  </si>
  <si>
    <t>P9830</t>
  </si>
  <si>
    <t>P9824</t>
  </si>
  <si>
    <t>CONFECÇÃO DE PLACA EM AÇO Nº 16 GALVANIZADO, COM PELÍCULA RETRORREFLETIVA TIPO I + III</t>
  </si>
  <si>
    <t>MONTADOR</t>
  </si>
  <si>
    <t>SERVENTE</t>
  </si>
  <si>
    <t xml:space="preserve">FORNECIMENTO E IMPLANTAÇÃO DE PLACA EM AÇO DE SINALIZAÇÃO PROVISÓRIA, FIXADA EM SUPORTE DE MADEIRA, EM BASE DE CONCRETO MÓVEL - PELÍCULA III + III </t>
  </si>
  <si>
    <t xml:space="preserve">DELIMITAÇÃO NÁUTICA PROVISÓRIA DE SEGURANÇA COM BÓIAS DE ARINQUE DE 40CM DE DIAMETRO E SINALIZAÇÃO LUMINOSA, INCLUSO CORDAS E ANCORAGEM A CADA 10M. FORNECIMENTO E INSTALAÇÃO. 20 UTILIZAÇÕES </t>
  </si>
  <si>
    <t>REBOCADOR - 360 HP</t>
  </si>
  <si>
    <t>M2386</t>
  </si>
  <si>
    <t>COTAÇÃO-007</t>
  </si>
  <si>
    <t>COTAÇÃO-008</t>
  </si>
  <si>
    <t>SINALIZAÇÃO LUMINOSA SOLAR  B-60</t>
  </si>
  <si>
    <t>P9808</t>
  </si>
  <si>
    <t>P9821</t>
  </si>
  <si>
    <t>P9949</t>
  </si>
  <si>
    <t>P9950</t>
  </si>
  <si>
    <t>M0131</t>
  </si>
  <si>
    <t>ATRACADOURO/PIER PARA ATRACACAO DE EMBARCACOES ESTRUTURADO EM PECAS DE MADEIRA SERRADA, SENDO AS LONGARINAS DE 3 X9  E AS TRANSVERSINAS DE 3 X12 , FIXADAS POR BARRAS INOX ROSQUEADAS DE 1,00MX1/2 , ASSOALHO EM RIPAS DE MADEIRA APARELHADA DE (2,5X10)CM, FIXADAS POR PREGOS LVANIZADOS DE SECAO QUADRADA NAS DIMENSOES DE (4,38X79)MM. TODO CONJUNTO ASSENTADO SOBRE PILARES CIRCULARES COM DIAMETRO DE 40CM EM CONCRETO ESTRUTURAL FCK=20MPA, REVESTIDO EM TUBO DE PEAD RIGIDO DE 400MM. FORNECIMENTO DE TODOS MATERIAIS, COLOCACAO, INSTALACAO, TRANSPORTE, TOPOGRAFIA E MONTAGEM DE TODAS AS PECAS E ACABAMENTO FINAL.</t>
  </si>
  <si>
    <t xml:space="preserve">ARMAÇÃO EM AÇO CA-50 - FORNECIMENTO, PREPARO E COLOCAÇÃO </t>
  </si>
  <si>
    <t xml:space="preserve">ARMAÇÃO EM AÇO CA-60 - FORNECIMENTO, PREPARO E COLOCAÇÃO </t>
  </si>
  <si>
    <t xml:space="preserve">PREGO QUADRADO GALVANIZADO A FOGO, TIPO 1/2 FORO, DIMENSOES DE (4,38X79)MM </t>
  </si>
  <si>
    <t>COTAÇÃO-009</t>
  </si>
  <si>
    <t>COTAÇÃO-010</t>
  </si>
  <si>
    <t xml:space="preserve">BARRA ROSQUEADA EM ACO INOX,   DE 1,00MX1/2  </t>
  </si>
  <si>
    <t>COTAÇÃO-011</t>
  </si>
  <si>
    <t>COTAÇÃO-012</t>
  </si>
  <si>
    <t>PORCA SEXTAVADA DE ACO INOX,   DE 1/2</t>
  </si>
  <si>
    <t>COTAÇÃO-013</t>
  </si>
  <si>
    <t>SINALIZAÇÃO DE BALIZAMENTO TIPO P-60, EM POLIETILENO PIGMENTADO, CONFORME NORMAN 17, COM POITA COM ILUMINAÇÃO SOLAR.</t>
  </si>
  <si>
    <t>02.01.401</t>
  </si>
  <si>
    <t>SINALIZAÇÃO DE BALIZAMENTO TIPO P-60, EM POLIETILENO PIGMENTADO, CONFORME NORMAN 17, COM POITA COM ILUMINAÇÃO SOLAR. FORNECIMENTO</t>
  </si>
  <si>
    <t>TAPUMES</t>
  </si>
  <si>
    <t>02.01.404</t>
  </si>
  <si>
    <t>02.01.401.1</t>
  </si>
  <si>
    <t>PLACAS</t>
  </si>
  <si>
    <t>COMPLEMENTO SUPERIOR DE FECHAMENTO DO TAPUME EM TELA DE ARAME GALV. ACIMA DE 2,20M ATÉ 2,90M, FIO 0,56 MALHA 1/2'</t>
  </si>
  <si>
    <t>0,0700000</t>
  </si>
  <si>
    <t>1,0500000</t>
  </si>
  <si>
    <t>1,6800000</t>
  </si>
  <si>
    <t>0,5000000</t>
  </si>
  <si>
    <t>REF: 74244/1 SINAPI JULHO 2019</t>
  </si>
  <si>
    <t>02.01.401.2</t>
  </si>
  <si>
    <t>02.01.404.1</t>
  </si>
  <si>
    <t>02.01.405</t>
  </si>
  <si>
    <t>02.01.405.1</t>
  </si>
  <si>
    <t>PORTÕES</t>
  </si>
  <si>
    <t>02.02.000</t>
  </si>
  <si>
    <t>DEMOLIÇÃO E REMOÇÃO DO CANTEIRO</t>
  </si>
  <si>
    <t>02.02.100</t>
  </si>
  <si>
    <t>02.02.110</t>
  </si>
  <si>
    <t xml:space="preserve">EDIFICAÇÕES PROVISÓRIAS   </t>
  </si>
  <si>
    <t>PAVIMENTAÇÃO E SINALIZAÇÃO</t>
  </si>
  <si>
    <t>GRUPO GERADOR - 2,5/3 KVA</t>
  </si>
  <si>
    <t>CARPINTEIRO</t>
  </si>
  <si>
    <t>AUXILIAR DE TOPOGRAFIA</t>
  </si>
  <si>
    <t>CONE PLÁSTICO PARA CANALIZAÇÃO DE TRÂNSITO - UTILIZAÇÃO DE 5 VEZES</t>
  </si>
  <si>
    <t>CAVALETE EM POLIETILENO ZEBRADO COM FAIXA REFLETIVA - H = 1,00 M - UTILIZAÇÃO DE 200 VEZES</t>
  </si>
  <si>
    <t>BARREIRA DE SINALIZAÇÃO TIPO II DE DIRECIONAMENTO OU BLOQUEIO - UTILIZAÇÃO DE 10 VEZES</t>
  </si>
  <si>
    <t>CAVALETE EM POLIETILENO ZEBRADO COM FAIXA REFLETIVA E COM SINALIZADOR A LED COM BATERIA - H = 1,14 M - UTILIZAÇÃO DE 200 VEZES</t>
  </si>
  <si>
    <t>REMOÇÃO DE SINALIZAÇÃO HORIZONTAL TIPO PINTURA ACRÍLICA POR JATEAMENTO ABRASIVO ÚMIDO COM VIDRO - UTILIZAÇÃO DE 3 VEZES</t>
  </si>
  <si>
    <t>REMOÇÃO DE PLACA DE SINALIZAÇÃO</t>
  </si>
  <si>
    <t>02.02.110.1</t>
  </si>
  <si>
    <t>02.02.110.2</t>
  </si>
  <si>
    <t>DEMOLIÇÃO DE CONCRETO SIMPLES COM MARTELETE</t>
  </si>
  <si>
    <t>DEMOLIÇÃO DE CONCRETO ARMADO</t>
  </si>
  <si>
    <t>DEMOLIÇÃO MANUAL DE MEIO FIO DE CONCRETO</t>
  </si>
  <si>
    <t xml:space="preserve">REF:  </t>
  </si>
  <si>
    <t>T.KM</t>
  </si>
  <si>
    <t>ESCAVAÇÃO E CARGA DE MATERIAL DE PAVIMENTAÇÃO NAS VIAS DE ACESSO EM MACADAME, COM TRATOR  E  CAMINHAO BASCULANTE 14M3</t>
  </si>
  <si>
    <t>EDIFICAÇÕES PROVISÓRIAS E PROTEÇÃO</t>
  </si>
  <si>
    <t>02.02.110.3</t>
  </si>
  <si>
    <t>02.02.110.4</t>
  </si>
  <si>
    <t>02.02.110.5</t>
  </si>
  <si>
    <t>02.02.110.6</t>
  </si>
  <si>
    <t>02.02.120</t>
  </si>
  <si>
    <t>CCU - 02.018</t>
  </si>
  <si>
    <t>REMOÇÃO DE TUBULAÇÕES ENTERRADAS DAS INSTALAÇÕES PROVISÓRIAS DO CANTEIRO</t>
  </si>
  <si>
    <t>ESCAVAÇÃO E CARGA DE MATERIAL DE JAZIDA COM TRATOR DE 74,5 KW E CARREGADEIRA DE 1,53 M³</t>
  </si>
  <si>
    <t>TRANSPORTE COM CAMINHÃO BASCULANTE DE 14 M³ - RODOVIA PAVIMENTADA</t>
  </si>
  <si>
    <t>DEMOLIÇÃO MANUAL DE CONSTRUÇÕES PROVISÓRIAS DE MADEIRA - SEM REAPROVEITAMENTO</t>
  </si>
  <si>
    <t>CCU - 02.019</t>
  </si>
  <si>
    <t>REMOÇÃO DE RESEVATÓRIO SOBRE ESTRUTURA DE MADEIRA, INCLUSIVE TUBULAÇÕES</t>
  </si>
  <si>
    <t>CCU - 02.020</t>
  </si>
  <si>
    <t>P9810</t>
  </si>
  <si>
    <t>REF:  CRIADA</t>
  </si>
  <si>
    <t xml:space="preserve"> 12. 00.000              </t>
  </si>
  <si>
    <t xml:space="preserve">MANEJO AMBIENTAL                                             </t>
  </si>
  <si>
    <t xml:space="preserve"> 12. 01.000              </t>
  </si>
  <si>
    <t xml:space="preserve">HIDROSSEMENADURA                                             </t>
  </si>
  <si>
    <t>12.01.000.1</t>
  </si>
  <si>
    <t>HIDROSSEMEADURA</t>
  </si>
  <si>
    <t>REVESTIMENTO VEGETAL COM GRAMA EM MUDAS EM SUPERFÍCIES PLANAS</t>
  </si>
  <si>
    <t>PLANTIO DE MUDAS ARBUSTIVAS COM PORTE DE 50 CM EM COVAS DE 0,40 X 0,40 X 0,40 M</t>
  </si>
  <si>
    <t>COMPACTAÇÃO DE ATERROS A 100% DO PROCTOR NORMAL</t>
  </si>
  <si>
    <t xml:space="preserve"> 12. 02.000              </t>
  </si>
  <si>
    <t xml:space="preserve">PLANTIO DE GRAMA                                             </t>
  </si>
  <si>
    <t xml:space="preserve"> 12. 03.000              </t>
  </si>
  <si>
    <t xml:space="preserve">PLANTIO DE MUDAS E ARBUSTOS                                  </t>
  </si>
  <si>
    <t xml:space="preserve"> 12. 04.000              </t>
  </si>
  <si>
    <t xml:space="preserve">ATERRO                                                       </t>
  </si>
  <si>
    <t>12.02.000.1</t>
  </si>
  <si>
    <t>12.03.000.1</t>
  </si>
  <si>
    <t>CCU - 02.021</t>
  </si>
  <si>
    <t xml:space="preserve">REMOÇÃO DE SUBESTAÇÃO, QUADROS E ACESSÓRIOS                  </t>
  </si>
  <si>
    <t>CCU - 02.022</t>
  </si>
  <si>
    <t>PORTÃO EM CHAPA DE AÇO GALVANIZADO PARA TAPUME DE OBRA COM PINTURA EXTERNA EM ESMALTE SINTÉTICO.</t>
  </si>
  <si>
    <t>12.04.000.1</t>
  </si>
  <si>
    <t>1,4 / m3</t>
  </si>
  <si>
    <t>5x5x2</t>
  </si>
  <si>
    <t>REF: MANUAL DE INSTALAÇÃO DA ACQUALIMP</t>
  </si>
  <si>
    <t>RCA LAMPADAS</t>
  </si>
  <si>
    <t>(21) 3710-0149</t>
  </si>
  <si>
    <t>orcamentogruporca@gmail.com</t>
  </si>
  <si>
    <t>31.541.609/0001-00</t>
  </si>
  <si>
    <t>BOREAL LED</t>
  </si>
  <si>
    <t>17.461.792/0001-02</t>
  </si>
  <si>
    <t>(11) 3221-8034</t>
  </si>
  <si>
    <t>comercial@borealled.com.br</t>
  </si>
  <si>
    <t xml:space="preserve">ARRUELA LISA DE ACO INOX, DE 1/2    </t>
  </si>
  <si>
    <t>CCP PARAFUSOS</t>
  </si>
  <si>
    <t>vendasvirtual@ccpvirtual.com.br</t>
  </si>
  <si>
    <t>(11) 2026-6736</t>
  </si>
  <si>
    <t>30.000.593./0001-57</t>
  </si>
  <si>
    <t>AMERICANAS</t>
  </si>
  <si>
    <t>atendimento.acom@americanas.com</t>
  </si>
  <si>
    <t>4003 2399</t>
  </si>
  <si>
    <t>(16) 3017-8614</t>
  </si>
  <si>
    <t>33.251.614/0001-03</t>
  </si>
  <si>
    <t>jbcasadosparafusosfranca@gmail.com</t>
  </si>
  <si>
    <t>A MEGA LOJA</t>
  </si>
  <si>
    <t>65.640.591/0001-07</t>
  </si>
  <si>
    <t>(11) 2394-2222</t>
  </si>
  <si>
    <t>sac@amegaloja.com.br</t>
  </si>
  <si>
    <t>EXTRA</t>
  </si>
  <si>
    <t>33.041.260/0652-90</t>
  </si>
  <si>
    <t>(11) 4003-3383</t>
  </si>
  <si>
    <t>JUDY MAT. ELÉTRICOS</t>
  </si>
  <si>
    <t xml:space="preserve"> (71) 3388-2051</t>
  </si>
  <si>
    <t>atendimento@judycabos.com.br</t>
  </si>
  <si>
    <t>LP ELÉTRCA</t>
  </si>
  <si>
    <t>lp.vendas@yahoo.com</t>
  </si>
  <si>
    <t>22.514.705/0001-60</t>
  </si>
  <si>
    <t>(43) 9 9812-000</t>
  </si>
  <si>
    <t>BÓIA DE ARINQUE POITA AMARELA  D=40CM - REDONDA</t>
  </si>
  <si>
    <t>REF: ET 89.10.0500 (B)  - SCO RIO JUNHO 2019</t>
  </si>
  <si>
    <t>ANTONIO</t>
  </si>
  <si>
    <t>BRACOL LOCAÇÕES</t>
  </si>
  <si>
    <t>LUA E SOL</t>
  </si>
  <si>
    <t>LUCAS</t>
  </si>
  <si>
    <t>(61) 3351-9230</t>
  </si>
  <si>
    <t>(61) 3026-2670</t>
  </si>
  <si>
    <t>SONIA</t>
  </si>
  <si>
    <t>ADRIANA</t>
  </si>
  <si>
    <t>AQUAMAR MARINE</t>
  </si>
  <si>
    <t>RAPHAEL</t>
  </si>
  <si>
    <t>(047) 99128 4200</t>
  </si>
  <si>
    <t>78.633.955/0001-73</t>
  </si>
  <si>
    <t>www.extra.com.br</t>
  </si>
  <si>
    <t>x</t>
  </si>
  <si>
    <t>BOMBA CENTRÍFUGA COM CAPACIDADE DE 8,6 A 22 M³/H - 1,5 KW</t>
  </si>
  <si>
    <t>CONJUNTO DE CANTONEIRAS E PARAFUSOS GALVANIZADOS PARA FIXAÇÃO DE PLACAS</t>
  </si>
  <si>
    <t>SUPORTE EM AÇO CARBONO GALVANIZADO PERFIL "C"</t>
  </si>
  <si>
    <t>PELÍCULA RETRORREFLETIVA TIPO I</t>
  </si>
  <si>
    <t>PELÍCULA RETRORREFLETIVA TIPO III</t>
  </si>
  <si>
    <t>AÇO EM PERFIS ASTM A36</t>
  </si>
  <si>
    <t>CHAPA DE AÇO ASTM A36</t>
  </si>
  <si>
    <t>CORDA DE NYLON TORCIDA COM 4 PERNAS - D = 10 MM</t>
  </si>
  <si>
    <t>WD SM</t>
  </si>
  <si>
    <t>EDISON</t>
  </si>
  <si>
    <t>07.782.978/0001-00</t>
  </si>
  <si>
    <t>(11) 4221-3878</t>
  </si>
  <si>
    <t xml:space="preserve">01.03.000 </t>
  </si>
  <si>
    <t>ESTUDOS E PROJETOS</t>
  </si>
  <si>
    <t>PROJETO EXECUTIVO</t>
  </si>
  <si>
    <t xml:space="preserve">01.03.500 </t>
  </si>
  <si>
    <t xml:space="preserve">01.03.501 </t>
  </si>
  <si>
    <t>DO CANTEIRO DE OBRAS</t>
  </si>
  <si>
    <t>01.03.501.1</t>
  </si>
  <si>
    <t>CCU - 01.001</t>
  </si>
  <si>
    <t xml:space="preserve">PROJETO EXECUTIVO DO CANTEIRO DE OBRA, COMPLETO, INCLUSIVE PISTAS DE ACESSOS, CONTENÇÃO E ATRACADOURO. INCLUSO TODAS AS TAXAS E DESPESAS PARA APROVAÇÕES E LICENCIAMENTOS  </t>
  </si>
  <si>
    <t>REF: MEMÓRIA DE CÁLCULO DE HONORÁRIOS DE PROJETOS</t>
  </si>
  <si>
    <t>P9848</t>
  </si>
  <si>
    <t>DESENHISTA</t>
  </si>
  <si>
    <t>P9812</t>
  </si>
  <si>
    <t>ENGENHEIRO</t>
  </si>
  <si>
    <t>P9946</t>
  </si>
  <si>
    <t>ENGENHEIRO AUXILIAR</t>
  </si>
  <si>
    <t>CCU - 01.002</t>
  </si>
  <si>
    <t>01.03.502</t>
  </si>
  <si>
    <t>DAS ENSECADEIRAS</t>
  </si>
  <si>
    <t>01.03.503</t>
  </si>
  <si>
    <t xml:space="preserve">DE PAVIMENTAÇÃO  </t>
  </si>
  <si>
    <t>CCU - 01.003</t>
  </si>
  <si>
    <t xml:space="preserve">PROJETO EXECUTIVO DE PAVIMENTAÇÃO, INCLUSO CADASTRAMENTO E AVALIAÇÃO DO PAVIMENTO EXISTENTE, LEVANTAMENO DE DANOS, SOLUÇÕES, QUANTITATIVOS, MEMORIA DE CÁLCULO, AVALIAÇÃO DO DIMENSIONAMENTO DA CAPA, RELATÓRIOS, ESPECIFICAÇÕES TÉCNICAS E PROCEDIMENTOS EXECUTIVOS. INCLUSO TODAS AS TAXAS E DESPESAS PARA APROVAÇÕES E LICENCIAMENTOS    </t>
  </si>
  <si>
    <t>01.03.504</t>
  </si>
  <si>
    <t xml:space="preserve">DE SINALIZAÇÃO E ESTUDO DE IMPACTO DE TRANSITO     </t>
  </si>
  <si>
    <t>CCU - 01.004</t>
  </si>
  <si>
    <t>CCU - 01.005</t>
  </si>
  <si>
    <t xml:space="preserve">ESTUDO DE IMPACTO DE TRANSITO DURANTE A INTERDIÇÃO DA PONTE   </t>
  </si>
  <si>
    <t>CCU - 01.006</t>
  </si>
  <si>
    <t xml:space="preserve">PROJETO EXECUTIVO PARA SUBSTITUIÇÃO DO SISTEMA DE TIRANTES/ESTAIS, ALTERNATIVAS ÁS ORIGINAIS, CERTIFICADAS QUANTO A ESTANQUEIDADE, INCLUSIVE RELATÓRIO DAS FORÇAS ATUAIS E PÓS SERVIÇO EXECUTADO. INCLUINDO MEMÓRIA DE CÁLCULO, QUANTITATIVOS, ESPECIFICAÇÕES TÉCNICAS PROCEDIMENTOS DA MONTAGEM E DESMONTAGEM INCLUSO TODAS AS TAXAS E DESPESAS NECESSARIAS PARA ELABORAÇÃO E APROVAÇÕES.   </t>
  </si>
  <si>
    <t>CCU - 01.007</t>
  </si>
  <si>
    <t>CCU - 01.008</t>
  </si>
  <si>
    <t>CCU - 01.009</t>
  </si>
  <si>
    <t>CCU - 01.010</t>
  </si>
  <si>
    <t>CCU - 01.011</t>
  </si>
  <si>
    <t xml:space="preserve">PROJETO EXECUTIVO DOS PILARES    </t>
  </si>
  <si>
    <t>CCU - 01.012</t>
  </si>
  <si>
    <t>CCU - 01.013</t>
  </si>
  <si>
    <t>CCU - 01.014</t>
  </si>
  <si>
    <t xml:space="preserve">PROJETO EXECUTIVO DE PINTURA DA PONTE JK      </t>
  </si>
  <si>
    <t xml:space="preserve">PROJETO EXECUTIVO DE PINTURA DE TODA A EXTRUTURA DA PONTE JK. INCLUSO, ESPECIFICAÇÕES TÉCNICAS, TODAS AS TAXAS E DESPESAS PARA APROVAÇÕES E LICENCIAMENTOS.  </t>
  </si>
  <si>
    <t xml:space="preserve">PROJETO EXECUTIVO PLATAFORMA DE ACESSO PARA EXECUÇÃO DA PINTURA E PASSARELA FLUTUANTE        </t>
  </si>
  <si>
    <t xml:space="preserve">ELABORAÇÃO DE PLANEJAMENTO E PLANO DE ATAQUE EXECUTIVO  </t>
  </si>
  <si>
    <t>CCU - 01.015</t>
  </si>
  <si>
    <t xml:space="preserve">TAXAS DE IMPLANTAÇÃO DO CANTEIRO DE OBRA       </t>
  </si>
  <si>
    <t xml:space="preserve">PLANEJAMENTO E CONTROLE     </t>
  </si>
  <si>
    <t xml:space="preserve">EMOLUMENTOS    </t>
  </si>
  <si>
    <t>T.C.SICRO.CM01</t>
  </si>
  <si>
    <t xml:space="preserve">CONSULTOR ESPECIAL     </t>
  </si>
  <si>
    <t>P9903</t>
  </si>
  <si>
    <t>AUXILIAR TÉCNICO</t>
  </si>
  <si>
    <t xml:space="preserve">ACESSOS PROVISÓRIOS                                          </t>
  </si>
  <si>
    <t>CCU - 02.023</t>
  </si>
  <si>
    <t>P9801</t>
  </si>
  <si>
    <t>M0047</t>
  </si>
  <si>
    <t>M0310</t>
  </si>
  <si>
    <t>M0868</t>
  </si>
  <si>
    <t>M1205</t>
  </si>
  <si>
    <t>M1656</t>
  </si>
  <si>
    <t>M1850</t>
  </si>
  <si>
    <t>M3242</t>
  </si>
  <si>
    <t>TAMBOR DE AÇO COM CAPACIDADE DE 200 L</t>
  </si>
  <si>
    <t>CHAMORRO</t>
  </si>
  <si>
    <t>(14) 3203-6586</t>
  </si>
  <si>
    <t>contato@chamorrotambores.com.br</t>
  </si>
  <si>
    <t>SÓ ÓLEO</t>
  </si>
  <si>
    <t>(61) 3361-4388</t>
  </si>
  <si>
    <t>RICARDO</t>
  </si>
  <si>
    <t>01.03.502.1</t>
  </si>
  <si>
    <t>01.03.503.1</t>
  </si>
  <si>
    <t>01.03.504.1</t>
  </si>
  <si>
    <t>01.03.504.2</t>
  </si>
  <si>
    <t>01.03.505</t>
  </si>
  <si>
    <t>01.03.505.1</t>
  </si>
  <si>
    <t>01.03.506</t>
  </si>
  <si>
    <t>01.03.506.1</t>
  </si>
  <si>
    <t>01.03.507</t>
  </si>
  <si>
    <t>01.03.507.1</t>
  </si>
  <si>
    <t>01.03.508</t>
  </si>
  <si>
    <t>01.03.508.1</t>
  </si>
  <si>
    <t>01.03.509</t>
  </si>
  <si>
    <t>01.03.509.1</t>
  </si>
  <si>
    <t>01.03.510</t>
  </si>
  <si>
    <t>01.03.510.1</t>
  </si>
  <si>
    <t>01.03.511.1</t>
  </si>
  <si>
    <t>01.03.511</t>
  </si>
  <si>
    <t>01.03.512</t>
  </si>
  <si>
    <t>01.03.512.1</t>
  </si>
  <si>
    <t>01.03.513</t>
  </si>
  <si>
    <t>01.03.513.1</t>
  </si>
  <si>
    <t>02.01.302.1</t>
  </si>
  <si>
    <t>02.01.303.2</t>
  </si>
  <si>
    <t>02.01.303.1</t>
  </si>
  <si>
    <t>02.01.303.5</t>
  </si>
  <si>
    <t>CCU - 02.024</t>
  </si>
  <si>
    <t xml:space="preserve">ESCADA DE MADEIRA PARA ECESSO A PLATAFORMA NO TOPO DOS PILARES APOIADA NA ESTRUTURA DE CONCRETO UTILIZAÇÃO DE 5 VEZES - CONFECÇÃO, INSTALAÇÃO E RETIRADA </t>
  </si>
  <si>
    <t>M0018</t>
  </si>
  <si>
    <t>M0019</t>
  </si>
  <si>
    <t>M0284</t>
  </si>
  <si>
    <t>M0286</t>
  </si>
  <si>
    <t>M0804</t>
  </si>
  <si>
    <t>CCU - 02.025</t>
  </si>
  <si>
    <t>PLATAFORMA DE TRABALHO SUSPENSA FIXADA NOS PILARES INCLINADOS DA PONTE COM TRELIÇAS METÁLICAS E TÁBUAS - UTILIZAÇÃO DE 100  VEZES - CONFECÇÃO, INSTALAÇÃO E RETIRADA</t>
  </si>
  <si>
    <t>P9823</t>
  </si>
  <si>
    <t>M0408</t>
  </si>
  <si>
    <t>M0945</t>
  </si>
  <si>
    <t>CJ</t>
  </si>
  <si>
    <t>M2488</t>
  </si>
  <si>
    <t>M2489</t>
  </si>
  <si>
    <t>M2580</t>
  </si>
  <si>
    <t>CCU - 02.026</t>
  </si>
  <si>
    <t>CCU - 02.027</t>
  </si>
  <si>
    <t>P9807</t>
  </si>
  <si>
    <t>PLATAFORMA DE TRABALHO SUSPENSA SOB TABULEIRO DE PONTES COM TRELIÇAS METÁLICAS E TÁBUAS - UTILIZAÇÃO DE 100 VEZES - CONFECÇÃO, INSTALAÇÃO E RETIRADA</t>
  </si>
  <si>
    <t>CCU - 02.028</t>
  </si>
  <si>
    <t xml:space="preserve">DEMOLIÇÃO  </t>
  </si>
  <si>
    <t xml:space="preserve">FUNDAÇÕES E ESTRUTURAS DE CONCRETO  </t>
  </si>
  <si>
    <t>02.02.112.1</t>
  </si>
  <si>
    <t>PAVIMENTAÇÕES - CAUQ</t>
  </si>
  <si>
    <t xml:space="preserve"> 02. 02.330              </t>
  </si>
  <si>
    <t xml:space="preserve">CARGA, TRANSPORTE, DESCARGA E ESPALHAMENTO DE MATERIAIS PROVENIENTES DE DEMOLIÇÃO  </t>
  </si>
  <si>
    <t>02.02.330.3</t>
  </si>
  <si>
    <t>02.02.330.4</t>
  </si>
  <si>
    <t>CCU - 02.029</t>
  </si>
  <si>
    <t>KG.KM</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</si>
  <si>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</si>
  <si>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</si>
  <si>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</si>
  <si>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</si>
  <si>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</si>
  <si>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</si>
  <si>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</si>
  <si>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</si>
  <si>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</si>
  <si>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</si>
  <si>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</si>
  <si>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</si>
  <si>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</si>
  <si>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</si>
  <si>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</si>
  <si>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</si>
  <si>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</si>
  <si>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</si>
  <si>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</si>
  <si>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EXCLUSIVE FECHADURA, FIXAÇÃO COM PREENCHIMENTO PARCIAL DE ESPUMA EXPANSIVA - FORNECIMENTO E INSTALAÇÃO. AF_12/2019</t>
  </si>
  <si>
    <t>KIT DE PORTA-PRONTA DE MADEIRA EM ACABAMENTO MELAMÍNICO BRANCO, FOLHA PESADA OU SUPERPESADA, 90X210CM, EXCLUSIVE FECHADURA, FIXAÇÃO COM PREENCHIMENTO TOTAL DE ESPUMA EXPANSIVA - FORNECIMENTO E INSTALAÇÃO. AF_12/2019</t>
  </si>
  <si>
    <t>KIT DE PORTA-PRONTA DE MADEIRA EM ACABAMENTO MELAMÍNICO BRANCO, FOLHA LEVE OU MÉDIA, E BATENTE METÁLICO, 70X210CM,  EXCLUSIVE FECHADURA, FIXAÇÃO COM ARGAMASSA - FORNECIMENTO E INSTALAÇÃO. AF_12/2019</t>
  </si>
  <si>
    <t>KIT DE PORTA-PRONTA DE MADEIRA EM ACABAMENTO MELAMÍNICO BRANCO, FOLHA LEVE OU MÉDIA, E BATENTE METÁLICO, 80X210CM, EXCLUSIVE FECHADURA, FIXAÇÃO COM ARGAMASSA - FORNECIMENTO E INSTALAÇÃO. AF_12/2019</t>
  </si>
  <si>
    <t>KIT DE PORTA-PRONTA DE MADEIRA EM ACABAMENTO MELAMÍNICO BRANCO, FOLHA LEVE OU MÉDIA, E BATENTE METÁLICO, 90X210CM,  EXCLUSIVE FECHADURA, FIXAÇÃO COM ARGAMASSA - FORNECIMENTO E INSTALAÇÃO. AF_12/2019</t>
  </si>
  <si>
    <t>KIT DE PORTA-PRONTA DE MADEIRA EM ACABAMENTO MELAMÍNICO BRANCO, FOLHA PESADA OU SUPERPESADA, E BATENTE METÁLICO, 80X210CM, EXCLUSIVE FECHADURA, FIXAÇÃO COM ARGAMASSA - FORNECIMENTO E INSTALAÇÃO. AF_12/2019</t>
  </si>
  <si>
    <t>KIT DE PORTA-PRONTA DE MADEIRA EM ACABAMENTO MELAMÍNICO BRANCO, FOLHA PESADA OU SUPERPESADA, E BATENTE METÁLICO, 90X210CM, EXCLUSIVE FECHADURA, FIXAÇÃO COM ARGAMASSA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</si>
  <si>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</si>
  <si>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</si>
  <si>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</si>
  <si>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</si>
  <si>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</si>
  <si>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</si>
  <si>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</si>
  <si>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</si>
  <si>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</si>
  <si>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</si>
  <si>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</si>
  <si>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</si>
  <si>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</si>
  <si>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</si>
  <si>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</si>
  <si>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</si>
  <si>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</si>
  <si>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</si>
  <si>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</si>
  <si>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</si>
  <si>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</si>
  <si>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</si>
  <si>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</si>
  <si>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</si>
  <si>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</si>
  <si>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</si>
  <si>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</si>
  <si>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</si>
  <si>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</si>
  <si>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</si>
  <si>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</si>
  <si>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</si>
  <si>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</si>
  <si>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</si>
  <si>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</si>
  <si>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</si>
  <si>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</si>
  <si>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</si>
  <si>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</si>
  <si>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</si>
  <si>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</si>
  <si>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</si>
  <si>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</si>
  <si>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</si>
  <si>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</si>
  <si>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</si>
  <si>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</si>
  <si>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</si>
  <si>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</si>
  <si>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</si>
  <si>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</si>
  <si>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</si>
  <si>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</si>
  <si>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</si>
  <si>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</si>
  <si>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</si>
  <si>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</si>
  <si>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</si>
  <si>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</si>
  <si>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</si>
  <si>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</si>
  <si>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</si>
  <si>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</si>
  <si>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BANDEIRA PARA PORTA EM MADEIRA.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</si>
  <si>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</si>
  <si>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</si>
  <si>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</si>
  <si>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</si>
  <si>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</si>
  <si>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</si>
  <si>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</si>
  <si>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</si>
  <si>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</si>
  <si>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</si>
  <si>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</si>
  <si>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</si>
  <si>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</si>
  <si>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</si>
  <si>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</si>
  <si>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</si>
  <si>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</si>
  <si>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</si>
  <si>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</si>
  <si>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</si>
  <si>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</si>
  <si>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</si>
  <si>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</si>
  <si>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</si>
  <si>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</si>
  <si>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</si>
  <si>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</si>
  <si>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</si>
  <si>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</si>
  <si>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</si>
  <si>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</si>
  <si>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</si>
  <si>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JANELA DE MADEIRA (CEDRINHO/ANGELIM OU EQUIV.) DE CORRER COM 4 FOLHAS (2 VENEZIANAS PANTOGRÁFICAS DE CORRER E 2 DE CORRER PARA VIDROS), COM BATENTE, ALIZAR E FERRAGENS. EXCLUSIVE VIDROS, ACABAMENTO E CONTRAMARCO. FORNECIMENTO E 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</si>
  <si>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</si>
  <si>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</si>
  <si>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2 FOLHAS PARA VIDRO, COM VIDROS, BATENTE, FERRAGENS E PINTURAS ANTICORROSIVA E DE ACABAMENTO. EXCLUSIVE ALIZAR E CONTRAMARCO. FORNECIMENTO E INSTALAÇÃO. AF_12/2019</t>
  </si>
  <si>
    <t>JANELA DE AÇO DE CORRER COM 4 FOLHAS PARA VIDRO, COM BATENTE, FERRAGENS E PINTURA ANTICORROSIVA. EXCLUSIVE VIDROS, ALIZAR E CONTRAMARCO. FORNECIMENTO E INSTALAÇÃO. AF_12/2019</t>
  </si>
  <si>
    <t>JANELA DE AÇO DE CORRER COM 6 FOLHAS (4 VENEZIANAS E 2 PARA VIDRO), COM VIDROS, BATENTE, FERRAGENS E PINTURAS ANTICORROSIVA E DE ACABAMENTO. EXCLUSIVE ALIZAR E CONTRAMARCO. FORNECIMENTO E INSTALAÇÃO. AF_12/2019</t>
  </si>
  <si>
    <t>CONTRAMARCO DE AÇO, FIXAÇÃO COM ARGAMASSA - FORNECIMENTO E INSTALAÇÃO. AF_12/2019</t>
  </si>
  <si>
    <t>CONTRAMARCO DE AÇO, FIXAÇÃO COM PARAFUSO - FORNECIMENTO E INSTALAÇÃO.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</si>
  <si>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</si>
  <si>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</si>
  <si>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</si>
  <si>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</si>
  <si>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</si>
  <si>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</si>
  <si>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</si>
  <si>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</si>
  <si>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</si>
  <si>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</si>
  <si>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</si>
  <si>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</si>
  <si>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</si>
  <si>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</si>
  <si>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</si>
  <si>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</si>
  <si>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</si>
  <si>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</si>
  <si>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</si>
  <si>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</si>
  <si>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</si>
  <si>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ESTACA HÉLICE CONTÍNUA, DIÂMETRO DE 30 CM, INCLUSO CONCRETO FCK=20MPA E ARMADURA MÍNIMA (EXCLUSIVE MOBILIZAÇÃO E DESMOBILIZAÇÃO). AF_12/2019</t>
  </si>
  <si>
    <t>ESTACA HÉLICE CONTÍNUA , DIÂMETRO DE 50 CM, INCLUSO CONCRETO FCK=20MPA E ARMADURA MÍNIMA (EXCLUSIVE MOBILIZAÇÃO E DESMOBILIZAÇÃO). AF_12/2019</t>
  </si>
  <si>
    <t>ESTACA HÉLICE CONTÍNUA, DIÂMETRO DE 70 CM, INCLUSO CONCRETO FCK=20MPA E ARMADURA MÍNIMA (EXCLUSIVE MOBILIZAÇÃO E DESMOBILIZAÇÃO). AF_12/2019</t>
  </si>
  <si>
    <t>ESTACA HÉLICE CONTÍNUA, DIÂMETRO DE 80 CM, INCLUSO CONCRETO FCK=20MPA E ARMADURA MÍNIMA (EXCLUSIVE MOBILIZAÇÃO E DESMOBILIZAÇÃO). AF_12/2019.</t>
  </si>
  <si>
    <t>ESTACA HÉLICE CONTÍNUA, DIÂMETRO DE 90 CM, INCLUSO CONCRETO FCK=20MPA E ARMADURA MÍNIMA (EXCLUSIVE MOBILIZAÇÃO E DESMOBILIZAÇÃO).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</si>
  <si>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</si>
  <si>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</si>
  <si>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</si>
  <si>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</si>
  <si>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</si>
  <si>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</si>
  <si>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</si>
  <si>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</si>
  <si>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</si>
  <si>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</si>
  <si>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</si>
  <si>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</si>
  <si>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</si>
  <si>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</si>
  <si>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</si>
  <si>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</si>
  <si>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</si>
  <si>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</si>
  <si>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</si>
  <si>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</si>
  <si>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</si>
  <si>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</si>
  <si>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</si>
  <si>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</si>
  <si>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</si>
  <si>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</si>
  <si>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</si>
  <si>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</si>
  <si>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</si>
  <si>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</si>
  <si>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</si>
  <si>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</si>
  <si>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</si>
  <si>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</si>
  <si>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</si>
  <si>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</si>
  <si>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</si>
  <si>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</si>
  <si>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</si>
  <si>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</si>
  <si>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</si>
  <si>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</si>
  <si>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</si>
  <si>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</si>
  <si>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</si>
  <si>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</si>
  <si>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</si>
  <si>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</si>
  <si>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</si>
  <si>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</si>
  <si>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</si>
  <si>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</si>
  <si>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</si>
  <si>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</si>
  <si>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</si>
  <si>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</si>
  <si>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</si>
  <si>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</si>
  <si>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</si>
  <si>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</si>
  <si>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</si>
  <si>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</si>
  <si>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</si>
  <si>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</si>
  <si>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</si>
  <si>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</si>
  <si>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</si>
  <si>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</si>
  <si>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</si>
  <si>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</si>
  <si>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</si>
  <si>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</si>
  <si>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</si>
  <si>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</si>
  <si>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</si>
  <si>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</si>
  <si>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</si>
  <si>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</si>
  <si>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</si>
  <si>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</si>
  <si>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</si>
  <si>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</si>
  <si>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</si>
  <si>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</si>
  <si>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</si>
  <si>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</si>
  <si>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</si>
  <si>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CAIXA DE PASSAGEM PARA TELEFONE 150X150X15CM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</si>
  <si>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</si>
  <si>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</si>
  <si>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</si>
  <si>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</si>
  <si>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</si>
  <si>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</si>
  <si>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</si>
  <si>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</si>
  <si>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</si>
  <si>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</si>
  <si>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</si>
  <si>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</si>
  <si>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</si>
  <si>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</si>
  <si>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</si>
  <si>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</si>
  <si>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</si>
  <si>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</si>
  <si>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</si>
  <si>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MELHORADO COM CIMENTO (TEOR DE 2%) - EXCLUSIVE  SOLO, ESCAVAÇÃO, CARGA E TRANSPORTE. AF_11/2019</t>
  </si>
  <si>
    <t>EXECUÇÃO E COMPACTAÇÃO DE BASE E OU SUB BASE PARA PAVIMENTAÇÃO DE SOLO (PREDOMINANTEMENTE ARENOSO) MELHORADO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</si>
  <si>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</si>
  <si>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</si>
  <si>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</si>
  <si>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</si>
  <si>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</si>
  <si>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ESCAVAÇÃO, CARGA E TRANSPORTE. AF_11/2019</t>
  </si>
  <si>
    <t>EXECUÇÃO E COMPACTAÇÃO DE BASE E OU SUB BASE PARA PAVIMENTAÇÃO DE MACADAME SECO - EXCLUSIVE CARGA E TRANSPORTE. AF_11/2019</t>
  </si>
  <si>
    <t>EXECUÇÃO DE IMPRIMAÇÃO COM ASFALTO DILUÍDO CM-30.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</si>
  <si>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</si>
  <si>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</si>
  <si>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</si>
  <si>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</si>
  <si>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</si>
  <si>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</si>
  <si>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</si>
  <si>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</si>
  <si>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</si>
  <si>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</si>
  <si>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</si>
  <si>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</si>
  <si>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</si>
  <si>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</si>
  <si>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</si>
  <si>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</si>
  <si>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</si>
  <si>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</si>
  <si>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</si>
  <si>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</si>
  <si>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</si>
  <si>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</si>
  <si>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</si>
  <si>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</si>
  <si>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</si>
  <si>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</si>
  <si>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</si>
  <si>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</si>
  <si>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</si>
  <si>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</si>
  <si>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</si>
  <si>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</si>
  <si>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</si>
  <si>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</si>
  <si>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</si>
  <si>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</si>
  <si>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</si>
  <si>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</si>
  <si>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</si>
  <si>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</si>
  <si>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</si>
  <si>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</si>
  <si>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</si>
  <si>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</si>
  <si>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</si>
  <si>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</si>
  <si>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</si>
  <si>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</si>
  <si>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</si>
  <si>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</si>
  <si>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</si>
  <si>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</si>
  <si>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</si>
  <si>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</si>
  <si>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</si>
  <si>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</si>
  <si>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</si>
  <si>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</si>
  <si>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</si>
  <si>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</si>
  <si>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</si>
  <si>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</si>
  <si>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</si>
  <si>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</si>
  <si>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</si>
  <si>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</si>
  <si>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</si>
  <si>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</si>
  <si>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</si>
  <si>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</si>
  <si>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</si>
  <si>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</si>
  <si>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</si>
  <si>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</si>
  <si>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</si>
  <si>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</si>
  <si>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</si>
  <si>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</si>
  <si>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</si>
  <si>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</si>
  <si>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</si>
  <si>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</si>
  <si>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</si>
  <si>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</si>
  <si>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</si>
  <si>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</si>
  <si>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</si>
  <si>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</si>
  <si>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</si>
  <si>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</si>
  <si>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</si>
  <si>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</si>
  <si>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</si>
  <si>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</si>
  <si>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</si>
  <si>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</si>
  <si>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</si>
  <si>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</si>
  <si>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</si>
  <si>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</si>
  <si>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</si>
  <si>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</si>
  <si>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</si>
  <si>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</si>
  <si>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</si>
  <si>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</si>
  <si>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</si>
  <si>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</si>
  <si>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</si>
  <si>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</si>
  <si>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</si>
  <si>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</si>
  <si>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</si>
  <si>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</si>
  <si>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</si>
  <si>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</si>
  <si>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</si>
  <si>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</si>
  <si>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</si>
  <si>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</si>
  <si>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</si>
  <si>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</si>
  <si>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</si>
  <si>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</si>
  <si>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</si>
  <si>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</si>
  <si>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</si>
  <si>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</si>
  <si>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</si>
  <si>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</si>
  <si>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</si>
  <si>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</si>
  <si>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</si>
  <si>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</si>
  <si>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</si>
  <si>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</si>
  <si>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</si>
  <si>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</si>
  <si>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</si>
  <si>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</si>
  <si>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</si>
  <si>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</si>
  <si>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</si>
  <si>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</si>
  <si>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</si>
  <si>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</si>
  <si>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</si>
  <si>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</si>
  <si>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</si>
  <si>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</si>
  <si>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</si>
  <si>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</si>
  <si>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</si>
  <si>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</si>
  <si>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</si>
  <si>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</si>
  <si>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M.O.</t>
  </si>
  <si>
    <t>TECNICO DE EDIFICACOES COM ENCARGOS COMPLEMENTARES</t>
  </si>
  <si>
    <t>CURSO DE CAPACITAÇÃO PARA TECNICO DE EDIFICACOES (ENCARGOS COMPLEMENTARES) - HORISTA</t>
  </si>
  <si>
    <t>CURSO DE CAPACITAÇÃO PARA TECNICO DE EDIFICACOES (ENCARGOS COMPLEMENTARES) - MENSALISTA</t>
  </si>
  <si>
    <t>5,1000000</t>
  </si>
  <si>
    <t>0,0250000</t>
  </si>
  <si>
    <t>4,6000000</t>
  </si>
  <si>
    <t>8,2600000</t>
  </si>
  <si>
    <t>15,2800000</t>
  </si>
  <si>
    <t>1,5000000</t>
  </si>
  <si>
    <t>CCA - 004</t>
  </si>
  <si>
    <t>0,0128000</t>
  </si>
  <si>
    <t>REF: 100198 SINAPI DEZEMBRO 2019</t>
  </si>
  <si>
    <t>CCU - 02.030</t>
  </si>
  <si>
    <t>REF: 72897 SINAPI DEZEMBRO 2019</t>
  </si>
  <si>
    <t>CARGA MANUAL DE ENTULHO EM CARRINHO PLATAFORMA</t>
  </si>
  <si>
    <t xml:space="preserve">FUNDAÇÕES E ESTRUTURAS  </t>
  </si>
  <si>
    <t xml:space="preserve">FUNDAÇÕES  </t>
  </si>
  <si>
    <t xml:space="preserve">ARMADURA DE PROTENSÃO  </t>
  </si>
  <si>
    <t xml:space="preserve">ANCORAGENS  </t>
  </si>
  <si>
    <t xml:space="preserve">REF: </t>
  </si>
  <si>
    <t>CCA - 005</t>
  </si>
  <si>
    <t>P9825</t>
  </si>
  <si>
    <t>P9860</t>
  </si>
  <si>
    <t>M0424</t>
  </si>
  <si>
    <t>M1387</t>
  </si>
  <si>
    <t>M0511</t>
  </si>
  <si>
    <t xml:space="preserve">ARMAÇÃO DOS BLOCOS                                           </t>
  </si>
  <si>
    <t xml:space="preserve">FORMA DOS BLOCOS                                             </t>
  </si>
  <si>
    <t xml:space="preserve">CONCRETO DOS BLOCOS                                          </t>
  </si>
  <si>
    <t xml:space="preserve">FUROS EM CONCRETO                                            </t>
  </si>
  <si>
    <t>CCA - 006</t>
  </si>
  <si>
    <t>COTAÇÃO-015</t>
  </si>
  <si>
    <t>COTAÇÃO-016</t>
  </si>
  <si>
    <t>M0083</t>
  </si>
  <si>
    <t xml:space="preserve">PILARES                                                      </t>
  </si>
  <si>
    <t>M1392</t>
  </si>
  <si>
    <t>CCA - 007</t>
  </si>
  <si>
    <t>FIXAÇÃO DE TABULEROS COM CHAPAS DE AÇO SAC-350 ENTRE MONTATES DO TRECHO ENTRE ARCOS, PARA GARANTIR A CONTINUIDADE E TRANSFERÊNCIA ESFORÇOS. INCLUSO MATERIAL, SERVIÇO DE SOLDAGEM E DETALHES DE FABRICAÇÃO/MONTAGEM. CONFORME PROJETO BÁSICO.</t>
  </si>
  <si>
    <t>CM2</t>
  </si>
  <si>
    <t>COTAÇÃO-017</t>
  </si>
  <si>
    <t xml:space="preserve">CHAPA AÇO GROSSA USI SAC 350                                 </t>
  </si>
  <si>
    <t>CCA - 008</t>
  </si>
  <si>
    <t>03.02.775.1</t>
  </si>
  <si>
    <t>M0128</t>
  </si>
  <si>
    <t>03.02.780.1</t>
  </si>
  <si>
    <t>03.02.780.2</t>
  </si>
  <si>
    <t>03.02.780.3</t>
  </si>
  <si>
    <t>03.02.780.4</t>
  </si>
  <si>
    <t>M1965</t>
  </si>
  <si>
    <t>CCA - 009</t>
  </si>
  <si>
    <t xml:space="preserve">ESTAIAMENTO DE PONTES E VIADUTOS                                </t>
  </si>
  <si>
    <t xml:space="preserve">DESMONTAGEM DO SISTEMA                                       </t>
  </si>
  <si>
    <t>03.06.010.1</t>
  </si>
  <si>
    <t>REMOÇÃO DE TUBO PEAD PARA ESTAIS - D = 225 MM - EXECUÇÃO</t>
  </si>
  <si>
    <t>03.06.010.2</t>
  </si>
  <si>
    <t>03.06.010.3</t>
  </si>
  <si>
    <t>03.06.010.4</t>
  </si>
  <si>
    <t>03.06.010.5</t>
  </si>
  <si>
    <t xml:space="preserve">DESMONTAGEM DA ANCORAGEM ATIVA/REGULAVEL DE 55 CORDOALHAS NOS ARCOS. EXECUÇÃO  </t>
  </si>
  <si>
    <t xml:space="preserve">DESMONTAGEM DE ANCORAGEM, FIXA, NO TABULEIRO PARA 31 CORDOALHAS. SERVIÇO DE DESMONTAGEM </t>
  </si>
  <si>
    <t xml:space="preserve">DESMONTAGEM DE ANCORAGEM ATIVA PARA 31 CORDOALHAS NOS ARCOS. EXECUÇÃO  </t>
  </si>
  <si>
    <t>REMOÇÃO DE TUBO ANTIVANDALISMO PARA ESTAIS EM AÇO GALVANIZADO PARA 43 CORDOALHAS D = 15,7 MM - EXECUÇÃO</t>
  </si>
  <si>
    <t xml:space="preserve">RETIRADA DE CORDOALHA DOS ESTAIS COM CORTE EM OXIACETILENO. EXECUÇÃO </t>
  </si>
  <si>
    <t>P9805</t>
  </si>
  <si>
    <t>CCA - 010</t>
  </si>
  <si>
    <t xml:space="preserve">CORTE DE CORDOALHA 15,2MM COM MAÇARICO OXIACETILENO. </t>
  </si>
  <si>
    <t>M1795</t>
  </si>
  <si>
    <t>M1796</t>
  </si>
  <si>
    <t>03.06.010.6</t>
  </si>
  <si>
    <t>03.06.010.7</t>
  </si>
  <si>
    <t>03.06.010.8</t>
  </si>
  <si>
    <t>03.06.010.9</t>
  </si>
  <si>
    <t>03.06.010.10</t>
  </si>
  <si>
    <t xml:space="preserve">SISTEMA DE ESTAIS/TIRANTES                                   </t>
  </si>
  <si>
    <t xml:space="preserve">ANCORAGENS                                                   </t>
  </si>
  <si>
    <t>03.06.012.1</t>
  </si>
  <si>
    <t>03.06.012.2</t>
  </si>
  <si>
    <t>03.06.012.3</t>
  </si>
  <si>
    <t>03.06.012.4</t>
  </si>
  <si>
    <t>03.06.012.5</t>
  </si>
  <si>
    <t>03.06.012.6</t>
  </si>
  <si>
    <t>03.06.012.7</t>
  </si>
  <si>
    <t>03.06.012.8</t>
  </si>
  <si>
    <t>CCU - 03.006</t>
  </si>
  <si>
    <t>CCU - 03.007</t>
  </si>
  <si>
    <t>CCU - 03.008</t>
  </si>
  <si>
    <t>CCU - 03.009</t>
  </si>
  <si>
    <t>CCU - 03.010</t>
  </si>
  <si>
    <t>CCU - 03.011</t>
  </si>
  <si>
    <t>CCU - 03.012</t>
  </si>
  <si>
    <t>CCU - 03.013</t>
  </si>
  <si>
    <t>CCU - 03.014</t>
  </si>
  <si>
    <t>CCU - 03.015</t>
  </si>
  <si>
    <t>CCU - 03.016</t>
  </si>
  <si>
    <t>CCU - 03.017</t>
  </si>
  <si>
    <t>CCU - 03.018</t>
  </si>
  <si>
    <t>CCU - 03.023</t>
  </si>
  <si>
    <t>CCU - 03.024</t>
  </si>
  <si>
    <t>CCU - 03.025</t>
  </si>
  <si>
    <t>CCU - 03.026</t>
  </si>
  <si>
    <t>CCU - 03.027</t>
  </si>
  <si>
    <t>CCU - 03.028</t>
  </si>
  <si>
    <t>CCU - 03.029</t>
  </si>
  <si>
    <t>CCU - 03.030</t>
  </si>
  <si>
    <t>CCU - 03.031</t>
  </si>
  <si>
    <t>REF: 4208199 SICRO JULHO 2019</t>
  </si>
  <si>
    <t>M1066</t>
  </si>
  <si>
    <t>EXECUÇÃO DA ANCORAGEM PARA ESTAIS, FIXA, PARA 43 CORDOALHAS D = 15,7 MM COM INJEÇÃO DE CERA. EXCLUINDO A ANCORAGEM.</t>
  </si>
  <si>
    <t>CCU - 03.032</t>
  </si>
  <si>
    <t>EXECUÇÃO DE ANCORAGEM PARA ESTAIS, REGULÁVEL, PARA 43 CORDOALHAS D = 15,7 MM COM PROTENSÃO, INJEÇÃO DE CERA E REGULAGEM FINAL. EXCLUINDO A ANCORAGEM.</t>
  </si>
  <si>
    <t>REF: 4208203 SICRO JULHO 2019</t>
  </si>
  <si>
    <t xml:space="preserve">PRODUÇÃO DA EQUIPE 0,16807 </t>
  </si>
  <si>
    <t xml:space="preserve">PRODUÇÃO DA EQUIPE 0,11111 </t>
  </si>
  <si>
    <t>CCU - 03.033</t>
  </si>
  <si>
    <t>PRODUÇÃO DA EQUIPE 0,18727</t>
  </si>
  <si>
    <t>REF: 4208159 SICRO JULHO 2019</t>
  </si>
  <si>
    <t>REF: 4208152 SICRO JULHO 2019</t>
  </si>
  <si>
    <t>PRODUÇÃO DA EQUIPE 0,12500</t>
  </si>
  <si>
    <t>EXECUÇÃO DE ANCORAGEM PARA ESTAIS, FIXA, PARA 31 CORDOALHAS D = 15,7 MM COM INJEÇÃO DE CERA. EXCLUINDO A ANCORAGEM.</t>
  </si>
  <si>
    <t>EXECUÇÃO ANCORAGEM PARA ESTAIS, REGULÁVEL, PARA 31 CORDOALHAS D = 15,7 MM COM PROTENSÃO, INJEÇÃO DE CERA E REGULAGEM FINAL. EXCLUINDO A ANCORAGEM.</t>
  </si>
  <si>
    <t>CCU - 03.034</t>
  </si>
  <si>
    <t>CCU - 03.035</t>
  </si>
  <si>
    <t>ANCORAGEM PARA ESTAIS, FIXA, PARA 43 CORDOALHAS D = 15,7 MM . FORNECIMENTO E TRANSPORTE</t>
  </si>
  <si>
    <t>COTAÇÃO-018</t>
  </si>
  <si>
    <t>CCU - 03.036</t>
  </si>
  <si>
    <t xml:space="preserve">ANCORAGEM PARA ESTAIS, REGULÁVEL, PARA 43 CORDOALHAS D=15,7MM. FORNECIMENTO E TRANSPORTE </t>
  </si>
  <si>
    <t>COTAÇÃO-019</t>
  </si>
  <si>
    <t xml:space="preserve">ANCORAGEM PARA ESTAIS REGULÁVEL TSR PARA 43 CORDOALHAS - D = 15,7 MM </t>
  </si>
  <si>
    <t xml:space="preserve">ANCORAGEM PARA ESTAIS FIXA TSR PARA 43 CORDOALHAS - D = 15,7 MM - FORNECIMENTO                                 </t>
  </si>
  <si>
    <t>CCU - 03.037</t>
  </si>
  <si>
    <t>COTAÇÃO-020</t>
  </si>
  <si>
    <t xml:space="preserve">ANCORAGEM PARA ESTAIS FIXA TSR PARA 31 CORDOALHAS - D = 15,7 </t>
  </si>
  <si>
    <t xml:space="preserve">ANCORAGEM PARA ESTAIS FIXA TSR PARA 31 CORDOALHAS - D = 15,7. FORNECIMENTO E TRANSPORTE </t>
  </si>
  <si>
    <t>COTAÇÃO-021</t>
  </si>
  <si>
    <t xml:space="preserve">ANCORAGEM PARA ESTAIS REGULÁVEL TSR PARA 31 CORDOALHAS - D = 15,7 MM </t>
  </si>
  <si>
    <t xml:space="preserve">ANCORAGEM PARA ESTAIS, REGULÁVEL, PARA 31 CORDOALHAS D = 15,7MM. FORNECIMENTO E TRANSPORTE  </t>
  </si>
  <si>
    <t>CCU - 03.038</t>
  </si>
  <si>
    <t xml:space="preserve">TUBO ANTIVANDALISMO                                          </t>
  </si>
  <si>
    <t>CCU - 03.039</t>
  </si>
  <si>
    <t>REF: 4208140 SICRO JULHO 2019</t>
  </si>
  <si>
    <t>PRODUÇÃO DA EQUIPE 1,05</t>
  </si>
  <si>
    <t>03.06.013.1</t>
  </si>
  <si>
    <t>CCU - 03.040</t>
  </si>
  <si>
    <t>COTAÇÃO-022</t>
  </si>
  <si>
    <t xml:space="preserve">TUBO ANTIVANDALISMO PARA ESTAIS EM AÇO GALVANIZADO PARA 43 CORDOALHAS D = 15,7 MM - FORNECIMENTO E TRANSPORTE </t>
  </si>
  <si>
    <t xml:space="preserve">TUBO ANTIVANDALISMO PARA ESTAIS EM AÇO GALVANIZADO PARA 43 CORDOALHAS - D = 15,7 MM </t>
  </si>
  <si>
    <t>03.06.013.2</t>
  </si>
  <si>
    <t xml:space="preserve">TUBO PEAD - BAINHA                                           </t>
  </si>
  <si>
    <t>REF: 4208133 SICRO JULHO 2019</t>
  </si>
  <si>
    <t>PRODUÇÃO DA EQUIPE 4,29</t>
  </si>
  <si>
    <t>INSTALAÇÃO DE TUBO ANTIVANDALISMO PARA ESTAIS EM AÇO GALVANIZADO PARA 43 CORDOALHAS D = 15,7 MM. EXCETO TUBO ANTIVANDALISMO</t>
  </si>
  <si>
    <t>EXECUÇÃO TUBO PEAD PARA ESTAIS - D = 225 MM. EXCLUINDO A ANCORAGEM. EXCETO TUBO PEAD.</t>
  </si>
  <si>
    <t>CCU - 03.041</t>
  </si>
  <si>
    <t>CCU - 03.042</t>
  </si>
  <si>
    <t>TUBO PEAD PARA ESTAIS - D = 225 MM - FORNECIMENTO E TRANSPORTE</t>
  </si>
  <si>
    <t>COTAÇÃO-023</t>
  </si>
  <si>
    <t xml:space="preserve"> TUBO PEAD PARA ESTAIS - D = 225 MM </t>
  </si>
  <si>
    <t xml:space="preserve">CORDOALHAS                                                   </t>
  </si>
  <si>
    <t>03.06.014.1</t>
  </si>
  <si>
    <t>03.06.014.2</t>
  </si>
  <si>
    <t>03.06.015.1</t>
  </si>
  <si>
    <t>03.06.015.2</t>
  </si>
  <si>
    <t>CCU - 03.043</t>
  </si>
  <si>
    <t>PRODUÇÃO DA EQUIPE 121,92</t>
  </si>
  <si>
    <t xml:space="preserve">CORDOALHA PARA ESTAIS CP 177 RB D = 15,7 MM -  PREPARO E COLOCAÇÃO  </t>
  </si>
  <si>
    <t>REF: 4208127 SICRO JULHO 2019</t>
  </si>
  <si>
    <t>M0076</t>
  </si>
  <si>
    <t>M1388</t>
  </si>
  <si>
    <t>CORDOALHA PARA ESTAIS CP 177 RB D=15,7 MM - FORNECIMENTO</t>
  </si>
  <si>
    <t>CCU - 03.044</t>
  </si>
  <si>
    <t>DESPESAS COM PEDÁGIOS DE TRANSPORTE</t>
  </si>
  <si>
    <t>CCU - 03.045</t>
  </si>
  <si>
    <t>S0024</t>
  </si>
  <si>
    <t xml:space="preserve">DESPESAS COM PEDÁGIO DE SP PARA DF - TRASN. MAT. ESTAIS  </t>
  </si>
  <si>
    <t xml:space="preserve">TRANSPORTE MANUAL DE MATERIAIS                               </t>
  </si>
  <si>
    <t>TRANSPORTE DE MATERIAIS NO INTERIOR DOS ARCOS COM GUINCHO</t>
  </si>
  <si>
    <t>CCU - 03.046</t>
  </si>
  <si>
    <t>03.07.001.1</t>
  </si>
  <si>
    <t xml:space="preserve">03. 06.015              </t>
  </si>
  <si>
    <t xml:space="preserve">03. 06.014              </t>
  </si>
  <si>
    <t xml:space="preserve">03. 07.001              </t>
  </si>
  <si>
    <t xml:space="preserve">03. 06.013              </t>
  </si>
  <si>
    <t xml:space="preserve">03. 06.012              </t>
  </si>
  <si>
    <t xml:space="preserve">03. 06.011              </t>
  </si>
  <si>
    <t xml:space="preserve">03. 06.010              </t>
  </si>
  <si>
    <t xml:space="preserve">03. 06.000              </t>
  </si>
  <si>
    <t xml:space="preserve">03. 02.780              </t>
  </si>
  <si>
    <t xml:space="preserve">03. 02.770              </t>
  </si>
  <si>
    <t xml:space="preserve">03. 01.500              </t>
  </si>
  <si>
    <t xml:space="preserve">03. 01.000              </t>
  </si>
  <si>
    <t xml:space="preserve">03. 00.000              </t>
  </si>
  <si>
    <t xml:space="preserve">02. 02.330              </t>
  </si>
  <si>
    <t xml:space="preserve">02. 02.180              </t>
  </si>
  <si>
    <t xml:space="preserve">02. 02.112              </t>
  </si>
  <si>
    <t xml:space="preserve">02. 02.110              </t>
  </si>
  <si>
    <t xml:space="preserve">02. 02.000              </t>
  </si>
  <si>
    <t xml:space="preserve">02. 01.303              </t>
  </si>
  <si>
    <t xml:space="preserve">02. 01.302              </t>
  </si>
  <si>
    <t xml:space="preserve">02. 01.300              </t>
  </si>
  <si>
    <t xml:space="preserve">02. 00.000              </t>
  </si>
  <si>
    <t>P9822</t>
  </si>
  <si>
    <t>M0879</t>
  </si>
  <si>
    <t>COTAÇÃO-024</t>
  </si>
  <si>
    <t>COTAÇÃO-025</t>
  </si>
  <si>
    <t>COTAÇÃO-026</t>
  </si>
  <si>
    <t>COTAÇÃO-027</t>
  </si>
  <si>
    <t>M0880</t>
  </si>
  <si>
    <t>COTAÇÃO-028</t>
  </si>
  <si>
    <t>COTAÇÃO-029</t>
  </si>
  <si>
    <t>COTAÇÃO-030</t>
  </si>
  <si>
    <t>COTAÇÃO-031</t>
  </si>
  <si>
    <t>PREPARO DE SUPERFICIE METÁLICA COM JATEAMENTO D'ÁGUA SOB PRESSÃO</t>
  </si>
  <si>
    <t>COTAÇÃO-032</t>
  </si>
  <si>
    <t>COTAÇÃO-033</t>
  </si>
  <si>
    <t>COTAÇÃO-034</t>
  </si>
  <si>
    <t xml:space="preserve"> 04. 02.000              </t>
  </si>
  <si>
    <t xml:space="preserve">COMUNICAÇÃO VISUAL                                           </t>
  </si>
  <si>
    <t xml:space="preserve"> 04. 02.102              </t>
  </si>
  <si>
    <t>04.02.102.1</t>
  </si>
  <si>
    <t xml:space="preserve"> 04. 05.000              </t>
  </si>
  <si>
    <t xml:space="preserve">PAVIMENTAÇÃO  </t>
  </si>
  <si>
    <t xml:space="preserve"> 04. 05.600              </t>
  </si>
  <si>
    <t xml:space="preserve">REVESTIMENTOS  </t>
  </si>
  <si>
    <t>04.05.600.1</t>
  </si>
  <si>
    <t>04.05.600.2</t>
  </si>
  <si>
    <t>04.05.600.3</t>
  </si>
  <si>
    <t>04.05.600.4</t>
  </si>
  <si>
    <t>04.05.600.5</t>
  </si>
  <si>
    <t>04.05.600.6</t>
  </si>
  <si>
    <t>04.05.600.7</t>
  </si>
  <si>
    <t>ANP-001</t>
  </si>
  <si>
    <t>CIMENTO ASFÁLTICO CAP 50/70 COM POLÍMERO</t>
  </si>
  <si>
    <t>EMULSÕES ASF. MOD. POR POLÍMEROS RC1C-E</t>
  </si>
  <si>
    <t>ANP-002</t>
  </si>
  <si>
    <t>TRANSPORTE CAP 50/70</t>
  </si>
  <si>
    <t xml:space="preserve">TRANSPORTE CAP 50/70     </t>
  </si>
  <si>
    <t>T80000</t>
  </si>
  <si>
    <t>TRANSPORTE RC1C-E</t>
  </si>
  <si>
    <t>T8001</t>
  </si>
  <si>
    <t xml:space="preserve">TRANSPORTE RC1C-E               </t>
  </si>
  <si>
    <t xml:space="preserve"> 04. 05.700              </t>
  </si>
  <si>
    <t xml:space="preserve">REVESTIMENTO DERMASFALT                                      </t>
  </si>
  <si>
    <t>04.05.700.1</t>
  </si>
  <si>
    <t>04.05.700.2</t>
  </si>
  <si>
    <t>COTAÇÃO-035</t>
  </si>
  <si>
    <t>COTAÇÃO-036</t>
  </si>
  <si>
    <t>COTAÇÃO-037</t>
  </si>
  <si>
    <t>COTAÇÃO-038</t>
  </si>
  <si>
    <t xml:space="preserve">REVESTIMENTO MONOLÍTICO ANTIDERRAPENTE APLICADO EM SUPERFICIE METÁLICA ESPESSURA 8MM DERMASFALT WP-80, AGREGADO GC-80 E AGREGADO BSA. INCLUSO FORNECIMENTO E TRANSPORTE DO DO MATERIAL, EXECUÇÃO DO SERVIÇO E MOB E DESMOB DE EQUIPAMETOS E EQUIPE. </t>
  </si>
  <si>
    <t>AGREGADO GC-80 PARA USINAGEM E ESTRUTURAÇÃO. FORNECIMENTO, TRANSPORTE E INCLUSO TODOS TRIBUTOS CONFORME PROPOSTA DO FORNECEDOR</t>
  </si>
  <si>
    <t>AGREGADO BSA PARA ACABAMENTO SUPERFICIAL ANTIADERENTE. FORNECIMENTO, TRANSPORTE E INCLUSO TODOS TRIBUTOS CONFORME PROPOSTA DO FORNECEDOR</t>
  </si>
  <si>
    <t>SERVIÇO DE EXECUÇÃO DE REVESTIMENTO DERMASFALT INCLUSO MÃO DE OBRA, EQUIPAMENTOS E TODAS AS DESPESAS COM MOBILIZAÇÃO, DESMOBILIZAÇÃO E TODOS OS CUSTOS CONFORME PROPOSTA COMERCIAL.</t>
  </si>
  <si>
    <t>COTAÇÃO-039</t>
  </si>
  <si>
    <t>REMOÇÃO DE PAVIMENTO DERMASFALT COM TUNEL DE AQUECIEMTO TERMOFUSOR INCLUSIVE LIMPEZA PARA APLICAÇÃO DO NOVO PAVIMENTO E TRANSPORTE DO MATERIAL REMOVIDO ATÉ O LOCAL DE ARMAZENAMENTO NO CANTERIO DE OBRAS. INCLUSO MÃO DE OBRA, EQUIPAMENTOS E FERRAMENTAS CONFORME PROPOSTA COMERCIAL</t>
  </si>
  <si>
    <t xml:space="preserve"> 04. 06.000              </t>
  </si>
  <si>
    <t xml:space="preserve">SISTEMA VIÁRIO  </t>
  </si>
  <si>
    <t xml:space="preserve"> 04. 06.100              </t>
  </si>
  <si>
    <t xml:space="preserve">SINALIZAÇÃO HORIZONTAL                                       </t>
  </si>
  <si>
    <t xml:space="preserve"> 04. 06.101              </t>
  </si>
  <si>
    <t xml:space="preserve">SINALIZAÇÃO VERTICAL                                         </t>
  </si>
  <si>
    <t>04.06.100.1</t>
  </si>
  <si>
    <t>04.06.100.2</t>
  </si>
  <si>
    <t>04.06.101.1</t>
  </si>
  <si>
    <t>04.06.101.2</t>
  </si>
  <si>
    <t>04.06.101.3</t>
  </si>
  <si>
    <t xml:space="preserve">SERVIÇOS AUXILIARES E ADMINISTRATIVOS  </t>
  </si>
  <si>
    <t xml:space="preserve">PESSOAL  </t>
  </si>
  <si>
    <t xml:space="preserve">MÃO-DE-OBRA  </t>
  </si>
  <si>
    <t xml:space="preserve">EQUIPE DE MANUTENÇÃO DO CANTEIRO                             </t>
  </si>
  <si>
    <t>10.01.101.1</t>
  </si>
  <si>
    <t>P9952</t>
  </si>
  <si>
    <t>P9953</t>
  </si>
  <si>
    <t>P9954</t>
  </si>
  <si>
    <t xml:space="preserve">EQUIPE DE MANUTENÇÃO DO CANTEIRO </t>
  </si>
  <si>
    <t xml:space="preserve">ALMOXARIFE  </t>
  </si>
  <si>
    <t>P9803</t>
  </si>
  <si>
    <t xml:space="preserve">APONTADOR  </t>
  </si>
  <si>
    <t>10.01.102.1</t>
  </si>
  <si>
    <t>P9804</t>
  </si>
  <si>
    <t xml:space="preserve">ENCARREGADO  </t>
  </si>
  <si>
    <t>P9869</t>
  </si>
  <si>
    <t>10.01.103.1</t>
  </si>
  <si>
    <t>10.01.109.1</t>
  </si>
  <si>
    <t xml:space="preserve">MOTORISTA  </t>
  </si>
  <si>
    <t>10.01.112.1</t>
  </si>
  <si>
    <t>P9948</t>
  </si>
  <si>
    <t xml:space="preserve">EQUIPE MEIO AMBIENTE                                         </t>
  </si>
  <si>
    <t xml:space="preserve">10. 00.000              </t>
  </si>
  <si>
    <t xml:space="preserve">10. 01.000              </t>
  </si>
  <si>
    <t xml:space="preserve">10. 01.100              </t>
  </si>
  <si>
    <t xml:space="preserve">10. 01.101              </t>
  </si>
  <si>
    <t xml:space="preserve">10. 01.102              </t>
  </si>
  <si>
    <t xml:space="preserve">10. 01.103              </t>
  </si>
  <si>
    <t xml:space="preserve">10. 01.109              </t>
  </si>
  <si>
    <t xml:space="preserve">10. 01.112              </t>
  </si>
  <si>
    <t xml:space="preserve">10. 01.113              </t>
  </si>
  <si>
    <t xml:space="preserve">EQUIPE DE CONTROLE E MANEJO AMBIENTAL </t>
  </si>
  <si>
    <t>P9897</t>
  </si>
  <si>
    <t>10.01.113.1</t>
  </si>
  <si>
    <t xml:space="preserve"> 10. 01.117              </t>
  </si>
  <si>
    <t>10.01.117.1</t>
  </si>
  <si>
    <t xml:space="preserve">SEGURANÇA DO TRABALHO  </t>
  </si>
  <si>
    <t>P9876</t>
  </si>
  <si>
    <t>P9864</t>
  </si>
  <si>
    <t>10.01.117.2</t>
  </si>
  <si>
    <t xml:space="preserve"> 10. 01.118              </t>
  </si>
  <si>
    <t xml:space="preserve">FAXINEIRO                                                    </t>
  </si>
  <si>
    <t>10.01.118.1</t>
  </si>
  <si>
    <t>P9842</t>
  </si>
  <si>
    <t xml:space="preserve"> 10. 01.119              </t>
  </si>
  <si>
    <t xml:space="preserve">EQUIPE DE TOPOGRAFIA                                         </t>
  </si>
  <si>
    <t>CCU - 10.003</t>
  </si>
  <si>
    <t xml:space="preserve">EQUIPE DE TOPOGRAFIA  </t>
  </si>
  <si>
    <t>10.01.119.1</t>
  </si>
  <si>
    <t xml:space="preserve"> 10. 01.120              </t>
  </si>
  <si>
    <t xml:space="preserve">EQUIPE DE LABORATÓRIO                                        </t>
  </si>
  <si>
    <t>CCU - 10.004</t>
  </si>
  <si>
    <t xml:space="preserve">EQUIPE DE LABORATÓRIO DE CONCRETO E ASFALTO </t>
  </si>
  <si>
    <t>P9833</t>
  </si>
  <si>
    <t>P9858</t>
  </si>
  <si>
    <t>10.01.120.1</t>
  </si>
  <si>
    <t xml:space="preserve"> 10. 01.200              </t>
  </si>
  <si>
    <t xml:space="preserve">ADMINISTRAÇÃO  </t>
  </si>
  <si>
    <t xml:space="preserve"> 10. 01.201              </t>
  </si>
  <si>
    <t>ENGENHEIROS</t>
  </si>
  <si>
    <t>10.01.201.1</t>
  </si>
  <si>
    <t>10.01.201.2</t>
  </si>
  <si>
    <t>P9812-A</t>
  </si>
  <si>
    <t>P9946-A</t>
  </si>
  <si>
    <t xml:space="preserve"> 10. 01.202              </t>
  </si>
  <si>
    <t xml:space="preserve">AUXILIAR TÉCNICO  </t>
  </si>
  <si>
    <t>10.01.202.1</t>
  </si>
  <si>
    <t xml:space="preserve"> 10. 01.205              </t>
  </si>
  <si>
    <t xml:space="preserve">VIGIA  </t>
  </si>
  <si>
    <t>CCU - 10.005</t>
  </si>
  <si>
    <t>P9827</t>
  </si>
  <si>
    <t>P9878</t>
  </si>
  <si>
    <t xml:space="preserve"> 10. 01.207              </t>
  </si>
  <si>
    <t xml:space="preserve">PORTEIRO                                                     </t>
  </si>
  <si>
    <t>10.01.207.1</t>
  </si>
  <si>
    <t>P9896</t>
  </si>
  <si>
    <t>P9806</t>
  </si>
  <si>
    <t xml:space="preserve"> 10. 01.208              </t>
  </si>
  <si>
    <t xml:space="preserve">AUXILIAR ADMINISTRATIVO                                      </t>
  </si>
  <si>
    <t xml:space="preserve"> 10. 02.000              </t>
  </si>
  <si>
    <t xml:space="preserve">MATERIAIS  </t>
  </si>
  <si>
    <t xml:space="preserve"> 10. 02.010              </t>
  </si>
  <si>
    <t xml:space="preserve">DISPESAS DIVERSAS                                            </t>
  </si>
  <si>
    <t>CCU - 10.006</t>
  </si>
  <si>
    <t xml:space="preserve">DESPESAS DIVERSAS                      </t>
  </si>
  <si>
    <t>SICRO-V8-2.5</t>
  </si>
  <si>
    <t>10.02.010.1</t>
  </si>
  <si>
    <t xml:space="preserve"> 10. 02.050              </t>
  </si>
  <si>
    <t xml:space="preserve">MOBILIÁRIO DO CANTEIRO                                       </t>
  </si>
  <si>
    <t>CCU - 10.007</t>
  </si>
  <si>
    <t xml:space="preserve">MOBILIÁRIO DO CANTEIRO                               </t>
  </si>
  <si>
    <t>TAB. DNIT 03</t>
  </si>
  <si>
    <t>10.02.050.1</t>
  </si>
  <si>
    <t xml:space="preserve"> 10. 03.000              </t>
  </si>
  <si>
    <t xml:space="preserve">MÁQUINAS E EQUIPAMENTOS  </t>
  </si>
  <si>
    <t xml:space="preserve"> 10. 03.150              </t>
  </si>
  <si>
    <t xml:space="preserve">DE LABORATÓRIO DE CONCRETO E ASFALTO                         </t>
  </si>
  <si>
    <t>CCU - 10.008</t>
  </si>
  <si>
    <t>EQUIP. LABORATÓRIO DE CONCRETO E ASFALTO</t>
  </si>
  <si>
    <t>TAB. DNIT 02</t>
  </si>
  <si>
    <t xml:space="preserve"> 10. 03.160              </t>
  </si>
  <si>
    <t xml:space="preserve">DE MANUTENÇÃO DO CANTEIRO                                    </t>
  </si>
  <si>
    <t>10.03.160.1</t>
  </si>
  <si>
    <t>CCU - 10.009</t>
  </si>
  <si>
    <t>EQUIPAMENTOS DE MANUTENÇÃO DO CANTEIRO</t>
  </si>
  <si>
    <t>CCU - 10.010</t>
  </si>
  <si>
    <t>APOIO NÁUTICO AUXILIO SERVIÇO  ESTAIS/TIRANTES - TRANSPORTE</t>
  </si>
  <si>
    <t xml:space="preserve">APOIO NÁUTICO                                                </t>
  </si>
  <si>
    <t xml:space="preserve"> 10. 03.500              </t>
  </si>
  <si>
    <t xml:space="preserve">DE TOPOGRAFIA  </t>
  </si>
  <si>
    <t>CCU - 10.011</t>
  </si>
  <si>
    <t>10.03.500.1</t>
  </si>
  <si>
    <t>TAB. SICRO 01</t>
  </si>
  <si>
    <t>EQUIPAMENTOS DE TOPOGRAFIA</t>
  </si>
  <si>
    <t xml:space="preserve"> 10. 04.000              </t>
  </si>
  <si>
    <t xml:space="preserve">TRANSPORTES  </t>
  </si>
  <si>
    <t xml:space="preserve"> 10. 04.200              </t>
  </si>
  <si>
    <t xml:space="preserve">TRANSPORTE INTERNO  </t>
  </si>
  <si>
    <t>10.04.200.1</t>
  </si>
  <si>
    <t>CCU - 10.012</t>
  </si>
  <si>
    <t>VEÍCULOS DE APOIO A ADMINISTRAÇÃO</t>
  </si>
  <si>
    <t>CCU - 10.013</t>
  </si>
  <si>
    <t xml:space="preserve"> 10. 04.300              </t>
  </si>
  <si>
    <t xml:space="preserve">TRANSPORTE EXTERNO                                           </t>
  </si>
  <si>
    <t>10.04.300.1</t>
  </si>
  <si>
    <t xml:space="preserve">TRANSPORTE DE OPERADOR/MARINHEIRO/CAPITÃO/ MESTRE FLUVIAL DO APOIO NÁUTICO. IDA E VOLTA </t>
  </si>
  <si>
    <t>IS-0021</t>
  </si>
  <si>
    <t>CCU - 10.014</t>
  </si>
  <si>
    <t>CCU - 10.015</t>
  </si>
  <si>
    <t xml:space="preserve"> 10. 04.500              </t>
  </si>
  <si>
    <t xml:space="preserve">MOBILIZAÇÃO E DESMOBILIZAÇÃO EQUIPAMENTOS NÁUTICOS           </t>
  </si>
  <si>
    <t>10.04.500.2</t>
  </si>
  <si>
    <t>MOBILIZAÇÃO DE EQUIPAMENTOS    APOIO NÁUTICO</t>
  </si>
  <si>
    <t>P9866</t>
  </si>
  <si>
    <t>P9871</t>
  </si>
  <si>
    <t>DESMOBILIZAÇÃO DE EQUIPAMENTOS APOIO NÁUTICO</t>
  </si>
  <si>
    <t>CCU - 10.016</t>
  </si>
  <si>
    <t xml:space="preserve"> 10. 04.600              </t>
  </si>
  <si>
    <t xml:space="preserve">LOCAÇÃO DE IMÓVEL                                            </t>
  </si>
  <si>
    <t>10.04.600.1</t>
  </si>
  <si>
    <t>ALUGUEL DE RESIDENCIA PARA EQUIPE APOIO NÁUTICO</t>
  </si>
  <si>
    <t>COTAÇÃO-040</t>
  </si>
  <si>
    <t>IS0023</t>
  </si>
  <si>
    <t>AJUDANTE</t>
  </si>
  <si>
    <t>CHUMBADOR PARA CONCRETO D = 6,3 MM TIPO TECBOLT - FORNECIMENTO E INSTALAÇÃO</t>
  </si>
  <si>
    <t>CHUMBADOR PARA CONCRETO D = 12,5 MM TIPO TECBOLT - FORNECIMENTO E INSTALAÇÃO</t>
  </si>
  <si>
    <t>SOLDA ELÉTRICA DE PERFIS METÁLICOS E CHAPAS DE AÇO COM ELETRODO E70XX</t>
  </si>
  <si>
    <t>ESTRUTURA EM CHAPA DE AÇO ASTM A36 CORTE, SOLDA E MONTAGEM - FORNECIMENTO E INSTALAÇÃO</t>
  </si>
  <si>
    <t>GUINCHO PNEUMÁTICO COM CAPACIDADE DE 2,5 T</t>
  </si>
  <si>
    <t>PLATAFORMA FLUTUANTE DE 12 X 24 X 1,8 M COM CAPACIDADE DE 150 T</t>
  </si>
  <si>
    <t>DEMOLIÇÃO DE CONCRETO ARMADO COM MARTELETE E CORTE OXIACETILENO</t>
  </si>
  <si>
    <t>FRESAGEM CONTÍNUA DE REVESTIMENTO BETUMINOSO</t>
  </si>
  <si>
    <t>CARGA, MANOBRA E DESCARGA DE AGREGADOS (BRITA, PÓ DE PEDRA, AREIA, RACHÃO) EM CAMINHÃO BASCULANTE DE 6 M³ - CARGA COM MINI-CARREGADEIRA E DESCARGA LIVRE</t>
  </si>
  <si>
    <t>MERGULHADOR</t>
  </si>
  <si>
    <t>APICOAMENTO MECANIZADO DE CONCRETO</t>
  </si>
  <si>
    <t>LIMPEZA EM SUPERFICIE DE CONCRETO COM JATEAMENTO D'ÁGUA SOB PRESSÃO</t>
  </si>
  <si>
    <t>COMPRESSOR DE AR PORTÁTIL DE 197 PCM - 55 KW</t>
  </si>
  <si>
    <t>JATEADOR PORTÁTIL MULTIABRASIVO COM CAPACIDADE DE 100 L</t>
  </si>
  <si>
    <t>FORMAS DE COMPENSADO RESINADO 14 MM - USO GERAL - UTILIZAÇÃO DE 3 VEZES - CONFECÇÃO, INSTALAÇÃO E RETIRADA</t>
  </si>
  <si>
    <t>LANÇAMENTO MECÂNICO DE CONCRETO COM BOMBA REBOCÁVEL COM CAPACIDADE DE 41 M³/H</t>
  </si>
  <si>
    <t>PERFURAÇÃO EM CONCRETO COM COROA DIAMANTADA - D = 16 MM</t>
  </si>
  <si>
    <t>GRUPO GERADOR - 13/14 KVA</t>
  </si>
  <si>
    <t>MISTURADOR COM BOMBA PARA GROUTEAMENTO TIPO FLEX E - 25 KW</t>
  </si>
  <si>
    <t>PERFURAÇÃO EM CONCRETO COM COROA DIAMANTADA - D = 20 MM</t>
  </si>
  <si>
    <t>FORNECIMENTO E APLICAÇÃO DE ADESIVO ESTRUTURAL À BASE DE RESINA EPÓXI</t>
  </si>
  <si>
    <t>TALHA MANUAL COM CAPACIDADE DE 3 T</t>
  </si>
  <si>
    <t>MICROCONCRETO PARA REPAROS E GROUTEAMENTO</t>
  </si>
  <si>
    <t>CORTE COM MAÇARICO OXIACETILENO DE CHAPAS DE AÇO COM ESPESSURA DE 12,5 MM</t>
  </si>
  <si>
    <t>CAMINHÃO CARROCERIA COM GUINDAUTO COM CAPACIDADE DE 20 T.M - 136 KW</t>
  </si>
  <si>
    <t>CORTE COM MAÇARICO OXIACETILENO DE PERFIS METÁLICOS</t>
  </si>
  <si>
    <t>CARGA, MANOBRA E DESCARGA DE MATERIAIS DIVERSOS EM CAMINHÃO CARROCERIA COM GUINDAUTO COM CAPACIDADE DE 20 T.M</t>
  </si>
  <si>
    <t>TRANSPORTE COM CAMINHÃO CARROCERIA DE 9 T - RODOVIA PAVIMENTADA</t>
  </si>
  <si>
    <t>MÁQUINA DE SOLDA POR TERMOFUSÃO PARA TUBOS PEAD COM GERADOR DE 5,5 KVA</t>
  </si>
  <si>
    <t>GUINDASTE SOBRE CAMINHÃO, COM CHASSI 4 X 4 X 4, ALTURA DE ELEVAÇÃO DE 35,8 M COM CAPACIDADE DE 1.500 KN.M - 186 KW</t>
  </si>
  <si>
    <t>EQUIPAMENTO PARA SOLDA/CORTE COM OXIACETILENO</t>
  </si>
  <si>
    <t>BOMBA DE PROTENSÃO COM LEITURA DIGITAL PARA TENSIONAMENTO DE ESTAIS - 3 KW</t>
  </si>
  <si>
    <t>MACACO HIDRÁULICO MONOCORDOALHA PARA TENSIONAMENTO DE ESTAIS</t>
  </si>
  <si>
    <t>CALDEIRA PARA AQUECIMENTO E INJEÇÃO DE CERA - 1 KW</t>
  </si>
  <si>
    <t>EQUIPAMENTO PARA REGULAGEM FINAL DE ESTAIS DE 38 A 55 CORDOALHAS - D = 15,7 MM - 30 KW</t>
  </si>
  <si>
    <t>GRUPO GERADOR - 36/40 KVA</t>
  </si>
  <si>
    <t>EQUIPAMENTO PARA REGULAGEM FINAL DE ESTAIS COM ATÉ 37 CORDOALHAS - D = 15,7 MM - 20 KW</t>
  </si>
  <si>
    <t>MÁQUINA POLICORTE - 2,2 KW</t>
  </si>
  <si>
    <t>TRACIONADOR DE CORDOALHAS - 7,5 KW</t>
  </si>
  <si>
    <t>GUINCHO DE COLUNA COM CAPACIDADE DE 200 KG - 920 W</t>
  </si>
  <si>
    <t>LAVADORA PROFISSIONAL DE ALTA PRESSÃO COM CAPACIDADE DE 250 MPA - 72 KW</t>
  </si>
  <si>
    <t>CAMINHÃO TANQUE COM CAPACIDADE DE 10.000 L - 188 KW</t>
  </si>
  <si>
    <t>MICRO PRÉ-MISTURADO A QUENTE COM ASFALTO POLÍMERO - BRITA COMECIAL - (CAUQ)</t>
  </si>
  <si>
    <t>TRANSPORTE DE MISTURA BETUMINOSA EM CAMINHÃO COM CAÇAMBA TÉRMICA - (CAUQ)</t>
  </si>
  <si>
    <t>PINTURA DE LIGAÇÃO - EMULSÃO COM POLÍMERO</t>
  </si>
  <si>
    <t>TACHA REFLETIVA MONODIRECIONAL - FORNECIMENTO E COLOCAÇÃO</t>
  </si>
  <si>
    <t>FORNECIMENTO E IMPLANTAÇÃO DE PLACA DE REGULAMENTAÇÃO EM AÇO D = 0,80 M - PELÍCULA RETRORREFLETIVA TIPO I + SI</t>
  </si>
  <si>
    <t>FORNECIMENTO E IMPLANTAÇÃO DE PLACA DE REGULAMENTAÇÃO EM AÇO, R2 LADO 1,00 M - PELÍCULA RETRORREFLETIVA TIPO I + SI</t>
  </si>
  <si>
    <t>LIMPEZA DE PONTE</t>
  </si>
  <si>
    <t>PEDREIRO - MENSALISTA</t>
  </si>
  <si>
    <t>ELETRICISTA - MENSALISTA</t>
  </si>
  <si>
    <t>SERVENTE - MENSALISTA</t>
  </si>
  <si>
    <t>APONTADOR</t>
  </si>
  <si>
    <t>MOTORISTA DE VEÍCULO LEVE - MENSALISTA</t>
  </si>
  <si>
    <t>TÉCNICO DE MEIO AMBIENTE</t>
  </si>
  <si>
    <t>TÉCNICO DE SEGURANÇA DO TRABALHO</t>
  </si>
  <si>
    <t>ENGENHEIRO DE SEGURANÇA DO TRABALHO</t>
  </si>
  <si>
    <t>FAXINEIRO</t>
  </si>
  <si>
    <t>TOPÓGRAFO</t>
  </si>
  <si>
    <t>LABORATORISTA</t>
  </si>
  <si>
    <t>AUXILIAR DE LABORATÓRIO</t>
  </si>
  <si>
    <t>ENGENHEIRO PLENO</t>
  </si>
  <si>
    <t>ENGENHEIRO DE OBRA</t>
  </si>
  <si>
    <t>VIGIA</t>
  </si>
  <si>
    <t>SECRETÁRIA</t>
  </si>
  <si>
    <t>PORTEIRO</t>
  </si>
  <si>
    <t>AUXILIAR ADMINISTRATIVO</t>
  </si>
  <si>
    <t>EMPILHADEIRA A DIESEL COM CAPACIDADE DE 10 T - 100 KW</t>
  </si>
  <si>
    <t>CAMINHÃO BASCULANTE COM CAPACIDADE DE 6 M³ - 136 KW</t>
  </si>
  <si>
    <t>CARREGADEIRA DE PNEUS COM CAPACIDADE DE 1,53 M³ - 106 KW</t>
  </si>
  <si>
    <t>CAMINHÃO TANQUE COM CAPACIDADE DE 8.000 L - 136 KW</t>
  </si>
  <si>
    <t>VEÍCULO LEVE - 53 KW (SEM MOTORISTA)</t>
  </si>
  <si>
    <t>VAN FURGÃO - 93 KW</t>
  </si>
  <si>
    <t>VEÍCULO LEVE PICK UP 4 X 4 - 147 KW</t>
  </si>
  <si>
    <t>CAVALO MECÂNICO COM DOLLY INTERMEDIÁRIO E SEMIRREBOQUE DE 4 EIXOS COM CAPACIDADE DE 53 T - 323 KW</t>
  </si>
  <si>
    <t>CAMINHÃO CARROCERIA COM CAPACIDADE DE 9 T - 136 KW</t>
  </si>
  <si>
    <t>MOTORISTA DE CAMINHÃO</t>
  </si>
  <si>
    <t>MOTORISTA DE VEÍCULO ESPECIAL</t>
  </si>
  <si>
    <t>CONE PLÁSTICO DE SINALIZAÇÃO - NBR 15.071</t>
  </si>
  <si>
    <t>PEÇA DE MADEIRA DE 2,5 X 7,5 CM</t>
  </si>
  <si>
    <t>LÂMPADA COMPACTA ELETRÔNICA PLE 20 W</t>
  </si>
  <si>
    <t>PREGO DE FERRO</t>
  </si>
  <si>
    <t>TUBO DE PVC ESGOTO - D = 75 MM</t>
  </si>
  <si>
    <t>PRANCHÃO DE 7,5 X 30 CM</t>
  </si>
  <si>
    <t>CABO ANTICHAMA FLEXÍVEL DE 4 X 6 MM²</t>
  </si>
  <si>
    <t>GRAMPO PESADO PARA CABO DE AÇO - D = 13 MM</t>
  </si>
  <si>
    <t>ESTICADOR PARA CABO DE AÇO - D = 13 MM</t>
  </si>
  <si>
    <t>CAIBRO DE PINHO DE 7,5 X 7,5 CM</t>
  </si>
  <si>
    <t>TÁBUA DE 2,5 X 30 CM</t>
  </si>
  <si>
    <t>CABO DE AÇO - D = 13 MM</t>
  </si>
  <si>
    <t>CHUMBADOR PARA CONCRETO TECBOLT DE 12,5 MM</t>
  </si>
  <si>
    <t>CINTA DE ELEVAÇÃO TIPO GRAB COM 1 RAMAL ANEL, GANCHO DE 3 A 5 M E CAPACIDADE DE 5.000 KG - SEGURANÇA 4:1</t>
  </si>
  <si>
    <t>CINTA DE ELEVAÇÃO TIPO GRAB COM 2 RAMAIS ANEL, GANCHO DE 3 A 5 M E CAPACIDADE DE 5.000 KG - SEGURANÇA 4:1</t>
  </si>
  <si>
    <t>PARAFUSO CABEÇA SEXTAVADA - D = 5/16" COM PORCA E ARRUELA DE PRESSÃO</t>
  </si>
  <si>
    <t>ADESIVO ESTRUTURAL À BASE DE RESINA EPÓXI</t>
  </si>
  <si>
    <t>GRANALHA DE AÇO</t>
  </si>
  <si>
    <t>ARGAMASSA TIPO SIKA GROUT 250 OU SIMILAR</t>
  </si>
  <si>
    <t>BICO PARA INJEÇÃO DE ADESIVO ESTRUTURAL À BASE DE RESINA EPÓXI</t>
  </si>
  <si>
    <t>TELA VERDE COMPOSTA DE FIBRAS VEGETAIS E FIOS DE POLIPROPILENO COM DENSIDADE DE 600 G/M²</t>
  </si>
  <si>
    <t>CANTONEIRA EM FERRO DE ABAS IGUAIS DE 2 1/2" X 3/8"</t>
  </si>
  <si>
    <t>OXIGÊNIO</t>
  </si>
  <si>
    <t>ACETILENO</t>
  </si>
  <si>
    <t>CERA PARA INJEÇÃO DE ANCORAGENS DE ESTAIS</t>
  </si>
  <si>
    <t>DISCO DE CORTE PARA POLICORTE - D = 30 CM</t>
  </si>
  <si>
    <t>CORDOALHA PARA ESTAIS CP 177 RB - D = 15,7 MM</t>
  </si>
  <si>
    <t>LIXA PARA FERRO</t>
  </si>
  <si>
    <t>LIXA PARA MADEIRA E MASSA</t>
  </si>
  <si>
    <t>PARAFUSO CABEÇA SEXTAVADA - D = 1/4" COM PORCA E ARRUELA DE PRESSÃO</t>
  </si>
  <si>
    <t>ELECOM</t>
  </si>
  <si>
    <t>VITOR CAVALHÃES</t>
  </si>
  <si>
    <t>43.486.604/0001-00</t>
  </si>
  <si>
    <t>(11) 2066-4130</t>
  </si>
  <si>
    <t>ARRUELA SIMPLES ZINCADA ¼”</t>
  </si>
  <si>
    <t>PORCA SEXTAVADA ZINCADA ¼”</t>
  </si>
  <si>
    <t>COTAÇÃO-041</t>
  </si>
  <si>
    <t>COTAÇÃO-042</t>
  </si>
  <si>
    <t>PRODUÇÃO DA EQUIPE 1,5</t>
  </si>
  <si>
    <t>REF: 4816198 SICRO JULHO 2019 e Estudo para orçamento "Plataforma acesso pilares"</t>
  </si>
  <si>
    <t>PRODUÇÃO DA EQUIPE 6,144</t>
  </si>
  <si>
    <t>REMOÇÃO E INSTALAÇÃO DA TAMPA DOS NICHOS DE ANCORAGEM PASSIVA DOS TIRANTES. EXECUÇÃO</t>
  </si>
  <si>
    <t>(19) 3454-5552</t>
  </si>
  <si>
    <t>DERMASFALT WP-80 FORNECIMENTO, TRANSPORTE E INCLUSO TRIBUTOS  + 5% IPI   CONFORME PROPOSTA DO FORNECEDOR</t>
  </si>
  <si>
    <t>DERMAX TECHNOLOGIES</t>
  </si>
  <si>
    <t>Domingos Loricchio</t>
  </si>
  <si>
    <t>CARGA, MANOBRA E DESCARGA DE AGREGADOS (BRITA, PÓ DE PEDRA, AREIA, RACHÃO) OU SOLOS EM CAMINHÃO BASCULANTE DE 10 M³ CARGA COM ESCAVADEIRA DE 1,50 M³ (EXCLUSA) E DESCARGA LIVRE</t>
  </si>
  <si>
    <t>CONSUMO DE 0,0566 T/T DE PRÉ-MISTURADO - Ref:  6416258 SICRO JULHO 2019</t>
  </si>
  <si>
    <t>CONSUMO DE 0,00045 T/M2 DE PINTURA - Ref:  4011354 SICRO JULHO 2020</t>
  </si>
  <si>
    <t>DENSIDADE 2,4 T/M³</t>
  </si>
  <si>
    <t>DISTÂNCIA MÉDIA NOVACAP/PONTE JK - 20KM</t>
  </si>
  <si>
    <t xml:space="preserve">DISTÂNCIA MÉDIA PONTE JK/ESTRUTURAL - 32,80 km </t>
  </si>
  <si>
    <t>CONSIDERADO COMO ENTULHO DE OBRA COM PESO ESPECÍFICO DE 1500KG/M3</t>
  </si>
  <si>
    <t xml:space="preserve">PRODUÇÃO DA EQUIPE 500,00 cm2 </t>
  </si>
  <si>
    <t>REF: 1416201 SICRO JULHO 2019</t>
  </si>
  <si>
    <t xml:space="preserve">DISTÂNCIA MÉDIA DE TRANSPORTE ENTRE SÃO PAULO/PONTE JK - 1.014 km </t>
  </si>
  <si>
    <t>(11) 4863-2403</t>
  </si>
  <si>
    <t>ENG. DANIEL KAKO</t>
  </si>
  <si>
    <t>48.298.061/0001-03</t>
  </si>
  <si>
    <t>PROTENDE MHK</t>
  </si>
  <si>
    <t>RUTTEN RUDLOFF</t>
  </si>
  <si>
    <t>(11) 3606-5500</t>
  </si>
  <si>
    <t>IVAN HAMMEN</t>
  </si>
  <si>
    <t>01.452.525/0001-20</t>
  </si>
  <si>
    <t>MEMÓRIA DE CÁLCULO NA ABA DE APOIO NÁUTICO - MC ESTAIS</t>
  </si>
  <si>
    <t>REF: Estudo para orçamento - Pasta Estais "MC-ESTAIS"</t>
  </si>
  <si>
    <t>FORNECIMENTO CIMENTO ASFÁLTICO CAP 50/70 - COM POLÍMERO - INCLUSO ICMS</t>
  </si>
  <si>
    <t xml:space="preserve">FORNECIMENTO DE EMUSÃO ASFALTI CA RC1-C COM POLÍMERO - INCLUSO ICMS </t>
  </si>
  <si>
    <t>REF: Estudo para orçamento - pasta  ANP "Preco_Asfalto_UF_2019"</t>
  </si>
  <si>
    <t>REF: COTAÇÃO DE MERCADO</t>
  </si>
  <si>
    <t xml:space="preserve">DESPESAS COM PEDÁGIO PARA TRANSPORTE DOS MATERIÁIS DOS ESTÁIS/TIRANTES DE SÃO PAULO PARA BRASÍLIA. EXCLUSO CP-177. BR-040, BR-050 E BANDEIRANTES. DUAS CARRETAS IDA (5 EIXOS) E VOLTA (4 EIXOS). </t>
  </si>
  <si>
    <t>04.05.650</t>
  </si>
  <si>
    <t>04.05.650.1</t>
  </si>
  <si>
    <t xml:space="preserve">DESPESAS COM PEDÁGIO PARA TRANSPORTE DOS MATERIÁIS ASFÁLTICOS DE GOIÂNIA PARA BRASÍLIA. DUAS CARRETAS IDA (5 EIXOS) E VOLTA (4 EIXOS). </t>
  </si>
  <si>
    <t>S0025</t>
  </si>
  <si>
    <t>DESPESAS COM PEDÁGIO DE GO PARA DF - TRASN. MAT. ASFÁLTICOS</t>
  </si>
  <si>
    <t>REF: 2306731 SICRO JULHO 2019</t>
  </si>
  <si>
    <t>M0942</t>
  </si>
  <si>
    <t>GUINDASTE SOBRE ESTEIRAS COM MARTELO HIDRÁULICO DE 2.600 KG - 220 KW</t>
  </si>
  <si>
    <t>PLATAFORMA FLUTUANTE MONTADA NA OBRA DE 12 X 24 X 1,8 M COM CAPACIDADE DE 150 T</t>
  </si>
  <si>
    <t>ESTACA PRANCHA METÁLICA COM CHAPA DE 10 MM</t>
  </si>
  <si>
    <t>PRODUÇÃO DA EQUIPE 2.007,56KG</t>
  </si>
  <si>
    <t>REF: 2306018 SICRO JULHO 2019</t>
  </si>
  <si>
    <t>CCU - 03.048</t>
  </si>
  <si>
    <t>PRODUÇÃO DA EQUIPE 4.015,13KG</t>
  </si>
  <si>
    <t>CCU - 03.049</t>
  </si>
  <si>
    <t>REF: 2306016 SICRO JULHO 2019</t>
  </si>
  <si>
    <t>CCU - 03.050</t>
  </si>
  <si>
    <t>CCU - 03.051</t>
  </si>
  <si>
    <t>PRODUÇÃO DA EQUIPE 15,00KG</t>
  </si>
  <si>
    <t>REF: 2408149 SICRO JULHO 2019</t>
  </si>
  <si>
    <t>CCU - 03.052</t>
  </si>
  <si>
    <t>ESCAVAÇÃO, CARGA E TRANSPORTE DE SOLOS MOLES - DMT DE 50 A 200 M - CAMINHO DE SERVIÇO PAVIMENTADO - COM CAMINHÃO BASCULANTE DE 14 M³</t>
  </si>
  <si>
    <t>REF: 03090/ORSE DEZEMBRO 2019</t>
  </si>
  <si>
    <t>BOMBEAMENTO PARA ESGOTAMENTO DE ÁGUA COM SUBMERSÍVEL COM CAPACIDADE DE 75 M³/H - 3,6 KW</t>
  </si>
  <si>
    <t>BOMBA SUBMERSÍVEL COM CAPACIDADE DE 75 M³/H - 3,6 KW</t>
  </si>
  <si>
    <t>PREENCHIMENTO DO VÃO ENTRE CORTINAS COM SOLO "ARGILA"</t>
  </si>
  <si>
    <t>REF: 00076/ORSE DEZEMBRO 2019</t>
  </si>
  <si>
    <t>CCU - 03.053</t>
  </si>
  <si>
    <t>REF: 100574 SINAPI DEZEMBRO 2019</t>
  </si>
  <si>
    <t>RECOMPOSIÇÃO MECÂNICA DE ATERRO DOS BLOCOS</t>
  </si>
  <si>
    <t>TRATOR DE ESTEIRAS COM LÂMINA - 259 KW</t>
  </si>
  <si>
    <t>TRANSPORTE DOS PERFÍS ATÉ NOVACAP</t>
  </si>
  <si>
    <t xml:space="preserve">03. 01.240              </t>
  </si>
  <si>
    <t>ENSECADEIRAS METÁLICAS PARA OS BLOCOS B-09 A B-11</t>
  </si>
  <si>
    <t xml:space="preserve">03. 01.242            </t>
  </si>
  <si>
    <t>03.01.242.1</t>
  </si>
  <si>
    <t>03.01.242.2</t>
  </si>
  <si>
    <t>BLOCOS DE FUNDAÇÕES B9, B10, B11 e B12</t>
  </si>
  <si>
    <t>INJEÇÃO DAS FISSURAS COM DURÔMETRO DE POLIURETANO BAIXA VISCOSIDADE MC BAUCHEMIE MC INJEKT 2700 L OU EQUIVALENTE</t>
  </si>
  <si>
    <t>PRODUÇÃO DA EQUIPE 2KG</t>
  </si>
  <si>
    <t>REF: 4915645 SICRO JULHO 2019</t>
  </si>
  <si>
    <t>FORNECIMENTO E APLICAÇÃO DURÔMETRO DE POLIURETANO BAIXA VISCOSIDADE MC BAUCHEMIE MC INJEKT 2700 L OU EQUIVALENTE</t>
  </si>
  <si>
    <t>COTAÇÃO-046</t>
  </si>
  <si>
    <t>PRODUÇÃO DA EQUIPE 5 KG</t>
  </si>
  <si>
    <t>REF: 68054 SINAPI JUL/2019</t>
  </si>
  <si>
    <t xml:space="preserve">03. 01.501              </t>
  </si>
  <si>
    <t>03.01.501.1</t>
  </si>
  <si>
    <t xml:space="preserve">03. 01.502            </t>
  </si>
  <si>
    <t xml:space="preserve">INJEÇÃO DE FISSURAS </t>
  </si>
  <si>
    <t>03.01.502.1</t>
  </si>
  <si>
    <t xml:space="preserve">03. 01.503         </t>
  </si>
  <si>
    <t>APICOAMENTO E LIMPEZA DE RESIDUOS</t>
  </si>
  <si>
    <t>03.01.503.1</t>
  </si>
  <si>
    <t>03.01.503.2</t>
  </si>
  <si>
    <t xml:space="preserve">03. 01.504       </t>
  </si>
  <si>
    <t>APLICAÇÃO DE ADITIVOS CRISTALIZANTES E DE CURA</t>
  </si>
  <si>
    <t>03.01.504.1</t>
  </si>
  <si>
    <t>03.01.504.2</t>
  </si>
  <si>
    <t>03.01.504.3</t>
  </si>
  <si>
    <t>COTAÇÃO-047</t>
  </si>
  <si>
    <t xml:space="preserve">APLICAÇÃO DE ADITIVO CRISTALIZANTE XYPEX CONCENTRADO UMA DEMÃO - CONSUMO 0,8 KG/M². FORNECIMENTO E APLICAÇÃO </t>
  </si>
  <si>
    <t>ADITIVO CRISTALIZANTE XYPEX CONCENTRADO OU EQUIVALENTE</t>
  </si>
  <si>
    <t>0,0900000</t>
  </si>
  <si>
    <t>0,0450000</t>
  </si>
  <si>
    <t>0,0017000</t>
  </si>
  <si>
    <t>0,0884000</t>
  </si>
  <si>
    <t>REF:  87897 SINAPI DEZEMBRO 2019</t>
  </si>
  <si>
    <t>CCU - 03.054</t>
  </si>
  <si>
    <t xml:space="preserve">APLICAÇÃO DE ADITIVO CRISTALIZANTE XYPEX MODIFICADO UMA DEMÃO - CONSUMO 0,8 KG/M². FORNECIMENTO E APLICAÇÃO </t>
  </si>
  <si>
    <t>COTAÇÃO-048</t>
  </si>
  <si>
    <t>ADITIVO CRISTALIZANTE XYPEX MODIFICADO OU EQUIVALENTE</t>
  </si>
  <si>
    <t>CCU - 03.055</t>
  </si>
  <si>
    <t xml:space="preserve">APLICAÇÃO DE ADITIVO CURA QUÍMICA COM XYPEX GAMMA CURE - CONSUMO 50 ML/M². FORNECIMENTO E APLICAÇÃO </t>
  </si>
  <si>
    <t>REF: 5300994 SICRO JULHO 2019</t>
  </si>
  <si>
    <t>PRODUÇÃO DA EQUIPE 45,97KG</t>
  </si>
  <si>
    <t>COTAÇÃO-049</t>
  </si>
  <si>
    <t>ADITIVO DE CURA QUÍMICA XYPEX GAMMA CURE - CONSUMO 50 ML/M² OU EQUIVALENTE</t>
  </si>
  <si>
    <t xml:space="preserve">03. 01.505    </t>
  </si>
  <si>
    <t>03.01.505.1</t>
  </si>
  <si>
    <t>03.01.505.2</t>
  </si>
  <si>
    <t>03.01.506.1</t>
  </si>
  <si>
    <t xml:space="preserve">03. 01.506   </t>
  </si>
  <si>
    <t>DE ACORDO COM 07949/ORSE - 0,02 KG/UNID.</t>
  </si>
  <si>
    <t>03.01.506.2</t>
  </si>
  <si>
    <t>03.01.506.3</t>
  </si>
  <si>
    <t xml:space="preserve">03. 01.507  </t>
  </si>
  <si>
    <t>03.01.507.1</t>
  </si>
  <si>
    <t>03.01.507.2</t>
  </si>
  <si>
    <t>REF: 100274 SINAPI DEZEMBRO 2019</t>
  </si>
  <si>
    <t>03.01.504.4</t>
  </si>
  <si>
    <t xml:space="preserve">03. 01.508 </t>
  </si>
  <si>
    <t>03.01.508.1</t>
  </si>
  <si>
    <t>M0030</t>
  </si>
  <si>
    <t>M0082</t>
  </si>
  <si>
    <t>M0191</t>
  </si>
  <si>
    <t>M1954</t>
  </si>
  <si>
    <t xml:space="preserve">MOBILIARIO PARA RESIDENCIA       </t>
  </si>
  <si>
    <t>PRODUÇÃO DA EQUIPE 33,20 M3</t>
  </si>
  <si>
    <t>CONCRETO PARA BOMBEAMENTO FCK = 45 MPA - CONFECÇÃO EM CENTRAL DOSADORA DE 40 M³/H - AREIA E BRITA COMERCIAIS, COM ADIÇÃO DE ESCÓRIA, ADITIVO CRISTALIZANTE XYPEX ADMIX E MICROFIBRAS</t>
  </si>
  <si>
    <t>20% DO COEFICIENTE DE AREIA</t>
  </si>
  <si>
    <t>COTAÇÃO-050</t>
  </si>
  <si>
    <t>ADITIVO CRISTALIZANTE XYPEX ADMIX</t>
  </si>
  <si>
    <t>1% DA MASSA DE CIMENTO</t>
  </si>
  <si>
    <t>ADIÇÃO DE 0,8 KG/M3</t>
  </si>
  <si>
    <t>03.01.508.2</t>
  </si>
  <si>
    <t>03. 01.509</t>
  </si>
  <si>
    <t>03.01.509.1</t>
  </si>
  <si>
    <t>REF: 100263 SINAPI DEZEMBRO 2019</t>
  </si>
  <si>
    <t>PRODUÇÃO DA EQUIPE 8,30 M</t>
  </si>
  <si>
    <t>REF:  5605882 SICRO JULHO 2019</t>
  </si>
  <si>
    <t>M2465</t>
  </si>
  <si>
    <t>M1935</t>
  </si>
  <si>
    <t>M1983</t>
  </si>
  <si>
    <t>M0434</t>
  </si>
  <si>
    <t>M1879</t>
  </si>
  <si>
    <t>M1919</t>
  </si>
  <si>
    <t>M1880</t>
  </si>
  <si>
    <t>M3095</t>
  </si>
  <si>
    <t>TIRANTE PERMANENTE PROTENDIDO DE AÇO D = 40 MM, TIPO DYWIDAG ST 95/105, COM CAPACIDADE DE 390 KN - EXCETO PERFURAÇÃO</t>
  </si>
  <si>
    <t>ADITIVO PLASTIFICANTE E RETARDADOR TIPO PLASTIMENT OU SIMILAR</t>
  </si>
  <si>
    <t>AREIA MÉDIA LAVADA</t>
  </si>
  <si>
    <t>BRITA 1</t>
  </si>
  <si>
    <t>CIMENTO PORTLAND CP II - 32 A GRANEL</t>
  </si>
  <si>
    <t>ESCÓRIA DE ACIARIA</t>
  </si>
  <si>
    <t>BAINHA METÁLICA - D = 40 MM</t>
  </si>
  <si>
    <t>ESPAÇADOR PARA TIRANTE DE BARRA DE AÇO - D = 32 MM</t>
  </si>
  <si>
    <t>LUVA DE EMENDA PARA TIRANTES - D = 63 X 180 MM</t>
  </si>
  <si>
    <t>TIRANTE DE AÇO ST 95/105 DE CAPACIDADE DE 39 T - D = 32 MM</t>
  </si>
  <si>
    <t>TUBO PE 80 PN6 - D = 40 MM</t>
  </si>
  <si>
    <t>TUBO PE 80 PN8 - D = 110 MM</t>
  </si>
  <si>
    <t>TUBO PE 80 PN8 - D = 20 MM</t>
  </si>
  <si>
    <t>VÁLVULA MANCHETE - D = 20 MM</t>
  </si>
  <si>
    <t>BOMBA PROJETORA DE ARGAMASSA DE 2 M³/H - 5,5 KW</t>
  </si>
  <si>
    <t>CENTRAL DE CONCRETO COM CAPACIDADE DE 40 M³/H - DOSADORA FIXA</t>
  </si>
  <si>
    <t>BOMBA DE INJEÇÃO DE ARGAMASSA E NATA COM CAPACIDADE DE 50 L/MIN E MISTURADOR COM TAMBOR DE 150 L - 12,5 KW</t>
  </si>
  <si>
    <t>CONJUNTO BOMBA E MACACO HIDRÁULICO PARA PROTENSÃO COM CAPACIDADE DE 1.150 KN</t>
  </si>
  <si>
    <t>03.01.509.2</t>
  </si>
  <si>
    <t>CCU - 03.056</t>
  </si>
  <si>
    <t>COTAÇÃO-053</t>
  </si>
  <si>
    <t>COTAÇÃO-054</t>
  </si>
  <si>
    <t>REF: 09956/ORSE DEZEMBRO 2019</t>
  </si>
  <si>
    <t>ANCORAGEM DE BARRAS DYWIDAG COM PLACA DE ANCORAGEM 220X220X45 E PORCAS SEXTAVADAS</t>
  </si>
  <si>
    <t>PLACA DE ANCORAGEM 220X220X45 DYWIDAG</t>
  </si>
  <si>
    <t>PORCAS SEXTAVADAS SISTEMA DYWIDAG</t>
  </si>
  <si>
    <t>03.01.510.1</t>
  </si>
  <si>
    <t>03. 01.510</t>
  </si>
  <si>
    <t>03.01.510.2</t>
  </si>
  <si>
    <t>CCU - 03.057</t>
  </si>
  <si>
    <t>REF: 89993 SINAPI DEZEMBRO 2019</t>
  </si>
  <si>
    <t>REF: 2407972 SICRO JULHO 2019</t>
  </si>
  <si>
    <t>8,0998000</t>
  </si>
  <si>
    <t>5,7292000</t>
  </si>
  <si>
    <t>1,2030000</t>
  </si>
  <si>
    <t>GRAUTEAMENTO DOS NICHOS COM RESISTÊNCIA DE 45MPA ADITIVADO COM XYPEX E MICROFIBRAS</t>
  </si>
  <si>
    <t>REF: Estudo para orçamento - Pasta Blocos "Concreto_Graute_45 MPa"</t>
  </si>
  <si>
    <t>GRAUTE FGK=45 MPA (CIMENTO/ AREIA GROSSA/ BRITA 0/ ADITIVO CRISTALIZANTE E FIBRA DE POLIPROPILENO) - PREPARO MECÂNICO COM BETONEIRA 400 L. AF_02/2015</t>
  </si>
  <si>
    <t xml:space="preserve">03. 02.000             </t>
  </si>
  <si>
    <t xml:space="preserve">ESTRUTURAS DE CONCRETO                                             </t>
  </si>
  <si>
    <t xml:space="preserve">03. 02.110             </t>
  </si>
  <si>
    <t>M0081</t>
  </si>
  <si>
    <t>M0005</t>
  </si>
  <si>
    <t>P9843</t>
  </si>
  <si>
    <t>AREIA GROSSA</t>
  </si>
  <si>
    <t>BRITA 0</t>
  </si>
  <si>
    <t>03.01.240.1</t>
  </si>
  <si>
    <t>03.01.240.2</t>
  </si>
  <si>
    <t>03.01.240.3</t>
  </si>
  <si>
    <t>03.01.240.4</t>
  </si>
  <si>
    <t>03.01.240.5</t>
  </si>
  <si>
    <t>03.01.240.6</t>
  </si>
  <si>
    <t>03.01.240.7</t>
  </si>
  <si>
    <t>03.01.240.8</t>
  </si>
  <si>
    <t xml:space="preserve">03. 02.771           </t>
  </si>
  <si>
    <t xml:space="preserve">APARELHOS DE APOIO                                     </t>
  </si>
  <si>
    <t>03.02.771.1</t>
  </si>
  <si>
    <t>03.02.771.2</t>
  </si>
  <si>
    <t>03.02.771.3</t>
  </si>
  <si>
    <t xml:space="preserve">APOIO NÁUTICO PARA A REMOÇÃO DE APARELHOS DE APOIO           </t>
  </si>
  <si>
    <t>Obs: Fornecedor exclusivo para esse tipo de material/serviço</t>
  </si>
  <si>
    <t xml:space="preserve">DESMONTAGEM DE ANCORAGEM FIXA PARA 43 CORDOALHAS NO TABULEIRO COM AUXILIO DE GUINDASTE. EXECUÇÃO </t>
  </si>
  <si>
    <t>PRODUÇÃO DA EQUIPE 1 UNID.</t>
  </si>
  <si>
    <t>REF: 5213681 SICRO JULHO 2019</t>
  </si>
  <si>
    <t>REF: 5213672 SICRO JULHO 2019</t>
  </si>
  <si>
    <t>REF: 4208140 SICRO JULHO 2019 - 70% DO TEMPO ORIGINAL E 30% DO TEMPO PARA GUINDASTE</t>
  </si>
  <si>
    <t>REF: 5213665  SICRO JULHO 2019</t>
  </si>
  <si>
    <t>00.003.516/0001-90</t>
  </si>
  <si>
    <t>(61) 99263-6432</t>
  </si>
  <si>
    <t>RAFAEL OLIVEIRA SILVA</t>
  </si>
  <si>
    <t>DURÔMETRO DE POLIURETANO BAIXA VISCOSIDADE MC BAUCHEMIE MC INJEKT 2700 L COMP. A/B OU EQUIVALENTE</t>
  </si>
  <si>
    <t>IPI=2%</t>
  </si>
  <si>
    <t>ICMS=18%</t>
  </si>
  <si>
    <t>MC-BAUCHEMIE</t>
  </si>
  <si>
    <t>IPI=5%</t>
  </si>
  <si>
    <t>Densidade de 1,13 Kg/L</t>
  </si>
  <si>
    <t>PROJETO EXECUTIVO ADEQUAÇÃO DO SISTEMA DE APARELHOS DE APOIO</t>
  </si>
  <si>
    <t>02.02.120.1</t>
  </si>
  <si>
    <t>02.02.120.2</t>
  </si>
  <si>
    <t>02.02.120.3</t>
  </si>
  <si>
    <t>02.02.120.4</t>
  </si>
  <si>
    <t>02.02.120.5</t>
  </si>
  <si>
    <t>PROJETO EXECUTIVO DE REFORÇO DOS BLOCOS B9, B10, B11 E B12</t>
  </si>
  <si>
    <t>PROJETO EXECUTIVO DE REFORÇO DOS BLOCOS B9, B10, B11 E B12, INCLUINDO MEMÓRIA DE CÁLCULO, QUANTITATIVOS, PROCEDIMENTO DA EXECUÇÃO, MODELAGEM NUMERICA E ESPECIFICAÇÕES TÉCNICAS</t>
  </si>
  <si>
    <t>TAXA DE EXECUÇÃO DE OBRA       PORT. Nº 268/13 ATÉ 1000M2</t>
  </si>
  <si>
    <t>IS-0018</t>
  </si>
  <si>
    <t>TAXA DE EXECUÇÃO DE OBRA       PORT. Nº 268/13 ALÉM 1000M2</t>
  </si>
  <si>
    <t>IS-0019</t>
  </si>
  <si>
    <t>TAXA DE OCUPAÇÃO DE ÁREAS PUBL PARA CANTEIRO DE OBRAS</t>
  </si>
  <si>
    <t>IS-0020</t>
  </si>
  <si>
    <t>M2.MÊS</t>
  </si>
  <si>
    <t>REF: MEMÓRIA DE CÁLCULO DE TEO - Taxa exucução de obras</t>
  </si>
  <si>
    <t>12.00.000</t>
  </si>
  <si>
    <t>CANTEIRO DE OBRAS</t>
  </si>
  <si>
    <t>DEMOLIÇÕES</t>
  </si>
  <si>
    <t>REMOÇÃO DO CANTEIRO DE OBRA</t>
  </si>
  <si>
    <t>BLOCOS DE FUNDAÇÃO - RECUPECAÇÃO E REFORÇO</t>
  </si>
  <si>
    <t>RECUPERAÇÃO DOS PILARES</t>
  </si>
  <si>
    <t>ESTAIS/TIRANTES</t>
  </si>
  <si>
    <t>PINTURAS</t>
  </si>
  <si>
    <t>PAVIMENTAÇÃO</t>
  </si>
  <si>
    <t>09.00.000</t>
  </si>
  <si>
    <t>SERVIÇOS AUXILIARES E ADMINISTRATIVO</t>
  </si>
  <si>
    <t>MANEJO AMBIENTAL</t>
  </si>
  <si>
    <t xml:space="preserve">APARELHOS DE APOIO     </t>
  </si>
  <si>
    <t>PRODUÇÃO DA EQUIPE 56,27M2</t>
  </si>
  <si>
    <t>BERÇOS DOS APARELHOS DE APOIO</t>
  </si>
  <si>
    <t>DEMOLIÇÃO DE CONCRETO SIMPLES</t>
  </si>
  <si>
    <t xml:space="preserve">REMOÇÃO                              </t>
  </si>
  <si>
    <t xml:space="preserve">03. 02.779             </t>
  </si>
  <si>
    <t xml:space="preserve">03. 02.772            </t>
  </si>
  <si>
    <t>03.02.772.1</t>
  </si>
  <si>
    <t>CCU - 01.016</t>
  </si>
  <si>
    <t>01.03.511.2</t>
  </si>
  <si>
    <t xml:space="preserve">03. 02.773           </t>
  </si>
  <si>
    <t>03.02.773.1</t>
  </si>
  <si>
    <t>CCU - 03.060</t>
  </si>
  <si>
    <t>CCU - 03.058</t>
  </si>
  <si>
    <t>PRODUÇÃO DA EQUIPE 1,60 UNID</t>
  </si>
  <si>
    <t>CCU - 03.059</t>
  </si>
  <si>
    <t>REF: 0308256 SICRO JULHO 2019</t>
  </si>
  <si>
    <t>REF: 0308274 SICRO JULHO 2019</t>
  </si>
  <si>
    <t>PRODUÇÃO DA EQUIPE 1,65 UNID</t>
  </si>
  <si>
    <t>COTAÇÃO-055</t>
  </si>
  <si>
    <t>APARELHO DE APOIO ESPECIAL (VASOFLON), TIPO ARTICULAÇÃO MÓVEL, MODELO VU-350, COM CAPACIDADE DE 3500 KN. FORNECIMENTO</t>
  </si>
  <si>
    <t>APARELHO DE APOIO ESPECIAL (VASOFLON), TIPO ARTICULAÇÃO MÓVEL, MODELO VU-350, COM CAPACIDADE DE 3500 KN. INSTALAÇÃO</t>
  </si>
  <si>
    <t>REMOÇÃO DE APARELHO DE APOIO METÁLICO INCLUSIVE APOIO NÁUTICO - EXECUÇÃO</t>
  </si>
  <si>
    <t>CCU - 03.061</t>
  </si>
  <si>
    <t>APARELHO DE APOIO ESPECIAL (VASOFLON), TIPO ARTICULAÇÃO FIXA, MODELO VF-350, COM CAPACIDADE DE 3500 KN. FORNECIMENTO</t>
  </si>
  <si>
    <t>APARELHO DE APOIO ESPECIAL (VASOFLON), TIPO ARTICULAÇÃO FIXA, MODELO VF-350, COM CAPACIDADE DE 3500 KN. INSTALAÇÃO</t>
  </si>
  <si>
    <t>REF: 0308255 SICRO JULHO 2019</t>
  </si>
  <si>
    <t>COTAÇÃO-056</t>
  </si>
  <si>
    <t>APARELHO DE APOIO ESPECIAL (VASOFLON), TIPO ARTICULAÇÃO MÓVEL, MODELO VU-350, COM CAPACIDADE DE 3500 KN</t>
  </si>
  <si>
    <t>APARELHO DE APOIO ESPECIAL (VASOFLON), TIPO ARTICULAÇÃO FIXA, MODELO VF-350, COM CAPACIDADE DE 3500 KN.</t>
  </si>
  <si>
    <t>03.02.773.2</t>
  </si>
  <si>
    <t>03.02.773.3</t>
  </si>
  <si>
    <t>03.02.773.4</t>
  </si>
  <si>
    <t>03.02.773.5</t>
  </si>
  <si>
    <t>03.02.773.6</t>
  </si>
  <si>
    <t>03.02.773.7</t>
  </si>
  <si>
    <t>03.02.773.8</t>
  </si>
  <si>
    <t>03.02.773.9</t>
  </si>
  <si>
    <t>03.02.773.10</t>
  </si>
  <si>
    <t>03.02.773.11</t>
  </si>
  <si>
    <t>03.02.773.12</t>
  </si>
  <si>
    <t>03.02.773.13</t>
  </si>
  <si>
    <t>03.02.773.14</t>
  </si>
  <si>
    <t>03.02.773.15</t>
  </si>
  <si>
    <t>03.02.773.16</t>
  </si>
  <si>
    <t>CCU - 03.062</t>
  </si>
  <si>
    <t>COTAÇÃO-057</t>
  </si>
  <si>
    <t>APARELHO DE APOIO ESPECIAL (VASOFLON), TIPO ARTICULAÇÃO MULTIRECIONAL, MODELO VM-350, COM CAPACIDADE DE 3500 KN. FORNECIMENTO</t>
  </si>
  <si>
    <t>APARELHO DE APOIO ESPECIAL (VASOFLON), TIPO ARTICULAÇÃO MULTIRECIONAL, MODELO VM-350, COM CAPACIDADE DE 3500 KN</t>
  </si>
  <si>
    <t>CCU - 03.063</t>
  </si>
  <si>
    <t>APARELHO DE APOIO ESPECIAL (VASOFLON), TIPO ARTICULAÇÃO MULTIRECIONAL, MODELO VM-350, COM CAPACIDADE DE 3500 KN. INSTALAÇÃO</t>
  </si>
  <si>
    <t>REF: 0308293 SICRO JULHO 2019</t>
  </si>
  <si>
    <t>CCU - 03.064</t>
  </si>
  <si>
    <t>APARELHO DE APOIO ESPECIAL (VASOFLON), TIPO ARTICULAÇÃO FIXA, MODELO VF-400, COM CAPACIDADE DE 4000 KN. FORNECIMENTO</t>
  </si>
  <si>
    <t>COTAÇÃO-058</t>
  </si>
  <si>
    <t>APARELHO DE APOIO ESPECIAL (VASOFLON), TIPO ARTICULAÇÃO FIXA, MODELO VF-400, COM CAPACIDADE DE 4000 KN</t>
  </si>
  <si>
    <t>APARELHO DE APOIO ESPECIAL (VASOFLON), TIPO ARTICULAÇÃO FIXA, MODELO VF-400, COM CAPACIDADE DE 4000 KN. INSTALAÇÃO</t>
  </si>
  <si>
    <t>CCU - 03.065</t>
  </si>
  <si>
    <t>CCU - 10.017</t>
  </si>
  <si>
    <t>APARELHO DE APOIO ESPECIAL (VASOFLON), TIPO ARTICULAÇÃO FIXA, MODELO VFE-400, COM CAPACIDADE DE 4000 KN</t>
  </si>
  <si>
    <t>COTAÇÃO-059</t>
  </si>
  <si>
    <t>CCU - 03.068</t>
  </si>
  <si>
    <t>CCU - 03.069</t>
  </si>
  <si>
    <t>COTAÇÃO-060</t>
  </si>
  <si>
    <t>APARELHO DE APOIO ESPECIAL (VASOFLON), TIPO ARTICULAÇÃO MÓVEL, MODELO VUE-400, COM CAPACIDADE DE 4000 KN. FORNECIMENTO</t>
  </si>
  <si>
    <t>REF: 0308275 SICRO JULHO 2019</t>
  </si>
  <si>
    <t>APARELHO DE APOIO ESPECIAL (VASOFLON), TIPO ARTICULAÇÃO MÓVEL, MODELO VUE-400, COM CAPACIDADE DE 4000 KN. INSTALAÇÃO</t>
  </si>
  <si>
    <t>APARELHO DE APOIO ESPECIAL (VASOFLON), TIPO ARTICULAÇÃO MÓVEL, MODELO VUE-400, COM CAPACIDADE DE 4000 KN</t>
  </si>
  <si>
    <t>CCU - 03.070</t>
  </si>
  <si>
    <t>CCU - 03.071</t>
  </si>
  <si>
    <t>APARELHO DE APOIO ESPECIAL (VASOFLON), TIPO ARTICULAÇÃO MULTIDIRECIONAL, MODELO VM-400, COM CAPACIDADE DE 4000 KN. FORNECIMENTO</t>
  </si>
  <si>
    <t>APARELHO DE APOIO ESPECIAL (VASOFLON), TIPO ARTICULAÇÃO MULTIDIRECIONAL, MODELO VM-400, COM CAPACIDADE DE 4000 KN. INSTALAÇÃO</t>
  </si>
  <si>
    <t>COTAÇÃO-061</t>
  </si>
  <si>
    <t>APARELHO DE APOIO ESPECIAL (VASOFLON), TIPO ARTICULAÇÃO MULTIDIRECIONAL, MODELO VM-400, COM CAPACIDADE DE 4000 KN</t>
  </si>
  <si>
    <t>REF: 0308294 SICRO JULHO 2019</t>
  </si>
  <si>
    <t>COTAÇÃO-062</t>
  </si>
  <si>
    <t>APARELHO DE APOIO ESPECIAL (VASOFLON), TIPO ARTICULAÇÃO MÓVEL, MODELO VU-450, COM CAPACIDADE DE 4500 KN</t>
  </si>
  <si>
    <t>COTAÇÃO-063</t>
  </si>
  <si>
    <t>APARELHO DE APOIO ESPECIAL (VASOFLON), TIPO ARTICULAÇÃO MULTIRECIONAL, MODELO VM-450, COM CAPACIDADE DE 4500 KN</t>
  </si>
  <si>
    <t>CCU - 03.076</t>
  </si>
  <si>
    <t>COTAÇÃO-064</t>
  </si>
  <si>
    <t>APARELHO DE APOIO ESPECIAL (VASOFLON), TIPO ARTICULAÇÃO MULTIRECIONAL, MODELO VM-700, COM CAPACIDADE DE 7000 KN</t>
  </si>
  <si>
    <t>APARELHO DE APOIO ESPECIAL (VASOFLON), TIPO ARTICULAÇÃO MULTIRECIONAL, MODELO VM-700, COM CAPACIDADE DE 7000 KN. FORNECIMENTO</t>
  </si>
  <si>
    <t>APARELHO DE APOIO ESPECIAL (VASOFLON), TIPO ARTICULAÇÃO MULTIRECIONAL, MODELO VM-700, COM CAPACIDADE DE 7000 KN. INSTALAÇÃO</t>
  </si>
  <si>
    <t>PRODUÇÃO DA EQUIPE 1,30 UNID</t>
  </si>
  <si>
    <t>REF: 0308300 SICRO JULHO 2019</t>
  </si>
  <si>
    <t>CCU - 03.077</t>
  </si>
  <si>
    <t>CCU - 03.078</t>
  </si>
  <si>
    <t>CCU - 03.079</t>
  </si>
  <si>
    <t>COTAÇÃO-065</t>
  </si>
  <si>
    <t>REF: 0308281 SICRO JULHO 2019</t>
  </si>
  <si>
    <t>APARELHO DE APOIO ESPECIAL (VASOFLON), TIPO ARTICULAÇÃO MÓVEL, MODELO VUE-700, COM CAPACIDADE DE 7000 KN. FORNECIMENTO</t>
  </si>
  <si>
    <t>APARELHO DE APOIO ESPECIAL (VASOFLON), TIPO ARTICULAÇÃO MÓVEL, MODELO VUE-700, COM CAPACIDADE DE 7000 KN. INSTALAÇÃO</t>
  </si>
  <si>
    <t>APARELHO DE APOIO ESPECIAL (VASOFLON), TIPO ARTICULAÇÃO MÓVEL, MODELO VUE-700, COM CAPACIDADE DE 7000 KN</t>
  </si>
  <si>
    <t xml:space="preserve">03. 02.774            </t>
  </si>
  <si>
    <t>03.02.774.1</t>
  </si>
  <si>
    <t>REALINHAMENTO DOS APARELHOS NÃO SUBSTITUIDOS</t>
  </si>
  <si>
    <t xml:space="preserve">03. 02.775            </t>
  </si>
  <si>
    <t>DESPESAS COM PEDÁGIOS E TRANSPORTE</t>
  </si>
  <si>
    <t>CCU - 03.084</t>
  </si>
  <si>
    <t xml:space="preserve">DESPESAS COM PEDÁGIO PARA TRANSPORTE DOS APARELHOS DE APOIO DE SÃO PAULO PARA BRASÍLIA. EXCLUSO CP-177. BR-040, BR-050 E BANDEIRANTES. DUAS CARRETAS IDA (5 EIXOS) E VOLTA (4 EIXOS). </t>
  </si>
  <si>
    <t>DESPESAS COM PEDÁGIO DE SP PARA DF - TRASN. MAT. APARELHOS DE APOIO</t>
  </si>
  <si>
    <t>S0026</t>
  </si>
  <si>
    <t>TRANSPORTE COM CAVALO MECÂNICO DE 30 T - RODOVIA PAVIMENTADA</t>
  </si>
  <si>
    <t>03.02.775.2</t>
  </si>
  <si>
    <t>REF: Estudo para orçamento - Pasta Aparelho de apoio "MC - Aparelhos Apoio"</t>
  </si>
  <si>
    <t>03.02.772.2</t>
  </si>
  <si>
    <t xml:space="preserve">PRODUÇÃO DA EQUIPE 12,61 UNID. </t>
  </si>
  <si>
    <t>COTAÇÃO-068</t>
  </si>
  <si>
    <t>REF:  3807865 SICRO JULHO 2019</t>
  </si>
  <si>
    <t>REF: Estudo para orçamento - Pasta "Aparelho de apoio_MC - Aparelhos Apoio"</t>
  </si>
  <si>
    <t>REF: Estudo para orçamento - Pasta "Berço Aparelhos de apoio_MC-Berço Ap. Apoio"</t>
  </si>
  <si>
    <t>CCA - 011</t>
  </si>
  <si>
    <t xml:space="preserve">BERÇO METÁLICO INCLUSIVE PINTURA                      </t>
  </si>
  <si>
    <t>PROTENDIDOS DYWIDAG</t>
  </si>
  <si>
    <t>43.073.873/0003-07</t>
  </si>
  <si>
    <t>(11) 2131-3700</t>
  </si>
  <si>
    <t>CCU - 03.085</t>
  </si>
  <si>
    <t>S0027</t>
  </si>
  <si>
    <t>REF: Estudo para orçamento - Pasta Blocos "MC - Transp. São Paulo_BSB"</t>
  </si>
  <si>
    <t>PROJETO EXECUTIVO DOS BERÇOS METÁLICOS DO SISTEMA DE APARELHOS DE APOIO,  INCLUINDO MEMÓRIA DE CÁLCULO, QUANTITATIVOS, PROCEDIMENTO DA EXECUÇÃO, MODELAGEM NUMERICA E ESPECIFICAÇÕES TÉCNICAS.</t>
  </si>
  <si>
    <t>HASTE PARA CHUMBADOR  3/4" X 260MM, COM CHUMBADOR QUÍMICO AMPOLA AQA20</t>
  </si>
  <si>
    <t>HASTE PARA CHUMBADOR  3/4" X 260MM, COM CHUMBADOR QUÍMICO AMPOLA AQA20 - FORNECIMENTO E EXECUÇÃO</t>
  </si>
  <si>
    <t xml:space="preserve">APOIO NÁUTICO AUXILIO SERVIÇOS BERÇO METÁLICO DO APARELHOS DE APOIO           </t>
  </si>
  <si>
    <t>(11) 2306-8611</t>
  </si>
  <si>
    <t>MECAPAR</t>
  </si>
  <si>
    <t>contato@mecapar.com.br</t>
  </si>
  <si>
    <t>03.342.731/0001-03</t>
  </si>
  <si>
    <t>SANIMIX</t>
  </si>
  <si>
    <t>(61) 98151-5707</t>
  </si>
  <si>
    <t>GERSON DE FREITAS</t>
  </si>
  <si>
    <t>PROTENDE ABS</t>
  </si>
  <si>
    <t>32.613.688/0001-71</t>
  </si>
  <si>
    <t>PINTURA</t>
  </si>
  <si>
    <t xml:space="preserve">04. 01.560             </t>
  </si>
  <si>
    <t>04.01.561.1</t>
  </si>
  <si>
    <t>04.01.561.2</t>
  </si>
  <si>
    <t>PINTURA EM SUBSTRATO METÁLICO</t>
  </si>
  <si>
    <t xml:space="preserve">04. 01.562           </t>
  </si>
  <si>
    <t>PINTURA EM SUBSTRATO DE CONCRETO</t>
  </si>
  <si>
    <t>PINTURA ANTIDERRAPANTE EM PISO (PASSARELAS PEDESTRES)</t>
  </si>
  <si>
    <t>04.01.562.1</t>
  </si>
  <si>
    <t>04.01.563.1</t>
  </si>
  <si>
    <t>04.01.562.2</t>
  </si>
  <si>
    <t>PINTURA DE ACABAMENTO EM SUPERFÍCIE METÁLICA COM (60 μm) COM TINTA A BASE DE POLISILOXANO ACRÍLICO NA COR BRANCA OU CINZA. PRODUTO DE REFERÊNCIA: INTERFINE 878 OU EQUIVALENTE.</t>
  </si>
  <si>
    <t>PINTURA DE PREPARO DE SUPERFÍCIE EM PRIMER EPÓXI POLIAMIDA BICOMPONENTE DE  (150 μm), REFERÊNCIA DO PRODUTO WEGPOXI WET SURFACE 89 PW OU EQUIVALENTE, INCLUSIVE DILUENTE EPOXI 3005 OU EQUIVALENTE.</t>
  </si>
  <si>
    <t>PINTURA DE ACABAMENTO ANTIDERRAPANTE EM EPÓXI POLIAMIDA BICOMPONENTE DE  (450 μm), REFERÊNCIA DO PRODUTO WEGPOXI ADA 314 OU EQUIVALENTE, INCLUSIVE DILUENTE EPOXI 3005 OU EQUIVALENTE.</t>
  </si>
  <si>
    <t>04.01.563.2</t>
  </si>
  <si>
    <t xml:space="preserve"> 04. 01.561             </t>
  </si>
  <si>
    <t xml:space="preserve">PREPARO SUPERFICIE PARA PINTURA                                </t>
  </si>
  <si>
    <t>04.01.562.3</t>
  </si>
  <si>
    <t xml:space="preserve">04. 01.563           </t>
  </si>
  <si>
    <t xml:space="preserve">04. 01.564        </t>
  </si>
  <si>
    <t>04.01.564.1</t>
  </si>
  <si>
    <t>04.01.564.2</t>
  </si>
  <si>
    <t xml:space="preserve">PINTURA DE FUNDO (1ª DEMÃO) EM SUPERFÍCIE METÁLICA COM (120 μm) COM TINTA A BASE DE EPÓXI TOLERANTE DE SUPERFÍCIE (PRIMER), DE ALTOS SÓLIDOS, ALTA ESPESSURA E COM PIGNENTAÇÃO ANTICORROSIVA A BASE DE ALUMÍNIO. PRODUTO DE REFERÊNCIA: INTERSEAL 670HS EGA230 OU EQUIVALENTE. </t>
  </si>
  <si>
    <t>PINTURA DE FUNDO (2ª DEMÃO) EM SUPERFÍCIE METÁLICA COM (180 μm) COM TINTA A BASE DE EPÓXI TOLERANTE DE SUPERFÍCIE (PRIMER) NA COR BRANCA, DE ALTOS SÓLIDOS E ALTA ESPESSURA. PRODUTO DE REFERÊNCIA: INTERSEAL 670HS EGB000 OU EQUIVALENTE.</t>
  </si>
  <si>
    <t xml:space="preserve">TINTA A BASE DE EPÓXI TOLERANTE DE SUPERFÍCIE (PRIMER), DE ALTOS SÓLIDOS, ALTA ESPESSURA E COM PIGNENTAÇÃO ANTICORROSIVA A BASE DE ALUMÍNIO. PRODUTO DE REFERÊNCIA: INTERSEAL 670HS EGA230 OU EQUIVALENTE. </t>
  </si>
  <si>
    <t>PRODESIVO</t>
  </si>
  <si>
    <t>ANDRÉ</t>
  </si>
  <si>
    <t>(61) 3356-0060</t>
  </si>
  <si>
    <t>26.500.579/0001-45</t>
  </si>
  <si>
    <t>REF: 5300992 SICRO JULHO 2019 - Pasta estudo para orçamento_Pintura da ponte "MC-COMPOSIÇÕES"</t>
  </si>
  <si>
    <t xml:space="preserve">DILUENTE GTA-220   </t>
  </si>
  <si>
    <t xml:space="preserve">TINTA A BASE DE EPÓXI TOLERANTE DE SUPERFÍCIE (PRIMER) NA COR BRANCA, DE ALTOS SÓLIDOS E ALTA ESPESSURA. PRODUTO DE REFERÊNCIA: INTERSEAL 670HS EGB000 OU EQUIVALENTE.     </t>
  </si>
  <si>
    <t>TINTA A BASE DE POLISILOXANO ACRÍLICO NA COR BRANCA OU CINZA. PRODUTO DE REFERÊNCIA: INTERFINE 878 OU EQUIVALENTE.</t>
  </si>
  <si>
    <t>DILUENTE GTA-007</t>
  </si>
  <si>
    <t>PINTURA DE ACABAMENTO DE SUPERFÍCIE COM DISPERSÃO AQUOSA PARA CONCRETO APARENTE NA COR CINZA CONCRETO, ESPESSURA FINAL (120µm) - REFERÊNCIA: MC-REPACRYL CINZA CONCRETO - MC BAUCHEMIE OU EQUIVALENTE.</t>
  </si>
  <si>
    <t>DISPERSÃO AQUOSA PARA CONCRETO APARENTE NA COR CINZA CONCRETO - REFERÊNCIA: MC-REPACRYL CINZA CONCRETO - MC BAUCHEMIE OU EQUIVALENTE.</t>
  </si>
  <si>
    <t>CCA - 012</t>
  </si>
  <si>
    <t>REF: 95218 SINAPI DEZEMBRO 2019</t>
  </si>
  <si>
    <t>CCA - 013</t>
  </si>
  <si>
    <t>REF: 95219 SINAPI DEZEMBRO 2019</t>
  </si>
  <si>
    <t>COTAÇÃO-069</t>
  </si>
  <si>
    <t>PINTURA DE PROTEÇÃO EM SUPERFÍCIE DE CONCRETO COM RESINA POLIURETANO BICOMPONENTE, COR BRANCO, ALTO DESEMPENHO, ANTI-GRAFITE,  ESPESSURA FINAL (160µm). PRODUTO DE REFERÊNCIA MC-COLOR FLAIR VISION – MC BAUCHEMIE OU EQUIVALENTE.</t>
  </si>
  <si>
    <t>COTAÇÃO-070</t>
  </si>
  <si>
    <t>COTAÇÃO-071</t>
  </si>
  <si>
    <t>RESINA POLIURETANO PARTE "A", COR BRANCO, ALTO DESEMPENHO, ANTI-GRAFITE. PRODUTO DE REFERÊNCIA MC-COLOR FLAIR VISION – MC BAUCHEMIE OU EQUIVALENTE.</t>
  </si>
  <si>
    <t>RESINA POLIURETANO PARTE "B", COR BRANCO, ALTO DESEMPENHO, ANTI-GRAFITE. PRODUTO DE REFERÊNCIA MC-COLOR FLAIR VISION-PARTE B – MC BAUCHEMIE OU EQUIVALENTE.</t>
  </si>
  <si>
    <t>04.01.563.3</t>
  </si>
  <si>
    <t>REF: 88493 SINAPI DEZEMBRO 2019 - Pasta estudo para orçamento_Pintura da ponte "MC-COMPOSIÇÕES"</t>
  </si>
  <si>
    <t>PINTURA DE PROTEÇÃO EM SUPERFÍCIE DE CONCRETO COM RESINA POLIURETANO BICOMPONENTE, TRANSPARENTE, ALTO DESEMPENHO, ANTI-GRAFITE,  ESPESSURA FINAL (160µm). PRODUTO DE REFERÊNCIA MC-COLOR PROOF VISION – MC BAUCHEMIE OU EQUIVALENTE.</t>
  </si>
  <si>
    <t>RESINA POLIURETANO PARTE "A", TRANSPARENTE, ALTO DESEMPENHO, ANTI-GRAFITE. PRODUTO DE REFERÊNCIA MC-COLOR PROOF VISION – MC BAUCHEMIE OU EQUIVALENTE.</t>
  </si>
  <si>
    <t>RESINA POLIURETANO PARTE "B", TRANSPARENTE, ALTO DESEMPENHO, ANTI-GRAFITE. PRODUTO DE REFERÊNCIA MC-COLOR PROOF VISION – MC BAUCHEMIE OU EQUIVALENTE.</t>
  </si>
  <si>
    <t>TRANSPORTE ENTRE CANTEIRO E PONTE</t>
  </si>
  <si>
    <t>04.01.565.1</t>
  </si>
  <si>
    <t>PRIMER EPÓXI POLIAMIDA BICOMPONENTE, REFERÊNCIA DO PRODUTO WEGPOXI WET SURFACE 89 PW OU EQUIVALENTE.</t>
  </si>
  <si>
    <t>DILUENTE EPOXI 3005 OU EQUIVALENTE.</t>
  </si>
  <si>
    <t>26.629.142/0001-06</t>
  </si>
  <si>
    <t>MAW REPRESENTAÇÕES - WEG</t>
  </si>
  <si>
    <t>WILLIAN WURZ</t>
  </si>
  <si>
    <t>(62) 3013-8236</t>
  </si>
  <si>
    <t>Incluindo ICMS, IPI e 15% de atualização de preços conforme proposta.</t>
  </si>
  <si>
    <t>TINTA EPÓXI POLIAMIDA BICOMPONENTE, REFERÊNCIA DO PRODUTO WEGPOXI ADA 314 OU EQUIVALENTE.</t>
  </si>
  <si>
    <t>REF: 84661 SINAPI DEZEMBRO 2019 - Pasta estudo para orçamento_Pintura da ponte "MC-COMPOSIÇÕES"</t>
  </si>
  <si>
    <t>0,2400000</t>
  </si>
  <si>
    <t>0,3000000</t>
  </si>
  <si>
    <t>REF: 100226 SINAPI DEZEMBRO 2019</t>
  </si>
  <si>
    <t>CCU - 01.017</t>
  </si>
  <si>
    <t xml:space="preserve">PROJETO EXECUTIVO DA SINALIZAÇÃO VIÁRIA E NÁUTICA PERMANENTE, INCLUSIVE RELATÓRIOS JUSTIFICATIVO DA SOLUÇÃO, ESPECIFICAÇÕES TÉCNICAS, QUANTITATIVOS, MEMORIAIS E PROCEDIMENTOS EXECUTIVOS. INCLUSO TODAS AS TAXAS E DESPESAS PARA APROVAÇÕES E LICENCIAMENTOS  </t>
  </si>
  <si>
    <t>01.03.504.3</t>
  </si>
  <si>
    <t xml:space="preserve">PROJETO EXECUTIVO DA SINALIZAÇÃO VIÁRIA E NÁUTICA PROVISÓRIOA, INCLUSIVE RELATÓRIOS JUSTIFICATIVO DA SOLUÇÃO, ESPECIFICAÇÕES TÉCNICAS, QUANTITATIVOS, MEMORIAIS E PROCEDIMENTOS EXECUTIVOS. INCLUSO TODAS AS TAXAS E DESPESAS PARA APROVAÇÕES E LICENCIAMENTOS  </t>
  </si>
  <si>
    <t>LIMPEZA EM SUPERFÍCIE DE CONCRETO COM ESCOVA DE AÇO</t>
  </si>
  <si>
    <t>LIMPEZA E PREPARO PARA INJEÇÃO</t>
  </si>
  <si>
    <t>03.01.501.2</t>
  </si>
  <si>
    <t>03.01.501.3</t>
  </si>
  <si>
    <t>03.01.502.2</t>
  </si>
  <si>
    <t>CCU - 03.086</t>
  </si>
  <si>
    <t>CCU - 03.087</t>
  </si>
  <si>
    <t>ABERTURA DE CAVIDADE EM CONCRETO, COM O EMPREGO DE MÁQUINA DE CORTE E DISCO ADIAMANTADO</t>
  </si>
  <si>
    <t>LIMPEZA DE SUPERFÍCIE COM JATO DE AR</t>
  </si>
  <si>
    <t>REF:  99814 SINAPI DEZEMBRO 2019</t>
  </si>
  <si>
    <t>CCU - 03.088</t>
  </si>
  <si>
    <t>COLMATAÇÃO DAS FISSURAS COM RESINA EPOXI (MC DUR 1300 PLUS OU EQUIVALENTE TÉCNICO)</t>
  </si>
  <si>
    <t>PRODUÇÃO DA EQUIPE 5,0 M2</t>
  </si>
  <si>
    <t>CONSUMO DE 1,80 KG/M2</t>
  </si>
  <si>
    <t>COTAÇÃO-072</t>
  </si>
  <si>
    <t>RESINA EPOXI (MC DUR 1300 PLUS OU EQUIVALENTE TÉCNICO)</t>
  </si>
  <si>
    <t xml:space="preserve">03. 02.111         </t>
  </si>
  <si>
    <t xml:space="preserve">03. 02.112          </t>
  </si>
  <si>
    <t>03.02.112.1</t>
  </si>
  <si>
    <t>03.02.112.2</t>
  </si>
  <si>
    <t>CCU - 03.089</t>
  </si>
  <si>
    <t>INJEÇÃO DAS FISSURAS COM DURÕMETRO EPOXÍDICO - MC BAUCHEMIE MC INJEKT 1264 COMPACT OU EQUIVALENTE</t>
  </si>
  <si>
    <t>CCA - 014</t>
  </si>
  <si>
    <t>FORNECIMENTO E APLICAÇÃO DURÕMETRO EPOXÍDICO - MC BAUCHEMIE MC INJEKT 1264 COMPACT OU EQUIVALENTE</t>
  </si>
  <si>
    <t>COTAÇÃO-073</t>
  </si>
  <si>
    <t>DURÕMETRO EPOXÍDICO - MC BAUCHEMIE MC INJEKT 1264 COMPACT OU EQUIVALENTE</t>
  </si>
  <si>
    <t>1,08 KG/L</t>
  </si>
  <si>
    <t xml:space="preserve">03. 02.113         </t>
  </si>
  <si>
    <t>REMOÇAO DE COLMATAÇÃO E REGULARIZAÇÃO DE SUPERFÍCIE</t>
  </si>
  <si>
    <t>03.02.113.1</t>
  </si>
  <si>
    <t>03.02.113.2</t>
  </si>
  <si>
    <t>03.02.111.1</t>
  </si>
  <si>
    <t>03.02.111.2</t>
  </si>
  <si>
    <t>03.02.111.3</t>
  </si>
  <si>
    <t>APOIO NÁUTICO AUXILIO SERVIÇO  PINTURA - TRANSPORTE</t>
  </si>
  <si>
    <t>TRANSPORTE HORIZONTAL DE MATERIAIS PARA PINTURA COM CARRINHO PLATAFORMA ATÉ 200M</t>
  </si>
  <si>
    <t>TRANSPORTE HORIZONTAL DE FORMA MADEIRA COMPENSADO ATÉ 200M</t>
  </si>
  <si>
    <t>M2xKM</t>
  </si>
  <si>
    <t>TRANSPORTE HORIZONTAL MANUAL DE VERGALHÕES DE AÇO ATÉ 200M</t>
  </si>
  <si>
    <t>TRANSPORTE HORIZONTAL COM CARRINHO PLATAFORMA DE MATERIAIS PARA INJEÇÃO DE FISSURAS E ADITIVOS CRISTALIZANTES ATÉ 200M</t>
  </si>
  <si>
    <t xml:space="preserve">03. 02.114        </t>
  </si>
  <si>
    <t>03.02.114.1</t>
  </si>
  <si>
    <t>ELABORAÇÃO DE PLANO DE GERENCIAMENTO DE RESÍDUOS SÓLIDOS</t>
  </si>
  <si>
    <t>REF:  3808043 SICRO JULHO 2019</t>
  </si>
  <si>
    <t>CCU - 03.090</t>
  </si>
  <si>
    <t>CCU - 03.091</t>
  </si>
  <si>
    <t>REMOÇÃO DA COLMATAÇÃO DAS FISSURAS COM UTILIZAÇÃO DE LIXAMENTO MECÂNICO</t>
  </si>
  <si>
    <t>REF: 491514 SINAPI DEZEMBRO 2019</t>
  </si>
  <si>
    <t>COTAÇÃO-074</t>
  </si>
  <si>
    <t>REGULARIZAÇÃO DE SUPERFÍCIE DE CONCRETO COM ARGAMASSA POLIMÉRICA - REF: MC ZENTRIFIX CR OU EQUIVALENTE TÉCNICO.</t>
  </si>
  <si>
    <t>ARGAMASSA POLIMÉRICA - MC BAUCHEMIE MC ZENTRIFIX CR OU EQUIVALENTE</t>
  </si>
  <si>
    <t>Consumo 1849 kg/m³</t>
  </si>
  <si>
    <t>CONSIDERADO ESPESSURA DE 5MM</t>
  </si>
  <si>
    <t>TRANSPORTE DO CANTEIRO AO PIER</t>
  </si>
  <si>
    <t>REF: 07387/ORSE JULHO 2019</t>
  </si>
  <si>
    <t>APOIO NÁUTICO AUXILIO SERVIÇO  RECUPERAÇÃO DE BLOCOS E PILARES - TRANSPORTE</t>
  </si>
  <si>
    <t>APOIO NÁUTICO AUXILIO SERVIÇO  DEMOLIÇÃO DE ESTRUTURA DE CONCRETO - TRANSPORTE</t>
  </si>
  <si>
    <t>BERÇO METÁLICO PARA OS APARELHOS DE APOIO CONFORME PROJETO BÁSICO - EXECUÇÃO E INSTALAÇÃO</t>
  </si>
  <si>
    <t>APOIO NÁUTICO AUXILIO SERVIÇO BERÇOS METÁLICOS E APARELHOS DE APOIO - TRANSPORTE</t>
  </si>
  <si>
    <t xml:space="preserve">02. 02.113             </t>
  </si>
  <si>
    <t>02.02.113.1</t>
  </si>
  <si>
    <t>BLOCOS DE CONCRETO</t>
  </si>
  <si>
    <t>TRANSPORTE HORIZONTAL DE ENTULHO COM CARRINHO PLATAFORMA ATÉ 200M</t>
  </si>
  <si>
    <t>CONSIDERADO 200 M DE TRANSPORTE DO PIER ATE CANTEIRO</t>
  </si>
  <si>
    <t>REVITALIZAÇÃO DA PONTE JK, INCLUINDO ELABORAÇÃO DE PROJETOS EXECUTIVOS</t>
  </si>
  <si>
    <t>PROJ-DE-018-20</t>
  </si>
  <si>
    <t>CONTRATAÇÃO DE EMPRESA DE ENGENHARIA PARA EXECUÇÃO DE OBRA DE REVITALIZAÇÃO DA PONTE JK, INCLUINDO ELABORAÇÃO DE PROJETOS EXECUTIVOS</t>
  </si>
  <si>
    <t>PLATAFORMA DE TRABALHO PARA EXECUÇÃO DOS SERVIÇOS DE PINTURA DOS ARCOS METÁLICOS E CONCRETO, FIXADOS NA ESTRUTURA COM TRELIÇAS METÁLICAS E TÁBUAS - UTILIZAÇÃO DE 100 VEZES - CONFECÇÃO, INSTALAÇÃO E RETIRADA</t>
  </si>
  <si>
    <t>PRODUÇÃO DA EQUIPE 6,144 m²</t>
  </si>
  <si>
    <t>PLATAFORMA DE TRABALHO MÓVEL PARA ACESSO AS ÀS ANCORAGENS DOS TIRANTES/ESTAIS - UTILIZAÇÃO DE 100 VEZES - CONFECÇÃO, INSTALAÇÃO E RETIRADA</t>
  </si>
  <si>
    <t xml:space="preserve">PLATAFORMAS DE TRABALHO E ESCADAS DE MADEIRA ACESSO AO TOPO DOS PILARES                               </t>
  </si>
  <si>
    <t xml:space="preserve">PLATAFORMA DE SERVIÇO FLUTUANTE                               </t>
  </si>
  <si>
    <t>PROJETO EXECUTIVO DE RECUPERAÇÃO DAS ÁRES DEGRADADAS</t>
  </si>
  <si>
    <t>01.03.511.3</t>
  </si>
  <si>
    <t>CCU - 01.019</t>
  </si>
  <si>
    <t>PROJETO EXECUTIVO DE SUBSTITUIÇÃO DOS APARELHOS DE APOIO, INCLUINDO RELATÓRIO TÉCNICO, MEMORIAL DESCRITIVO, MONTAGEM, QUANTITATIVOS E ESPECIFICAÇÕES TÉCNICAS</t>
  </si>
  <si>
    <t>01.03.514</t>
  </si>
  <si>
    <t>01.03.513.2</t>
  </si>
  <si>
    <t>01.03.514.1</t>
  </si>
  <si>
    <t>CCU - 01.020</t>
  </si>
  <si>
    <t>PROJETO EXECUTIVO DAS PLATAFORMAS DE TRABALHO PARA EXECUÇÃO DOS SERVIÇOS DE PINTURA, ANCORAGENS DOS TIRANTES E DA PASSARELA FLUTUANTE, INCLUINDO MEMÓRIA DE CÁLCULO, QUANTITATIVOS, ESPECIFICAÇÕES TÉCNICAS PROCEDIMENTOS DA MONTAGEM E DESMONTAGEM INCLUSO TODAS AS TAXAS E DESPESAS NECESSARIAS PARA ELABORAÇÃO E APROVAÇÕES.</t>
  </si>
  <si>
    <t xml:space="preserve">PROJETO EXECUTIVO DE ENSECADEIRA METÁLICA COM DETALHAMENTO DE PEÇA COM DETALHAMENTO DO FASEAMENTO (ETAPAS) DE MONTAGEM. INCLUINDO MEMÓRIA DE CÁLCULO, QUANTITATIVOS, ESPECIFICAÇÕES TÉCNICAS PROCEDIMENTOS DA MONTAGEM E DESMONTAGEM. INCLUSO TODAS AS TAXAS E DESPESAS NECESSARIAS PARA ELABORAÇÃO E APROVAÇÕES.   </t>
  </si>
  <si>
    <t xml:space="preserve">PROJETO EXECUTIVO DE RECUPERAÇÃO DE ÁRES DEGRADADAS - PRAD, DE ACORDO COM AS EXIGENCIAS DA AUTORIZAÇÃO AMBIENTAL DO IBRAM. INCLUSO TODAS AS TAXAS E DESPESAS NECESSARIAS PARA ELABORAÇÃO E APROVAÇÕES.   </t>
  </si>
  <si>
    <t xml:space="preserve">CREA-DF </t>
  </si>
  <si>
    <t>ART DO CONTRATO</t>
  </si>
  <si>
    <t>01.03.514.2</t>
  </si>
  <si>
    <t>19.535.271/0001-70</t>
  </si>
  <si>
    <t>CATARINA NÁUTICA</t>
  </si>
  <si>
    <t>(47) 3349-9090</t>
  </si>
  <si>
    <t>comercial@catarinanautica.com</t>
  </si>
  <si>
    <t>INÓXLINE</t>
  </si>
  <si>
    <t>CARNEIRO</t>
  </si>
  <si>
    <t>03.759.208/0001-87</t>
  </si>
  <si>
    <t>(11) 3185-6966</t>
  </si>
  <si>
    <t>SUL MARÍTIMA</t>
  </si>
  <si>
    <t>(11)4071-0885</t>
  </si>
  <si>
    <t>EDISON GITAHY</t>
  </si>
  <si>
    <t>14.152.894/0001-40.</t>
  </si>
  <si>
    <t xml:space="preserve">PROJETO EXECUTIVO DE RECUPERAÇÃO DOS PILARES RETOS E INCLINADOS, INCLUINDO MEMÓRIA DE CÁLCULO, ESPECIFICAÇÕES TÉCNICAS, PROCEDIMENTOS DA EXECUÇÃO DO SERVIÇOS, QUANTITATIVOS E FASEAMENTO DE INSPEÇÃO INCLUSO TODAS AS TAXAS E DESPESAS NECESSARIAS PARA ELABORAÇÃO E APROVAÇÕES.   </t>
  </si>
  <si>
    <t xml:space="preserve">06.00.000 </t>
  </si>
  <si>
    <t>INSTALAÇÕES ELÉTRICAS</t>
  </si>
  <si>
    <t xml:space="preserve">06.01.400 </t>
  </si>
  <si>
    <t>06.01.400.1</t>
  </si>
  <si>
    <t>CCU - 06.001</t>
  </si>
  <si>
    <t>09207/ORSE DEZEMBRO 2019</t>
  </si>
  <si>
    <t>COTAÇÃO-075</t>
  </si>
  <si>
    <t>BALIZAMENTO AUTÔNOMO, TIPO BALIZADOR NOTURNO, COMPOSTO PELO SINALIZADOR, PAINEL SOLAR E GABINETE COM CONTROLADOR DE CARGA DAS BATERIAS</t>
  </si>
  <si>
    <t>BALIZATECH</t>
  </si>
  <si>
    <t>(11) 4702-7950</t>
  </si>
  <si>
    <t>CCU - 02.031</t>
  </si>
  <si>
    <t>02.01.202.34</t>
  </si>
  <si>
    <t>ILUMINAÇÃO PROVISÓRIA DO CAIXÃO DA PONTE, COM LAMPADAS A CADA 2,5M - FORNECIMENTO E INSTALAÇÃO</t>
  </si>
  <si>
    <t>SUNLAB</t>
  </si>
  <si>
    <t>ALINE</t>
  </si>
  <si>
    <t>nfo@balizatech.com.br</t>
  </si>
  <si>
    <t>(11) 4035-8575</t>
  </si>
  <si>
    <t>PROJETO EXECUTIVO SUBSTITUIÇÃO DAS JUNTAS</t>
  </si>
  <si>
    <t>REALINHAMETO DE APARELHO DE APOIO ESPECIAL (VASOFLON), CASO NÃO HAJA NESSECIDADE DE SUBSTITUIÇÃO</t>
  </si>
  <si>
    <t>03.02.774.2</t>
  </si>
  <si>
    <t>ESTACA PRANCHA METÁLICA, PERFÍL AZ 20-700 (10mm) E C-14 - CRAVAÇÃO E RETIRADA COM APOIO NÁUTICO COM REAPROVEITAMENTO DO PERFIL</t>
  </si>
  <si>
    <t>ESTACA PRANCHA METÁLICA, PERFÍL AZ 20-700 (10mm) E C-14 - CRAVAÇÃO E RETIRADA COM MARTELO HIDRÁULICO</t>
  </si>
  <si>
    <t>ESTRUTURA DE TRAVAMENTO EM PERFIL DE AÇO "W" CORTE, SOLDA E MONTAGEM - INSTALAÇÃO COM REAPROVEITAMENTO DO PERFIL</t>
  </si>
  <si>
    <t>INSPEÇÃO DOS 28 APARELHOS DE APOIO PARA DETECTAR A NECESSIDADE DE SUBSTITUIÇÃO, INCLUINDO EMISSÃO DE LAUDO TÉCNICO.</t>
  </si>
  <si>
    <t>PINTURA EPOXI EM CHAPA DE AÇO COM PISTOLA A AR COMPRIMIDO</t>
  </si>
  <si>
    <t>ELEVAÇÃO DE ESTRUTURAS DE 1.470 A 1.960 KN PARA SUBSTITUIÇÃO DE APARELHO DE APOIO COM A UTILIZAÇÃO DE MACACO HIDRÁULICO</t>
  </si>
  <si>
    <t>ESTACA PRANCHA METÁLICA, PERFÍL AZ 20-700 / C-14 (10mm) - FORNECIMENTO</t>
  </si>
  <si>
    <t>ESTRUTURA DE TRAVAMENTO EM PERFIL DE AÇO "W" - FORNECIMENTO</t>
  </si>
  <si>
    <t>JUSTAS DE DILATAÇÃO ESTRUTURAIS</t>
  </si>
  <si>
    <t>REMOÇÃO DE JUNTA METÁLICA TIPO FIP GPE 200 - EXECUÇÃO</t>
  </si>
  <si>
    <t>REF:  EDITAL DE LICITAÇÃO Nº 013 / 2019 - ASCAL PRESS - NOVACAP</t>
  </si>
  <si>
    <t>PRODUÇÃO DA EQUIPE 3,25 M</t>
  </si>
  <si>
    <t>ADICIONAL NOTURNO</t>
  </si>
  <si>
    <t>%</t>
  </si>
  <si>
    <t>LIMPEZA DE JUNTA DE DILATAÇÃO</t>
  </si>
  <si>
    <t>PRODUÇÃO DA EQUIPE 15 KG</t>
  </si>
  <si>
    <t>BENAFER</t>
  </si>
  <si>
    <t>33.049.412/0010-66</t>
  </si>
  <si>
    <t>(11) 2086-9911</t>
  </si>
  <si>
    <t>DIONE MAX</t>
  </si>
  <si>
    <t>PRODUÇÃO DA EQUIPE 2,5 M</t>
  </si>
  <si>
    <t>COTAÇÃO-076</t>
  </si>
  <si>
    <t>MANTA DE BORRACHA E=2MM</t>
  </si>
  <si>
    <t>REF:  COTAÇÃO</t>
  </si>
  <si>
    <t>PORCA E ARRUELA M20 ASTM GR8 - FORNECIMENTO E INSTALAÇÃO</t>
  </si>
  <si>
    <t>CASAS BAHIA</t>
  </si>
  <si>
    <t>(11) 4003-2773</t>
  </si>
  <si>
    <t>FERMÁQUINAS</t>
  </si>
  <si>
    <t>(11) 2065-9002</t>
  </si>
  <si>
    <t>68.452.762/0001-62</t>
  </si>
  <si>
    <t>PRODUÇÃO DA EQUIPE 13,5 UNID</t>
  </si>
  <si>
    <t>COTAÇÃO-078</t>
  </si>
  <si>
    <t>COTAÇÃO-079</t>
  </si>
  <si>
    <t>30.000.593./0001- 57</t>
  </si>
  <si>
    <t>ARRUELA LISA M20 ASTM CLASSE 5</t>
  </si>
  <si>
    <t>PORCA SEXTAVADA M20 ASTM CLASSE 5</t>
  </si>
  <si>
    <t>SUBSTITUIÇÃO DE JUNTA FIP CASO SEJA NECESSÁRIO</t>
  </si>
  <si>
    <t>BIG PARAFUSOS</t>
  </si>
  <si>
    <t>SIA PARAFUSOS</t>
  </si>
  <si>
    <t>3233-0444</t>
  </si>
  <si>
    <t>CLAUDIO</t>
  </si>
  <si>
    <t>05.902.751/0001-17</t>
  </si>
  <si>
    <t>JOÃO</t>
  </si>
  <si>
    <t>3361-4439</t>
  </si>
  <si>
    <t>08.258.885/0001-35</t>
  </si>
  <si>
    <t xml:space="preserve">04. 01.800       </t>
  </si>
  <si>
    <t>04.01.800.1</t>
  </si>
  <si>
    <t>CCU - 04.019</t>
  </si>
  <si>
    <t>REPOSIÇÃO DE CABO DE AÇO 3/16" REVESTIDO EM PVC EM GUARDA CORPO</t>
  </si>
  <si>
    <t>09979/ORSE DEZEMBRO 2019</t>
  </si>
  <si>
    <t>COTAÇÃO-080</t>
  </si>
  <si>
    <t>CABO DE AÇO 3/16" REVESTIDO EM PVC</t>
  </si>
  <si>
    <t>10,80m² conforme proposta da priner</t>
  </si>
  <si>
    <t>INSPEÇÃO DAS JUNTAS DOS APOIOS 5B, 6B E 7B PARA DETECTAR A NECESSIDADE DE SUBSTITUIÇÃO, INCLUINDO EMISSÃO DE LAUDO TÉCNICO.</t>
  </si>
  <si>
    <t>CCU - 01.021</t>
  </si>
  <si>
    <t>01.03.512.2</t>
  </si>
  <si>
    <t xml:space="preserve">2 lances de 240m conforme caderno </t>
  </si>
  <si>
    <t>CCU - 09.001</t>
  </si>
  <si>
    <t>CCU - 09.002</t>
  </si>
  <si>
    <t>CCU - 09.003</t>
  </si>
  <si>
    <t>CCU - 09.004</t>
  </si>
  <si>
    <t>CCU - 09.005</t>
  </si>
  <si>
    <t>MOTORISTA</t>
  </si>
  <si>
    <t>OBRA C/BDI</t>
  </si>
  <si>
    <t>Entrará a Partir do 2 mês de obra</t>
  </si>
  <si>
    <t>Entrará a Partir do 3 mês de obra</t>
  </si>
  <si>
    <t>MEIO PERÍODO-  Entrará a Partir do 3 mês de obra</t>
  </si>
  <si>
    <t xml:space="preserve">VIGILÂNCIA (2 VIGIAS)    </t>
  </si>
  <si>
    <t>Entrará a Partir do 5 mês de obra e sairá no mês 22</t>
  </si>
  <si>
    <t>WIMÓVEIS</t>
  </si>
  <si>
    <t>ALUGUEL DE RESIDENCIA PARA     EQUIPE DO APOIO NÁUTICO COM 3 QUARTOS</t>
  </si>
  <si>
    <t>ZAP IMÓVEIS</t>
  </si>
  <si>
    <t>DF IMÓVEIS</t>
  </si>
  <si>
    <t>IS-0021 - TRANSPORTE RODOVIÁRIO EQUIPE   DE OPERAÇÃO DO APOIO NÁUTICO IDA E VOLTA</t>
  </si>
  <si>
    <t>TABELA CONSULTORIA DNIT</t>
  </si>
  <si>
    <t xml:space="preserve">MOBILIÁRIO DO CANTEIRO DE OBRA                               </t>
  </si>
  <si>
    <t xml:space="preserve">EQUIP. LABORATÓRIO DE CONCRETO       </t>
  </si>
  <si>
    <t xml:space="preserve">INSTRUMENTAL DE TOPOGRAFIA        </t>
  </si>
  <si>
    <t xml:space="preserve">EQUIP. LABORATÓRIO DE BETUME     </t>
  </si>
  <si>
    <t>TAB. DNIT 04</t>
  </si>
  <si>
    <t>REF: MANUAL SICRO - VOLUME 8 - ITMA 2.5</t>
  </si>
  <si>
    <t>PERFURAÇÃO EM CONCRETO COM COROA DIAMANTADA - D = 38 MM</t>
  </si>
  <si>
    <t>6,31 KG/M</t>
  </si>
  <si>
    <t>CCU - 09.006</t>
  </si>
  <si>
    <t>APOIO NÁUTICO AUXILIO SERVIÇO  PERFÍS "W" TRAVAMENTO DAS ENSECADEIRA - TRANSPORTE</t>
  </si>
  <si>
    <t xml:space="preserve"> 09. 03.100              </t>
  </si>
  <si>
    <t>09.03.100.1</t>
  </si>
  <si>
    <t>09.03.100.2</t>
  </si>
  <si>
    <t>09.03.100.3</t>
  </si>
  <si>
    <t>09.03.100.4</t>
  </si>
  <si>
    <t>09.03.100.5</t>
  </si>
  <si>
    <t>09.03.100.6</t>
  </si>
  <si>
    <t>REF: 3806410 SICRO JULHO 2019</t>
  </si>
  <si>
    <t>036/2020-SEORÇA-SDS</t>
  </si>
  <si>
    <t>036.02/2020-SEORÇA-SDS</t>
  </si>
  <si>
    <t>036.01/2020-SEORÇA-SDS</t>
  </si>
  <si>
    <t>036.01/2020-SEORÇA:  Serviços gerais (ponte) .........................................................................................................</t>
  </si>
  <si>
    <t>036.02/2020-SEORÇA:  Canteiro de obras .........................................................................................................</t>
  </si>
  <si>
    <t xml:space="preserve">DESPESAS DIVERSAS        </t>
  </si>
  <si>
    <t>00112-00007799/2020-87</t>
  </si>
  <si>
    <t>03.02.780.5</t>
  </si>
  <si>
    <t>03.02.780.6</t>
  </si>
  <si>
    <t>03.02.780.7</t>
  </si>
  <si>
    <t>03.02.780.8</t>
  </si>
  <si>
    <t>BALIZAMENTO AUTÔNOMO, TIPO BALIZADOR NOTURNO, COMPOSTO POR SINALIZADOR, PAINEL SOLAR E GABINETE COM CONTROLADOR DE CARGA DAS BATERIAS, CONFORME CAD. ESPECIFICAÇÕES.</t>
  </si>
  <si>
    <t>SUBSTITUIÇÃO DOS APARELHOS DE APOIO DE ACORDO COM LAUDO DE INSPEÇÃO</t>
  </si>
  <si>
    <t>GUARDA CORPO</t>
  </si>
  <si>
    <t xml:space="preserve"> B.D.I. : 10,89% (equipamentos)</t>
  </si>
  <si>
    <t xml:space="preserve">03. 02.770  </t>
  </si>
  <si>
    <t xml:space="preserve">03. 02.110  </t>
  </si>
  <si>
    <t xml:space="preserve">03. 01.000 </t>
  </si>
  <si>
    <t xml:space="preserve">02. 02.000  </t>
  </si>
  <si>
    <t xml:space="preserve">02. 01.300   </t>
  </si>
  <si>
    <t xml:space="preserve"> 02.01.000  </t>
  </si>
  <si>
    <t xml:space="preserve">03. 02.779   </t>
  </si>
  <si>
    <t xml:space="preserve">03. 06.000   </t>
  </si>
  <si>
    <t xml:space="preserve">04. 01.560    </t>
  </si>
  <si>
    <t xml:space="preserve">GUARDA CORPO E COMUNICAÇÃO VISUAL   </t>
  </si>
  <si>
    <t xml:space="preserve">04. 01.800  </t>
  </si>
  <si>
    <t xml:space="preserve"> 04. 05.000  </t>
  </si>
  <si>
    <t>BALIZAMENTO DA PONTE</t>
  </si>
  <si>
    <t xml:space="preserve"> 04. 06.000  </t>
  </si>
  <si>
    <t>TOTAL ETAPA (COM BDI)</t>
  </si>
  <si>
    <t xml:space="preserve"> BDI (%)</t>
  </si>
  <si>
    <t>CUSTO TOTAL COM BDI</t>
  </si>
  <si>
    <t>10,89%
(equipamentos)</t>
  </si>
  <si>
    <t xml:space="preserve"> 09. 03.200              </t>
  </si>
  <si>
    <t>09.03.200.1</t>
  </si>
  <si>
    <t>CCU - 09.007</t>
  </si>
  <si>
    <t>TRANSPORTE VERTICAL DE MATERIAS COM UTILIZAÇÃO DE GUINDASTE - (BERÇOS E APARELHOS DE APOIO, ESTAIS E PINTURA)</t>
  </si>
  <si>
    <t>REF: 92593 SINAPI JULHO 2019</t>
  </si>
  <si>
    <t>CCU - 01.022</t>
  </si>
  <si>
    <t>PARECER PARA INTERDIÇÃO DE VIA PÚBLICA (CALÇADA, ESTACIONAMENTO PÚBLICOS ABERTO, FECHADO OU AO AR LIVRE) - PARA OBRA (VALOR/DIA)</t>
  </si>
  <si>
    <t>DIA</t>
  </si>
  <si>
    <t>REF: Estudo para orçamento - Pasta DETRAN - Interdição de Via Pública</t>
  </si>
  <si>
    <t>01.03.514.3</t>
  </si>
  <si>
    <t>02.01.303.6</t>
  </si>
  <si>
    <t>CCU - 02.032</t>
  </si>
  <si>
    <t>MANTA FILTRANTE DE MÉDIA EFICIÊNCIA EM POLIÉSTER (MANTA G3) COM GRAMATURA DE 150 G/M² PARA PLATAFORMAS DE PINTURA - FORNECIMENTO E INSTALAÇÃO</t>
  </si>
  <si>
    <t>REF: 97062 SINAPI DEZEMBRO 2019</t>
  </si>
  <si>
    <t>COTAÇÃO-081</t>
  </si>
  <si>
    <t xml:space="preserve">MANTA FILTRANTE DE MÉDIA EFICIÊNCIA EM POLIÉSTER (MANTA G3) COM GRAMATURA DE 150 G/M²                             </t>
  </si>
  <si>
    <t>ELETROFRIGOR</t>
  </si>
  <si>
    <t>(21) 3803-1428</t>
  </si>
  <si>
    <t>ORIONFILTROS</t>
  </si>
  <si>
    <t>(51) 3261-8769</t>
  </si>
  <si>
    <t>orionfiltros@gmail.com</t>
  </si>
  <si>
    <t>05.514.951.0001-00</t>
  </si>
  <si>
    <t>07.885.198/0001-87</t>
  </si>
  <si>
    <t>sac@eletrofrigor.email</t>
  </si>
  <si>
    <t>QUANTITATIVO CONSIDERADO A MÉDIA ENTRE AS PLATAFORMAS DO TABULEIRO E ARCOS</t>
  </si>
  <si>
    <t>P9802</t>
  </si>
  <si>
    <t>BOMBEIRO HIDRÁULICO</t>
  </si>
  <si>
    <t>P9809</t>
  </si>
  <si>
    <t>ENCARREGADO ADMINISTRATIVO</t>
  </si>
  <si>
    <t>P9811</t>
  </si>
  <si>
    <t>ENCARREGADO ESPECIALIZADO</t>
  </si>
  <si>
    <t>P9814</t>
  </si>
  <si>
    <t>OPERACIONAL</t>
  </si>
  <si>
    <t>P9815</t>
  </si>
  <si>
    <t>P9816</t>
  </si>
  <si>
    <t>ENCARREGADO DE MERGULHO</t>
  </si>
  <si>
    <t>P9819</t>
  </si>
  <si>
    <t>ENGENHEIRO SUPERVISOR</t>
  </si>
  <si>
    <t>P9826</t>
  </si>
  <si>
    <t>CHEFE SETOR DE FINANÇAS</t>
  </si>
  <si>
    <t>P9835</t>
  </si>
  <si>
    <t>PERFURADOR DE TUBULÃO A AR COMPRIMIDO COM INSALUBRIDADE</t>
  </si>
  <si>
    <t>P9836</t>
  </si>
  <si>
    <t>GEÓLOGO</t>
  </si>
  <si>
    <t>P9837</t>
  </si>
  <si>
    <t>OCEANÓGRAFO</t>
  </si>
  <si>
    <t>P9840</t>
  </si>
  <si>
    <t>ENCARREGADO GERAL</t>
  </si>
  <si>
    <t>OPERADOR DE EQUIPAMENTO LEVE</t>
  </si>
  <si>
    <t>P9844</t>
  </si>
  <si>
    <t>CAPITÃO FLUVIAL</t>
  </si>
  <si>
    <t>P9845</t>
  </si>
  <si>
    <t>OPERADOR DE EQUIPAMENTO PESADO</t>
  </si>
  <si>
    <t>P9846</t>
  </si>
  <si>
    <t>OPERADOR DE EQUIPAMENTO ESPECIAL</t>
  </si>
  <si>
    <t>P9847</t>
  </si>
  <si>
    <t>PERFURADOR DE TUBULÃO</t>
  </si>
  <si>
    <t>P9849</t>
  </si>
  <si>
    <t>CONDUTOR MAQUINISTA FLUVIAL</t>
  </si>
  <si>
    <t>P9850</t>
  </si>
  <si>
    <t>COPEIRO</t>
  </si>
  <si>
    <t>P9851</t>
  </si>
  <si>
    <t>MÉDICO DO TRABALHO</t>
  </si>
  <si>
    <t>P9852</t>
  </si>
  <si>
    <t>BLASTER</t>
  </si>
  <si>
    <t>P9853</t>
  </si>
  <si>
    <t>PRÉ-MARCADOR</t>
  </si>
  <si>
    <t>P9854</t>
  </si>
  <si>
    <t>RECEPCIONISTA</t>
  </si>
  <si>
    <t>P9855</t>
  </si>
  <si>
    <t>MARINHEIRO DE MÁQUINAS</t>
  </si>
  <si>
    <t>P9856</t>
  </si>
  <si>
    <t>MARINHEIRO DE CONVÉS</t>
  </si>
  <si>
    <t>P9857</t>
  </si>
  <si>
    <t>MARINHEIRO DE CONVÉS - MENSALISTA</t>
  </si>
  <si>
    <t>P9859</t>
  </si>
  <si>
    <t>TRABALHADOR DE VIA</t>
  </si>
  <si>
    <t>P9861</t>
  </si>
  <si>
    <t>SELECIONADOR DE MATERIAL PÉTREO</t>
  </si>
  <si>
    <t>P9865</t>
  </si>
  <si>
    <t>TÉCNICO EM ENFERMAGEM</t>
  </si>
  <si>
    <t>P9867</t>
  </si>
  <si>
    <t>TÉCNICO ESPECIALIZADO - MENSALISTA</t>
  </si>
  <si>
    <t>ENCARREGADO DE OBRAS DE ARTES ESPECIAIS</t>
  </si>
  <si>
    <t>P9870</t>
  </si>
  <si>
    <t>MOTORISTA DE VEÍCULO LEVE</t>
  </si>
  <si>
    <t>P9875</t>
  </si>
  <si>
    <t>ENCARREGADO DE TURMA</t>
  </si>
  <si>
    <t>P9880</t>
  </si>
  <si>
    <t>PILOTO FLUVIAL</t>
  </si>
  <si>
    <t>P9882</t>
  </si>
  <si>
    <t>TÉCNICO ESPECIALIZADO</t>
  </si>
  <si>
    <t>P9883</t>
  </si>
  <si>
    <t>CHEFE DO SETOR ADMINISTRATIVO</t>
  </si>
  <si>
    <t>P9884</t>
  </si>
  <si>
    <t>ENCARREGADO DE TERRAPLENAGEM</t>
  </si>
  <si>
    <t>P9885</t>
  </si>
  <si>
    <t>FRENTISTA DE TÚNEL</t>
  </si>
  <si>
    <t>P9889</t>
  </si>
  <si>
    <t>TÉCNICO DA QUALIDADE</t>
  </si>
  <si>
    <t>P9891</t>
  </si>
  <si>
    <t>ENGENHEIRO MECÂNICO</t>
  </si>
  <si>
    <t>P9892</t>
  </si>
  <si>
    <t>AUXILIAR DE BLASTER</t>
  </si>
  <si>
    <t>P9893</t>
  </si>
  <si>
    <t>ENCARREGADO DE PAVIMENTAÇÃO</t>
  </si>
  <si>
    <t>P9900</t>
  </si>
  <si>
    <t>COMPRADOR</t>
  </si>
  <si>
    <t>P9901</t>
  </si>
  <si>
    <t>ENCARREGADO DE SUPERESTRUTURA FERROVIÁRIA</t>
  </si>
  <si>
    <t>P9907</t>
  </si>
  <si>
    <t>COMANDANTE DE LONGO CURSO</t>
  </si>
  <si>
    <t>P9908</t>
  </si>
  <si>
    <t>IMEDIATO</t>
  </si>
  <si>
    <t>P9909</t>
  </si>
  <si>
    <t>OFICIAL DE NÁUTICA</t>
  </si>
  <si>
    <t>P9910</t>
  </si>
  <si>
    <t>OFICIAL DE MÁQUINAS</t>
  </si>
  <si>
    <t>P9911</t>
  </si>
  <si>
    <t>CONDUTOR DE MÁQUINAS</t>
  </si>
  <si>
    <t>P9912</t>
  </si>
  <si>
    <t>CAPITÃO FLUVIAL COM PERICULOSIDADE</t>
  </si>
  <si>
    <t>P9913</t>
  </si>
  <si>
    <t>DRAGUISTA</t>
  </si>
  <si>
    <t>P9916</t>
  </si>
  <si>
    <t>ENCARREGADO DE CONSERVAÇÃO RODOVIÁRIA</t>
  </si>
  <si>
    <t>P9920</t>
  </si>
  <si>
    <t>MESTRE FLUVIAL</t>
  </si>
  <si>
    <t>P9923</t>
  </si>
  <si>
    <t>MERGULHADOR COM PERICULOSIDADE</t>
  </si>
  <si>
    <t>P9927</t>
  </si>
  <si>
    <t>FRENTISTA DE TÚNEL COM PERICULOSIDADE</t>
  </si>
  <si>
    <t>P9928</t>
  </si>
  <si>
    <t>SERVENTE COM PERICULOSIDADE</t>
  </si>
  <si>
    <t>P9929</t>
  </si>
  <si>
    <t>BOMBEIRO HIDRÁULICO COM PERICULOSIDADE</t>
  </si>
  <si>
    <t>P9930</t>
  </si>
  <si>
    <t>ELETRICISTA COM PERICULOSIDADE</t>
  </si>
  <si>
    <t>P9932</t>
  </si>
  <si>
    <t>OPERADOR DE EQUIPAMENTO PESADO COM PERICULOSIDADE</t>
  </si>
  <si>
    <t>P9934</t>
  </si>
  <si>
    <t>MOTORISTA DE VEÍCULO ESPECIAL COM PERICULOSIDADE</t>
  </si>
  <si>
    <t>P9938</t>
  </si>
  <si>
    <t>OPERADOR DE EQUIPAMENTO LEVE COM PERICULOSIDADE</t>
  </si>
  <si>
    <t>P9939</t>
  </si>
  <si>
    <t>OPERADOR DE EQUIPAMENTO LEVE COM INSALUBRIDADE</t>
  </si>
  <si>
    <t>P9940</t>
  </si>
  <si>
    <t>PILOTO FLUVIAL COM PERICULOSIDADE</t>
  </si>
  <si>
    <t>P9941</t>
  </si>
  <si>
    <t>MESTRE FLUVIAL COM PERICULOSIDADE</t>
  </si>
  <si>
    <t>P9942</t>
  </si>
  <si>
    <t>MARINHEIRO DE CONVÉS COM PERICULOSIDADE</t>
  </si>
  <si>
    <t>P9943</t>
  </si>
  <si>
    <t>TÉCNICO DE BATIMETRIA COM PERICULOSIDADE</t>
  </si>
  <si>
    <t>P9944</t>
  </si>
  <si>
    <t>OPERADOR DE EQUIPAMENTO ESPECIAL COM PERICULOSIDADE</t>
  </si>
  <si>
    <t>P9945</t>
  </si>
  <si>
    <t>DRAGUISTA COM PERICULOSIDADE</t>
  </si>
  <si>
    <t>P9947</t>
  </si>
  <si>
    <t>TÉCNICO FLORESTAL</t>
  </si>
  <si>
    <t>P9951</t>
  </si>
  <si>
    <t>MÉDICO DE CÂMARA HIPERBÁRICA</t>
  </si>
  <si>
    <t>P9955</t>
  </si>
  <si>
    <t>ENGENHEIRO CHEFE</t>
  </si>
  <si>
    <t>P9956</t>
  </si>
  <si>
    <t>MOTORISTA DE CAMINHÃO COM PERICULOSIDADE</t>
  </si>
  <si>
    <t>P9972</t>
  </si>
  <si>
    <t>TÉCNICO DE BATIMETRIA</t>
  </si>
  <si>
    <t>M.O</t>
  </si>
  <si>
    <t>E9001-P</t>
  </si>
  <si>
    <t>CONJUNTO VIBRATÓRIO PARA TUBOS DE CONCRETO COM ENCAIXE PB E 3 JOGOS DE FÔRMAS - D = 60 CM - 2,2 KW</t>
  </si>
  <si>
    <t>E9002-P</t>
  </si>
  <si>
    <t>CONJUNTO VIBRATÓRIO PARA TUBOS DE CONCRETO COM ENCAIXE PB E 3 JOGOS DE FÔRMAS - D = 80 CM - 2,2 KW</t>
  </si>
  <si>
    <t>E9003-P</t>
  </si>
  <si>
    <t>CONJUNTO VIBRATÓRIO PARA TUBOS DE CONCRETO COM ENCAIXE PB E 3 JOGOS DE FÔRMAS - D = 100 CM - 2,2 KW</t>
  </si>
  <si>
    <t>E9004-P</t>
  </si>
  <si>
    <t>CONJUNTO VIBRATÓRIO PARA TUBOS DE CONCRETO COM ENCAIXE PB E 3 JOGOS DE FÔRMAS - D = 120 CM - 2,2 KW</t>
  </si>
  <si>
    <t>E9005-P</t>
  </si>
  <si>
    <t>CONJUNTO VIBRATÓRIO PARA TUBOS DE CONCRETO COM ENCAIXE PB E 3 JOGOS DE FÔRMAS - D = 150 CM - 2,2 KW</t>
  </si>
  <si>
    <t>E9006-P</t>
  </si>
  <si>
    <t>EQUIPAMENTO PARA SONDAGEM MANUAL</t>
  </si>
  <si>
    <t>E9007-P</t>
  </si>
  <si>
    <t>BOMBA DE PISTÃO TRIPLEX COM CAPACIDADE DE 130 L/MIN - 8,2 KW</t>
  </si>
  <si>
    <t>E9008-P</t>
  </si>
  <si>
    <t>TRANSPORTADOR MANUAL DE TUBOS DE CONCRETO</t>
  </si>
  <si>
    <t>E9009-P</t>
  </si>
  <si>
    <t>E9010-P</t>
  </si>
  <si>
    <t>BALANÇA PLATAFORMA DIGITAL COM MESA DE 75 X 75 CM COM CAPACIDADE DE 500 KG</t>
  </si>
  <si>
    <t>E9011-P</t>
  </si>
  <si>
    <t>CARRO MANUAL MODELO PLATAFORMA DE 200 X 80 CM COM CAPACIDADE DE 800 KG</t>
  </si>
  <si>
    <t>E9012-P</t>
  </si>
  <si>
    <t>RECICLADORA A FRIO - 403 KW</t>
  </si>
  <si>
    <t>E9014-P</t>
  </si>
  <si>
    <t>DEFLECTÔMETRO DE IMPACTO (FWD) INSTALADO EM PICK UP COM REBOQUE E FAIXA DE CARGA DE 7 A 120 KN - 147 KW</t>
  </si>
  <si>
    <t>E9015-P</t>
  </si>
  <si>
    <t>ELEVADOR DE OBRA - 9 KW</t>
  </si>
  <si>
    <t>E9016-P</t>
  </si>
  <si>
    <t>USINA MISTURADORA MÓVEL DE RECICLAGEM A FRIO COM SISTEMA DE ESPUMA DE ASFALTO - 129 KW</t>
  </si>
  <si>
    <t>E9017-P</t>
  </si>
  <si>
    <t>ESCAVADEIRA HIDRÁULICA SOBRE ESTEIRA COM CAPACIDADE DE 0,4 M³ - 64 KW</t>
  </si>
  <si>
    <t>E9019-P</t>
  </si>
  <si>
    <t>CÂMARA HIPERBÁRICA COM FILTRO, SERPENTINA E RESERVATÓRIO DE AR - D = 1,80 M E H = 2 M</t>
  </si>
  <si>
    <t>E9020-P</t>
  </si>
  <si>
    <t>RECICLADORA A FRIO COM ESPUMA DE ASFALTO - 455 KW</t>
  </si>
  <si>
    <t>E9021-P</t>
  </si>
  <si>
    <t>GRUPO GERADOR - 456 KVA</t>
  </si>
  <si>
    <t>E9022-P</t>
  </si>
  <si>
    <t>PÓRTICO ROLANTE COM CAPACIDADE DE 25 T - 30 KW</t>
  </si>
  <si>
    <t>E9023-P</t>
  </si>
  <si>
    <t>GUINDASTE SOBRE ESTEIRAS COM DRAGLINE COM CAPACIDADE DE 1,9 A 2,3 M³ - 270 KW</t>
  </si>
  <si>
    <t>E9024-P</t>
  </si>
  <si>
    <t>MISTURADOR DE NATA CIMENTO - 1,5 KW</t>
  </si>
  <si>
    <t>E9025-P</t>
  </si>
  <si>
    <t>CONJUNTO BOMBA E MACACO HIDRÁULICO PARA PROTENSÃO COM CAPACIDADE DE 7.000 KN</t>
  </si>
  <si>
    <t>E9026-P</t>
  </si>
  <si>
    <t>BOMBA PARA INJEÇÃO DE NATA DE CIMENTO - 2,2 KW</t>
  </si>
  <si>
    <t>E9028-P</t>
  </si>
  <si>
    <t>LAVADORA PROFISSIONAL - 5,2 KW</t>
  </si>
  <si>
    <t>E9029-P</t>
  </si>
  <si>
    <t>CONJUNTO BOMBA E MACACO HIDRÁULICO PARA PROTENSÃO COM CAPACIDADE DE 8.000 KN</t>
  </si>
  <si>
    <t>E9030-P</t>
  </si>
  <si>
    <t>E9031-P</t>
  </si>
  <si>
    <t>ELEVADOR DE CREMALHEIRA COM CABINE SIMPLES, COM CAPACIDADE DE 1.500 KG E ALTURA DE ATÉ 100 M - 15 KW</t>
  </si>
  <si>
    <t>E9032-P</t>
  </si>
  <si>
    <t>E9033-P</t>
  </si>
  <si>
    <t>E9034-P</t>
  </si>
  <si>
    <t>EQUIPAMENTO PARA REGULAGEM FINAL DE ESTAIS DE 56 A 73 CORDOALHAS - D = 15,7 MM - 40 KW</t>
  </si>
  <si>
    <t>E9035-P</t>
  </si>
  <si>
    <t>EQUIPAMENTO PARA REGULAGEM FINAL DE ESTAIS DE 74 A 91 CORDOALHAS - D = 15,7 MM - 50 KW</t>
  </si>
  <si>
    <t>E9036-P</t>
  </si>
  <si>
    <t>GRUA FIXA PARA ALTURAS DE 60 A 198 M, COM ALCANCE DE 60 M COM CAPACIDADE DE 1.500 KG NA PONTA DA LANÇA - 37 KW</t>
  </si>
  <si>
    <t>E9038-P</t>
  </si>
  <si>
    <t>E9039-P</t>
  </si>
  <si>
    <t>E9040-P</t>
  </si>
  <si>
    <t>SERRA MÁRMORE - 1,45 KW</t>
  </si>
  <si>
    <t>E9042-P</t>
  </si>
  <si>
    <t>TRATOR DE ESTEIRAS COM LÂMINA - 74,5 KW</t>
  </si>
  <si>
    <t>E9043-P</t>
  </si>
  <si>
    <t>BARCO DE ALUMÍNIO COM COMPRIMENTO DE 6 M E MOTOR DE POPA - 30 HP</t>
  </si>
  <si>
    <t>E9044-P</t>
  </si>
  <si>
    <t>CENTRAL DE CONCRETO COM CAPACIDADE DE 150 M³/H - DOSADORA E MISTURADORA</t>
  </si>
  <si>
    <t>E9045-P</t>
  </si>
  <si>
    <t>CONJUNTO BOMBA E MACACO HIDRÁULICO PARA ELEVAÇÃO COM CAPACIDADE DE 490 KN</t>
  </si>
  <si>
    <t>E9046-P</t>
  </si>
  <si>
    <t>CONJUNTO BOMBA E MACACO HIDRÁULICO PARA ELEVAÇÃO COM CAPACIDADE DE 980 KN</t>
  </si>
  <si>
    <t>E9047-P</t>
  </si>
  <si>
    <t>CONJUNTO BOMBA E MACACO HIDRÁULICO PARA ELEVAÇÃO COM CAPACIDADE DE 1.470 KN</t>
  </si>
  <si>
    <t>E9048-P</t>
  </si>
  <si>
    <t>CONJUNTO BOMBA E MACACO HIDRÁULICO PARA ELEVAÇÃO COM CAPACIDADE DE 1.960 KN</t>
  </si>
  <si>
    <t>E9049-P</t>
  </si>
  <si>
    <t>E9050-P</t>
  </si>
  <si>
    <t>GUINDASTE SOBRE RODAS COM CAPACIDADE DE 370 KN.M - 75 KW</t>
  </si>
  <si>
    <t>E9051-P</t>
  </si>
  <si>
    <t>MÁQUINA LEVANTADORA E PUXADORA DE VIA - 7,4 KW</t>
  </si>
  <si>
    <t>E9052-P</t>
  </si>
  <si>
    <t>E9053-P</t>
  </si>
  <si>
    <t>PERFURATRIZ HIDRÁULICA MONTADA EM FLUTUANTE - 32 KW</t>
  </si>
  <si>
    <t>E9054-P</t>
  </si>
  <si>
    <t>EQUIPAMENTO FORMA-TRILHO - 13,4 KW</t>
  </si>
  <si>
    <t>E9055-P</t>
  </si>
  <si>
    <t>E9056-P</t>
  </si>
  <si>
    <t>PLATAFORMA AUTOELEVATÓRIA DE 12 X 24 M² COM CAPACIDADE DE 150 T</t>
  </si>
  <si>
    <t>E9057-P</t>
  </si>
  <si>
    <t>BATELÃO SEM PROPULSÃO COM CAPACIDADE DE 100 T</t>
  </si>
  <si>
    <t>E9058-P</t>
  </si>
  <si>
    <t>E9059-P</t>
  </si>
  <si>
    <t>PLATAFORMA AUTOELEVATÓRIA DE 12 X 24 M² MONTADA NA OBRA COM CAPACIDADE DE 150 T</t>
  </si>
  <si>
    <t>E9060-P</t>
  </si>
  <si>
    <t>PERFURATRIZ PNEUMÁTICA ROTOPERCUSSIVA MONTADA EM FLUTUANTE COM PRESSÃO DE 7 BAR - D = 64 A 89 MM</t>
  </si>
  <si>
    <t>E9061-P</t>
  </si>
  <si>
    <t>LIXADEIRA ELÉTRICA MANUAL ANGULAR - 2 KW</t>
  </si>
  <si>
    <t>E9062-P</t>
  </si>
  <si>
    <t>SOPRADOR DE AR QUENTE MANUAL - 1.600 W</t>
  </si>
  <si>
    <t>E9063-P</t>
  </si>
  <si>
    <t>MÁQUINA ESTABILIZADORA DINÂMICA DA VIA - 300 KW</t>
  </si>
  <si>
    <t>E9064-P</t>
  </si>
  <si>
    <t>TRANSPORTADOR MANUAL GERICA COM CAPACIDADE DE 180 L</t>
  </si>
  <si>
    <t>E9065-P</t>
  </si>
  <si>
    <t>CARRO CONTROLE FERROVIÁRIO - 186 KW</t>
  </si>
  <si>
    <t>E9066-P</t>
  </si>
  <si>
    <t>E9067-P</t>
  </si>
  <si>
    <t>E9068-P</t>
  </si>
  <si>
    <t>PERFURATRIZ HIDRÁULICA ROTOPERCUSSIVA PARA CCPH - 123 KW</t>
  </si>
  <si>
    <t>E9069-P</t>
  </si>
  <si>
    <t>VIBRADOR DE IMERSÃO PARA CONCRETO - 4,1 KW</t>
  </si>
  <si>
    <t>E9070-P</t>
  </si>
  <si>
    <t>PONTE ROLANTE COM ACESSÓRIOS PARA VÃO DE ATÉ 15 M COM CAPACIDADE DE 5 T</t>
  </si>
  <si>
    <t>E9071-P</t>
  </si>
  <si>
    <t>TRANSPORTADOR MANUAL CARRINHO DE MÃO COM CAPACIDADE DE 80 L</t>
  </si>
  <si>
    <t>E9072-P</t>
  </si>
  <si>
    <t>MARTELO HIDRÁULICO VIBRATÓRIO COM UNIDADE HIDRÁULICA (POWER PACK) - 486 KW</t>
  </si>
  <si>
    <t>E9073-P</t>
  </si>
  <si>
    <t>BOMBA DE CONCRETO REBOCÁVEL COM CAPACIDADE DE 30 M³/H - 74 KW</t>
  </si>
  <si>
    <t>E9074-P</t>
  </si>
  <si>
    <t>TANQUE DE ESTOCAGEM DE ASFALTO COM AGITADORES DE 60.000 L</t>
  </si>
  <si>
    <t>E9075-P</t>
  </si>
  <si>
    <t>TRADO CAVADEIRA DE 12"</t>
  </si>
  <si>
    <t>E9076-P</t>
  </si>
  <si>
    <t>EQUIPAMENTO DE PINTURA COM CABINE DE 7,00 KW E ESTUFA DE 80.000 KCAL PARA PINTURA ELETROSTÁTICA</t>
  </si>
  <si>
    <t>E9077-P</t>
  </si>
  <si>
    <t>PERFURATRIZ WIRTH COM ACESSÓRIOS E UNIDADE HIDRÁULICA (POWER PACK) - 273 KW</t>
  </si>
  <si>
    <t>E9078-P</t>
  </si>
  <si>
    <t>TRELIÇA LANÇADEIRA COM CAPACIDADE DE CARGA DE 120 A 150 T E VÃO MÁXIMO DE 45 M - 110 KW</t>
  </si>
  <si>
    <t>E9079-P</t>
  </si>
  <si>
    <t>BOMBA SUBMERSÍVEL FLYGT 12 - 23 KW</t>
  </si>
  <si>
    <t>E9080-P</t>
  </si>
  <si>
    <t>CARRELONE COM CAPACIDADE MÁXIMA DE 70 T</t>
  </si>
  <si>
    <t>E9081-P</t>
  </si>
  <si>
    <t>FISCHIETTI SIMPLES COM CAPACIDADE MÁXIMA DE 140 T/PAR</t>
  </si>
  <si>
    <t>E9083-P</t>
  </si>
  <si>
    <t>VAGÃO FECHADO TIPO FSS</t>
  </si>
  <si>
    <t>E9084-P</t>
  </si>
  <si>
    <t>VAGÃO TANQUE TIPO TCR</t>
  </si>
  <si>
    <t>E9085-P</t>
  </si>
  <si>
    <t>VAGÃO GÔNDOLA TIPO GTB</t>
  </si>
  <si>
    <t>E9086-P</t>
  </si>
  <si>
    <t>BOMBA DE CONCRETO REBOCÁVEL COM CAPACIDADE DE 41 M³/H - 74 KW</t>
  </si>
  <si>
    <t>E9087-P</t>
  </si>
  <si>
    <t>VAGÃO HOPPER ABERTO COM DESCARGA INFERIOR MANUAL COM CAPACIDADE DE 60 T, BITOLA MÉTRICA</t>
  </si>
  <si>
    <t>E9088-P</t>
  </si>
  <si>
    <t>VAGÃO HOPPER ABERTO COM DESCARGA INFERIOR MANUAL COM CAPACIDADE DE 75 T, BITOLA LARGA</t>
  </si>
  <si>
    <t>E9089-P</t>
  </si>
  <si>
    <t>ROÇADEIRA COSTAL - 1,4 KW</t>
  </si>
  <si>
    <t>E9090-P</t>
  </si>
  <si>
    <t>EQUIPAMENTO PARA DESCARGA DE TLS - 140 KW</t>
  </si>
  <si>
    <t>E9091-P</t>
  </si>
  <si>
    <t>EMPURRADOR FLUVIAL - 372 KW</t>
  </si>
  <si>
    <t>E9093-P</t>
  </si>
  <si>
    <t>E9094-P</t>
  </si>
  <si>
    <t>GUINDASTE MÓVEL SOBRE PNEUS COM 6 EIXOS COM CAPACIDADE DE 10.500 KN.M - 450 KW</t>
  </si>
  <si>
    <t>E9095-P</t>
  </si>
  <si>
    <t>GUINDASTE MÓVEL SOBRE PNEUS COM 8 EIXOS COM CAPACIDADE DE 15.000 KN.M - 500 KW</t>
  </si>
  <si>
    <t>E9096-P</t>
  </si>
  <si>
    <t>MINICARREGADEIRA DE PNEUS - 42 KW</t>
  </si>
  <si>
    <t>E9101-P</t>
  </si>
  <si>
    <t>REMOVEDORA DE FAIXAS DE SINALIZAÇÃO VIÁRIA - 9,69 KW</t>
  </si>
  <si>
    <t>E9102-P</t>
  </si>
  <si>
    <t>EXTRUSORA PARA SARJETA DE CONCRETO - 10,44 KW</t>
  </si>
  <si>
    <t>E9103-P</t>
  </si>
  <si>
    <t>EXTRUSORA PARA MEIO-FIO DE CONCRETO - 10,44 KW</t>
  </si>
  <si>
    <t>E9105-P</t>
  </si>
  <si>
    <t>EMBARCAÇÃO EMPURRADORA MULTIPROPÓSITO - 2 X 250 HP</t>
  </si>
  <si>
    <t>E9106-P</t>
  </si>
  <si>
    <t>BALSA DE CONVÉS COM CAPACIDADE DE 200 T</t>
  </si>
  <si>
    <t>E9107-P</t>
  </si>
  <si>
    <t>COMPACTADOR MANUAL COM SOQUETE VIBRATÓRIO - 3 HP</t>
  </si>
  <si>
    <t>E9108-P</t>
  </si>
  <si>
    <t>SOLDADORA DE TRILHO POR CALDEAMENTO NA VIA - 400 KW</t>
  </si>
  <si>
    <t>E9110-P</t>
  </si>
  <si>
    <t>ESCAVADEIRA HIDRÁULICA SOBRE ESTEIRA PARA ROCHA COM CAÇAMBA COM CAPACIDADE DE 1,5 M³ - 110 KW</t>
  </si>
  <si>
    <t>E9111-P</t>
  </si>
  <si>
    <t>JATEADOR ABRASIVO ÚMIDO COM CAPACIDADE DE 200 KG DE ABRASIVO</t>
  </si>
  <si>
    <t>E9112-P</t>
  </si>
  <si>
    <t>SINALIZADOR DIRECIONAL MÓVEL, LED, COM BANCO FOTOVOLTAICO DE ENERGIA E MONTADO EM CHASSI COM ENGATE</t>
  </si>
  <si>
    <t>E9113-P</t>
  </si>
  <si>
    <t>PAINEL DE MENSAGEM VARIÁVEL PMV PORTÁTIL MÓVEL, LED, COM ENERGIA SOLAR E MONTADO EM CHASSI SOBRE RODAS</t>
  </si>
  <si>
    <t>E9116-P</t>
  </si>
  <si>
    <t>SEMÁFORO MÓVEL COM 3 LENTES E BATERIA - D = 200 MM</t>
  </si>
  <si>
    <t>E9117-P</t>
  </si>
  <si>
    <t>CARREGADEIRA DE PNEUS PARA ROCHA COM CAPACIDADE DE 2,9 M³ - 96 KW</t>
  </si>
  <si>
    <t>E9118-P</t>
  </si>
  <si>
    <t>CORTADORA DE PAVIMENTO COM DISCO DIAMANTADO DE 450 A 1.500 MM - 74 KW</t>
  </si>
  <si>
    <t>E9119-P</t>
  </si>
  <si>
    <t>CARREGADEIRA COMPACTA COM VALETADEIRA PARA ESCAVAÇÃO ATÉ A PROFUNDIDADE DE 1.575 MM - 55,4 KW</t>
  </si>
  <si>
    <t>E9120-P</t>
  </si>
  <si>
    <t>EQUIPAMENTO DE CRAVAÇÃO SOBRE ESTEIRA PARA GEODRENO COM HASTE PARA PROFUNDIDADE DE ATÉ 20 M - 200 KW</t>
  </si>
  <si>
    <t>E9121-P</t>
  </si>
  <si>
    <t>PLATAFORMA ELEVATÓRIA ARTICULADA ELÉTRICA COM ALCANCE DE 6 M COM CAPACIDADE DE 500 KG - 1,5 KW</t>
  </si>
  <si>
    <t>E9122-P</t>
  </si>
  <si>
    <t>PERFURATRIZ TIPO BOTTOM FEED PARA COLUNA DE BRITA - 194 KW</t>
  </si>
  <si>
    <t>E9125-P</t>
  </si>
  <si>
    <t>E9126-P</t>
  </si>
  <si>
    <t>DRAGA BACKHOE COM CAPACIDADE DE 7 M³ - 1.000 KW</t>
  </si>
  <si>
    <t>E9127-P</t>
  </si>
  <si>
    <t>ESCAVADEIRA HIDRÁULICA COM MARTELO HIDRÁULICO DE 500 KG - 103 KW</t>
  </si>
  <si>
    <t>E9134-P</t>
  </si>
  <si>
    <t>MINIÔNIBUS - 111 KW</t>
  </si>
  <si>
    <t>E9141-P</t>
  </si>
  <si>
    <t>REBARBADOR HIDRÁULICO COM BOMBA MANUAL COM CAPACIDADE DE FORÇA DE 9.000 KGF</t>
  </si>
  <si>
    <t>E9142-P</t>
  </si>
  <si>
    <t>E9143-P</t>
  </si>
  <si>
    <t>MÁQUINA LIBERADORA DE TENSÃO PARA O PROCESSO DE SOLDAGEM RAIL TENSOR THR 542</t>
  </si>
  <si>
    <t>E9144-P</t>
  </si>
  <si>
    <t>PÓRTICO METÁLICO COM TALHA COM CAPACIDADE DE 5 T</t>
  </si>
  <si>
    <t>E9148-P</t>
  </si>
  <si>
    <t>MACACO DE PROTENSÃO DE FIOS COM BOMBA DE 5 CV</t>
  </si>
  <si>
    <t>E9149-P</t>
  </si>
  <si>
    <t>MÁQUINA DE APLICAÇÃO E EXTRAÇÃO DE GRAMPO ELÁSTICO TIPO PANDROL - 6,7 KW</t>
  </si>
  <si>
    <t>E9151-P</t>
  </si>
  <si>
    <t>BRITADOR DE MANDÍBULAS MÓVEL, SEM PENEIRA, COM CAPACIDADE DE 140 M³/H – 170 KW</t>
  </si>
  <si>
    <t>E9154-P</t>
  </si>
  <si>
    <t>EQUIPAMENTO PARA SELAGEM COM MATERIAL ASFÁLTICO REBOCÁVEL - 35 KW</t>
  </si>
  <si>
    <t>E9155-P</t>
  </si>
  <si>
    <t>CALDEIRA DE ASFALTO REBOCÁVEL COM CAPACIDADE DE 600 L</t>
  </si>
  <si>
    <t>E9200-P</t>
  </si>
  <si>
    <t>CARREGADEIRA DE PNEUS COM CAPACIDADE DE 3,3 M³ - 213 KW COM PERICULOSIDADE</t>
  </si>
  <si>
    <t>E9203-P</t>
  </si>
  <si>
    <t>ESCAVADEIRA HIDRÁULICA COM MARTELO HIDRÁULICO DE 1.700 KG - 103 KW COM PERICULOSIDADE</t>
  </si>
  <si>
    <t>E9204-P</t>
  </si>
  <si>
    <t>PERFURATRIZ SOBRE ESTEIRAS - 145 KW COM PERICULOSIDADE</t>
  </si>
  <si>
    <t>E9205-P</t>
  </si>
  <si>
    <t>EQUIPAMENTO DE CORTE A PLASMA CNC - 12.000 X 5.500 MM - 19,5 KW</t>
  </si>
  <si>
    <t>E9206-P</t>
  </si>
  <si>
    <t>EQUIPAMENTO DE SOLDA MIG AUTOMÁTICA COM ACESSÓRIOS - 14,6 KVA</t>
  </si>
  <si>
    <t>E9207-P</t>
  </si>
  <si>
    <t>MÁQUINA RETIFICADORA DE SOLDA ELÉTRICA 425 A - 18,7 KW</t>
  </si>
  <si>
    <t>E9209-P</t>
  </si>
  <si>
    <t>MARTELETE PERFURADOR/ROMPEDOR A AR COMPRIMIDO DE 25 KG PARA ROCHA COM INSALUBRIDADE</t>
  </si>
  <si>
    <t>E9213-P</t>
  </si>
  <si>
    <t>JUMBO ELETRO-HIDRÁULICO COM 3 BRAÇOS - 233 KW COM PERICULOSIDADE</t>
  </si>
  <si>
    <t>E9251-P</t>
  </si>
  <si>
    <t>FONTE DE PLASMA PARA CORTE MANUAL - 65A - 15 KW</t>
  </si>
  <si>
    <t>E9252-P</t>
  </si>
  <si>
    <t>SERRA DE ESQUADRIA COM BRAÇO TELESCÓPICO - D = 10" - 1,8 KW</t>
  </si>
  <si>
    <t>E9253-P</t>
  </si>
  <si>
    <t>REBORDEADEIRA DIÂMETRO MÁXIMO 3M - 4,85 KW</t>
  </si>
  <si>
    <t>E9254-P</t>
  </si>
  <si>
    <t>DOBRADEIRA VIRADEIRA MANUAL COMPRIMENTO MÁXIMO DE DOBRA DE ATÉ 2.000 MM</t>
  </si>
  <si>
    <t>E9255-P</t>
  </si>
  <si>
    <t>FONTE DE PLASMA PARA CORTE MANUAL - 45A - 10 KW</t>
  </si>
  <si>
    <t>E9500-P</t>
  </si>
  <si>
    <t>VAGÃO GÔNDOLA COM CAPACIDADE DE 100 T</t>
  </si>
  <si>
    <t>E9501-P</t>
  </si>
  <si>
    <t>VENTILADOR AXIAL PARA VENTILAÇÃO FORÇADA - 30 KW</t>
  </si>
  <si>
    <t>E9502-P</t>
  </si>
  <si>
    <t>BATE-ESTACA DE GRAVIDADE PARA 3,5 A 4,0 T - 119 KW</t>
  </si>
  <si>
    <t>E9503-P</t>
  </si>
  <si>
    <t>GUILHOTINA HIDRÁULICA 16 X 6.100 MM - 40 CV</t>
  </si>
  <si>
    <t>E9505-P</t>
  </si>
  <si>
    <t>PRENSA DOBRADEIRA CAPACIDADE 320 T - COMPRIMENTO ATÉ 3.100 MM - 30 KW</t>
  </si>
  <si>
    <t>E9507-P</t>
  </si>
  <si>
    <t>COMPUTADOR, PLOTTER DE RECORTE E SOFTWARE</t>
  </si>
  <si>
    <t>E9510-P</t>
  </si>
  <si>
    <t>VENTILADOR CENTRÍFUGO BAIXA PRESSÃO COM CAPACIDADE DE 58 M³/MIN - 3,68 KW</t>
  </si>
  <si>
    <t>E9511-P</t>
  </si>
  <si>
    <t>CARREGADEIRA DE PNEUS COM CAPACIDADE DE 3,3 M³ - 213 KW</t>
  </si>
  <si>
    <t>E9512-P</t>
  </si>
  <si>
    <t>VEÍCULO LEVE - 53 KW</t>
  </si>
  <si>
    <t>E9513-P</t>
  </si>
  <si>
    <t>COMPRESSOR DE AR PORTÁTIL DE 340 PCM - 81 KW</t>
  </si>
  <si>
    <t>E9514-P</t>
  </si>
  <si>
    <t>DISTRIBUIDOR DE AGREGADOS AUTOPROPELIDO - 130 KW</t>
  </si>
  <si>
    <t>E9515-P</t>
  </si>
  <si>
    <t>ESCAVADEIRA HIDRÁULICA SOBRE ESTEIRA COM CAÇAMBA COM CAPACIDADE DE 1,5 M³ - 110 KW</t>
  </si>
  <si>
    <t>E9516-P</t>
  </si>
  <si>
    <t>PERFURATRIZ HIDRÁULICA SOBRE ESTEIRAS - 300 KW</t>
  </si>
  <si>
    <t>E9517-P</t>
  </si>
  <si>
    <t>COMPRESSOR DE AR PORTÁTIL DE 912 PCM - 242 KW</t>
  </si>
  <si>
    <t>E9518-P</t>
  </si>
  <si>
    <t>GRADE DE 24 DISCOS REBOCÁVEL DE 24"</t>
  </si>
  <si>
    <t>E9519-P</t>
  </si>
  <si>
    <t>BETONEIRA COM MOTOR A GASOLINA COM CAPACIDADE DE 600 L - 10 KW</t>
  </si>
  <si>
    <t>E9521-P</t>
  </si>
  <si>
    <t>E9522-P</t>
  </si>
  <si>
    <t>CALDEIRA DE ASFALTO REBOCÁVEL COM CAPACIDADE DE 1.500 L - 6,5 KW</t>
  </si>
  <si>
    <t>E9523-P</t>
  </si>
  <si>
    <t>MOTOSCRAPER - 304 KW</t>
  </si>
  <si>
    <t>E9524-P</t>
  </si>
  <si>
    <t>MOTONIVELADORA - 93 KW</t>
  </si>
  <si>
    <t>E9525-P</t>
  </si>
  <si>
    <t>PONTE ROLANTE CAPACIDADE 15 T - VÃO ATÉ 15 M - COM ACESSÓRIOS - 20 KW</t>
  </si>
  <si>
    <t>E9526-P</t>
  </si>
  <si>
    <t>RETROESCAVADEIRA DE PNEUS - 58 KW</t>
  </si>
  <si>
    <t>E9527-P</t>
  </si>
  <si>
    <t>MARTELETE PERFURADOR/ROMPEDOR A AR COMPRIMIDO DE 25 KG PARA ROCHA</t>
  </si>
  <si>
    <t>E9528-P</t>
  </si>
  <si>
    <t>EMPILHADEIRA A DIESEL COM CAPACIDADE DE 4 T - 60 KW</t>
  </si>
  <si>
    <t>E9529-P</t>
  </si>
  <si>
    <t>JATEADORA COM MESA TRANSPORTADORA DE ROLOS DE 3.200 X 600 X 1.300 MM - 22 KW</t>
  </si>
  <si>
    <t>E9530-P</t>
  </si>
  <si>
    <t>ROLO COMPACTADOR LISO AUTOPROPELIDO VIBRATÓRIO DE 11 T - 97 KW</t>
  </si>
  <si>
    <t>E9532-P</t>
  </si>
  <si>
    <t>EQUIPAMENTO DE SOLDA MIG COM ACESSÓRIOS - 14,6 KVA</t>
  </si>
  <si>
    <t>E9535-P</t>
  </si>
  <si>
    <t>SERRA CIRCULAR COM BANCADA - D = 30 CM - 4 KW</t>
  </si>
  <si>
    <t>E9536-P</t>
  </si>
  <si>
    <t>EMBARCAÇÃO DE APOIO - 40 HP</t>
  </si>
  <si>
    <t>E9537-P</t>
  </si>
  <si>
    <t>CARREGADEIRA DE PNEUS COM CAPACIDADE DE 1,72 M³ - 113 KW</t>
  </si>
  <si>
    <t>E9538-P</t>
  </si>
  <si>
    <t>CONJUNTO VIBRATÓRIO PARA MEIO TUBO DE CONCRETO COM ENCAIXE PB E 3 JOGOS DE FÔRMAS - D = 30 CM - 2,2 KW</t>
  </si>
  <si>
    <t>E9539-P</t>
  </si>
  <si>
    <t>EQUIPAMENTO DE BATIMETRIA MONOFEIXE</t>
  </si>
  <si>
    <t>E9540-P</t>
  </si>
  <si>
    <t>TRATOR DE ESTEIRAS COM LÂMINA - 112 KW</t>
  </si>
  <si>
    <t>E9541-P</t>
  </si>
  <si>
    <t>E9544-P</t>
  </si>
  <si>
    <t>VASSOURA MECÂNICA REBOCÁVEL</t>
  </si>
  <si>
    <t>E9545-P</t>
  </si>
  <si>
    <t>VIBROACABADORA DE ASFALTO SOBRE ESTEIRAS - 82 KW</t>
  </si>
  <si>
    <t>E9547-P</t>
  </si>
  <si>
    <t>MÁQUINA PARA SOLDA ELÉTRICA - 9,2 KW</t>
  </si>
  <si>
    <t>E9548-P</t>
  </si>
  <si>
    <t>E9551-P</t>
  </si>
  <si>
    <t>OBTURADOR MECÂNICO SIMPLES COM EXTENSÃO DE 12 M</t>
  </si>
  <si>
    <t>E9552-P</t>
  </si>
  <si>
    <t>NÍVEL ÓTICO</t>
  </si>
  <si>
    <t>E9553-P</t>
  </si>
  <si>
    <t>ESTAÇÃO TOTAL ELETRÔNICA COM PRECISÃO ANGULAR DE 2", LINEAR DE 2 MM E ALCANCE COM 1 PRISMA DE 3.000 M</t>
  </si>
  <si>
    <t>E9556-P</t>
  </si>
  <si>
    <t>COMPACTADOR MANUAL DE PLACA VIBRATÓRIA - 3 KW</t>
  </si>
  <si>
    <t>E9558-P</t>
  </si>
  <si>
    <t>TANQUE DE ESTOCAGEM DE ASFALTO COM CAPACIDADE DE 30.000 L</t>
  </si>
  <si>
    <t>E9559-P</t>
  </si>
  <si>
    <t>AQUECEDOR DE FLUIDO TÉRMICO - 12 KW</t>
  </si>
  <si>
    <t>E9560-P</t>
  </si>
  <si>
    <t>ÔNIBUS COM CAPACIDADE PARA 80 LUGARES - 175 KW</t>
  </si>
  <si>
    <t>E9561-P</t>
  </si>
  <si>
    <t>GPS GEODÉSICO DE SIMPLES FREQUÊNCIA (L1)</t>
  </si>
  <si>
    <t>E9562-P</t>
  </si>
  <si>
    <t>GPS GEODÉSICO DE DUPLA FREQUÊNCIA (L1/L2)</t>
  </si>
  <si>
    <t>E9563-P</t>
  </si>
  <si>
    <t>PERFURATRIZ HIDRÁULICA SOBRE ESTEIRAS COM CLAMSHELL - 220 KW</t>
  </si>
  <si>
    <t>E9565-P</t>
  </si>
  <si>
    <t>TRATOR DE ESTEIRAS COM ESCARIFICADOR - 259 KW</t>
  </si>
  <si>
    <t>E9566-P</t>
  </si>
  <si>
    <t>GUINDASTE SOBRE ESTEIRAS COM CLAMSHELL DE 1,9 M³ - 220 KW</t>
  </si>
  <si>
    <t>E9567-P</t>
  </si>
  <si>
    <t>FRESADORA DE PISO DE CONCRETO - 6,7 KW</t>
  </si>
  <si>
    <t>E9568-P</t>
  </si>
  <si>
    <t>FURADEIRA DE IMPACTO DE 12,5 MM - 0,8 KW</t>
  </si>
  <si>
    <t>E9569-P</t>
  </si>
  <si>
    <t>GUINDASTE SOBRE ESTEIRAS COM CLAMSHELL DE 4,6 M³ - 403 KW</t>
  </si>
  <si>
    <t>E9574-P</t>
  </si>
  <si>
    <t>PERFURATRIZ SOBRE ESTEIRAS - 145 KW</t>
  </si>
  <si>
    <t>E9576-P</t>
  </si>
  <si>
    <t>ESCAVADEIRA HIDRÁULICA DE LONGO ALCANCE SOBRE ESTEIRAS - 103 KW</t>
  </si>
  <si>
    <t>E9577-P</t>
  </si>
  <si>
    <t>TRATOR AGRÍCOLA - 77 KW</t>
  </si>
  <si>
    <t>E9578-P</t>
  </si>
  <si>
    <t>CONJUNTO VIBRATÓRIO PARA MEIO TUBO DE CONCRETO COM ENCAIXE PB E 3 JOGOS DE FÔRMAS - D = 40 CM - 2,2 KW</t>
  </si>
  <si>
    <t>E9580-P</t>
  </si>
  <si>
    <t>DISTRIBUIDORA/FRESADORA COM CONTROLE DE GREIDE - 287 KW</t>
  </si>
  <si>
    <t>E9582-P</t>
  </si>
  <si>
    <t>CARREGADEIRA DE PNEUS COM CAPACIDADE DE 2,9 M³ - 96 KW</t>
  </si>
  <si>
    <t>E9583-P</t>
  </si>
  <si>
    <t>DISTRIBUIDOR DE AGREGADOS REBOCÁVEL COM CAPACIDADE DE 1,9 M³</t>
  </si>
  <si>
    <t>E9584-P</t>
  </si>
  <si>
    <t>E9585-P</t>
  </si>
  <si>
    <t>MOTOSERRA COM MOTOR A GASOLINA - 2,3 KW</t>
  </si>
  <si>
    <t>E9586-P</t>
  </si>
  <si>
    <t>RÉGUA VIBRATÓRIA TRELIÇADA COM 4 M - 4,1 KW</t>
  </si>
  <si>
    <t>E9588-P</t>
  </si>
  <si>
    <t>VIBROACABADORA DE CONCRETO COM FÔRMAS DESLIZANTES - 205 KW</t>
  </si>
  <si>
    <t>E9589-P</t>
  </si>
  <si>
    <t>TEXTURIZADORA/CURA - 44,8 KW</t>
  </si>
  <si>
    <t>E9590-P</t>
  </si>
  <si>
    <t>E9591-P</t>
  </si>
  <si>
    <t>SERRA PARA CORTE DE CONCRETO E ASFALTO - 10 KW</t>
  </si>
  <si>
    <t>E9593-P</t>
  </si>
  <si>
    <t>DRAGA HOPPER COM CAPACIDADE DE 750 M³</t>
  </si>
  <si>
    <t>E9594-P</t>
  </si>
  <si>
    <t>DRAGA HOPPER COM CAPACIDADE DE 1.000 M³</t>
  </si>
  <si>
    <t>E9595-P</t>
  </si>
  <si>
    <t>DRAGA HOPPER COM CAPACIDADE DE 2.000 M³</t>
  </si>
  <si>
    <t>E9596-P</t>
  </si>
  <si>
    <t>DRAGA HOPPER COM CAPACIDADE DE 3.000 M³</t>
  </si>
  <si>
    <t>E9597-P</t>
  </si>
  <si>
    <t>DRAGA HOPPER COM CAPACIDADE DE 4.000 M³</t>
  </si>
  <si>
    <t>E9598-P</t>
  </si>
  <si>
    <t>DRAGA HOPPER COM CAPACIDADE DE 5.000 M³</t>
  </si>
  <si>
    <t>E9599-P</t>
  </si>
  <si>
    <t>CENTRAL DE CONCRETO COM CAPACIDADE DE 30 M³/H - DOSADORA RS</t>
  </si>
  <si>
    <t>E9601-P</t>
  </si>
  <si>
    <t>EMBARCAÇÃO DE TRANSPORTE DE PESSOAL E APOIO LOGÍSTICO - 175 HP</t>
  </si>
  <si>
    <t>E9603-P</t>
  </si>
  <si>
    <t>EMBARCAÇÃO EMPURRADORA MULTIPROPÓSITO COM GUINDASTE HIDRÁULICO DE 11 T.M - 2 X 150 HP</t>
  </si>
  <si>
    <t>E9606-P</t>
  </si>
  <si>
    <t>REBOCADOR - 2 X 360 HP</t>
  </si>
  <si>
    <t>E9607-P</t>
  </si>
  <si>
    <t>CONJUNTO DE BRITAGEM PARA RACHÃO COM CAPACIDADE DE 80 M³/H</t>
  </si>
  <si>
    <t>E9609-P</t>
  </si>
  <si>
    <t>DRAGA DE SUCÇÃO PARA EXTRAÇÃO DE AREIA COM TUBO DE DESCARGA DE 150 MM - 100 KW</t>
  </si>
  <si>
    <t>E9611-P</t>
  </si>
  <si>
    <t>CONJUNTO DE BRITAGEM COM CAPACIDADE DE 80 M³/H</t>
  </si>
  <si>
    <t>E9612-P</t>
  </si>
  <si>
    <t>E9613-P</t>
  </si>
  <si>
    <t>GUINDASTE SOBRE ESTEIRAS COM PINÇA - 220 KW</t>
  </si>
  <si>
    <t>E9614-P</t>
  </si>
  <si>
    <t>BOMBA COM CÂMARA DE VÁCUO - 5,6 KW</t>
  </si>
  <si>
    <t>E9615-P</t>
  </si>
  <si>
    <t>USINA MISTURADORA DE SOLOS COM CAPACIDADE DE 300 T/H</t>
  </si>
  <si>
    <t>E9617-P</t>
  </si>
  <si>
    <t>USINA MISTURADORA DE PRÉ MISTURADO A FRIO COM CAPACIDADE DE 60 T/H</t>
  </si>
  <si>
    <t>E9618-P</t>
  </si>
  <si>
    <t>E9619-P</t>
  </si>
  <si>
    <t>E9620-P</t>
  </si>
  <si>
    <t>PONTÃO FLUTUANTE DE 15 X 30 X 1,8 M COM CAPACIDADE DE 500 T</t>
  </si>
  <si>
    <t>E9621-P</t>
  </si>
  <si>
    <t>E9622-P</t>
  </si>
  <si>
    <t>MÁQUINA DE BANCADA UNIVERSAL PARA CORTE DE CHAPA - 1,5 KW</t>
  </si>
  <si>
    <t>E9623-P</t>
  </si>
  <si>
    <t>MÁQUINA DE BANCADA GUILHOTINA - 4 KW</t>
  </si>
  <si>
    <t>E9624-P</t>
  </si>
  <si>
    <t>DRAGA HOPPER COM CAPACIDADE DE 10.000 M³</t>
  </si>
  <si>
    <t>E9625-P</t>
  </si>
  <si>
    <t>DRAGA HOPPER COM CAPACIDADE DE 15.000 M³</t>
  </si>
  <si>
    <t>E9626-P</t>
  </si>
  <si>
    <t>DRAGA HOPPER COM CAPACIDADE DE 20.000 M³</t>
  </si>
  <si>
    <t>E9628-P</t>
  </si>
  <si>
    <t>FÁBRICA DE PRÉ-MOLDADO DE CONCRETO PARA BALIZADOR - 2,2 KW</t>
  </si>
  <si>
    <t>E9630-P</t>
  </si>
  <si>
    <t>E9631-P</t>
  </si>
  <si>
    <t>BOMBA PARA CONCRETO PROJETADO VIA SECA COM CAPACIDADE DE 6 M³/H - 7,5 KW</t>
  </si>
  <si>
    <t>E9632-P</t>
  </si>
  <si>
    <t>CONJUNTO VIBRATÓRIO PARA TUBOS DE CONCRETO COM ENCAIXE PB E 3 JOGOS DE FÔRMAS - D = 20 CM - 2,2 KW</t>
  </si>
  <si>
    <t>E9633-P</t>
  </si>
  <si>
    <t>CONJUNTO VIBRATÓRIO PARA TUBOS DE CONCRETO COM ENCAIXE PB E 3 JOGOS DE FÔRMAS - D = 30 CM - 2,2 KW</t>
  </si>
  <si>
    <t>E9634-P</t>
  </si>
  <si>
    <t>CONJUNTO VIBRATÓRIO PARA TUBOS DE CONCRETO COM ENCAIXE PB E 3 JOGOS DE FÔRMAS - D = 40 CM - 2,2 KW</t>
  </si>
  <si>
    <t>E9635-P</t>
  </si>
  <si>
    <t>DRAGA DE SUCÇÃO E RECALQUE COM POTÊNCIA DA BOMBA DE 177 KW E DO CORTADOR DE 30 KW</t>
  </si>
  <si>
    <t>E9636-P</t>
  </si>
  <si>
    <t>DRAGA DE SUCÇÃO E RECALQUE COM POTÊNCIA DA BOMBA DE 447 KW E DO CORTADOR DE 52 KW</t>
  </si>
  <si>
    <t>E9637-P</t>
  </si>
  <si>
    <t>DRAGA DE SUCÇÃO E RECALQUE COM POTÊNCIA DA BOMBA DE 746 KW E DO CORTADOR DE 110 KW</t>
  </si>
  <si>
    <t>E9638-P</t>
  </si>
  <si>
    <t>DRAGA DE SUCÇÃO E RECALQUE COM POTÊNCIA DA BOMBA DE 1.350 KW E DO CORTADOR DE 170 KW</t>
  </si>
  <si>
    <t>E9639-P</t>
  </si>
  <si>
    <t>BARCO HOTEL COM CAPACIDADE PARA 30 PESSOAS - 2 X 150 HP</t>
  </si>
  <si>
    <t>E9640-P</t>
  </si>
  <si>
    <t>COMPRESSOR DE AR PORTÁTIL DE 71 PCM - 15 KW</t>
  </si>
  <si>
    <t>E9641-P</t>
  </si>
  <si>
    <t>COMPRESSOR DE AR PORTÁTIL DE 159 PCM - 33 KW</t>
  </si>
  <si>
    <t>E9642-P</t>
  </si>
  <si>
    <t>PERFURATRIZ HIDRÁULICA SOBRE ESTEIRAS PARA ESTACA RAIZ - 56 KW</t>
  </si>
  <si>
    <t>E9643-P</t>
  </si>
  <si>
    <t>EQUIPAMENTO DE PINTURA A AR COMPRIMIDO DE PISTOLA COM CANECA COM CAPACIDADE DE 1.000 ML E COMPRESSOR DE 1,5 KW</t>
  </si>
  <si>
    <t>E9646-P</t>
  </si>
  <si>
    <t>COMPRESSOR DE AR PORTÁTIL DE 124 PCM - 27 KW</t>
  </si>
  <si>
    <t>E9647-P</t>
  </si>
  <si>
    <t>COMPACTADOR MANUAL COM SOQUETE VIBRATÓRIO - 4,1 KW</t>
  </si>
  <si>
    <t>E9648-P</t>
  </si>
  <si>
    <t>COMPRESSOR DE AR PORTÁTIL DE 896 PCM - 213 KW</t>
  </si>
  <si>
    <t>E9649-P</t>
  </si>
  <si>
    <t>E9650-P</t>
  </si>
  <si>
    <t>E9651-P</t>
  </si>
  <si>
    <t>GUINDASTE SOBRE ESTEIRAS COM HAMMER GRAB - 220 KW</t>
  </si>
  <si>
    <t>E9652-P</t>
  </si>
  <si>
    <t>COMPRESSOR DE AR PORTÁTIL DE 1.146 PCM - 369 KW</t>
  </si>
  <si>
    <t>E9653-P</t>
  </si>
  <si>
    <t>GUINDASTE SOBRE ESTEIRAS COM TRADO COM BITS PARA MATERIAL DE 1ª CATEGORIA - 220 KW</t>
  </si>
  <si>
    <t>E9654-P</t>
  </si>
  <si>
    <t>GUINDASTE SOBRE ESTEIRAS COM TRADO COM BITS PARA MATERIAL DE 2ª CATEGORIA - 220 KW</t>
  </si>
  <si>
    <t>E9655-P</t>
  </si>
  <si>
    <t>GUINDASTE SOBRE ESTEIRAS COM TRADO COM BITS PARA MATERIAL DE 3ª CATEGORIA - 220 KW</t>
  </si>
  <si>
    <t>E9656-P</t>
  </si>
  <si>
    <t>GUINDASTE SOBRE ESTEIRAS COM CAÇAMBA PARA MATERIAL DE 1ª CATEGORIA - 220 KW</t>
  </si>
  <si>
    <t>E9657-P</t>
  </si>
  <si>
    <t>GUINDASTE SOBRE ESTEIRAS COM CAÇAMBA PARA MATERIAL DE 2ª CATEGORIA - 220 KW</t>
  </si>
  <si>
    <t>E9658-P</t>
  </si>
  <si>
    <t>GUINDASTE SOBRE ESTEIRAS COM CAÇAMBA PARA MATERIAL DE 3ª CATEGORIA - 220 KW</t>
  </si>
  <si>
    <t>E9659-P</t>
  </si>
  <si>
    <t>CAMPÂNULA DE AR COMPRIMIDO COM CAPACIDADE DE 3 M³</t>
  </si>
  <si>
    <t>E9660-P</t>
  </si>
  <si>
    <t>GUINDASTE SOBRE ESTEIRAS - 220 KW</t>
  </si>
  <si>
    <t>E9661-P</t>
  </si>
  <si>
    <t>COMPRESSOR DE AR PORTÁTIL DE 189 PCM - 46 KW</t>
  </si>
  <si>
    <t>E9662-P</t>
  </si>
  <si>
    <t>E9668-P</t>
  </si>
  <si>
    <t>FÁBRICA DE PRÉ-MOLDADO DE CONCRETO PARA GUARDA-CORPO - 2,2 KW</t>
  </si>
  <si>
    <t>E9671-P</t>
  </si>
  <si>
    <t>COMPRESSOR DE AR PORTÁTIL DE 748 PCM - 154 KW</t>
  </si>
  <si>
    <t>E9673-P</t>
  </si>
  <si>
    <t>EQUIPAMENTO DE BATIMETRIA MULTIFEIXE</t>
  </si>
  <si>
    <t>E9674-P</t>
  </si>
  <si>
    <t>EQUIPAMENTO DE MEDIÇÃO DE DESCARGA LÍQUIDA COM ADCP</t>
  </si>
  <si>
    <t>E9675-P</t>
  </si>
  <si>
    <t>MARTELETE PERFURADOR/ROMPEDOR ELÉTRICO - 1,5 KW</t>
  </si>
  <si>
    <t>E9676-P</t>
  </si>
  <si>
    <t>EMBARCAÇÃO DE APOIO - 120 HP</t>
  </si>
  <si>
    <t>E9677-P</t>
  </si>
  <si>
    <t>MARTELETE PERFURADOR/ROMPEDOR A AR COMPRIMIDO DE 10 KG</t>
  </si>
  <si>
    <t>E9678-P</t>
  </si>
  <si>
    <t>FRESADORA A FRIO - 410 KW</t>
  </si>
  <si>
    <t>E9682-P</t>
  </si>
  <si>
    <t>ROLO COMPACTADOR LISO AUTOPROPELIDO VIBRATÓRIO DE 1,6 T - 18 KW</t>
  </si>
  <si>
    <t>E9684-P</t>
  </si>
  <si>
    <t>E9685-P</t>
  </si>
  <si>
    <t>ROLO COMPACTADOR PÉ DE CARNEIRO VIBRATÓRIO AUTOPROPELIDO DE 11,6 T - 82 KW</t>
  </si>
  <si>
    <t>E9689-P</t>
  </si>
  <si>
    <t>USINA DE ASFALTO A QUENTE GRAVIMÉTRICA COM CAPACIDADE DE 100/140 T/H - 260 KW</t>
  </si>
  <si>
    <t>E9691-P</t>
  </si>
  <si>
    <t>E9692-P</t>
  </si>
  <si>
    <t>E9694-P</t>
  </si>
  <si>
    <t>MISTURADOR DE ARGAMASSA DE ALTA TURBULÊNCIA COM CAPACIDADE DE 220 L</t>
  </si>
  <si>
    <t>E9697-P</t>
  </si>
  <si>
    <t>MINICARREGADEIRA DE PNEUS COM VASSOURA DE 1,8 M - 42 KW</t>
  </si>
  <si>
    <t>E9700-P</t>
  </si>
  <si>
    <t>FRESADORA A FRIO - 155 KW</t>
  </si>
  <si>
    <t>E9701-P</t>
  </si>
  <si>
    <t>JATEADOR PRESSURIZADO MULTIABRASIVO COM CAPACIDADE DE 280 L</t>
  </si>
  <si>
    <t>E9702-P</t>
  </si>
  <si>
    <t>BOMBA DE INJEÇÃO DE ARGAMASSA COM CAPACIDADE DE 340 L/MIN</t>
  </si>
  <si>
    <t>E9703-P</t>
  </si>
  <si>
    <t>FÁBRICA DE PRÉ-MOLDADO DE CONCRETO PARA MOURÃO - 2,2 KW</t>
  </si>
  <si>
    <t>E9704-P</t>
  </si>
  <si>
    <t>BATELÃO SEM PROPULSÃO MONTADO NA OBRA COM CAPACIDADE DE 100 T</t>
  </si>
  <si>
    <t>E9705-P</t>
  </si>
  <si>
    <t>MISTURADOR DE LAMA BENTONÍTICA - 4 KW</t>
  </si>
  <si>
    <t>E9706-P</t>
  </si>
  <si>
    <t>MARTELETE PERFURADOR/ROMPEDOR A AR COMPRIMIDO DE 28 KG PARA CONCRETO</t>
  </si>
  <si>
    <t>E9707-P</t>
  </si>
  <si>
    <t>DESARENADOR - 15 KW</t>
  </si>
  <si>
    <t>E9708-P</t>
  </si>
  <si>
    <t>MICROTRATOR COM ROÇADEIRA - 10 KW</t>
  </si>
  <si>
    <t>E9710-P</t>
  </si>
  <si>
    <t>SOCADORA AUTOMÁTICA DE LINHA - 253 KW</t>
  </si>
  <si>
    <t>E9712-P</t>
  </si>
  <si>
    <t>REGULADORA E DISTRIBUIDORA DE LASTRO - 300 KW</t>
  </si>
  <si>
    <t>E9714-P</t>
  </si>
  <si>
    <t>BATE-ESTACA COM MARTELO HIDRÁULICO - 450 KW</t>
  </si>
  <si>
    <t>E9716-P</t>
  </si>
  <si>
    <t>CONJUNTO BOMBA E MACACO HIDRÁULICO PARA PROTENSÃO COM CAPACIDADE DE 590 KN</t>
  </si>
  <si>
    <t>E9717-P</t>
  </si>
  <si>
    <t>E9718-P</t>
  </si>
  <si>
    <t>PÓRTICO DUPLO DE DESCARGA E POSICIONAMENTO DE DORMENTE - 89 KW</t>
  </si>
  <si>
    <t>E9719-P</t>
  </si>
  <si>
    <t>E9720-P</t>
  </si>
  <si>
    <t>CONJUNTO BOMBA E MACACO HIDRÁULICO PARA PROTENSÃO COM CAPACIDADE DE 250 KN</t>
  </si>
  <si>
    <t>E9721-P</t>
  </si>
  <si>
    <t>E9722-P</t>
  </si>
  <si>
    <t>CONJUNTO BOMBA E MACACO HIDRÁULICO PARA PROTENSÃO COM CAPACIDADE DE 2.000 KN</t>
  </si>
  <si>
    <t>E9723-P</t>
  </si>
  <si>
    <t>CONJUNTO BOMBA E MACACO HIDRÁULICO PARA PROTENSÃO COM CAPACIDADE DE 2.500 KN</t>
  </si>
  <si>
    <t>E9724-P</t>
  </si>
  <si>
    <t>CONJUNTO BOMBA E MACACO HIDRÁULICO PARA PROTENSÃO COM CAPACIDADE DE 4.000 KN</t>
  </si>
  <si>
    <t>E9725-P</t>
  </si>
  <si>
    <t>CONJUNTO BOMBA E MACACO HIDRÁULICO PARA PROTENSÃO COM CAPACIDADE DE 5.400 KN</t>
  </si>
  <si>
    <t>E9726-P</t>
  </si>
  <si>
    <t>BATE-ESTACA STRAUSS - 15 KW</t>
  </si>
  <si>
    <t>E9727-P</t>
  </si>
  <si>
    <t>POSICIONADORA DE TRILHOS - 7,4 KW</t>
  </si>
  <si>
    <t>E9729-P</t>
  </si>
  <si>
    <t>EQUIPAMENTO PARA PINTURA ELETROSTÁTICA A PÓ - 5,5 KW</t>
  </si>
  <si>
    <t>E9730-P</t>
  </si>
  <si>
    <t>GRUPO VIBRADOR/GERADOR - 2,8 KW</t>
  </si>
  <si>
    <t>E9732-P</t>
  </si>
  <si>
    <t>MÁQUINA PARA FURAR DORMENTE - 6,7 KW</t>
  </si>
  <si>
    <t>E9733-P</t>
  </si>
  <si>
    <t>TIREFONADORA/PARAFUSADORA - 6,7 KW</t>
  </si>
  <si>
    <t>E9734-P</t>
  </si>
  <si>
    <t>E9735-P</t>
  </si>
  <si>
    <t>MÁQUINA PARA SERRAR TRILHO - 5,0 KW</t>
  </si>
  <si>
    <t>E9736-P</t>
  </si>
  <si>
    <t>MÁQUINA PARA FURAR TRILHO - 1,2 KW</t>
  </si>
  <si>
    <t>E9738-P</t>
  </si>
  <si>
    <t>MÁQUINA DE ESMERILHAR TOPO E LATERAL DE BOLETO - 5,2 KW</t>
  </si>
  <si>
    <t>E9740-P</t>
  </si>
  <si>
    <t>QUADRO TUBULAR CONTRAVENTADO PARA ANDAIME DE 1 X 1 X 1 M COM CAPACIDADE DE 2 T</t>
  </si>
  <si>
    <t>E9743-P</t>
  </si>
  <si>
    <t>LOCOMOTIVA DIESEL/ELÉTRICA - 1.492 KW</t>
  </si>
  <si>
    <t>E9744-P</t>
  </si>
  <si>
    <t>E9745-P</t>
  </si>
  <si>
    <t>TRATOR DE PNEUS COM ROÇADEIRA A DIESEL - 77 KW</t>
  </si>
  <si>
    <t>E9746-P</t>
  </si>
  <si>
    <t>CONJUNTO BOMBA E PRENSA PARA LUVA DE EMENDA DE 25 MM</t>
  </si>
  <si>
    <t>E9747-P</t>
  </si>
  <si>
    <t>CONJUNTO BOMBA E PRENSA PARA LUVA DE EMENDA DE 32 MM</t>
  </si>
  <si>
    <t>E9748-P</t>
  </si>
  <si>
    <t>ROSQUEADEIRA PARA ROSCA CÔNICA - 750 W</t>
  </si>
  <si>
    <t>E9749-P</t>
  </si>
  <si>
    <t>E9755-P</t>
  </si>
  <si>
    <t>BOMBA DE ALTA PRESSÃO PARA JET GROUTING 450 BAR - 150 KW</t>
  </si>
  <si>
    <t>E9756-P</t>
  </si>
  <si>
    <t>CALANDRA PARA CHAPAS DE AÇO ATÉ 25 MM - 22 KW</t>
  </si>
  <si>
    <t>E9758-P</t>
  </si>
  <si>
    <t>VIBROACABADORA DE ASFALTO SOBRE PNEUS - 72 KW</t>
  </si>
  <si>
    <t>E9760-P</t>
  </si>
  <si>
    <t>PERFURATRIZ MANUAL PARA COROA DIAMANTADA - 1,6 KW</t>
  </si>
  <si>
    <t>E9761-P</t>
  </si>
  <si>
    <t>E9762-P</t>
  </si>
  <si>
    <t>ROLO COMPACTADOR DE PNEUS AUTOPROPELIDO DE 27 T - 85 KW</t>
  </si>
  <si>
    <t>E9763-P</t>
  </si>
  <si>
    <t>E9766-P</t>
  </si>
  <si>
    <t>PRENSA HIDRÁULICA PARA FABRICAÇÃO DE BLOCOS PRÉ-MOLDADOS - 20 KW</t>
  </si>
  <si>
    <t>E9768-P</t>
  </si>
  <si>
    <t>COMPRESSOR DE AR PORTÁTIL DE 778 PCM - 184 KW</t>
  </si>
  <si>
    <t>E9769-P</t>
  </si>
  <si>
    <t>CUNHA HIDRÁULICA COM TRÊS CILINDROS E ACESSÓRIOS COM CAPACIDADE DE 3.000 KN - 5,6 KW</t>
  </si>
  <si>
    <t>E9775-P</t>
  </si>
  <si>
    <t>ESCAVADEIRA HIDRÁULICA COM MARTELO HIDRÁULICO DE 1.700 KG - 103 KW</t>
  </si>
  <si>
    <t>E9776-P</t>
  </si>
  <si>
    <t>GRUPO GERADOR - 145/160 KVA</t>
  </si>
  <si>
    <t>E9777-P</t>
  </si>
  <si>
    <t>EXTRUSORA DE BARREIRA DE CONCRETO - 74 KW</t>
  </si>
  <si>
    <t>E9778-P</t>
  </si>
  <si>
    <t>GRUPO GERADOR - 310/340 KVA</t>
  </si>
  <si>
    <t>E9779-P</t>
  </si>
  <si>
    <t>GRUPO GERADOR - 100/110 KVA</t>
  </si>
  <si>
    <t>E9780-P</t>
  </si>
  <si>
    <t>MISTURADOR AUTOMÁTICO PARA GROUTEAMENTO COM CAPACIDADE DE 20 M³/H - 7 KW</t>
  </si>
  <si>
    <t>E9781-P</t>
  </si>
  <si>
    <t>E9782-P</t>
  </si>
  <si>
    <t>PERFURATRIZ PNEUMÁTICA COM AVANÇO DE COLUNA DE 33,5 KG</t>
  </si>
  <si>
    <t>E9784-P</t>
  </si>
  <si>
    <t>PLATAFORMA AUTOPROPELIDA COM ALCANCE DE 12 M COM CAPACIDADE DE 700 KG - 24 KW</t>
  </si>
  <si>
    <t>E9785-P</t>
  </si>
  <si>
    <t>E9788-P</t>
  </si>
  <si>
    <t>MISTURADOR DE ARGAMASSA COM CAPACIDADE DE 250 L - 3,7 KW</t>
  </si>
  <si>
    <t>E9789-P</t>
  </si>
  <si>
    <t>CARRO MANUAL MODELO PLATAFORMA DE 150 X 80 CM COM CAPACIDADE DE 800 KG</t>
  </si>
  <si>
    <t>E9790-P</t>
  </si>
  <si>
    <t>BOMBA PARA CONCRETO PROJETADO VIA ÚMIDA COM CAPACIDADE DE 10 M³/H - 14,7 KW</t>
  </si>
  <si>
    <t>E9793-P</t>
  </si>
  <si>
    <t>ROBOT PARA CONCRETO PROJETADO - 70 KW - COM COMPRESSOR DIESEL</t>
  </si>
  <si>
    <t>E9795-P</t>
  </si>
  <si>
    <t>CARRETA DE PERFURAÇÃO DE SUPERFÍCIE COM MARTELO DE TOPO E CONTROLE REMOTO VIA RÁDIO - 46 KW</t>
  </si>
  <si>
    <t>E9797-P</t>
  </si>
  <si>
    <t>JUMBO ELETRO-HIDRÁULICO COM 3 BRAÇOS - 233 KW</t>
  </si>
  <si>
    <t>E9798-P</t>
  </si>
  <si>
    <t>PERFURATRIZ HIDRÁULICA ROTOPERCUSSIVA - 123 KW</t>
  </si>
  <si>
    <t>E9013-P</t>
  </si>
  <si>
    <t>CAMINHÃO TANQUE DE ASFALTO COM CAPACIDADE DE 31.000 L - 265 KW</t>
  </si>
  <si>
    <t>A9335-P</t>
  </si>
  <si>
    <t>CAVALO MECÂNICO ESTRADEIRO 6 X 2, PBT 23.000 KG - 265 KW - MOTORISTA DE CAMINHÃO</t>
  </si>
  <si>
    <t>A9364-P</t>
  </si>
  <si>
    <t>TANQUE ISOTÉRMICO DE ASFALTO COM CAPACIDADE DE 31.000 L</t>
  </si>
  <si>
    <t>E9018-P</t>
  </si>
  <si>
    <t>A9324-P</t>
  </si>
  <si>
    <t>CAVALO MECÂNICO ESTRADEIRO 6 X 4, PBT 23.000 KG - 323 KW - MOTORISTA DE VEÍCULO ESPECIAL</t>
  </si>
  <si>
    <t>A9355-P</t>
  </si>
  <si>
    <t>SEMIRREBOQUE COM 4 EIXOS</t>
  </si>
  <si>
    <t>A9382-P</t>
  </si>
  <si>
    <t>DOLLY INTERMEDIÁRIO COM 2 EIXOS PARA SEMIRREBOQUE</t>
  </si>
  <si>
    <t>E9027-P</t>
  </si>
  <si>
    <t>CAMINHÃO DISTRIBUIDOR DE CIMENTO COM CAPACIDADE DE 17 M³ - 188 KW</t>
  </si>
  <si>
    <t>A9333-P</t>
  </si>
  <si>
    <t>CAMINHÃO PLATAFORMA 8 X 2, PBT 29.000 KG E DISTÂNCIA ENTRE EIXOS 4,8 M - 188 KW - MOTORISTA DE CAMINHÃO</t>
  </si>
  <si>
    <t>A9365-P</t>
  </si>
  <si>
    <t>DISTRIBUIDOR DE CIMENTO MONTADO SOBRE CHASSI COM CAPACIDADE DE 17 M³</t>
  </si>
  <si>
    <t>E9037-P</t>
  </si>
  <si>
    <t>PLATAFORMA DE INSPEÇÃO SOB PONTES MONTADA EM CAMINHÃO COM CAPACIDADE DE 500 KG E ALCANCE DE 14 M - 188 KW</t>
  </si>
  <si>
    <t>A9334-P</t>
  </si>
  <si>
    <t>CAMINHÃO PLATAFORMA 8 X 2, PBT 29.000 KG E DISTÂNCIA ENTRE EIXOS 4,8 M - 188 KW - MOTORISTA DE VEÍCULO ESPECIAL</t>
  </si>
  <si>
    <t>A9378-P</t>
  </si>
  <si>
    <t>PLATAFORMA TELESCÓPICA PARA INSPEÇÃO DE PONTES MONTADA SOBRE CHASSI COM CAPACIDADE DE 500 KG</t>
  </si>
  <si>
    <t>E9041-P</t>
  </si>
  <si>
    <t>CAMINHÃO CARROCERIA COM GUINDAUTO COM CAPACIDADE DE 45 T.M - 188 KW</t>
  </si>
  <si>
    <t>A9313-P</t>
  </si>
  <si>
    <t>CAMINHÃO PLATAFORMA 6 X 2, PBT 24.100 KG E DISTÂNCIA ENTRE EIXOS 5,4 M - 188 KW - MOTORISTA DE VEÍCULO ESPECIAL</t>
  </si>
  <si>
    <t>A9351-P</t>
  </si>
  <si>
    <t>CARROCERIA DE MADEIRA COM CAPACIDADE DE 11 T</t>
  </si>
  <si>
    <t>A9373-P</t>
  </si>
  <si>
    <t>GUINDASTE ARTICULADO MONTADO SOBRE CHASSI COM CAPACIDADE DE 45 T.M</t>
  </si>
  <si>
    <t>E9082-P</t>
  </si>
  <si>
    <t>BATE-ESTACA HIDRÁULICO PARA DEFENSAS MONTADO EM CAMINHÃO GUINDAUTO COM CAPACIDADE DE 20 T.M E CARROCERIA DE 4 T - 136 KW</t>
  </si>
  <si>
    <t>A9323-P</t>
  </si>
  <si>
    <t>CAMINHÃO PLATAFORMA 4 X 2, PBT 14.300 KG E DISTÂNCIA ENTRE EIXOS 4,8 M - 136 KW - MOTORISTA DE CAMINHÃO</t>
  </si>
  <si>
    <t>A9347-P</t>
  </si>
  <si>
    <t>CARROCERIA DE MADEIRA COM CAPACIDADE DE 4 T</t>
  </si>
  <si>
    <t>A9372-P</t>
  </si>
  <si>
    <t>GUINDASTE ARTICULADO MONTADO SOBRE CHASSI COM CAPACIDADE DE 20 T.M</t>
  </si>
  <si>
    <t>A9379-P</t>
  </si>
  <si>
    <t>BATE ESTACA HIDRÁULICO PARA DEFENSAS METÁLICAS MONTADA SOBRE CHASSI</t>
  </si>
  <si>
    <t>E9097-P</t>
  </si>
  <si>
    <t>CAMINHÃO DE RESGATE DE VEÍCULOS LEVES COM PLATAFORMA COM CAPACIDADE DE 3,5 T - 115 KW</t>
  </si>
  <si>
    <t>A9326-P</t>
  </si>
  <si>
    <t>CAMINHÃO PLATAFORMA 4 X 2 PBT 9.600 KG E DISTÂNCIA ENTRE EIXOS 3,7 M - 115 KW - MOTORISTA DE VEÍCULO ESPECIAL</t>
  </si>
  <si>
    <t>A9374-P</t>
  </si>
  <si>
    <t>PLATAFORMA HIDRÁULICA PARA RESGATE DE VEÍCULOS MONTADA SOBRE CHASSI COM CAPACIDADE DE 3,5 T</t>
  </si>
  <si>
    <t>E9098-P</t>
  </si>
  <si>
    <t>CAMINHÃO DE RESGATE DE VEÍCULOS DE PORTE MÉDIO COM CAPACIDADE DO GUINCHO DE 20 T - 136 KW</t>
  </si>
  <si>
    <t>A9306-P</t>
  </si>
  <si>
    <t>CAMINHÃO PLATAFORMA 4 X 2, PBT 17.100 KG E DISTÂNCIA ENTRE EIXOS 3,6 M - 136 KW - MOTORISTA DE VEÍCULO ESPECIAL</t>
  </si>
  <si>
    <t>A9375-P</t>
  </si>
  <si>
    <t>GUINCHO REBOCADOR PARA RESGATE DE VEÍCULOS MONTADA SOBRE CHASSI COM CAPACIDADE DE 20 T</t>
  </si>
  <si>
    <t>E9099-P</t>
  </si>
  <si>
    <t>CAMINHÃO DE RESGATE DE VEÍCULOS PESADOS COM DOIS GUINCHOS COM CAPACIDADE DE 35 T - 240 KW</t>
  </si>
  <si>
    <t>A9320-P</t>
  </si>
  <si>
    <t>CAMINHÃO PLATAFORMA 6 X 2, PBT 23.000 KG E DISTÂNCIA ENTRE EIXOS 4,8 M - 240 KW - MOTORISTA DE VEÍCULO ESPECIAL</t>
  </si>
  <si>
    <t>A9376-P</t>
  </si>
  <si>
    <t>GUINCHO REBOCADOR PARA RESGATE DE VEÍCULOS MONTADA SOBRE CHASSI COM CAPACIDADE DE 35 T</t>
  </si>
  <si>
    <t>E9100-P</t>
  </si>
  <si>
    <t>CAVALO MECÂNICO SEM REBOQUE - 210 KW</t>
  </si>
  <si>
    <t>A9310-P</t>
  </si>
  <si>
    <t>CAVALO MECÂNICO 4 X 2, PBT 17.100 KG - 210 KW - MOTORISTA DE CAMINHÃO</t>
  </si>
  <si>
    <t>E9114-P</t>
  </si>
  <si>
    <t>PAINEL COM SETA LUMINOSA PARA MONTAGEM EM CAMINHÃO</t>
  </si>
  <si>
    <t>A9380-P</t>
  </si>
  <si>
    <t>PAINEL COM SETA LUMINOSA MONTADO SOBRE CHASSI</t>
  </si>
  <si>
    <t>E9115-P</t>
  </si>
  <si>
    <t>AMORTECEDOR RETRÁTIL (AMC) PARA MONTAGEM EM CAMINHÃO</t>
  </si>
  <si>
    <t>A9381-P</t>
  </si>
  <si>
    <t>AMORTECEDOR RETRÁTIL MONTADO EM CAMINHÃO</t>
  </si>
  <si>
    <t>E9145-P</t>
  </si>
  <si>
    <t>CAMINHÃO BASCULANTE PARA CONCRETO COM CAPACIDADE DE 7 M³ - 188 KW</t>
  </si>
  <si>
    <t>A9316-P</t>
  </si>
  <si>
    <t>A9340-P</t>
  </si>
  <si>
    <t>CAÇAMBA BASCULANTE PARA CONCRETO COM CAPACIDADE DE 7 M³</t>
  </si>
  <si>
    <t>E9146-P</t>
  </si>
  <si>
    <t>CAMINHÃO SILO COM CAPACIDADE DE 30 M³ - 265 KW</t>
  </si>
  <si>
    <t>A9357-P</t>
  </si>
  <si>
    <t>SEMIRREBOQUE SILO PARA CIMENTO COM CAPACIDADE DE 30 M³</t>
  </si>
  <si>
    <t>E9201-P</t>
  </si>
  <si>
    <t>CAMINHÃO BASCULANTE PARA ROCHA COM CAPACIDADE DE 12 M³ - 188 KW COM PERICULOSIDADE</t>
  </si>
  <si>
    <t>A9327-P</t>
  </si>
  <si>
    <t>CAMINHÃO PLATAFORMA 8 X 2 PBT 29.000 KG E DISTÂNCIA ENTRE EIXOS 4,8 M - 188 KW - MOTORISTA DE VEÍCULO ESPECIAL COM PERICULOSIDADE</t>
  </si>
  <si>
    <t>A9343-P</t>
  </si>
  <si>
    <t>CAÇAMBA BASCULANTE PARA ROCHA COM CAPACIDADE DE 12 M³</t>
  </si>
  <si>
    <t>E9202-P</t>
  </si>
  <si>
    <t>PLATAFORMA PANTOGRÁFICA MONTADA EM CAMINHÃO - 115 KW COM PERICULOSIDADE</t>
  </si>
  <si>
    <t>A9300-P</t>
  </si>
  <si>
    <t>CAMINHÃO PLATAFORMA 4 X 2, PBT 8.300 KG E DISTÂNCIA ENTRE EIXOS 3,7 M - 115 KW - MOTORISTA DE VEÍCULO ESPECIAL COM PERICULOSIDADE</t>
  </si>
  <si>
    <t>A9383-P</t>
  </si>
  <si>
    <t>PLATAFORMA PANTOGRÁFICA HIDRÁULICA MONTADA SOBRE CHASSI COM CAPACIDADE DE 600 KG - COM PERICULOSIDADE</t>
  </si>
  <si>
    <t>E9506-P</t>
  </si>
  <si>
    <t>A9307-P</t>
  </si>
  <si>
    <t>CAMINHÃO PLATAFORMA 4 X 2, PBT 17.100 KG E DISTÂNCIA ENTRE EIXOS 3,6 M - 136 KW - MOTORISTA DE CAMINHÃO</t>
  </si>
  <si>
    <t>A9338-P</t>
  </si>
  <si>
    <t>CAÇAMBA BASCULANTE COM CAPACIDADE DE 6 M³</t>
  </si>
  <si>
    <t>E9508-P</t>
  </si>
  <si>
    <t>A9309-P</t>
  </si>
  <si>
    <t>CAMINHÃO PLATAFORMA 4 X 2, PBT 17.100 KG E DISTÂNCIA ENTRE EIXOS 4,8 M - 136 KW - MOTORISTA DE CAMINHÃO</t>
  </si>
  <si>
    <t>A9350-P</t>
  </si>
  <si>
    <t>CARROCERIA DE MADEIRA COM CAPACIDADE DE 9 T</t>
  </si>
  <si>
    <t>E9509-P</t>
  </si>
  <si>
    <t>CAMINHÃO TANQUE DISTRIBUIDOR DE ASFALTO COM CAPACIDADE DE 6.000 L - 7 KW/136 KW</t>
  </si>
  <si>
    <t>A9363-P</t>
  </si>
  <si>
    <t>E9520-P</t>
  </si>
  <si>
    <t>CAMINHÃO COM CAÇAMBA TÉRMICA COM CAPACIDADE DE 6 M³ - 188 KW</t>
  </si>
  <si>
    <t>A9311-P</t>
  </si>
  <si>
    <t>CAMINHÃO PLATAFORMA 6 X 2, PBT 24.100 KG E DISTÂNCIA ENTRE EIXOS 4,8 M - 188 KW - MOTORISTA DE CAMINHÃO</t>
  </si>
  <si>
    <t>A9339-P</t>
  </si>
  <si>
    <t>CAÇAMBA TÉRMICA COM CAPACIDADE DE 6 M³</t>
  </si>
  <si>
    <t>E9571-P</t>
  </si>
  <si>
    <t>A9332-P</t>
  </si>
  <si>
    <t>A9360-P</t>
  </si>
  <si>
    <t>TANQUE PARA TRANSPORTE DE ÁGUA COM CAPACIDADE DE 10.000 L</t>
  </si>
  <si>
    <t>E9575-P</t>
  </si>
  <si>
    <t>CAMINHÃO BASCULANTE COM CAÇAMBA ESTANQUE COM CAPACIDADE DE 14 M³ - 188 KW</t>
  </si>
  <si>
    <t>A9317-P</t>
  </si>
  <si>
    <t>A9345-P</t>
  </si>
  <si>
    <t>CAÇAMBA BASCULANTE ESTANQUE COM CAPACIDADE DE 14 M³</t>
  </si>
  <si>
    <t>E9579-P</t>
  </si>
  <si>
    <t>CAMINHÃO BASCULANTE COM CAPACIDADE DE 10 M³ - 188 KW</t>
  </si>
  <si>
    <t>A9342-P</t>
  </si>
  <si>
    <t>CAÇAMBA BASCULANTE COM CAPACIDADE DE 10 M³</t>
  </si>
  <si>
    <t>E9592-P</t>
  </si>
  <si>
    <t>CAMINHÃO CARROCERIA COM CAPACIDADE DE 15 T - 188 KW</t>
  </si>
  <si>
    <t>A9314-P</t>
  </si>
  <si>
    <t>CAMINHÃO PLATAFORMA 6 X 2, PBT 24.100 KG E DISTÂNCIA ENTRE EIXOS 5,4 M - 188 KW - MOTORISTA DE CAMINHÃO</t>
  </si>
  <si>
    <t>A9352-P</t>
  </si>
  <si>
    <t>CARROCERIA DE MADEIRA COM CAPACIDADE DE 15 T</t>
  </si>
  <si>
    <t>E9600-P</t>
  </si>
  <si>
    <t>CAMINHÃO BETONEIRA COM CAPACIDADE DE 8 M³ - 188 KW</t>
  </si>
  <si>
    <t>A9346-P</t>
  </si>
  <si>
    <t>MISTURADOR DE CONCRETO PARA MONTAGEM EM CHASSI DE CAMINHÃO COM CAPACIDADE DE 8 M³</t>
  </si>
  <si>
    <t>E9604-P</t>
  </si>
  <si>
    <t>CAMINHÃO BASCULANTE PARA ROCHA COM CAPACIDADE DE 8 M³ - 210 KW</t>
  </si>
  <si>
    <t>A9315-P</t>
  </si>
  <si>
    <t>CAMINHÃO BASCULANTE 6 X 4, PBT 23.000 KG E DISTÂNCIA ENTRE EIXOS 3,6 M - 210 KW - MOTORISTA DE CAMINHÃO</t>
  </si>
  <si>
    <t>A9341-P</t>
  </si>
  <si>
    <t>CAÇAMBA BASCULANTE PARA ROCHA COM CAPACIDADE DE 8 M³</t>
  </si>
  <si>
    <t>E9605-P</t>
  </si>
  <si>
    <t>CAMINHÃO TANQUE COM CAPACIDADE DE 6.000 L - 136 KW</t>
  </si>
  <si>
    <t>A9358-P</t>
  </si>
  <si>
    <t>TANQUE PARA TRANSPORTE DE ÁGUA COM CAPACIDADE DE 6.000 L</t>
  </si>
  <si>
    <t>E9644-P</t>
  </si>
  <si>
    <t>CAMINHÃO DEMARCADOR DE FAIXAS COM SISTEMA DE PINTURA A FRIO - 28 KW/115 KW</t>
  </si>
  <si>
    <t>A9302-P</t>
  </si>
  <si>
    <t>CAMINHÃO PLATAFORMA 4 X 2, PBT 8.300 KG E DISTÂNCIA ENTRE EIXOS 4,4 M - 115 KW - MOTORISTA DE VEÍCULO ESPECIAL</t>
  </si>
  <si>
    <t>A9368-P</t>
  </si>
  <si>
    <t>E9645-P</t>
  </si>
  <si>
    <t>A9305-P</t>
  </si>
  <si>
    <t>CAMINHÃO PLATAFORMA 4 X 2, PBT 14.300 KG E DISTÂNCIA ENTRE EIXOS 4,8 M - 136 KW - MOTORISTA DE VEÍCULO ESPECIAL</t>
  </si>
  <si>
    <t>A9328-P</t>
  </si>
  <si>
    <t>COMPRESSOR DE AR PORTÁTIL DE 150 PCM SEM REBOQUE - 46 KW</t>
  </si>
  <si>
    <t>A9369-P</t>
  </si>
  <si>
    <t>E9663-P</t>
  </si>
  <si>
    <t>CAMINHÃO BASCULANTE COM CAPACIDADE DE 4 M³ - 136 KW</t>
  </si>
  <si>
    <t>A9304-P</t>
  </si>
  <si>
    <t>A9336-P</t>
  </si>
  <si>
    <t>CAÇAMBA BASCULANTE COM CAPACIDADE DE 4 M³</t>
  </si>
  <si>
    <t>E9665-P</t>
  </si>
  <si>
    <t>CAVALO MECÂNICO COM SEMIRREBOQUE COM CAPACIDADE DE 22 T - 240 KW</t>
  </si>
  <si>
    <t>A9318-P</t>
  </si>
  <si>
    <t>CAVALO MECÂNICO 4 X 2, PBT 16.000 KG - 240 KW - MOTORISTA DE VEÍCULO ESPECIAL</t>
  </si>
  <si>
    <t>A9353-P</t>
  </si>
  <si>
    <t>SEMIRREBOQUE COM 2 EIXOS</t>
  </si>
  <si>
    <t>E9666-P</t>
  </si>
  <si>
    <t>CAVALO MECÂNICO COM SEMIRREBOQUE COM CAPACIDADE DE 30 T - 265 KW</t>
  </si>
  <si>
    <t>A9321-P</t>
  </si>
  <si>
    <t>A9354-P</t>
  </si>
  <si>
    <t>SEMIRREBOQUE COM 3 EIXOS</t>
  </si>
  <si>
    <t>E9667-P</t>
  </si>
  <si>
    <t>CAMINHÃO BASCULANTE COM CAPACIDADE DE 14 M³ - 188 KW</t>
  </si>
  <si>
    <t>A9344-P</t>
  </si>
  <si>
    <t>CAÇAMBA BASCULANTE COM CAPACIDADE DE 14 M³</t>
  </si>
  <si>
    <t>E9669-P</t>
  </si>
  <si>
    <t>A9331-P</t>
  </si>
  <si>
    <t>A9359-P</t>
  </si>
  <si>
    <t>TANQUE PARA TRANSPORTE DE ÁGUA COM CAPACIDADE DE 8.000 L</t>
  </si>
  <si>
    <t>E9670-P</t>
  </si>
  <si>
    <t>A9319-P</t>
  </si>
  <si>
    <t>A9367-P</t>
  </si>
  <si>
    <t>E9672-P</t>
  </si>
  <si>
    <t>CAMINHÃO BASCULANTE PARA ROCHA COM CAPACIDADE DE 12 M³ - 188 KW</t>
  </si>
  <si>
    <t>E9679-P</t>
  </si>
  <si>
    <t>CAVALO MECÂNICO COM REBOQUE DE 6 EIXOS COM CAPACIDADE DE 207 T - 440 KW</t>
  </si>
  <si>
    <t>A9325-P</t>
  </si>
  <si>
    <t>CAVALO MECÂNICO 8 X 8, PBT 26.000 KG - 440 KW -  MOTORISTA DE VEÍCULO ESPECIAL</t>
  </si>
  <si>
    <t>A9356-P</t>
  </si>
  <si>
    <t>REBOQUE COM CAPACIDADE DE 400 T E 6 EIXOS</t>
  </si>
  <si>
    <t>E9680-P</t>
  </si>
  <si>
    <t>CAMINHÃO TANQUE COM CAPACIDADE DE 13.000 L - 188 KW</t>
  </si>
  <si>
    <t>A9361-P</t>
  </si>
  <si>
    <t>TANQUE PARA TRANSPORTE DE ÁGUA COM CAPACIDADE DE 13.000 L</t>
  </si>
  <si>
    <t>E9686-P</t>
  </si>
  <si>
    <t>A9308-P</t>
  </si>
  <si>
    <t>CAMINHÃO PLATAFORMA 4 X 2, PBT 17.100 KG E DISTÂNCIA ENTRE EIXOS 4,8 M - 136 KW - MOTORISTA DE VEÍCULO ESPECIAL</t>
  </si>
  <si>
    <t>A9349-P</t>
  </si>
  <si>
    <t>CARROCERIA DE MADEIRA COM CAPACIDADE DE 7 T</t>
  </si>
  <si>
    <t>E9687-P</t>
  </si>
  <si>
    <t>A9303-P</t>
  </si>
  <si>
    <t>CAMINHÃO PLATAFORMA 4 X 2, PBT 9.600 KG E DISTÂNCIA ENTRE EIXOS 3,7 M - 115 KW - MOTORISTA DE CAMINHÃO</t>
  </si>
  <si>
    <t>A9348-P</t>
  </si>
  <si>
    <t>CARROCERIA DE MADEIRA COM CAPACIDADE DE 5 T</t>
  </si>
  <si>
    <t>E9688-P</t>
  </si>
  <si>
    <t>A9312-P</t>
  </si>
  <si>
    <t>CAMINHÃO PLATAFORMA 6 X 2, PBT 24.100 KG E DISTÂNCIA ENTRE EIXOS 4,8 M - 188 KW - MOTORISTA DE VEÍCULO ESPECIAL</t>
  </si>
  <si>
    <t>A9366-P</t>
  </si>
  <si>
    <t>E9690-P</t>
  </si>
  <si>
    <t>CAMINHÃO CARROCERIA COM GUINDAUTO E CESTO AÉREO COM CAPACIDADE DE 10 T.M - 136 KW</t>
  </si>
  <si>
    <t>A9329-P</t>
  </si>
  <si>
    <t>CESTO AÉREO SIMPLES ISOLADO</t>
  </si>
  <si>
    <t>A9330-P</t>
  </si>
  <si>
    <t>GUINDASTE ARTICULADO MONTADO SOBRE CHASSI COM CAPACIDADE DE 10 T.M</t>
  </si>
  <si>
    <t>E9693-P</t>
  </si>
  <si>
    <t>CAMINHÃO DEMARCADOR DE FAIXAS COM SISTEMA DE PINTURA SPRAY - 115 KW</t>
  </si>
  <si>
    <t>A9322-P</t>
  </si>
  <si>
    <t>A9370-P</t>
  </si>
  <si>
    <t>EQUIPAMENTO DEMARCADOR DE FAIXAS SISTEMA SPRAY MONTADO SOBRE CHASSI COM CAPACIDADE
1.080 L</t>
  </si>
  <si>
    <t>E9783-P</t>
  </si>
  <si>
    <t>PLATAFORMA PANTOGRÁFICA MONTADA EM CAMINHÃO - 115 KW</t>
  </si>
  <si>
    <t>A9301-P</t>
  </si>
  <si>
    <t>CAMINHÃO PLATAFORMA 4 X 2, PBT 8.300 KG E DISTÂNCIA ENTRE EIXOS 3,7 M - 115 KW - MOTORISTA DE VEÍCULO ESPECIAL</t>
  </si>
  <si>
    <t>A9377-P</t>
  </si>
  <si>
    <t>PLATAFORMA PANTOGRÁFICA HIDRÁULICA MONTADA SOBRE CHASSI COM CAPACIDADE DE 600 KG</t>
  </si>
  <si>
    <t>E9787-P</t>
  </si>
  <si>
    <t>BOMBA PARA CONCRETO COM LANÇA MONTADA SOBRE CHASSI COM CAPACIDADE DE 45 M³/H - 136 KW</t>
  </si>
  <si>
    <t>A9371-P</t>
  </si>
  <si>
    <t>BOMBA PARA CONCRETO COM LANÇA MONTADA SOBRE CHASSI COM CAPACIDADE DE 45 M³/H</t>
  </si>
  <si>
    <t>E9792-P</t>
  </si>
  <si>
    <t>CAMINHÃO PARA HIDROSSEMEADURA COM CAPACIDADE DE 7.000 L - 25 KW/136 KW</t>
  </si>
  <si>
    <t>A9362-P</t>
  </si>
  <si>
    <t>E9001-I</t>
  </si>
  <si>
    <t>E9002-I</t>
  </si>
  <si>
    <t>E9003-I</t>
  </si>
  <si>
    <t>E9004-I</t>
  </si>
  <si>
    <t>E9005-I</t>
  </si>
  <si>
    <t>E9006-I</t>
  </si>
  <si>
    <t>E9007-I</t>
  </si>
  <si>
    <t>E9008-I</t>
  </si>
  <si>
    <t>E9009-I</t>
  </si>
  <si>
    <t>E9010-I</t>
  </si>
  <si>
    <t>E9011-I</t>
  </si>
  <si>
    <t>E9012-I</t>
  </si>
  <si>
    <t>E9014-I</t>
  </si>
  <si>
    <t>E9015-I</t>
  </si>
  <si>
    <t>E9016-I</t>
  </si>
  <si>
    <t>E9017-I</t>
  </si>
  <si>
    <t>E9019-I</t>
  </si>
  <si>
    <t>E9020-I</t>
  </si>
  <si>
    <t>E9021-I</t>
  </si>
  <si>
    <t>E9022-I</t>
  </si>
  <si>
    <t>E9023-I</t>
  </si>
  <si>
    <t>E9024-I</t>
  </si>
  <si>
    <t>E9025-I</t>
  </si>
  <si>
    <t>E9026-I</t>
  </si>
  <si>
    <t>E9028-I</t>
  </si>
  <si>
    <t>E9029-I</t>
  </si>
  <si>
    <t>E9030-I</t>
  </si>
  <si>
    <t>E9031-I</t>
  </si>
  <si>
    <t>E9032-I</t>
  </si>
  <si>
    <t>E9033-I</t>
  </si>
  <si>
    <t>E9034-I</t>
  </si>
  <si>
    <t>E9035-I</t>
  </si>
  <si>
    <t>E9036-I</t>
  </si>
  <si>
    <t>E9038-I</t>
  </si>
  <si>
    <t>E9039-I</t>
  </si>
  <si>
    <t>E9040-I</t>
  </si>
  <si>
    <t>E9042-I</t>
  </si>
  <si>
    <t>E9043-I</t>
  </si>
  <si>
    <t>E9044-I</t>
  </si>
  <si>
    <t>E9045-I</t>
  </si>
  <si>
    <t>E9046-I</t>
  </si>
  <si>
    <t>E9047-I</t>
  </si>
  <si>
    <t>E9048-I</t>
  </si>
  <si>
    <t>E9049-I</t>
  </si>
  <si>
    <t>E9050-I</t>
  </si>
  <si>
    <t>E9051-I</t>
  </si>
  <si>
    <t>E9052-I</t>
  </si>
  <si>
    <t>E9053-I</t>
  </si>
  <si>
    <t>E9054-I</t>
  </si>
  <si>
    <t>E9055-I</t>
  </si>
  <si>
    <t>E9056-I</t>
  </si>
  <si>
    <t>E9057-I</t>
  </si>
  <si>
    <t>E9058-I</t>
  </si>
  <si>
    <t>E9059-I</t>
  </si>
  <si>
    <t>E9060-I</t>
  </si>
  <si>
    <t>E9061-I</t>
  </si>
  <si>
    <t>E9062-I</t>
  </si>
  <si>
    <t>E9063-I</t>
  </si>
  <si>
    <t>E9064-I</t>
  </si>
  <si>
    <t>E9065-I</t>
  </si>
  <si>
    <t>E9066-I</t>
  </si>
  <si>
    <t>E9067-I</t>
  </si>
  <si>
    <t>E9068-I</t>
  </si>
  <si>
    <t>E9069-I</t>
  </si>
  <si>
    <t>E9070-I</t>
  </si>
  <si>
    <t>E9071-I</t>
  </si>
  <si>
    <t>E9072-I</t>
  </si>
  <si>
    <t>E9073-I</t>
  </si>
  <si>
    <t>E9074-I</t>
  </si>
  <si>
    <t>E9075-I</t>
  </si>
  <si>
    <t>E9076-I</t>
  </si>
  <si>
    <t>E9077-I</t>
  </si>
  <si>
    <t>E9078-I</t>
  </si>
  <si>
    <t>E9079-I</t>
  </si>
  <si>
    <t>E9080-I</t>
  </si>
  <si>
    <t>E9081-I</t>
  </si>
  <si>
    <t>E9083-I</t>
  </si>
  <si>
    <t>E9084-I</t>
  </si>
  <si>
    <t>E9085-I</t>
  </si>
  <si>
    <t>E9086-I</t>
  </si>
  <si>
    <t>E9087-I</t>
  </si>
  <si>
    <t>E9088-I</t>
  </si>
  <si>
    <t>E9089-I</t>
  </si>
  <si>
    <t>E9090-I</t>
  </si>
  <si>
    <t>E9091-I</t>
  </si>
  <si>
    <t>E9093-I</t>
  </si>
  <si>
    <t>E9094-I</t>
  </si>
  <si>
    <t>E9095-I</t>
  </si>
  <si>
    <t>E9096-I</t>
  </si>
  <si>
    <t>E9101-I</t>
  </si>
  <si>
    <t>E9102-I</t>
  </si>
  <si>
    <t>E9103-I</t>
  </si>
  <si>
    <t>E9105-I</t>
  </si>
  <si>
    <t>E9106-I</t>
  </si>
  <si>
    <t>E9107-I</t>
  </si>
  <si>
    <t>E9108-I</t>
  </si>
  <si>
    <t>E9110-I</t>
  </si>
  <si>
    <t>E9111-I</t>
  </si>
  <si>
    <t>E9112-I</t>
  </si>
  <si>
    <t>E9113-I</t>
  </si>
  <si>
    <t>E9116-I</t>
  </si>
  <si>
    <t>E9117-I</t>
  </si>
  <si>
    <t>E9118-I</t>
  </si>
  <si>
    <t>E9119-I</t>
  </si>
  <si>
    <t>E9120-I</t>
  </si>
  <si>
    <t>E9121-I</t>
  </si>
  <si>
    <t>E9122-I</t>
  </si>
  <si>
    <t>E9125-I</t>
  </si>
  <si>
    <t>E9126-I</t>
  </si>
  <si>
    <t>E9127-I</t>
  </si>
  <si>
    <t>E9134-I</t>
  </si>
  <si>
    <t>E9141-I</t>
  </si>
  <si>
    <t>E9142-I</t>
  </si>
  <si>
    <t>E9143-I</t>
  </si>
  <si>
    <t>E9144-I</t>
  </si>
  <si>
    <t>E9148-I</t>
  </si>
  <si>
    <t>E9149-I</t>
  </si>
  <si>
    <t>E9151-I</t>
  </si>
  <si>
    <t>E9154-I</t>
  </si>
  <si>
    <t>E9155-I</t>
  </si>
  <si>
    <t>E9200-I</t>
  </si>
  <si>
    <t>E9203-I</t>
  </si>
  <si>
    <t>E9204-I</t>
  </si>
  <si>
    <t>E9205-I</t>
  </si>
  <si>
    <t>E9206-I</t>
  </si>
  <si>
    <t>E9207-I</t>
  </si>
  <si>
    <t>E9209-I</t>
  </si>
  <si>
    <t>E9213-I</t>
  </si>
  <si>
    <t>E9251-I</t>
  </si>
  <si>
    <t>E9252-I</t>
  </si>
  <si>
    <t>E9253-I</t>
  </si>
  <si>
    <t>E9254-I</t>
  </si>
  <si>
    <t>E9255-I</t>
  </si>
  <si>
    <t>E9500-I</t>
  </si>
  <si>
    <t>E9501-I</t>
  </si>
  <si>
    <t>E9502-I</t>
  </si>
  <si>
    <t>E9503-I</t>
  </si>
  <si>
    <t>E9505-I</t>
  </si>
  <si>
    <t>E9507-I</t>
  </si>
  <si>
    <t>E9510-I</t>
  </si>
  <si>
    <t>E9511-I</t>
  </si>
  <si>
    <t>E9512-I</t>
  </si>
  <si>
    <t>E9513-I</t>
  </si>
  <si>
    <t>E9514-I</t>
  </si>
  <si>
    <t>E9515-I</t>
  </si>
  <si>
    <t>E9516-I</t>
  </si>
  <si>
    <t>E9517-I</t>
  </si>
  <si>
    <t>E9518-I</t>
  </si>
  <si>
    <t>E9519-I</t>
  </si>
  <si>
    <t>E9521-I</t>
  </si>
  <si>
    <t>E9522-I</t>
  </si>
  <si>
    <t>E9523-I</t>
  </si>
  <si>
    <t>E9524-I</t>
  </si>
  <si>
    <t>E9525-I</t>
  </si>
  <si>
    <t>E9526-I</t>
  </si>
  <si>
    <t>E9527-I</t>
  </si>
  <si>
    <t>E9528-I</t>
  </si>
  <si>
    <t>E9529-I</t>
  </si>
  <si>
    <t>E9530-I</t>
  </si>
  <si>
    <t>E9532-I</t>
  </si>
  <si>
    <t>E9535-I</t>
  </si>
  <si>
    <t>E9536-I</t>
  </si>
  <si>
    <t>E9537-I</t>
  </si>
  <si>
    <t>E9538-I</t>
  </si>
  <si>
    <t>E9539-I</t>
  </si>
  <si>
    <t>E9540-I</t>
  </si>
  <si>
    <t>E9541-I</t>
  </si>
  <si>
    <t>E9544-I</t>
  </si>
  <si>
    <t>E9545-I</t>
  </si>
  <si>
    <t>E9547-I</t>
  </si>
  <si>
    <t>E9548-I</t>
  </si>
  <si>
    <t>E9551-I</t>
  </si>
  <si>
    <t>E9552-I</t>
  </si>
  <si>
    <t>E9553-I</t>
  </si>
  <si>
    <t>E9556-I</t>
  </si>
  <si>
    <t>E9558-I</t>
  </si>
  <si>
    <t>E9559-I</t>
  </si>
  <si>
    <t>E9560-I</t>
  </si>
  <si>
    <t>E9561-I</t>
  </si>
  <si>
    <t>E9562-I</t>
  </si>
  <si>
    <t>E9563-I</t>
  </si>
  <si>
    <t>E9565-I</t>
  </si>
  <si>
    <t>E9566-I</t>
  </si>
  <si>
    <t>E9567-I</t>
  </si>
  <si>
    <t>E9568-I</t>
  </si>
  <si>
    <t>E9569-I</t>
  </si>
  <si>
    <t>E9574-I</t>
  </si>
  <si>
    <t>E9576-I</t>
  </si>
  <si>
    <t>E9577-I</t>
  </si>
  <si>
    <t>E9578-I</t>
  </si>
  <si>
    <t>E9580-I</t>
  </si>
  <si>
    <t>E9582-I</t>
  </si>
  <si>
    <t>E9583-I</t>
  </si>
  <si>
    <t>E9584-I</t>
  </si>
  <si>
    <t>E9585-I</t>
  </si>
  <si>
    <t>E9586-I</t>
  </si>
  <si>
    <t>E9588-I</t>
  </si>
  <si>
    <t>E9589-I</t>
  </si>
  <si>
    <t>E9590-I</t>
  </si>
  <si>
    <t>E9591-I</t>
  </si>
  <si>
    <t>E9593-I</t>
  </si>
  <si>
    <t>E9594-I</t>
  </si>
  <si>
    <t>E9595-I</t>
  </si>
  <si>
    <t>E9596-I</t>
  </si>
  <si>
    <t>E9597-I</t>
  </si>
  <si>
    <t>E9598-I</t>
  </si>
  <si>
    <t>E9599-I</t>
  </si>
  <si>
    <t>E9601-I</t>
  </si>
  <si>
    <t>E9603-I</t>
  </si>
  <si>
    <t>E9606-I</t>
  </si>
  <si>
    <t>E9607-I</t>
  </si>
  <si>
    <t>E9609-I</t>
  </si>
  <si>
    <t>E9611-I</t>
  </si>
  <si>
    <t>E9612-I</t>
  </si>
  <si>
    <t>E9613-I</t>
  </si>
  <si>
    <t>E9614-I</t>
  </si>
  <si>
    <t>E9615-I</t>
  </si>
  <si>
    <t>E9617-I</t>
  </si>
  <si>
    <t>E9618-I</t>
  </si>
  <si>
    <t>E9619-I</t>
  </si>
  <si>
    <t>E9620-I</t>
  </si>
  <si>
    <t>E9621-I</t>
  </si>
  <si>
    <t>E9622-I</t>
  </si>
  <si>
    <t>E9623-I</t>
  </si>
  <si>
    <t>E9624-I</t>
  </si>
  <si>
    <t>E9625-I</t>
  </si>
  <si>
    <t>E9626-I</t>
  </si>
  <si>
    <t>E9628-I</t>
  </si>
  <si>
    <t>E9630-I</t>
  </si>
  <si>
    <t>E9631-I</t>
  </si>
  <si>
    <t>E9632-I</t>
  </si>
  <si>
    <t>E9633-I</t>
  </si>
  <si>
    <t>E9634-I</t>
  </si>
  <si>
    <t>E9635-I</t>
  </si>
  <si>
    <t>E9636-I</t>
  </si>
  <si>
    <t>E9637-I</t>
  </si>
  <si>
    <t>E9638-I</t>
  </si>
  <si>
    <t>E9639-I</t>
  </si>
  <si>
    <t>E9640-I</t>
  </si>
  <si>
    <t>E9641-I</t>
  </si>
  <si>
    <t>E9642-I</t>
  </si>
  <si>
    <t>E9643-I</t>
  </si>
  <si>
    <t>E9646-I</t>
  </si>
  <si>
    <t>E9647-I</t>
  </si>
  <si>
    <t>E9648-I</t>
  </si>
  <si>
    <t>E9649-I</t>
  </si>
  <si>
    <t>E9650-I</t>
  </si>
  <si>
    <t>E9651-I</t>
  </si>
  <si>
    <t>E9652-I</t>
  </si>
  <si>
    <t>E9653-I</t>
  </si>
  <si>
    <t>E9654-I</t>
  </si>
  <si>
    <t>E9655-I</t>
  </si>
  <si>
    <t>E9656-I</t>
  </si>
  <si>
    <t>E9657-I</t>
  </si>
  <si>
    <t>E9658-I</t>
  </si>
  <si>
    <t>E9659-I</t>
  </si>
  <si>
    <t>E9660-I</t>
  </si>
  <si>
    <t>E9661-I</t>
  </si>
  <si>
    <t>E9662-I</t>
  </si>
  <si>
    <t>E9668-I</t>
  </si>
  <si>
    <t>E9671-I</t>
  </si>
  <si>
    <t>E9673-I</t>
  </si>
  <si>
    <t>E9674-I</t>
  </si>
  <si>
    <t>E9675-I</t>
  </si>
  <si>
    <t>E9676-I</t>
  </si>
  <si>
    <t>E9677-I</t>
  </si>
  <si>
    <t>E9678-I</t>
  </si>
  <si>
    <t>E9682-I</t>
  </si>
  <si>
    <t>E9684-I</t>
  </si>
  <si>
    <t>E9685-I</t>
  </si>
  <si>
    <t>E9689-I</t>
  </si>
  <si>
    <t>E9691-I</t>
  </si>
  <si>
    <t>E9692-I</t>
  </si>
  <si>
    <t>E9694-I</t>
  </si>
  <si>
    <t>E9697-I</t>
  </si>
  <si>
    <t>E9700-I</t>
  </si>
  <si>
    <t>E9701-I</t>
  </si>
  <si>
    <t>E9702-I</t>
  </si>
  <si>
    <t>E9703-I</t>
  </si>
  <si>
    <t>E9704-I</t>
  </si>
  <si>
    <t>E9705-I</t>
  </si>
  <si>
    <t>E9706-I</t>
  </si>
  <si>
    <t>E9707-I</t>
  </si>
  <si>
    <t>E9708-I</t>
  </si>
  <si>
    <t>E9710-I</t>
  </si>
  <si>
    <t>E9712-I</t>
  </si>
  <si>
    <t>E9714-I</t>
  </si>
  <si>
    <t>E9716-I</t>
  </si>
  <si>
    <t>E9717-I</t>
  </si>
  <si>
    <t>E9718-I</t>
  </si>
  <si>
    <t>E9719-I</t>
  </si>
  <si>
    <t>E9720-I</t>
  </si>
  <si>
    <t>E9721-I</t>
  </si>
  <si>
    <t>E9722-I</t>
  </si>
  <si>
    <t>E9723-I</t>
  </si>
  <si>
    <t>E9724-I</t>
  </si>
  <si>
    <t>E9725-I</t>
  </si>
  <si>
    <t>E9726-I</t>
  </si>
  <si>
    <t>E9727-I</t>
  </si>
  <si>
    <t>E9729-I</t>
  </si>
  <si>
    <t>E9730-I</t>
  </si>
  <si>
    <t>E9732-I</t>
  </si>
  <si>
    <t>E9733-I</t>
  </si>
  <si>
    <t>E9734-I</t>
  </si>
  <si>
    <t>E9735-I</t>
  </si>
  <si>
    <t>E9736-I</t>
  </si>
  <si>
    <t>E9738-I</t>
  </si>
  <si>
    <t>E9740-I</t>
  </si>
  <si>
    <t>E9743-I</t>
  </si>
  <si>
    <t>E9744-I</t>
  </si>
  <si>
    <t>E9745-I</t>
  </si>
  <si>
    <t>E9746-I</t>
  </si>
  <si>
    <t>E9747-I</t>
  </si>
  <si>
    <t>E9748-I</t>
  </si>
  <si>
    <t>E9749-I</t>
  </si>
  <si>
    <t>E9755-I</t>
  </si>
  <si>
    <t>E9756-I</t>
  </si>
  <si>
    <t>E9758-I</t>
  </si>
  <si>
    <t>E9760-I</t>
  </si>
  <si>
    <t>E9761-I</t>
  </si>
  <si>
    <t>E9762-I</t>
  </si>
  <si>
    <t>E9763-I</t>
  </si>
  <si>
    <t>E9766-I</t>
  </si>
  <si>
    <t>E9768-I</t>
  </si>
  <si>
    <t>E9769-I</t>
  </si>
  <si>
    <t>E9775-I</t>
  </si>
  <si>
    <t>E9776-I</t>
  </si>
  <si>
    <t>E9777-I</t>
  </si>
  <si>
    <t>E9778-I</t>
  </si>
  <si>
    <t>E9779-I</t>
  </si>
  <si>
    <t>E9780-I</t>
  </si>
  <si>
    <t>E9781-I</t>
  </si>
  <si>
    <t>E9782-I</t>
  </si>
  <si>
    <t>E9784-I</t>
  </si>
  <si>
    <t>E9785-I</t>
  </si>
  <si>
    <t>E9788-I</t>
  </si>
  <si>
    <t>E9789-I</t>
  </si>
  <si>
    <t>E9790-I</t>
  </si>
  <si>
    <t>E9793-I</t>
  </si>
  <si>
    <t>E9795-I</t>
  </si>
  <si>
    <t>E9797-I</t>
  </si>
  <si>
    <t>E9798-I</t>
  </si>
  <si>
    <t>E9013-I</t>
  </si>
  <si>
    <t>A9335-I</t>
  </si>
  <si>
    <t>A9364-I</t>
  </si>
  <si>
    <t>E9018-I</t>
  </si>
  <si>
    <t>A9324-I</t>
  </si>
  <si>
    <t>A9355-I</t>
  </si>
  <si>
    <t>A9382-I</t>
  </si>
  <si>
    <t>E9027-I</t>
  </si>
  <si>
    <t>A9333-I</t>
  </si>
  <si>
    <t>A9365-I</t>
  </si>
  <si>
    <t>E9037-I</t>
  </si>
  <si>
    <t>A9334-I</t>
  </si>
  <si>
    <t>A9378-I</t>
  </si>
  <si>
    <t>E9041-I</t>
  </si>
  <si>
    <t>A9313-I</t>
  </si>
  <si>
    <t>A9351-I</t>
  </si>
  <si>
    <t>A9373-I</t>
  </si>
  <si>
    <t>E9082-I</t>
  </si>
  <si>
    <t>A9323-I</t>
  </si>
  <si>
    <t>A9347-I</t>
  </si>
  <si>
    <t>A9372-I</t>
  </si>
  <si>
    <t>A9379-I</t>
  </si>
  <si>
    <t>E9097-I</t>
  </si>
  <si>
    <t>A9326-I</t>
  </si>
  <si>
    <t>A9374-I</t>
  </si>
  <si>
    <t>E9098-I</t>
  </si>
  <si>
    <t>A9306-I</t>
  </si>
  <si>
    <t>A9375-I</t>
  </si>
  <si>
    <t>E9099-I</t>
  </si>
  <si>
    <t>A9320-I</t>
  </si>
  <si>
    <t>A9376-I</t>
  </si>
  <si>
    <t>E9100-I</t>
  </si>
  <si>
    <t>A9310-I</t>
  </si>
  <si>
    <t>E9114-I</t>
  </si>
  <si>
    <t>A9380-I</t>
  </si>
  <si>
    <t>E9115-I</t>
  </si>
  <si>
    <t>A9381-I</t>
  </si>
  <si>
    <t>E9145-I</t>
  </si>
  <si>
    <t>A9316-I</t>
  </si>
  <si>
    <t>A9340-I</t>
  </si>
  <si>
    <t>E9146-I</t>
  </si>
  <si>
    <t>A9357-I</t>
  </si>
  <si>
    <t>E9201-I</t>
  </si>
  <si>
    <t>A9327-I</t>
  </si>
  <si>
    <t>A9343-I</t>
  </si>
  <si>
    <t>E9202-I</t>
  </si>
  <si>
    <t>A9300-I</t>
  </si>
  <si>
    <t>A9383-I</t>
  </si>
  <si>
    <t>E9506-I</t>
  </si>
  <si>
    <t>A9307-I</t>
  </si>
  <si>
    <t>A9338-I</t>
  </si>
  <si>
    <t>E9508-I</t>
  </si>
  <si>
    <t>A9309-I</t>
  </si>
  <si>
    <t>A9350-I</t>
  </si>
  <si>
    <t>E9509-I</t>
  </si>
  <si>
    <t>A9363-I</t>
  </si>
  <si>
    <t>E9520-I</t>
  </si>
  <si>
    <t>A9311-I</t>
  </si>
  <si>
    <t>A9339-I</t>
  </si>
  <si>
    <t>E9571-I</t>
  </si>
  <si>
    <t>A9332-I</t>
  </si>
  <si>
    <t>A9360-I</t>
  </si>
  <si>
    <t>E9575-I</t>
  </si>
  <si>
    <t>A9317-I</t>
  </si>
  <si>
    <t>A9345-I</t>
  </si>
  <si>
    <t>E9579-I</t>
  </si>
  <si>
    <t>A9342-I</t>
  </si>
  <si>
    <t>E9592-I</t>
  </si>
  <si>
    <t>A9314-I</t>
  </si>
  <si>
    <t>A9352-I</t>
  </si>
  <si>
    <t>E9600-I</t>
  </si>
  <si>
    <t>A9346-I</t>
  </si>
  <si>
    <t>E9604-I</t>
  </si>
  <si>
    <t>A9315-I</t>
  </si>
  <si>
    <t>A9341-I</t>
  </si>
  <si>
    <t>E9605-I</t>
  </si>
  <si>
    <t>A9358-I</t>
  </si>
  <si>
    <t>E9644-I</t>
  </si>
  <si>
    <t>A9302-I</t>
  </si>
  <si>
    <t>A9368-I</t>
  </si>
  <si>
    <t>E9645-I</t>
  </si>
  <si>
    <t>A9305-I</t>
  </si>
  <si>
    <t>A9328-I</t>
  </si>
  <si>
    <t>A9369-I</t>
  </si>
  <si>
    <t>E9663-I</t>
  </si>
  <si>
    <t>A9304-I</t>
  </si>
  <si>
    <t>A9336-I</t>
  </si>
  <si>
    <t>E9665-I</t>
  </si>
  <si>
    <t>A9318-I</t>
  </si>
  <si>
    <t>A9353-I</t>
  </si>
  <si>
    <t>E9666-I</t>
  </si>
  <si>
    <t>A9321-I</t>
  </si>
  <si>
    <t>A9354-I</t>
  </si>
  <si>
    <t>E9667-I</t>
  </si>
  <si>
    <t>A9344-I</t>
  </si>
  <si>
    <t>E9669-I</t>
  </si>
  <si>
    <t>A9331-I</t>
  </si>
  <si>
    <t>A9359-I</t>
  </si>
  <si>
    <t>E9670-I</t>
  </si>
  <si>
    <t>A9319-I</t>
  </si>
  <si>
    <t>A9367-I</t>
  </si>
  <si>
    <t>E9672-I</t>
  </si>
  <si>
    <t>E9679-I</t>
  </si>
  <si>
    <t>A9325-I</t>
  </si>
  <si>
    <t>A9356-I</t>
  </si>
  <si>
    <t>E9680-I</t>
  </si>
  <si>
    <t>A9361-I</t>
  </si>
  <si>
    <t>E9686-I</t>
  </si>
  <si>
    <t>A9308-I</t>
  </si>
  <si>
    <t>A9349-I</t>
  </si>
  <si>
    <t>E9687-I</t>
  </si>
  <si>
    <t>A9303-I</t>
  </si>
  <si>
    <t>A9348-I</t>
  </si>
  <si>
    <t>E9688-I</t>
  </si>
  <si>
    <t>A9312-I</t>
  </si>
  <si>
    <t>A9366-I</t>
  </si>
  <si>
    <t>E9690-I</t>
  </si>
  <si>
    <t>A9329-I</t>
  </si>
  <si>
    <t>A9330-I</t>
  </si>
  <si>
    <t>E9693-I</t>
  </si>
  <si>
    <t>A9322-I</t>
  </si>
  <si>
    <t>A9370-I</t>
  </si>
  <si>
    <t>E9783-I</t>
  </si>
  <si>
    <t>A9301-I</t>
  </si>
  <si>
    <t>A9377-I</t>
  </si>
  <si>
    <t>E9787-I</t>
  </si>
  <si>
    <t>A9371-I</t>
  </si>
  <si>
    <t>E9792-I</t>
  </si>
  <si>
    <t>A9362-I</t>
  </si>
  <si>
    <t>M0003</t>
  </si>
  <si>
    <t>AÇO CA 25</t>
  </si>
  <si>
    <t>M0004</t>
  </si>
  <si>
    <t>AÇO CA 50</t>
  </si>
  <si>
    <t>M³</t>
  </si>
  <si>
    <t>M0006</t>
  </si>
  <si>
    <t>FIBRA DE NYLON PARA CONCRETO</t>
  </si>
  <si>
    <t>M0007</t>
  </si>
  <si>
    <t>FIBRA DE AÇO PARA CONCRETO</t>
  </si>
  <si>
    <t>M0008</t>
  </si>
  <si>
    <t>DETERGENTE</t>
  </si>
  <si>
    <t>M0009</t>
  </si>
  <si>
    <t>AÇO CP 175 RB</t>
  </si>
  <si>
    <t>M0010</t>
  </si>
  <si>
    <t>SUPERPLASTIFICANTE</t>
  </si>
  <si>
    <t>M0011</t>
  </si>
  <si>
    <t>ADITIVO MODIFICADOR DE VISCOSIDADE</t>
  </si>
  <si>
    <t>M0012</t>
  </si>
  <si>
    <t>SILICATO DE ALUMÍNIO</t>
  </si>
  <si>
    <t>M0013</t>
  </si>
  <si>
    <t>GRAMPO DE ANCORAGEM CA 50 - D = 12,5 MM</t>
  </si>
  <si>
    <t>M0014</t>
  </si>
  <si>
    <t>AÇO CA 60</t>
  </si>
  <si>
    <t>M0015</t>
  </si>
  <si>
    <t>ESPOLETA ELÉTRICA</t>
  </si>
  <si>
    <t>M0016</t>
  </si>
  <si>
    <t>GRAMPO SARGENTO Nº 4</t>
  </si>
  <si>
    <t>M0017</t>
  </si>
  <si>
    <t>SACO DE ANIAGEM OU DE RÁFIA DE 95 X 65 CM DE 50 KG</t>
  </si>
  <si>
    <t>M0020</t>
  </si>
  <si>
    <t>GRAMPO DE ANCORAGEM CA 50 - D = 6,3 MM</t>
  </si>
  <si>
    <t>M0021</t>
  </si>
  <si>
    <t>HERBICIDA GLIFOSATO PARA ÁREAS CONTÍNUAS</t>
  </si>
  <si>
    <t>M0025</t>
  </si>
  <si>
    <t>ADESIVO PLÁSTICO PARA TUBOS DE PVC</t>
  </si>
  <si>
    <t>M0026</t>
  </si>
  <si>
    <t>ADITIVO AGLUTINANTE PARA ARGAMASSA</t>
  </si>
  <si>
    <t>M0028</t>
  </si>
  <si>
    <t>AREIA MÉDIA</t>
  </si>
  <si>
    <t>M0029</t>
  </si>
  <si>
    <t>MICROSSÍLICA</t>
  </si>
  <si>
    <t>M0032</t>
  </si>
  <si>
    <t>COLA DE CONTATO PARA LAMINADO ELASTOPLÁSTICO</t>
  </si>
  <si>
    <t>M0039</t>
  </si>
  <si>
    <t>GASOLINA</t>
  </si>
  <si>
    <t>M0041</t>
  </si>
  <si>
    <t>CONTAINER DE 1 TEU COM 2 BANHEIROS</t>
  </si>
  <si>
    <t>M0042</t>
  </si>
  <si>
    <t>CONTAINER DE 1 TEU COM JANELA</t>
  </si>
  <si>
    <t>M0043</t>
  </si>
  <si>
    <t>DIESEL</t>
  </si>
  <si>
    <t>M0044</t>
  </si>
  <si>
    <t>ABRASIVO DE VIDRO COM GRANULOMETRIA DE 250 A 420 MICRONS</t>
  </si>
  <si>
    <t>M0045</t>
  </si>
  <si>
    <t>BARREIRA PLÁSTICA MONOBLOCO PARA CANALIZAÇÃO DE TRÂNSITO DE 101 X 50 X 55 CM</t>
  </si>
  <si>
    <t>M0046</t>
  </si>
  <si>
    <t>BARREIRA PLÁSTICA PARA CANALIZAÇÃO DE TRÂNSITO DE 60 X 45 X 60 CM</t>
  </si>
  <si>
    <t>M0048</t>
  </si>
  <si>
    <t>BALIZADOR CÔNICO REFLETIVO EM POLIETILENO SEMIFLEXÍVEL DE 114 X 11 X 40 CM</t>
  </si>
  <si>
    <t>M0049</t>
  </si>
  <si>
    <t>DELIMITADOR DE TRÁFEGO FLEXÍVEL COM DUAS FAIXAS REFLETIVAS COM CHUMBADOR - D = 20 CM E H = 80 CM</t>
  </si>
  <si>
    <t>M0050</t>
  </si>
  <si>
    <t>ADESIVO FIXADOR PARA HIDROSSEMEADURA - GOMA XANTANA</t>
  </si>
  <si>
    <t>M0051</t>
  </si>
  <si>
    <t>CILINDRO CANALIZADOR DE TRÁFEGO COM BASE QUADRADA DE 111 X 56 X 56 CM - NBR 15.692:2009</t>
  </si>
  <si>
    <t>M0052</t>
  </si>
  <si>
    <t>FITA DE PVC DE 50 MM X 50M</t>
  </si>
  <si>
    <t>M0053</t>
  </si>
  <si>
    <t>TELA PLÁSTICA PARA TAPUME COR LARANJA - L = 1,2 M</t>
  </si>
  <si>
    <t>M0054</t>
  </si>
  <si>
    <t>FITA ZEBRADA DE COR LARANJA E BRANCA - L = 7 A 8 CM</t>
  </si>
  <si>
    <t>M0055</t>
  </si>
  <si>
    <t>BARREIRA PLÁSTICA ARTICULÁVEL MODULAR NA COR AMARELA DE 240 X 100 CM</t>
  </si>
  <si>
    <t>M0056</t>
  </si>
  <si>
    <t>FERRAMENTA DE CORTE PARA REMOVEDORA DE FAIXA DE SINALIZAÇÃO (SMITH CUTTER)</t>
  </si>
  <si>
    <t>M0057</t>
  </si>
  <si>
    <t>CONTAINER DE 1 TEU DUPLO (6,0 M X 4,88 M) COM JANELA</t>
  </si>
  <si>
    <t>M0058</t>
  </si>
  <si>
    <t>CONTAINER DE 1 TEU DUPLO (6,0 M X 4,88 M) COM JANELA E 2 LAVABOS</t>
  </si>
  <si>
    <t>M0059</t>
  </si>
  <si>
    <t>CONTAINER DE 1 TEU COM REVESTIMENTO TÉRMICO (AR CONDICIONADO) COM JANELA E 1 BANHEIRO</t>
  </si>
  <si>
    <t>M0060</t>
  </si>
  <si>
    <t>CONTAINER 3/4 DE 1 TEU COM JANELA</t>
  </si>
  <si>
    <t>M0061</t>
  </si>
  <si>
    <t>APOIO DE NEOPRENE FRETADO DE 100 X 100 X 28 MM</t>
  </si>
  <si>
    <t>M0062</t>
  </si>
  <si>
    <t>APOIO DE NEOPRENE FRETADO DE 300 X 400 X 85 MM</t>
  </si>
  <si>
    <t>M0063</t>
  </si>
  <si>
    <t>APOIO DE NEOPRENE FRETADO DE 350 X 450 X 99 MM</t>
  </si>
  <si>
    <t>M0064</t>
  </si>
  <si>
    <t>APOIO DE NEOPRENE FRETADO DE 150 X 200 X 35 MM</t>
  </si>
  <si>
    <t>M0065</t>
  </si>
  <si>
    <t>CONTAINER 3/4 DE 1 TEU COM JANELA E 1 BANHEIRO</t>
  </si>
  <si>
    <t>M0066</t>
  </si>
  <si>
    <t>CONTAINER DE 2 TEU COM REVESTIMENTO TÉRMICO (AR CONDICIONADO) COM JANELA E 1 LAVABO</t>
  </si>
  <si>
    <t>M0067</t>
  </si>
  <si>
    <t>TUBO PE 100 PN10 COM FLANGES - D = 160 MM</t>
  </si>
  <si>
    <t>M0068</t>
  </si>
  <si>
    <t>CAIBRO DE PINHO DE 7,5 X 10 CM</t>
  </si>
  <si>
    <t>M0069</t>
  </si>
  <si>
    <t>ARAME FARPADO GALVANIZADO 16 BWG</t>
  </si>
  <si>
    <t>M0070</t>
  </si>
  <si>
    <t>ARAME LISO GALVANIZADO 10 BWG</t>
  </si>
  <si>
    <t>M0071</t>
  </si>
  <si>
    <t>CONTAINER DE 1/2 DE 1 TEU, COM 3 JANELAS, PARA GUARITA, DELTA CONTAINERS OU SIMILAR</t>
  </si>
  <si>
    <t>M0072</t>
  </si>
  <si>
    <t>ARAME LISO GALVANIZADO 14 BWG</t>
  </si>
  <si>
    <t>M0073</t>
  </si>
  <si>
    <t>MUDA ARBÓREA DE PORTE DE 30 A 80 CM</t>
  </si>
  <si>
    <t>M0074</t>
  </si>
  <si>
    <t>MUDA ARBUSTIVA DE PORTE DE 50 CM</t>
  </si>
  <si>
    <t>M0075</t>
  </si>
  <si>
    <t>ARAME RECOZIDO 18 BWG</t>
  </si>
  <si>
    <t>M0080</t>
  </si>
  <si>
    <t>AREIA FINA</t>
  </si>
  <si>
    <t>M0084</t>
  </si>
  <si>
    <t>ARGAMASSA TIPO SIKA GROUT AUTOADENSÁVEL OU SIMILAR</t>
  </si>
  <si>
    <t>M0085</t>
  </si>
  <si>
    <t>ANCORAGEM ATIVA EM FERRO FUNDIDO NODULAR PARA 4 CORDOALHAS - D = 12,7 MM</t>
  </si>
  <si>
    <t>M0086</t>
  </si>
  <si>
    <t>ANCORAGEM ATIVA EM FERRO FUNDIDO NODULAR PARA 6 CORDOALHAS - D = 12,7 MM</t>
  </si>
  <si>
    <t>M0087</t>
  </si>
  <si>
    <t>ANCORAGEM ATIVA EM FERRO FUNDIDO NODULAR PARA 7 CORDOALHAS - D = 12,7 MM</t>
  </si>
  <si>
    <t>M0088</t>
  </si>
  <si>
    <t>ANCORAGEM ATIVA EM FERRO FUNDIDO NODULAR PARA 8 CORDOALHAS - D = 12,7 MM</t>
  </si>
  <si>
    <t>M0089</t>
  </si>
  <si>
    <t>ANCORAGEM ATIVA EM FERRO FUNDIDO NODULAR PARA 9 CORDOALHAS - D = 12,7 MM</t>
  </si>
  <si>
    <t>M0091</t>
  </si>
  <si>
    <t>ANCORAGEM ATIVA EM FERRO FUNDIDO NODULAR PARA 10 CORDOALHAS - D = 12,7 MM</t>
  </si>
  <si>
    <t>M0092</t>
  </si>
  <si>
    <t>ANCORAGEM ATIVA EM FERRO FUNDIDO NODULAR PARA 12 CORDOALHAS - D = 12,7 MM</t>
  </si>
  <si>
    <t>M0093</t>
  </si>
  <si>
    <t>ANCORAGEM ATIVA EM FERRO FUNDIDO NODULAR PARA 15 CORDOALHAS - D = 12,7 MM</t>
  </si>
  <si>
    <t>M0094</t>
  </si>
  <si>
    <t>ANCORAGEM ATIVA EM FERRO FUNDIDO NODULAR PARA 19 CORDOALHAS - D = 12,7 MM</t>
  </si>
  <si>
    <t>M0098</t>
  </si>
  <si>
    <t>BAMBU COM DIÂMETRO MÉDIO DE 10 CM</t>
  </si>
  <si>
    <t>M0099</t>
  </si>
  <si>
    <t>EQUIPAMENTOS PARA A FÁBRICA DE DORMENTES DE CONCRETO PROTENDIDO</t>
  </si>
  <si>
    <t>ISF</t>
  </si>
  <si>
    <t>M0100</t>
  </si>
  <si>
    <t>ANCORAGEM ATIVA EM FERRO FUNDIDO NODULAR PARA 22 CORDOALHAS - D = 12,7 MM</t>
  </si>
  <si>
    <t>M0101</t>
  </si>
  <si>
    <t>ANCORAGEM ATIVA EM FERRO FUNDIDO NODULAR PARA 27 CORDOALHAS - D = 12,7 MM</t>
  </si>
  <si>
    <t>M0102</t>
  </si>
  <si>
    <t>ANCORAGEM ATIVA EM FERRO FUNDIDO NODULAR PARA 31 CORDOALHAS - D = 12,7 MM</t>
  </si>
  <si>
    <t>M0103</t>
  </si>
  <si>
    <t>ADITIVO ANTIRRICOCHETE PARA CONCRETO PROJETADO</t>
  </si>
  <si>
    <t>M0104</t>
  </si>
  <si>
    <t>ASFALTO DILUÍDO CM 30</t>
  </si>
  <si>
    <t>M0105</t>
  </si>
  <si>
    <t>ANCORAGEM ATIVA EM FERRO FUNDIDO NODULAR PARA 4 CORDOALHAS - D = 15,2 MM</t>
  </si>
  <si>
    <t>M0106</t>
  </si>
  <si>
    <t>ANCORAGEM ATIVA EM FERRO FUNDIDO NODULAR PARA 6 CORDOALHAS - D = 15,2 MM</t>
  </si>
  <si>
    <t>M0107</t>
  </si>
  <si>
    <t>GEOCOMPOSTO PARA DRENAGEM</t>
  </si>
  <si>
    <t>M²</t>
  </si>
  <si>
    <t>M0108</t>
  </si>
  <si>
    <t>ANCORAGEM ATIVA EM FERRO FUNDIDO NODULAR PARA 7 CORDOALHAS - D = 15,2 MM</t>
  </si>
  <si>
    <t>M0109</t>
  </si>
  <si>
    <t>GEODRENO VERTICAL - L = 10 CM E E = 5 MM</t>
  </si>
  <si>
    <t>M0110</t>
  </si>
  <si>
    <t>ANCORAGEM ATIVA EM FERRO FUNDIDO NODULAR PARA 10 CORDOALHAS - D = 15,2 MM</t>
  </si>
  <si>
    <t>M0111</t>
  </si>
  <si>
    <t>ANCORAGEM ATIVA EM FERRO FUNDIDO NODULAR PARA 9 CORDOALHAS - D = 15,2 MM</t>
  </si>
  <si>
    <t>M0112</t>
  </si>
  <si>
    <t>DISCO DIAMANTADO PARA CORTE DE PAVIMENTO - D = 1 M E E = 1,6 MM</t>
  </si>
  <si>
    <t>M0113</t>
  </si>
  <si>
    <t>ANCORAGEM ATIVA EM FERRO FUNDIDO NODULAR PARA 12 CORDOALHAS - D = 15,2 MM</t>
  </si>
  <si>
    <t>M0114</t>
  </si>
  <si>
    <t>DISCO DIAMANTADO PARA CORTE DE PAVIMENTO - D = 1,5 M E E = 1,6 MM</t>
  </si>
  <si>
    <t>M0115</t>
  </si>
  <si>
    <t>BIOMANTA VEGETAL DE FIBRAS DE COCO ENTRELAÇADAS COM FIOS BIODEGRADÁVEIS DE DENSIDADE 0,5 KG/M²</t>
  </si>
  <si>
    <t>M0116</t>
  </si>
  <si>
    <t>MANGOTE FLANGEADO DE BORRACHA REFORÇADA COM LONAS SINTÉTICAS - C = 1.800 MM E D = 250 MM</t>
  </si>
  <si>
    <t>M0117</t>
  </si>
  <si>
    <t>MANGOTE FLANGEADO DE BORRACHA REFORÇADA COM LONAS SINTÉTICAS - C = 1.800 MM E D = 400 MM</t>
  </si>
  <si>
    <t>M0118</t>
  </si>
  <si>
    <t>MANGOTE FLANGEADO DE BORRACHA REFORÇADA COM LONAS SINTÉTICAS - C = 1.800 MM E D = 450 MM</t>
  </si>
  <si>
    <t>M0119</t>
  </si>
  <si>
    <t>MANGOTE FLANGEADO DE BORRACHA REFORÇADA COM LONAS SINTÉTICAS - C = 1.800 MM E D = 500 MM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</si>
  <si>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</si>
  <si>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</si>
  <si>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</si>
  <si>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</si>
  <si>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</si>
  <si>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</si>
  <si>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</si>
  <si>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</si>
  <si>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</si>
  <si>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MDPE COM NÚCLEO DE ESPUMA DE POLIURETANO PARA TUBOS - D = 250 MM</t>
  </si>
  <si>
    <t>M0125</t>
  </si>
  <si>
    <t>FLUTUADOR BIPARTIDO EM MDPE COM NÚCLEO DE ESPUMA DE POLIURETANO PARA TUBOS - D = 400 MM</t>
  </si>
  <si>
    <t>M0126</t>
  </si>
  <si>
    <t>FLUTUADOR BIPARTIDO EM MDPE COM NÚCLEO DE ESPUMA DE POLIURETANO PARA TUBOS - D = 450 MM</t>
  </si>
  <si>
    <t>M0127</t>
  </si>
  <si>
    <t>FLUTUADOR BIPARTIDO EM MDPE COM NÚCLEO DE ESPUMA DE POLIURETANO PARA TUBOS - D = 500 MM</t>
  </si>
  <si>
    <t>M0129</t>
  </si>
  <si>
    <t>RETENTORES DE SEDIMENTOS DE FIBRAS VEGETAIS - D = 20 CM</t>
  </si>
  <si>
    <t>M0130</t>
  </si>
  <si>
    <t>ANCORAGEM ATIVA EM FERRO FUNDIDO NODULAR PARA 15 CORDOALHAS - D = 15,2 MM</t>
  </si>
  <si>
    <t>TUBO PEAD COM PAREDES ESTRUTURADAS PARA DRENAGEM - D = 400 MM</t>
  </si>
  <si>
    <t>M0132</t>
  </si>
  <si>
    <t>TUBO PEAD COM PAREDES ESTRUTURADAS PARA DRENAGEM - D = 450 MM</t>
  </si>
  <si>
    <t>M0133</t>
  </si>
  <si>
    <t>TUBO PEAD COM PAREDES ESTRUTURADAS PARA DRENAGEM - D = 500 MM</t>
  </si>
  <si>
    <t>M0134</t>
  </si>
  <si>
    <t>TUBO PEAD COM PAREDES ESTRUTURADAS PARA DRENAGEM - D = 600 MM</t>
  </si>
  <si>
    <t>M0135</t>
  </si>
  <si>
    <t>TUBO PEAD COM PAREDES ESTRUTURADAS PARA DRENAGEM - D = 750 MM</t>
  </si>
  <si>
    <t>M0136</t>
  </si>
  <si>
    <t>TUBO PEAD COM PAREDES ESTRUTURADAS PARA DRENAGEM - D = 800 MM</t>
  </si>
  <si>
    <t>M0137</t>
  </si>
  <si>
    <t>TUBO PEAD COM PAREDES ESTRUTURADAS PARA DRENAGEM - D = 900 MM</t>
  </si>
  <si>
    <t>M0138</t>
  </si>
  <si>
    <t>ANCORAGEM ATIVA EM FERRO FUNDIDO NODULAR PARA 19 CORDOALHAS - D = 15,2 MM</t>
  </si>
  <si>
    <t>M0139</t>
  </si>
  <si>
    <t>TUBO PEAD COM PAREDES ESTRUTURADAS PARA DRENAGEM - D = 1.000 MM</t>
  </si>
  <si>
    <t>M0140</t>
  </si>
  <si>
    <t>BENTONITA</t>
  </si>
  <si>
    <t>M0141</t>
  </si>
  <si>
    <t>TUBO PEAD COM PAREDES ESTRUTURADAS PARA DRENAGEM - D = 1.050 MM</t>
  </si>
  <si>
    <t>M0142</t>
  </si>
  <si>
    <t>TUBO PEAD COM PAREDES ESTRUTURADAS PARA DRENAGEM - D = 1.200 MM</t>
  </si>
  <si>
    <t>M0143</t>
  </si>
  <si>
    <t>TUBO PEAD COM PAREDES ESTRUTURADAS PARA DRENAGEM - D = 1.500 MM</t>
  </si>
  <si>
    <t>M0144</t>
  </si>
  <si>
    <t>TUBO PEAD COM PAREDES ESTRUTURADAS PARA DRENAGEM - D = 1.800 MM</t>
  </si>
  <si>
    <t>M0145</t>
  </si>
  <si>
    <t>ANCORAGEM ATIVA EM FERRO FUNDIDO NODULAR PARA 22 CORDOALHAS - D = 15,2 MM</t>
  </si>
  <si>
    <t>M0146</t>
  </si>
  <si>
    <t>ANCORAGEM ATIVA EM FERRO FUNDIDO NODULAR PARA 27 CORDOALHAS - D = 15,2 MM</t>
  </si>
  <si>
    <t>M0147</t>
  </si>
  <si>
    <t>TUBO PEAD COM PAREDES ESTRUTURADAS PARA DRENAGEM - D = 2.000 MM</t>
  </si>
  <si>
    <t>M0148</t>
  </si>
  <si>
    <t>ANCORAGEM ATIVA PARA LAJES 1 CORDOALHA - D = 12,7 MM</t>
  </si>
  <si>
    <t>M0149</t>
  </si>
  <si>
    <t>TUBO PEAD COM PAREDES ESTRUTURADAS PARA DRENAGEM - D = 2.500 MM</t>
  </si>
  <si>
    <t>M0150</t>
  </si>
  <si>
    <t>TUBO PEAD COM PAREDES ESTRUTURADAS PARA DRENAGEM - D = 3.000 MM</t>
  </si>
  <si>
    <t>M0151</t>
  </si>
  <si>
    <t>ANCORAGEM ATIVA PARA LAJES 2 CORDOALHAS - D = 12,7MM</t>
  </si>
  <si>
    <t>M0152</t>
  </si>
  <si>
    <t>ANCORAGEM ATIVA PARA LAJES 3 CORDOALHAS - D = 12,7MM</t>
  </si>
  <si>
    <t>M0153</t>
  </si>
  <si>
    <t>ANCORAGEM ATIVA PARA LAJES 4 CORDOALHAS - D = 12,7MM</t>
  </si>
  <si>
    <t>M0155</t>
  </si>
  <si>
    <t>ESTOLÃO VETIVER PARA REPLANTIO</t>
  </si>
  <si>
    <t>M0156</t>
  </si>
  <si>
    <t>M0157</t>
  </si>
  <si>
    <t>BLOCO DE CONCRETO CELULAR</t>
  </si>
  <si>
    <t>M0158</t>
  </si>
  <si>
    <t>TELA METÁLICA GALVANIZADA DOBRADA EM L, COM TENSORES DE 40 X 40 X 200 CM E CONSUMO DE 5,8 KG AÇO/M²</t>
  </si>
  <si>
    <t>M0160</t>
  </si>
  <si>
    <t>EXTINTOR ESPUMA MECÂNICA 10 L</t>
  </si>
  <si>
    <t>M0161</t>
  </si>
  <si>
    <t>VERGALHÃO DE FIBRA DE VIDRO DE 25 MM</t>
  </si>
  <si>
    <t>M0162</t>
  </si>
  <si>
    <t>CORRENTE DE ELOS DE AÇO GALVANIZADO 1/8" DE DIÂMETRO</t>
  </si>
  <si>
    <t>M0163</t>
  </si>
  <si>
    <t>GONZO COM ABA DE 1/2" EM AÇO GALVANIZADO</t>
  </si>
  <si>
    <t>M0164</t>
  </si>
  <si>
    <t>TUBO GALVANIZADO PERFIL QUADRADO 20 X 20 MM, ESPESSURA 1/16"</t>
  </si>
  <si>
    <t>M0165</t>
  </si>
  <si>
    <t>CANTONEIRA EM AÇO DE ABAS IGUAIS DE 1" X 1/8"</t>
  </si>
  <si>
    <t>M0166</t>
  </si>
  <si>
    <t>TUBO GALVANIZADO PERFIL REDONDO, DIÂMETRO 3/4", ESPESSURA 2,25 MM</t>
  </si>
  <si>
    <t>M0167</t>
  </si>
  <si>
    <t>TELA DE NYLON INDUSTRIAL, MALHA 1,6 MM, ESPESSURA DE FIO 0,40 MM</t>
  </si>
  <si>
    <t>M0168</t>
  </si>
  <si>
    <t>ABRAÇADEIRA EM NYLON ESPESSURA 3,6 X 200 MM</t>
  </si>
  <si>
    <t>M0169</t>
  </si>
  <si>
    <t>RODA EM AÇO PARA CARRINHO DE MÃO, COM PNEU 3.25/8 E CÂMARA DE AR</t>
  </si>
  <si>
    <t>M0173</t>
  </si>
  <si>
    <t>ANCORAGEM ATIVA PARA LAJES 1 CORDOALHA - D = 15,2 MM</t>
  </si>
  <si>
    <t>M0178</t>
  </si>
  <si>
    <t>ANCORAGEM ATIVA PARA LAJES 2 CORDOALHAS - D = 15,2 MM</t>
  </si>
  <si>
    <t>M0181</t>
  </si>
  <si>
    <t>ANCORAGEM ATIVA PARA LAJES 3 CORDOALHAS - D = 15,2 MM</t>
  </si>
  <si>
    <t>M0184</t>
  </si>
  <si>
    <t>ANCORAGEM ATIVA PARA LAJES 4 CORDOALHAS - D = 15,2 MM</t>
  </si>
  <si>
    <t>M0192</t>
  </si>
  <si>
    <t>BRITA 2</t>
  </si>
  <si>
    <t>M0193</t>
  </si>
  <si>
    <t>BRITA 3</t>
  </si>
  <si>
    <t>M0194</t>
  </si>
  <si>
    <t>M0198</t>
  </si>
  <si>
    <t>PARAFUSO COM BUCHA PLÁSTICA S8</t>
  </si>
  <si>
    <t>M0200</t>
  </si>
  <si>
    <t>EXPLOSIVO TIPO EMULSÃO BOMBEADA</t>
  </si>
  <si>
    <t>M0201</t>
  </si>
  <si>
    <t>COROA PARA JUMBO HIDRÁULICO T38 - D = 3 1/2"</t>
  </si>
  <si>
    <t>M0202</t>
  </si>
  <si>
    <t>BIT DE BOTÃO ST 68 - D = 76 MM</t>
  </si>
  <si>
    <t>M0204</t>
  </si>
  <si>
    <t>INSTALAÇÕES FÍSICAS PARA A CENTRAL DE PRÉ-MOLDAGEM DE DORMENTES DE CONCRETO PROTENDIDO</t>
  </si>
  <si>
    <t>CMCC</t>
  </si>
  <si>
    <t>M0217</t>
  </si>
  <si>
    <t>ENXOFRE</t>
  </si>
  <si>
    <t>M0218</t>
  </si>
  <si>
    <t>ADUBO FÓSFORO (30%)</t>
  </si>
  <si>
    <t>M0219</t>
  </si>
  <si>
    <t>ADUBO POTÁSSIO</t>
  </si>
  <si>
    <t>M0220</t>
  </si>
  <si>
    <t>ADUBO NPK</t>
  </si>
  <si>
    <t>M0222</t>
  </si>
  <si>
    <t>FILLER CALCÁRIO</t>
  </si>
  <si>
    <t>M0223</t>
  </si>
  <si>
    <t>SEMENTES PARA HIDROSSEMEADURA</t>
  </si>
  <si>
    <t>M0224</t>
  </si>
  <si>
    <t>GUIA-CHAPÉU PRÉ-MOLDADA - C = 140 CM</t>
  </si>
  <si>
    <t>M0225</t>
  </si>
  <si>
    <t>ADUBO ORGÂNICO</t>
  </si>
  <si>
    <t>M0229</t>
  </si>
  <si>
    <t>GABIÃO COLCHÃO ZN/AL + POLÍMERO - E = 0,17 M E D = 2,00 MM</t>
  </si>
  <si>
    <t>M0230</t>
  </si>
  <si>
    <t>GABIÃO CAIXA ZN/AL DE 2,0 X 1,0 X 0,50 M</t>
  </si>
  <si>
    <t>M0231</t>
  </si>
  <si>
    <t>GABIÃO CAIXA ZN/AL DE 2,0 X 1,0 X 1,00 M</t>
  </si>
  <si>
    <t>M0232</t>
  </si>
  <si>
    <t>GABIÃO CAIXA ZN/AL + POLÍMERO DE 2,0 X 1,0 X 0,50 M</t>
  </si>
  <si>
    <t>M0233</t>
  </si>
  <si>
    <t>GABIÃO CAIXA ZN/AL + POLÍMERO DE 2,0 X 1,0 X 1,00 M</t>
  </si>
  <si>
    <t>M0234</t>
  </si>
  <si>
    <t>GABIÃO SACO ZN/AL + POLÍMERO - D = 0,65 M</t>
  </si>
  <si>
    <t>M0235</t>
  </si>
  <si>
    <t>GABIÃO COLCHÃO ZN/AL + POLÍMERO - E = 0,23 M E D = 2,00 MM</t>
  </si>
  <si>
    <t>M0236</t>
  </si>
  <si>
    <t>GABIÃO COLCHÃO ZN/AL + POLÍMERO - E = 0,30 M E D = 2,00 MM</t>
  </si>
  <si>
    <t>M0237</t>
  </si>
  <si>
    <t>KWH</t>
  </si>
  <si>
    <t>M0253</t>
  </si>
  <si>
    <t>CABO ISOLADO PVC DE 16 MM² - 750 V</t>
  </si>
  <si>
    <t>M0254</t>
  </si>
  <si>
    <t>GÁS ARGÔNIO</t>
  </si>
  <si>
    <t>M0255</t>
  </si>
  <si>
    <t>GÁS CO2</t>
  </si>
  <si>
    <t>M0256</t>
  </si>
  <si>
    <t>TINTA DE FUNDO BICOMPONENTE À BASE DE SILICATO</t>
  </si>
  <si>
    <t>M0257</t>
  </si>
  <si>
    <t>DILUENTE PARA TINTA DE FUNDO À BASE DE SILICATO</t>
  </si>
  <si>
    <t>M0260</t>
  </si>
  <si>
    <t>CABO PARALELO DE 3 X 1,5 MM²</t>
  </si>
  <si>
    <t>M0264</t>
  </si>
  <si>
    <t>BOMBA DE COMBUSTÍVEL PARA POSTO DE ABASTECIMENTO</t>
  </si>
  <si>
    <t>M0265</t>
  </si>
  <si>
    <t>TANQUE DE COMBUSTÍVEL AÉREO HORIZONTAL DE 5.000 L COM ESCADA PARA VISITA</t>
  </si>
  <si>
    <t>M0266</t>
  </si>
  <si>
    <t>CABO SINTENAX DE 240 MM² - 1 KV</t>
  </si>
  <si>
    <t>M0269</t>
  </si>
  <si>
    <t>CABO SINTENAX DE 50 MM² - 1 KV</t>
  </si>
  <si>
    <t>M0285</t>
  </si>
  <si>
    <t>PONTALETE PARA ESCORAMENTO - D = 15 CM</t>
  </si>
  <si>
    <t>M0289</t>
  </si>
  <si>
    <t>TÁBUA DE 2,5 X 15 CM</t>
  </si>
  <si>
    <t>M0290</t>
  </si>
  <si>
    <t>TÁBUA DE 2,5 X 10 CM</t>
  </si>
  <si>
    <t>M0301</t>
  </si>
  <si>
    <t>PONTALETE PARA ESCORAMENTO - D = 10 CM</t>
  </si>
  <si>
    <t>M0345</t>
  </si>
  <si>
    <t>CAL HIDRATADA</t>
  </si>
  <si>
    <t>M0365</t>
  </si>
  <si>
    <t>CANTONEIRA EM FERRO DE ABAS IGUAIS DE 1" X 3/16"</t>
  </si>
  <si>
    <t>M0366</t>
  </si>
  <si>
    <t>CANTONEIRA EM AÇO GALVANIZADO ASTM A36</t>
  </si>
  <si>
    <t>M0374</t>
  </si>
  <si>
    <t>FUNGICIDA TIPO CARBOLINEUM OU SIMILAR</t>
  </si>
  <si>
    <t>M0395</t>
  </si>
  <si>
    <t>CHAPA DE ALUMÍNIO - E = 1,5 MM</t>
  </si>
  <si>
    <t>M0409</t>
  </si>
  <si>
    <t>CHUMBADOR PARA CONCRETO TECBOLT DE 6,3 MM</t>
  </si>
  <si>
    <t>M0410</t>
  </si>
  <si>
    <t>CHUMBADOR PARA CONCRETO TECBOLT DE 20 MM</t>
  </si>
  <si>
    <t>M0411</t>
  </si>
  <si>
    <t>CHUMBADOR PARA CONCRETO TECBOLT DE 10 MM</t>
  </si>
  <si>
    <t>M0412</t>
  </si>
  <si>
    <t>CHUMBADOR PARA CONCRETO TECBOLT DE 16 MM</t>
  </si>
  <si>
    <t>M0413</t>
  </si>
  <si>
    <t>CHUMBADOR PARA CONCRETO TECBOLT DE 25 MM</t>
  </si>
  <si>
    <t>M0421</t>
  </si>
  <si>
    <t>CIMENTO EXPANSIVO (TIPO DEMOX)</t>
  </si>
  <si>
    <t>CIMENTO PORTLAND CP II - 32</t>
  </si>
  <si>
    <t>M0425</t>
  </si>
  <si>
    <t>CIMENTO CP V - ARI</t>
  </si>
  <si>
    <t>M0427</t>
  </si>
  <si>
    <t>CORDOALHA CP 190 RB - D = 12,7 MM</t>
  </si>
  <si>
    <t>M0428</t>
  </si>
  <si>
    <t>CORDOALHA CP 190 RB - D = 15,2 MM</t>
  </si>
  <si>
    <t>M0429</t>
  </si>
  <si>
    <t>PERFIL DE ALUMÍNIO L421 DE 33 X 40 MM</t>
  </si>
  <si>
    <t>M0432</t>
  </si>
  <si>
    <t>COLA DE NEOPRENE</t>
  </si>
  <si>
    <t>M0440</t>
  </si>
  <si>
    <t>ANEL DE COMPENSAÇÃO ANGULAR DE ATÉ 45°</t>
  </si>
  <si>
    <t>M0442</t>
  </si>
  <si>
    <t>COMPENSADO PLASTIFICADO DE 10 MM</t>
  </si>
  <si>
    <t>M0443</t>
  </si>
  <si>
    <t>COMPENSADO PLASTIFICADO DE 12 MM</t>
  </si>
  <si>
    <t>M0444</t>
  </si>
  <si>
    <t>LUVA DE EMENDA PRENSADA - D = 12,5 MM</t>
  </si>
  <si>
    <t>M0445</t>
  </si>
  <si>
    <t>LUVA DE EMENDA PRENSADA - D = 16 MM</t>
  </si>
  <si>
    <t>M0446</t>
  </si>
  <si>
    <t>COMPENSADO RESINADO DE 10 MM</t>
  </si>
  <si>
    <t>M0447</t>
  </si>
  <si>
    <t>COMPENSADO RESINADO DE 12 MM</t>
  </si>
  <si>
    <t>M0448</t>
  </si>
  <si>
    <t>COMPENSADO RESINADO DE 14 MM</t>
  </si>
  <si>
    <t>M0449</t>
  </si>
  <si>
    <t>COMPENSADO RESINADO DE 18 MM</t>
  </si>
  <si>
    <t>M0450</t>
  </si>
  <si>
    <t>COMPENSADO DE VIROLA DE 6 MM</t>
  </si>
  <si>
    <t>M0451</t>
  </si>
  <si>
    <t>CONCRETO USINADO FCK = 20 MPA (COMERCIAL)</t>
  </si>
  <si>
    <t>M0452</t>
  </si>
  <si>
    <t>CONCRETO USINADO FCK = 25 MPA (COMERCIAL)</t>
  </si>
  <si>
    <t>M0453</t>
  </si>
  <si>
    <t>CONCRETO USINADO FCK = 30 MPA (COMERCIAL)</t>
  </si>
  <si>
    <t>M0454</t>
  </si>
  <si>
    <t>CONCRETO USINADO FCK = 35 MPA (COMERCIAL)</t>
  </si>
  <si>
    <t>M0459</t>
  </si>
  <si>
    <t>COMPENSADO PLASTIFICADO DE 14 MM</t>
  </si>
  <si>
    <t>M0467</t>
  </si>
  <si>
    <t>LUVA DE EMENDA PRENSADA - D = 20 MM</t>
  </si>
  <si>
    <t>M0468</t>
  </si>
  <si>
    <t>LUVA DE EMENDA PRENSADA - D = 25 MM</t>
  </si>
  <si>
    <t>M0469</t>
  </si>
  <si>
    <t>LUVA DE EMENDA PRENSADA - D = 32 MM</t>
  </si>
  <si>
    <t>M0470</t>
  </si>
  <si>
    <t>LUVA DE EMENDA COM ROSCA CÔNICA - D = 12,5 MM</t>
  </si>
  <si>
    <t>M0471</t>
  </si>
  <si>
    <t>LUVA DE EMENDA COM ROSCA CÔNICA - D = 16 MM</t>
  </si>
  <si>
    <t>M0472</t>
  </si>
  <si>
    <t>LUVA DE EMENDA COM ROSCA CÔNICA - D = 20 MM</t>
  </si>
  <si>
    <t>M0481</t>
  </si>
  <si>
    <t>LUVA DE EMENDA COM ROSCA CÔNICA - D = 25 MM</t>
  </si>
  <si>
    <t>M0482</t>
  </si>
  <si>
    <t>CORTIÇA - E = 10 MM</t>
  </si>
  <si>
    <t>M0502</t>
  </si>
  <si>
    <t>LUVA DE EMENDA COM ROSCA CÔNICA - D = 32 MM</t>
  </si>
  <si>
    <t>M0506</t>
  </si>
  <si>
    <t>BROCA DE WIDIA - D = 8 MM</t>
  </si>
  <si>
    <t>M0512</t>
  </si>
  <si>
    <t>BICO VENTURI LONGO DE 8 MM</t>
  </si>
  <si>
    <t>M0521</t>
  </si>
  <si>
    <t>LAMINADO ELASTOPLÁSTICO DE 1,5 MM</t>
  </si>
  <si>
    <t>M0532</t>
  </si>
  <si>
    <t>ESCORA METÁLICA REGULÁVEL TELESCÓPICA PARA TUNNEL LINER</t>
  </si>
  <si>
    <t>M0533</t>
  </si>
  <si>
    <t>ESCORA TUBULAR GALVANIZADA REGULÁVEL DE 3,0 M A 4,5 M E CAPACIDADE DE 2.100 A 750 KG</t>
  </si>
  <si>
    <t>M0534</t>
  </si>
  <si>
    <t>ESCORA TUBULAR GALVANIZADA REGULÁVEL DE 1,8 M A 3,1 M E CAPACIDADE DE 3.200 A 1.600 KG</t>
  </si>
  <si>
    <t>M0536</t>
  </si>
  <si>
    <t>QUADRO TUBULAR CONTRAVENTADO COM ACESSÓRIOS DE 1,0 X 1,0 X 1,2 M E CAPACIDADE DE 6 T POR POSTE</t>
  </si>
  <si>
    <t>M0560</t>
  </si>
  <si>
    <t>DESMOLDANTE PARA FORMAS</t>
  </si>
  <si>
    <t>M0600</t>
  </si>
  <si>
    <t>PONTEIRO DE MARTELO DEMOLIDOR DE 1,2 M</t>
  </si>
  <si>
    <t>M0614</t>
  </si>
  <si>
    <t>CONCRETO USINADO FCTMK = 4,5 MPA (COMERCIAL)</t>
  </si>
  <si>
    <t>M0615</t>
  </si>
  <si>
    <t>ADITIVO INCORPORADOR DE AR TIPO CEMIX-AIR OU SIMILAR</t>
  </si>
  <si>
    <t>M0646</t>
  </si>
  <si>
    <t>ESTACA PRÉ-MOLDADA COM CAPACIDADE DE 100 T</t>
  </si>
  <si>
    <t>M0647</t>
  </si>
  <si>
    <t>ESTACA PRÉ-MOLDADA COM CAPACIDADE DE 25 T</t>
  </si>
  <si>
    <t>M0648</t>
  </si>
  <si>
    <t>ESTACA PRÉ-MOLDADA COM CAPACIDADE DE 40 T</t>
  </si>
  <si>
    <t>M0649</t>
  </si>
  <si>
    <t>ESTACA PRÉ-MOLDADA COM CAPACIDADE DE 60 T</t>
  </si>
  <si>
    <t>M0650</t>
  </si>
  <si>
    <t>ESTACA PRÉ-MOLDADA COM CAPACIDADE DE 75 T</t>
  </si>
  <si>
    <t>M0666</t>
  </si>
  <si>
    <t>MARTELO DE FUNDO DTH - D = 3"</t>
  </si>
  <si>
    <t>M0667</t>
  </si>
  <si>
    <t>MARTELO DE FUNDO DTH - D = 5"</t>
  </si>
  <si>
    <t>M0668</t>
  </si>
  <si>
    <t>MARTELO DE FUNDO DTH - D = 6"</t>
  </si>
  <si>
    <t>M0669</t>
  </si>
  <si>
    <t>MARTELO DE FUNDO DTH - D = 8"</t>
  </si>
  <si>
    <t>M0673</t>
  </si>
  <si>
    <t>ESTACA PRÉ-MOLDADA DE CONCRETO CENTRIFUGADO - D = 26 CM</t>
  </si>
  <si>
    <t>M0677</t>
  </si>
  <si>
    <t>ESTACA PRÉ-MOLDADA DE CONCRETO CENTRIFUGADO - D = 33 CM</t>
  </si>
  <si>
    <t>M0686</t>
  </si>
  <si>
    <t>ESTACA PRÉ-MOLDADA DE CONCRETO CENTRIFUGADO - D = 38 CM</t>
  </si>
  <si>
    <t>M0719</t>
  </si>
  <si>
    <t>DILUENTE EPÓXI</t>
  </si>
  <si>
    <t>M0720</t>
  </si>
  <si>
    <t>TINTA EPÓXI PARA FUNDO BRANCO</t>
  </si>
  <si>
    <t>M0721</t>
  </si>
  <si>
    <t>FUNDO ANTICORROSIVO ZARCÃO</t>
  </si>
  <si>
    <t>M0722</t>
  </si>
  <si>
    <t>ESTACA PRÉ-MOLDADA DE CONCRETO CENTRIFUGADO - D = 42 CM</t>
  </si>
  <si>
    <t>M0729</t>
  </si>
  <si>
    <t>FIXA CAL TIPO GLOBO FIX OU SIMILAR</t>
  </si>
  <si>
    <t>M0734</t>
  </si>
  <si>
    <t>ESTACA PRÉ-MOLDADA DE CONCRETO CENTRIFUGADO - D = 50 CM</t>
  </si>
  <si>
    <t>M0741</t>
  </si>
  <si>
    <t>GRAMA TIPO BATATAIS</t>
  </si>
  <si>
    <t>M0742</t>
  </si>
  <si>
    <t>GRAMA TIPO ESMERALDA</t>
  </si>
  <si>
    <t>M0743</t>
  </si>
  <si>
    <t>GRAMA TIPO PELO DE URSO EM MUDA</t>
  </si>
  <si>
    <t>M0745</t>
  </si>
  <si>
    <t>GRAMPO PARA CERCA GALVANIZADO DE 1 X 9"</t>
  </si>
  <si>
    <t>M0748</t>
  </si>
  <si>
    <t>GRAMA EM MUDAS PARA REVESTIMENTO DE TALUDES</t>
  </si>
  <si>
    <t>M0755</t>
  </si>
  <si>
    <t>ESTACA PRÉ-MOLDADA DE CONCRETO CENTRIFUGADO - D = 60 CM</t>
  </si>
  <si>
    <t>M0756</t>
  </si>
  <si>
    <t>ESTACA PRÉ-MOLDADA DE CONCRETO CENTRIFUGADO - D = 70 CM</t>
  </si>
  <si>
    <t>M0766</t>
  </si>
  <si>
    <t>SEMIPÓRTICO METÁLICO PARA VÃO DE 2,7 M E VENTO DE 35 M/S</t>
  </si>
  <si>
    <t>M0767</t>
  </si>
  <si>
    <t>SINALIZADOR A LED COM BATERIA</t>
  </si>
  <si>
    <t>M0769</t>
  </si>
  <si>
    <t>LONA PLÁSTICA DE 200 MICRAS DE ESPESSURA</t>
  </si>
  <si>
    <t>M0771</t>
  </si>
  <si>
    <t>CAVALETE EM POLIETILENO ZEBRADO COM FAIXA REFLETIVA</t>
  </si>
  <si>
    <t>M0773</t>
  </si>
  <si>
    <t>PERFIL DE ALUMÍNIO L463 DE 50 X 50 MM</t>
  </si>
  <si>
    <t>M0783</t>
  </si>
  <si>
    <t>MASSA ASFÁLTICA COMERCIAL - CAPA DE ROLAMENTO</t>
  </si>
  <si>
    <t>M0784</t>
  </si>
  <si>
    <t>MASSA ASFÁLTICA COMERCIAL - BINDER</t>
  </si>
  <si>
    <t>M0786</t>
  </si>
  <si>
    <t>ISOPOR</t>
  </si>
  <si>
    <t>M0792</t>
  </si>
  <si>
    <t>SEMIPÓRTICO METÁLICO PARA VÃO DE 3,8 M E VENTO DE 35 M/S</t>
  </si>
  <si>
    <t>M0793</t>
  </si>
  <si>
    <t>SEMIPÓRTICO METÁLICO PARA VÃO DE 4,9 M E VENTO DE 35 M/S</t>
  </si>
  <si>
    <t>M0794</t>
  </si>
  <si>
    <t>SEMIPÓRTICO METÁLICO PARA VÃO DE 6,0 M E VENTO DE 35 M/S</t>
  </si>
  <si>
    <t>M0795</t>
  </si>
  <si>
    <t>SEMIPÓRTICO METÁLICO PARA VÃO DE 7,2 M E VENTO DE 35 M/S</t>
  </si>
  <si>
    <t>M0796</t>
  </si>
  <si>
    <t>SEMIPÓRTICO METÁLICO PARA VÃO DE 8,3 M E VENTO DE 35 M/S</t>
  </si>
  <si>
    <t>M0798</t>
  </si>
  <si>
    <t>APOIO DE NEOPRENE FRETADO</t>
  </si>
  <si>
    <t>DM³</t>
  </si>
  <si>
    <t>M0799</t>
  </si>
  <si>
    <t>SEMIPÓRTICO DUPLO METÁLICO PARA VÃO DE 2 X 2,7 M E VENTO DE 35 M/S</t>
  </si>
  <si>
    <t>M0800</t>
  </si>
  <si>
    <t>SEMIPÓRTICO DUPLO METÁLICO PARA VÃO DE 2 X 3,8 M E VENTO DE 35 M/S</t>
  </si>
  <si>
    <t>M0801</t>
  </si>
  <si>
    <t>SEMIPÓRTICO DUPLO METÁLICO PARA VÃO DE 2 X 4,9 M E VENTO DE 35 M/S</t>
  </si>
  <si>
    <t>M0802</t>
  </si>
  <si>
    <t>SEMIPÓRTICO DUPLO METÁLICO PARA VÃO DE 2 X 6,0 M E VENTO DE 35 M/S</t>
  </si>
  <si>
    <t>M0803</t>
  </si>
  <si>
    <t>SEMIPÓRTICO DUPLO METÁLICO PARA VÃO DE 2 X 7,2 M E VENTO DE 35 M/S</t>
  </si>
  <si>
    <t>M0805</t>
  </si>
  <si>
    <t>SEMIPÓRTICO DUPLO METÁLICO PARA VÃO DE 2 X 8,3 M E VENTO DE 35 M/S</t>
  </si>
  <si>
    <t>M0808</t>
  </si>
  <si>
    <t>BRITA 4 (RACHINHA)</t>
  </si>
  <si>
    <t>M0809</t>
  </si>
  <si>
    <t>CABO DE AÇO - D = 6,3 MM</t>
  </si>
  <si>
    <t>M0812</t>
  </si>
  <si>
    <t>SAPATILHA TIPO STANDARD - D = 6,3 MM</t>
  </si>
  <si>
    <t>M0813</t>
  </si>
  <si>
    <t>SEMIPÓRTICO METÁLICO PARA VÃO DE 2,7 M E VENTO DE 40 M/S</t>
  </si>
  <si>
    <t>M0814</t>
  </si>
  <si>
    <t>SEMIPÓRTICO METÁLICO PARA VÃO DE 3,8 M E VENTO DE 40 M/S</t>
  </si>
  <si>
    <t>M0815</t>
  </si>
  <si>
    <t>SEMIPÓRTICO METÁLICO PARA VÃO DE 4,9 M E VENTO DE 40 M/S</t>
  </si>
  <si>
    <t>M0816</t>
  </si>
  <si>
    <t>SEMIPÓRTICO METÁLICO PARA VÃO DE 6,0 M E VENTO DE 40 M/S</t>
  </si>
  <si>
    <t>M0817</t>
  </si>
  <si>
    <t>SEMIPÓRTICO METÁLICO PARA VÃO DE 7,2 M E VENTO DE 40 M/S</t>
  </si>
  <si>
    <t>M0818</t>
  </si>
  <si>
    <t>SEMIPÓRTICO METÁLICO PARA VÃO DE 8,3 M E VENTO DE 40 M/S</t>
  </si>
  <si>
    <t>M0819</t>
  </si>
  <si>
    <t>SEMIPÓRTICO DUPLO METÁLICO PARA VÃO DE 2 X 2,7 M E VENTO DE 40 M/S</t>
  </si>
  <si>
    <t>M0820</t>
  </si>
  <si>
    <t>SEMIPÓRTICO DUPLO METÁLICO PARA VÃO DE 2 X 3,8 M E VENTO DE 40 M/S</t>
  </si>
  <si>
    <t>M0821</t>
  </si>
  <si>
    <t>SEMIPÓRTICO DUPLO METÁLICO PARA VÃO DE 2 X 4,9 M E VENTO DE 40 M/S</t>
  </si>
  <si>
    <t>M0822</t>
  </si>
  <si>
    <t>SEMIPÓRTICO DUPLO METÁLICO PARA VÃO DE 2 X 6,0 M E VENTO DE 40 M/S</t>
  </si>
  <si>
    <t>M0823</t>
  </si>
  <si>
    <t>SEMIPÓRTICO DUPLO METÁLICO PARA VÃO DE 2 X 7,2 M E VENTO DE 40 M/S</t>
  </si>
  <si>
    <t>M0824</t>
  </si>
  <si>
    <t>SEMIPÓRTICO DUPLO METÁLICO PARA VÃO DE 2 X 8,3 M E VENTO DE 40 M/S</t>
  </si>
  <si>
    <t>M0825</t>
  </si>
  <si>
    <t>PÓRTICO METÁLICO PARA VÃO DE 9,2 M E VENTO DE 40 M/S</t>
  </si>
  <si>
    <t>M0826</t>
  </si>
  <si>
    <t>PÓRTICO METÁLICO PARA VÃO DE 10,3 M E VENTO DE 40 M/S</t>
  </si>
  <si>
    <t>M0827</t>
  </si>
  <si>
    <t>PÓRTICO METÁLICO PARA VÃO DE 11,4 M E VENTO DE 40 M/S</t>
  </si>
  <si>
    <t>M0828</t>
  </si>
  <si>
    <t>PÓRTICO METÁLICO PARA VÃO DE 12,5 M E VENTO DE 40 M/S</t>
  </si>
  <si>
    <t>M0829</t>
  </si>
  <si>
    <t>PÓRTICO METÁLICO PARA VÃO DE 13,6 M E VENTO DE 40 M/S</t>
  </si>
  <si>
    <t>M0830</t>
  </si>
  <si>
    <t>PÓRTICO METÁLICO PARA VÃO DE 14,8 M E VENTO DE 40 M/S</t>
  </si>
  <si>
    <t>M0831</t>
  </si>
  <si>
    <t>PÓRTICO METÁLICO PARA VÃO DE 15,9 M E VENTO DE 40 M/S</t>
  </si>
  <si>
    <t>M0832</t>
  </si>
  <si>
    <t>PÓRTICO METÁLICO PARA VÃO DE 17,0 M E VENTO DE 40 M/S</t>
  </si>
  <si>
    <t>M0833</t>
  </si>
  <si>
    <t>PÓRTICO METÁLICO PARA VÃO DE 18,1 M E VENTO DE 40 M/S</t>
  </si>
  <si>
    <t>M0834</t>
  </si>
  <si>
    <t>PÓRTICO METÁLICO PARA VÃO DE 19,2 M E VENTO DE 40 M/S</t>
  </si>
  <si>
    <t>M0835</t>
  </si>
  <si>
    <t>PÓRTICO METÁLICO PARA VÃO DE 20,3 M E VENTO DE 40 M/S</t>
  </si>
  <si>
    <t>M0836</t>
  </si>
  <si>
    <t>PÓRTICO METÁLICO PARA VÃO DE 21,5 M E VENTO DE 40 M/S</t>
  </si>
  <si>
    <t>M0837</t>
  </si>
  <si>
    <t>PÓRTICO METÁLICO PARA VÃO DE 22,6 M E VENTO DE 40 M/S</t>
  </si>
  <si>
    <t>M0838</t>
  </si>
  <si>
    <t>PÓRTICO METÁLICO PARA VÃO DE 23,7 M E VENTO DE 40 M/S</t>
  </si>
  <si>
    <t>M0839</t>
  </si>
  <si>
    <t>PÓRTICO METÁLICO PARA VÃO DE 24,8 M E VENTO DE 40 M/S</t>
  </si>
  <si>
    <t>M0840</t>
  </si>
  <si>
    <t>PÓRTICO METÁLICO PARA VÃO DE 26,0 M E VENTO DE 40 M/S</t>
  </si>
  <si>
    <t>M0841</t>
  </si>
  <si>
    <t>PÓRTICO METÁLICO PARA VÃO DE 27,1 M E VENTO DE 40 M/S</t>
  </si>
  <si>
    <t>M0842</t>
  </si>
  <si>
    <t>SEMIPÓRTICO METÁLICO PARA VÃO DE 2,7 M E VENTO DE 45 M/S</t>
  </si>
  <si>
    <t>M0843</t>
  </si>
  <si>
    <t>SEMIPÓRTICO METÁLICO PARA VÃO DE 3,8 M E VENTO DE 45 M/S</t>
  </si>
  <si>
    <t>M0844</t>
  </si>
  <si>
    <t>SEMIPÓRTICO METÁLICO PARA VÃO DE 4,9 M E VENTO DE 45 M/S</t>
  </si>
  <si>
    <t>M0845</t>
  </si>
  <si>
    <t>SEMIPÓRTICO METÁLICO PARA VÃO DE 6,0 M E VENTO DE 45 M/S</t>
  </si>
  <si>
    <t>M0847</t>
  </si>
  <si>
    <t>SEMIPÓRTICO METÁLICO PARA VÃO DE 7,2 M E VENTO DE 45 M/S</t>
  </si>
  <si>
    <t>M0848</t>
  </si>
  <si>
    <t>SEMIPÓRTICO METÁLICO PARA VÃO DE 8,3 M E VENTO DE 45 M/S</t>
  </si>
  <si>
    <t>M0849</t>
  </si>
  <si>
    <t>CORDA DE SISAL - D = 12,5 MM</t>
  </si>
  <si>
    <t>M0850</t>
  </si>
  <si>
    <t>SEMIPÓRTICO DUPLO METÁLICO PARA VÃO DE 2 X 2,7 M E VENTO DE 45 M/S</t>
  </si>
  <si>
    <t>M0851</t>
  </si>
  <si>
    <t>GRAMPO LEVE PARA CABO DE AÇO - D = 6,3 MM</t>
  </si>
  <si>
    <t>M0852</t>
  </si>
  <si>
    <t>POSTE DE CONCRETO DE 15 M</t>
  </si>
  <si>
    <t>M0853</t>
  </si>
  <si>
    <t>JUNTA PLÁSTICA DE 27 X 3 MM</t>
  </si>
  <si>
    <t>M0854</t>
  </si>
  <si>
    <t>SEMIPÓRTICO DUPLO METÁLICO PARA VÃO DE 2 X 3,8 M E VENTO DE 45 M/S</t>
  </si>
  <si>
    <t>M0855</t>
  </si>
  <si>
    <t>SEMIPÓRTICO DUPLO METÁLICO PARA VÃO DE 2 X 4,9 M E VENTO DE 45 M/S</t>
  </si>
  <si>
    <t>M0856</t>
  </si>
  <si>
    <t>SEMIPÓRTICO DUPLO METÁLICO PARA VÃO DE 2 X 6,0 M E VENTO DE 45 M/S</t>
  </si>
  <si>
    <t>M0857</t>
  </si>
  <si>
    <t>SEMIPÓRTICO DUPLO METÁLICO PARA VÃO DE 2 X 7,2 M E VENTO DE 45 M/S</t>
  </si>
  <si>
    <t>M0858</t>
  </si>
  <si>
    <t>SEMIPÓRTICO DUPLO METÁLICO PARA VÃO DE 2 X 8,3 M E VENTO DE 45 M/S</t>
  </si>
  <si>
    <t>M0859</t>
  </si>
  <si>
    <t>PÓRTICO METÁLICO PARA VÃO DE 9,2 M E VENTO DE 45 M/S</t>
  </si>
  <si>
    <t>M0860</t>
  </si>
  <si>
    <t>PÓRTICO METÁLICO PARA VÃO DE 10,3 M E VENTO DE 45 M/S</t>
  </si>
  <si>
    <t>M0861</t>
  </si>
  <si>
    <t>PÓRTICO METÁLICO PARA VÃO DE 11,4 M E VENTO DE 45 M/S</t>
  </si>
  <si>
    <t>M0862</t>
  </si>
  <si>
    <t>PÓRTICO METÁLICO PARA VÃO DE 12,5 M E VENTO DE 45 M/S</t>
  </si>
  <si>
    <t>M0863</t>
  </si>
  <si>
    <t>PÓRTICO METÁLICO PARA VÃO DE 13,6 M E VENTO DE 45 M/S</t>
  </si>
  <si>
    <t>M0864</t>
  </si>
  <si>
    <t>PÓRTICO METÁLICO PARA VÃO DE 14,8 M E VENTO DE 45 M/S</t>
  </si>
  <si>
    <t>M0865</t>
  </si>
  <si>
    <t>PÓRTICO METÁLICO PARA VÃO DE 15,9 M E VENTO DE 45 M/S</t>
  </si>
  <si>
    <t>M0866</t>
  </si>
  <si>
    <t>PÓRTICO METÁLICO PARA VÃO DE 17,0 M E VENTO DE 45 M/S</t>
  </si>
  <si>
    <t>M0867</t>
  </si>
  <si>
    <t>PÓRTICO METÁLICO PARA VÃO DE 18,1 M E VENTO DE 45 M/S</t>
  </si>
  <si>
    <t>M0869</t>
  </si>
  <si>
    <t>PÓRTICO METÁLICO PARA VÃO DE 19,2 M E VENTO DE 45 M/S</t>
  </si>
  <si>
    <t>M0870</t>
  </si>
  <si>
    <t>PÓRTICO METÁLICO PARA VÃO DE 20,3 M E VENTO DE 45 M/S</t>
  </si>
  <si>
    <t>M0871</t>
  </si>
  <si>
    <t>PÓRTICO METÁLICO PARA VÃO DE 21,5 M E VENTO DE 45 M/S</t>
  </si>
  <si>
    <t>M0872</t>
  </si>
  <si>
    <t>PÓRTICO METÁLICO PARA VÃO DE 22,6 M E VENTO DE 45 M/S</t>
  </si>
  <si>
    <t>M0873</t>
  </si>
  <si>
    <t>PÓRTICO METÁLICO PARA VÃO DE 23,7 M E VENTO DE 45 M/S</t>
  </si>
  <si>
    <t>M0874</t>
  </si>
  <si>
    <t>PÓRTICO METÁLICO PARA VÃO DE 24,8 M E VENTO DE 45 M/S</t>
  </si>
  <si>
    <t>M0875</t>
  </si>
  <si>
    <t>MANTA ASFÁLTICA DE 3 MM</t>
  </si>
  <si>
    <t>M0876</t>
  </si>
  <si>
    <t>MANTA ASFÁLTICA DE 4 MM</t>
  </si>
  <si>
    <t>M0877</t>
  </si>
  <si>
    <t>PÓRTICO METÁLICO PARA VÃO DE 26,0 M E VENTO DE 45 M/S</t>
  </si>
  <si>
    <t>M0878</t>
  </si>
  <si>
    <t>PÓRTICO METÁLICO PARA VÃO DE 27,1 M E VENTO DE 45 M/S</t>
  </si>
  <si>
    <t>M0947</t>
  </si>
  <si>
    <t>PARAFUSO CABEÇA SEXTAVADA - D = 3/8" COM PORCA E ARRUELA DE PRESSÃO</t>
  </si>
  <si>
    <t>M0998</t>
  </si>
  <si>
    <t>MADEIRA ESTRUTURAL DE EUCALIPTO</t>
  </si>
  <si>
    <t>M0999</t>
  </si>
  <si>
    <t>TELA DE AÇO ELETROSOLDADA</t>
  </si>
  <si>
    <t>M1000</t>
  </si>
  <si>
    <t>TELA DE ALAMBRADO FIO 16 BWG E MALHA DE 50 MM</t>
  </si>
  <si>
    <t>M1010</t>
  </si>
  <si>
    <t>MANTA DE PVC DE 1,2 MM REFORÇADA COM TELA DE POLIÉSTER</t>
  </si>
  <si>
    <t>M1011</t>
  </si>
  <si>
    <t>MANTA DE PVC DE 1,5 MM REFORÇADA COM TELA DE POLIÉSTER</t>
  </si>
  <si>
    <t>M1022</t>
  </si>
  <si>
    <t>MASSA DE VIDRACEIRO</t>
  </si>
  <si>
    <t>M1031</t>
  </si>
  <si>
    <t>MEMBRANA SINTÉTICA MOLDADA NO LOCAL</t>
  </si>
  <si>
    <t>M1040</t>
  </si>
  <si>
    <t>MOURÃO DE CONCRETO CURVO DE 12 X 12 X 320 CM</t>
  </si>
  <si>
    <t>M1041</t>
  </si>
  <si>
    <t>MOURÃO DE CONCRETO - H = 2,2 M E SEÇÃO 15 X 15 CM</t>
  </si>
  <si>
    <t>M1042</t>
  </si>
  <si>
    <t>MOURÃO DE CONCRETO - H = 2,1 M E SEÇÃO 11 X 11 CM</t>
  </si>
  <si>
    <t>M1078</t>
  </si>
  <si>
    <t>PARAFUSO DE 1/2 X 5"</t>
  </si>
  <si>
    <t>M1079</t>
  </si>
  <si>
    <t>PARAFUSO AUTOATARRACHANTE COM ARRUELAS DE VEDAÇÃO - D = 6,3 MM</t>
  </si>
  <si>
    <t>M1082</t>
  </si>
  <si>
    <t>PARAFUSO DE 8 X 110 MM</t>
  </si>
  <si>
    <t>M1097</t>
  </si>
  <si>
    <t>PEDRA DE MÃO</t>
  </si>
  <si>
    <t>M1103</t>
  </si>
  <si>
    <t>PEDRISCO</t>
  </si>
  <si>
    <t>M1110</t>
  </si>
  <si>
    <t>CUPINICIDA</t>
  </si>
  <si>
    <t>M1118</t>
  </si>
  <si>
    <t>CRUZETA DE MADEIRA PARA TRANSFORMADOR EM POSTE DE 240 CM</t>
  </si>
  <si>
    <t>M1130</t>
  </si>
  <si>
    <t>SELANTE ELÁSTICO À BASE DE POLIURETANO, TIPO PU FLEX CONSTRUÇÃO OU SIMILAR</t>
  </si>
  <si>
    <t>M1131</t>
  </si>
  <si>
    <t>CORDÃO DE POLIETILENO EXPANDIDO</t>
  </si>
  <si>
    <t>M1132</t>
  </si>
  <si>
    <t>JUNTA EM PERFIL EXTRUDADO DE BORRACHA VULCANIZADA DE 20 X 40 MM</t>
  </si>
  <si>
    <t>M1134</t>
  </si>
  <si>
    <t>JUNTA EM PERFIL EXTRUDADO DE BORRACHA VULCANIZADA DE 25 X 50 MM</t>
  </si>
  <si>
    <t>M1135</t>
  </si>
  <si>
    <t>PÓ DE PEDRA</t>
  </si>
  <si>
    <t>M1142</t>
  </si>
  <si>
    <t>JUNTA EM PERFIL EXTRUDADO DE BORRACHA VULCANIZADA DE 35 X 60 MM</t>
  </si>
  <si>
    <t>M1150</t>
  </si>
  <si>
    <t>ADESIVO ADE 52 OU SIMILAR</t>
  </si>
  <si>
    <t>M1151</t>
  </si>
  <si>
    <t>JUNTA EM PERFIL EXTRUDADO DE BORRACHA VULCANIZADA DE 40 X 70 MM</t>
  </si>
  <si>
    <t>M1152</t>
  </si>
  <si>
    <t>JUNTA EM PERFIL EXTRUDADO DE BORRACHA VULCANIZADA DE 50 X 80 MM</t>
  </si>
  <si>
    <t>M1176</t>
  </si>
  <si>
    <t>ARAME LISO GALVANIZADO 16 BWG</t>
  </si>
  <si>
    <t>M1200</t>
  </si>
  <si>
    <t>PÓRTICO METÁLICO PARA VÃO DE 9,2 M E VENTO DE 35 M/S</t>
  </si>
  <si>
    <t>M1201</t>
  </si>
  <si>
    <t>PÓRTICO METÁLICO PARA VÃO DE 10,3 M E VENTO DE 35 M/S</t>
  </si>
  <si>
    <t>M1202</t>
  </si>
  <si>
    <t>PÓRTICO METÁLICO PARA VÃO DE 11,4 M E VENTO DE 35 M/S</t>
  </si>
  <si>
    <t>M1203</t>
  </si>
  <si>
    <t>PÓRTICO METÁLICO PARA VÃO DE 12,5 M E VENTO DE 35 M/S</t>
  </si>
  <si>
    <t>M1204</t>
  </si>
  <si>
    <t>PÓRTICO METÁLICO PARA VÃO DE 13,6 M E VENTO DE 35 M/S</t>
  </si>
  <si>
    <t>M1207</t>
  </si>
  <si>
    <t>PÓRTICO METÁLICO PARA VÃO DE 14,8 M E VENTO DE 35 M/S</t>
  </si>
  <si>
    <t>M1209</t>
  </si>
  <si>
    <t>PRIMER PARA SUPERFÍCIES POROSAS</t>
  </si>
  <si>
    <t>M1210</t>
  </si>
  <si>
    <t>PÓRTICO METÁLICO PARA VÃO DE 15,9 M E VENTO DE 35 M/S</t>
  </si>
  <si>
    <t>M1211</t>
  </si>
  <si>
    <t>PÓRTICO METÁLICO PARA VÃO DE 17,0 M E VENTO DE 35 M/S</t>
  </si>
  <si>
    <t>M1212</t>
  </si>
  <si>
    <t>PÓRTICO METÁLICO PARA VÃO DE 18,1 M E VENTO DE 35 M/S</t>
  </si>
  <si>
    <t>M1213</t>
  </si>
  <si>
    <t>PÓRTICO METÁLICO PARA VÃO DE 19,2 M E VENTO DE 35 M/S</t>
  </si>
  <si>
    <t>M1214</t>
  </si>
  <si>
    <t>PÓRTICO METÁLICO PARA VÃO DE 20,3 M E VENTO DE 35 M/S</t>
  </si>
  <si>
    <t>M1215</t>
  </si>
  <si>
    <t>PÓRTICO METÁLICO PARA VÃO DE 21,5 M E VENTO DE 35 M/S</t>
  </si>
  <si>
    <t>M1216</t>
  </si>
  <si>
    <t>PÓRTICO METÁLICO PARA VÃO DE 22,6 M E VENTO DE 35 M/S</t>
  </si>
  <si>
    <t>M1217</t>
  </si>
  <si>
    <t>PÓRTICO METÁLICO PARA VÃO DE 23,7 M E VENTO DE 35 M/S</t>
  </si>
  <si>
    <t>M1218</t>
  </si>
  <si>
    <t>PROJETOR EXTERNO EM ALUMÍNIO FUNDIDO PARA LÂMPADA ATÉ 2.000 W</t>
  </si>
  <si>
    <t>M1220</t>
  </si>
  <si>
    <t>PÓRTICO METÁLICO PARA VÃO DE 24,8 M E VENTO DE 35 M/S</t>
  </si>
  <si>
    <t>M1221</t>
  </si>
  <si>
    <t>PÓRTICO METÁLICO PARA VÃO DE 26,0 M E VENTO DE 35 M/S</t>
  </si>
  <si>
    <t>M1222</t>
  </si>
  <si>
    <t>PÓRTICO METÁLICO PARA VÃO DE 27,1 M E VENTO DE 35 M/S</t>
  </si>
  <si>
    <t>M1242</t>
  </si>
  <si>
    <t>COROA DIAMANTADA - D = 16 MM</t>
  </si>
  <si>
    <t>M1243</t>
  </si>
  <si>
    <t>COROA DIAMANTADA - D = 20 MM</t>
  </si>
  <si>
    <t>M1244</t>
  </si>
  <si>
    <t>COROA DIAMANTADA - D = 25 MM</t>
  </si>
  <si>
    <t>M1245</t>
  </si>
  <si>
    <t>VERGALHÃO ROSCA TOTAL - D = 3/8"</t>
  </si>
  <si>
    <t>M1260</t>
  </si>
  <si>
    <t>TACHA REFLETIVA METÁLICA MONODIRECIONAL COM UM PINO</t>
  </si>
  <si>
    <t>M1299</t>
  </si>
  <si>
    <t>ROLLER BIT - TOOTH CUTTER - SERIE 8 - D = 600 MM</t>
  </si>
  <si>
    <t>M1300</t>
  </si>
  <si>
    <t>ROLLER BIT - TOOTH CUTTER - SERIE 8 - D = 700 MM</t>
  </si>
  <si>
    <t>M1301</t>
  </si>
  <si>
    <t>ROLLER BIT - TOOTH CUTTER - SERIE 8 - D = 800 MM</t>
  </si>
  <si>
    <t>M1302</t>
  </si>
  <si>
    <t>ROLLER BIT - TOOTH CUTTER - SERIE 8 - D = 900 MM</t>
  </si>
  <si>
    <t>M1303</t>
  </si>
  <si>
    <t>ROLLER BIT - TOOTH CUTTER - SERIE 8 - D = 1.000 MM</t>
  </si>
  <si>
    <t>M1304</t>
  </si>
  <si>
    <t>ROLLER BIT - TOOTH CUTTER - SERIE 8 - D = 1.100 MM</t>
  </si>
  <si>
    <t>M1305</t>
  </si>
  <si>
    <t>ROLLER BIT - TOOTH CUTTER - SERIE 8 - D = 1.200 MM</t>
  </si>
  <si>
    <t>M1306</t>
  </si>
  <si>
    <t>ROLLER BIT - TOOTH CUTTER - SERIE 13 - D = 1.300 MM</t>
  </si>
  <si>
    <t>M1307</t>
  </si>
  <si>
    <t>ROLLER BIT - TOOTH CUTTER - SERIE 13 - D = 1.400 MM</t>
  </si>
  <si>
    <t>M1308</t>
  </si>
  <si>
    <t>ROLLER BIT - TOOTH CUTTER - SERIE 13 - D = 1.500 MM</t>
  </si>
  <si>
    <t>M1309</t>
  </si>
  <si>
    <t>ROLLER BIT - TOOTH CUTTER - SERIE 13 - D = 1.600 MM</t>
  </si>
  <si>
    <t>M1310</t>
  </si>
  <si>
    <t>ROLLER BIT - TOOTH CUTTER - SERIE 13 - D = 1.700 MM</t>
  </si>
  <si>
    <t>M1311</t>
  </si>
  <si>
    <t>ROLLER BIT - TOOTH CUTTER - SERIE 13 - D = 1.800 MM</t>
  </si>
  <si>
    <t>M1313</t>
  </si>
  <si>
    <t>ROLLER BIT - TCI BUTTON CUTTER - SERIE 8 - D = 600 MM</t>
  </si>
  <si>
    <t>M1314</t>
  </si>
  <si>
    <t>ROLLER BIT - TCI BUTTON CUTTER - SERIE 8 - D = 700 MM</t>
  </si>
  <si>
    <t>M1315</t>
  </si>
  <si>
    <t>ROLLER BIT - TCI BUTTON CUTTER - SERIE 8 - D = 800 MM</t>
  </si>
  <si>
    <t>M1316</t>
  </si>
  <si>
    <t>ROLLER BIT - TCI BUTTON CUTTER - SERIE 8 - D = 900 MM</t>
  </si>
  <si>
    <t>M1317</t>
  </si>
  <si>
    <t>ROLLER BIT - TCI BUTTON CUTTER - SERIE 8 - D = 1.000 MM</t>
  </si>
  <si>
    <t>M1318</t>
  </si>
  <si>
    <t>ROLLER BIT - TCI BUTTON CUTTER - SERIE 8 - D = 1.100 MM</t>
  </si>
  <si>
    <t>M1319</t>
  </si>
  <si>
    <t>ROLLER BIT - TCI BUTTON CUTTER - SERIE 8 - D = 1.200 MM</t>
  </si>
  <si>
    <t>M1320</t>
  </si>
  <si>
    <t>ROLLER BIT - TCI BUTTON CUTTER - SERIE 13 - D = 1.300 MM</t>
  </si>
  <si>
    <t>M1321</t>
  </si>
  <si>
    <t>ROLLER BIT - TCI BUTTON CUTTER - SERIE 13 - D = 1.400 MM</t>
  </si>
  <si>
    <t>M1322</t>
  </si>
  <si>
    <t>ROLLER BIT - TCI BUTTON CUTTER - SERIE 13 - D = 1.500 MM</t>
  </si>
  <si>
    <t>M1323</t>
  </si>
  <si>
    <t>ROLLER BIT - TCI BUTTON CUTTER - SERIE 13 - D = 1.600 MM</t>
  </si>
  <si>
    <t>M1324</t>
  </si>
  <si>
    <t>ROLLER BIT - TCI BUTTON CUTTER - SERIE 13 - D = 1.700 MM</t>
  </si>
  <si>
    <t>M1325</t>
  </si>
  <si>
    <t>ROLLER BIT - TCI BUTTON CUTTER - SERIE 13 - D = 1.800 MM</t>
  </si>
  <si>
    <t>M1328</t>
  </si>
  <si>
    <t>RIPA DE 4 X 1,5 CM</t>
  </si>
  <si>
    <t>M1337</t>
  </si>
  <si>
    <t>SÉRIE DE BROCAS S-11 - D = 22 MM</t>
  </si>
  <si>
    <t>M1341</t>
  </si>
  <si>
    <t>PARAFUSO DE AÇO GALVANIZADO SEXTAVADO DE 5/8 X 4"</t>
  </si>
  <si>
    <t>M1349</t>
  </si>
  <si>
    <t>TACHA REFLETIVA METÁLICA MONODIRECIONAL COM DOIS PINOS</t>
  </si>
  <si>
    <t>M1350</t>
  </si>
  <si>
    <t>ÁRVORE ORNAMENTAL DE PORTE DE 200 A 300 CM</t>
  </si>
  <si>
    <t>M1351</t>
  </si>
  <si>
    <t>ÁRVORE ORNAMENTAL DE PORTE DE 100 A 200 CM</t>
  </si>
  <si>
    <t>M1356</t>
  </si>
  <si>
    <t>ÁRVORE ORNAMENTAL DE PORTE DE ATÉ 100 CM</t>
  </si>
  <si>
    <t>M1358</t>
  </si>
  <si>
    <t>SARRAFO EM MADEIRA DE TERCEIRA DE 2,5 X 5 CM</t>
  </si>
  <si>
    <t>M1359</t>
  </si>
  <si>
    <t>ÁRVORE FRUTÍFERA DE PORTE DE 200 A 300 CM</t>
  </si>
  <si>
    <t>M1360</t>
  </si>
  <si>
    <t>ÁRVORE FRUTÍFERA DE PORTE DE 100 A 200 CM</t>
  </si>
  <si>
    <t>M1361</t>
  </si>
  <si>
    <t>ÁRVORE FRUTÍFERA DE PORTE DE ATÉ 100 CM</t>
  </si>
  <si>
    <t>M1362</t>
  </si>
  <si>
    <t>TAPETE DE FLORÍFERAS DE PORTE ATÉ 50 CM</t>
  </si>
  <si>
    <t>M1364</t>
  </si>
  <si>
    <t>HERBICIDA GLIFOSATO</t>
  </si>
  <si>
    <t>M1366</t>
  </si>
  <si>
    <t>DESENGRAXANTE</t>
  </si>
  <si>
    <t>M1367</t>
  </si>
  <si>
    <t>CHAPA DE AÇO GALVANIZADO</t>
  </si>
  <si>
    <t>M1368</t>
  </si>
  <si>
    <t>PINGADEIRA DE ELASTÔMERO COM ABA INCLINADA E PERFIL 40 X 40 MM</t>
  </si>
  <si>
    <t>M1369</t>
  </si>
  <si>
    <t>SELADOR PARA PINTURA ACRÍLICA</t>
  </si>
  <si>
    <t>M1370</t>
  </si>
  <si>
    <t>ADITIVO LÁTEX SBR</t>
  </si>
  <si>
    <t>M1377</t>
  </si>
  <si>
    <t>TRELIÇA NERVURADA COM 3 BARRAS LONGITUDINAIS E 2 DIAGONAIS SINUSOIDAIS</t>
  </si>
  <si>
    <t>M1379</t>
  </si>
  <si>
    <t>ARGAMASSA POLIMÉRICA DE ALTO DESEMPENHO</t>
  </si>
  <si>
    <t>M1382</t>
  </si>
  <si>
    <t>AREIA GROSSA LAVADA</t>
  </si>
  <si>
    <t>M1383</t>
  </si>
  <si>
    <t>AREIA FINA LAVADA</t>
  </si>
  <si>
    <t>M1384</t>
  </si>
  <si>
    <t>TUBO TREMONHA DE AÇO</t>
  </si>
  <si>
    <t>M1385</t>
  </si>
  <si>
    <t>DISCO DIAMANTADO - D = 350 MM</t>
  </si>
  <si>
    <t>M1391</t>
  </si>
  <si>
    <t>PONTEIRO PARA MARTELETE DE 22 X 1.000 MM</t>
  </si>
  <si>
    <t>M1397</t>
  </si>
  <si>
    <t>ELETRODO E60 XX</t>
  </si>
  <si>
    <t>M1398</t>
  </si>
  <si>
    <t>VARETA PARA SOLDA OXI-GÁS AWS A 5.2 R45</t>
  </si>
  <si>
    <t>M1408</t>
  </si>
  <si>
    <t>GRELHA METÁLICA PARA CANALETAS DE 30 X 100 CM</t>
  </si>
  <si>
    <t>M1409</t>
  </si>
  <si>
    <t>PORTA GRELHA METÁLICA DE 30 X 100 CM</t>
  </si>
  <si>
    <t>M1429</t>
  </si>
  <si>
    <t>TÁBUA DE PINHO DE TERCEIRA - E = 2,5 CM</t>
  </si>
  <si>
    <t>M1432</t>
  </si>
  <si>
    <t>TAMPÃO DE FERRO FUNDIDO PARA ÁGUAS PLUVIAIS TD 600</t>
  </si>
  <si>
    <t>M1433</t>
  </si>
  <si>
    <t>GRELHA METÁLICA PARA CANALETAS DE 50 X 50 CM</t>
  </si>
  <si>
    <t>M1434</t>
  </si>
  <si>
    <t>PORTA GRELHA METÁLICA DE 50 X 50 CM</t>
  </si>
  <si>
    <t>M1446</t>
  </si>
  <si>
    <t>GEOGRELHA BIDIRECIONAL COM RESISTÊNCIA À TRAÇÃO DE 30 KN/M, DEFORMAÇÃO INFERIOR A 5% E MALHA DE 36 X 34 MM</t>
  </si>
  <si>
    <t>M1447</t>
  </si>
  <si>
    <t>GEOGRELHA UNIDIRECIONAL COM RESISTÊNCIA À TRAÇÃO DE 60 KN/M</t>
  </si>
  <si>
    <t>M1448</t>
  </si>
  <si>
    <t>GEOGRELHA UNIDIRECIONAL COM RESISTÊNCIA À TRAÇÃO DE 80 KN/M</t>
  </si>
  <si>
    <t>M1449</t>
  </si>
  <si>
    <t>GEOGRELHA UNIDIRECIONAL COM RESISTÊNCIA À TRAÇÃO DE 100 KN/M</t>
  </si>
  <si>
    <t>M1450</t>
  </si>
  <si>
    <t>GEOGRELHA UNIDIRECIONAL COM RESISTÊNCIA À TRAÇÃO DE 150 KN/M</t>
  </si>
  <si>
    <t>M1451</t>
  </si>
  <si>
    <t>GEOGRELHA UNIDIRECIONAL COM RESISTÊNCIA À TRAÇÃO DE 200 KN/M</t>
  </si>
  <si>
    <t>M1452</t>
  </si>
  <si>
    <t>GEOGRELHA UNIDIRECIONAL COM RESISTÊNCIA À TRAÇÃO DE 300 KN/M</t>
  </si>
  <si>
    <t>M1453</t>
  </si>
  <si>
    <t>GEOGRELHA UNIDIRECIONAL COM RESISTÊNCIA À TRAÇÃO DE 400 KN/M</t>
  </si>
  <si>
    <t>M1454</t>
  </si>
  <si>
    <t>GEOCÉLULA DE PEAD - H = 75 MM E CÉLULA DE 250 CM²</t>
  </si>
  <si>
    <t>M1455</t>
  </si>
  <si>
    <t>GEOCÉLULA DE PEAD - H = 100 MM E CÉLULA DE 250 CM²</t>
  </si>
  <si>
    <t>M1456</t>
  </si>
  <si>
    <t>GEOCÉLULA DE PEAD - H = 125 MM E CÉLULA DE 250 CM²</t>
  </si>
  <si>
    <t>M1457</t>
  </si>
  <si>
    <t>GEOCÉLULA DE PEAD - H = 200 MM E CÉLULA DE 250 CM²</t>
  </si>
  <si>
    <t>M1458</t>
  </si>
  <si>
    <t>GEOCÉLULA DE PEAD - H = 75 MM E CÉLULA DE 460 CM²</t>
  </si>
  <si>
    <t>M1459</t>
  </si>
  <si>
    <t>GEOCÉLULA DE PEAD - H = 100 MM E CÉLULA DE 460 CM²</t>
  </si>
  <si>
    <t>M1460</t>
  </si>
  <si>
    <t>GEOCÉLULA DE PEAD - H = 125 MM E CÉLULA DE 460 CM²</t>
  </si>
  <si>
    <t>M1461</t>
  </si>
  <si>
    <t>GEOCÉLULA DE PEAD - H = 200 MM E CÉLULA DE 460 CM²</t>
  </si>
  <si>
    <t>M1462</t>
  </si>
  <si>
    <t>GEOCÉLULA DE PEAD - H = 75 MM E CÉLULA DE 1.206 CM²</t>
  </si>
  <si>
    <t>M1463</t>
  </si>
  <si>
    <t>GEOCÉLULA DE PEAD - H = 100 MM E CÉLULA DE 1.206 CM²</t>
  </si>
  <si>
    <t>M1464</t>
  </si>
  <si>
    <t>GEOCÉLULA DE PEAD - H = 125 MM E CÉLULA DE 1.206 CM²</t>
  </si>
  <si>
    <t>M1465</t>
  </si>
  <si>
    <t>GEOCÉLULA DE PEAD - H = 200 MM E CÉLULA DE 1.206 CM²</t>
  </si>
  <si>
    <t>M1468</t>
  </si>
  <si>
    <t>MASTIQUE PARA JUNTAS À BASE DE ALCATRÃO E POLIURETANO</t>
  </si>
  <si>
    <t>M1472</t>
  </si>
  <si>
    <t>TUBO DE PVC ROSCÁVEL 3"</t>
  </si>
  <si>
    <t>M1481</t>
  </si>
  <si>
    <t>COROA DIAMANTADA - D = 32 MM</t>
  </si>
  <si>
    <t>M1496</t>
  </si>
  <si>
    <t>COROA DIAMANTADA - D = 38 MM</t>
  </si>
  <si>
    <t>M1498</t>
  </si>
  <si>
    <t>COROA DIAMANTADA - D = 44 MM</t>
  </si>
  <si>
    <t>M1518</t>
  </si>
  <si>
    <t>COROA DIAMANTADA - D = 50 MM</t>
  </si>
  <si>
    <t>M1519</t>
  </si>
  <si>
    <t>COROA DIAMANTADA - D = 63 MM</t>
  </si>
  <si>
    <t>M1520</t>
  </si>
  <si>
    <t>COROA DIAMANTADA - D = 75 MM</t>
  </si>
  <si>
    <t>M1526</t>
  </si>
  <si>
    <t>COROA DIAMANTADA - D = 100 MM</t>
  </si>
  <si>
    <t>M1527</t>
  </si>
  <si>
    <t>BROCA DE WIDIA - D = 10 MM</t>
  </si>
  <si>
    <t>M1528</t>
  </si>
  <si>
    <t>BROCA DE WIDIA - D = 12,5 MM</t>
  </si>
  <si>
    <t>M1530</t>
  </si>
  <si>
    <t>PARAFUSO DE AÇO</t>
  </si>
  <si>
    <t>M1536</t>
  </si>
  <si>
    <t>ARGAMASSA ESTRUTURAL DE ALTA RESISTÊNCIA FEITA NA CONSISTÊNCIA SECA</t>
  </si>
  <si>
    <t>M1543</t>
  </si>
  <si>
    <t>TELHA DE FIBROCIMENTO ONDULADA DE 5 MM</t>
  </si>
  <si>
    <t>M1546</t>
  </si>
  <si>
    <t>TELHA DE AÇO ZINCADO - E = 0,43 MM</t>
  </si>
  <si>
    <t>M1553</t>
  </si>
  <si>
    <t>GEOTÊXTIL NÃO-TECIDO AGULHADO RT 31</t>
  </si>
  <si>
    <t>M1557</t>
  </si>
  <si>
    <t>TIJOLO FURADO DE 10 X 20 X 20 CM</t>
  </si>
  <si>
    <t>M1566</t>
  </si>
  <si>
    <t>TACHA REFLETIVA METÁLICA BIDIRECIONAL COM UM PINO</t>
  </si>
  <si>
    <t>M1567</t>
  </si>
  <si>
    <t>TACHA REFLETIVA METÁLICA BIDIRECIONAL COM DOIS PINOS</t>
  </si>
  <si>
    <t>M1568</t>
  </si>
  <si>
    <t>TINTA EPÓXI</t>
  </si>
  <si>
    <t>M1570</t>
  </si>
  <si>
    <t>TINTA DE ETIL SILICATO DE ZINCO</t>
  </si>
  <si>
    <t>M1575</t>
  </si>
  <si>
    <t>TINTA LÁTEX ACRÍLICA</t>
  </si>
  <si>
    <t>M1577</t>
  </si>
  <si>
    <t>PLÁSTICO A FRIO PARA ALTO RELEVO</t>
  </si>
  <si>
    <t>M1578</t>
  </si>
  <si>
    <t>PLÁSTICO A FRIO PARA ESTRUTURA</t>
  </si>
  <si>
    <t>M1585</t>
  </si>
  <si>
    <t>MASSA TERMOPLÁSTICA PARA APLICAÇÃO EM ALTO RELEVO</t>
  </si>
  <si>
    <t>M1591</t>
  </si>
  <si>
    <t>SUPORTE POLIMÉRICO ECOLÓGICO MACIÇO COLAPSÍVEL PARA PLACA DE SINALIZAÇÃO - D = 6,5 CM</t>
  </si>
  <si>
    <t>M1600</t>
  </si>
  <si>
    <t>TRILHO TR 25 USADO</t>
  </si>
  <si>
    <t>M1602</t>
  </si>
  <si>
    <t>TRILHO TR 37 USADO</t>
  </si>
  <si>
    <t>M1603</t>
  </si>
  <si>
    <t>TRILHO TR 45 USADO</t>
  </si>
  <si>
    <t>M1604</t>
  </si>
  <si>
    <t>PRESILHA CF 25</t>
  </si>
  <si>
    <t>M1605</t>
  </si>
  <si>
    <t>TRILHO TR 57 USADO</t>
  </si>
  <si>
    <t>M1606</t>
  </si>
  <si>
    <t>TRILHO TR 68 USADO</t>
  </si>
  <si>
    <t>M1609</t>
  </si>
  <si>
    <t>TUBO DE AÇO GALVANIZADO BSP CLASSE LEVE - D = 40 MM</t>
  </si>
  <si>
    <t>M1614</t>
  </si>
  <si>
    <t>TUBO DE AÇO GALVANIZADO BSP CLASSE LEVE - D = 50 MM</t>
  </si>
  <si>
    <t>M1616</t>
  </si>
  <si>
    <t>TUBO DE AÇO GALVANIZADO BSP CLASSE LEVE - D = 20 MM</t>
  </si>
  <si>
    <t>M1617</t>
  </si>
  <si>
    <t>TUBO DE AÇO GALVANIZADO BSP CLASSE LEVE - D = 80 MM</t>
  </si>
  <si>
    <t>M1618</t>
  </si>
  <si>
    <t>TUBO DE AÇO GALVANIZADO BSP CLASSE LEVE - D = 100 MM</t>
  </si>
  <si>
    <t>M1624</t>
  </si>
  <si>
    <t>SUPORTE POLIMÉRICO ECOLÓGICO MACIÇO COLAPSÍVEL PARA PLACA DE SINALIZAÇÃO - SEÇÃO QUADRADA DE 8 CM</t>
  </si>
  <si>
    <t>M1636</t>
  </si>
  <si>
    <t>SUPORTE POLIMÉRICO ECOLÓGICO MACIÇO COLAPSÍVEL PARA PLACA DE SINALIZAÇÃO - SEÇÃO RETANGULAR DE 7 X 15 CM</t>
  </si>
  <si>
    <t>M1638</t>
  </si>
  <si>
    <t>MOURÃO DE MADEIRA - H = 2,10 M E D = 10 CM</t>
  </si>
  <si>
    <t>M1639</t>
  </si>
  <si>
    <t>MOURÃO DE MADEIRA - H = 2,20 M E D = 15 CM</t>
  </si>
  <si>
    <t>M1640</t>
  </si>
  <si>
    <t>NONEL INICIADOR COM 300 M</t>
  </si>
  <si>
    <t>M1641</t>
  </si>
  <si>
    <t>BIT DE BOTÃO ESFÉRICO - D = 3 1/2"</t>
  </si>
  <si>
    <t>M1642</t>
  </si>
  <si>
    <t>BIT DE BOTÃO ESFÉRICO - D = 5 1/8"</t>
  </si>
  <si>
    <t>M1643</t>
  </si>
  <si>
    <t>BIT DE BOTÃO ESFÉRICO - D = 7 5/8"</t>
  </si>
  <si>
    <t>M1644</t>
  </si>
  <si>
    <t>BIT DE BOTÃO ESFÉRICO - D = 9 7/8"</t>
  </si>
  <si>
    <t>M1649</t>
  </si>
  <si>
    <t>BIT DE BOTÃO ST 68 - D = 102 MM</t>
  </si>
  <si>
    <t>M1653</t>
  </si>
  <si>
    <t>BIT PILOTO PARA SISTEMA AUTOPERFURANTE DE 76 MM</t>
  </si>
  <si>
    <t>M1655</t>
  </si>
  <si>
    <t>TUBO DE PVC ESGOTO - D = 50 MM</t>
  </si>
  <si>
    <t>M1662</t>
  </si>
  <si>
    <t>SUPORTE EM MADEIRA DE EUCALIPTO TRATADO DE 8 X 8 CM</t>
  </si>
  <si>
    <t>M1664</t>
  </si>
  <si>
    <t>BIT ROTATIVO - D = 127 MM</t>
  </si>
  <si>
    <t>M1665</t>
  </si>
  <si>
    <t>TUBO DE PVC ROSCÁVEL DE 1 1/2"</t>
  </si>
  <si>
    <t>M1673</t>
  </si>
  <si>
    <t>TUBO DE PVC ROSCÁVEL DE 4"</t>
  </si>
  <si>
    <t>M1674</t>
  </si>
  <si>
    <t>BRAÇADEIRA PARA TUBO DE AÇO PARA AR COMPRIMIDO - TIPO ALVENIUS - D = 150 MM</t>
  </si>
  <si>
    <t>M1675</t>
  </si>
  <si>
    <t>TUBO DE PVC ROSCÁVEL DE 6"</t>
  </si>
  <si>
    <t>M1702</t>
  </si>
  <si>
    <t>TUBO DE VENTILAÇÃO FLEXÍVEL COM ACESSÓRIOS - D = 1,2 M</t>
  </si>
  <si>
    <t>M1719</t>
  </si>
  <si>
    <t>BROCA INTEGRAL H19 - D = 24 MM E L = 0,4 M</t>
  </si>
  <si>
    <t>M1720</t>
  </si>
  <si>
    <t>GEOTÊXTIL NÃO-TECIDO AGULHADO RT 10</t>
  </si>
  <si>
    <t>M1731</t>
  </si>
  <si>
    <t>HASTE DE PERFURAÇÃO SIMPLES DE JET GROUTING DE 88,9 X 300 MM</t>
  </si>
  <si>
    <t>M1732</t>
  </si>
  <si>
    <t>LUVA PARA TUBO DE AÇO GALVANIZADO BSP CLASSE LEVE - D = 50 MM</t>
  </si>
  <si>
    <t>M1733</t>
  </si>
  <si>
    <t>MANTA DRENANTE DE MALHA DE POLIETILENO E GEOTÊXTIL NUMA FACE TIPO DRENTEX M PLUS OU SIMILAR</t>
  </si>
  <si>
    <t>M1735</t>
  </si>
  <si>
    <t>PUNHO DE PERFURAÇÃO ST 68 DE 80 MM</t>
  </si>
  <si>
    <t>M1736</t>
  </si>
  <si>
    <t>RESINA DE POLIÉSTER PARA ANCORAGEM</t>
  </si>
  <si>
    <t>M1737</t>
  </si>
  <si>
    <t>TUBO DE AÇO PARA AR COMPRIMIDO - TIPO ALVENIUS - D = 150 MM OU SIMILAR</t>
  </si>
  <si>
    <t>M1738</t>
  </si>
  <si>
    <t>VERNIZ SILICONE HIDRORREPELENTE</t>
  </si>
  <si>
    <t>M1739</t>
  </si>
  <si>
    <t>HASTE PARA PERFURATRIZ DE ESTEIRA T45 DE 3,6 M</t>
  </si>
  <si>
    <t>M1740</t>
  </si>
  <si>
    <t>PUNHO PARA PERFURATRIZ DE ESTEIRA T45</t>
  </si>
  <si>
    <t>M1741</t>
  </si>
  <si>
    <t>LUVA PARA PERFURATRIZ DE ESTEIRA T45</t>
  </si>
  <si>
    <t>M1742</t>
  </si>
  <si>
    <t>BIT DE BOTÃO COM ROSCA T45 - D = 89 MM</t>
  </si>
  <si>
    <t>M1747</t>
  </si>
  <si>
    <t>TUBO DE AÇO PARA SISTEMA AUTOPERFURANTE DE 76 MM</t>
  </si>
  <si>
    <t>M1748</t>
  </si>
  <si>
    <t>TUBO INICIADOR DE AÇO COM 3 M PARA SISTEMA AUTOPERFURANTE DE 76 MM COM ANEL DO BIT PILOTO</t>
  </si>
  <si>
    <t>M1749</t>
  </si>
  <si>
    <t>TUBO DE PERFURAÇÃO ST 68 DE 87 X 1.830 MM</t>
  </si>
  <si>
    <t>M1750</t>
  </si>
  <si>
    <t>HIDROMONITOR COM BICO DE INJEÇÃO PARA JET GROUTING - D = 88,9 MM</t>
  </si>
  <si>
    <t>M1751</t>
  </si>
  <si>
    <t>VÁLVULA MANCHETE - D = 73 MM</t>
  </si>
  <si>
    <t>M1752</t>
  </si>
  <si>
    <t>BORRACHA PARA OBTURADOR MECÂNICO</t>
  </si>
  <si>
    <t>M1753</t>
  </si>
  <si>
    <t>DISCO DE CORTE DIAMANTADO PARA CONCRETO 105 MM OU 110 MM</t>
  </si>
  <si>
    <t>M1755</t>
  </si>
  <si>
    <t>PÓ CALCÁRIO</t>
  </si>
  <si>
    <t>M1756</t>
  </si>
  <si>
    <t>MATERIAL FORMADOR DA CAMADA PROTETORA DE HIDROSSEMEADURA</t>
  </si>
  <si>
    <t>M1765</t>
  </si>
  <si>
    <t>TUBO DE AÇO SCH 40 - D = 65 MM</t>
  </si>
  <si>
    <t>M1773</t>
  </si>
  <si>
    <t>ANCORAGEM REGULÁVEL PARA ESTAIS TSR PARA 19 CORDOALHAS - D = 15,7 MM</t>
  </si>
  <si>
    <t>M1774</t>
  </si>
  <si>
    <t>ANCORAGEM REGULÁVEL PARA ESTAIS TSR PARA 31 CORDOALHAS - D = 15,7 MM</t>
  </si>
  <si>
    <t>M1775</t>
  </si>
  <si>
    <t>ANCORAGEM REGULÁVEL PARA ESTAIS TSR PARA 37 CORDOALHAS - D = 15,7 MM</t>
  </si>
  <si>
    <t>M1776</t>
  </si>
  <si>
    <t>ANCORAGEM REGULÁVEL PARA ESTAIS TSR PARA 55 CORDOALHAS - D = 15,7 MM</t>
  </si>
  <si>
    <t>M1777</t>
  </si>
  <si>
    <t>ANCORAGEM REGULÁVEL PARA ESTAIS TSR PARA 61 CORDOALHAS - D = 15,7 MM</t>
  </si>
  <si>
    <t>M1778</t>
  </si>
  <si>
    <t>ANCORAGEM REGULÁVEL PARA ESTAIS TSR PARA 73 CORDOALHAS - D = 15,7 MM</t>
  </si>
  <si>
    <t>M1779</t>
  </si>
  <si>
    <t>ANCORAGEM REGULÁVEL PARA ESTAIS TSR PARA 91 CORDOALHAS - D = 15,7 MM</t>
  </si>
  <si>
    <t>M1780</t>
  </si>
  <si>
    <t>ANCORAGEM FIXA PARA ESTAIS TSR PARA 19 CORDOALHAS - D = 15,7 MM</t>
  </si>
  <si>
    <t>M1781</t>
  </si>
  <si>
    <t>ANCORAGEM FIXA PARA ESTAIS TSR PARA 31 CORDOALHAS - D = 15,7 MM</t>
  </si>
  <si>
    <t>M1782</t>
  </si>
  <si>
    <t>ANCORAGEM FIXA PARA ESTAIS TSR PARA 37 CORDOALHAS - D = 15,7 MM</t>
  </si>
  <si>
    <t>M1783</t>
  </si>
  <si>
    <t>ANCORAGEM FIXA PARA ESTAIS TSR PARA 55 CORDOALHAS - D = 15,7 MM</t>
  </si>
  <si>
    <t>M1784</t>
  </si>
  <si>
    <t>ANCORAGEM FIXA PARA ESTAIS TSR PARA 61 CORDOALHAS - D = 15,7 MM</t>
  </si>
  <si>
    <t>M1785</t>
  </si>
  <si>
    <t>ANCORAGEM FIXA PARA ESTAIS TSR PARA 73 CORDOALHAS - D = 15,7 MM</t>
  </si>
  <si>
    <t>M1786</t>
  </si>
  <si>
    <t>ANCORAGEM FIXA PARA ESTAIS TSR PARA 91 CORDOALHAS - D = 15,7 MM</t>
  </si>
  <si>
    <t>M1787</t>
  </si>
  <si>
    <t>ESTACA DE TUTORAMENTO DE 5 X 2 M</t>
  </si>
  <si>
    <t>M1789</t>
  </si>
  <si>
    <t>ANCORAGEM ATIVA EM FERRO FUNDIDO NODULAR PARA 31 CORDOALHAS - D = 15,2 MM</t>
  </si>
  <si>
    <t>M1790</t>
  </si>
  <si>
    <t>GÁS GLP</t>
  </si>
  <si>
    <t>M1794</t>
  </si>
  <si>
    <t>TELA GALVANIZADA FIO 22 E MALHA DE 25 MM</t>
  </si>
  <si>
    <t>M1797</t>
  </si>
  <si>
    <t>FITA DE ESPUMA EPDM PARA VEDAÇÃO COM ADESIVO UMA FACE DE 4 X 40 MM</t>
  </si>
  <si>
    <t>M1798</t>
  </si>
  <si>
    <t>FIBRA DE POLIPROPILENO - C = 12 MM E D = 18 µM</t>
  </si>
  <si>
    <t>M1799</t>
  </si>
  <si>
    <t>FIBRA ESTRUTURAL DE POLIPROPILENO CORRUGADO - C = 50 MM E D = 100 µM</t>
  </si>
  <si>
    <t>M1800</t>
  </si>
  <si>
    <t>MANTA ASFÁLTICA ANTIRAIZ DE 3 MM</t>
  </si>
  <si>
    <t>M1811</t>
  </si>
  <si>
    <t>LONGARINA DE MADEIRA DE PRIMEIRA DE 6 X 16 CM</t>
  </si>
  <si>
    <t>M1812</t>
  </si>
  <si>
    <t>ESTRONCA DE MADEIRA - D = 20 CM</t>
  </si>
  <si>
    <t>M1815</t>
  </si>
  <si>
    <t>TELA METÁLICA DE DUPLA TORÇÃO COM LIGA 95% ZN E 5% AL E MALHA DE 8 X 10 CM</t>
  </si>
  <si>
    <t>M1819</t>
  </si>
  <si>
    <t>CARTUCHO DE CIMENTO DE 25 X 320 MM</t>
  </si>
  <si>
    <t>M1820</t>
  </si>
  <si>
    <t>CARTUCHO DE RESINA DE POLIÉSTER DE 25 X 500 MM</t>
  </si>
  <si>
    <t>M1844</t>
  </si>
  <si>
    <t>ANCORAGEM ATIVA EM FERRO FUNDIDO NODULAR PARA 8 CORDOALHAS - D = 15,2 MM</t>
  </si>
  <si>
    <t>M1845</t>
  </si>
  <si>
    <t>ANCORAGEM PASSIVA ADERENTE PARA 10 CORDOALHAS - D = 15,2 MM</t>
  </si>
  <si>
    <t>M1853</t>
  </si>
  <si>
    <t>AÇO PARA TIRANTES 750 MPA</t>
  </si>
  <si>
    <t>M1868</t>
  </si>
  <si>
    <t>TINTA EPÓXI EM PÓ</t>
  </si>
  <si>
    <t>M1869</t>
  </si>
  <si>
    <t>BIT PARA MARTELO DE FUNDO - D = 120 MM</t>
  </si>
  <si>
    <t>M1870</t>
  </si>
  <si>
    <t>CUNHA METÁLICA PARA CORDOALHA - D = 12,7 MM</t>
  </si>
  <si>
    <t>M1874</t>
  </si>
  <si>
    <t>MARTELO DE FUNDO DTH - D = 110 A 130 MM</t>
  </si>
  <si>
    <t>M1875</t>
  </si>
  <si>
    <t>HASTE DE PERFURAÇÃO API - D = 73 MM</t>
  </si>
  <si>
    <t>M1876</t>
  </si>
  <si>
    <t>VÁLVULA MANCHETE - D = 32 MM</t>
  </si>
  <si>
    <t>M1877</t>
  </si>
  <si>
    <t>VÁLVULA MANCHETE - D = 40 MM</t>
  </si>
  <si>
    <t>M1878</t>
  </si>
  <si>
    <t>TUBO PE 80 PN6 - D = 25 MM</t>
  </si>
  <si>
    <t>M1907</t>
  </si>
  <si>
    <t>TUBO PE 80 PN8 - D = 32 MM</t>
  </si>
  <si>
    <t>M1909</t>
  </si>
  <si>
    <t>TUBO PE 80 PN8 - D = 40 MM</t>
  </si>
  <si>
    <t>M1911</t>
  </si>
  <si>
    <t>TUBO PE 80 PN8 - D = 50 MM</t>
  </si>
  <si>
    <t>M1912</t>
  </si>
  <si>
    <t>TUBO PE 80 PN8 - D = 63 MM</t>
  </si>
  <si>
    <t>M1913</t>
  </si>
  <si>
    <t>TUBO PE 80 PN8 - D = 75 MM</t>
  </si>
  <si>
    <t>M1922</t>
  </si>
  <si>
    <t>TUBO DE PVC ESPAGUETE - D = 14 MM</t>
  </si>
  <si>
    <t>M1924</t>
  </si>
  <si>
    <t>TIRANTE DE BARRA DE AÇO 527 MPA</t>
  </si>
  <si>
    <t>M1926</t>
  </si>
  <si>
    <t>ESPAÇADOR PARA TIRANTE COM 6 CORDOALHAS - D = 12,7 MM</t>
  </si>
  <si>
    <t>M1927</t>
  </si>
  <si>
    <t>ESPAÇADOR PARA TIRANTE COM 8 CORDOALHAS - D = 12,7 MM</t>
  </si>
  <si>
    <t>M1928</t>
  </si>
  <si>
    <t>ESPAÇADOR PARA TIRANTE COM 10 CORDOALHAS - D = 12,7 MM</t>
  </si>
  <si>
    <t>M1931</t>
  </si>
  <si>
    <t>ESPAÇADOR PARA TIRANTE COM 12 CORDOALHAS - D = 12,7 MM</t>
  </si>
  <si>
    <t>M1933</t>
  </si>
  <si>
    <t>ESPAÇADOR PARA TIRANTE DE BARRA DE AÇO - D = 22 MM</t>
  </si>
  <si>
    <t>M1936</t>
  </si>
  <si>
    <t>ESPAÇADOR PARA TIRANTE DE BARRA DE AÇO - D = 30 MM</t>
  </si>
  <si>
    <t>M1937</t>
  </si>
  <si>
    <t>ESPAÇADOR PARA TIRANTE DE BARRA DE AÇO - D = 40 MM</t>
  </si>
  <si>
    <t>M1941</t>
  </si>
  <si>
    <t>ÓLEO COMBUSTÍVEL 1A</t>
  </si>
  <si>
    <t>M1942</t>
  </si>
  <si>
    <t>ESPAÇADOR PARA TIRANTE DE BARRA DE AÇO - D = 47 MM</t>
  </si>
  <si>
    <t>M1943</t>
  </si>
  <si>
    <t>CIMENTO ASFÁLTICO CAP 50/70</t>
  </si>
  <si>
    <t>M1944</t>
  </si>
  <si>
    <t>CIMENTO ASFÁLTICO CAP 150/200</t>
  </si>
  <si>
    <t>M1945</t>
  </si>
  <si>
    <t>CIMENTO ASFÁLTICO CAP 85/100</t>
  </si>
  <si>
    <t>M1946</t>
  </si>
  <si>
    <t>EMULSÃO ASFÁLTICA RR-1C</t>
  </si>
  <si>
    <t>M1947</t>
  </si>
  <si>
    <t>EMULSÃO ASFÁLTICA RM-1C</t>
  </si>
  <si>
    <t>M1948</t>
  </si>
  <si>
    <t>ESPAÇADOR PARA TIRANTE DE BARRA DE AÇO - D = 50 MM</t>
  </si>
  <si>
    <t>M1949</t>
  </si>
  <si>
    <t>EMULSÃO ASFÁLTICA RL-1C</t>
  </si>
  <si>
    <t>M1950</t>
  </si>
  <si>
    <t>EMULSÃO COM POLÍMERO PARA MICRORREVESTIMENTO A FRIO</t>
  </si>
  <si>
    <t>M1952</t>
  </si>
  <si>
    <t>CIMENTO ASFÁLTICO CAP 150/200 COM POLÍMERO</t>
  </si>
  <si>
    <t>M1953</t>
  </si>
  <si>
    <t>AGENTE REJUVENESCEDOR PARA RECICLAGEM A QUENTE</t>
  </si>
  <si>
    <t>M1955</t>
  </si>
  <si>
    <t>M1956</t>
  </si>
  <si>
    <t>EMULSÃO ASFÁLTICA RR-2C COM POLÍMERO</t>
  </si>
  <si>
    <t>M1958</t>
  </si>
  <si>
    <t>EMULSÃO ASFÁLTICA RM-1C COM POLÍMERO</t>
  </si>
  <si>
    <t>M1959</t>
  </si>
  <si>
    <t>ESPAÇADOR PARA TIRANTE DE BARRA DE AÇO - D = 53 MM</t>
  </si>
  <si>
    <t>M1960</t>
  </si>
  <si>
    <t>ESPAÇADOR PARA TIRANTE DE BARRA DE AÇO - D = 57 MM</t>
  </si>
  <si>
    <t>M1961</t>
  </si>
  <si>
    <t>ESPAÇADOR PARA TIRANTE DE BARRA DE AÇO - D = 63 MM</t>
  </si>
  <si>
    <t>M1962</t>
  </si>
  <si>
    <t>ESPAÇADOR PARA TIRANTE DE BARRA DE AÇO - D = 69 MM</t>
  </si>
  <si>
    <t>M1963</t>
  </si>
  <si>
    <t>PARAFUSO ZINCADO COM FENDA DE 1 1/2" X 3/16"</t>
  </si>
  <si>
    <t>M1964</t>
  </si>
  <si>
    <t>PARAFUSO ZINCADO FRANCÊS DE 4" X 5/16"</t>
  </si>
  <si>
    <t>M1966</t>
  </si>
  <si>
    <t>DEFENSA METÁLICA MALEÁVEL SIMPLES</t>
  </si>
  <si>
    <t>M1967</t>
  </si>
  <si>
    <t>DEFENSA METÁLICA MALEÁVEL DUPLA</t>
  </si>
  <si>
    <t>M1968</t>
  </si>
  <si>
    <t>DEFENSA METÁLICA SEMIMALEÁVEL SIMPLES</t>
  </si>
  <si>
    <t>M1969</t>
  </si>
  <si>
    <t>DEFENSA METÁLICA SEMIMALEÁVEL DUPLA</t>
  </si>
  <si>
    <t>M1970</t>
  </si>
  <si>
    <t>BIT PARA FRESADORA DE 155 KW</t>
  </si>
  <si>
    <t>M1971</t>
  </si>
  <si>
    <t>MÓDULO DE TRANSIÇÃO DE DEFENSA METÁLICA PARA BARREIRA NEW JERSEY</t>
  </si>
  <si>
    <t>M1972</t>
  </si>
  <si>
    <t>PORTA BITS PARA FRESADORA DE 155 KW</t>
  </si>
  <si>
    <t>M1973</t>
  </si>
  <si>
    <t>APOIO DO PORTA BIT PARA FRESADORA DE 155 KW</t>
  </si>
  <si>
    <t>M1974</t>
  </si>
  <si>
    <t>BIT PARA FRESADORA DE 410 KW</t>
  </si>
  <si>
    <t>M1975</t>
  </si>
  <si>
    <t>PORTA BITS PARA FRESADORA DE 410 KW</t>
  </si>
  <si>
    <t>M1976</t>
  </si>
  <si>
    <t>TERMINAL AÉREO DE DEFENSA METÁLICA (TIPO A - NBR 6.971)</t>
  </si>
  <si>
    <t>M1977</t>
  </si>
  <si>
    <t>TERMINAL DE ANCORAGEM DE DEFENSA METÁLICA EM BARREIRA NEW JERSEY (TIPO D - NBR 6.971)</t>
  </si>
  <si>
    <t>M1979</t>
  </si>
  <si>
    <t>LUVA DE EMENDA PARA TIRANTES - D = 38 X 115 MM</t>
  </si>
  <si>
    <t>M1980</t>
  </si>
  <si>
    <t>LUVA DE EMENDA PARA TIRANTES - D = 48 X 120 MM</t>
  </si>
  <si>
    <t>M1981</t>
  </si>
  <si>
    <t>LUVA DE EMENDA PARA TIRANTES - D = 60 X 160 MM</t>
  </si>
  <si>
    <t>M1982</t>
  </si>
  <si>
    <t>LUVA DE EMENDA PARA TIRANTES - D = 50 X 130 MM</t>
  </si>
  <si>
    <t>M1984</t>
  </si>
  <si>
    <t>LUVA DE EMENDA PARA TIRANTES - D = 73 X 180 MM</t>
  </si>
  <si>
    <t>M1985</t>
  </si>
  <si>
    <t>LUVA DE EMENDA PARA TIRANTES - D = 73 X 200 MM</t>
  </si>
  <si>
    <t>M1986</t>
  </si>
  <si>
    <t>LUVA DE EMENDA PARA TIRANTES - D = 82 X 200 MM</t>
  </si>
  <si>
    <t>M1987</t>
  </si>
  <si>
    <t>LUVA DE EMENDA PARA TIRANTES - D = 89 X 210 MM</t>
  </si>
  <si>
    <t>M1988</t>
  </si>
  <si>
    <t>LUVA DE EMENDA PARA TIRANTES - D = 97 X 210 MM</t>
  </si>
  <si>
    <t>M1990</t>
  </si>
  <si>
    <t>PLACA DE ANCORAGEM PARA TIRANTE DE 160 X 160 X 16 MM</t>
  </si>
  <si>
    <t>M1991</t>
  </si>
  <si>
    <t>PLACA DE ANCORAGEM PARA TIRANTE DE 200 X 200 X 16 MM</t>
  </si>
  <si>
    <t>M1992</t>
  </si>
  <si>
    <t>PLACA DE ANCORAGEM PARA TIRANTE DE 200 X 200 X 25 MM</t>
  </si>
  <si>
    <t>M1994</t>
  </si>
  <si>
    <t>PLACA DE ANCORAGEM PARA TIRANTE DE 200 X 200 X 22 MM</t>
  </si>
  <si>
    <t>M1995</t>
  </si>
  <si>
    <t>APOIO DO PORTA BIT PARA FRESADORA DE 410 KW</t>
  </si>
  <si>
    <t>M1996</t>
  </si>
  <si>
    <t>AMORTECEDOR RETRÁTIL TIPO TAU II PARALELO PCB COM VELOCIDADE DE 100 KM/H</t>
  </si>
  <si>
    <t>M1997</t>
  </si>
  <si>
    <t>AMORTECEDOR RETRÁTIL TIPO TAU II COMBINADO PCB COM VELOCIDADE DE 100 KM/H E ÂNCORA TRASEIRA DE 900 MM</t>
  </si>
  <si>
    <t>M1998</t>
  </si>
  <si>
    <t>AMORTECEDOR RETRÁTIL TIPO TAU II COMBINADO PCB COM VELOCIDADE DE 100 KM/H E ÂNCORA TRASEIRA DE 1.060 MM</t>
  </si>
  <si>
    <t>M1999</t>
  </si>
  <si>
    <t>AMORTECEDOR RETRÁTIL TIPO TAU II COMBINADO PCB COM VELOCIDADE DE 100 KM/H E ÂNCORA TRASEIRA DE 1.220 MM</t>
  </si>
  <si>
    <t>M2000</t>
  </si>
  <si>
    <t>AMORTECEDOR RETRÁTIL TIPO TAU II COMBINADO PCB COM VELOCIDADE DE 100 KM/H E ÂNCORA TRASEIRA DE 1.370 MM</t>
  </si>
  <si>
    <t>M2001</t>
  </si>
  <si>
    <t>DISPOSITIVO DE ANCORAGEM DE FIXAÇÃO ELÁSTICA PANDROL</t>
  </si>
  <si>
    <t>M2002</t>
  </si>
  <si>
    <t>AMORTECEDOR RETRÁTIL TIPO TAU II COMBINADO PCB COM VELOCIDADE DE 100 KM/H E ÂNCORA TRASEIRA DE 1.520 MM</t>
  </si>
  <si>
    <t>M2003</t>
  </si>
  <si>
    <t>AMORTECEDOR RETRÁTIL TIPO TAU II AFUNILADO PCB COM VELOCIDADE DE 100 KM/H E ÂNCORA TRASEIRA DE 1.680 MM</t>
  </si>
  <si>
    <t>M2004</t>
  </si>
  <si>
    <t>AMORTECEDOR RETRÁTIL TIPO TAU II AFUNILADO PCB COM VELOCIDADE DE 100 KM/H E ÂNCORA TRASEIRA DE 1.830 MM</t>
  </si>
  <si>
    <t>M2005</t>
  </si>
  <si>
    <t>PLACA DE ANCORAGEM PARA TIRANTE DE 250 X 250 X 32 MM</t>
  </si>
  <si>
    <t>M2006</t>
  </si>
  <si>
    <t>PLACA DE ANCORAGEM PARA TIRANTE DE 250 X 250 X 38 MM</t>
  </si>
  <si>
    <t>M2007</t>
  </si>
  <si>
    <t>PLACA DE ANCORAGEM PARA TIRANTE DE 300 X 300 X 51 MM</t>
  </si>
  <si>
    <t>M2008</t>
  </si>
  <si>
    <t>PLACA DE ANCORAGEM PARA TIRANTE DE 350 X 350 X 64 MM</t>
  </si>
  <si>
    <t>M2009</t>
  </si>
  <si>
    <t>PLACA DE ANCORAGEM PARA TIRANTES COM 6 CORDOALHAS - D = 12,7 MM</t>
  </si>
  <si>
    <t>M2010</t>
  </si>
  <si>
    <t>PLACA DE ANCORAGEM PARA TIRANTES COM 8 CORDOALHAS - D = 12,7 MM</t>
  </si>
  <si>
    <t>M2011</t>
  </si>
  <si>
    <t>PLACA DE ANCORAGEM PARA TIRANTES COM 10 CORDOALHAS - D = 12,7 MM</t>
  </si>
  <si>
    <t>M2012</t>
  </si>
  <si>
    <t>PLACA DE ANCORAGEM PARA TIRANTES COM 12 CORDOALHAS - D = 12,7 MM</t>
  </si>
  <si>
    <t>M2013</t>
  </si>
  <si>
    <t>PORCA SEXTAVADA DE 48 X 70 MM PARA ANCORAGEM DE TIRANTES</t>
  </si>
  <si>
    <t>M2014</t>
  </si>
  <si>
    <t>MOURÃO DE MADEIRA - H = 2,20 M E D = 10 CM</t>
  </si>
  <si>
    <t>M2015</t>
  </si>
  <si>
    <t>PORCA SEXTAVADA DE 50 X 60 MM PARA ANCORAGEM DE TIRANTES</t>
  </si>
  <si>
    <t>M2016</t>
  </si>
  <si>
    <t>AMORTECEDOR RETRÁTIL TIPO TAU II AFUNILADO PCB COM VELOCIDADE DE 100 KM/H E ÂNCORA TRASEIRA DE 1.980 MM</t>
  </si>
  <si>
    <t>M2017</t>
  </si>
  <si>
    <t>PORCA SEXTAVADA DE 38 X 55 MM PARA ANCORAGEM DE TIRANTES</t>
  </si>
  <si>
    <t>M2018</t>
  </si>
  <si>
    <t>GASTALHO DE 10 X 2 CM</t>
  </si>
  <si>
    <t>M2019</t>
  </si>
  <si>
    <t>PORCA SEXTAVADA DE 38 X 60 MM PARA ANCORAGEM DE TIRANTES</t>
  </si>
  <si>
    <t>M2020</t>
  </si>
  <si>
    <t>PORCA SEXTAVADA DE 48 X 65 MM PARA ANCORAGEM DE TIRANTES</t>
  </si>
  <si>
    <t>M2021</t>
  </si>
  <si>
    <t>AMORTECEDOR RETRÁTIL TIPO TAU II AFUNILADO PCB COM VELOCIDADE DE 100 KM/H E ÂNCORA TRASEIRA DE 2.130 MM</t>
  </si>
  <si>
    <t>M2023</t>
  </si>
  <si>
    <t>ESPOLETA COMUM NR 8</t>
  </si>
  <si>
    <t>M2024</t>
  </si>
  <si>
    <t>CORDEL DETONANTE NP10</t>
  </si>
  <si>
    <t>M2025</t>
  </si>
  <si>
    <t>RETARDADOR DE CORDEL</t>
  </si>
  <si>
    <t>M2026</t>
  </si>
  <si>
    <t>ESTOPIM</t>
  </si>
  <si>
    <t>M2027</t>
  </si>
  <si>
    <t>TINTA REFLETIVA ACRÍLICA</t>
  </si>
  <si>
    <t>M2028</t>
  </si>
  <si>
    <t>TCI TRICONE BITS DE 76 MM</t>
  </si>
  <si>
    <t>M2029</t>
  </si>
  <si>
    <t>PORCA SEXTAVADA DE 60 X 65 MM PARA ANCORAGEM DE TIRANTES</t>
  </si>
  <si>
    <t>M2030</t>
  </si>
  <si>
    <t>PORCA SEXTAVADA DE 73 X 80 MM PARA ANCORAGEM DE TIRANTES</t>
  </si>
  <si>
    <t>M2031</t>
  </si>
  <si>
    <t>PORCA SEXTAVADA DE 73 X 100 MM PARA ANCORAGEM DE TIRANTES</t>
  </si>
  <si>
    <t>M2032</t>
  </si>
  <si>
    <t>PORCA SEXTAVADA DE 82 X 100 MM PARA ANCORAGEM DE TIRANTES</t>
  </si>
  <si>
    <t>M2033</t>
  </si>
  <si>
    <t>PORCA SEXTAVADA DE 89 X 100 MM PARA ANCORAGEM DE TIRANTES</t>
  </si>
  <si>
    <t>M2034</t>
  </si>
  <si>
    <t>SOLVENTE PARA TINTA À BASE DE RESINA ACRÍLICA</t>
  </si>
  <si>
    <t>M2035</t>
  </si>
  <si>
    <t>PORCA SEXTAVADA DE 97 X 100 MM PARA ANCORAGEM DE TIRANTES</t>
  </si>
  <si>
    <t>M2036</t>
  </si>
  <si>
    <t>TINTA À BASE DE RESINA ACRÍLICA EMULSÃO EM ÁGUA</t>
  </si>
  <si>
    <t>M2037</t>
  </si>
  <si>
    <t>MICROESFERAS DE VIDRO REFLETIVA TIPO I-B</t>
  </si>
  <si>
    <t>M2038</t>
  </si>
  <si>
    <t>MICROESFERAS DE VIDRO REFLETIVA TIPO II-A</t>
  </si>
  <si>
    <t>M2039</t>
  </si>
  <si>
    <t>MASSA TERMOPLÁSTICA PARA EXTRUSÃO</t>
  </si>
  <si>
    <t>M2040</t>
  </si>
  <si>
    <t>MASSA TERMOPLÁSTICA PARA ASPERSÃO</t>
  </si>
  <si>
    <t>M2041</t>
  </si>
  <si>
    <t>COLA POLIÉSTER</t>
  </si>
  <si>
    <t>M2042</t>
  </si>
  <si>
    <t>EMULSÃO EXPLOSIVA ENCARTUCHADA</t>
  </si>
  <si>
    <t>M2044</t>
  </si>
  <si>
    <t>TINTA PARA PRÉ-MARCAÇÃO</t>
  </si>
  <si>
    <t>M2045</t>
  </si>
  <si>
    <t>MICROESFERAS DE VIDRO REFLETIVA TIPO II-C</t>
  </si>
  <si>
    <t>M2046</t>
  </si>
  <si>
    <t>TCI TRICONE BITS DE 121 MM</t>
  </si>
  <si>
    <t>M2047</t>
  </si>
  <si>
    <t>TIRANTE AUTOINJETÁVEL DE AÇO - D = 40 MM E SEÇÃO 684 MM²</t>
  </si>
  <si>
    <t>M2048</t>
  </si>
  <si>
    <t>TIRANTE AUTOINJETÁVEL DE AÇO - D = 40 MM E SEÇÃO 822 MM²</t>
  </si>
  <si>
    <t>M2049</t>
  </si>
  <si>
    <t>TIRANTE AUTOINJETÁVEL DE AÇO - D = 40 MM E SEÇÃO 936 MM²</t>
  </si>
  <si>
    <t>M2050</t>
  </si>
  <si>
    <t>GEOTÊXTIL NÃO-TECIDO AGULHADO RT 09</t>
  </si>
  <si>
    <t>M2051</t>
  </si>
  <si>
    <t>GEOTÊXTIL NÃO-TECIDO AGULHADO RT 14</t>
  </si>
  <si>
    <t>M2052</t>
  </si>
  <si>
    <t>TIRANTE AUTOINJETÁVEL DE AÇO - D = 50 MM E SEÇÃO 1.330 MM²</t>
  </si>
  <si>
    <t>M2053</t>
  </si>
  <si>
    <t>TIRANTE AUTOINJETÁVEL DE AÇO - D = 50 MM E SEÇÃO 1.569 MM²</t>
  </si>
  <si>
    <t>M2054</t>
  </si>
  <si>
    <t>TIRANTE MONOBARRA DE AÇO - D = 30 MM INCO 22D</t>
  </si>
  <si>
    <t>M2055</t>
  </si>
  <si>
    <t>TIRANTE MONOBARRA DE AÇO - D = 40 MM INCO 35D</t>
  </si>
  <si>
    <t>M2056</t>
  </si>
  <si>
    <t>TIRANTE MONOBARRA DE AÇO - D = 44 MM INCO 45D</t>
  </si>
  <si>
    <t>M2057</t>
  </si>
  <si>
    <t>TIRANTE MONOBARRA DE AÇO - D = 50 MM INCO 50D</t>
  </si>
  <si>
    <t>M2058</t>
  </si>
  <si>
    <t>TIRANTE MONOBARRA DE AÇO - D = 53 MM INCO 60D</t>
  </si>
  <si>
    <t>M2059</t>
  </si>
  <si>
    <t>TIRANTE MONOBARRA DE AÇO - D = 57 MM INCO 70D</t>
  </si>
  <si>
    <t>M2060</t>
  </si>
  <si>
    <t>AMORTECEDOR RETRÁTIL TIPO TAU II AFUNILADO PCB COM VELOCIDADE DE 100 KM/H E ÂNCORA TRASEIRA DE 2.290 MM</t>
  </si>
  <si>
    <t>M2061</t>
  </si>
  <si>
    <t>AMORTECEDOR RETRÁTIL TIPO TAU II AFUNILADO PCB COM VELOCIDADE DE 100 KM/H E ÂNCORA TRASEIRA DE 2.440 MM</t>
  </si>
  <si>
    <t>M2062</t>
  </si>
  <si>
    <t>COROA PARA PERFURATRIZ T38 - D = 2 1/2"</t>
  </si>
  <si>
    <t>M2063</t>
  </si>
  <si>
    <t>TIRANTE MONOBARRA DE AÇO - D = 63 MM INCO 90D</t>
  </si>
  <si>
    <t>M2064</t>
  </si>
  <si>
    <t>TERMOPLÁSTICO PRÉ-FORMADO</t>
  </si>
  <si>
    <t>M2065</t>
  </si>
  <si>
    <t>HASTE PARA PERFURATRIZ DE ESTEIRA T38 DE 1 1/2" X 3 M</t>
  </si>
  <si>
    <t>M2066</t>
  </si>
  <si>
    <t>LUVA PARA PERFURATRIZ DE ESTEIRA T38 - D = 1 1/2"</t>
  </si>
  <si>
    <t>M2067</t>
  </si>
  <si>
    <t>PUNHO PARA PERFURATRIZ DE ESTEIRA T38 - D = 1 1/2"</t>
  </si>
  <si>
    <t>M2069</t>
  </si>
  <si>
    <t>TIRANTE MONOBARRA DE AÇO - D = 69 MM INCO 100D</t>
  </si>
  <si>
    <t>M2070</t>
  </si>
  <si>
    <t>HASTE PARA JUMBO HIDRÁULICO T38 DE 1 1/2" X 4,60 M</t>
  </si>
  <si>
    <t>M2071</t>
  </si>
  <si>
    <t>COROA PARA JUMBO HIDRÁULICO T38 - D = 2"</t>
  </si>
  <si>
    <t>M2072</t>
  </si>
  <si>
    <t>LUVA DE ACOPLAMENTO PARA JUMBO T38 - D = 1 1/2"</t>
  </si>
  <si>
    <t>M2073</t>
  </si>
  <si>
    <t>PUNHO PARA JUMBO HIDRÁULICO T38 - D = 1 1/2"</t>
  </si>
  <si>
    <t>M2074</t>
  </si>
  <si>
    <t>CARTUCHOS DE ABSORÇÃO PARA AMORTECEDOR RETRÁTIL DE ENERGIA TIPO A</t>
  </si>
  <si>
    <t>M2075</t>
  </si>
  <si>
    <t>CARTUCHOS DE ABSORÇÃO PARA AMORTECEDOR RETRÁTIL DE ENERGIA TIPO B</t>
  </si>
  <si>
    <t>M2079</t>
  </si>
  <si>
    <t>FIO DE NYLON Nº 040</t>
  </si>
  <si>
    <t>M2083</t>
  </si>
  <si>
    <t>TACHA REFLETIVA MONODIRECIONAL</t>
  </si>
  <si>
    <t>M2084</t>
  </si>
  <si>
    <t>TACHA REFLETIVA BIDIRECIONAL</t>
  </si>
  <si>
    <t>M2085</t>
  </si>
  <si>
    <t>TACHÃO REFLETIVO MONODIRECIONAL</t>
  </si>
  <si>
    <t>M2086</t>
  </si>
  <si>
    <t>TACHÃO REFLETIVO BIDIRECIONAL</t>
  </si>
  <si>
    <t>M2092</t>
  </si>
  <si>
    <t>EMULSÃO ASFÁLTICA PARA IMPRIMAÇÃO</t>
  </si>
  <si>
    <t>M2093</t>
  </si>
  <si>
    <t>MATERIAL FRESADO</t>
  </si>
  <si>
    <t>M2097</t>
  </si>
  <si>
    <t>EMULSÃO ASFÁLTICA RR-2C</t>
  </si>
  <si>
    <t>M2102</t>
  </si>
  <si>
    <t>ADESIVO PVA</t>
  </si>
  <si>
    <t>M2110</t>
  </si>
  <si>
    <t>MANDÍBULA MÓVEL C96 STD</t>
  </si>
  <si>
    <t>M2111</t>
  </si>
  <si>
    <t>MANDÍBULA FIXA C96 STD</t>
  </si>
  <si>
    <t>M2112</t>
  </si>
  <si>
    <t>MANTA HP200</t>
  </si>
  <si>
    <t>M2113</t>
  </si>
  <si>
    <t>REVESTIMENTO BOJO STD HP200</t>
  </si>
  <si>
    <t>M2114</t>
  </si>
  <si>
    <t>CUNHA LATERAL SUPERIOR C96</t>
  </si>
  <si>
    <t>M2115</t>
  </si>
  <si>
    <t>CUNHA LATERAL INFERIOR C96</t>
  </si>
  <si>
    <t>M2117</t>
  </si>
  <si>
    <t>MEIO TUBO DE CONCRETO - D = 40 CM</t>
  </si>
  <si>
    <t>M2118</t>
  </si>
  <si>
    <t>CALHA METÁLICA SEMICIRCULAR CORRUGADA GALVANIZADA E COM FIXAÇÕES - D = 40 CM</t>
  </si>
  <si>
    <t>M2119</t>
  </si>
  <si>
    <t>MOURÃO DE MADEIRA - H = 2,80 M E D = 15 CM</t>
  </si>
  <si>
    <t>M2128</t>
  </si>
  <si>
    <t>TINTA ESMALTE SINTÉTICO</t>
  </si>
  <si>
    <t>M2130</t>
  </si>
  <si>
    <t>ELETRODO E70 XX</t>
  </si>
  <si>
    <t>M2135</t>
  </si>
  <si>
    <t>NONEL DE COLUNA (TÚNEL)</t>
  </si>
  <si>
    <t>M2137</t>
  </si>
  <si>
    <t>TUBO DE PVC RÍGIDO - D = 50 MM</t>
  </si>
  <si>
    <t>M2138</t>
  </si>
  <si>
    <t>NONEL DE COLUNA COM 12 M</t>
  </si>
  <si>
    <t>M2139</t>
  </si>
  <si>
    <t>BROCA INTEGRAL SÉRIE S11 - L = 1,6 M</t>
  </si>
  <si>
    <t>M2140</t>
  </si>
  <si>
    <t>COROA DE DIAMANTE LINHA AWG</t>
  </si>
  <si>
    <t>M2141</t>
  </si>
  <si>
    <t>NONEL DE INICIAÇÃO PARA FOGACHO COM 6 M</t>
  </si>
  <si>
    <t>M2142</t>
  </si>
  <si>
    <t>NONEL DE COLUNA COM 4,8 M</t>
  </si>
  <si>
    <t>M2143</t>
  </si>
  <si>
    <t>NONEL DE LIGAÇÃO</t>
  </si>
  <si>
    <t>M2144</t>
  </si>
  <si>
    <t>NONEL DE COLUNA COM 6 M</t>
  </si>
  <si>
    <t>M2145</t>
  </si>
  <si>
    <t>SÉRIE DE BROCAS S-12 - D = 22 MM</t>
  </si>
  <si>
    <t>M2146</t>
  </si>
  <si>
    <t>NONEL INICIADOR COM 150 M</t>
  </si>
  <si>
    <t>M2147</t>
  </si>
  <si>
    <t>BITS PARA RECICLADORA</t>
  </si>
  <si>
    <t>M2148</t>
  </si>
  <si>
    <t>PORTA BITS PARA RECICLADORA</t>
  </si>
  <si>
    <t>M2149</t>
  </si>
  <si>
    <t>BLOCOS PARA RECICLADORA</t>
  </si>
  <si>
    <t>M2150</t>
  </si>
  <si>
    <t>SELANTE ELÁSTICO À BASE DE POLIURETANO E ASFALTO, TIPO VEDAFLEX 45 OU SIMILAR</t>
  </si>
  <si>
    <t>M2152</t>
  </si>
  <si>
    <t>ADITIVO DE CURA PARA CONCRETO</t>
  </si>
  <si>
    <t>M2153</t>
  </si>
  <si>
    <t>COROA DE DIAMANTE LINHA HWG</t>
  </si>
  <si>
    <t>M2155</t>
  </si>
  <si>
    <t>GRAMA TIPO SÃO CARLOS</t>
  </si>
  <si>
    <t>M2156</t>
  </si>
  <si>
    <t>COROA DE DIAMANTE LINHA NWG</t>
  </si>
  <si>
    <t>M2158</t>
  </si>
  <si>
    <t>ARGAMASSA ASFÁLTICA</t>
  </si>
  <si>
    <t>M2159</t>
  </si>
  <si>
    <t>TUBO DE PVC PERFURADO PARA DRENAGEM - D = 150 MM</t>
  </si>
  <si>
    <t>M2160</t>
  </si>
  <si>
    <t>TUBO DE PEAD CORRUGADO PERFURADO - D = 100 MM</t>
  </si>
  <si>
    <t>M2162</t>
  </si>
  <si>
    <t>COROA DE WIDIA LINHA AWG</t>
  </si>
  <si>
    <t>M2163</t>
  </si>
  <si>
    <t>TUBO DE CONCRETO ARMADO CA 1 - D = 0,40 M</t>
  </si>
  <si>
    <t>M2164</t>
  </si>
  <si>
    <t>TUBO DE CONCRETO ARMADO CA 2 - D = 0,40 M</t>
  </si>
  <si>
    <t>M2165</t>
  </si>
  <si>
    <t>TUBO DE CONCRETO ARMADO CA 3 - D = 0,40 M</t>
  </si>
  <si>
    <t>M2166</t>
  </si>
  <si>
    <t>TUBO DE CONCRETO ARMADO CA 4 - D = 0,40 M</t>
  </si>
  <si>
    <t>M2167</t>
  </si>
  <si>
    <t>TUBO DE CONCRETO ARMADO CA 1 - D = 0,60 M</t>
  </si>
  <si>
    <t>M2168</t>
  </si>
  <si>
    <t>TUBO DE CONCRETO ARMADO CA 2 - D = 0,60 M</t>
  </si>
  <si>
    <t>M2169</t>
  </si>
  <si>
    <t>TUBO DE CONCRETO ARMADO CA 3 - D = 0,60 M</t>
  </si>
  <si>
    <t>M2170</t>
  </si>
  <si>
    <t>TUBO DE CONCRETO ARMADO CA 4 - D = 0,60 M</t>
  </si>
  <si>
    <t>M2171</t>
  </si>
  <si>
    <t>TUBO DE CONCRETO ARMADO CA 1 - D = 0,80 M</t>
  </si>
  <si>
    <t>M2172</t>
  </si>
  <si>
    <t>TUBO DE CONCRETO ARMADO CA 2 - D = 0,80 M</t>
  </si>
  <si>
    <t>M2173</t>
  </si>
  <si>
    <t>TUBO DE CONCRETO ARMADO CA 3 - D = 0,80 M</t>
  </si>
  <si>
    <t>M2174</t>
  </si>
  <si>
    <t>TUBO DE CONCRETO ARMADO CA 4 - D = 0,80 M</t>
  </si>
  <si>
    <t>M2175</t>
  </si>
  <si>
    <t>TUBO DE CONCRETO ARMADO CA 1 - D = 1,00 M</t>
  </si>
  <si>
    <t>M2176</t>
  </si>
  <si>
    <t>TUBO DE CONCRETO ARMADO CA 2 - D = 1,00 M</t>
  </si>
  <si>
    <t>M2177</t>
  </si>
  <si>
    <t>TUBO DE CONCRETO ARMADO CA 3 - D = 1,00 M</t>
  </si>
  <si>
    <t>M2178</t>
  </si>
  <si>
    <t>TUBO DE CONCRETO ARMADO CA 4 - D = 1,00 M</t>
  </si>
  <si>
    <t>M2179</t>
  </si>
  <si>
    <t>TUBO DE CONCRETO ARMADO CA 1 - D = 1,20 M</t>
  </si>
  <si>
    <t>M2180</t>
  </si>
  <si>
    <t>TUBO DE CONCRETO ARMADO CA 2 - D = 1,20 M</t>
  </si>
  <si>
    <t>M2181</t>
  </si>
  <si>
    <t>TUBO DE CONCRETO ARMADO CA 3 - D = 1,20 M</t>
  </si>
  <si>
    <t>M2182</t>
  </si>
  <si>
    <t>TUBO DE CONCRETO ARMADO CA 4 - D = 1,20 M</t>
  </si>
  <si>
    <t>M2183</t>
  </si>
  <si>
    <t>TUBO DE CONCRETO ARMADO CA 1 - D = 1,50 M</t>
  </si>
  <si>
    <t>M2184</t>
  </si>
  <si>
    <t>TUBO DE CONCRETO ARMADO CA 2 - D = 1,50 M</t>
  </si>
  <si>
    <t>M2185</t>
  </si>
  <si>
    <t>TUBO DE CONCRETO ARMADO CA 3 - D = 1,50 M</t>
  </si>
  <si>
    <t>M2186</t>
  </si>
  <si>
    <t>TUBO DE CONCRETO ARMADO CA 4 - D = 1,50 M</t>
  </si>
  <si>
    <t>M2187</t>
  </si>
  <si>
    <t>TUBO DE CONCRETO ARMADO CA 1 - D = 0,50 M</t>
  </si>
  <si>
    <t>M2188</t>
  </si>
  <si>
    <t>TUBO DE CONCRETO ARMADO CA 2 - D = 0,50 M</t>
  </si>
  <si>
    <t>M2189</t>
  </si>
  <si>
    <t>TUBO DE CONCRETO ARMADO CA 3 - D = 0,50 M</t>
  </si>
  <si>
    <t>M2190</t>
  </si>
  <si>
    <t>TUBO DE CONCRETO ARMADO CA 4 - D = 0,50 M</t>
  </si>
  <si>
    <t>M2192</t>
  </si>
  <si>
    <t>COROA DE WIDIA LINHA HWG</t>
  </si>
  <si>
    <t>M2193</t>
  </si>
  <si>
    <t>COROA DE WIDIA LINHA NWG</t>
  </si>
  <si>
    <t>M2197</t>
  </si>
  <si>
    <t>HASTE DE PAREDES PARALELAS COM NIPLES LINHA NW</t>
  </si>
  <si>
    <t>M2198</t>
  </si>
  <si>
    <t>TRILHO UIC 60, AÇO CARBONO COM 12 M DE COMPRIMENTO</t>
  </si>
  <si>
    <t>M2200</t>
  </si>
  <si>
    <t>TRILHO TR 45, AÇO CARBONO COM 12 M DE COMPRIMENTO</t>
  </si>
  <si>
    <t>M2202</t>
  </si>
  <si>
    <t>TRILHO TR 57, AÇO CARBONO COM 12 M DE COMPRIMENTO</t>
  </si>
  <si>
    <t>M2204</t>
  </si>
  <si>
    <t>TRILHO TR 68, AÇO CARBONO COM 12 M DE COMPRIMENTO</t>
  </si>
  <si>
    <t>M2206</t>
  </si>
  <si>
    <t>LUBRIFICADOR DE TRILHOS E DE FLANGES DE RODAS</t>
  </si>
  <si>
    <t>M2207</t>
  </si>
  <si>
    <t>TIREFOND DE 24 X 188 MM</t>
  </si>
  <si>
    <t>M2208</t>
  </si>
  <si>
    <t>TIREFOND DE 22,22 X 155 MM</t>
  </si>
  <si>
    <t>M2209</t>
  </si>
  <si>
    <t>RETENSOR DE LINHA TR 45</t>
  </si>
  <si>
    <t>M2210</t>
  </si>
  <si>
    <t>RETENSOR DE LINHA TR 57</t>
  </si>
  <si>
    <t>M2211</t>
  </si>
  <si>
    <t>RETENSOR DE LINHA TR 68</t>
  </si>
  <si>
    <t>M2213</t>
  </si>
  <si>
    <t>PLACA DE APOIO PARA UIC 60 PARA FIXAÇÃO RÍGIDA TIREFOND</t>
  </si>
  <si>
    <t>M2214</t>
  </si>
  <si>
    <t>GRAMPO ELÁSTICO PANDROL</t>
  </si>
  <si>
    <t>M2215</t>
  </si>
  <si>
    <t>PLACA DE APOIO PARA TR 45 PARA FIXAÇÃO ELÁSTICA</t>
  </si>
  <si>
    <t>M2216</t>
  </si>
  <si>
    <t>PLACA DE APOIO PARA TR 57 PARA FIXAÇÃO ELÁSTICA</t>
  </si>
  <si>
    <t>M2217</t>
  </si>
  <si>
    <t>PLACA DE APOIO PARA TR 68 PARA FIXAÇÃO ELÁSTICA</t>
  </si>
  <si>
    <t>M2218</t>
  </si>
  <si>
    <t>PLACA DE APOIO PARA TR 45 PARA FIXAÇÃO RÍGIDA TIREFOND</t>
  </si>
  <si>
    <t>M2219</t>
  </si>
  <si>
    <t>PLACA DE APOIO PARA TR 57 PARA FIXAÇÃO RÍGIDA TIREFOND</t>
  </si>
  <si>
    <t>M2220</t>
  </si>
  <si>
    <t>PLACA DE APOIO PARA TR 68 PARA FIXAÇÃO RÍGIDA TIREFOND</t>
  </si>
  <si>
    <t>M2221</t>
  </si>
  <si>
    <t>RETENSOR DE LINHA UIC 60</t>
  </si>
  <si>
    <t>M2222</t>
  </si>
  <si>
    <t>PLACA DE APOIO PARA UIC 60 PARA FIXAÇÃO ELÁSTICA</t>
  </si>
  <si>
    <t>M2225</t>
  </si>
  <si>
    <t>TALA DE JUNÇÃO TJ 45 COM 6 FUROS, NÃO ISOLADA</t>
  </si>
  <si>
    <t>PAR</t>
  </si>
  <si>
    <t>M2227</t>
  </si>
  <si>
    <t>TALA DE JUNÇÃO TJ 57 COM 6 FUROS, NÃO ISOLADA</t>
  </si>
  <si>
    <t>M2229</t>
  </si>
  <si>
    <t>TALA DE JUNÇÃO TJ 68 COM 6 FUROS, NÃO ISOLADA</t>
  </si>
  <si>
    <t>M2233</t>
  </si>
  <si>
    <t>PARAFUSO - D = 25 MM, COM PORCA E ARRUELA DE PRESSÃO PARA TALA DE JUNÇÃO</t>
  </si>
  <si>
    <t>M2234</t>
  </si>
  <si>
    <t>TALA DE JUNÇÃO TJ 60 COM 6 FUROS, NÃO ISOLADA</t>
  </si>
  <si>
    <t>M2236</t>
  </si>
  <si>
    <t>AMV TIPO TR 45, ABERTURA 1:8, BITOLA MÉTRICA</t>
  </si>
  <si>
    <t>M2237</t>
  </si>
  <si>
    <t>AMV TIPO TR 45, ABERTURA 1:10, BITOLA MÉTRICA</t>
  </si>
  <si>
    <t>M2238</t>
  </si>
  <si>
    <t>AMV TIPO TR 45, ABERTURA 1:12, BITOLA MÉTRICA</t>
  </si>
  <si>
    <t>M2239</t>
  </si>
  <si>
    <t>AMV TIPO TR 45, ABERTURA 1:14, BITOLA MÉTRICA</t>
  </si>
  <si>
    <t>M2240</t>
  </si>
  <si>
    <t>AMV TIPO TR 57, ABERTURA 1:8, BITOLA MÉTRICA</t>
  </si>
  <si>
    <t>M2241</t>
  </si>
  <si>
    <t>AMV TIPO TR 57, ABERTURA 1:10, BITOLA MÉTRICA</t>
  </si>
  <si>
    <t>M2242</t>
  </si>
  <si>
    <t>AMV TIPO TR 57, ABERTURA 1:12, BITOLA MÉTRICA</t>
  </si>
  <si>
    <t>M2243</t>
  </si>
  <si>
    <t>AMV TIPO TR 57, ABERTURA 1:14, BITOLA MÉTRICA</t>
  </si>
  <si>
    <t>M2244</t>
  </si>
  <si>
    <t>AMV TIPO TR 57, ABERTURA 1:20, BITOLA MÉTRICA</t>
  </si>
  <si>
    <t>M2245</t>
  </si>
  <si>
    <t>AMV TIPO TR 68, ABERTURA 1:10, BITOLA MÉTRICA</t>
  </si>
  <si>
    <t>M2246</t>
  </si>
  <si>
    <t>AMV TIPO TR 68, ABERTURA 1:12, BITOLA MÉTRICA</t>
  </si>
  <si>
    <t>M2247</t>
  </si>
  <si>
    <t>AMV TIPO TR 68, ABERTURA 1:14, BITOLA MÉTRICA</t>
  </si>
  <si>
    <t>M2248</t>
  </si>
  <si>
    <t>AMV TIPO UIC 60, ABERTURA 1:10, BITOLA MÉTRICA</t>
  </si>
  <si>
    <t>M2249</t>
  </si>
  <si>
    <t>AMV TIPO TR 68, ABERTURA 1:20, BITOLA MÉTRICA</t>
  </si>
  <si>
    <t>M2250</t>
  </si>
  <si>
    <t>AMV TIPO TR 45, ABERTURA 1:8, BITOLA LARGA</t>
  </si>
  <si>
    <t>M2251</t>
  </si>
  <si>
    <t>AMV TIPO TR 45, ABERTURA 1:10, BITOLA LARGA</t>
  </si>
  <si>
    <t>M2252</t>
  </si>
  <si>
    <t>AMV TIPO TR 45, ABERTURA 1:12, BITOLA LARGA</t>
  </si>
  <si>
    <t>M2253</t>
  </si>
  <si>
    <t>AMV TIPO TR 45, ABERTURA 1:14, BITOLA LARGA</t>
  </si>
  <si>
    <t>M2254</t>
  </si>
  <si>
    <t>AMV TIPO TR 57, ABERTURA 1:8, BITOLA LARGA</t>
  </si>
  <si>
    <t>M2255</t>
  </si>
  <si>
    <t>AMV TIPO TR 57, ABERTURA 1:10, BITOLA LARGA</t>
  </si>
  <si>
    <t>M2256</t>
  </si>
  <si>
    <t>AMV TIPO TR 57, ABERTURA 1:12, BITOLA LARGA</t>
  </si>
  <si>
    <t>M2257</t>
  </si>
  <si>
    <t>AMV TIPO TR 57, ABERTURA 1:14, BITOLA LARGA</t>
  </si>
  <si>
    <t>M2258</t>
  </si>
  <si>
    <t>AMV TIPO TR 57, ABERTURA 1:20, BITOLA LARGA</t>
  </si>
  <si>
    <t>M2259</t>
  </si>
  <si>
    <t>AMV TIPO TR 68, ABERTURA 1:10, BITOLA LARGA</t>
  </si>
  <si>
    <t>M2260</t>
  </si>
  <si>
    <t>AMV TIPO TR 68, ABERTURA 1:12, BITOLA LARGA</t>
  </si>
  <si>
    <t>M2261</t>
  </si>
  <si>
    <t>AMV TIPO TR 68, ABERTURA 1:14, BITOLA LARGA</t>
  </si>
  <si>
    <t>M2262</t>
  </si>
  <si>
    <t>AMV TIPO UIC 60, ABERTURA 1:10, BITOLA LARGA</t>
  </si>
  <si>
    <t>M2263</t>
  </si>
  <si>
    <t>AMV TIPO TR 68, ABERTURA 1:20, BITOLA LARGA</t>
  </si>
  <si>
    <t>M2264</t>
  </si>
  <si>
    <t>AMV TIPO TR 45, ABERTURA 1:8, BITOLA MISTA</t>
  </si>
  <si>
    <t>M2265</t>
  </si>
  <si>
    <t>AMV TIPO TR 45, ABERTURA 1:10, BITOLA MISTA</t>
  </si>
  <si>
    <t>M2266</t>
  </si>
  <si>
    <t>AMV TIPO TR 45, ABERTURA 1:12, BITOLA MISTA</t>
  </si>
  <si>
    <t>M2267</t>
  </si>
  <si>
    <t>AMV TIPO TR 45, ABERTURA 1:14, BITOLA MISTA</t>
  </si>
  <si>
    <t>M2268</t>
  </si>
  <si>
    <t>AMV TIPO TR 57, ABERTURA 1:8, BITOLA MISTA</t>
  </si>
  <si>
    <t>M2269</t>
  </si>
  <si>
    <t>AMV TIPO TR 57, ABERTURA 1:10, BITOLA MISTA</t>
  </si>
  <si>
    <t>M2270</t>
  </si>
  <si>
    <t>AMV TIPO TR 57, ABERTURA 1:12, BITOLA MISTA</t>
  </si>
  <si>
    <t>M2271</t>
  </si>
  <si>
    <t>AMV TIPO TR 57, ABERTURA 1:14, BITOLA MISTA</t>
  </si>
  <si>
    <t>M2272</t>
  </si>
  <si>
    <t>AMV TIPO TR 57, ABERTURA 1:20, BITOLA MISTA</t>
  </si>
  <si>
    <t>M2273</t>
  </si>
  <si>
    <t>AMV TIPO TR 68, ABERTURA 1:10, BITOLA MISTA</t>
  </si>
  <si>
    <t>M2274</t>
  </si>
  <si>
    <t>AMV TIPO TR 68, ABERTURA 1:12, BITOLA MISTA</t>
  </si>
  <si>
    <t>M2275</t>
  </si>
  <si>
    <t>AMV TIPO TR 68, ABERTURA 1:14, BITOLA MISTA</t>
  </si>
  <si>
    <t>M2276</t>
  </si>
  <si>
    <t>REVESTIMENTO COM CONECTOR LINHA AW</t>
  </si>
  <si>
    <t>M2277</t>
  </si>
  <si>
    <t>AMV TIPO TR 68, ABERTURA 1:20, BITOLA MISTA</t>
  </si>
  <si>
    <t>M2278</t>
  </si>
  <si>
    <t>PORÇÃO DE SOLDA ALUMINOTÉRMICA PARA TRILHO TR 45</t>
  </si>
  <si>
    <t>M2279</t>
  </si>
  <si>
    <t>PORÇÃO DE SOLDA ALUMINOTÉRMICA PARA TRILHO TR 57</t>
  </si>
  <si>
    <t>M2280</t>
  </si>
  <si>
    <t>PORÇÃO DE SOLDA ALUMINOTÉRMICA PARA TRILHO TR 68</t>
  </si>
  <si>
    <t>M2281</t>
  </si>
  <si>
    <t>DORMENTE DE MADEIRA, PADRÃO BITOLA LARGA DE 17 X 24 X 280 CM</t>
  </si>
  <si>
    <t>M2282</t>
  </si>
  <si>
    <t>DORMENTE DE MADEIRA, PADRÃO BITOLA MÉTRICA DE 16 X 22 X 200 CM</t>
  </si>
  <si>
    <t>M2284</t>
  </si>
  <si>
    <t>REVESTIMENTO COM CONECTOR LINHA HW</t>
  </si>
  <si>
    <t>M2285</t>
  </si>
  <si>
    <t>REVESTIMENTO COM CONECTOR LINHA NW</t>
  </si>
  <si>
    <t>M2292</t>
  </si>
  <si>
    <t>AMV TIPO UIC 60, ABERTURA 1:12, BITOLA MÉTRICA</t>
  </si>
  <si>
    <t>M2293</t>
  </si>
  <si>
    <t>AMV TIPO UIC 60, ABERTURA 1:14, BITOLA MÉTRICA</t>
  </si>
  <si>
    <t>M2294</t>
  </si>
  <si>
    <t>AMV TIPO UIC 60, ABERTURA 1:20, BITOLA MÉTRICA</t>
  </si>
  <si>
    <t>M2298</t>
  </si>
  <si>
    <t>AMV TIPO UIC 60, ABERTURA 1:10, BITOLA MISTA</t>
  </si>
  <si>
    <t>M2299</t>
  </si>
  <si>
    <t>AMV TIPO UIC 60, ABERTURA 1:12, BITOLA MISTA</t>
  </si>
  <si>
    <t>M2300</t>
  </si>
  <si>
    <t>AMV TIPO UIC 60, ABERTURA 1:14, BITOLA MISTA</t>
  </si>
  <si>
    <t>M2301</t>
  </si>
  <si>
    <t>AMV TIPO UIC 60, ABERTURA 1:20, BITOLA MISTA</t>
  </si>
  <si>
    <t>M2303</t>
  </si>
  <si>
    <t>SAPATA DE WIDIA LINHA NW</t>
  </si>
  <si>
    <t>M2304</t>
  </si>
  <si>
    <t>TRICONE DE WIDIA COM TRÊS ASAS LINHA NW</t>
  </si>
  <si>
    <t>M2308</t>
  </si>
  <si>
    <t>DORMENTE DE MADEIRA PARA PONTES DE 20 X 25 X 300 CM</t>
  </si>
  <si>
    <t>M2313</t>
  </si>
  <si>
    <t>AMV TIPO UIC 60, ABERTURA 1:12, BITOLA LARGA</t>
  </si>
  <si>
    <t>M2314</t>
  </si>
  <si>
    <t>AMV TIPO UIC 60, ABERTURA 1:14, BITOLA LARGA</t>
  </si>
  <si>
    <t>M2316</t>
  </si>
  <si>
    <t>AMV TIPO UIC 60, ABERTURA 1:20, BITOLA LARGA</t>
  </si>
  <si>
    <t>M2317</t>
  </si>
  <si>
    <t>REVESTIMENTO PARA ESTACA RAIZ SCH 80 - D EXTERNO = 141,0 MM - 30,94 KG/M</t>
  </si>
  <si>
    <t>M2318</t>
  </si>
  <si>
    <t>REVESTIMENTO PARA ESTACA RAIZ SCH 80 - D EXTERNO = 168,3 MM - 42,56 KG/M</t>
  </si>
  <si>
    <t>M2319</t>
  </si>
  <si>
    <t>REVESTIMENTO PARA ESTACA RAIZ SCH 80 - D EXTERNO = 219,1 MM - 64,64 KG/M</t>
  </si>
  <si>
    <t>M2320</t>
  </si>
  <si>
    <t>REVESTIMENTO PARA ESTACA RAIZ SCH 80 - D EXTERNO = 273,0 MM - 95,97 KG/M</t>
  </si>
  <si>
    <t>M2321</t>
  </si>
  <si>
    <t>REVESTIMENTO PARA ESTACA RAIZ SCH 80 - D EXTERNO = 323,8 MM - 132,04 KG/M</t>
  </si>
  <si>
    <t>M2334</t>
  </si>
  <si>
    <t>COROA DE WIDIA LINHA BWG</t>
  </si>
  <si>
    <t>M2356</t>
  </si>
  <si>
    <t>BRITA PADRÃO PARA LASTRO FERROVIÁRIO</t>
  </si>
  <si>
    <t>M2358</t>
  </si>
  <si>
    <t>PALMILHA DE BORRACHA PARA DORMENTE DE CONCRETO</t>
  </si>
  <si>
    <t>M2359</t>
  </si>
  <si>
    <t>PORÇÃO DE SOLDA ALUMINOTÉRMICA PARA TRILHO UIC 60</t>
  </si>
  <si>
    <t>M2360</t>
  </si>
  <si>
    <t>KIT PARA SOLDA ALUMINOTÉRMICA DE TRILHO TR 45</t>
  </si>
  <si>
    <t>M2361</t>
  </si>
  <si>
    <t>KIT PARA SOLDA ALUMINOTÉRMICA DE TRILHO TR 57</t>
  </si>
  <si>
    <t>M2362</t>
  </si>
  <si>
    <t>KIT PARA SOLDA ALUMINOTÉRMICA DE TRILHO TR 68</t>
  </si>
  <si>
    <t>M2363</t>
  </si>
  <si>
    <t>KIT PARA SOLDA ALUMINOTÉRMICA DE TRILHO UIC 60</t>
  </si>
  <si>
    <t>M2364</t>
  </si>
  <si>
    <t>BROCA PARA FURAR TRILHO - D = 1 1/8"</t>
  </si>
  <si>
    <t>M2365</t>
  </si>
  <si>
    <t>DISCO DE CORTE DE 35 CM</t>
  </si>
  <si>
    <t>M2370</t>
  </si>
  <si>
    <t>DORMENTES DE MADEIRA PARA AMV</t>
  </si>
  <si>
    <t>M2379</t>
  </si>
  <si>
    <t>COROA DE DIAMANTE LINHA BWG</t>
  </si>
  <si>
    <t>M2383</t>
  </si>
  <si>
    <t>REVESTIMENTO COM CONECTOR LINHA BW</t>
  </si>
  <si>
    <t>M2388</t>
  </si>
  <si>
    <t>BROCA DE WIDIA DE 5/8"</t>
  </si>
  <si>
    <t>M2389</t>
  </si>
  <si>
    <t>BROCA DE WIDIA DE 3/4"</t>
  </si>
  <si>
    <t>M2419</t>
  </si>
  <si>
    <t>PARAFUSO CABEÇA ABAULADA M6 COM PORCA E ARRUELA</t>
  </si>
  <si>
    <t>M2420</t>
  </si>
  <si>
    <t>PARAFUSO CABEÇA ABAULADA M8 COM PORCA E ARRUELA</t>
  </si>
  <si>
    <t>M2421</t>
  </si>
  <si>
    <t>MANGUEIRA CRISTAL TRANÇADO AR/ÁGUA COM CAPACIDADE DE 250 LB - D = 3/8"</t>
  </si>
  <si>
    <t>M2422</t>
  </si>
  <si>
    <t>MANGUEIRA CRISTAL TRANÇADO AR/ÁGUA COM CAPACIDADE DE 250 LB - D = 1/2"</t>
  </si>
  <si>
    <t>M2423</t>
  </si>
  <si>
    <t>FORMA PLÁSTICA PARA NICHO DE PROTENSÃO DE CORDOALHA - D = 15,2 MM</t>
  </si>
  <si>
    <t>M2424</t>
  </si>
  <si>
    <t>FORMA PLÁSTICA PARA NICHO DE PROTENSÃO DE CORDOALHA - D = 12,7 MM</t>
  </si>
  <si>
    <t>M2425</t>
  </si>
  <si>
    <t>CORDOALHA ENGRAXADA CP 190 RB - D = 15,2 MM</t>
  </si>
  <si>
    <t>M2426</t>
  </si>
  <si>
    <t>CORDOALHA ENGRAXADA CP 190 RB - D = 12,7 MM</t>
  </si>
  <si>
    <t>M2427</t>
  </si>
  <si>
    <t>BAINHA METÁLICA - D = 35 MM</t>
  </si>
  <si>
    <t>M2428</t>
  </si>
  <si>
    <t>BAINHA METÁLICA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</si>
  <si>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</si>
  <si>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</si>
  <si>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</si>
  <si>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</si>
  <si>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</si>
  <si>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</si>
  <si>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</si>
  <si>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</si>
  <si>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</si>
  <si>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</si>
  <si>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</si>
  <si>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</si>
  <si>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</si>
  <si>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</si>
  <si>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</si>
  <si>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</si>
  <si>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</si>
  <si>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</si>
  <si>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</si>
  <si>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</si>
  <si>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</si>
  <si>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</si>
  <si>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</si>
  <si>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</si>
  <si>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</si>
  <si>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</si>
  <si>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</si>
  <si>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</si>
  <si>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</si>
  <si>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</si>
  <si>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</si>
  <si>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</si>
  <si>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</si>
  <si>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</si>
  <si>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</si>
  <si>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</si>
  <si>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</si>
  <si>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</si>
  <si>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</si>
  <si>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</si>
  <si>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</si>
  <si>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</si>
  <si>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</si>
  <si>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</si>
  <si>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</si>
  <si>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</si>
  <si>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</si>
  <si>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</si>
  <si>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</si>
  <si>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</si>
  <si>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</si>
  <si>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1 CORDOALHA - D = 12,7 MM</t>
  </si>
  <si>
    <t>M2455</t>
  </si>
  <si>
    <t>ANCORAGEM PASSIVA ADERENTE PARA LAJES 1 CORDOALHA - D = 15,2 MM</t>
  </si>
  <si>
    <t>M2456</t>
  </si>
  <si>
    <t>ANCORAGEM PASSIVA ADERENTE PARA LAJES 2 CORDOALHAS - D = 12,7 MM</t>
  </si>
  <si>
    <t>M2457</t>
  </si>
  <si>
    <t>ANCORAGEM PASSIVA ADERENTE PARA LAJES 2 CORDOALHAS - D = 15,2 MM</t>
  </si>
  <si>
    <t>M2458</t>
  </si>
  <si>
    <t>ANCORAGEM PASSIVA ADERENTE PARA LAJES 3 CORDOALHAS - D = 12,7 MM</t>
  </si>
  <si>
    <t>M2459</t>
  </si>
  <si>
    <t>ANCORAGEM PASSIVA ADERENTE PARA LAJES 3 CORDOALHAS - D = 15,2 MM</t>
  </si>
  <si>
    <t>M2460</t>
  </si>
  <si>
    <t>ANCORAGEM PASSIVA ADERENTE PARA LAJES 4 CORDOALHAS - D = 12,7 MM</t>
  </si>
  <si>
    <t>M2461</t>
  </si>
  <si>
    <t>ANCORAGEM PASSIVA ADERENTE PARA LAJES 4 CORDOALHAS - D = 15,2 MM</t>
  </si>
  <si>
    <t>M2462</t>
  </si>
  <si>
    <t>MANGUEIRA CRISTAL TRANÇADO AR/ÁGUA COM CAPACIDADE DE 250 LB - D = 20 MM</t>
  </si>
  <si>
    <t>M2466</t>
  </si>
  <si>
    <t>BAINHA METÁLICA - D = 45 MM</t>
  </si>
  <si>
    <t>M2467</t>
  </si>
  <si>
    <t>BAINHA METÁLICA - D = 50 MM</t>
  </si>
  <si>
    <t>M2468</t>
  </si>
  <si>
    <t>BAINHA METÁLICA - D = 55 MM</t>
  </si>
  <si>
    <t>M2469</t>
  </si>
  <si>
    <t>BAINHA METÁLICA - D = 60 MM</t>
  </si>
  <si>
    <t>M2470</t>
  </si>
  <si>
    <t>BAINHA METÁLICA - D = 65 MM</t>
  </si>
  <si>
    <t>M2471</t>
  </si>
  <si>
    <t>BAINHA METÁLICA - D = 70 MM</t>
  </si>
  <si>
    <t>M2472</t>
  </si>
  <si>
    <t>BAINHA METÁLICA - D = 75 MM</t>
  </si>
  <si>
    <t>M2473</t>
  </si>
  <si>
    <t>BAINHA METÁLICA - D = 80 MM</t>
  </si>
  <si>
    <t>M2474</t>
  </si>
  <si>
    <t>BAINHA METÁLICA - D = 85 MM</t>
  </si>
  <si>
    <t>M2475</t>
  </si>
  <si>
    <t>BAINHA METÁLICA - D = 90 MM</t>
  </si>
  <si>
    <t>M2476</t>
  </si>
  <si>
    <t>BAINHA METÁLICA - D = 95 MM</t>
  </si>
  <si>
    <t>M2477</t>
  </si>
  <si>
    <t>BAINHA METÁLICA - D = 100 MM</t>
  </si>
  <si>
    <t>M2478</t>
  </si>
  <si>
    <t>BAINHA METÁLICA - D = 110 MM</t>
  </si>
  <si>
    <t>M2479</t>
  </si>
  <si>
    <t>BAINHA METÁLICA - D = 120 MM</t>
  </si>
  <si>
    <t>M2480</t>
  </si>
  <si>
    <t>BAINHA METÁLICA - D = 130 MM</t>
  </si>
  <si>
    <t>M2481</t>
  </si>
  <si>
    <t>BAINHA METÁLICA DE 19 X 36 MM (OVALIZADA)</t>
  </si>
  <si>
    <t>M2482</t>
  </si>
  <si>
    <t>BAINHA METÁLICA DE 19 X 48 MM (OVALIZADA)</t>
  </si>
  <si>
    <t>M2483</t>
  </si>
  <si>
    <t>BAINHA METÁLICA DE 19 X 62 MM (OVALIZADA)</t>
  </si>
  <si>
    <t>M2484</t>
  </si>
  <si>
    <t>BAINHA METÁLICA DE 22 X 32 MM (OVALIZADA)</t>
  </si>
  <si>
    <t>M2485</t>
  </si>
  <si>
    <t>BAINHA METÁLICA DE 22 X 55 MM (OVALIZADA)</t>
  </si>
  <si>
    <t>M2486</t>
  </si>
  <si>
    <t>BAINHA METÁLICA DE 22 X 73 MM (OVALIZADA)</t>
  </si>
  <si>
    <t>M2487</t>
  </si>
  <si>
    <t>ESPAÇADOR PARA GRAMPO DE BARRA DE AÇO DE ATÉ 25,4 MM DE DIÂMETRO E 40 MM DE COBRIMENTO</t>
  </si>
  <si>
    <t>M2500</t>
  </si>
  <si>
    <t>TUNNEL LINER DE CHAPA GALVANIZADA - E = 2,2 MM E D = 1,2 M</t>
  </si>
  <si>
    <t>M2501</t>
  </si>
  <si>
    <t>TUNNEL LINER DE CHAPA GALVANIZADA - E = 2,2 MM E D = 1,4 M</t>
  </si>
  <si>
    <t>M2502</t>
  </si>
  <si>
    <t>TUNNEL LINER DE CHAPA GALVANIZADA - E = 2,2 MM E D = 1,6 M</t>
  </si>
  <si>
    <t>M2503</t>
  </si>
  <si>
    <t>TUNNEL LINER DE CHAPA GALVANIZADA - E = 2,2 MM E D = 1,8 M</t>
  </si>
  <si>
    <t>M2504</t>
  </si>
  <si>
    <t>TUNNEL LINER DE CHAPA GALVANIZADA - E = 2,2 MM E D = 2,0 M</t>
  </si>
  <si>
    <t>M2505</t>
  </si>
  <si>
    <t>TUNNEL LINER DE CHAPA GALVANIZADA - E = 2,2 MM E D = 2,2 M</t>
  </si>
  <si>
    <t>M2506</t>
  </si>
  <si>
    <t>TUNNEL LINER DE CHAPA GALVANIZADA - E = 2,2 MM E D = 2,4 M</t>
  </si>
  <si>
    <t>M2507</t>
  </si>
  <si>
    <t>TUNNEL LINER DE CHAPA GALVANIZADA - E = 2,2 MM E D = 2,6 M</t>
  </si>
  <si>
    <t>M2508</t>
  </si>
  <si>
    <t>TUNNEL LINER DE CHAPA GALVANIZADA - E = 2,2 MM E D = 2,8 M</t>
  </si>
  <si>
    <t>M2509</t>
  </si>
  <si>
    <t>TUNNEL LINER DE CHAPA GALVANIZADA - E = 2,2 MM E D = 3,0 M</t>
  </si>
  <si>
    <t>M2510</t>
  </si>
  <si>
    <t>TUNNEL LINER DE CHAPA GALVANIZADA - E = 2,7 MM E D = 3,2 M</t>
  </si>
  <si>
    <t>M2511</t>
  </si>
  <si>
    <t>TUNNEL LINER DE CHAPA GALVANIZADA - E = 2,7 MM E D = 3,4 M</t>
  </si>
  <si>
    <t>M2512</t>
  </si>
  <si>
    <t>TUNNEL LINER DE CHAPA GALVANIZADA - E = 2,7 MM E D = 3,6 M</t>
  </si>
  <si>
    <t>M2513</t>
  </si>
  <si>
    <t>TUNNEL LINER DE CHAPA GALVANIZADA - E = 2,7 MM E D = 3,8 M</t>
  </si>
  <si>
    <t>M2514</t>
  </si>
  <si>
    <t>TUNNEL LINER DE CHAPA GALVANIZADA - E = 2,7 MM E D = 4,0 M</t>
  </si>
  <si>
    <t>M2515</t>
  </si>
  <si>
    <t>TUNNEL LINER DE CHAPA GALVANIZADA - E = 3,4 MM E D = 4,2 M</t>
  </si>
  <si>
    <t>M2516</t>
  </si>
  <si>
    <t>TUNNEL LINER DE CHAPA GALVANIZADA - E = 3,4 MM E D = 4,4 M</t>
  </si>
  <si>
    <t>M2517</t>
  </si>
  <si>
    <t>TUNNEL LINER DE CHAPA GALVANIZADA - E = 3,4 MM E D = 4,6 M</t>
  </si>
  <si>
    <t>M2518</t>
  </si>
  <si>
    <t>TUNNEL LINER DE CHAPA GALVANIZADA - E = 3,9 MM E D = 4,8 M</t>
  </si>
  <si>
    <t>M2519</t>
  </si>
  <si>
    <t>TUNNEL LINER DE CHAPA GALVANIZADA - E = 3,9 MM E D = 5,0 M</t>
  </si>
  <si>
    <t>M2520</t>
  </si>
  <si>
    <t>TUNNEL LINER DE CHAPA COM EPÓXI - E = 2,2 MM E D = 1,2 M</t>
  </si>
  <si>
    <t>M2521</t>
  </si>
  <si>
    <t>TUNNEL LINER DE CHAPA COM EPÓXI - E = 2,2 MM E D = 1,4 M</t>
  </si>
  <si>
    <t>M2522</t>
  </si>
  <si>
    <t>TUNNEL LINER DE CHAPA COM EPÓXI - E = 2,2 MM E D = 1,6 M</t>
  </si>
  <si>
    <t>M2523</t>
  </si>
  <si>
    <t>TUNNEL LINER DE CHAPA COM EPÓXI - E = 2,2 MM E D = 1,8 M</t>
  </si>
  <si>
    <t>M2524</t>
  </si>
  <si>
    <t>TUNNEL LINER DE CHAPA COM EPÓXI - E = 2,2 MM E D = 2,0 M</t>
  </si>
  <si>
    <t>M2525</t>
  </si>
  <si>
    <t>TUNNEL LINER DE CHAPA COM EPÓXI - E = 2,2 MM E D = 2,2 M</t>
  </si>
  <si>
    <t>M2526</t>
  </si>
  <si>
    <t>TUNNEL LINER DE CHAPA COM EPÓXI - E = 2,2 MM E D = 2,4 M</t>
  </si>
  <si>
    <t>M2527</t>
  </si>
  <si>
    <t>TUNNEL LINER DE CHAPA COM EPÓXI - E = 2,2 MM E D = 2,6 M</t>
  </si>
  <si>
    <t>M2528</t>
  </si>
  <si>
    <t>TUNNEL LINER DE CHAPA COM EPÓXI - E = 2,2 MM E D = 2,8 M</t>
  </si>
  <si>
    <t>M2529</t>
  </si>
  <si>
    <t>TUNNEL LINER DE CHAPA COM EPÓXI - E = 2,2 MM E D = 3,0 M</t>
  </si>
  <si>
    <t>M2530</t>
  </si>
  <si>
    <t>TUNNEL LINER DE CHAPA COM EPÓXI - E = 2,7 MM E D = 3,2 M</t>
  </si>
  <si>
    <t>M2531</t>
  </si>
  <si>
    <t>CHAPA MÚLTIPLA MP 100 GALVANIZADA - E = 1,6 MM E D = 0,6 M</t>
  </si>
  <si>
    <t>M2532</t>
  </si>
  <si>
    <t>CHAPA MÚLTIPLA MP 100 GALVANIZADA - E = 1,6 MM E D = 0,7 M</t>
  </si>
  <si>
    <t>M2533</t>
  </si>
  <si>
    <t>CHAPA MÚLTIPLA MP 100 GALVANIZADA - E = 1,6 MM E D = 0,8 M</t>
  </si>
  <si>
    <t>M2534</t>
  </si>
  <si>
    <t>CHAPA MÚLTIPLA MP 100 GALVANIZADA - E = 1,6 MM E D = 0,9 M</t>
  </si>
  <si>
    <t>M2535</t>
  </si>
  <si>
    <t>CHAPA MÚLTIPLA MP 100 GALVANIZADA - E = 1,6 MM E D = 1,0 M</t>
  </si>
  <si>
    <t>M2536</t>
  </si>
  <si>
    <t>CHAPA MÚLTIPLA MP 100 GALVANIZADA - E = 1,6 MM E D = 1,1 M</t>
  </si>
  <si>
    <t>M2537</t>
  </si>
  <si>
    <t>CHAPA MÚLTIPLA MP 100 GALVANIZADA - E = 1,6 MM E D = 1,2 M</t>
  </si>
  <si>
    <t>M2538</t>
  </si>
  <si>
    <t>CHAPA MÚLTIPLA MP 100 GALVANIZADA - E = 1,6 MM E D = 1,3 M</t>
  </si>
  <si>
    <t>M2539</t>
  </si>
  <si>
    <t>CHAPA MÚLTIPLA MP 100 GALVANIZADA - E = 1,6 MM E D = 1,4 M</t>
  </si>
  <si>
    <t>M2540</t>
  </si>
  <si>
    <t>CHAPA MÚLTIPLA MP 100 GALVANIZADA - E = 1,6 MM E D = 1,5 M</t>
  </si>
  <si>
    <t>M2541</t>
  </si>
  <si>
    <t>CHAPA MÚLTIPLA MP 100 GALVANIZADA - E = 1,6 MM E D = 1,6 M</t>
  </si>
  <si>
    <t>M2542</t>
  </si>
  <si>
    <t>CHAPA MÚLTIPLA MP 100 GALVANIZADA - E = 1,6 MM E D = 1,7 M</t>
  </si>
  <si>
    <t>M2543</t>
  </si>
  <si>
    <t>CHAPA MÚLTIPLA MP 100 GALVANIZADA - E = 1,6 MM E D = 1,8 M</t>
  </si>
  <si>
    <t>M2544</t>
  </si>
  <si>
    <t>CHAPA MÚLTIPLA MP 100 GALVANIZADA - E = 2,0 MM E D = 1,9 M</t>
  </si>
  <si>
    <t>M2545</t>
  </si>
  <si>
    <t>CHAPA MÚLTIPLA MP 100 GALVANIZADA - E = 2,0 MM E D = 2,0 M</t>
  </si>
  <si>
    <t>M2546</t>
  </si>
  <si>
    <t>CHAPA MÚLTIPLA MP 100 GALVANIZADA - E = 2,0 MM E D = 2,1 M</t>
  </si>
  <si>
    <t>M2547</t>
  </si>
  <si>
    <t>CHAPA MÚLTIPLA MP 100 GALVANIZADA - E = 2,0 MM E D = 2,2 M</t>
  </si>
  <si>
    <t>M2548</t>
  </si>
  <si>
    <t>CHAPA MÚLTIPLA MP 100 GALVANIZADA - E = 2,0 MM E D = 2,3 M</t>
  </si>
  <si>
    <t>M2549</t>
  </si>
  <si>
    <t>CHAPA MÚLTIPLA MP 100 GALVANIZADA - E = 2,7 MM E D = 2,4 M</t>
  </si>
  <si>
    <t>M2550</t>
  </si>
  <si>
    <t>CHAPA MÚLTIPLA MP 100 GALVANIZADA - E = 3,4 MM E D = 2,5 M</t>
  </si>
  <si>
    <t>M2551</t>
  </si>
  <si>
    <t>CHAPA MÚLTIPLA MP 100 GALVANIZADA - E = 3,4 MM E D = 2,6 M</t>
  </si>
  <si>
    <t>M2552</t>
  </si>
  <si>
    <t>CHAPA MÚLTIPLA MP 100 GALVANIZADA - E = 3,4 MM E D = 2,7 M</t>
  </si>
  <si>
    <t>M2553</t>
  </si>
  <si>
    <t>CHAPA MÚLTIPLA MP 100 GALVANIZADA - E = 3,4 MM E D = 2,8 M</t>
  </si>
  <si>
    <t>M2554</t>
  </si>
  <si>
    <t>CHAPA MÚLTIPLA MP 152 GALVANIZADA - E = 2,7 MM E D = 1,50 M</t>
  </si>
  <si>
    <t>M2555</t>
  </si>
  <si>
    <t>CHAPA MÚLTIPLA MP 152 GALVANIZADA - E = 2,7 MM E D = 1,80 M</t>
  </si>
  <si>
    <t>M2556</t>
  </si>
  <si>
    <t>CHAPA MÚLTIPLA MP 152 GALVANIZADA - E = 2,7 MM E D = 1,90 M</t>
  </si>
  <si>
    <t>M2557</t>
  </si>
  <si>
    <t>CHAPA MÚLTIPLA MP 152 GALVANIZADA - E = 2,7 MM E D = 2,15 M</t>
  </si>
  <si>
    <t>M2558</t>
  </si>
  <si>
    <t>CHAPA MÚLTIPLA MP 152 GALVANIZADA - E = 2,7 MM E D = 2,30 M</t>
  </si>
  <si>
    <t>M2559</t>
  </si>
  <si>
    <t>CHAPA MÚLTIPLA MP 152 GALVANIZADA - E = 2,7 MM E D = 2,65 M</t>
  </si>
  <si>
    <t>M2560</t>
  </si>
  <si>
    <t>CHAPA MÚLTIPLA MP 152 GALVANIZADA - E = 2,7 MM E D = 3,05 M</t>
  </si>
  <si>
    <t>M2561</t>
  </si>
  <si>
    <t>CHAPA MÚLTIPLA MP 152 GALVANIZADA - E = 2,7 MM E D = 3,20 M</t>
  </si>
  <si>
    <t>M2562</t>
  </si>
  <si>
    <t>CHAPA MÚLTIPLA MP 152 GALVANIZADA - E = 2,7 MM E D = 3,40 M</t>
  </si>
  <si>
    <t>M2563</t>
  </si>
  <si>
    <t>CHAPA MÚLTIPLA MP 152 GALVANIZADA - E = 2,7 MM E D = 3,65 M</t>
  </si>
  <si>
    <t>M2564</t>
  </si>
  <si>
    <t>CHAPA MÚLTIPLA MP 152 GALVANIZADA - E = 2,7 MM E D = 3,80 M</t>
  </si>
  <si>
    <t>M2565</t>
  </si>
  <si>
    <t>CHAPA MÚLTIPLA MP 152 GALVANIZADA - E = 2,7 MM E D = 4,20 M</t>
  </si>
  <si>
    <t>M2566</t>
  </si>
  <si>
    <t>CHAPA MÚLTIPLA MP 152 GALVANIZADA - E = 2,7 MM E D = 4,60 M</t>
  </si>
  <si>
    <t>M2567</t>
  </si>
  <si>
    <t>CHAPA MÚLTIPLA MP 152 GALVANIZADA - E = 3,4 MM E D = 4,80 M</t>
  </si>
  <si>
    <t>M2568</t>
  </si>
  <si>
    <t>CHAPA MÚLTIPLA MP 152 GALVANIZADA - E = 3,4 MM E D = 5,00 M</t>
  </si>
  <si>
    <t>M2569</t>
  </si>
  <si>
    <t>CHAPA MÚLTIPLA MP 152 GALVANIZADA - E = 3,9 MM E D = 5,35 M</t>
  </si>
  <si>
    <t>M2570</t>
  </si>
  <si>
    <t>CHAPA MÚLTIPLA MP 152 GALVANIZADA - E = 3,9 MM E D = 5,70 M</t>
  </si>
  <si>
    <t>M2571</t>
  </si>
  <si>
    <t>CHAPA MÚLTIPLA MP 152 GALVANIZADA - E = 4,7 MM E D = 6,10 M</t>
  </si>
  <si>
    <t>M2572</t>
  </si>
  <si>
    <t>CHAPA MÚLTIPLA MP 152 GALVANIZADA - E = 6,4 MM E D = 6,50 M</t>
  </si>
  <si>
    <t>M2573</t>
  </si>
  <si>
    <t>CHAPA MÚLTIPLA MP 152 GALVANIZADA - E = 6,4 MM E D = 6,85 M</t>
  </si>
  <si>
    <t>M2574</t>
  </si>
  <si>
    <t>CHAPA MÚLTIPLA MP 152 GALVANIZADA - E = 6,4 MM E D = 7,25 M</t>
  </si>
  <si>
    <t>M2584</t>
  </si>
  <si>
    <t>VERMICULITA EXPANDIDA</t>
  </si>
  <si>
    <t>M2597</t>
  </si>
  <si>
    <t>CONCRETO USINADO FCK = 40 MPA (COMERCIAL)</t>
  </si>
  <si>
    <t>M2598</t>
  </si>
  <si>
    <t>CONCRETO USINADO FCK = 45 MPA (COMERCIAL)</t>
  </si>
  <si>
    <t>M2599</t>
  </si>
  <si>
    <t>CONCRETO USINADO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</si>
  <si>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</si>
  <si>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</si>
  <si>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</si>
  <si>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</si>
  <si>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</si>
  <si>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</si>
  <si>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</si>
  <si>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</si>
  <si>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</si>
  <si>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</si>
  <si>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</si>
  <si>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</si>
  <si>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</si>
  <si>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</si>
  <si>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</si>
  <si>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</si>
  <si>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</si>
  <si>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</si>
  <si>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</si>
  <si>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</si>
  <si>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</si>
  <si>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</si>
  <si>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</si>
  <si>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</si>
  <si>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</si>
  <si>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</si>
  <si>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</si>
  <si>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</si>
  <si>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</si>
  <si>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</si>
  <si>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</si>
  <si>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</si>
  <si>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</si>
  <si>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</si>
  <si>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</si>
  <si>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</si>
  <si>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</si>
  <si>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</si>
  <si>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</si>
  <si>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</si>
  <si>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</si>
  <si>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</si>
  <si>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</si>
  <si>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</si>
  <si>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</si>
  <si>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SIMPLES PARA BOCA DE LOBO DE 300 X 900 MM E CAPACIDADE DE 300 KN</t>
  </si>
  <si>
    <t>M2624</t>
  </si>
  <si>
    <t>GRELHA DE PISO EM PVC DE 13 X 50 CM PARA PEDESTRES</t>
  </si>
  <si>
    <t>M2625</t>
  </si>
  <si>
    <t>MARCO PARA GRELHA DE PISO EM PVC COM 2,5 M</t>
  </si>
  <si>
    <t>M2626</t>
  </si>
  <si>
    <t>GRELHA DE PISO EM PVC DE 13 X 50 CM PARA VEÍCULOS DE ATÉ 3 T</t>
  </si>
  <si>
    <t>M2627</t>
  </si>
  <si>
    <t>GRELHA DE PISO EM PVC DE 13 X 50 CM PARA VEÍCULOS DE ATÉ 10 T</t>
  </si>
  <si>
    <t>M2628</t>
  </si>
  <si>
    <t>GRELHA DE PISO EM PVC DE 20 X 50 CM PARA PEDESTRES</t>
  </si>
  <si>
    <t>M2629</t>
  </si>
  <si>
    <t>GRELHA DE PISO EM PVC DE 20 X 50 CM PARA VEÍCULOS DE ATÉ 3 T</t>
  </si>
  <si>
    <t>M2630</t>
  </si>
  <si>
    <t>GRELHA DE PISO EM PVC DE 20 X 50 CM PARA VEÍCULOS DE ATÉ 10 T</t>
  </si>
  <si>
    <t>M2631</t>
  </si>
  <si>
    <t>GRELHA METÁLICA PARA CANALETAS DE 10 X 100 CM</t>
  </si>
  <si>
    <t>M2632</t>
  </si>
  <si>
    <t>GRELHA METÁLICA PARA CANALETAS DE 15 X 100 CM</t>
  </si>
  <si>
    <t>M2633</t>
  </si>
  <si>
    <t>PORTA GRELHA METÁLICA DE 15 X 100 CM</t>
  </si>
  <si>
    <t>M2634</t>
  </si>
  <si>
    <t>GRELHA METÁLICA PARA CANALETAS DE 20 X 100 CM</t>
  </si>
  <si>
    <t>M2635</t>
  </si>
  <si>
    <t>PORTA GRELHA METÁLICA DE 20 X 100 CM</t>
  </si>
  <si>
    <t>M2636</t>
  </si>
  <si>
    <t>PORTA GRELHA METÁLICA DE 10 X 100 CM</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</si>
  <si>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</si>
  <si>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</si>
  <si>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</si>
  <si>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</si>
  <si>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</si>
  <si>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</si>
  <si>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</si>
  <si>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</si>
  <si>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</si>
  <si>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</si>
  <si>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</si>
  <si>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</si>
  <si>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</si>
  <si>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</si>
  <si>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</si>
  <si>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</si>
  <si>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</si>
  <si>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</si>
  <si>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</si>
  <si>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</si>
  <si>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</si>
  <si>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</si>
  <si>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</si>
  <si>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E PINO COM FURO 1/4"</t>
  </si>
  <si>
    <t>M2649</t>
  </si>
  <si>
    <t>APARELHO DE APOIO METÁLICO ESFÉRICO UNIDIRECIONAL COM 4 CHUMBADORES E CAPACIDADE DE 8.000 KN</t>
  </si>
  <si>
    <t>M2650</t>
  </si>
  <si>
    <t>APARELHO DE APOIO METÁLICO ESFÉRICO UNIDIRECIONAL COM 4 CHUMBADORES E CAPACIDADE DE 8.500 KN</t>
  </si>
  <si>
    <t>M2651</t>
  </si>
  <si>
    <t>CHAPA MÚLTIPLA MP 100 REVESTIDA EM EPÓXI - E = 1,6 MM E D = 0,6 M</t>
  </si>
  <si>
    <t>M2652</t>
  </si>
  <si>
    <t>CHAPA MÚLTIPLA MP 100 REVESTIDA EM EPÓXI - E = 1,6 MM E D = 0,7 M</t>
  </si>
  <si>
    <t>M2653</t>
  </si>
  <si>
    <t>CHAPA MÚLTIPLA MP 100 REVESTIDA EM EPÓXI - E = 1,6 MM E D = 0,8 M</t>
  </si>
  <si>
    <t>M2654</t>
  </si>
  <si>
    <t>CHAPA MÚLTIPLA MP 100 REVESTIDA EM EPÓXI - E = 1,6 MM E D = 0,9 M</t>
  </si>
  <si>
    <t>M2655</t>
  </si>
  <si>
    <t>CHAPA MÚLTIPLA MP 100 REVESTIDA EM EPÓXI - E = 1,6 MM E D = 1,0 M</t>
  </si>
  <si>
    <t>M2656</t>
  </si>
  <si>
    <t>CHAPA MÚLTIPLA MP 100 REVESTIDA EM EPÓXI - E = 1,6 MM E D = 1,1 M</t>
  </si>
  <si>
    <t>M2657</t>
  </si>
  <si>
    <t>CHAPA MÚLTIPLA MP 100 REVESTIDA EM EPÓXI - E = 1,6 MM E D = 1,2 M</t>
  </si>
  <si>
    <t>M2658</t>
  </si>
  <si>
    <t>CHAPA MÚLTIPLA MP 100 REVESTIDA EM EPÓXI - E = 1,6 MM E D = 1,3 M</t>
  </si>
  <si>
    <t>M2659</t>
  </si>
  <si>
    <t>CHAPA MÚLTIPLA MP 100 REVESTIDA EM EPÓXI - E = 1,6 MM E D = 1,4 M</t>
  </si>
  <si>
    <t>M2660</t>
  </si>
  <si>
    <t>CHAPA MÚLTIPLA MP 100 REVESTIDA EM EPÓXI - E = 1,6 MM E D = 1,5 M</t>
  </si>
  <si>
    <t>M2661</t>
  </si>
  <si>
    <t>CHAPA MÚLTIPLA MP 100 REVESTIDA EM EPÓXI - E = 1,6 MM E D = 1,6 M</t>
  </si>
  <si>
    <t>M2662</t>
  </si>
  <si>
    <t>CHAPA MÚLTIPLA MP 100 REVESTIDA EM EPÓXI - E = 1,6 MM E D = 1,7 M</t>
  </si>
  <si>
    <t>M2663</t>
  </si>
  <si>
    <t>CHAPA MÚLTIPLA MP 100 REVESTIDA EM EPÓXI - E = 1,6 MM E D = 1,8 M</t>
  </si>
  <si>
    <t>M2664</t>
  </si>
  <si>
    <t>CHAPA MÚLTIPLA MP 100 REVESTIDA EM EPÓXI - E = 2,0 MM E D = 1,9 M</t>
  </si>
  <si>
    <t>M2665</t>
  </si>
  <si>
    <t>CHAPA MÚLTIPLA MP 100 REVESTIDA EM EPÓXI - E = 2,0 MM E D = 2,0 M</t>
  </si>
  <si>
    <t>M2666</t>
  </si>
  <si>
    <t>CHAPA MÚLTIPLA MP 100 REVESTIDA EM EPÓXI - E = 2,0 MM E D = 2,1 M</t>
  </si>
  <si>
    <t>M2667</t>
  </si>
  <si>
    <t>CHAPA MÚLTIPLA MP 100 REVESTIDA EM EPÓXI - E = 2,0 MM E D = 2,2 M</t>
  </si>
  <si>
    <t>M2668</t>
  </si>
  <si>
    <t>CHAPA MÚLTIPLA MP 100 REVESTIDA EM EPÓXI - E = 2,0 MM E D = 2,3 M</t>
  </si>
  <si>
    <t>M2669</t>
  </si>
  <si>
    <t>CHAPA MÚLTIPLA MP 100 REVESTIDA EM EPÓXI - E = 2,7 MM E D = 2,4 M</t>
  </si>
  <si>
    <t>M2670</t>
  </si>
  <si>
    <t>CHAPA MÚLTIPLA MP 100 REVESTIDA EM EPÓXI - E = 3,4 MM E D = 2,5 M</t>
  </si>
  <si>
    <t>M2671</t>
  </si>
  <si>
    <t>CHAPA MÚLTIPLA MP 100 REVESTIDA EM EPÓXI - E = 3,4 MM E D = 2,6 M</t>
  </si>
  <si>
    <t>M2672</t>
  </si>
  <si>
    <t>CHAPA MÚLTIPLA MP 100 REVESTIDA EM EPÓXI - E = 3,4 MM E D = 2,7 M</t>
  </si>
  <si>
    <t>M2673</t>
  </si>
  <si>
    <t>CHAPA MÚLTIPLA MP 100 REVESTIDA EM EPÓXI - E = 3,4 MM E D = 2,8 M</t>
  </si>
  <si>
    <t>M2674</t>
  </si>
  <si>
    <t>CHAPA MÚLTIPLA MP 152 REVESTIDA EM EPÓXI - E = 2,7 MM E D = 1,50 M</t>
  </si>
  <si>
    <t>M2675</t>
  </si>
  <si>
    <t>CHAPA MÚLTIPLA MP 152 REVESTIDA EM EPÓXI - E = 2,7 MM E D = 1,80 M</t>
  </si>
  <si>
    <t>M2676</t>
  </si>
  <si>
    <t>CHAPA MÚLTIPLA MP 152 REVESTIDA EM EPÓXI - E = 2,7 MM E D = 1,90 M</t>
  </si>
  <si>
    <t>M2677</t>
  </si>
  <si>
    <t>CHAPA MÚLTIPLA MP 152 REVESTIDA EM EPÓXI - E = 2,7 MM E D = 2,15 M</t>
  </si>
  <si>
    <t>M2678</t>
  </si>
  <si>
    <t>CHAPA MÚLTIPLA MP 152 REVESTIDA EM EPÓXI - E = 2,7 MM E D = 2,30 M</t>
  </si>
  <si>
    <t>M2679</t>
  </si>
  <si>
    <t>CHAPA MÚLTIPLA MP 152 REVESTIDA EM EPÓXI - E = 2,7 MM E D = 2,65 M</t>
  </si>
  <si>
    <t>M2680</t>
  </si>
  <si>
    <t>CHAPA MÚLTIPLA MP 152 REVESTIDA EM EPÓXI - E = 2,7 MM E D = 3,05 M</t>
  </si>
  <si>
    <t>M2681</t>
  </si>
  <si>
    <t>CHAPA MÚLTIPLA MP 152 REVESTIDA EM EPÓXI - E = 2,7 MM E D = 3,20 M</t>
  </si>
  <si>
    <t>M2682</t>
  </si>
  <si>
    <t>CHAPA MÚLTIPLA MP 152 REVESTIDA EM EPÓXI - E = 2,7 MM E D = 3,40 M</t>
  </si>
  <si>
    <t>M2683</t>
  </si>
  <si>
    <t>CHAPA MÚLTIPLA MP 152 REVESTIDA EM EPÓXI - E = 2,7 MM E D = 3,65 M</t>
  </si>
  <si>
    <t>M2684</t>
  </si>
  <si>
    <t>CHAPA MÚLTIPLA MP 152 REVESTIDA EM EPÓXI - E = 2,7 MM E D = 3,80 M</t>
  </si>
  <si>
    <t>M2685</t>
  </si>
  <si>
    <t>CHAPA MÚLTIPLA MP 152 REVESTIDA EM EPÓXI - E = 2,7 MM E D = 4,20 M</t>
  </si>
  <si>
    <t>M2686</t>
  </si>
  <si>
    <t>CHAPA MÚLTIPLA MP 152 REVESTIDA EM EPÓXI - E = 2,7 MM E D = 4,60 M</t>
  </si>
  <si>
    <t>M2687</t>
  </si>
  <si>
    <t>CHAPA MÚLTIPLA MP 152 REVESTIDA EM EPÓXI - E = 3,4 MM E D = 4,80 M</t>
  </si>
  <si>
    <t>M2688</t>
  </si>
  <si>
    <t>CHAPA MÚLTIPLA MP 152 REVESTIDA EM EPÓXI - E = 3,4 MM E D = 5,00 M</t>
  </si>
  <si>
    <t>M2689</t>
  </si>
  <si>
    <t>CHAPA MÚLTIPLA MP 152 REVESTIDA EM EPÓXI - E = 3,9 MM E D = 5,35 M</t>
  </si>
  <si>
    <t>M2690</t>
  </si>
  <si>
    <t>CHAPA MÚLTIPLA MP 152 REVESTIDA EM EPÓXI - E = 3,9 MM E D = 5,70 M</t>
  </si>
  <si>
    <t>M2691</t>
  </si>
  <si>
    <t>CHAPA MÚLTIPLA MP 152 REVESTIDA EM EPÓXI - E = 4,7 MM E D = 6,10 M</t>
  </si>
  <si>
    <t>M2692</t>
  </si>
  <si>
    <t>CHAPA MÚLTIPLA MP 152 REVESTIDA EM EPÓXI - E = 6,4 MM E D = 6,50 M</t>
  </si>
  <si>
    <t>M2693</t>
  </si>
  <si>
    <t>CHAPA MÚLTIPLA MP 152 REVESTIDA EM EPÓXI - E = 6,4 MM E D = 6,85 M</t>
  </si>
  <si>
    <t>M2694</t>
  </si>
  <si>
    <t>CHAPA MÚLTIPLA MP 152 REVESTIDA EM EPÓXI - E = 6,4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</si>
  <si>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</si>
  <si>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</si>
  <si>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</si>
  <si>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</si>
  <si>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</si>
  <si>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</si>
  <si>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M2700</t>
  </si>
  <si>
    <t>BSCC - SEÇÃO DE 1,5 M X 1,5 M - TIPO I - PRÉ-MOLDADO COMERCIAL</t>
  </si>
  <si>
    <t>M2701</t>
  </si>
  <si>
    <t>BSCC - SEÇÃO DE 1,5 M X 1,5 M - TIPO II - PRÉ-MOLDADO COMERCIAL</t>
  </si>
  <si>
    <t>M2702</t>
  </si>
  <si>
    <t>BSCC - SEÇÃO DE 1,5 M X 1,5 M - TIPO III - PRÉ-MOLDADO COMERCIAL</t>
  </si>
  <si>
    <t>M2703</t>
  </si>
  <si>
    <t>BSCC - SEÇÃO DE 1,5 M X 1,5 M - TIPO IV - PRÉ-MOLDADO COMERCIAL</t>
  </si>
  <si>
    <t>M2704</t>
  </si>
  <si>
    <t>BSCC - SEÇÃO DE 1,5 M X 1,5 M - TIPO V - PRÉ-MOLDADO COMERCIAL</t>
  </si>
  <si>
    <t>M2705</t>
  </si>
  <si>
    <t>BSCC - SEÇÃO DE 1,5 M X 1,5 M - TIPO VI - PRÉ-MOLDADO COMERCIAL</t>
  </si>
  <si>
    <t>M2706</t>
  </si>
  <si>
    <t>BSCC - SEÇÃO DE 1,5 M X 1,5 M - TIPO VII - PRÉ-MOLDADO COMERCIAL</t>
  </si>
  <si>
    <t>M2707</t>
  </si>
  <si>
    <t>BSCC - SEÇÃO DE 2,0 M X 2,0 M - TIPO I - PRÉ-MOLDADO COMERCIAL</t>
  </si>
  <si>
    <t>M2708</t>
  </si>
  <si>
    <t>BSCC - SEÇÃO DE 2,0 M X 2,0 M - TIPO II - PRÉ-MOLDADO COMERCIAL</t>
  </si>
  <si>
    <t>M2709</t>
  </si>
  <si>
    <t>BSCC - SEÇÃO DE 2,0 M X 2,0 M - TIPO III - PRÉ-MOLDADO COMERCIAL</t>
  </si>
  <si>
    <t>M2710</t>
  </si>
  <si>
    <t>BSCC - SEÇÃO DE 2,0 M X 2,0 M - TIPO IV - PRÉ-MOLDADO COMERCIAL</t>
  </si>
  <si>
    <t>M2711</t>
  </si>
  <si>
    <t>BSCC - SEÇÃO DE 2,0 M X 2,0 M - TIPO V - PRÉ-MOLDADO COMERCIAL</t>
  </si>
  <si>
    <t>M2712</t>
  </si>
  <si>
    <t>BSCC - SEÇÃO DE 2,0 M X 2,0 M - TIPO VI - PRÉ-MOLDADO COMERCIAL</t>
  </si>
  <si>
    <t>M2713</t>
  </si>
  <si>
    <t>BSCC - SEÇÃO DE 2,0 M X 2,0 M - TIPO VII - PRÉ-MOLDADO COMERCIAL</t>
  </si>
  <si>
    <t>M2714</t>
  </si>
  <si>
    <t>BSCC - SEÇÃO DE 2,5 M X 2,5 M - TIPO I - PRÉ-MOLDADO COMERCIAL</t>
  </si>
  <si>
    <t>M2715</t>
  </si>
  <si>
    <t>BSCC - SEÇÃO DE 2,5 M X 2,5 M - TIPO II - PRÉ-MOLDADO COMERCIAL</t>
  </si>
  <si>
    <t>M2716</t>
  </si>
  <si>
    <t>BSCC - SEÇÃO DE 2,5 M X 2,5 M - TIPO III - PRÉ-MOLDADO COMERCIAL</t>
  </si>
  <si>
    <t>M2717</t>
  </si>
  <si>
    <t>BSCC - SEÇÃO DE 2,5 M X 2,5 M - TIPO IV - PRÉ-MOLDADO COMERCIAL</t>
  </si>
  <si>
    <t>M2718</t>
  </si>
  <si>
    <t>BSCC - SEÇÃO DE 2,5 M X 2,5 M - TIPO V - PRÉ-MOLDADO COMERCIAL</t>
  </si>
  <si>
    <t>M2719</t>
  </si>
  <si>
    <t>BSCC - SEÇÃO DE 2,5 M X 2,5 M - TIPO VI - PRÉ-MOLDADO COMERCIAL</t>
  </si>
  <si>
    <t>M2720</t>
  </si>
  <si>
    <t>BSCC - SEÇÃO DE 2,5 M X 2,5 M - TIPO VII - PRÉ-MOLDADO COMERCIAL</t>
  </si>
  <si>
    <t>M2721</t>
  </si>
  <si>
    <t>BSCC - SEÇÃO DE 3,0 M X 3,0 M - TIPO I - PRÉ-MOLDADO COMERCIAL</t>
  </si>
  <si>
    <t>M2722</t>
  </si>
  <si>
    <t>BSCC - SEÇÃO DE 3,0 M X 3,0 M - TIPO II - PRÉ-MOLDADO COMERCIAL</t>
  </si>
  <si>
    <t>M2723</t>
  </si>
  <si>
    <t>BSCC - SEÇÃO DE 3,0 M X 3,0 M - TIPO III - PRÉ-MOLDADO COMERCIAL</t>
  </si>
  <si>
    <t>M2724</t>
  </si>
  <si>
    <t>BSCC - SEÇÃO DE 3,0 M X 3,0 M - TIPO IV - PRÉ-MOLDADO COMERCIAL</t>
  </si>
  <si>
    <t>M2725</t>
  </si>
  <si>
    <t>BSCC - SEÇÃO DE 3,0 M X 3,0 M - TIPO V - PRÉ-MOLDADO COMERCIAL</t>
  </si>
  <si>
    <t>M2726</t>
  </si>
  <si>
    <t>BSCC - SEÇÃO DE 3,0 M X 3,0 M - TIPO VI - PRÉ-MOLDADO COMERCIAL</t>
  </si>
  <si>
    <t>M2727</t>
  </si>
  <si>
    <t>BSCC - SEÇÃO DE 3,0 M X 3,0 M - TIPO VII - PRÉ-MOLDADO COMERCIAL</t>
  </si>
  <si>
    <t>M2728</t>
  </si>
  <si>
    <t>BSCC - SEÇÃO CANAL DE 1,5 M X 1,5 M - PRÉ-MOLDADO COMERCIAL</t>
  </si>
  <si>
    <t>M2729</t>
  </si>
  <si>
    <t>BSCC - SEÇÃO CANAL DE 2,0 M X 1,5 M - PRÉ-MOLDADO COMERCIAL</t>
  </si>
  <si>
    <t>M2730</t>
  </si>
  <si>
    <t>BSCC - SEÇÃO CANAL DE 2,0 M X 2,0 M - TIPO I - PRÉ-MOLDADO COMERCIAL</t>
  </si>
  <si>
    <t>M2731</t>
  </si>
  <si>
    <t>BSCC - SEÇÃO CANAL DE 2,0 M X 2,0 M - TIPO II - PRÉ-MOLDADO COMERCIAL</t>
  </si>
  <si>
    <t>M2732</t>
  </si>
  <si>
    <t>BSCC - SEÇÃO CANAL DE 2,5 M X 1,5 M - PRÉ-MOLDADO COMERCIAL</t>
  </si>
  <si>
    <t>M2733</t>
  </si>
  <si>
    <t>BSCC - SEÇÃO CANAL DE 2,5 M X 2,0 M - TIPO I - PRÉ-MOLDADO COMERCIAL</t>
  </si>
  <si>
    <t>M2734</t>
  </si>
  <si>
    <t>BSCC - SEÇÃO CANAL DE 2,5 M X 2,0 M - TIPO II - PRÉ-MOLDADO COMERCIAL</t>
  </si>
  <si>
    <t>M2735</t>
  </si>
  <si>
    <t>BSCC - SEÇÃO CANAL DE 3,0 M X 1,5 M - PRÉ-MOLDADO COMERCIAL</t>
  </si>
  <si>
    <t>M2736</t>
  </si>
  <si>
    <t>BSCC - SEÇÃO CANAL DE 3,0 M X 2,0 M - TIPO I - PRÉ-MOLDADO COMERCIAL</t>
  </si>
  <si>
    <t>M2737</t>
  </si>
  <si>
    <t>BSCC - SEÇÃO CANAL DE 3,0 M X 2,0 M - TIPO II - PRÉ-MOLDADO COMERCIAL</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</si>
  <si>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</si>
  <si>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</si>
  <si>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</si>
  <si>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</si>
  <si>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</si>
  <si>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</si>
  <si>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</si>
  <si>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</si>
  <si>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</si>
  <si>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</si>
  <si>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</si>
  <si>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</si>
  <si>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</si>
  <si>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</si>
  <si>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</si>
  <si>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</si>
  <si>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</si>
  <si>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</si>
  <si>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</si>
  <si>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</si>
  <si>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</si>
  <si>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</si>
  <si>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</si>
  <si>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</si>
  <si>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</si>
  <si>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</si>
  <si>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</si>
  <si>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</si>
  <si>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</si>
  <si>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</si>
  <si>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</si>
  <si>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</si>
  <si>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</si>
  <si>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</si>
  <si>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</si>
  <si>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</si>
  <si>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</si>
  <si>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</si>
  <si>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</si>
  <si>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</si>
  <si>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</si>
  <si>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</si>
  <si>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</si>
  <si>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</si>
  <si>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</si>
  <si>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</si>
  <si>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</si>
  <si>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</si>
  <si>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</si>
  <si>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</si>
  <si>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</si>
  <si>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</si>
  <si>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</si>
  <si>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</si>
  <si>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</si>
  <si>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</si>
  <si>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</si>
  <si>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</si>
  <si>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</si>
  <si>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</si>
  <si>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</si>
  <si>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</si>
  <si>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</si>
  <si>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</si>
  <si>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</si>
  <si>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</si>
  <si>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</si>
  <si>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</si>
  <si>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</si>
  <si>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</si>
  <si>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</si>
  <si>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</si>
  <si>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</si>
  <si>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</si>
  <si>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</si>
  <si>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</si>
  <si>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</si>
  <si>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</si>
  <si>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</si>
  <si>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</si>
  <si>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</si>
  <si>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TUNNEL LINER DE CHAPA GALVANIZADA - E = 2,7 MM E D = 1,2 M</t>
  </si>
  <si>
    <t>M2781</t>
  </si>
  <si>
    <t>TUNNEL LINER DE CHAPA GALVANIZADA - E = 2,7 MM E D = 1,4 M</t>
  </si>
  <si>
    <t>M2782</t>
  </si>
  <si>
    <t>TUNNEL LINER DE CHAPA GALVANIZADA - E = 2,7 MM E D = 1,6 M</t>
  </si>
  <si>
    <t>M2783</t>
  </si>
  <si>
    <t>TUNNEL LINER DE CHAPA GALVANIZADA - E = 2,7 MM E D = 1,8 M</t>
  </si>
  <si>
    <t>M2784</t>
  </si>
  <si>
    <t>TUNNEL LINER DE CHAPA GALVANIZADA - E = 2,7 MM E D = 2,0 M</t>
  </si>
  <si>
    <t>M2785</t>
  </si>
  <si>
    <t>TUNNEL LINER DE CHAPA GALVANIZADA - E = 3,4 MM E D = 2,2 M</t>
  </si>
  <si>
    <t>M2786</t>
  </si>
  <si>
    <t>TUNNEL LINER DE CHAPA GALVANIZADA - E = 3,4 MM E D = 2,4 M</t>
  </si>
  <si>
    <t>M2787</t>
  </si>
  <si>
    <t>TUNNEL LINER DE CHAPA GALVANIZADA - E = 3,4 MM E D = 2,6 M</t>
  </si>
  <si>
    <t>M2788</t>
  </si>
  <si>
    <t>TUNNEL LINER DE CHAPA GALVANIZADA - E = 3,4 MM E D = 2,8 M</t>
  </si>
  <si>
    <t>M2789</t>
  </si>
  <si>
    <t>TUNNEL LINER DE CHAPA GALVANIZADA - E = 3,4 MM E D = 3,0 M</t>
  </si>
  <si>
    <t>M2790</t>
  </si>
  <si>
    <t>TUNNEL LINER DE CHAPA GALVANIZADA - E = 3,4 MM E D = 3,2 M</t>
  </si>
  <si>
    <t>M2791</t>
  </si>
  <si>
    <t>TUNNEL LINER DE CHAPA GALVANIZADA - E = 3,9 MM E D = 3,4 M</t>
  </si>
  <si>
    <t>M2792</t>
  </si>
  <si>
    <t>TUNNEL LINER DE CHAPA GALVANIZADA - E = 3,9 MM E D = 3,6 M</t>
  </si>
  <si>
    <t>M2793</t>
  </si>
  <si>
    <t>TUNNEL LINER DE CHAPA GALVANIZADA - E = 3,9 MM E D = 3,8 M</t>
  </si>
  <si>
    <t>M2794</t>
  </si>
  <si>
    <t>TUNNEL LINER DE CHAPA GALVANIZADA - E = 3,9 MM E D = 4,0 M</t>
  </si>
  <si>
    <t>M2795</t>
  </si>
  <si>
    <t>TUNNEL LINER DE CHAPA GALVANIZADA - E = 3,9 MM E D = 4,2 M</t>
  </si>
  <si>
    <t>M2796</t>
  </si>
  <si>
    <t>TUNNEL LINER DE CHAPA GALVANIZADA - E = 3,9 MM E D = 4,4 M</t>
  </si>
  <si>
    <t>M2797</t>
  </si>
  <si>
    <t>TUNNEL LINER DE CHAPA GALVANIZADA - E = 3,9 MM E D = 4,6 M</t>
  </si>
  <si>
    <t>M2798</t>
  </si>
  <si>
    <t>TUNNEL LINER DE CHAPA GALVANIZADA - E = 4,7 MM E D = 4,8 M</t>
  </si>
  <si>
    <t>M2799</t>
  </si>
  <si>
    <t>TUNNEL LINER DE CHAPA GALVANIZADA - E = 4,7 MM E D = 5,0 M</t>
  </si>
  <si>
    <t>M2800</t>
  </si>
  <si>
    <t>TUNNEL LINER DE CHAPA COM EPÓXI - E = 2,7 MM E D = 1,2 M</t>
  </si>
  <si>
    <t>M2801</t>
  </si>
  <si>
    <t>TUNNEL LINER DE CHAPA COM EPÓXI - E = 2,7 MM E D = 1,4 M</t>
  </si>
  <si>
    <t>M2802</t>
  </si>
  <si>
    <t>TUNNEL LINER DE CHAPA COM EPÓXI - E = 2,7 MM E D = 1,6 M</t>
  </si>
  <si>
    <t>M2803</t>
  </si>
  <si>
    <t>TUNNEL LINER DE CHAPA COM EPÓXI - E = 2,7 MM E D = 1,8 M</t>
  </si>
  <si>
    <t>M2804</t>
  </si>
  <si>
    <t>TUNNEL LINER DE CHAPA COM EPÓXI - E = 2,7 MM E D = 2,0 M</t>
  </si>
  <si>
    <t>M2805</t>
  </si>
  <si>
    <t>TUNNEL LINER DE CHAPA COM EPÓXI - E = 3,4 MM E D = 2,2 M</t>
  </si>
  <si>
    <t>M2806</t>
  </si>
  <si>
    <t>TUNNEL LINER DE CHAPA COM EPÓXI - E = 3,4 MM E D = 2,4 M</t>
  </si>
  <si>
    <t>M2807</t>
  </si>
  <si>
    <t>TUNNEL LINER DE CHAPA COM EPÓXI - E = 3,4 MM E D = 2,6 M</t>
  </si>
  <si>
    <t>M2808</t>
  </si>
  <si>
    <t>TUNNEL LINER DE CHAPA COM EPÓXI - E = 3,4 MM E D = 2,8 M</t>
  </si>
  <si>
    <t>M2809</t>
  </si>
  <si>
    <t>TUNNEL LINER DE CHAPA COM EPÓXI - E = 3,4 MM E D = 3,0 M</t>
  </si>
  <si>
    <t>M2810</t>
  </si>
  <si>
    <t>TUNNEL LINER DE CHAPA COM EPÓXI - E = 3,4 MM E D = 3,2 M</t>
  </si>
  <si>
    <t>M2811</t>
  </si>
  <si>
    <t>CHAPA MÚLTIPLA MP 152 GALVANIZADA LENTICULAR - E = 2,7 MM, VÃO = 1,95 M E H = 1,40 M</t>
  </si>
  <si>
    <t>M2812</t>
  </si>
  <si>
    <t>CHAPA MÚLTIPLA MP 152 GALVANIZADA LENTICULAR - E = 2,7 MM, VÃO = 2,15 M E H = 1,50 M</t>
  </si>
  <si>
    <t>M2813</t>
  </si>
  <si>
    <t>CHAPA MÚLTIPLA MP 152 GALVANIZADA LENTICULAR - E = 2,7 MM, VÃO = 2,30 M E H = 1,60 M</t>
  </si>
  <si>
    <t>M2814</t>
  </si>
  <si>
    <t>CHAPA MÚLTIPLA MP 152 GALVANIZADA LENTICULAR - E = 2,7 MM, VÃO = 2,55 M E H = 1,65 M</t>
  </si>
  <si>
    <t>M2815</t>
  </si>
  <si>
    <t>CHAPA MÚLTIPLA MP 152 GALVANIZADA LENTICULAR - E = 2,7 MM, VÃO = 2,70 M E H = 1,85 M</t>
  </si>
  <si>
    <t>M2816</t>
  </si>
  <si>
    <t>CHAPA MÚLTIPLA MP 152 GALVANIZADA LENTICULAR - E = 2,7 MM, VÃO = 2,75 M E H = 1,90 M</t>
  </si>
  <si>
    <t>M2817</t>
  </si>
  <si>
    <t>CHAPA MÚLTIPLA MP 152 GALVANIZADA LENTICULAR - E = 2,7 MM, VÃO = 3,00 M E H = 2,00 M</t>
  </si>
  <si>
    <t>M2818</t>
  </si>
  <si>
    <t>CHAPA MÚLTIPLA MP 152 GALVANIZADA LENTICULAR - E = 2,7 MM, VÃO = 3,20 M E H = 2,10 M</t>
  </si>
  <si>
    <t>M2819</t>
  </si>
  <si>
    <t>CHAPA MÚLTIPLA MP 152 GALVANIZADA LENTICULAR - E = 2,7 MM, VÃO = 3,35 M E H = 2,15 M</t>
  </si>
  <si>
    <t>M2820</t>
  </si>
  <si>
    <t>CHAPA MÚLTIPLA MP 152 GALVANIZADA LENTICULAR - E = 2,7 MM, VÃO = 3,55 M E H = 2,25 M</t>
  </si>
  <si>
    <t>M2821</t>
  </si>
  <si>
    <t>CHAPA MÚLTIPLA MP 152 GALVANIZADA LENTICULAR - E = 2,7 MM, VÃO = 3,70 M E H = 2,35 M</t>
  </si>
  <si>
    <t>M2822</t>
  </si>
  <si>
    <t>CHAPA MÚLTIPLA MP 152 GALVANIZADA LENTICULAR - E = 2,7 MM, VÃO = 3,90 M E H = 2,45 M</t>
  </si>
  <si>
    <t>M2823</t>
  </si>
  <si>
    <t>CHAPA MÚLTIPLA MP 152 GALVANIZADA LENTICULAR - E = 2,7 MM, VÃO = 4,00 M E H = 2,55 M</t>
  </si>
  <si>
    <t>M2824</t>
  </si>
  <si>
    <t>CHAPA MÚLTIPLA MP 152 GALVANIZADA LENTICULAR - E = 2,7 MM, VÃO = 4,15 M E H = 2,80 M</t>
  </si>
  <si>
    <t>M2825</t>
  </si>
  <si>
    <t>CHAPA MÚLTIPLA MP 152 GALVANIZADA LENTICULAR - E = 2,7 MM, VÃO = 4,40 M E H = 2,90 M</t>
  </si>
  <si>
    <t>M2826</t>
  </si>
  <si>
    <t>CHAPA MÚLTIPLA MP 152 GALVANIZADA LENTICULAR - E = 2,7 MM, VÃO = 4,60 M E H = 3,00 M</t>
  </si>
  <si>
    <t>M2827</t>
  </si>
  <si>
    <t>CHAPA MÚLTIPLA MP 152 GALVANIZADA LENTICULAR - E = 3,4 MM, VÃO = 4,80 M E H = 3,05 M</t>
  </si>
  <si>
    <t>M2828</t>
  </si>
  <si>
    <t>CHAPA MÚLTIPLA MP 152 GALVANIZADA LENTICULAR - E = 3,4 MM, VÃO = 5,05 M E H = 3,15 M</t>
  </si>
  <si>
    <t>M2829</t>
  </si>
  <si>
    <t>CHAPA MÚLTIPLA MP 152 GALVANIZADA LENTICULAR - E = 3,4 MM, VÃO = 5,25 M E H = 3,25 M</t>
  </si>
  <si>
    <t>M2830</t>
  </si>
  <si>
    <t>CHAPA MÚLTIPLA MP 152 GALVANIZADA LENTICULAR - E = 3,9 MM, VÃO = 5,45 M E H = 3,35 M</t>
  </si>
  <si>
    <t>M2831</t>
  </si>
  <si>
    <t>CHAPA MÚLTIPLA MP 152 GALVANIZADA LENTICULAR - E = 3,9 MM, VÃO = 5,60 M E H = 3,40 M</t>
  </si>
  <si>
    <t>M2832</t>
  </si>
  <si>
    <t>CHAPA MÚLTIPLA MP 152 GALVANIZADA LENTICULAR - E = 4,7 MM, VÃO = 5,80 M E H = 3,50 M</t>
  </si>
  <si>
    <t>M2833</t>
  </si>
  <si>
    <t>CHAPA MÚLTIPLA MP 152 GALVANIZADA LENTICULAR - E = 4,7 MM, VÃO = 5,90 M E H = 3,55 M</t>
  </si>
  <si>
    <t>M2834</t>
  </si>
  <si>
    <t>CHAPA MÚLTIPLA MP 152 GALVANIZADA LENTICULAR - E = 4,7 MM, VÃO = 6,10 M E H = 3,65 M</t>
  </si>
  <si>
    <t>M2835</t>
  </si>
  <si>
    <t>CHAPA MÚLTIPLA MP 152 GALVANIZADA LENTICULAR - E = 4,7 MM, VÃO = 6,25 M E H = 3,65 M</t>
  </si>
  <si>
    <t>M2836</t>
  </si>
  <si>
    <t>CHAPA MÚLTIPLA MP 152 GALVANIZADA LENTICULAR - E = 6,4 MM, VÃO = 6,40 M E H = 3,75 M</t>
  </si>
  <si>
    <t>M2837</t>
  </si>
  <si>
    <t>CHAPA MÚLTIPLA MP 152 GALVANIZADA LENTICULAR - E = 6,4 MM, VÃO = 6,60 M E H = 3,85 M</t>
  </si>
  <si>
    <t>M2838</t>
  </si>
  <si>
    <t>CHAPA MÚLTIPLA MP 152 GALVANIZADA PARA PASSAGEM DE GADO - E = 2,7 MM, VÃO = 2,20 M E H = 2,25 M</t>
  </si>
  <si>
    <t>M2839</t>
  </si>
  <si>
    <t>CHAPA MÚLTIPLA MP 152 GALVANIZADA PARA PASSAGEM DE GADO - E = 2,7 MM, VÃO = 2,90 M E H = 3,10 M</t>
  </si>
  <si>
    <t>M2840</t>
  </si>
  <si>
    <t>CHAPA MÚLTIPLA MP 152 GALVANIZADA PARA PASSAGEM INFERIOR - E = 2,7 MM, VÃO = 3,70 M E H = 3,50 M</t>
  </si>
  <si>
    <t>M2841</t>
  </si>
  <si>
    <t>CHAPA MÚLTIPLA MP 152 GALVANIZADA PARA PASSAGEM INFERIOR - E = 2,7 MM, VÃO = 3,90 M E H = 3,60 M</t>
  </si>
  <si>
    <t>M2842</t>
  </si>
  <si>
    <t>CHAPA MÚLTIPLA MP 152 GALVANIZADA PARA PASSAGEM INFERIOR - E = 2,7 MM, VÃO = 4,00 M E H = 3,75 M</t>
  </si>
  <si>
    <t>M2843</t>
  </si>
  <si>
    <t>CHAPA MÚLTIPLA MP 152 GALVANIZADA PARA PASSAGEM INFERIOR - E = 2,7 MM, VÃO = 4,20 M E H = 3,90 M</t>
  </si>
  <si>
    <t>M2844</t>
  </si>
  <si>
    <t>CHAPA MÚLTIPLA MP 152 GALVANIZADA PARA PASSAGEM INFERIOR - E = 2,7 MM, VÃO = 4,25 M E H = 4,10 M</t>
  </si>
  <si>
    <t>M2845</t>
  </si>
  <si>
    <t>CHAPA MÚLTIPLA MP 152 GALVANIZADA PARA PASSAGEM INFERIOR - E = 2,7 MM, VÃO = 4,40 M E H = 4,25 M</t>
  </si>
  <si>
    <t>M2846</t>
  </si>
  <si>
    <t>CHAPA MÚLTIPLA MP 152 GALVANIZADA PARA PASSAGEM INFERIOR - E = 2,7 MM, VÃO = 4,50 M E H = 4,40 M</t>
  </si>
  <si>
    <t>M2847</t>
  </si>
  <si>
    <t>CHAPA MÚLTIPLA MP 152 GALVANIZADA PARA PASSAGEM INFERIOR - E = 3,4 MM, VÃO = 4,70 M E H = 4,50 M</t>
  </si>
  <si>
    <t>M2848</t>
  </si>
  <si>
    <t>CHAPA MÚLTIPLA MP 152 GALVANIZADA PARA PASSAGEM INFERIOR - E = 3,4 MM, VÃO = 4,80 M E H = 4,75 M</t>
  </si>
  <si>
    <t>M2849</t>
  </si>
  <si>
    <t>CHAPA MÚLTIPLA MP 152 GALVANIZADA PARA PASSAGEM INFERIOR - E = 3,4 MM, VÃO = 5,00 M E H = 4,85 M</t>
  </si>
  <si>
    <t>M2850</t>
  </si>
  <si>
    <t>CHAPA MÚLTIPLA MP 152 GALVANIZADA PARA PASSAGEM INFERIOR - E = 3,4 MM, VÃO = 5,15 M E H = 4,90 M</t>
  </si>
  <si>
    <t>M2851</t>
  </si>
  <si>
    <t>CHAPA MÚLTIPLA MP 152 GALVANIZADA PARA PASSAGEM INFERIOR - E = 3,4 MM, VÃO = 5,25 M E H = 5,00 M</t>
  </si>
  <si>
    <t>M2852</t>
  </si>
  <si>
    <t>CHAPA MÚLTIPLA MP 152 GALVANIZADA PARA PASSAGEM INFERIOR - E = 3,4 MM, VÃO = 5,30 M E H = 5,30 M</t>
  </si>
  <si>
    <t>M2853</t>
  </si>
  <si>
    <t>CHAPA MÚLTIPLA MP 152 GALVANIZADA PARA PASSAGEM INFERIOR - E = 3,9 MM, VÃO = 5,65 M E H = 5,25 M</t>
  </si>
  <si>
    <t>M2854</t>
  </si>
  <si>
    <t>CHAPA MÚLTIPLA MP 152 GALVANIZADA PARA PASSAGEM INFERIOR - E = 4,7 MM, VÃO = 5,85 M E H = 5,30 M</t>
  </si>
  <si>
    <t>M2855</t>
  </si>
  <si>
    <t>CHAPA MÚLTIPLA MP 152 GALVANIZADA PARA PASSAGEM INFERIOR - E = 4,7 MM, VÃO = 6,00 M E H = 5,45 M</t>
  </si>
  <si>
    <t>M2856</t>
  </si>
  <si>
    <t>CHAPA MÚLTIPLA MP 152 GALVANIZADA PARA PASSAGEM INFERIOR - E = 4,7 MM, VÃO = 6,25 M E H = 5,50 M</t>
  </si>
  <si>
    <t>M2857</t>
  </si>
  <si>
    <t>CHAPA MÚLTIPLA MP 152S GALVANIZADA DE ARCO ALTO - E = 4,7 MM, VÃO = 6,12 M E H = 2,77 M</t>
  </si>
  <si>
    <t>M2858</t>
  </si>
  <si>
    <t>CHAPA MÚLTIPLA MP 152S GALVANIZADA DE ARCO ALTO - E = 4,7 MM, VÃO = 6,30 M E H = 3,68 M</t>
  </si>
  <si>
    <t>M2859</t>
  </si>
  <si>
    <t>CHAPA MÚLTIPLA MP 152S GALVANIZADA DE ARCO ALTO - E = 4,7 MM, VÃO = 6,55 M E H = 3,56 M</t>
  </si>
  <si>
    <t>M2860</t>
  </si>
  <si>
    <t>CHAPA MÚLTIPLA MP 152S GALVANIZADA DE ARCO ALTO - E = 4,7 MM, VÃO = 6,96 M E H = 4,42 M</t>
  </si>
  <si>
    <t>M2861</t>
  </si>
  <si>
    <t>CHAPA MÚLTIPLA MP 152S GALVANIZADA DE ARCO ALTO - E = 4,7 MM, VÃO = 6,78 M E H = 3,61 M</t>
  </si>
  <si>
    <t>M2862</t>
  </si>
  <si>
    <t>CHAPA MÚLTIPLA MP 152S GALVANIZADA DE ARCO ALTO - E = 4,7 MM, VÃO = 6,99 M E H = 4,27 M</t>
  </si>
  <si>
    <t>M2863</t>
  </si>
  <si>
    <t>CHAPA MÚLTIPLA MP 152S GALVANIZADA DE ARCO ALTO - E = 4,7 MM, VÃO = 7,01 M E H = 3,63 M</t>
  </si>
  <si>
    <t>M2864</t>
  </si>
  <si>
    <t>CHAPA MÚLTIPLA MP 152S GALVANIZADA DE ARCO ALTO - E = 4,7 MM, VÃO = 7,42 M E H = 4,52 M</t>
  </si>
  <si>
    <t>M2865</t>
  </si>
  <si>
    <t>CHAPA MÚLTIPLA MP 152S GALVANIZADA DE ARCO ALTO - E = 4,7 MM, VÃO = 7,24 M E H = 3,68 M</t>
  </si>
  <si>
    <t>M2866</t>
  </si>
  <si>
    <t>CHAPA MÚLTIPLA MP 152S GALVANIZADA DE ARCO ALTO - E = 4,7 MM, VÃO = 7,47 M E H = 4,19 M</t>
  </si>
  <si>
    <t>M2867</t>
  </si>
  <si>
    <t>CHAPA MÚLTIPLA MP 152S GALVANIZADA DE ARCO ALTO - E = 4,7 MM, VÃO = 7,85 M E H = 4,60 M</t>
  </si>
  <si>
    <t>M2868</t>
  </si>
  <si>
    <t>CHAPA MÚLTIPLA MP 152S GALVANIZADA DE ARCO ALTO - E = 4,7 MM, VÃO = 7,67 M E H = 3,99 M</t>
  </si>
  <si>
    <t>M2869</t>
  </si>
  <si>
    <t>CHAPA MÚLTIPLA MP 152S GALVANIZADA DE ARCO ALTO - E = 4,7 MM, VÃO = 8,08 M E H = 4,65 M</t>
  </si>
  <si>
    <t>M2870</t>
  </si>
  <si>
    <t>CHAPA MÚLTIPLA MP 152S GALVANIZADA DE ARCO ALTO - E = 4,7 MM, VÃO = 7,90 M E H = 4,04 M</t>
  </si>
  <si>
    <t>M2871</t>
  </si>
  <si>
    <t>CHAPA MÚLTIPLA MP 152S GALVANIZADA DE ARCO ALTO - E = 4,7 MM, VÃO = 8,31 M E H = 4,70 M</t>
  </si>
  <si>
    <t>M2872</t>
  </si>
  <si>
    <t>CHAPA MÚLTIPLA MP 152S GALVANIZADA DE ARCO ALTO - E = 4,7 MM, VÃO = 8,36 M E H = 4,11 M</t>
  </si>
  <si>
    <t>M2873</t>
  </si>
  <si>
    <t>CHAPA MÚLTIPLA MP 152S GALVANIZADA DE ARCO ALTO - E = 4,7 MM, VÃO = 8,97 M E H = 5,00 M</t>
  </si>
  <si>
    <t>M2874</t>
  </si>
  <si>
    <t>CHAPA MÚLTIPLA MP 152S GALVANIZADA DE ARCO ALTO - E = 4,7 MM, VÃO = 8,59 M E H = 4,39 M</t>
  </si>
  <si>
    <t>M2875</t>
  </si>
  <si>
    <t>CHAPA MÚLTIPLA MP 152S GALVANIZADA DE ARCO ALTO - E = 4,7 MM, VÃO = 9,17 M E H = 5,49 M</t>
  </si>
  <si>
    <t>M2876</t>
  </si>
  <si>
    <t>CHAPA MÚLTIPLA MP 152S GALVANIZADA DE ARCO ALTO - E = 4,7 MM, VÃO = 9,22 M E H = 4,70 M</t>
  </si>
  <si>
    <t>M2877</t>
  </si>
  <si>
    <t>CHAPA MÚLTIPLA MP 152S GALVANIZADA DE ARCO ALTO - E = 4,7 MM, VÃO = 9,63 M E H = 5,59 M</t>
  </si>
  <si>
    <t>M2878</t>
  </si>
  <si>
    <t>CHAPA MÚLTIPLA MP 152S GALVANIZADA DE ARCO ALTO - E = 4,7 MM, VÃO = 9,45 M E H = 4,75 M</t>
  </si>
  <si>
    <t>M2879</t>
  </si>
  <si>
    <t>CHAPA MÚLTIPLA MP 152S GALVANIZADA DE ARCO ALTO - E = 4,7 MM, VÃO = 9,65 M E H = 5,41 M</t>
  </si>
  <si>
    <t>M2880</t>
  </si>
  <si>
    <t>CHAPA MÚLTIPLA MP 152S GALVANIZADA DE ARCO ALTO - E = 4,7 MM, VÃO = 9,86 M E H = 6,07 M</t>
  </si>
  <si>
    <t>M2881</t>
  </si>
  <si>
    <t>CHAPA MÚLTIPLA MP 152S GALVANIZADA DE ARCO ALTO - E = 4,7 MM, VÃO = 9,68 M E H = 5,23 M</t>
  </si>
  <si>
    <t>M2882</t>
  </si>
  <si>
    <t>CHAPA MÚLTIPLA MP 152S GALVANIZADA DE ARCO ALTO - E = 4,7 MM, VÃO = 10,08 M E H = 6,12 M</t>
  </si>
  <si>
    <t>M2883</t>
  </si>
  <si>
    <t>CHAPA MÚLTIPLA MP 152S GALVANIZADA DE ARCO ALTO - E = 4,7 MM, VÃO = 9,91 M E H = 5,28 M</t>
  </si>
  <si>
    <t>M2884</t>
  </si>
  <si>
    <t>CHAPA MÚLTIPLA MP 152S GALVANIZADA DE ARCO ALTO - E = 4,7 MM, VÃO = 10,31 M E H = 6,17 M</t>
  </si>
  <si>
    <t>M2885</t>
  </si>
  <si>
    <t>CHAPA MÚLTIPLA MP 152S GALVANIZADA DE ARCO ALTO - E = 4,7 MM, VÃO = 10,36 M E H = 5,38 M</t>
  </si>
  <si>
    <t>M2886</t>
  </si>
  <si>
    <t>CHAPA MÚLTIPLA MP 152S GALVANIZADA DE ARCO ALTO - E = 4,7 MM, VÃO = 10,54 M E H = 6,05 M</t>
  </si>
  <si>
    <t>M2887</t>
  </si>
  <si>
    <t>CHAPA MÚLTIPLA MP 152S GALVANIZADA DE ARCO ALTO - E = 4,7 MM, VÃO = 10,74 M E H = 6,48 M</t>
  </si>
  <si>
    <t>M2888</t>
  </si>
  <si>
    <t>CHAPA MÚLTIPLA MP 152S GALVANIZADA DE ARCO ALTO - E = 4,7 MM, VÃO = 11,35 M E H = 7,12 M</t>
  </si>
  <si>
    <t>M2889</t>
  </si>
  <si>
    <t>CHAPA MÚLTIPLA MP 152S GALVANIZADA DE ARCO ALTO - E = 6,4 MM, VÃO = 10,57 M E H = 5,41 M</t>
  </si>
  <si>
    <t>M2890</t>
  </si>
  <si>
    <t>CHAPA MÚLTIPLA MP 152S GALVANIZADA DE ARCO ALTO - E = 6,4 MM, VÃO = 10,77 M E H = 6,10 M</t>
  </si>
  <si>
    <t>M2891</t>
  </si>
  <si>
    <t>CHAPA MÚLTIPLA MP 152S GALVANIZADA DE ARCO ALTO - E = 6,4 MM, VÃO = 10,97 M E H = 6,53 M</t>
  </si>
  <si>
    <t>M2892</t>
  </si>
  <si>
    <t>CHAPA MÚLTIPLA MP 152S GALVANIZADA DE ARCO ALTO - E = 6,4 MM, VÃO = 11,58 M E H = 7,16 M</t>
  </si>
  <si>
    <t>M2893</t>
  </si>
  <si>
    <t>CHAPA MÚLTIPLA MP 152S GALVANIZADA OVOIDE - E = 4,7 MM, VÃO = 7,21 M E H = 7,82 M</t>
  </si>
  <si>
    <t>M2894</t>
  </si>
  <si>
    <t>CHAPA MÚLTIPLA MP 152S GALVANIZADA OVOIDE - E = 4,7 MM, VÃO = 7,31 M E H = 7,87 M</t>
  </si>
  <si>
    <t>M2895</t>
  </si>
  <si>
    <t>CHAPA MÚLTIPLA MP 152S GALVANIZADA OVOIDE - E = 4,7 MM, VÃO = 7,70 M E H = 7,90 M</t>
  </si>
  <si>
    <t>M2896</t>
  </si>
  <si>
    <t>CHAPA MÚLTIPLA MP 152S GALVANIZADA OVOIDE - E = 4,7 MM, VÃO = 7,57 M E H = 8,44 M</t>
  </si>
  <si>
    <t>M2897</t>
  </si>
  <si>
    <t>CHAPA MÚLTIPLA MP 152S GALVANIZADA OVOIDE - E = 4,7 MM, VÃO = 8,36 M E H = 8,23 M</t>
  </si>
  <si>
    <t>M2898</t>
  </si>
  <si>
    <t>CHAPA MÚLTIPLA MP 152S GALVANIZADA OVOIDE - E = 4,7 MM, VÃO = 8,13 M E H = 8,01 M</t>
  </si>
  <si>
    <t>M2899</t>
  </si>
  <si>
    <t>CHAPA MÚLTIPLA MP 152S GALVANIZADA OVOIDE - E = 4,7 MM, VÃO = 8,56 M E H = 8,48 M</t>
  </si>
  <si>
    <t>M2900</t>
  </si>
  <si>
    <t>CHAPA MÚLTIPLA MP 152S GALVANIZADA OVOIDE - E = 4,7 MM, VÃO = 8,71 M E H = 9,32 M</t>
  </si>
  <si>
    <t>M2901</t>
  </si>
  <si>
    <t>CHAPA MÚLTIPLA MP 152S GALVANIZADA OVOIDE - E = 4,7 MM, VÃO = 9,15 M E H = 9,04 M</t>
  </si>
  <si>
    <t>M2902</t>
  </si>
  <si>
    <t>CHAPA MÚLTIPLA MP 152S GALVANIZADA OVOIDE - E = 4,7 MM, VÃO = 9,15 M E H = 9,50 M</t>
  </si>
  <si>
    <t>M2979</t>
  </si>
  <si>
    <t>CHUMBADOR EM AÇO CA 25</t>
  </si>
  <si>
    <t>M3035</t>
  </si>
  <si>
    <t>MÃO FRANCESA EM AÇO</t>
  </si>
  <si>
    <t>M3087</t>
  </si>
  <si>
    <t>ANEL DE COMPENSAÇÃO ANGULAR EM CHAPA DE AÇO ASTM A36</t>
  </si>
  <si>
    <t>M3089</t>
  </si>
  <si>
    <t>ARAME LISO GALVANIZADO 18 BWG</t>
  </si>
  <si>
    <t>M3090</t>
  </si>
  <si>
    <t>PLACA DE ANCORAGEM PARA TIRANTE DE 160 X 160 X 20 MM</t>
  </si>
  <si>
    <t>M3091</t>
  </si>
  <si>
    <t>PORCA SEXTAVADA DE 20 MM A 40 MM PARA ANCORAGEM DE TIRANTES</t>
  </si>
  <si>
    <t>M3093</t>
  </si>
  <si>
    <t>TELA DE NYLON GRAMATURA 60 FIOS</t>
  </si>
  <si>
    <t>M3094</t>
  </si>
  <si>
    <t>TIRANTE DE AÇO ST 50/55 DE CAPACIDADE 210 KN - D = 32 MM</t>
  </si>
  <si>
    <t>M3126</t>
  </si>
  <si>
    <t>BARRA DE AÇO GALVANIZADO</t>
  </si>
  <si>
    <t>TINTA POLIÉSTER EM PÓ</t>
  </si>
  <si>
    <t>M3165</t>
  </si>
  <si>
    <t>CONCERTINA GALVANIZADA COM 4 ESPIRAS POR METRO - D = 450 MM</t>
  </si>
  <si>
    <t>M3170</t>
  </si>
  <si>
    <t>APOIO DE NEOPRENE SIMPLES DE 100 X 100 X 20 MM</t>
  </si>
  <si>
    <t>M3171</t>
  </si>
  <si>
    <t>PORCA SEXTAVADA DE 3/8"</t>
  </si>
  <si>
    <t>M3172</t>
  </si>
  <si>
    <t>PORCA SEXTAVADA GALVANIZADA M12, CLASSE 8.8 - D = 13 MM</t>
  </si>
  <si>
    <t>M3173</t>
  </si>
  <si>
    <t>PARAFUSO CABEÇA SEXTAVADA ZINCADO A FOGO M12 X 30, CLASSE 8.8 - D = 13 MM</t>
  </si>
  <si>
    <t>M3174</t>
  </si>
  <si>
    <t>CHUMBADOR EM AÇO SAE 1010/1020, BARRA CHATA GALVANIZADA, DE 60 X 4 MM</t>
  </si>
  <si>
    <t>M3177</t>
  </si>
  <si>
    <t>FITA METÁLICA SAE 1010/1020, BARRA CHATA GALVANIZADA, DE 50 X 4 MM</t>
  </si>
  <si>
    <t>M3178</t>
  </si>
  <si>
    <t>MATERIAL PARA ATERRO REFORÇADO COM FITAS METÁLICAS</t>
  </si>
  <si>
    <t>M3179</t>
  </si>
  <si>
    <t>TUBO PEAD PARA ESTAIS - D = 140 MM</t>
  </si>
  <si>
    <t>M3180</t>
  </si>
  <si>
    <t>TUBO PEAD PARA ESTAIS - D = 160 MM</t>
  </si>
  <si>
    <t>M3181</t>
  </si>
  <si>
    <t>TUBO PEAD PARA ESTAIS - D = 180 MM</t>
  </si>
  <si>
    <t>M3182</t>
  </si>
  <si>
    <t>TUBO PEAD PARA ESTAIS - D = 200 MM</t>
  </si>
  <si>
    <t>M3183</t>
  </si>
  <si>
    <t>TUBO PEAD PARA ESTAIS - D = 225 MM</t>
  </si>
  <si>
    <t>M3184</t>
  </si>
  <si>
    <t>TUBO PEAD PARA ESTAIS - D = 250 MM</t>
  </si>
  <si>
    <t>M3185</t>
  </si>
  <si>
    <t>TUBO PEAD PARA ESTAIS - D = 280 MM</t>
  </si>
  <si>
    <t>M3186</t>
  </si>
  <si>
    <t>TUBO PEAD PARA ESTAIS - D = 315 MM</t>
  </si>
  <si>
    <t>M3187</t>
  </si>
  <si>
    <t>TUBO ANTIVANDALISMO PARA ESTAIS EM AÇO GALVANIZADO PARA 12 CORDOALHAS - D = 15,7 MM</t>
  </si>
  <si>
    <t>M3188</t>
  </si>
  <si>
    <t>TUBO ANTIVANDALISMO PARA ESTAIS EM AÇO GALVANIZADO PARA 19 CORDOALHAS - D = 15,7 MM</t>
  </si>
  <si>
    <t>M3189</t>
  </si>
  <si>
    <t>TUBO ANTIVANDALISMO PARA ESTAIS EM AÇO GALVANIZADO PARA 22 CORDOALHAS - D = 15,7 MM</t>
  </si>
  <si>
    <t>M3190</t>
  </si>
  <si>
    <t>TUBO ANTIVANDALISMO PARA ESTAIS EM AÇO GALVANIZADO PARA 31 CORDOALHAS - D = 15,7 MM</t>
  </si>
  <si>
    <t>M3191</t>
  </si>
  <si>
    <t>TUBO ANTIVANDALISMO PARA ESTAIS EM AÇO GALVANIZADO PARA 37 CORDOALHAS - D = 15,7 MM</t>
  </si>
  <si>
    <t>M3192</t>
  </si>
  <si>
    <t>TUBO ANTIVANDALISMO PARA ESTAIS EM AÇO GALVANIZADO PARA 43 CORDOALHAS - D = 15,7 MM</t>
  </si>
  <si>
    <t>M3193</t>
  </si>
  <si>
    <t>TUBO ANTIVANDALISMO PARA ESTAIS EM AÇO GALVANIZADO PARA 55 CORDOALHAS - D = 15,7 MM</t>
  </si>
  <si>
    <t>M3194</t>
  </si>
  <si>
    <t>TUBO ANTIVANDALISMO PARA ESTAIS EM AÇO GALVANIZADO PARA 61 CORDOALHAS - D = 15,7 MM</t>
  </si>
  <si>
    <t>M3195</t>
  </si>
  <si>
    <t>TUBO ANTIVANDALISMO PARA ESTAIS EM AÇO GALVANIZADO PARA 73 CORDOALHAS - D = 15,7 MM</t>
  </si>
  <si>
    <t>M3196</t>
  </si>
  <si>
    <t>TUBO ANTIVANDALISMO PARA ESTAIS EM AÇO GALVANIZADO PARA 85 CORDOALHAS - D = 15,7 MM</t>
  </si>
  <si>
    <t>M3197</t>
  </si>
  <si>
    <t>TUBO ANTIVANDALISMO PARA ESTAIS EM AÇO GALVANIZADO PARA 91 CORDOALHAS - D = 15,7 MM</t>
  </si>
  <si>
    <t>M3198</t>
  </si>
  <si>
    <t>TUBO FORMA LADO FIXO PARA ESTAIS EM AÇO GALVANIZADO PARA 12 CORDOALHAS - D = 15,7 MM</t>
  </si>
  <si>
    <t>M3199</t>
  </si>
  <si>
    <t>TUBO FORMA LADO FIXO PARA ESTAIS EM AÇO GALVANIZADO PARA 19 CORDOALHAS - D = 15,7 MM</t>
  </si>
  <si>
    <t>M3200</t>
  </si>
  <si>
    <t>TUBO FORMA LADO FIXO PARA ESTAIS EM AÇO GALVANIZADO PARA 22 CORDOALHAS - D = 15,7 MM</t>
  </si>
  <si>
    <t>M3201</t>
  </si>
  <si>
    <t>TUBO FORMA LADO FIXO PARA ESTAIS EM AÇO GALVANIZADO PARA 31 CORDOALHAS - D = 15,7 MM</t>
  </si>
  <si>
    <t>M3202</t>
  </si>
  <si>
    <t>TUBO FORMA LADO FIXO PARA ESTAIS EM AÇO GALVANIZADO PARA 37 CORDOALHAS - D = 15,7 MM</t>
  </si>
  <si>
    <t>M3203</t>
  </si>
  <si>
    <t>TUBO FORMA LADO FIXO PARA ESTAIS EM AÇO GALVANIZADO PARA 43 CORDOALHAS - D = 15,7 MM</t>
  </si>
  <si>
    <t>M3204</t>
  </si>
  <si>
    <t>TUBO FORMA LADO FIXO PARA ESTAIS EM AÇO GALVANIZADO PARA 55 CORDOALHAS - D = 15,7 MM</t>
  </si>
  <si>
    <t>M3205</t>
  </si>
  <si>
    <t>TUBO FORMA LADO FIXO PARA ESTAIS EM AÇO GALVANIZADO PARA 61 CORDOALHAS - D = 15,7 MM</t>
  </si>
  <si>
    <t>M3206</t>
  </si>
  <si>
    <t>TUBO FORMA LADO FIXO PARA ESTAIS EM AÇO GALVANIZADO PARA 73 CORDOALHAS - D = 15,7 MM</t>
  </si>
  <si>
    <t>M3207</t>
  </si>
  <si>
    <t>TUBO FORMA LADO FIXO PARA ESTAIS EM AÇO GALVANIZADO PARA 85 CORDOALHAS - D = 15,7 MM</t>
  </si>
  <si>
    <t>M3208</t>
  </si>
  <si>
    <t>TUBO FORMA LADO FIXO PARA ESTAIS EM AÇO GALVANIZADO PARA 91 CORDOALHAS - D = 15,7 MM</t>
  </si>
  <si>
    <t>M3209</t>
  </si>
  <si>
    <t>TUBO FORMA LADO REGULÁVEL PARA ESTAIS EM AÇO GALVANIZADO PARA 12 CORDOALHAS - D = 15,7 MM</t>
  </si>
  <si>
    <t>M3210</t>
  </si>
  <si>
    <t>TUBO FORMA LADO REGULÁVEL PARA ESTAIS EM AÇO GALVANIZADO PARA 19 CORDOALHAS - D = 15,7 MM</t>
  </si>
  <si>
    <t>M3211</t>
  </si>
  <si>
    <t>TUBO FORMA LADO REGULÁVEL PARA ESTAIS EM AÇO GALVANIZADO PARA 22 CORDOALHAS - D = 15,7 MM</t>
  </si>
  <si>
    <t>M3212</t>
  </si>
  <si>
    <t>TUBO FORMA LADO REGULÁVEL PARA ESTAIS EM AÇO GALVANIZADO PARA 31 CORDOALHAS - D = 15,7 MM</t>
  </si>
  <si>
    <t>M3213</t>
  </si>
  <si>
    <t>TUBO FORMA LADO REGULÁVEL PARA ESTAIS EM AÇO GALVANIZADO PARA 37 CORDOALHAS - D = 15,7 MM</t>
  </si>
  <si>
    <t>M3214</t>
  </si>
  <si>
    <t>TUBO FORMA LADO REGULÁVEL PARA ESTAIS EM AÇO GALVANIZADO PARA 43 CORDOALHAS - D = 15,7 MM</t>
  </si>
  <si>
    <t>M3215</t>
  </si>
  <si>
    <t>TUBO FORMA LADO REGULÁVEL PARA ESTAIS EM AÇO GALVANIZADO PARA 55 CORDOALHAS - D = 15,7 MM</t>
  </si>
  <si>
    <t>M3216</t>
  </si>
  <si>
    <t>TUBO FORMA LADO REGULÁVEL PARA ESTAIS EM AÇO GALVANIZADO PARA 61 CORDOALHAS - D = 15,7 MM</t>
  </si>
  <si>
    <t>M3217</t>
  </si>
  <si>
    <t>TUBO FORMA LADO REGULÁVEL PARA ESTAIS EM AÇO GALVANIZADO PARA 73 CORDOALHAS - D = 15,7 MM</t>
  </si>
  <si>
    <t>M3218</t>
  </si>
  <si>
    <t>TUBO FORMA LADO REGULÁVEL PARA ESTAIS EM AÇO GALVANIZADO PARA 85 CORDOALHAS - D = 15,7 MM</t>
  </si>
  <si>
    <t>M3219</t>
  </si>
  <si>
    <t>TUBO FORMA LADO REGULÁVEL PARA ESTAIS EM AÇO GALVANIZADO PARA 91 CORDOALHAS - D = 15,7 MM</t>
  </si>
  <si>
    <t>M3220</t>
  </si>
  <si>
    <t>RING BIT - D = 104 MM</t>
  </si>
  <si>
    <t>M3221</t>
  </si>
  <si>
    <t>BIT DE BOTÃO COM ROSCA T38 - D = 64 MM</t>
  </si>
  <si>
    <t>M3227</t>
  </si>
  <si>
    <t>REVESTIMENTO - D = 104 MM</t>
  </si>
  <si>
    <t>M3228</t>
  </si>
  <si>
    <t>CIMENTO ASFÁLTICO CAP 50/70 COM 15% DE ASFALTO BORRACHA</t>
  </si>
  <si>
    <t>M3229</t>
  </si>
  <si>
    <t>PELÍCULA RETRORREFLETIVA TIPO I + SI</t>
  </si>
  <si>
    <t>M3230</t>
  </si>
  <si>
    <t>CHAPA DE POLIÉSTER REFORÇADA COM FIBRA DE VIDRO DE 2 MM</t>
  </si>
  <si>
    <t>M3231</t>
  </si>
  <si>
    <t>CHAPA DE ALUMÍNIO COMPOSTO (ACM) - E = 3 MM</t>
  </si>
  <si>
    <t>M3233</t>
  </si>
  <si>
    <t>FITA ADESIVA ESTRUTURAL DUPLA-FACE DE 25 X 2 MM</t>
  </si>
  <si>
    <t>M3234</t>
  </si>
  <si>
    <t>CANTONEIRA EM AÇO DE ABAS IGUAIS DE 1 1/4" X 1/8"</t>
  </si>
  <si>
    <t>M3236</t>
  </si>
  <si>
    <t>PELÍCULA RETRORREFLETIVA TIPO III + SI</t>
  </si>
  <si>
    <t>M3238</t>
  </si>
  <si>
    <t>PELÍCULA NÃO RETRORREFLETIVA TIPO IV</t>
  </si>
  <si>
    <t>M3239</t>
  </si>
  <si>
    <t>PELÍCULA RETRORREFLETIVA TIPO X</t>
  </si>
  <si>
    <t>M3240</t>
  </si>
  <si>
    <t>DUTO FLEXÍVEL SEM ISOLAMENTO DE POLIÉSTER ALUMINIZADO - D = 200 MM</t>
  </si>
  <si>
    <t>M3241</t>
  </si>
  <si>
    <t>CABO ANTICHAMA FLEXÍVEL DE 2 X 6 MM²</t>
  </si>
  <si>
    <t>M3244</t>
  </si>
  <si>
    <t>PLÁSTICO A FRIO PLANO POR EXTRUSÃO</t>
  </si>
  <si>
    <t>M3245</t>
  </si>
  <si>
    <t>PLÁSTICO A FRIO SPRAY POR ASPERSÃO</t>
  </si>
  <si>
    <t>M3270</t>
  </si>
  <si>
    <t>ANCORAGEM FIXA PARA ESTAIS TSR PARA 12 CORDOALHAS - D = 15,7 MM</t>
  </si>
  <si>
    <t>M3271</t>
  </si>
  <si>
    <t>ANCORAGEM FIXA PARA ESTAIS TSR PARA 22 CORDOALHAS - D = 15,7 MM</t>
  </si>
  <si>
    <t>M3272</t>
  </si>
  <si>
    <t>ANCORAGEM FIXA PARA ESTAIS TSR PARA 43 CORDOALHAS - D = 15,7 MM</t>
  </si>
  <si>
    <t>M3273</t>
  </si>
  <si>
    <t>M3274</t>
  </si>
  <si>
    <t>ANCORAGEM REGULÁVEL PARA ESTAIS TSR PARA 12 CORDOALHAS - D = 15,7 MM</t>
  </si>
  <si>
    <t>ANCORAGEM REGULÁVEL PARA ESTAIS TSR PARA 22 CORDOALHAS - D = 15,7 MM</t>
  </si>
  <si>
    <t>M3276</t>
  </si>
  <si>
    <t>ANCORAGEM REGULÁVEL PARA ESTAIS TSR PARA 43 CORDOALHAS - D = 15,7 MM</t>
  </si>
  <si>
    <t>M3277</t>
  </si>
  <si>
    <t>M3278</t>
  </si>
  <si>
    <t>TUBO PEAD PARA ESTAIS - D = 110 MM</t>
  </si>
  <si>
    <t>M3279</t>
  </si>
  <si>
    <t>ARRUELA LISA 3/8"</t>
  </si>
  <si>
    <t>M3280</t>
  </si>
  <si>
    <t>VIGA DE MADEIRA DE 5 X 11 CM</t>
  </si>
  <si>
    <t>M3353</t>
  </si>
  <si>
    <t>PURGADOR PLÁSTICO</t>
  </si>
  <si>
    <t>M3360</t>
  </si>
  <si>
    <t>CHUMBADOR PARA CONCRETO TECBOLT DE 8 MM</t>
  </si>
  <si>
    <t>M3361</t>
  </si>
  <si>
    <t>CORRENTE DE ELO SOLDADO EM AÇO SAE 1010/1020 ESPESSURA 1" - ACABAMENTO POLIDO</t>
  </si>
  <si>
    <t>M3362</t>
  </si>
  <si>
    <t>CORRENTE DE ELO SOLDADO EM AÇO SAE 1010/1020 ESPESSURA 1/2" - ACABAMENTO POLIDO</t>
  </si>
  <si>
    <t>M3363</t>
  </si>
  <si>
    <t>CORRENTE DE ELO SOLDADO EM AÇO SAE 1010/1020 ESPESSURA 3/4" - ACABAMENTO POLIDO</t>
  </si>
  <si>
    <t>M3364</t>
  </si>
  <si>
    <t>LANTERNA DE SINALIZAÇÃO NÁUTICA C/ ACESSÓRIOS DE FIXAÇÃO - ALCANCE 2 MN</t>
  </si>
  <si>
    <t>M3365</t>
  </si>
  <si>
    <t>LANTERNA DE SINALIZAÇÃO NÁUTICA C/ ACESSÓRIOS DE FIXAÇÃO - ALCANCE 3 MN</t>
  </si>
  <si>
    <t>M3366</t>
  </si>
  <si>
    <t>LANTERNA DE SINALIZAÇÃO NÁUTICA C/ ACESSÓRIOS DE FIXAÇÃO - ALCANCE 4 MN</t>
  </si>
  <si>
    <t>M3367</t>
  </si>
  <si>
    <t>LANTERNA DE SINALIZAÇÃO NÁUTICA C/ ACESSÓRIOS DE FIXAÇÃO - ALCANCE 5 MN</t>
  </si>
  <si>
    <t>M3368</t>
  </si>
  <si>
    <t>LANTERNA DE SINALIZAÇÃO NÁUTICA C/ ACESSÓRIOS DE FIXAÇÃO - ALCANCE 8 MN</t>
  </si>
  <si>
    <t>M3369</t>
  </si>
  <si>
    <t>MANILHA ÂNCORA DE 5/8" EM AÇO FORJADO COM PORCA E CUPILHA</t>
  </si>
  <si>
    <t>M3370</t>
  </si>
  <si>
    <t>MANILHA RETA DE 1 1/2" EM AÇO FORJADO COM PORCA E CUPILHA</t>
  </si>
  <si>
    <t>M3371</t>
  </si>
  <si>
    <t>MANILHA RETA DE 1" EM AÇO FORJADO COM PORCA E CUPILHA</t>
  </si>
  <si>
    <t>M3372</t>
  </si>
  <si>
    <t>SUPORTE POLIMÉRICO ECOLÓGICO MACIÇO COLAPSÍVEL PARA PLACA DE SINALIZAÇÃO - SEÇÃO QUADRADA DE 10 CM</t>
  </si>
  <si>
    <t>M3501</t>
  </si>
  <si>
    <t>PLACA DE ANCORAGEM PARA TIRANTE DE 160 X 160 X 12,5 MM</t>
  </si>
  <si>
    <t>M3502</t>
  </si>
  <si>
    <t>MISTURA BETUMINOSA</t>
  </si>
  <si>
    <t>M3503</t>
  </si>
  <si>
    <t>MATERIAL DE BASE</t>
  </si>
  <si>
    <t>M3504</t>
  </si>
  <si>
    <t>CONCRETO</t>
  </si>
  <si>
    <t>M3505</t>
  </si>
  <si>
    <t>MATERIAL DEMOLIDO - CONCRETO SIMPLES</t>
  </si>
  <si>
    <t>M3506</t>
  </si>
  <si>
    <t>MATERIAL DEMOLIDO - MADEIRA</t>
  </si>
  <si>
    <t>M3507</t>
  </si>
  <si>
    <t>MATERIAL RETIRADO DA PISTA - REVESTIMENTO ASFÁLTICO</t>
  </si>
  <si>
    <t>M3508</t>
  </si>
  <si>
    <t>MATERIAL RETIRADO DA PISTA - CAMADA GRANULAR (BASE)</t>
  </si>
  <si>
    <t>M3509</t>
  </si>
  <si>
    <t>MATERIAL RETIRADO DA PISTA - REMENDO PROFUNDO</t>
  </si>
  <si>
    <t>M3510</t>
  </si>
  <si>
    <t>MATERIAL DEMOLIDO - ALVENARIA</t>
  </si>
  <si>
    <t>M3511</t>
  </si>
  <si>
    <t>ACESSÓRIOS E MATERIAIS METÁLICOS</t>
  </si>
  <si>
    <t>M3512</t>
  </si>
  <si>
    <t>MATERIAL DEMOLIDO - CONCRETO ARMADO</t>
  </si>
  <si>
    <t>M3513</t>
  </si>
  <si>
    <t>MATERIAL DE 3ª CATEGORIA, ROCHA OU MATACÃO</t>
  </si>
  <si>
    <t>M3514</t>
  </si>
  <si>
    <t>SOLO</t>
  </si>
  <si>
    <t>M3515</t>
  </si>
  <si>
    <t>GRÃOS, AGREGADOS E SOLOS DERRAMADOS NA PISTA EM RODOVIAS</t>
  </si>
  <si>
    <t>M3516</t>
  </si>
  <si>
    <t>VEÍCULOS DE PEQUENO PORTE INCENDIADOS EM RODOVIA</t>
  </si>
  <si>
    <t>M3720</t>
  </si>
  <si>
    <t>M3795</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</si>
  <si>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</si>
  <si>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</si>
  <si>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</si>
  <si>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</si>
  <si>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</si>
  <si>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</si>
  <si>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</si>
  <si>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</si>
  <si>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</si>
  <si>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</si>
  <si>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</si>
  <si>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</si>
  <si>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</si>
  <si>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</si>
  <si>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</si>
  <si>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</si>
  <si>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</si>
  <si>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</si>
  <si>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</si>
  <si>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</si>
  <si>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</si>
  <si>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</si>
  <si>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</si>
  <si>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 EM RODOVIA</t>
  </si>
  <si>
    <t>M3900</t>
  </si>
  <si>
    <t>EMULSÃO ASFÁLTICA RR-1C COM POLÍMERO</t>
  </si>
  <si>
    <t>M3901</t>
  </si>
  <si>
    <t>RESERVATÓRIO METÁLICO TIPO TAÇA - 5.000 L</t>
  </si>
  <si>
    <t>M3902</t>
  </si>
  <si>
    <t>RESERVATÓRIO METÁLICO TIPO TAÇA - 10.000 L</t>
  </si>
  <si>
    <t>M3903</t>
  </si>
  <si>
    <t>RESERVATÓRIO METÁLICO TIPO TAÇA - 20.000 L</t>
  </si>
  <si>
    <t>M3904</t>
  </si>
  <si>
    <t>RESERVATÓRIO METÁLICO TIPO TAÇA - 30.000 L</t>
  </si>
  <si>
    <t>M3905</t>
  </si>
  <si>
    <t>AMV TIPO TR 37, ABERTURA 1:8, BITOLA MÉTRICA</t>
  </si>
  <si>
    <t>M3906</t>
  </si>
  <si>
    <t>AMV TIPO TR 37, ABERTURA 1:10, BITOLA MÉTRICA</t>
  </si>
  <si>
    <t>M3907</t>
  </si>
  <si>
    <t>AMV TIPO TR 37, ABERTURA 1:12, BITOLA MÉTRICA</t>
  </si>
  <si>
    <t>M3908</t>
  </si>
  <si>
    <t>AMV TIPO TR 37, ABERTURA 1:14, BITOLA MÉTRICA</t>
  </si>
  <si>
    <t>M3909</t>
  </si>
  <si>
    <t>M3910</t>
  </si>
  <si>
    <t>BICO DE CORTE A PLASMA - 45A</t>
  </si>
  <si>
    <t>M3911</t>
  </si>
  <si>
    <t>BOCAL DE CORTE A PLASMA MANUAL</t>
  </si>
  <si>
    <t>M3912</t>
  </si>
  <si>
    <t>CAPA DE RETENÇÃO 45A/65A/85A/105A</t>
  </si>
  <si>
    <t>M3913</t>
  </si>
  <si>
    <t>ELETRODO</t>
  </si>
  <si>
    <t>M3914</t>
  </si>
  <si>
    <t>DISTRIBUIDOR DE GÁS</t>
  </si>
  <si>
    <t>M3915</t>
  </si>
  <si>
    <t>PARAFUSO SEXTAVADO EM AÇO INOX DE 1/2" X 1 1/2"</t>
  </si>
  <si>
    <t>M3916</t>
  </si>
  <si>
    <t>PORCA EM AÇO INOX - D = 1/2"</t>
  </si>
  <si>
    <t>M3917</t>
  </si>
  <si>
    <t>ARRUELA LISA EM AÇO INOX - D = 1/2"</t>
  </si>
  <si>
    <t>M3918</t>
  </si>
  <si>
    <t>DISCO DE SERRA CIRCULAR COM 80 DENTES MULTI MATERIAL - D = 10"</t>
  </si>
  <si>
    <t>M3919</t>
  </si>
  <si>
    <t>LIXA Nº 360</t>
  </si>
  <si>
    <t>M3920</t>
  </si>
  <si>
    <t>M3921</t>
  </si>
  <si>
    <t>TINTA EPÓXI ÓXIDO DE FERRO</t>
  </si>
  <si>
    <t>M3922</t>
  </si>
  <si>
    <t>DILUENTE PARA ESMALTE POLIURETANO DE DOIS COMPONENTES</t>
  </si>
  <si>
    <t>M3923</t>
  </si>
  <si>
    <t>TINTA ESMALTE POLIURETANO DE DOIS COMPONENTES</t>
  </si>
  <si>
    <t>M3924</t>
  </si>
  <si>
    <t>CATALISADOR PRIMER</t>
  </si>
  <si>
    <t>M3925</t>
  </si>
  <si>
    <t>TINTA FUNDO FOSFATIZANTE</t>
  </si>
  <si>
    <t>M3926</t>
  </si>
  <si>
    <t>LUVA DE AÇO - D = 1/2"</t>
  </si>
  <si>
    <t>M3927</t>
  </si>
  <si>
    <t>PLUG OU BUJÃO DE AÇO - D = 1/2"</t>
  </si>
  <si>
    <t>M3928</t>
  </si>
  <si>
    <t>TUBO DE AÇO - E = 3,35 MM E D = 3"</t>
  </si>
  <si>
    <t>M3929</t>
  </si>
  <si>
    <t>TUBO DE AÇO - E = 3 MM E D = 6"</t>
  </si>
  <si>
    <t>M3930</t>
  </si>
  <si>
    <t>CANTONEIRA EM AÇO DE ABAS IGUAIS DE 2" X 3/16"</t>
  </si>
  <si>
    <t>M3931</t>
  </si>
  <si>
    <t>CANTONEIRA EM ALUMÍNIO DE ABAS IGUAIS DE 1.1/2" X 3/16"</t>
  </si>
  <si>
    <t>M3932</t>
  </si>
  <si>
    <t>PARAFUSO SEXTAVADO EM AÇO INOX M8 X 20MM</t>
  </si>
  <si>
    <t>M3933</t>
  </si>
  <si>
    <t>PORCA EM AÇO INOX M8 PARA PARAFUSO SEXTAVADO</t>
  </si>
  <si>
    <t>M3934</t>
  </si>
  <si>
    <t>ARRUELA LISA EM AÇO INOX PARA PARAFUSO SEXTAVADO M8</t>
  </si>
  <si>
    <t>M3935</t>
  </si>
  <si>
    <t>ARRUELA DE PRESSÃO EM AÇO INOX PARA PARAFUSO SEXTAVADO M8</t>
  </si>
  <si>
    <t>M3936</t>
  </si>
  <si>
    <t>PARAFUSO SEXTAVADO EM AÇO INOX DE 1/2" X 1/2"</t>
  </si>
  <si>
    <t>M3939</t>
  </si>
  <si>
    <t>BARRA REDONDA DE AÇO SAE 1020 - D = 1"</t>
  </si>
  <si>
    <t>M4412</t>
  </si>
  <si>
    <t>CONJUNTO DE CONSUMÍVEIS PARA CORTE A PLASMA EM AÇO CARBONO</t>
  </si>
  <si>
    <t>M4413</t>
  </si>
  <si>
    <t>ELETRODO E70S6 DIÂMETRO 0,9 MM</t>
  </si>
  <si>
    <t>PRODUÇÃO DA EQUIPE 16,04 UM</t>
  </si>
  <si>
    <t>REF: 3807861 SICRO JULHO 2019</t>
  </si>
  <si>
    <t>PRODUÇÃO DA EQUIPE 15,75 UM</t>
  </si>
  <si>
    <t>REF: 3807863 SICRO JULHO 2019</t>
  </si>
  <si>
    <t>REF: 2408058 SICRO JULHO 2019</t>
  </si>
  <si>
    <t>PRODUÇÃO DA EQUIPE 1,25 KG</t>
  </si>
  <si>
    <t>PRODUÇÃO DA EQUIPE 0,08 M3</t>
  </si>
  <si>
    <t xml:space="preserve">REF: MANUAL SICRO </t>
  </si>
  <si>
    <t>REF: 1600436 SICRO JULHO 2019</t>
  </si>
  <si>
    <t>PRODUÇÃO DA EQUIPE 0,76 M3</t>
  </si>
  <si>
    <t>CORTE DE BARRAS DE AÇO CA-50 COM MAÇARICO OXIACETILENO</t>
  </si>
  <si>
    <t>PRODUÇÃO DA EQUIPE 500 CM2</t>
  </si>
  <si>
    <t>REF: 1600990 SICRO JULHO 2019</t>
  </si>
  <si>
    <t>PRODUÇÃO DA EQUIPE 61,51 M3</t>
  </si>
  <si>
    <t>REF: 4011479 SICRO JULHO 2019</t>
  </si>
  <si>
    <t>REF: 5914354 SICRO JULHO 2019</t>
  </si>
  <si>
    <t>PRODUÇÃO DA EQUIPE 415 M3</t>
  </si>
  <si>
    <t>PRODUÇÃO DA EQUIPE 552,9 T.M3</t>
  </si>
  <si>
    <t>REF: 5915321 SICRO JULHO 2019</t>
  </si>
  <si>
    <t>PRODUÇÃO DA EQUIPE 45,53 M3</t>
  </si>
  <si>
    <t>FIC</t>
  </si>
  <si>
    <t>CUSTO DO FIC</t>
  </si>
  <si>
    <t>REF: 5502951 SICRO JULHO 2019</t>
  </si>
  <si>
    <t>PRODUÇÃO DA EQUIPE 23,06 M3</t>
  </si>
  <si>
    <t>REF: 5915373 SICRO JULHO 2019</t>
  </si>
  <si>
    <t>REF: 5914434 SICRO JULHO 2019</t>
  </si>
  <si>
    <t>PRODUÇÃO DA EQUIPE 224,1 M3</t>
  </si>
  <si>
    <t>PRODUÇÃO DA EQUIPE 5 M2</t>
  </si>
  <si>
    <t>REF: 4915639 SICRO JULHO 2019</t>
  </si>
  <si>
    <t>REF: 11912/ORSE DEZEMBRO 2019</t>
  </si>
  <si>
    <t>PRODUÇÃO DA EQUIPE 2,59 M2</t>
  </si>
  <si>
    <t>REF: 3806413 SICRO JULHO 2019</t>
  </si>
  <si>
    <t>PRODUÇÃO DA EQUIPE 56,27 M2</t>
  </si>
  <si>
    <t>REF: 3806402 SICRO JULHO 2019</t>
  </si>
  <si>
    <t>PRODUÇÃO DA EQUIPE 2,49 M</t>
  </si>
  <si>
    <t>REF: 1408021 SICRO JULHO 2019</t>
  </si>
  <si>
    <t>PRODUÇÃO DA EQUIPE 1,49 M</t>
  </si>
  <si>
    <t>REF: 407819 SICRO JULHO 2019</t>
  </si>
  <si>
    <t>PRODUÇÃO DA EQUIPE 1 KG</t>
  </si>
  <si>
    <t>REF: 3108005 SICRO JULHO 2019</t>
  </si>
  <si>
    <t>PRODUÇÃO DA EQUIPE 1 M2</t>
  </si>
  <si>
    <t>REF: 1106128 SICRO JULHO 2019</t>
  </si>
  <si>
    <t>PRODUÇÃO DA EQUIPE 742,02 T.KM</t>
  </si>
  <si>
    <t>REF: 5914640 SICRO JULHO 2019</t>
  </si>
  <si>
    <t>PRODUÇÃO DA EQUIPE 1,23 M3</t>
  </si>
  <si>
    <t>REF: 1108059 SICRO JULHO 2019</t>
  </si>
  <si>
    <t>PRODUÇÃO DA EQUIPE 24,90 M</t>
  </si>
  <si>
    <t>REF: 1416141 SICRO JULHO 2019</t>
  </si>
  <si>
    <t>PRODUÇÃO DA EQUIPE 0,05 M3</t>
  </si>
  <si>
    <t>REF: 1600438 SICRO JULHO 2019</t>
  </si>
  <si>
    <t>PRODUÇÃO DA EQUIPE 1029,2 CM2</t>
  </si>
  <si>
    <t>REF: 1408173 SICRO JULHO 2019</t>
  </si>
  <si>
    <t>REF: 3806419 SICRO JULHO 2019</t>
  </si>
  <si>
    <t>PRODUÇÃO DA EQUIPE 1,12 UNID</t>
  </si>
  <si>
    <t>REF: 1408024 SICRO JULHO 2019</t>
  </si>
  <si>
    <t>PRODUÇÃO DA EQUIPE 2,2 M</t>
  </si>
  <si>
    <t>PRODUÇÃO DA EQUIPE 22,98 M2</t>
  </si>
  <si>
    <t>REF: 2408070 SICRO JULHO 2019</t>
  </si>
  <si>
    <t>PRODUÇÃO DA EQUIPE 22,51 M</t>
  </si>
  <si>
    <t>REF: 3806406 SICRO JULHO 2019</t>
  </si>
  <si>
    <t>COTAÇÃO-082</t>
  </si>
  <si>
    <t>MOTA-ENGIL, ENGENHARIA E CONSTRUÇÃO, S.A.</t>
  </si>
  <si>
    <t>PAULO DE CARVALHO</t>
  </si>
  <si>
    <t>229 438 140/41</t>
  </si>
  <si>
    <t>N.I.P.C</t>
  </si>
  <si>
    <t>500 197 814</t>
  </si>
  <si>
    <t>PRODUÇÃO DA EQUIPE 83 T</t>
  </si>
  <si>
    <t>USINAGEM DE MICRO PRÉ-MISTURADO A QUENTE COM ASFALTO POLIMÉRO - BRITA COMERCIAL</t>
  </si>
  <si>
    <t>REF: 6416258 SICRO JULHO 2019</t>
  </si>
  <si>
    <t>REPROGRAFIA</t>
  </si>
  <si>
    <t xml:space="preserve">09.02.100 </t>
  </si>
  <si>
    <t xml:space="preserve">09.05.000 </t>
  </si>
  <si>
    <t>09.05.000.1</t>
  </si>
  <si>
    <t>REF: 5914613 SICRO JULHO 2019</t>
  </si>
  <si>
    <t>PRODUÇÃO DA EQUIPE 298,8 T.KM</t>
  </si>
  <si>
    <t>REF: 4011354 SICRO JULHO 2019</t>
  </si>
  <si>
    <t>PRODUÇÃO DA EQUIPE 1500 M2</t>
  </si>
  <si>
    <t>PRODUÇÃO DA EQUIPE 177 M2</t>
  </si>
  <si>
    <t>PRODUÇÃO DA EQUIPE 9,33 T</t>
  </si>
  <si>
    <t>REF: 5915474 SICRO JULHO 2019</t>
  </si>
  <si>
    <t>COTAÇÃO-083</t>
  </si>
  <si>
    <t>CÓPIA DE PROJETOS</t>
  </si>
  <si>
    <t>WM PLOTAGEM</t>
  </si>
  <si>
    <t>wmplotagem2@gmail.com</t>
  </si>
  <si>
    <t>11.246.370/0001-20</t>
  </si>
  <si>
    <t>3771-8999</t>
  </si>
  <si>
    <t>EBBER</t>
  </si>
  <si>
    <t>ebberplotagem@gmail.com</t>
  </si>
  <si>
    <t>05.235.252/0001-13</t>
  </si>
  <si>
    <t>3362-8243</t>
  </si>
  <si>
    <t>IG PLOTER</t>
  </si>
  <si>
    <t>igplotergrafica@gmail.com</t>
  </si>
  <si>
    <t>24.883.608/0001-70</t>
  </si>
  <si>
    <t>3226-1645</t>
  </si>
  <si>
    <t>PRODUÇÃO DA EQUIPE 11,92 T</t>
  </si>
  <si>
    <t>5915474-TF</t>
  </si>
  <si>
    <t>5914655-TF</t>
  </si>
  <si>
    <t>5914333-TF</t>
  </si>
  <si>
    <t>TEMPO FIXO - CAMINHÃO CARROCERIA 15 T - CARGA E DESCARGA MANUAIS</t>
  </si>
  <si>
    <t>TEMPO FIXO - CAMINHÃO CARROCERIA 5 T - CARGA E DESCARGA MANUAIS</t>
  </si>
  <si>
    <t>TEMPO FIXO - CAMINHÃO CARROCERIA 15 T - CARGA E DESCARGA COM CAMINHÃO GUINDAUTO</t>
  </si>
  <si>
    <t>PRODUÇÃO DA EQUIPE 19,35 T</t>
  </si>
  <si>
    <t>REF: 5914655 SICRO JULHO 2019</t>
  </si>
  <si>
    <t>REF: 5914333 SICRO JULHO 2019</t>
  </si>
  <si>
    <t xml:space="preserve">03. 02.785            </t>
  </si>
  <si>
    <t>03.02.785.1</t>
  </si>
  <si>
    <t>03.02.785.2</t>
  </si>
  <si>
    <t>DESPESAS COM PEDÁGIOS E TRANSPORTES</t>
  </si>
  <si>
    <t>CCU - 03.092</t>
  </si>
  <si>
    <t>JUNTA DE DILATAÇÃO METÁLICA DE MOVIMENTAÇÃO TIPO AGFLEXJ 200 (AGOM INTERNATIONAL), COM DIMENSÕES TRANSVERSAIS DE 802X71MM - FORNECIMENTO</t>
  </si>
  <si>
    <t>REF: Estudo para orçamento - Pasta Juntas de dilatação</t>
  </si>
  <si>
    <t>S0028</t>
  </si>
  <si>
    <t>DESPESAS COM PEDÁGIO DE SP PARA DF - TRASN. MAT. JUNTAS DE DILATAÇÃO</t>
  </si>
  <si>
    <t>REF: 5915015 SICRO JULHO 2019</t>
  </si>
  <si>
    <t>5915015-TF</t>
  </si>
  <si>
    <t>PRODUÇÃO DA EQUIPE 20,37 T</t>
  </si>
  <si>
    <t>5914647-TF</t>
  </si>
  <si>
    <t>REF: 5914647 SICRO JULHO 2019</t>
  </si>
  <si>
    <t>PRODUÇÃO DA EQUIPE 443,72 T</t>
  </si>
  <si>
    <t>5914363-TF</t>
  </si>
  <si>
    <t>TEMPO FIXO - CAMINHÃO SILO 30 M3 - CARGA MONOBRA E DESCARGA</t>
  </si>
  <si>
    <t>PRODUÇÃO DA EQUIPE 28,24 T</t>
  </si>
  <si>
    <t>REF: 5914363 SICRO JULHO 2019</t>
  </si>
  <si>
    <t>TEMPO FIXO - CAMINHÃO BASCULANTE 10 M3 - CARGA MONOBRA E DESCARGA</t>
  </si>
  <si>
    <t xml:space="preserve">TEMPO FIXO - CAMINHÃO GUINDAUDO 45 T - CARGA MONOBRA E DESCARGA </t>
  </si>
  <si>
    <t>5915373-TF</t>
  </si>
  <si>
    <t xml:space="preserve">TEMPO FIXO - CAMINHÃO GUINDAUDO 20 T - CARGA MONOBRA E DESCARGA </t>
  </si>
  <si>
    <t>PRODUÇÃO DA EQUIPE 23,06 T</t>
  </si>
  <si>
    <t>5915433-TF</t>
  </si>
  <si>
    <t>TEMPO FIXO - CAMINHÃO BASCULANTE 6 M3 - CARGA MANUAL E DESCARGA LIVRE</t>
  </si>
  <si>
    <t>REF: 5915433 SICRO JULHO 2019</t>
  </si>
  <si>
    <t>PRODUÇÃO DA EQUIPE 5,43 T</t>
  </si>
  <si>
    <t xml:space="preserve">PLACA INOX  #20 81X50CM FOTOCORROSÃO   </t>
  </si>
  <si>
    <t xml:space="preserve">PLACA 260X360MM EM AÇO INOX #20 FOTOCORROSÃO  </t>
  </si>
  <si>
    <t xml:space="preserve">DE PLACA INOX  #20 198X118CM  FOTOCORROSÃO   </t>
  </si>
  <si>
    <t>GRAVAMETAL</t>
  </si>
  <si>
    <t>(41) 3668-1093</t>
  </si>
  <si>
    <t>gravametal@gmail.com</t>
  </si>
  <si>
    <t>80.240.146/0001-43</t>
  </si>
  <si>
    <t>(11) 2193-3767</t>
  </si>
  <si>
    <t>vendas@placstilo.com.br</t>
  </si>
  <si>
    <t>PLACSTILO</t>
  </si>
  <si>
    <t>28.857.546/0001-45</t>
  </si>
  <si>
    <t>COMPRAÇO</t>
  </si>
  <si>
    <t>(19) 3377 5412</t>
  </si>
  <si>
    <t>contato@compraco.com.br</t>
  </si>
  <si>
    <t>32.038.337/0001-84</t>
  </si>
  <si>
    <t>PERFIMINAS</t>
  </si>
  <si>
    <t>ALBERTO LINO</t>
  </si>
  <si>
    <t>20.681.600/0001-70</t>
  </si>
  <si>
    <t>(32) 3512-1400</t>
  </si>
  <si>
    <t>TEMPO FIXO - CAMINHÃO BASCULANTE 10 M3 - CARGA CARGA DE ASFALTO E DESCARGA EM VIBROACABADORA</t>
  </si>
  <si>
    <t>5914649-TF</t>
  </si>
  <si>
    <t>REF: 5914649 SICRO JULHO 2019</t>
  </si>
  <si>
    <t>ENG. GILMAR DA MOTA FERNANDES
CREA 23785/D-DF
ART: 0720200027743</t>
  </si>
  <si>
    <t>REF: 5213400 SICRO JULHO 2019</t>
  </si>
  <si>
    <t>PRODUÇÃO DA EQUIPE 3 UNID</t>
  </si>
  <si>
    <t>REF: 5213441 SICRO JULHO 2019</t>
  </si>
  <si>
    <t>PRODUÇÃO DA EQUIPE 4 M2</t>
  </si>
  <si>
    <t>PINTURA ELETROSTÁTICA A PÓ COM TINTA POLIESTER EM CHAPA DE AÇO</t>
  </si>
  <si>
    <t>PRODUÇÃO DA EQUIPE 9,96 M2</t>
  </si>
  <si>
    <t>REF: 5212552 SICRO JULHO 2019</t>
  </si>
  <si>
    <t>PRODUÇÃO DA EQUIPE 80,32 UNID</t>
  </si>
  <si>
    <t>REF: 5213359 SICRO JULHO 2019</t>
  </si>
  <si>
    <t>CONFECÇÃO DE PLACA EM AÇO Nº 16 GALVANIZADO, COM PELÍCULA RETRORREFLETIVA TIPO I + SI</t>
  </si>
  <si>
    <t>REF: 5213414 SICRO JULHO 2019</t>
  </si>
  <si>
    <t>REF: 5213450 SICRO JULHO 2019</t>
  </si>
  <si>
    <t>PRODUÇÃO DA EQUIPE 10 UNID</t>
  </si>
  <si>
    <t>5914654-TF</t>
  </si>
  <si>
    <t>TEMPO FIXO - CAMINHÃO CARROCERIA 9 T - CARGA MONOBRA E DESCARGA MANUAL</t>
  </si>
  <si>
    <t>PRODUÇÃO DA EQUIPE 11,59 T</t>
  </si>
  <si>
    <t>REF: 5213833 SICRO JULHO 2019</t>
  </si>
  <si>
    <t>BARREIRA PLÁSTICA MONOBLOCO PARA CANALIZAÇÃO DE TRÂNSITO MESINDO 101 X 50 X 55 CM - UTILIZAÇÃO 10 VEZES</t>
  </si>
  <si>
    <t>REF: 4915672 SICRO JULHO 2019</t>
  </si>
  <si>
    <t>PRODUÇÃO DA EQUIPE 20 M</t>
  </si>
  <si>
    <t>REF: 407820 SICRO JULHO 2019</t>
  </si>
  <si>
    <t>REF: 919210 SICRO JULHO 2019</t>
  </si>
  <si>
    <t>REF: 1106057 SICRO JULHO 2019</t>
  </si>
  <si>
    <t>CONCRETO MAGRO - CONFECÇÃO EM BETONEIRA E LANÇAMENTO MANUAL - AREIA E BRITA COMERCIAIS</t>
  </si>
  <si>
    <t>PRODUÇÃO DA EQUIPE 4,77 M3</t>
  </si>
  <si>
    <t>PRODUÇÃO DA EQUIPE 3,62 M3</t>
  </si>
  <si>
    <t>5914675-TF</t>
  </si>
  <si>
    <t>REF: 5914675 SICRO JULHO 2019</t>
  </si>
  <si>
    <t>TEMPO FIXO - CAMINHÃO BASCULANTE 6 M3 - CARGA COM CARREGADEIRA E DESCARGA LIVRE</t>
  </si>
  <si>
    <t>PRODUÇÃO DA EQUIPE 133,34 T</t>
  </si>
  <si>
    <t>DEMOLIÇÃO MECÂNICA DE CONCRETO ARMADO, COM ESCAVADEIRA HIDRÁULICA COM MARTELO HIDRÁULICO - SEM REAPROVEITAMENTO</t>
  </si>
  <si>
    <t>REF: 1619003 SICRO JULHO 2019</t>
  </si>
  <si>
    <t>ESCAVAÇÃO MANUAL EM MATERIAL DE 1ª CATEGORIA NA PROFUNDIDADE ATÉ 2M</t>
  </si>
  <si>
    <t>REF: 4805751 SICRO JULHO 2019</t>
  </si>
  <si>
    <t>PRODUÇÃO DA EQUIPE 0,40 T</t>
  </si>
  <si>
    <t>FORMAS DE COMPENSADO RESINADO 10 MM - USO GERAL - UTILIZAÇÃO DE 3 VEZES - CONFECÇÃO, ENTALAÇÃO E RETIRADA</t>
  </si>
  <si>
    <t>PRODUÇÃO DA EQUIPE 2,81 M3</t>
  </si>
  <si>
    <t>REATERRO E COMPACTAÇÃO COM SOQUETE VIBRATÓRIO</t>
  </si>
  <si>
    <t>REF: 4915671 SICRO JULHO 2019</t>
  </si>
  <si>
    <t>INSTALAÇÕES HIDRÁULICAS, HIDRO-SANITÁRIAS,PLUVIAIS, ELÉTRICAS E TELEFÔNICAS (10%)</t>
  </si>
  <si>
    <t>919210 AUX</t>
  </si>
  <si>
    <t>PRODUÇÃO DA EQUIPE 1155,36 M2</t>
  </si>
  <si>
    <t>REF: 5501700 SICRO JULHO 2019</t>
  </si>
  <si>
    <t>PRODUÇÃO DA EQUIPE 221,33 M3</t>
  </si>
  <si>
    <t>REF: 5502110 SICRO JULHO 2019</t>
  </si>
  <si>
    <t>PRODUÇÃO DA EQUIPE 841 M2</t>
  </si>
  <si>
    <t>REF: 4011209 SICRO JULHO 2019</t>
  </si>
  <si>
    <t>PRODUÇÃO DA EQUIPE 223,74 M3</t>
  </si>
  <si>
    <t>REF: 903845 SICRO JULHO 2019</t>
  </si>
  <si>
    <t>PRODUÇÃO DA EQUIPE 137,72 M</t>
  </si>
  <si>
    <t>REF: 2003949 SICRO JULHO 2019</t>
  </si>
  <si>
    <t>CONCRETO FCK = 20 MPA - CONFECÇÃO EM CENTRAL DOSADORA DE 30 M3/H - AREIA E BRITA COMERCIAIS</t>
  </si>
  <si>
    <t>REF: 1107928 SICRO JULHO 2019</t>
  </si>
  <si>
    <t>PRODUÇÃO DA EQUIPE 24,90 M3</t>
  </si>
  <si>
    <t>ENCHIMENTO DE JUNTA DE CONCRETO COM ARGAMASSA ASFÁLTICA DE DENSIDADE 1.700 KG/M3 - ESPESSURA 1 CM</t>
  </si>
  <si>
    <t>REF: 2003842 SICRO JULHO 2019</t>
  </si>
  <si>
    <t>5919533-TF</t>
  </si>
  <si>
    <t>REF: 5919533 SICRO JULHO 2019</t>
  </si>
  <si>
    <t>PRODUÇÃO DA EQUIPE 6,65 T</t>
  </si>
  <si>
    <t>PRODUÇÃO DA EQUIPE 124,5 M2</t>
  </si>
  <si>
    <t>REF: 4011529 SICRO JULHO 2019</t>
  </si>
  <si>
    <t>5909007-TF</t>
  </si>
  <si>
    <t>TEMPO FIXO - CAMINHÃO BETONEIRA - CARGA, MANOBRA E DESCARGA</t>
  </si>
  <si>
    <t>PRODUÇÃO DA EQUIPE 59,76 T</t>
  </si>
  <si>
    <t>REF: 5909007 SICRO JULHO 2019</t>
  </si>
  <si>
    <t>CONCRETO FCTM,K = 4,5 MPA - CONFECÇÃO EM CENTRAL DOSADORA DE 30 M3/H - AREIA E BRITA COMERCIAIS</t>
  </si>
  <si>
    <t>REF: 1107871 SICRO JULHO 2019</t>
  </si>
  <si>
    <t>TELA DE AÇO ELETROSOLDADA - FORNECIMENTO, PREPARO E COLOCAÇÃO</t>
  </si>
  <si>
    <t>CATARINA NAUTICA</t>
  </si>
  <si>
    <t>ROBERTO</t>
  </si>
  <si>
    <t>REF: 4011279 SICRO JULHO 2019</t>
  </si>
  <si>
    <t>5914651-TF</t>
  </si>
  <si>
    <t>TEMPO FIXO - CAMINHÃO BASCULANTE 10 M3 - CARGA COM CARREGADEIRA (EXCLUSA) E DESCARGA NO DISTRIBUIDOR AUTOPROPELIDO</t>
  </si>
  <si>
    <t>REF: 5914651 SICRO JULHO 2019</t>
  </si>
  <si>
    <t>PRODUÇÃO DA EQUIPE 135,77 M3</t>
  </si>
  <si>
    <t>REF: 4011415 SICRO JULHO 2019</t>
  </si>
  <si>
    <t>PRODUÇÃO DA EQUIPE 12,50 M2</t>
  </si>
  <si>
    <t>REF: 3205874 SICRO JULHO 2019</t>
  </si>
  <si>
    <t>PRODUÇÃO DA EQUIPE 4,50 M3</t>
  </si>
  <si>
    <t>REF: 3205866 SICRO JULHO 2019</t>
  </si>
  <si>
    <t>PRODUÇÃO DA EQUIPE 180 M2</t>
  </si>
  <si>
    <t>REF: 2003866 SICRO JULHO 2019</t>
  </si>
  <si>
    <t>REF: 5502820 SICRO JULHO 2019</t>
  </si>
  <si>
    <t>PRODUÇÃO DA EQUIPE 30,18 M2</t>
  </si>
  <si>
    <t>REF: 5213406 SICRO JULHO 2019</t>
  </si>
  <si>
    <t>PRODUÇÃO DA EQUIPE 4 UM</t>
  </si>
  <si>
    <t>CONCRETO CICLÍPICO FCK = 20 MPA - CONFECÇÃO EM BETONEIRA E LANÇAMENTO MANUAL - AREIA, BRITA E PEDRA DE MÃO COMERCIAIS</t>
  </si>
  <si>
    <t>REF: 1106165 SICRO JULHO 2019</t>
  </si>
  <si>
    <t>p9821</t>
  </si>
  <si>
    <t>CONCRETO FCK = 20 MPA - CONFECÇÃO EM BETONEIRA E LANÇAMENTO MANUAL - AREIA E BRITA COMERCIAIS</t>
  </si>
  <si>
    <t>REF: 1107892 SICRO JULHO 2019</t>
  </si>
  <si>
    <t>REF: 5216111 SICRO JULHO 2019</t>
  </si>
  <si>
    <t>PRODUÇÃO DA EQUIPE 110,21 M3</t>
  </si>
  <si>
    <t>REF: 4016007 SICRO JULHO 2019</t>
  </si>
  <si>
    <t>REF: 5213835 SICRO JULHO 2019</t>
  </si>
  <si>
    <t>PRODUÇÃO DA EQUIPE 50 UNID</t>
  </si>
  <si>
    <t>PRODUÇÃO DA EQUIPE 20 UNID</t>
  </si>
  <si>
    <t>REF: 5213383 SICRO JULHO 2019</t>
  </si>
  <si>
    <t>PRODUÇÃO DA EQUIPE 2,5 UNID</t>
  </si>
  <si>
    <t>REF: 5213386 SICRO JULHO 2019</t>
  </si>
  <si>
    <t>PRODUÇÃO DA EQUIPE 1 UNID</t>
  </si>
  <si>
    <t>REF: 5213380 SICRO JULHO 2019</t>
  </si>
  <si>
    <t>PRODUÇÃO DA EQUIPE 11,62 M2</t>
  </si>
  <si>
    <t>REF: 5213831 SICRO JULHO 2019</t>
  </si>
  <si>
    <t>REF: 5213364 SICRO JULHO 2019</t>
  </si>
  <si>
    <t>PRODUÇÃO DA EQUIPE 10,56 M2</t>
  </si>
  <si>
    <t>PRODUÇÃO DA EQUIPE 0,6 M3</t>
  </si>
  <si>
    <t>REF: 1600989 SICRO JULHO 2019</t>
  </si>
  <si>
    <t>1600438 U</t>
  </si>
  <si>
    <t>PRODUÇÃO DA EQUIPE 0,09108 M3</t>
  </si>
  <si>
    <t>REF: 1600447 SICRO JULHO 2019</t>
  </si>
  <si>
    <t>PRODUÇÃO DA EQUIPE 10 M2</t>
  </si>
  <si>
    <t>REF: 1600895 SICRO JULHO 2019</t>
  </si>
  <si>
    <t>PRODUÇÃO DA EQUIPE 60,96 T</t>
  </si>
  <si>
    <t>REF: 5915459 SICRO JULHO 2019</t>
  </si>
  <si>
    <t>REF: 5502978 SICRO JULHO 2019</t>
  </si>
  <si>
    <t>PRODUÇÃO DA EQUIPE 168,20 M3</t>
  </si>
  <si>
    <t>PRODUÇÃO DA EQUIPE 415 M2</t>
  </si>
  <si>
    <t>REF: 4413905 SICRO JULHO 2019</t>
  </si>
  <si>
    <t>REF: 4915684 SICRO JULHO 2019</t>
  </si>
  <si>
    <t>PRODUÇÃO DA EQUIPE 25 M2</t>
  </si>
  <si>
    <t>OBTENÇÃO DE GRAMA PARA PLANTIO</t>
  </si>
  <si>
    <t>PRODUÇÃO DA EQUIPE 100 M2</t>
  </si>
  <si>
    <t>REF: 4413995 SICRO JULHO 2019</t>
  </si>
  <si>
    <t>PRODUÇÃO DA EQUIPE 6 UNID</t>
  </si>
  <si>
    <t>ESCAVAÇÃO MANUAL EM MATERIAL DE 1ª CATEGORIA</t>
  </si>
  <si>
    <t>PRODUÇÃO DA EQUIPE 0,5 M3</t>
  </si>
  <si>
    <t>REF: 4805750 SICRO JULHO 2019</t>
  </si>
  <si>
    <t>REF: 4413990 SICRO JULHO 2019</t>
  </si>
  <si>
    <t>REF: 5213417 SICRO JULHO 2019</t>
  </si>
  <si>
    <t>CRIADAS POR NESSECIDADE DA OBRA</t>
  </si>
  <si>
    <t>DESPESAS DIVERSAS 5%</t>
  </si>
  <si>
    <t>06.00.000</t>
  </si>
  <si>
    <t>TRANSPORTE VERTICAL</t>
  </si>
  <si>
    <t>SISTEMA VIÁRIO</t>
  </si>
  <si>
    <t>PRODUÇÃO DA EQUIPE 45,97M2</t>
  </si>
  <si>
    <t>5915407-TF</t>
  </si>
  <si>
    <t>REF: 5915407 SICRO JULHO 2019</t>
  </si>
  <si>
    <t>TEMPO FIXO - CAMINHÃO BASCULANTE 10 M3 - CARGA COM CARREGADEIRA E DESCARGA LIVRE</t>
  </si>
  <si>
    <t xml:space="preserve">PLACAS                                        </t>
  </si>
  <si>
    <t xml:space="preserve">REMOÇÃO DE PLACAS EXISTENTENTES DA INAUGURAÇÃO DA OBRA. INCLUSO: 1 (UMA) PLACA 1980X1180MM E 2 (DUAS) 260X360. CONFORME PROJETOS </t>
  </si>
  <si>
    <t>REF: 03167/ORSE DEZEMBRO 2019</t>
  </si>
  <si>
    <t>CCU - 04.020</t>
  </si>
  <si>
    <t>RECUPERAÇÃO DA ESTRUTURA DE CONCRETO DE FIXAÇÃO DAS PLACAS DE INAUGURAÇÃO 260X360MM, COM ESTUQUE E LIXAMENTO</t>
  </si>
  <si>
    <t>REF: 84656 SINAPI DEZEMBRO 2019</t>
  </si>
  <si>
    <t>CCU - 04.021</t>
  </si>
  <si>
    <t>04.02.102.2</t>
  </si>
  <si>
    <t>CCU - 04.022</t>
  </si>
  <si>
    <t xml:space="preserve">INSTALAÇÃO DE PLACAS DA INAUGURAÇÃO DA OBRA, CONFECCIONADA EM AÇO INÓX 260X360MM. CONFORME PROJETOS </t>
  </si>
  <si>
    <t xml:space="preserve">INSTALAÇÃO DE PLACAS DA INAUGURAÇÃO DA OBRA, CONFECCIONADA EM AÇO INÓX 810X500MM. CONFORME PROJETOS </t>
  </si>
  <si>
    <t>CCU - 04.023</t>
  </si>
  <si>
    <t xml:space="preserve">INSTALAÇÃO DE PLACAS DA INAUGURAÇÃO DA OBRA, CONFECCIONADA EM AÇO INÓX 1980X1180MM. CONFORME PROJETOS </t>
  </si>
  <si>
    <t>04.02.102.3</t>
  </si>
  <si>
    <t>04.02.102.4</t>
  </si>
  <si>
    <t>04.02.102.5</t>
  </si>
  <si>
    <t>Meio período a partir do 3º mês de obra</t>
  </si>
  <si>
    <t>1 Engenheiro durante o reforço das estruturas e substituição do sistema de Estais</t>
  </si>
  <si>
    <t>2 Engenheiros a partir do 2 mês de obra</t>
  </si>
  <si>
    <t>Entrará a Partir do 5 mês de obra e sairá no mês 18</t>
  </si>
  <si>
    <t>mês 1</t>
  </si>
  <si>
    <t>mês 2</t>
  </si>
  <si>
    <t>mês 3</t>
  </si>
  <si>
    <t>mês 4</t>
  </si>
  <si>
    <t>mês 5</t>
  </si>
  <si>
    <t>mês 6</t>
  </si>
  <si>
    <t>mês 7</t>
  </si>
  <si>
    <t>mês 8</t>
  </si>
  <si>
    <t>mês 9</t>
  </si>
  <si>
    <t>mês 10</t>
  </si>
  <si>
    <t>mês 11</t>
  </si>
  <si>
    <t>mês 12</t>
  </si>
  <si>
    <t>mês 13</t>
  </si>
  <si>
    <t>mês 14</t>
  </si>
  <si>
    <t>mês 15</t>
  </si>
  <si>
    <t>mês 16</t>
  </si>
  <si>
    <t>mês 17</t>
  </si>
  <si>
    <t>mês 18</t>
  </si>
  <si>
    <t>mês 19</t>
  </si>
  <si>
    <t>mês 20</t>
  </si>
  <si>
    <t>PROJETO EXECUTIVO TIRANTES/ESTAIS</t>
  </si>
  <si>
    <t>01.03.505.2</t>
  </si>
  <si>
    <t>CCU - 01.023</t>
  </si>
  <si>
    <t>ELABORAÇÃO DE MODELO NUMÉRICO ESPACIAL, COM MÉTODO DOS ELEMENTOS FINITOS (MEF), PARA AVALIAÇÃO DO COMPORTAMENTO ESTRUTURAL NA ETAPA DE PROJETO EXECUTIVO, COM ATUALIZAÇÃO DURANTE E APÓS A REALIZAÇÃO DOS SERVIÇOS DE SUBSTITUIÇÃO DOS TIRANTES, DE ACORDO COM AS PREMISSAS DO CADERNO DE ESPECIFICAÇÕES DE ESTRUTURA.</t>
  </si>
  <si>
    <t>PINTURA DA ESTRUTURA METÁLICA DE SUATENTAÇÃO DA PLACA DE INAUGURAÇÃO 1980X1180MM COM TINTA EPOXI COM PISTOLA A AR COMPRIMIDO</t>
  </si>
  <si>
    <t>CCU - 04.024</t>
  </si>
  <si>
    <t>04.02.102.6</t>
  </si>
  <si>
    <t>O valor unitário engloba os impostos de importação e frete de Portugal para São Paulo</t>
  </si>
  <si>
    <t>PASSARELA DE SERVIÇO FLUTUANTE EM MADEIRA, PARA ACESSO E SUPORTE PARA ESCOAMENTO DE DETRITOS ORIUNDOS DA REFORMA</t>
  </si>
  <si>
    <t>JUNTA DE DILATAÇÃO METÁLICA DE MOVIMENTAÇÃO TIPO AGFLEXJ 200 (AGOM INTERNATIONAL), COM DIMENSÕES TRANSVERSAIS DE 802X71MM - EXCLUINDO A JUNTA</t>
  </si>
  <si>
    <t>CCU - 03.019</t>
  </si>
  <si>
    <t>SERVIÇO DE APOIO PARA INSTALAÇÃO DA JUNTA DE DILATAÇÃO METÁLICA DE MOVIMENTAÇÃO TIPO AGFLEXJ 200 (AGOM INTERNATIONAL), COM DIMENSÕES TRANSVERSAIS DE 802X71MM</t>
  </si>
  <si>
    <t>ARGAMASSA PARA REPAROS E GROUTEAMENTO</t>
  </si>
  <si>
    <t>PRODUÇÃO DA EQUIPE 1,18 M3</t>
  </si>
  <si>
    <t>REF: 1109680 SICRO JULHO 2019</t>
  </si>
  <si>
    <t>03.02.780.9</t>
  </si>
  <si>
    <t>CONSIDERADO PLATAFORMA PARA MEIO VÃO DE TABULEIRO</t>
  </si>
  <si>
    <t>CONSIDERADO PLATAFORMA PARA MEIO VÃO DE ARCO</t>
  </si>
  <si>
    <t>02.01.303.3</t>
  </si>
  <si>
    <t xml:space="preserve">DESPESAS COM PEDÁGIO PARA TRANSPORTE DOS JUNTAS DE DILATAÇÃO DE SÃO PAULO PARA BRASÍLIA. EXCLUSO CP-177. BR-040, BR-050 E BANDEIRANTES. UM CAMINHÃO CARROCERIA IDA (3 EIXOS) E VOLTA (2 EIXOS). </t>
  </si>
  <si>
    <t>REF: 5914479 SICRO JULHO 2019</t>
  </si>
  <si>
    <t>PRODUÇÃO DA EQUIPE 373,5 T.KM</t>
  </si>
  <si>
    <t>TRANSPORTE COM CAMINHÃO CARROCERIA DE 15 T - RODOVIA PAVIMENTADA</t>
  </si>
  <si>
    <t>APICOAMENTO MANUAL DE CONCRETO</t>
  </si>
  <si>
    <t>PRODUÇÃO DA EQUIPE 1,4 M2</t>
  </si>
  <si>
    <t>REF: 1600408 SICRO JULHO 2019</t>
  </si>
  <si>
    <t>PREPARO DE SUBSTRATO POR ESCARIFICAÇÃO MECÂNICA (ESP.= 7MM) COM DISCO DE DESBASTE</t>
  </si>
  <si>
    <t>CCU - 03.093</t>
  </si>
  <si>
    <t>CCU - 03.094</t>
  </si>
  <si>
    <t>MICROCONCRETO AUTOADENSÁVEL PARA REPAROS E GROUTEAMENTO</t>
  </si>
  <si>
    <t>PRODUÇÃO DA EQUIPE 1,29M3</t>
  </si>
  <si>
    <t>1700KG/M3</t>
  </si>
  <si>
    <t>REF: 1108056 SICRO JULHO 2019</t>
  </si>
  <si>
    <t>CCU - 03.095</t>
  </si>
  <si>
    <t>CCU - 03.096</t>
  </si>
  <si>
    <t>PRODUÇÃO DA EQUIPE 5,00 KG</t>
  </si>
  <si>
    <t>CCU - 03.097</t>
  </si>
  <si>
    <t>REF:  2408149 SICRO JULHO 2019</t>
  </si>
  <si>
    <r>
      <t xml:space="preserve">TUBO EM AÇO CARBONO SEM COSTURA </t>
    </r>
    <r>
      <rPr>
        <b/>
        <sz val="10"/>
        <color rgb="FF000000"/>
        <rFont val="Calibri"/>
        <family val="2"/>
      </rPr>
      <t>Ø</t>
    </r>
    <r>
      <rPr>
        <b/>
        <sz val="10"/>
        <color rgb="FF000000"/>
        <rFont val="Arial"/>
        <family val="2"/>
      </rPr>
      <t xml:space="preserve"> 1 1/2", E= 3,68MM, SCHEDULE 40, COMPRIMENTO DE 150MM, PARA ENCAMISAMENTO DOS PARAFUSOS DE FIXAÇÃO</t>
    </r>
  </si>
  <si>
    <t xml:space="preserve">DESPESAS COM PEDÁGIO PARA TRANSPORTE DOS MATERIAIS DE PROTENSÃO E RECUPERAÇÃO ESTRUTURAL DE SÃO PAULO PARA BRASÍLIA. EXCLUSO CP-177. BR-040, BR-050 E BANDEIRANTES. DUAS CARRETAS IDA (5 EIXOS) E VOLTA (4 EIXOS). </t>
  </si>
  <si>
    <t>DESPESAS COM PEDÁGIO DE SP PARA DF - TRASN. MAT. SISTEMA DE ANCORAGEM E MATERIAIS DE RECUPERAÇÃO ESTRUTURAL</t>
  </si>
  <si>
    <t>03. 02.600</t>
  </si>
  <si>
    <t>03.02.600.1</t>
  </si>
  <si>
    <t>03.02.600.2</t>
  </si>
  <si>
    <t>DESPESAS COM PEDÁGIOS E TRANSPORTE DE MATERIAIS DE BLOCOS E PILARES</t>
  </si>
  <si>
    <t>CCU - 03.098</t>
  </si>
  <si>
    <t xml:space="preserve">DESPESAS COM PEDÁGIO PARA TRANSPORTE DOS MATERIÁIS DE PINTURA DE SÃO PAULO PARA BRASÍLIA. EXCLUSO CP-177. BR-040, BR-050 E BANDEIRANTES. DUAS CARRETAS IDA (5 EIXOS) E VOLTA (4 EIXOS). </t>
  </si>
  <si>
    <t>S0029</t>
  </si>
  <si>
    <t>DESPESAS COM PEDÁGIO DE SP PARA DF - TRASN. MAT. PINTURA</t>
  </si>
  <si>
    <t xml:space="preserve">04. 01.565        </t>
  </si>
  <si>
    <t xml:space="preserve">04. 01.566       </t>
  </si>
  <si>
    <t>04.01.566.1</t>
  </si>
  <si>
    <t>04.01.565.2</t>
  </si>
  <si>
    <t>REF: Estudo para orçamento - Pasta Pintura da Ponte</t>
  </si>
  <si>
    <t>REF: 07377/ORSE JULHO 2019 - Coeficientes ajustados para espessura de 7mm</t>
  </si>
  <si>
    <t>PREENCHIMENTO DE TUBO COM CERA DE INJEÇÃO</t>
  </si>
  <si>
    <r>
      <t xml:space="preserve">VALOR ESTIMADO 1 </t>
    </r>
    <r>
      <rPr>
        <sz val="12"/>
        <rFont val="Calibri"/>
        <family val="2"/>
      </rPr>
      <t>.........................................................................................................................</t>
    </r>
  </si>
  <si>
    <r>
      <t xml:space="preserve">VALOR ESTIMADO 2 </t>
    </r>
    <r>
      <rPr>
        <sz val="12"/>
        <rFont val="Calibri"/>
        <family val="2"/>
      </rPr>
      <t>.........................................................................................................................</t>
    </r>
  </si>
  <si>
    <t>SSN 25/20 SEM DESONERAÇÃO .........................................................................................................</t>
  </si>
  <si>
    <r>
      <t xml:space="preserve">VALOR TOTAL ESTIMADO </t>
    </r>
    <r>
      <rPr>
        <sz val="12"/>
        <rFont val="Calibri"/>
        <family val="2"/>
      </rPr>
      <t>.........................................................................................................................</t>
    </r>
  </si>
  <si>
    <t>13.00.000</t>
  </si>
  <si>
    <t>ESTIMATIVA DIRETORIA DE URBANIZAÇÃO</t>
  </si>
  <si>
    <r>
      <t>ESTIMATIVAS DIRETORIA DE URBANIZAÇÃO</t>
    </r>
    <r>
      <rPr>
        <b/>
        <i/>
        <sz val="13"/>
        <rFont val="Calibri"/>
        <family val="2"/>
      </rPr>
      <t>:</t>
    </r>
  </si>
  <si>
    <t>ENGº. GILMAR DA MOTA FERNANDES - CREA 23785/D-DF - DIRETORIA DE EDIFICAÇÕES
ENGº. FLÁVIO NASSIM BITTAR - Matr.0972873-2 - DIRETORIA DE URBANIZAÇÃO</t>
  </si>
  <si>
    <t>REF: 3806402 SICRO JULHO 2019 - DOBRO DO TEMPO POR SE TRATAR DE ESTRUTURA METÁLICA</t>
  </si>
  <si>
    <t>3806402 U</t>
  </si>
  <si>
    <t>REF: CADERNO DE ESPECIFICAÇÕES - PROJ_DE_018_20_STR_DT_CAD_ESP_001_R03</t>
  </si>
  <si>
    <t xml:space="preserve">PROJETO EXECUTIVO DE SUBSTITUIÇÃO DAS JUNTAS DE DILATAÇÃO METÁLICAS, INCLUINDO MEMORIAL DESCRITIVO, DESENHOS DE FABRICAÇÃO E MONTAGEM, QUANTITATIVOS E ESPECIFICAÇÕES TÉCNICAS. INCLUSO TODAS AS TAXAS E DESPESAS PARA APROVAÇÕES E LICENCIAMENTOS   </t>
  </si>
  <si>
    <t>036/2020-SEORÇA-SDS-R02</t>
  </si>
  <si>
    <t>CUSTO ORIGINAL</t>
  </si>
  <si>
    <t>SICRO JANEIRO 2020 / SINAPI JANEIRO 2020 - SEM DESONERAÇÃO</t>
  </si>
  <si>
    <t>SICRO Jan 2020-SINAPI Jan 2020</t>
  </si>
  <si>
    <t>Conforme - DF 01-2020 Relatório de Mão de Obra SICRO/SINAPI</t>
  </si>
  <si>
    <t>TAB. REF.: SICRO Janeiro de 2020 - SINAPI Janeiro 2020</t>
  </si>
  <si>
    <t>SISTEMA DE CUSTOS REFERENCIAIS DE OBRAS - SICRO - Distrito Federal - Janeiro/2020 - Sem Desoneração</t>
  </si>
  <si>
    <t>PCI.817.01 - CUSTO DE COMPOSIÇÕES - SINTÉTICO                                               DATA DE EMISSÃO: 23/03/2020 23:21:02            DATA DE RT: 03/03/2020</t>
  </si>
  <si>
    <t>ENCARGOS SOCIAIS SOBRE PREÇOS DA MÃO-DE-OBRA: 112,85%(HORA)   72,54%(MÊS)</t>
  </si>
  <si>
    <t>DESCRICAO DA CLASSE</t>
  </si>
  <si>
    <t>5,82</t>
  </si>
  <si>
    <t>6,50</t>
  </si>
  <si>
    <t>8,20</t>
  </si>
  <si>
    <t>9,91</t>
  </si>
  <si>
    <t>11,62</t>
  </si>
  <si>
    <t>13,33</t>
  </si>
  <si>
    <t>15,06</t>
  </si>
  <si>
    <t>16,79</t>
  </si>
  <si>
    <t>18,51</t>
  </si>
  <si>
    <t>22,32</t>
  </si>
  <si>
    <t>26,07</t>
  </si>
  <si>
    <t>29,65</t>
  </si>
  <si>
    <t>33,34</t>
  </si>
  <si>
    <t>37,05</t>
  </si>
  <si>
    <t>40,78</t>
  </si>
  <si>
    <t>48,54</t>
  </si>
  <si>
    <t>3,52</t>
  </si>
  <si>
    <t>3,95</t>
  </si>
  <si>
    <t>5,00</t>
  </si>
  <si>
    <t>6,03</t>
  </si>
  <si>
    <t>7,10</t>
  </si>
  <si>
    <t>8,14</t>
  </si>
  <si>
    <t>9,20</t>
  </si>
  <si>
    <t>10,27</t>
  </si>
  <si>
    <t>11,33</t>
  </si>
  <si>
    <t>13,69</t>
  </si>
  <si>
    <t>16,00</t>
  </si>
  <si>
    <t>18,14</t>
  </si>
  <si>
    <t>20,40</t>
  </si>
  <si>
    <t>22,67</t>
  </si>
  <si>
    <t>24,97</t>
  </si>
  <si>
    <t>29,86</t>
  </si>
  <si>
    <t>25,39</t>
  </si>
  <si>
    <t>29,39</t>
  </si>
  <si>
    <t>33,35</t>
  </si>
  <si>
    <t>37,32</t>
  </si>
  <si>
    <t>45,28</t>
  </si>
  <si>
    <t>53,25</t>
  </si>
  <si>
    <t>61,19</t>
  </si>
  <si>
    <t>69,15</t>
  </si>
  <si>
    <t>79,58</t>
  </si>
  <si>
    <t>87,81</t>
  </si>
  <si>
    <t>20,99</t>
  </si>
  <si>
    <t>24,35</t>
  </si>
  <si>
    <t>27,67</t>
  </si>
  <si>
    <t>31,03</t>
  </si>
  <si>
    <t>37,72</t>
  </si>
  <si>
    <t>44,43</t>
  </si>
  <si>
    <t>51,10</t>
  </si>
  <si>
    <t>57,80</t>
  </si>
  <si>
    <t>66,38</t>
  </si>
  <si>
    <t>73,29</t>
  </si>
  <si>
    <t>20,36</t>
  </si>
  <si>
    <t>41,85</t>
  </si>
  <si>
    <t>61,92</t>
  </si>
  <si>
    <t>103,81</t>
  </si>
  <si>
    <t>165,88</t>
  </si>
  <si>
    <t>204,92</t>
  </si>
  <si>
    <t>269,58</t>
  </si>
  <si>
    <t>36,43</t>
  </si>
  <si>
    <t>56,46</t>
  </si>
  <si>
    <t>90,92</t>
  </si>
  <si>
    <t>124,71</t>
  </si>
  <si>
    <t>174,38</t>
  </si>
  <si>
    <t>209,57</t>
  </si>
  <si>
    <t>562,71</t>
  </si>
  <si>
    <t>21,98</t>
  </si>
  <si>
    <t>43,48</t>
  </si>
  <si>
    <t>63,54</t>
  </si>
  <si>
    <t>105,44</t>
  </si>
  <si>
    <t>167,49</t>
  </si>
  <si>
    <t>206,54</t>
  </si>
  <si>
    <t>272,92</t>
  </si>
  <si>
    <t>38,05</t>
  </si>
  <si>
    <t>58,07</t>
  </si>
  <si>
    <t>92,55</t>
  </si>
  <si>
    <t>126,33</t>
  </si>
  <si>
    <t>176,00</t>
  </si>
  <si>
    <t>212,92</t>
  </si>
  <si>
    <t>564,77</t>
  </si>
  <si>
    <t>19,04</t>
  </si>
  <si>
    <t>23,53</t>
  </si>
  <si>
    <t>28,03</t>
  </si>
  <si>
    <t>32,52</t>
  </si>
  <si>
    <t>37,02</t>
  </si>
  <si>
    <t>41,52</t>
  </si>
  <si>
    <t>46,06</t>
  </si>
  <si>
    <t>50,55</t>
  </si>
  <si>
    <t>64,05</t>
  </si>
  <si>
    <t>2,04</t>
  </si>
  <si>
    <t>2,49</t>
  </si>
  <si>
    <t>2,95</t>
  </si>
  <si>
    <t>3,40</t>
  </si>
  <si>
    <t>3,87</t>
  </si>
  <si>
    <t>4,32</t>
  </si>
  <si>
    <t>9,85</t>
  </si>
  <si>
    <t>4,55</t>
  </si>
  <si>
    <t>5,01</t>
  </si>
  <si>
    <t>5,46</t>
  </si>
  <si>
    <t>5,92</t>
  </si>
  <si>
    <t>6,37</t>
  </si>
  <si>
    <t>14,08</t>
  </si>
  <si>
    <t>2,77</t>
  </si>
  <si>
    <t>10,73</t>
  </si>
  <si>
    <t>3,66</t>
  </si>
  <si>
    <t>4,12</t>
  </si>
  <si>
    <t>4,57</t>
  </si>
  <si>
    <t>5,03</t>
  </si>
  <si>
    <t>5,48</t>
  </si>
  <si>
    <t>5,94</t>
  </si>
  <si>
    <t>13,19</t>
  </si>
  <si>
    <t>6,17</t>
  </si>
  <si>
    <t>6,62</t>
  </si>
  <si>
    <t>7,09</t>
  </si>
  <si>
    <t>7,54</t>
  </si>
  <si>
    <t>7,99</t>
  </si>
  <si>
    <t>17,43</t>
  </si>
  <si>
    <t>12,79</t>
  </si>
  <si>
    <t>114,37</t>
  </si>
  <si>
    <t>0,68</t>
  </si>
  <si>
    <t>135,58</t>
  </si>
  <si>
    <t>1,18</t>
  </si>
  <si>
    <t>795,34</t>
  </si>
  <si>
    <t>16,26</t>
  </si>
  <si>
    <t>19,09</t>
  </si>
  <si>
    <t>1.060,36</t>
  </si>
  <si>
    <t>23,37</t>
  </si>
  <si>
    <t>1.652,81</t>
  </si>
  <si>
    <t>27,73</t>
  </si>
  <si>
    <t>36,56</t>
  </si>
  <si>
    <t>114,56</t>
  </si>
  <si>
    <t>0,87</t>
  </si>
  <si>
    <t>135,90</t>
  </si>
  <si>
    <t>1,50</t>
  </si>
  <si>
    <t>797,97</t>
  </si>
  <si>
    <t>18,89</t>
  </si>
  <si>
    <t>21,94</t>
  </si>
  <si>
    <t>1.063,49</t>
  </si>
  <si>
    <t>26,50</t>
  </si>
  <si>
    <t>1.656,15</t>
  </si>
  <si>
    <t>31,07</t>
  </si>
  <si>
    <t>40,22</t>
  </si>
  <si>
    <t>1,52</t>
  </si>
  <si>
    <t>2,13</t>
  </si>
  <si>
    <t>2,70</t>
  </si>
  <si>
    <t>0,67</t>
  </si>
  <si>
    <t>0,96</t>
  </si>
  <si>
    <t>1,22</t>
  </si>
  <si>
    <t>132,42</t>
  </si>
  <si>
    <t>6,00</t>
  </si>
  <si>
    <t>174,90</t>
  </si>
  <si>
    <t>7,67</t>
  </si>
  <si>
    <t>220,45</t>
  </si>
  <si>
    <t>9,22</t>
  </si>
  <si>
    <t>290,03</t>
  </si>
  <si>
    <t>10,91</t>
  </si>
  <si>
    <t>329,08</t>
  </si>
  <si>
    <t>12,46</t>
  </si>
  <si>
    <t>14,16</t>
  </si>
  <si>
    <t>15,70</t>
  </si>
  <si>
    <t>577,24</t>
  </si>
  <si>
    <t>17,42</t>
  </si>
  <si>
    <t>137,78</t>
  </si>
  <si>
    <t>11,35</t>
  </si>
  <si>
    <t>181,61</t>
  </si>
  <si>
    <t>14,36</t>
  </si>
  <si>
    <t>228,74</t>
  </si>
  <si>
    <t>17,48</t>
  </si>
  <si>
    <t>299,75</t>
  </si>
  <si>
    <t>20,61</t>
  </si>
  <si>
    <t>340,23</t>
  </si>
  <si>
    <t>23,58</t>
  </si>
  <si>
    <t>26,77</t>
  </si>
  <si>
    <t>29,89</t>
  </si>
  <si>
    <t>592,85</t>
  </si>
  <si>
    <t>32,99</t>
  </si>
  <si>
    <t>107,93</t>
  </si>
  <si>
    <t>138,94</t>
  </si>
  <si>
    <t>178,26</t>
  </si>
  <si>
    <t>237,86</t>
  </si>
  <si>
    <t>271,37</t>
  </si>
  <si>
    <t>329,04</t>
  </si>
  <si>
    <t>368,70</t>
  </si>
  <si>
    <t>114,61</t>
  </si>
  <si>
    <t>147,22</t>
  </si>
  <si>
    <t>187,96</t>
  </si>
  <si>
    <t>249,12</t>
  </si>
  <si>
    <t>283,99</t>
  </si>
  <si>
    <t>343,05</t>
  </si>
  <si>
    <t>384,34</t>
  </si>
  <si>
    <t>27,11</t>
  </si>
  <si>
    <t>34,79</t>
  </si>
  <si>
    <t>42,37</t>
  </si>
  <si>
    <t>50,50</t>
  </si>
  <si>
    <t>58,53</t>
  </si>
  <si>
    <t>68,02</t>
  </si>
  <si>
    <t>77,98</t>
  </si>
  <si>
    <t>89,56</t>
  </si>
  <si>
    <t>507,64</t>
  </si>
  <si>
    <t>112,06</t>
  </si>
  <si>
    <t>739,24</t>
  </si>
  <si>
    <t>150,85</t>
  </si>
  <si>
    <t>32,34</t>
  </si>
  <si>
    <t>41,47</t>
  </si>
  <si>
    <t>50,65</t>
  </si>
  <si>
    <t>60,20</t>
  </si>
  <si>
    <t>69,79</t>
  </si>
  <si>
    <t>80,64</t>
  </si>
  <si>
    <t>91,99</t>
  </si>
  <si>
    <t>105,20</t>
  </si>
  <si>
    <t>526,10</t>
  </si>
  <si>
    <t>130,52</t>
  </si>
  <si>
    <t>761,90</t>
  </si>
  <si>
    <t>173,51</t>
  </si>
  <si>
    <t>96,36</t>
  </si>
  <si>
    <t>101,60</t>
  </si>
  <si>
    <t>61,15</t>
  </si>
  <si>
    <t>79,78</t>
  </si>
  <si>
    <t>107,54</t>
  </si>
  <si>
    <t>66,39</t>
  </si>
  <si>
    <t>86,47</t>
  </si>
  <si>
    <t>115,84</t>
  </si>
  <si>
    <t>131,82</t>
  </si>
  <si>
    <t>87,88</t>
  </si>
  <si>
    <t>197,08</t>
  </si>
  <si>
    <t>138,97</t>
  </si>
  <si>
    <t>109,92</t>
  </si>
  <si>
    <t>397,09</t>
  </si>
  <si>
    <t>1,00</t>
  </si>
  <si>
    <t>0,73</t>
  </si>
  <si>
    <t>3,88</t>
  </si>
  <si>
    <t>7,34</t>
  </si>
  <si>
    <t>9,01</t>
  </si>
  <si>
    <t>10,70</t>
  </si>
  <si>
    <t>12,37</t>
  </si>
  <si>
    <t>14,05</t>
  </si>
  <si>
    <t>17,44</t>
  </si>
  <si>
    <t>1,78</t>
  </si>
  <si>
    <t>3,68</t>
  </si>
  <si>
    <t>4,53</t>
  </si>
  <si>
    <t>5,38</t>
  </si>
  <si>
    <t>6,23</t>
  </si>
  <si>
    <t>7,07</t>
  </si>
  <si>
    <t>8,78</t>
  </si>
  <si>
    <t>80,50</t>
  </si>
  <si>
    <t>332,00</t>
  </si>
  <si>
    <t>274,99</t>
  </si>
  <si>
    <t>57,20</t>
  </si>
  <si>
    <t>823,63</t>
  </si>
  <si>
    <t>772,07</t>
  </si>
  <si>
    <t>595,28</t>
  </si>
  <si>
    <t>652,04</t>
  </si>
  <si>
    <t>388,42</t>
  </si>
  <si>
    <t>396,17</t>
  </si>
  <si>
    <t>687,78</t>
  </si>
  <si>
    <t>720,96</t>
  </si>
  <si>
    <t>4.682,32</t>
  </si>
  <si>
    <t>7.012,02</t>
  </si>
  <si>
    <t>192,70</t>
  </si>
  <si>
    <t>320,61</t>
  </si>
  <si>
    <t>609,25</t>
  </si>
  <si>
    <t>853,67</t>
  </si>
  <si>
    <t>101,43</t>
  </si>
  <si>
    <t>104,20</t>
  </si>
  <si>
    <t>87,70</t>
  </si>
  <si>
    <t>89,68</t>
  </si>
  <si>
    <t>121,97</t>
  </si>
  <si>
    <t>157,63</t>
  </si>
  <si>
    <t>102,98</t>
  </si>
  <si>
    <t>130,37</t>
  </si>
  <si>
    <t>122,50</t>
  </si>
  <si>
    <t>126,56</t>
  </si>
  <si>
    <t>106,38</t>
  </si>
  <si>
    <t>108,84</t>
  </si>
  <si>
    <t>147,71</t>
  </si>
  <si>
    <t>194,82</t>
  </si>
  <si>
    <t>164,37</t>
  </si>
  <si>
    <t>96,90</t>
  </si>
  <si>
    <t>77,64</t>
  </si>
  <si>
    <t>83,03</t>
  </si>
  <si>
    <t>4.063,56</t>
  </si>
  <si>
    <t>5.963,07</t>
  </si>
  <si>
    <t>406,50</t>
  </si>
  <si>
    <t>119,54</t>
  </si>
  <si>
    <t>88,86</t>
  </si>
  <si>
    <t>82,59</t>
  </si>
  <si>
    <t>91,26</t>
  </si>
  <si>
    <t>3,14</t>
  </si>
  <si>
    <t>19,91</t>
  </si>
  <si>
    <t>122,35</t>
  </si>
  <si>
    <t>171,92</t>
  </si>
  <si>
    <t>118,42</t>
  </si>
  <si>
    <t>258,88</t>
  </si>
  <si>
    <t>4,71</t>
  </si>
  <si>
    <t>150,52</t>
  </si>
  <si>
    <t>155,01</t>
  </si>
  <si>
    <t>147,37</t>
  </si>
  <si>
    <t>384,54</t>
  </si>
  <si>
    <t>11,09</t>
  </si>
  <si>
    <t>89,48</t>
  </si>
  <si>
    <t>82,45</t>
  </si>
  <si>
    <t>75,58</t>
  </si>
  <si>
    <t>79,26</t>
  </si>
  <si>
    <t>119,42</t>
  </si>
  <si>
    <t>116,69</t>
  </si>
  <si>
    <t>181,81</t>
  </si>
  <si>
    <t>24,68</t>
  </si>
  <si>
    <t>2,45</t>
  </si>
  <si>
    <t>150,55</t>
  </si>
  <si>
    <t>138,78</t>
  </si>
  <si>
    <t>119,90</t>
  </si>
  <si>
    <t>132,62</t>
  </si>
  <si>
    <t>35,98</t>
  </si>
  <si>
    <t>151,03</t>
  </si>
  <si>
    <t>116,66</t>
  </si>
  <si>
    <t>146,40</t>
  </si>
  <si>
    <t>7,91</t>
  </si>
  <si>
    <t>126,19</t>
  </si>
  <si>
    <t>107,79</t>
  </si>
  <si>
    <t>122,81</t>
  </si>
  <si>
    <t>128,00</t>
  </si>
  <si>
    <t>100,52</t>
  </si>
  <si>
    <t>6,71</t>
  </si>
  <si>
    <t>185,09</t>
  </si>
  <si>
    <t>76,50</t>
  </si>
  <si>
    <t>3,42</t>
  </si>
  <si>
    <t>3,51</t>
  </si>
  <si>
    <t>4,79</t>
  </si>
  <si>
    <t>2,64</t>
  </si>
  <si>
    <t>11,93</t>
  </si>
  <si>
    <t>14,84</t>
  </si>
  <si>
    <t>1,27</t>
  </si>
  <si>
    <t>123,94</t>
  </si>
  <si>
    <t>142,33</t>
  </si>
  <si>
    <t>1,79</t>
  </si>
  <si>
    <t>135,41</t>
  </si>
  <si>
    <t>111,32</t>
  </si>
  <si>
    <t>110,99</t>
  </si>
  <si>
    <t>3,62</t>
  </si>
  <si>
    <t>394,57</t>
  </si>
  <si>
    <t>927,18</t>
  </si>
  <si>
    <t>803,68</t>
  </si>
  <si>
    <t>223,52</t>
  </si>
  <si>
    <t>111,82</t>
  </si>
  <si>
    <t>129,90</t>
  </si>
  <si>
    <t>192,38</t>
  </si>
  <si>
    <t>213,07</t>
  </si>
  <si>
    <t>1,32</t>
  </si>
  <si>
    <t>4,64</t>
  </si>
  <si>
    <t>83,18</t>
  </si>
  <si>
    <t>10,81</t>
  </si>
  <si>
    <t>16,21</t>
  </si>
  <si>
    <t>7,25</t>
  </si>
  <si>
    <t>10,67</t>
  </si>
  <si>
    <t>11,16</t>
  </si>
  <si>
    <t>17,97</t>
  </si>
  <si>
    <t>358,85</t>
  </si>
  <si>
    <t>219,66</t>
  </si>
  <si>
    <t>102,25</t>
  </si>
  <si>
    <t>80,38</t>
  </si>
  <si>
    <t>17,08</t>
  </si>
  <si>
    <t>46,56</t>
  </si>
  <si>
    <t>120,39</t>
  </si>
  <si>
    <t>116,55</t>
  </si>
  <si>
    <t>61,95</t>
  </si>
  <si>
    <t>145,45</t>
  </si>
  <si>
    <t>7,55</t>
  </si>
  <si>
    <t>16,61</t>
  </si>
  <si>
    <t>153,52</t>
  </si>
  <si>
    <t>23,93</t>
  </si>
  <si>
    <t>132,58</t>
  </si>
  <si>
    <t>282,57</t>
  </si>
  <si>
    <t>19,68</t>
  </si>
  <si>
    <t>8,00</t>
  </si>
  <si>
    <t>187,29</t>
  </si>
  <si>
    <t>2,14</t>
  </si>
  <si>
    <t>0,18</t>
  </si>
  <si>
    <t>61,41</t>
  </si>
  <si>
    <t>53,19</t>
  </si>
  <si>
    <t>248,81</t>
  </si>
  <si>
    <t>16,31</t>
  </si>
  <si>
    <t>17,06</t>
  </si>
  <si>
    <t>19,96</t>
  </si>
  <si>
    <t>529,04</t>
  </si>
  <si>
    <t>7,11</t>
  </si>
  <si>
    <t>76,98</t>
  </si>
  <si>
    <t>18,66</t>
  </si>
  <si>
    <t>302,54</t>
  </si>
  <si>
    <t>148,25</t>
  </si>
  <si>
    <t>MÁQUINA JATO DE PRESSAO PORTÁTIL, CAMARA DE 1 SAIDA, CAPACIDADE 280 L, DIAMETRO 670 MM, BICO DE JATO CURTO VENTURI DE 5/16'' , MANGUEIRA DE 1'' COM COMPRESSOR DE AR REBOCÁVEL 189 PCM E MOTOR DIESEL 63 CV - CHP DIURNO. AF_03/2016</t>
  </si>
  <si>
    <t>60,54</t>
  </si>
  <si>
    <t>11,57</t>
  </si>
  <si>
    <t>48,70</t>
  </si>
  <si>
    <t>111,10</t>
  </si>
  <si>
    <t>2.113,31</t>
  </si>
  <si>
    <t>204,01</t>
  </si>
  <si>
    <t>138,23</t>
  </si>
  <si>
    <t>102,67</t>
  </si>
  <si>
    <t>0,06</t>
  </si>
  <si>
    <t>84,10</t>
  </si>
  <si>
    <t>24,33</t>
  </si>
  <si>
    <t>19,67</t>
  </si>
  <si>
    <t>4,90</t>
  </si>
  <si>
    <t>7,22</t>
  </si>
  <si>
    <t>2,27</t>
  </si>
  <si>
    <t>7,21</t>
  </si>
  <si>
    <t>19,36</t>
  </si>
  <si>
    <t>130,22</t>
  </si>
  <si>
    <t>25,49</t>
  </si>
  <si>
    <t>94,78</t>
  </si>
  <si>
    <t>145,71</t>
  </si>
  <si>
    <t>143,24</t>
  </si>
  <si>
    <t>188,48</t>
  </si>
  <si>
    <t>154,72</t>
  </si>
  <si>
    <t>154,48</t>
  </si>
  <si>
    <t>114,95</t>
  </si>
  <si>
    <t>160,69</t>
  </si>
  <si>
    <t>115,19</t>
  </si>
  <si>
    <t>87,03</t>
  </si>
  <si>
    <t>62,15</t>
  </si>
  <si>
    <t>135,37</t>
  </si>
  <si>
    <t>1,06</t>
  </si>
  <si>
    <t>119,80</t>
  </si>
  <si>
    <t>3,03</t>
  </si>
  <si>
    <t>1,04</t>
  </si>
  <si>
    <t>384,21</t>
  </si>
  <si>
    <t>800,73</t>
  </si>
  <si>
    <t>48,41</t>
  </si>
  <si>
    <t>37,20</t>
  </si>
  <si>
    <t>35,47</t>
  </si>
  <si>
    <t>35,15</t>
  </si>
  <si>
    <t>1,95</t>
  </si>
  <si>
    <t>0,16</t>
  </si>
  <si>
    <t>28,62</t>
  </si>
  <si>
    <t>121,93</t>
  </si>
  <si>
    <t>97,28</t>
  </si>
  <si>
    <t>2,24</t>
  </si>
  <si>
    <t>28,82</t>
  </si>
  <si>
    <t>45,57</t>
  </si>
  <si>
    <t>45,75</t>
  </si>
  <si>
    <t>109,90</t>
  </si>
  <si>
    <t>5,28</t>
  </si>
  <si>
    <t>39,14</t>
  </si>
  <si>
    <t>36,65</t>
  </si>
  <si>
    <t>41,56</t>
  </si>
  <si>
    <t>34,18</t>
  </si>
  <si>
    <t>29,68</t>
  </si>
  <si>
    <t>27,92</t>
  </si>
  <si>
    <t>34,50</t>
  </si>
  <si>
    <t>19,57</t>
  </si>
  <si>
    <t>30,21</t>
  </si>
  <si>
    <t>49,61</t>
  </si>
  <si>
    <t>42,64</t>
  </si>
  <si>
    <t>51,65</t>
  </si>
  <si>
    <t>18,85</t>
  </si>
  <si>
    <t>2,65</t>
  </si>
  <si>
    <t>33,52</t>
  </si>
  <si>
    <t>30,97</t>
  </si>
  <si>
    <t>45,01</t>
  </si>
  <si>
    <t>3,27</t>
  </si>
  <si>
    <t>0,20</t>
  </si>
  <si>
    <t>41,92</t>
  </si>
  <si>
    <t>32,79</t>
  </si>
  <si>
    <t>4,92</t>
  </si>
  <si>
    <t>47,17</t>
  </si>
  <si>
    <t>0,37</t>
  </si>
  <si>
    <t>0,72</t>
  </si>
  <si>
    <t>0,69</t>
  </si>
  <si>
    <t>4,52</t>
  </si>
  <si>
    <t>5,99</t>
  </si>
  <si>
    <t>0,26</t>
  </si>
  <si>
    <t>40,32</t>
  </si>
  <si>
    <t>51,43</t>
  </si>
  <si>
    <t>0,30</t>
  </si>
  <si>
    <t>2,66</t>
  </si>
  <si>
    <t>39,30</t>
  </si>
  <si>
    <t>25,80</t>
  </si>
  <si>
    <t>55,75</t>
  </si>
  <si>
    <t>1,11</t>
  </si>
  <si>
    <t>125,53</t>
  </si>
  <si>
    <t>265,44</t>
  </si>
  <si>
    <t>233,37</t>
  </si>
  <si>
    <t>83,47</t>
  </si>
  <si>
    <t>50,62</t>
  </si>
  <si>
    <t>1,36</t>
  </si>
  <si>
    <t>42,19</t>
  </si>
  <si>
    <t>0,32</t>
  </si>
  <si>
    <t>1,26</t>
  </si>
  <si>
    <t>45,08</t>
  </si>
  <si>
    <t>3,47</t>
  </si>
  <si>
    <t>5,19</t>
  </si>
  <si>
    <t>0,59</t>
  </si>
  <si>
    <t>3,37</t>
  </si>
  <si>
    <t>4,20</t>
  </si>
  <si>
    <t>143,39</t>
  </si>
  <si>
    <t>87,32</t>
  </si>
  <si>
    <t>42,70</t>
  </si>
  <si>
    <t>32,09</t>
  </si>
  <si>
    <t>3,54</t>
  </si>
  <si>
    <t>3,55</t>
  </si>
  <si>
    <t>9,03</t>
  </si>
  <si>
    <t>4,21</t>
  </si>
  <si>
    <t>32,83</t>
  </si>
  <si>
    <t>0,55</t>
  </si>
  <si>
    <t>0,63</t>
  </si>
  <si>
    <t>35,54</t>
  </si>
  <si>
    <t>30,53</t>
  </si>
  <si>
    <t>36,02</t>
  </si>
  <si>
    <t>18,40</t>
  </si>
  <si>
    <t>29,27</t>
  </si>
  <si>
    <t>49,66</t>
  </si>
  <si>
    <t>17,65</t>
  </si>
  <si>
    <t>4,56</t>
  </si>
  <si>
    <t>36,73</t>
  </si>
  <si>
    <t>0,80</t>
  </si>
  <si>
    <t>0,08</t>
  </si>
  <si>
    <t>26,57</t>
  </si>
  <si>
    <t>20,26</t>
  </si>
  <si>
    <t>42,48</t>
  </si>
  <si>
    <t>0,17</t>
  </si>
  <si>
    <t>5,60</t>
  </si>
  <si>
    <t>18,87</t>
  </si>
  <si>
    <t>213,23</t>
  </si>
  <si>
    <t>0,34</t>
  </si>
  <si>
    <t>35,85</t>
  </si>
  <si>
    <t>44,65</t>
  </si>
  <si>
    <t>17,91</t>
  </si>
  <si>
    <t>81,62</t>
  </si>
  <si>
    <t>MÁQUINA JATO DE PRESSAO PORTÁTIL, CAMARA DE 1 SAIDA, CAPACIDADE 280 L, DIAMETRO 670 MM, BICO DE JATO CURTO VENTURI DE 5/16'' , MANGUEIRA DE 1'' COM COMPRESSOR DE AR REBOCÁVEL 189 PCM E MOTOR DIESEL 63 CV - CHI DIURNO. AF_03/2016</t>
  </si>
  <si>
    <t>24,64</t>
  </si>
  <si>
    <t>0,23</t>
  </si>
  <si>
    <t>3,09</t>
  </si>
  <si>
    <t>4,38</t>
  </si>
  <si>
    <t>159,24</t>
  </si>
  <si>
    <t>89,02</t>
  </si>
  <si>
    <t>123,23</t>
  </si>
  <si>
    <t>30,77</t>
  </si>
  <si>
    <t>0,04</t>
  </si>
  <si>
    <t>48,25</t>
  </si>
  <si>
    <t>23,79</t>
  </si>
  <si>
    <t>18,73</t>
  </si>
  <si>
    <t>0,66</t>
  </si>
  <si>
    <t>0,39</t>
  </si>
  <si>
    <t>0,43</t>
  </si>
  <si>
    <t>18,59</t>
  </si>
  <si>
    <t>43,84</t>
  </si>
  <si>
    <t>20,38</t>
  </si>
  <si>
    <t>43,94</t>
  </si>
  <si>
    <t>53,04</t>
  </si>
  <si>
    <t>51,86</t>
  </si>
  <si>
    <t>7,01</t>
  </si>
  <si>
    <t>30,96</t>
  </si>
  <si>
    <t>30,84</t>
  </si>
  <si>
    <t>27,82</t>
  </si>
  <si>
    <t>38,41</t>
  </si>
  <si>
    <t>27,94</t>
  </si>
  <si>
    <t>35,20</t>
  </si>
  <si>
    <t>43,93</t>
  </si>
  <si>
    <t>35,53</t>
  </si>
  <si>
    <t>58,60</t>
  </si>
  <si>
    <t>0,12</t>
  </si>
  <si>
    <t>46,69</t>
  </si>
  <si>
    <t>0,07</t>
  </si>
  <si>
    <t>0,13</t>
  </si>
  <si>
    <t>109,88</t>
  </si>
  <si>
    <t>259,00</t>
  </si>
  <si>
    <t>20,01</t>
  </si>
  <si>
    <t>23,65</t>
  </si>
  <si>
    <t>3,21</t>
  </si>
  <si>
    <t>29,56</t>
  </si>
  <si>
    <t>41,57</t>
  </si>
  <si>
    <t>1,19</t>
  </si>
  <si>
    <t>17,23</t>
  </si>
  <si>
    <t>15,32</t>
  </si>
  <si>
    <t>31,80</t>
  </si>
  <si>
    <t>19,25</t>
  </si>
  <si>
    <t>6,39</t>
  </si>
  <si>
    <t>23,49</t>
  </si>
  <si>
    <t>14,99</t>
  </si>
  <si>
    <t>14,65</t>
  </si>
  <si>
    <t>40,62</t>
  </si>
  <si>
    <t>104,17</t>
  </si>
  <si>
    <t>57,43</t>
  </si>
  <si>
    <t>7,92</t>
  </si>
  <si>
    <t>77,27</t>
  </si>
  <si>
    <t>68,55</t>
  </si>
  <si>
    <t>60,48</t>
  </si>
  <si>
    <t>139,88</t>
  </si>
  <si>
    <t>31,73</t>
  </si>
  <si>
    <t>5,81</t>
  </si>
  <si>
    <t>23,63</t>
  </si>
  <si>
    <t>26,71</t>
  </si>
  <si>
    <t>16,62</t>
  </si>
  <si>
    <t>29,18</t>
  </si>
  <si>
    <t>21,01</t>
  </si>
  <si>
    <t>26,30</t>
  </si>
  <si>
    <t>27,29</t>
  </si>
  <si>
    <t>17,79</t>
  </si>
  <si>
    <t>102,01</t>
  </si>
  <si>
    <t>16,17</t>
  </si>
  <si>
    <t>13,62</t>
  </si>
  <si>
    <t>23,18</t>
  </si>
  <si>
    <t>1,92</t>
  </si>
  <si>
    <t>3,19</t>
  </si>
  <si>
    <t>35,17</t>
  </si>
  <si>
    <t>45,39</t>
  </si>
  <si>
    <t>2,92</t>
  </si>
  <si>
    <t>0,29</t>
  </si>
  <si>
    <t>2,81</t>
  </si>
  <si>
    <t>0,46</t>
  </si>
  <si>
    <t>5,27</t>
  </si>
  <si>
    <t>137,86</t>
  </si>
  <si>
    <t>24,04</t>
  </si>
  <si>
    <t>3,33</t>
  </si>
  <si>
    <t>30,08</t>
  </si>
  <si>
    <t>0,02</t>
  </si>
  <si>
    <t>7,51</t>
  </si>
  <si>
    <t>21,32</t>
  </si>
  <si>
    <t>2,96</t>
  </si>
  <si>
    <t>26,68</t>
  </si>
  <si>
    <t>57,59</t>
  </si>
  <si>
    <t>11,96</t>
  </si>
  <si>
    <t>2,20</t>
  </si>
  <si>
    <t>22,43</t>
  </si>
  <si>
    <t>52,57</t>
  </si>
  <si>
    <t>9,89</t>
  </si>
  <si>
    <t>1,37</t>
  </si>
  <si>
    <t>110,89</t>
  </si>
  <si>
    <t>34,43</t>
  </si>
  <si>
    <t>36,86</t>
  </si>
  <si>
    <t>65,34</t>
  </si>
  <si>
    <t>35,00</t>
  </si>
  <si>
    <t>75,15</t>
  </si>
  <si>
    <t>2,47</t>
  </si>
  <si>
    <t>40,89</t>
  </si>
  <si>
    <t>41,14</t>
  </si>
  <si>
    <t>134,76</t>
  </si>
  <si>
    <t>40,29</t>
  </si>
  <si>
    <t>73,57</t>
  </si>
  <si>
    <t>124,13</t>
  </si>
  <si>
    <t>1,34</t>
  </si>
  <si>
    <t>0,93</t>
  </si>
  <si>
    <t>54,00</t>
  </si>
  <si>
    <t>25,66</t>
  </si>
  <si>
    <t>51,60</t>
  </si>
  <si>
    <t>35,58</t>
  </si>
  <si>
    <t>30,41</t>
  </si>
  <si>
    <t>1,20</t>
  </si>
  <si>
    <t>18,05</t>
  </si>
  <si>
    <t>4,17</t>
  </si>
  <si>
    <t>3,73</t>
  </si>
  <si>
    <t>15,99</t>
  </si>
  <si>
    <t>114,91</t>
  </si>
  <si>
    <t>2,22</t>
  </si>
  <si>
    <t>10,62</t>
  </si>
  <si>
    <t>8,91</t>
  </si>
  <si>
    <t>11,13</t>
  </si>
  <si>
    <t>32,38</t>
  </si>
  <si>
    <t>0,33</t>
  </si>
  <si>
    <t>0,31</t>
  </si>
  <si>
    <t>2,74</t>
  </si>
  <si>
    <t>0,65</t>
  </si>
  <si>
    <t>0,82</t>
  </si>
  <si>
    <t>1,97</t>
  </si>
  <si>
    <t>0,78</t>
  </si>
  <si>
    <t>0,09</t>
  </si>
  <si>
    <t>0,97</t>
  </si>
  <si>
    <t>0,62</t>
  </si>
  <si>
    <t>0,77</t>
  </si>
  <si>
    <t>4,04</t>
  </si>
  <si>
    <t>0,48</t>
  </si>
  <si>
    <t>4,42</t>
  </si>
  <si>
    <t>2,99</t>
  </si>
  <si>
    <t>5,36</t>
  </si>
  <si>
    <t>5,86</t>
  </si>
  <si>
    <t>2,46</t>
  </si>
  <si>
    <t>0,53</t>
  </si>
  <si>
    <t>0,24</t>
  </si>
  <si>
    <t>22,56</t>
  </si>
  <si>
    <t>3,06</t>
  </si>
  <si>
    <t>28,20</t>
  </si>
  <si>
    <t>41,18</t>
  </si>
  <si>
    <t>18,58</t>
  </si>
  <si>
    <t>4,18</t>
  </si>
  <si>
    <t>33,21</t>
  </si>
  <si>
    <t>50,41</t>
  </si>
  <si>
    <t>14,55</t>
  </si>
  <si>
    <t>3,05</t>
  </si>
  <si>
    <t>0,15</t>
  </si>
  <si>
    <t>0,01</t>
  </si>
  <si>
    <t>1,71</t>
  </si>
  <si>
    <t>13,78</t>
  </si>
  <si>
    <t>1,87</t>
  </si>
  <si>
    <t>12,26</t>
  </si>
  <si>
    <t>1,66</t>
  </si>
  <si>
    <t>26,31</t>
  </si>
  <si>
    <t>3,57</t>
  </si>
  <si>
    <t>32,89</t>
  </si>
  <si>
    <t>58,01</t>
  </si>
  <si>
    <t>23,01</t>
  </si>
  <si>
    <t>5,18</t>
  </si>
  <si>
    <t>13,30</t>
  </si>
  <si>
    <t>1,80</t>
  </si>
  <si>
    <t>75,38</t>
  </si>
  <si>
    <t>16,96</t>
  </si>
  <si>
    <t>1,98</t>
  </si>
  <si>
    <t>22,87</t>
  </si>
  <si>
    <t>5,14</t>
  </si>
  <si>
    <t>0,27</t>
  </si>
  <si>
    <t>0,03</t>
  </si>
  <si>
    <t>2,28</t>
  </si>
  <si>
    <t>0,38</t>
  </si>
  <si>
    <t>4,29</t>
  </si>
  <si>
    <t>128,46</t>
  </si>
  <si>
    <t>17,75</t>
  </si>
  <si>
    <t>3,99</t>
  </si>
  <si>
    <t>7,24</t>
  </si>
  <si>
    <t>20,53</t>
  </si>
  <si>
    <t>2,78</t>
  </si>
  <si>
    <t>28,46</t>
  </si>
  <si>
    <t>3,86</t>
  </si>
  <si>
    <t>15,38</t>
  </si>
  <si>
    <t>15,18</t>
  </si>
  <si>
    <t>2,39</t>
  </si>
  <si>
    <t>14,25</t>
  </si>
  <si>
    <t>59,90</t>
  </si>
  <si>
    <t>0,11</t>
  </si>
  <si>
    <t>0,94</t>
  </si>
  <si>
    <t>1,57</t>
  </si>
  <si>
    <t>21,88</t>
  </si>
  <si>
    <t>3,93</t>
  </si>
  <si>
    <t>90,39</t>
  </si>
  <si>
    <t>14,32</t>
  </si>
  <si>
    <t>161,24</t>
  </si>
  <si>
    <t>107,80</t>
  </si>
  <si>
    <t>211,16</t>
  </si>
  <si>
    <t>33,46</t>
  </si>
  <si>
    <t>376,65</t>
  </si>
  <si>
    <t>285,09</t>
  </si>
  <si>
    <t>64,80</t>
  </si>
  <si>
    <t>11,66</t>
  </si>
  <si>
    <t>183,48</t>
  </si>
  <si>
    <t>29,07</t>
  </si>
  <si>
    <t>327,29</t>
  </si>
  <si>
    <t>243,02</t>
  </si>
  <si>
    <t>53,10</t>
  </si>
  <si>
    <t>9,55</t>
  </si>
  <si>
    <t>85,36</t>
  </si>
  <si>
    <t>54,69</t>
  </si>
  <si>
    <t>9,77</t>
  </si>
  <si>
    <t>18,33</t>
  </si>
  <si>
    <t>7,81</t>
  </si>
  <si>
    <t>1,63</t>
  </si>
  <si>
    <t>26,42</t>
  </si>
  <si>
    <t>4,75</t>
  </si>
  <si>
    <t>1,84</t>
  </si>
  <si>
    <t>18,72</t>
  </si>
  <si>
    <t>0,14</t>
  </si>
  <si>
    <t>1,15</t>
  </si>
  <si>
    <t>18,88</t>
  </si>
  <si>
    <t>2,62</t>
  </si>
  <si>
    <t>19,43</t>
  </si>
  <si>
    <t>3,58</t>
  </si>
  <si>
    <t>1,40</t>
  </si>
  <si>
    <t>36,44</t>
  </si>
  <si>
    <t>113,75</t>
  </si>
  <si>
    <t>20,45</t>
  </si>
  <si>
    <t>3,78</t>
  </si>
  <si>
    <t>1,47</t>
  </si>
  <si>
    <t>38,35</t>
  </si>
  <si>
    <t>131,24</t>
  </si>
  <si>
    <t>0,22</t>
  </si>
  <si>
    <t>1,13</t>
  </si>
  <si>
    <t>1,41</t>
  </si>
  <si>
    <t>24,07</t>
  </si>
  <si>
    <t>3,43</t>
  </si>
  <si>
    <t>30,12</t>
  </si>
  <si>
    <t>7,98</t>
  </si>
  <si>
    <t>3,11</t>
  </si>
  <si>
    <t>0,36</t>
  </si>
  <si>
    <t>3,94</t>
  </si>
  <si>
    <t>5,08</t>
  </si>
  <si>
    <t>0,58</t>
  </si>
  <si>
    <t>6,08</t>
  </si>
  <si>
    <t>3,02</t>
  </si>
  <si>
    <t>0,35</t>
  </si>
  <si>
    <t>3,30</t>
  </si>
  <si>
    <t>4,00</t>
  </si>
  <si>
    <t>3,24</t>
  </si>
  <si>
    <t>3,77</t>
  </si>
  <si>
    <t>9,65</t>
  </si>
  <si>
    <t>110,48</t>
  </si>
  <si>
    <t>15,33</t>
  </si>
  <si>
    <t>138,26</t>
  </si>
  <si>
    <t>77,20</t>
  </si>
  <si>
    <t>58,47</t>
  </si>
  <si>
    <t>8,10</t>
  </si>
  <si>
    <t>73,17</t>
  </si>
  <si>
    <t>59,17</t>
  </si>
  <si>
    <t>20,89</t>
  </si>
  <si>
    <t>2,48</t>
  </si>
  <si>
    <t>22,85</t>
  </si>
  <si>
    <t>36,70</t>
  </si>
  <si>
    <t>11,59</t>
  </si>
  <si>
    <t>1,17</t>
  </si>
  <si>
    <t>14,48</t>
  </si>
  <si>
    <t>33,81</t>
  </si>
  <si>
    <t>2,33</t>
  </si>
  <si>
    <t>3,89</t>
  </si>
  <si>
    <t>3,12</t>
  </si>
  <si>
    <t>3,91</t>
  </si>
  <si>
    <t>39,10</t>
  </si>
  <si>
    <t>7,93</t>
  </si>
  <si>
    <t>1,10</t>
  </si>
  <si>
    <t>9,92</t>
  </si>
  <si>
    <t>101,44</t>
  </si>
  <si>
    <t>3,70</t>
  </si>
  <si>
    <t>0,51</t>
  </si>
  <si>
    <t>4,63</t>
  </si>
  <si>
    <t>53,11</t>
  </si>
  <si>
    <t>3,17</t>
  </si>
  <si>
    <t>11,07</t>
  </si>
  <si>
    <t>2,31</t>
  </si>
  <si>
    <t>0,90</t>
  </si>
  <si>
    <t>20,76</t>
  </si>
  <si>
    <t>91,86</t>
  </si>
  <si>
    <t>0,49</t>
  </si>
  <si>
    <t>0,61</t>
  </si>
  <si>
    <t>0,57</t>
  </si>
  <si>
    <t>0,71</t>
  </si>
  <si>
    <t>15,27</t>
  </si>
  <si>
    <t>8,62</t>
  </si>
  <si>
    <t>1,81</t>
  </si>
  <si>
    <t>0,70</t>
  </si>
  <si>
    <t>9,63</t>
  </si>
  <si>
    <t>2,01</t>
  </si>
  <si>
    <t>12,53</t>
  </si>
  <si>
    <t>7,26</t>
  </si>
  <si>
    <t>14,14</t>
  </si>
  <si>
    <t>2,61</t>
  </si>
  <si>
    <t>1,01</t>
  </si>
  <si>
    <t>91,48</t>
  </si>
  <si>
    <t>9,29</t>
  </si>
  <si>
    <t>1,94</t>
  </si>
  <si>
    <t>0,75</t>
  </si>
  <si>
    <t>12,36</t>
  </si>
  <si>
    <t>2,59</t>
  </si>
  <si>
    <t>0,85</t>
  </si>
  <si>
    <t>0,79</t>
  </si>
  <si>
    <t>13,60</t>
  </si>
  <si>
    <t>2,94</t>
  </si>
  <si>
    <t>138,45</t>
  </si>
  <si>
    <t>0,10</t>
  </si>
  <si>
    <t>9,04</t>
  </si>
  <si>
    <t>1,89</t>
  </si>
  <si>
    <t>16,97</t>
  </si>
  <si>
    <t>86,34</t>
  </si>
  <si>
    <t>20,59</t>
  </si>
  <si>
    <t>1,67</t>
  </si>
  <si>
    <t>38,60</t>
  </si>
  <si>
    <t>194,31</t>
  </si>
  <si>
    <t>1,99</t>
  </si>
  <si>
    <t>4,13</t>
  </si>
  <si>
    <t>3,44</t>
  </si>
  <si>
    <t>14,09</t>
  </si>
  <si>
    <t>1,14</t>
  </si>
  <si>
    <t>26,43</t>
  </si>
  <si>
    <t>0,56</t>
  </si>
  <si>
    <t>0,00</t>
  </si>
  <si>
    <t>7,43</t>
  </si>
  <si>
    <t>25,55</t>
  </si>
  <si>
    <t>2,26</t>
  </si>
  <si>
    <t>2,83</t>
  </si>
  <si>
    <t>30,10</t>
  </si>
  <si>
    <t>15,03</t>
  </si>
  <si>
    <t>3,15</t>
  </si>
  <si>
    <t>178,13</t>
  </si>
  <si>
    <t>0,21</t>
  </si>
  <si>
    <t>15,93</t>
  </si>
  <si>
    <t>5,98</t>
  </si>
  <si>
    <t>1,09</t>
  </si>
  <si>
    <t>171,80</t>
  </si>
  <si>
    <t>23,85</t>
  </si>
  <si>
    <t>214,99</t>
  </si>
  <si>
    <t>100,82</t>
  </si>
  <si>
    <t>6,48</t>
  </si>
  <si>
    <t>0,64</t>
  </si>
  <si>
    <t>2,91</t>
  </si>
  <si>
    <t>7,72</t>
  </si>
  <si>
    <t>24,17</t>
  </si>
  <si>
    <t>2,87</t>
  </si>
  <si>
    <t>26,44</t>
  </si>
  <si>
    <t>5,89</t>
  </si>
  <si>
    <t>50,81</t>
  </si>
  <si>
    <t>81,69</t>
  </si>
  <si>
    <t>139,23</t>
  </si>
  <si>
    <t>MÁQUINA JATO DE PRESSAO PORTÁTIL, CAMARA DE 1 SAIDA, CAPACIDADE 280 L, DIAMETRO 670 MM, BICO DE JATO CURTO VENTURI DE 5/16'' , MANGUEIRA DE 1'' COM COMPRESSOR DE AR REBOCÁVEL 189 PCM E MOTOR DIESEL 63 CV - DEPRECIAÇÃO. AF_03/2016</t>
  </si>
  <si>
    <t>4,39</t>
  </si>
  <si>
    <t>MÁQUINA JATO DE PRESSAO PORTÁTIL, CAMARA DE 1 SAIDA, CAPACIDADE 280 L, DIAMETRO 670 MM, BICO DE JATO CURTO VENTURI DE 5/16'' , MANGUEIRA DE 1'' COM COMPRESSOR DE AR REBOCÁVEL 189 PCM E MOTOR DIESEL 63 CV - JUROS. AF_03/2016</t>
  </si>
  <si>
    <t>0,44</t>
  </si>
  <si>
    <t>MÁQUINA JATO DE PRESSAO PORTÁTIL, CAMARA DE 1 SAIDA, CAPACIDADE 280 L, DIAMETRO 670 MM, BICO DE JATO CURTO VENTURI DE 5/16'' , MANGUEIRA DE 1'' COM COMPRESSOR DE AR REBOCÁVEL 189 PCM E MOTOR DIESEL 63 CV - MANUTENÇÃO. AF_03/2016</t>
  </si>
  <si>
    <t>5,49</t>
  </si>
  <si>
    <t>MÁQUINA JATO DE PRESSAO PORTÁTIL, CAMARA DE 1 SAIDA, CAPACIDADE 280 L, DIAMETRO 670 MM, BICO DE JATO CURTO VENTURI DE 5/16'' , MANGUEIRA DE 1'' COM COMPRESSOR DE AR REBOCÁVEL 189 PCM E MOTOR DIESEL 63 CV - MATERIAIS NA OPERAÇÃO. AF_03/2016</t>
  </si>
  <si>
    <t>11,17</t>
  </si>
  <si>
    <t>0,47</t>
  </si>
  <si>
    <t>2,34</t>
  </si>
  <si>
    <t>43,27</t>
  </si>
  <si>
    <t>3,72</t>
  </si>
  <si>
    <t>3,32</t>
  </si>
  <si>
    <t>103,40</t>
  </si>
  <si>
    <t>63,00</t>
  </si>
  <si>
    <t>11,34</t>
  </si>
  <si>
    <t>101,27</t>
  </si>
  <si>
    <t>1.852,80</t>
  </si>
  <si>
    <t>3,41</t>
  </si>
  <si>
    <t>19,15</t>
  </si>
  <si>
    <t>31,99</t>
  </si>
  <si>
    <t>5,04</t>
  </si>
  <si>
    <t>32,49</t>
  </si>
  <si>
    <t>5,84</t>
  </si>
  <si>
    <t>40,16</t>
  </si>
  <si>
    <t>11,40</t>
  </si>
  <si>
    <t>12,47</t>
  </si>
  <si>
    <t>94,99</t>
  </si>
  <si>
    <t>20,23</t>
  </si>
  <si>
    <t>3,64</t>
  </si>
  <si>
    <t>37,94</t>
  </si>
  <si>
    <t>20,80</t>
  </si>
  <si>
    <t>27,39</t>
  </si>
  <si>
    <t>3,25</t>
  </si>
  <si>
    <t>29,96</t>
  </si>
  <si>
    <t>3,46</t>
  </si>
  <si>
    <t>0,28</t>
  </si>
  <si>
    <t>1,60</t>
  </si>
  <si>
    <t>28,79</t>
  </si>
  <si>
    <t>2,51</t>
  </si>
  <si>
    <t>23,07</t>
  </si>
  <si>
    <t>3,29</t>
  </si>
  <si>
    <t>28,87</t>
  </si>
  <si>
    <t>21,97</t>
  </si>
  <si>
    <t>3,76</t>
  </si>
  <si>
    <t>34,66</t>
  </si>
  <si>
    <t>26,69</t>
  </si>
  <si>
    <t>33,37</t>
  </si>
  <si>
    <t>1,07</t>
  </si>
  <si>
    <t>5,30</t>
  </si>
  <si>
    <t>176,17</t>
  </si>
  <si>
    <t>11,77</t>
  </si>
  <si>
    <t>12,87</t>
  </si>
  <si>
    <t>11,67</t>
  </si>
  <si>
    <t>1,61</t>
  </si>
  <si>
    <t>12,75</t>
  </si>
  <si>
    <t>9,02</t>
  </si>
  <si>
    <t>1,24</t>
  </si>
  <si>
    <t>9,86</t>
  </si>
  <si>
    <t>16,43</t>
  </si>
  <si>
    <t>30,80</t>
  </si>
  <si>
    <t>9,12</t>
  </si>
  <si>
    <t>14,42</t>
  </si>
  <si>
    <t>9,98</t>
  </si>
  <si>
    <t>1,45</t>
  </si>
  <si>
    <t>18,02</t>
  </si>
  <si>
    <t>12,31</t>
  </si>
  <si>
    <t>15,39</t>
  </si>
  <si>
    <t>11,23</t>
  </si>
  <si>
    <t>31,69</t>
  </si>
  <si>
    <t>31,93</t>
  </si>
  <si>
    <t>25,51</t>
  </si>
  <si>
    <t>2,89</t>
  </si>
  <si>
    <t>0,74</t>
  </si>
  <si>
    <t>77,38</t>
  </si>
  <si>
    <t>13,92</t>
  </si>
  <si>
    <t>124,39</t>
  </si>
  <si>
    <t>149,94</t>
  </si>
  <si>
    <t>203,75</t>
  </si>
  <si>
    <t>36,67</t>
  </si>
  <si>
    <t>327,53</t>
  </si>
  <si>
    <t>214,20</t>
  </si>
  <si>
    <t>341,85</t>
  </si>
  <si>
    <t>395,09</t>
  </si>
  <si>
    <t>446,72</t>
  </si>
  <si>
    <t>529,84</t>
  </si>
  <si>
    <t>59,62</t>
  </si>
  <si>
    <t>67,53</t>
  </si>
  <si>
    <t>63,95</t>
  </si>
  <si>
    <t>77,80</t>
  </si>
  <si>
    <t>16,86</t>
  </si>
  <si>
    <t>14,33</t>
  </si>
  <si>
    <t>748,18</t>
  </si>
  <si>
    <t>922,50</t>
  </si>
  <si>
    <t>971,22</t>
  </si>
  <si>
    <t>1.083,06</t>
  </si>
  <si>
    <t>1.372,94</t>
  </si>
  <si>
    <t>1.668,37</t>
  </si>
  <si>
    <t>1.733,18</t>
  </si>
  <si>
    <t>1.890,98</t>
  </si>
  <si>
    <t>2.191,34</t>
  </si>
  <si>
    <t>2.265,09</t>
  </si>
  <si>
    <t>738,31</t>
  </si>
  <si>
    <t>906,19</t>
  </si>
  <si>
    <t>954,91</t>
  </si>
  <si>
    <t>1.073,18</t>
  </si>
  <si>
    <t>1.355,56</t>
  </si>
  <si>
    <t>1.641,87</t>
  </si>
  <si>
    <t>1.707,86</t>
  </si>
  <si>
    <t>1.849,35</t>
  </si>
  <si>
    <t>2.140,71</t>
  </si>
  <si>
    <t>2.203,52</t>
  </si>
  <si>
    <t>28,66</t>
  </si>
  <si>
    <t>17,46</t>
  </si>
  <si>
    <t>25,47</t>
  </si>
  <si>
    <t>38,54</t>
  </si>
  <si>
    <t>43,65</t>
  </si>
  <si>
    <t>19,00</t>
  </si>
  <si>
    <t>20,15</t>
  </si>
  <si>
    <t>33,16</t>
  </si>
  <si>
    <t>40,95</t>
  </si>
  <si>
    <t>16,37</t>
  </si>
  <si>
    <t>19,52</t>
  </si>
  <si>
    <t>12,86</t>
  </si>
  <si>
    <t>15,89</t>
  </si>
  <si>
    <t>25,43</t>
  </si>
  <si>
    <t>27,61</t>
  </si>
  <si>
    <t>24,91</t>
  </si>
  <si>
    <t>27,79</t>
  </si>
  <si>
    <t>35,77</t>
  </si>
  <si>
    <t>40,67</t>
  </si>
  <si>
    <t>21,11</t>
  </si>
  <si>
    <t>23,78</t>
  </si>
  <si>
    <t>15,36</t>
  </si>
  <si>
    <t>2,52</t>
  </si>
  <si>
    <t>31,84</t>
  </si>
  <si>
    <t>63,68</t>
  </si>
  <si>
    <t>43,39</t>
  </si>
  <si>
    <t>166,80</t>
  </si>
  <si>
    <t>24,67</t>
  </si>
  <si>
    <t>38,32</t>
  </si>
  <si>
    <t>18,97</t>
  </si>
  <si>
    <t>32,62</t>
  </si>
  <si>
    <t>37,24</t>
  </si>
  <si>
    <t>82,15</t>
  </si>
  <si>
    <t>35,66</t>
  </si>
  <si>
    <t>34,51</t>
  </si>
  <si>
    <t>10,51</t>
  </si>
  <si>
    <t>13,41</t>
  </si>
  <si>
    <t>19,18</t>
  </si>
  <si>
    <t>37,14</t>
  </si>
  <si>
    <t>50,47</t>
  </si>
  <si>
    <t>97,03</t>
  </si>
  <si>
    <t>30,54</t>
  </si>
  <si>
    <t>134,58</t>
  </si>
  <si>
    <t>165,95</t>
  </si>
  <si>
    <t>197,03</t>
  </si>
  <si>
    <t>247,02</t>
  </si>
  <si>
    <t>72,71</t>
  </si>
  <si>
    <t>78,64</t>
  </si>
  <si>
    <t>46,87</t>
  </si>
  <si>
    <t>27,98</t>
  </si>
  <si>
    <t>74,07</t>
  </si>
  <si>
    <t>36,95</t>
  </si>
  <si>
    <t>20,14</t>
  </si>
  <si>
    <t>80,23</t>
  </si>
  <si>
    <t>40,42</t>
  </si>
  <si>
    <t>22,18</t>
  </si>
  <si>
    <t>27,93</t>
  </si>
  <si>
    <t>28,94</t>
  </si>
  <si>
    <t>425,18</t>
  </si>
  <si>
    <t>491,26</t>
  </si>
  <si>
    <t>557,34</t>
  </si>
  <si>
    <t>705,66</t>
  </si>
  <si>
    <t>771,74</t>
  </si>
  <si>
    <t>868,90</t>
  </si>
  <si>
    <t>6,57</t>
  </si>
  <si>
    <t>1.002,57</t>
  </si>
  <si>
    <t>1.121,47</t>
  </si>
  <si>
    <t>1.187,55</t>
  </si>
  <si>
    <t>1.270,35</t>
  </si>
  <si>
    <t>474,53</t>
  </si>
  <si>
    <t>540,61</t>
  </si>
  <si>
    <t>672,21</t>
  </si>
  <si>
    <t>738,29</t>
  </si>
  <si>
    <t>835,44</t>
  </si>
  <si>
    <t>935,67</t>
  </si>
  <si>
    <t>1.071,29</t>
  </si>
  <si>
    <t>1.137,37</t>
  </si>
  <si>
    <t>1.203,45</t>
  </si>
  <si>
    <t>772,43</t>
  </si>
  <si>
    <t>1.067,50</t>
  </si>
  <si>
    <t>1.117,97</t>
  </si>
  <si>
    <t>1.240,24</t>
  </si>
  <si>
    <t>1.557,16</t>
  </si>
  <si>
    <t>2.001,47</t>
  </si>
  <si>
    <t>2.075,21</t>
  </si>
  <si>
    <t>2.265,55</t>
  </si>
  <si>
    <t>2.623,93</t>
  </si>
  <si>
    <t>2.801,24</t>
  </si>
  <si>
    <t>752,68</t>
  </si>
  <si>
    <t>1.042,18</t>
  </si>
  <si>
    <t>1.092,65</t>
  </si>
  <si>
    <t>1.289,43</t>
  </si>
  <si>
    <t>1.488,84</t>
  </si>
  <si>
    <t>1.892,26</t>
  </si>
  <si>
    <t>1.954,31</t>
  </si>
  <si>
    <t>2.103,98</t>
  </si>
  <si>
    <t>2.388,41</t>
  </si>
  <si>
    <t>2.319,94</t>
  </si>
  <si>
    <t>6,90</t>
  </si>
  <si>
    <t>6,33</t>
  </si>
  <si>
    <t>493,31</t>
  </si>
  <si>
    <t>29,55</t>
  </si>
  <si>
    <t>83,07</t>
  </si>
  <si>
    <t>29,74</t>
  </si>
  <si>
    <t>25,29</t>
  </si>
  <si>
    <t>5,79</t>
  </si>
  <si>
    <t>11,29</t>
  </si>
  <si>
    <t>135,55</t>
  </si>
  <si>
    <t>130,68</t>
  </si>
  <si>
    <t>75,13</t>
  </si>
  <si>
    <t>49,58</t>
  </si>
  <si>
    <t>65,11</t>
  </si>
  <si>
    <t>41,90</t>
  </si>
  <si>
    <t>32,53</t>
  </si>
  <si>
    <t>202,94</t>
  </si>
  <si>
    <t>125,28</t>
  </si>
  <si>
    <t>117,47</t>
  </si>
  <si>
    <t>74,47</t>
  </si>
  <si>
    <t>7,49</t>
  </si>
  <si>
    <t>8,90</t>
  </si>
  <si>
    <t>49,63</t>
  </si>
  <si>
    <t>53,26</t>
  </si>
  <si>
    <t>14,59</t>
  </si>
  <si>
    <t>17,45</t>
  </si>
  <si>
    <t>18,76</t>
  </si>
  <si>
    <t>134,73</t>
  </si>
  <si>
    <t>17,40</t>
  </si>
  <si>
    <t>6,10</t>
  </si>
  <si>
    <t>197,00</t>
  </si>
  <si>
    <t>419,14</t>
  </si>
  <si>
    <t>197,39</t>
  </si>
  <si>
    <t>255,89</t>
  </si>
  <si>
    <t>146,07</t>
  </si>
  <si>
    <t>369,67</t>
  </si>
  <si>
    <t>528,53</t>
  </si>
  <si>
    <t>511,02</t>
  </si>
  <si>
    <t>650,64</t>
  </si>
  <si>
    <t>600,66</t>
  </si>
  <si>
    <t>719,71</t>
  </si>
  <si>
    <t>651,57</t>
  </si>
  <si>
    <t>749,49</t>
  </si>
  <si>
    <t>1.275,11</t>
  </si>
  <si>
    <t>1.580,30</t>
  </si>
  <si>
    <t>1.884,35</t>
  </si>
  <si>
    <t>476,08</t>
  </si>
  <si>
    <t>434,60</t>
  </si>
  <si>
    <t>188,30</t>
  </si>
  <si>
    <t>214,38</t>
  </si>
  <si>
    <t>245,97</t>
  </si>
  <si>
    <t>608,09</t>
  </si>
  <si>
    <t>81,05</t>
  </si>
  <si>
    <t>90,33</t>
  </si>
  <si>
    <t>114,32</t>
  </si>
  <si>
    <t>123,60</t>
  </si>
  <si>
    <t>92,59</t>
  </si>
  <si>
    <t>103,05</t>
  </si>
  <si>
    <t>128,37</t>
  </si>
  <si>
    <t>138,92</t>
  </si>
  <si>
    <t>83,66</t>
  </si>
  <si>
    <t>97,77</t>
  </si>
  <si>
    <t>88,63</t>
  </si>
  <si>
    <t>102,61</t>
  </si>
  <si>
    <t>96,41</t>
  </si>
  <si>
    <t>111,59</t>
  </si>
  <si>
    <t>105,27</t>
  </si>
  <si>
    <t>120,29</t>
  </si>
  <si>
    <t>89,34</t>
  </si>
  <si>
    <t>98,86</t>
  </si>
  <si>
    <t>123,97</t>
  </si>
  <si>
    <t>133,66</t>
  </si>
  <si>
    <t>99,36</t>
  </si>
  <si>
    <t>110,23</t>
  </si>
  <si>
    <t>136,09</t>
  </si>
  <si>
    <t>147,29</t>
  </si>
  <si>
    <t>88,73</t>
  </si>
  <si>
    <t>103,15</t>
  </si>
  <si>
    <t>105,80</t>
  </si>
  <si>
    <t>116,99</t>
  </si>
  <si>
    <t>108,66</t>
  </si>
  <si>
    <t>124,18</t>
  </si>
  <si>
    <t>153,39</t>
  </si>
  <si>
    <t>142,15</t>
  </si>
  <si>
    <t>130,64</t>
  </si>
  <si>
    <t>126,87</t>
  </si>
  <si>
    <t>162,13</t>
  </si>
  <si>
    <t>150,21</t>
  </si>
  <si>
    <t>143,17</t>
  </si>
  <si>
    <t>138,19</t>
  </si>
  <si>
    <t>134,30</t>
  </si>
  <si>
    <t>144,84</t>
  </si>
  <si>
    <t>133,61</t>
  </si>
  <si>
    <t>126,91</t>
  </si>
  <si>
    <t>120,41</t>
  </si>
  <si>
    <t>118,44</t>
  </si>
  <si>
    <t>153,56</t>
  </si>
  <si>
    <t>141,71</t>
  </si>
  <si>
    <t>134,69</t>
  </si>
  <si>
    <t>129,74</t>
  </si>
  <si>
    <t>122,30</t>
  </si>
  <si>
    <t>24,88</t>
  </si>
  <si>
    <t>490,70</t>
  </si>
  <si>
    <t>308,08</t>
  </si>
  <si>
    <t>391,11</t>
  </si>
  <si>
    <t>254,15</t>
  </si>
  <si>
    <t>24,36</t>
  </si>
  <si>
    <t>9,34</t>
  </si>
  <si>
    <t>8,18</t>
  </si>
  <si>
    <t>6,82</t>
  </si>
  <si>
    <t>6,34</t>
  </si>
  <si>
    <t>6,99</t>
  </si>
  <si>
    <t>6,76</t>
  </si>
  <si>
    <t>367,90</t>
  </si>
  <si>
    <t>299,43</t>
  </si>
  <si>
    <t>626,83</t>
  </si>
  <si>
    <t>1.024,57</t>
  </si>
  <si>
    <t>1.532,38</t>
  </si>
  <si>
    <t>2.157,46</t>
  </si>
  <si>
    <t>2.905,53</t>
  </si>
  <si>
    <t>883,80</t>
  </si>
  <si>
    <t>1.453,28</t>
  </si>
  <si>
    <t>2.177,77</t>
  </si>
  <si>
    <t>2.770,89</t>
  </si>
  <si>
    <t>4.123,17</t>
  </si>
  <si>
    <t>1.140,30</t>
  </si>
  <si>
    <t>1.881,49</t>
  </si>
  <si>
    <t>2.822,74</t>
  </si>
  <si>
    <t>3.972,99</t>
  </si>
  <si>
    <t>5.340,89</t>
  </si>
  <si>
    <t>1.453,42</t>
  </si>
  <si>
    <t>798,95</t>
  </si>
  <si>
    <t>298,58</t>
  </si>
  <si>
    <t>896,12</t>
  </si>
  <si>
    <t>1.298,72</t>
  </si>
  <si>
    <t>1.661,09</t>
  </si>
  <si>
    <t>986,95</t>
  </si>
  <si>
    <t>385,10</t>
  </si>
  <si>
    <t>1.194,19</t>
  </si>
  <si>
    <t>431,24</t>
  </si>
  <si>
    <t>2.400,79</t>
  </si>
  <si>
    <t>1.401,47</t>
  </si>
  <si>
    <t>666,18</t>
  </si>
  <si>
    <t>3.044,02</t>
  </si>
  <si>
    <t>1.712,34</t>
  </si>
  <si>
    <t>2.102,53</t>
  </si>
  <si>
    <t>1.068,84</t>
  </si>
  <si>
    <t>2.655,16</t>
  </si>
  <si>
    <t>1.280,01</t>
  </si>
  <si>
    <t>1.491,19</t>
  </si>
  <si>
    <t>1.702,36</t>
  </si>
  <si>
    <t>4.333,36</t>
  </si>
  <si>
    <t>1.913,56</t>
  </si>
  <si>
    <t>2.124,75</t>
  </si>
  <si>
    <t>5.443,64</t>
  </si>
  <si>
    <t>2.335,89</t>
  </si>
  <si>
    <t>3.282,76</t>
  </si>
  <si>
    <t>3.990,31</t>
  </si>
  <si>
    <t>4.681,76</t>
  </si>
  <si>
    <t>5.373,10</t>
  </si>
  <si>
    <t>6.064,55</t>
  </si>
  <si>
    <t>6.755,98</t>
  </si>
  <si>
    <t>2.576,39</t>
  </si>
  <si>
    <t>4.823,98</t>
  </si>
  <si>
    <t>1.942,89</t>
  </si>
  <si>
    <t>5.645,11</t>
  </si>
  <si>
    <t>2.154,06</t>
  </si>
  <si>
    <t>6.503,14</t>
  </si>
  <si>
    <t>2.365,22</t>
  </si>
  <si>
    <t>7.328,87</t>
  </si>
  <si>
    <t>8.154,54</t>
  </si>
  <si>
    <t>2.793,62</t>
  </si>
  <si>
    <t>6.647,76</t>
  </si>
  <si>
    <t>2.371,34</t>
  </si>
  <si>
    <t>7.636,93</t>
  </si>
  <si>
    <t>2.582,52</t>
  </si>
  <si>
    <t>8.626,08</t>
  </si>
  <si>
    <t>9.615,28</t>
  </si>
  <si>
    <t>3.010,90</t>
  </si>
  <si>
    <t>8.816,75</t>
  </si>
  <si>
    <t>2.799,74</t>
  </si>
  <si>
    <t>9.953,49</t>
  </si>
  <si>
    <t>11.090,22</t>
  </si>
  <si>
    <t>3.228,19</t>
  </si>
  <si>
    <t>11.288,69</t>
  </si>
  <si>
    <t>12.574,11</t>
  </si>
  <si>
    <t>3.445,49</t>
  </si>
  <si>
    <t>14.067,06</t>
  </si>
  <si>
    <t>3.602,91</t>
  </si>
  <si>
    <t>208,57</t>
  </si>
  <si>
    <t>779,73</t>
  </si>
  <si>
    <t>2.034,20</t>
  </si>
  <si>
    <t>4.888,42</t>
  </si>
  <si>
    <t>3.207,69</t>
  </si>
  <si>
    <t>3.760,26</t>
  </si>
  <si>
    <t>318,15</t>
  </si>
  <si>
    <t>976,16</t>
  </si>
  <si>
    <t>1.168,71</t>
  </si>
  <si>
    <t>1.361,26</t>
  </si>
  <si>
    <t>1.465,54</t>
  </si>
  <si>
    <t>1.569,83</t>
  </si>
  <si>
    <t>1.357,32</t>
  </si>
  <si>
    <t>1.549,87</t>
  </si>
  <si>
    <t>1.742,42</t>
  </si>
  <si>
    <t>1.846,70</t>
  </si>
  <si>
    <t>1.950,99</t>
  </si>
  <si>
    <t>3.101,52</t>
  </si>
  <si>
    <t>3.802,26</t>
  </si>
  <si>
    <t>4.192,12</t>
  </si>
  <si>
    <t>4.581,99</t>
  </si>
  <si>
    <t>2.781,95</t>
  </si>
  <si>
    <t>3.482,68</t>
  </si>
  <si>
    <t>4.183,42</t>
  </si>
  <si>
    <t>4.573,28</t>
  </si>
  <si>
    <t>4.963,15</t>
  </si>
  <si>
    <t>421,62</t>
  </si>
  <si>
    <t>1.440,78</t>
  </si>
  <si>
    <t>2.319,78</t>
  </si>
  <si>
    <t>1.336,55</t>
  </si>
  <si>
    <t>3.886,58</t>
  </si>
  <si>
    <t>653,06</t>
  </si>
  <si>
    <t>1.644,55</t>
  </si>
  <si>
    <t>2.943,45</t>
  </si>
  <si>
    <t>1.637,32</t>
  </si>
  <si>
    <t>2.049,35</t>
  </si>
  <si>
    <t>1.033,26</t>
  </si>
  <si>
    <t>4.559,26</t>
  </si>
  <si>
    <t>2.587,67</t>
  </si>
  <si>
    <t>1.237,02</t>
  </si>
  <si>
    <t>1.848,33</t>
  </si>
  <si>
    <t>3.125,91</t>
  </si>
  <si>
    <t>3.664,19</t>
  </si>
  <si>
    <t>5.231,85</t>
  </si>
  <si>
    <t>861,90</t>
  </si>
  <si>
    <t>1.240,64</t>
  </si>
  <si>
    <t>4.222,98</t>
  </si>
  <si>
    <t>2.052,10</t>
  </si>
  <si>
    <t>312,32</t>
  </si>
  <si>
    <t>4.763,75</t>
  </si>
  <si>
    <t>1.599,50</t>
  </si>
  <si>
    <t>2.285,89</t>
  </si>
  <si>
    <t>935,49</t>
  </si>
  <si>
    <t>5.904,53</t>
  </si>
  <si>
    <t>5.304,67</t>
  </si>
  <si>
    <t>7.422,38</t>
  </si>
  <si>
    <t>377,45</t>
  </si>
  <si>
    <t>2.255,83</t>
  </si>
  <si>
    <t>3.197,77</t>
  </si>
  <si>
    <t>1.962,74</t>
  </si>
  <si>
    <t>1.136,01</t>
  </si>
  <si>
    <t>6.577,21</t>
  </si>
  <si>
    <t>2.489,66</t>
  </si>
  <si>
    <t>2.484,46</t>
  </si>
  <si>
    <t>8.381,85</t>
  </si>
  <si>
    <t>2.693,35</t>
  </si>
  <si>
    <t>9.341,37</t>
  </si>
  <si>
    <t>4.695,74</t>
  </si>
  <si>
    <t>2.902,30</t>
  </si>
  <si>
    <t>8.563,89</t>
  </si>
  <si>
    <t>2.698,55</t>
  </si>
  <si>
    <t>9.665,67</t>
  </si>
  <si>
    <t>1.873,20</t>
  </si>
  <si>
    <t>10.767,46</t>
  </si>
  <si>
    <t>3.111,24</t>
  </si>
  <si>
    <t>10.956,63</t>
  </si>
  <si>
    <t>5.493,97</t>
  </si>
  <si>
    <t>12.201,72</t>
  </si>
  <si>
    <t>3.320,20</t>
  </si>
  <si>
    <t>13.644,28</t>
  </si>
  <si>
    <t>2.076,95</t>
  </si>
  <si>
    <t>205,95</t>
  </si>
  <si>
    <t>736,68</t>
  </si>
  <si>
    <t>6.329,09</t>
  </si>
  <si>
    <t>2.280,71</t>
  </si>
  <si>
    <t>7.131,93</t>
  </si>
  <si>
    <t>7.934,70</t>
  </si>
  <si>
    <t>6.462,87</t>
  </si>
  <si>
    <t>3.478,37</t>
  </si>
  <si>
    <t>23,55</t>
  </si>
  <si>
    <t>26,63</t>
  </si>
  <si>
    <t>29,59</t>
  </si>
  <si>
    <t>33,09</t>
  </si>
  <si>
    <t>38,68</t>
  </si>
  <si>
    <t>48,43</t>
  </si>
  <si>
    <t>53,83</t>
  </si>
  <si>
    <t>58,87</t>
  </si>
  <si>
    <t>66,06</t>
  </si>
  <si>
    <t>35,08</t>
  </si>
  <si>
    <t>38,55</t>
  </si>
  <si>
    <t>33,30</t>
  </si>
  <si>
    <t>36,78</t>
  </si>
  <si>
    <t>36,48</t>
  </si>
  <si>
    <t>47,06</t>
  </si>
  <si>
    <t>45,66</t>
  </si>
  <si>
    <t>56,23</t>
  </si>
  <si>
    <t>54,34</t>
  </si>
  <si>
    <t>64,92</t>
  </si>
  <si>
    <t>29,38</t>
  </si>
  <si>
    <t>38,63</t>
  </si>
  <si>
    <t>36,14</t>
  </si>
  <si>
    <t>45,38</t>
  </si>
  <si>
    <t>42,42</t>
  </si>
  <si>
    <t>51,67</t>
  </si>
  <si>
    <t>103,53</t>
  </si>
  <si>
    <t>6,69</t>
  </si>
  <si>
    <t>18,32</t>
  </si>
  <si>
    <t>25,13</t>
  </si>
  <si>
    <t>14,43</t>
  </si>
  <si>
    <t>21,27</t>
  </si>
  <si>
    <t>11,01</t>
  </si>
  <si>
    <t>17,99</t>
  </si>
  <si>
    <t>24,08</t>
  </si>
  <si>
    <t>13,37</t>
  </si>
  <si>
    <t>20,17</t>
  </si>
  <si>
    <t>9,95</t>
  </si>
  <si>
    <t>16,89</t>
  </si>
  <si>
    <t>30,94</t>
  </si>
  <si>
    <t>39,79</t>
  </si>
  <si>
    <t>34,25</t>
  </si>
  <si>
    <t>22,15</t>
  </si>
  <si>
    <t>31,02</t>
  </si>
  <si>
    <t>29,54</t>
  </si>
  <si>
    <t>38,42</t>
  </si>
  <si>
    <t>24,13</t>
  </si>
  <si>
    <t>32,86</t>
  </si>
  <si>
    <t>20,77</t>
  </si>
  <si>
    <t>29,63</t>
  </si>
  <si>
    <t>146,22</t>
  </si>
  <si>
    <t>9,42</t>
  </si>
  <si>
    <t>17,53</t>
  </si>
  <si>
    <t>20,21</t>
  </si>
  <si>
    <t>413,33</t>
  </si>
  <si>
    <t>427,26</t>
  </si>
  <si>
    <t>431,17</t>
  </si>
  <si>
    <t>462,05</t>
  </si>
  <si>
    <t>497,50</t>
  </si>
  <si>
    <t>KIT DE PORTA-PRONTA DE MADEIRA EM ACABAMENTO MELAMÍNICO BRANCO, FOLHA LEVE OU MÉDIA, E BATENTE METÁLICO, 60X210CM, EXCLUSIVE FECHADURA, FIXAÇÃO COM ARGAMASSA - FORNECIMENTO E INSTALAÇÃO. AF_12/2019</t>
  </si>
  <si>
    <t>454,31</t>
  </si>
  <si>
    <t>472,81</t>
  </si>
  <si>
    <t>481,34</t>
  </si>
  <si>
    <t>510,88</t>
  </si>
  <si>
    <t>515,07</t>
  </si>
  <si>
    <t>533,08</t>
  </si>
  <si>
    <t>259,60</t>
  </si>
  <si>
    <t>331,85</t>
  </si>
  <si>
    <t>269,98</t>
  </si>
  <si>
    <t>295,18</t>
  </si>
  <si>
    <t>292,21</t>
  </si>
  <si>
    <t>308,37</t>
  </si>
  <si>
    <t>319,01</t>
  </si>
  <si>
    <t>342,77</t>
  </si>
  <si>
    <t>105,10</t>
  </si>
  <si>
    <t>82,34</t>
  </si>
  <si>
    <t>763,85</t>
  </si>
  <si>
    <t>797,93</t>
  </si>
  <si>
    <t>812,16</t>
  </si>
  <si>
    <t>829,98</t>
  </si>
  <si>
    <t>681,51</t>
  </si>
  <si>
    <t>708,37</t>
  </si>
  <si>
    <t>707,06</t>
  </si>
  <si>
    <t>724,88</t>
  </si>
  <si>
    <t>276,60</t>
  </si>
  <si>
    <t>222,63</t>
  </si>
  <si>
    <t>317,00</t>
  </si>
  <si>
    <t>303,27</t>
  </si>
  <si>
    <t>688,13</t>
  </si>
  <si>
    <t>635,82</t>
  </si>
  <si>
    <t>731,85</t>
  </si>
  <si>
    <t>719,78</t>
  </si>
  <si>
    <t>200,39</t>
  </si>
  <si>
    <t>272,64</t>
  </si>
  <si>
    <t>258,81</t>
  </si>
  <si>
    <t>275,84</t>
  </si>
  <si>
    <t>318,82</t>
  </si>
  <si>
    <t>542,76</t>
  </si>
  <si>
    <t>755,35</t>
  </si>
  <si>
    <t>79,85</t>
  </si>
  <si>
    <t>60,28</t>
  </si>
  <si>
    <t>63,25</t>
  </si>
  <si>
    <t>668,75</t>
  </si>
  <si>
    <t>698,29</t>
  </si>
  <si>
    <t>713,30</t>
  </si>
  <si>
    <t>730,83</t>
  </si>
  <si>
    <t>608,47</t>
  </si>
  <si>
    <t>635,04</t>
  </si>
  <si>
    <t>633,45</t>
  </si>
  <si>
    <t>650,98</t>
  </si>
  <si>
    <t>615,09</t>
  </si>
  <si>
    <t>562,49</t>
  </si>
  <si>
    <t>658,24</t>
  </si>
  <si>
    <t>645,88</t>
  </si>
  <si>
    <t>670,34</t>
  </si>
  <si>
    <t>597,30</t>
  </si>
  <si>
    <t>689,03</t>
  </si>
  <si>
    <t>615,70</t>
  </si>
  <si>
    <t>733,67</t>
  </si>
  <si>
    <t>660,06</t>
  </si>
  <si>
    <t>957,61</t>
  </si>
  <si>
    <t>884,00</t>
  </si>
  <si>
    <t>1.170,20</t>
  </si>
  <si>
    <t>1.096,59</t>
  </si>
  <si>
    <t>8,30</t>
  </si>
  <si>
    <t>6,86</t>
  </si>
  <si>
    <t>477,33</t>
  </si>
  <si>
    <t>168,14</t>
  </si>
  <si>
    <t>47,68</t>
  </si>
  <si>
    <t>770,47</t>
  </si>
  <si>
    <t>675,37</t>
  </si>
  <si>
    <t>725,38</t>
  </si>
  <si>
    <t>778,59</t>
  </si>
  <si>
    <t>678,95</t>
  </si>
  <si>
    <t>836,95</t>
  </si>
  <si>
    <t>738,09</t>
  </si>
  <si>
    <t>824,88</t>
  </si>
  <si>
    <t>725,73</t>
  </si>
  <si>
    <t>657,58</t>
  </si>
  <si>
    <t>838,77</t>
  </si>
  <si>
    <t>739,91</t>
  </si>
  <si>
    <t>1.062,71</t>
  </si>
  <si>
    <t>963,85</t>
  </si>
  <si>
    <t>1.275,30</t>
  </si>
  <si>
    <t>1.176,44</t>
  </si>
  <si>
    <t>49,15</t>
  </si>
  <si>
    <t>54,70</t>
  </si>
  <si>
    <t>60,29</t>
  </si>
  <si>
    <t>65,86</t>
  </si>
  <si>
    <t>78,62</t>
  </si>
  <si>
    <t>707,26</t>
  </si>
  <si>
    <t>625,74</t>
  </si>
  <si>
    <t>712,22</t>
  </si>
  <si>
    <t>564,99</t>
  </si>
  <si>
    <t>920,35</t>
  </si>
  <si>
    <t>1.117,52</t>
  </si>
  <si>
    <t>667,88</t>
  </si>
  <si>
    <t>888,59</t>
  </si>
  <si>
    <t>1.100,21</t>
  </si>
  <si>
    <t>714,20</t>
  </si>
  <si>
    <t>102,49</t>
  </si>
  <si>
    <t>296,97</t>
  </si>
  <si>
    <t>586,43</t>
  </si>
  <si>
    <t>522,58</t>
  </si>
  <si>
    <t>550,04</t>
  </si>
  <si>
    <t>690,30</t>
  </si>
  <si>
    <t>42,04</t>
  </si>
  <si>
    <t>35,34</t>
  </si>
  <si>
    <t>414,77</t>
  </si>
  <si>
    <t>348,17</t>
  </si>
  <si>
    <t>781,17</t>
  </si>
  <si>
    <t>75,92</t>
  </si>
  <si>
    <t>68,63</t>
  </si>
  <si>
    <t>439,61</t>
  </si>
  <si>
    <t>453,48</t>
  </si>
  <si>
    <t>68,54</t>
  </si>
  <si>
    <t>267,70</t>
  </si>
  <si>
    <t>699,57</t>
  </si>
  <si>
    <t>531,06</t>
  </si>
  <si>
    <t>392,60</t>
  </si>
  <si>
    <t>622,87</t>
  </si>
  <si>
    <t>331,41</t>
  </si>
  <si>
    <t>394,03</t>
  </si>
  <si>
    <t>317,02</t>
  </si>
  <si>
    <t>702,92</t>
  </si>
  <si>
    <t>1.260,89</t>
  </si>
  <si>
    <t>32,35</t>
  </si>
  <si>
    <t>19,81</t>
  </si>
  <si>
    <t>138,18</t>
  </si>
  <si>
    <t>50,05</t>
  </si>
  <si>
    <t>88,55</t>
  </si>
  <si>
    <t>53,35</t>
  </si>
  <si>
    <t>67,55</t>
  </si>
  <si>
    <t>37,75</t>
  </si>
  <si>
    <t>88,85</t>
  </si>
  <si>
    <t>105,15</t>
  </si>
  <si>
    <t>134,35</t>
  </si>
  <si>
    <t>102,43</t>
  </si>
  <si>
    <t>124,89</t>
  </si>
  <si>
    <t>115,90</t>
  </si>
  <si>
    <t>302,57</t>
  </si>
  <si>
    <t>1.908,96</t>
  </si>
  <si>
    <t>412,77</t>
  </si>
  <si>
    <t>446,36</t>
  </si>
  <si>
    <t>162,19</t>
  </si>
  <si>
    <t>188,86</t>
  </si>
  <si>
    <t>179,97</t>
  </si>
  <si>
    <t>251,08</t>
  </si>
  <si>
    <t>126,63</t>
  </si>
  <si>
    <t>368,88</t>
  </si>
  <si>
    <t>366,28</t>
  </si>
  <si>
    <t>223,48</t>
  </si>
  <si>
    <t>333,12</t>
  </si>
  <si>
    <t>261,18</t>
  </si>
  <si>
    <t>379,96</t>
  </si>
  <si>
    <t>246,66</t>
  </si>
  <si>
    <t>43,42</t>
  </si>
  <si>
    <t>33,88</t>
  </si>
  <si>
    <t>24,86</t>
  </si>
  <si>
    <t>31,05</t>
  </si>
  <si>
    <t>644,04</t>
  </si>
  <si>
    <t>612,36</t>
  </si>
  <si>
    <t>568,12</t>
  </si>
  <si>
    <t>539,11</t>
  </si>
  <si>
    <t>623,99</t>
  </si>
  <si>
    <t>595,54</t>
  </si>
  <si>
    <t>548,32</t>
  </si>
  <si>
    <t>513,14</t>
  </si>
  <si>
    <t>621,92</t>
  </si>
  <si>
    <t>585,41</t>
  </si>
  <si>
    <t>533,28</t>
  </si>
  <si>
    <t>494,06</t>
  </si>
  <si>
    <t>553,20</t>
  </si>
  <si>
    <t>532,19</t>
  </si>
  <si>
    <t>503,80</t>
  </si>
  <si>
    <t>485,91</t>
  </si>
  <si>
    <t>504,48</t>
  </si>
  <si>
    <t>492,51</t>
  </si>
  <si>
    <t>467,82</t>
  </si>
  <si>
    <t>447,18</t>
  </si>
  <si>
    <t>485,03</t>
  </si>
  <si>
    <t>468,68</t>
  </si>
  <si>
    <t>443,13</t>
  </si>
  <si>
    <t>420,90</t>
  </si>
  <si>
    <t>579,70</t>
  </si>
  <si>
    <t>548,43</t>
  </si>
  <si>
    <t>505,53</t>
  </si>
  <si>
    <t>477,91</t>
  </si>
  <si>
    <t>555,17</t>
  </si>
  <si>
    <t>527,59</t>
  </si>
  <si>
    <t>483,01</t>
  </si>
  <si>
    <t>450,41</t>
  </si>
  <si>
    <t>554,63</t>
  </si>
  <si>
    <t>519,96</t>
  </si>
  <si>
    <t>471,02</t>
  </si>
  <si>
    <t>434,81</t>
  </si>
  <si>
    <t>488,86</t>
  </si>
  <si>
    <t>468,26</t>
  </si>
  <si>
    <t>441,21</t>
  </si>
  <si>
    <t>424,71</t>
  </si>
  <si>
    <t>435,66</t>
  </si>
  <si>
    <t>424,56</t>
  </si>
  <si>
    <t>402,51</t>
  </si>
  <si>
    <t>384,45</t>
  </si>
  <si>
    <t>417,74</t>
  </si>
  <si>
    <t>403,23</t>
  </si>
  <si>
    <t>380,87</t>
  </si>
  <si>
    <t>361,65</t>
  </si>
  <si>
    <t>563,55</t>
  </si>
  <si>
    <t>503,00</t>
  </si>
  <si>
    <t>22,13</t>
  </si>
  <si>
    <t>29,06</t>
  </si>
  <si>
    <t>38,26</t>
  </si>
  <si>
    <t>59,99</t>
  </si>
  <si>
    <t>6,32</t>
  </si>
  <si>
    <t>7,05</t>
  </si>
  <si>
    <t>186,52</t>
  </si>
  <si>
    <t>273,68</t>
  </si>
  <si>
    <t>351,47</t>
  </si>
  <si>
    <t>393,27</t>
  </si>
  <si>
    <t>173,14</t>
  </si>
  <si>
    <t>255,18</t>
  </si>
  <si>
    <t>322,46</t>
  </si>
  <si>
    <t>166,51</t>
  </si>
  <si>
    <t>246,67</t>
  </si>
  <si>
    <t>311,93</t>
  </si>
  <si>
    <t>337,11</t>
  </si>
  <si>
    <t>196,76</t>
  </si>
  <si>
    <t>286,49</t>
  </si>
  <si>
    <t>367,85</t>
  </si>
  <si>
    <t>412,36</t>
  </si>
  <si>
    <t>179,98</t>
  </si>
  <si>
    <t>263,07</t>
  </si>
  <si>
    <t>331,78</t>
  </si>
  <si>
    <t>361,56</t>
  </si>
  <si>
    <t>171,54</t>
  </si>
  <si>
    <t>252,50</t>
  </si>
  <si>
    <t>317,58</t>
  </si>
  <si>
    <t>344,01</t>
  </si>
  <si>
    <t>52,79</t>
  </si>
  <si>
    <t>71,33</t>
  </si>
  <si>
    <t>95,26</t>
  </si>
  <si>
    <t>83,36</t>
  </si>
  <si>
    <t>159,96</t>
  </si>
  <si>
    <t>267,33</t>
  </si>
  <si>
    <t>360,93</t>
  </si>
  <si>
    <t>416,41</t>
  </si>
  <si>
    <t>61,77</t>
  </si>
  <si>
    <t>78,82</t>
  </si>
  <si>
    <t>178,27</t>
  </si>
  <si>
    <t>ESTACA METÁLICA PARA FUNDAÇÃO, UTILIZANDO PERFIL LAMINADO HP250X62 (EXCLUSIVE MOBILIZAÇÃO E DESMOBILIZAÇÃO). AF_01/2020</t>
  </si>
  <si>
    <t>7,44</t>
  </si>
  <si>
    <t>ESTACA METÁLICA PARA FUNDAÇÃO, UTILIZANDO PERFIL LAMINADO HP310X79 (EXCLUSIVE MOBILIZAÇÃO E DESMOBILIZAÇÃO). AF_01/2020</t>
  </si>
  <si>
    <t>7,33</t>
  </si>
  <si>
    <t>ESTACA METÁLICA PARA CONTENÇÃO, UTILIZANDO PERFIL LAMINADO W250X32,7 (EXCLUSIVE MOBILIZAÇÃO E DESMOBILIZAÇÃO). AF_01/2020</t>
  </si>
  <si>
    <t>7,18</t>
  </si>
  <si>
    <t>ESTACA METÁLICA PARA CONTENÇÃO, UTILIZANDO PERFIL LAMINADO W250X38,5 (EXCLUSIVE MOBILIZAÇÃO E DESMOBILIZAÇÃO). AF_01/2020</t>
  </si>
  <si>
    <t>7,06</t>
  </si>
  <si>
    <t>ESTACA METÁLICA PARA CONTENÇÃO, UTILIZANDO PERFIL LAMINADO W250X44,8 (EXCLUSIVE MOBILIZAÇÃO E DESMOBILIZAÇÃO). AF_01/2020</t>
  </si>
  <si>
    <t>6,96</t>
  </si>
  <si>
    <t>ESTACA ESCAVADA MECANICAMENTE, SEM FLUIDO ESTABILIZANTE, COM 25CM DE DIÂMETRO, CONCRETO LANÇADO POR CAMINHÃO BETONEIRA (EXCLUSIVE MOBILIZAÇÃO E DESMOBILIZAÇÃO). AF_01/2020</t>
  </si>
  <si>
    <t>37,95</t>
  </si>
  <si>
    <t>ESTACA ESCAVADA MECANICAMENTE, SEM FLUIDO ESTABILIZANTE, COM 40CM DE DIÂMETRO, CONCRETO LANÇADO POR CAMINHÃO BETONEIRA (EXCLUSIVE MOBILIZAÇÃO E DESMOBILIZAÇÃO). AF_01/2020</t>
  </si>
  <si>
    <t>73,64</t>
  </si>
  <si>
    <t>ESTACA ESCAVADA MECANICAMENTE, SEM FLUIDO ESTABILIZANTE, COM 60CM DE DIÂMETRO, CONCRETO LANÇADO POR CAMINHÃO BETONEIRA (EXCLUSIVE MOBILIZAÇÃO E DESMOBILIZAÇÃO). AF_01/2020</t>
  </si>
  <si>
    <t>141,77</t>
  </si>
  <si>
    <t>ESTACA ESCAVADA MECANICAMENTE, SEM FLUIDO ESTABILIZANTE, COM 25CM DE DIÂMETRO, CONCRETO LANÇADO MANUALMENTE (EXCLUSIVE MOBILIZAÇÃO E DESMOBILIZAÇÃO). AF_01/2020</t>
  </si>
  <si>
    <t>56,75</t>
  </si>
  <si>
    <t>ESTACA ESCAVADA MECANICAMENTE, SEM FLUIDO ESTABILIZANTE, COM 60CM DE DIÂMETRO, CONCRETO LANÇADO POR BOMBA LANÇA (EXCLUSIVE MOBILIZAÇÃO E DESMOBILIZAÇÃO). AF_01/2020</t>
  </si>
  <si>
    <t>163,73</t>
  </si>
  <si>
    <t>528,90</t>
  </si>
  <si>
    <t>13,90</t>
  </si>
  <si>
    <t>23,17</t>
  </si>
  <si>
    <t>484,72</t>
  </si>
  <si>
    <t>14,53</t>
  </si>
  <si>
    <t>24,22</t>
  </si>
  <si>
    <t>463,83</t>
  </si>
  <si>
    <t>191,30</t>
  </si>
  <si>
    <t>129,92</t>
  </si>
  <si>
    <t>177,00</t>
  </si>
  <si>
    <t>124,87</t>
  </si>
  <si>
    <t>48,14</t>
  </si>
  <si>
    <t>0,54</t>
  </si>
  <si>
    <t>96,71</t>
  </si>
  <si>
    <t>381,80</t>
  </si>
  <si>
    <t>358,19</t>
  </si>
  <si>
    <t>346,07</t>
  </si>
  <si>
    <t>ACABAMENTO POLIDO PARA PISO DE CONCRETO ARMADO DE ALTA RESISTÊNCIA. AF_09/2017</t>
  </si>
  <si>
    <t>26,86</t>
  </si>
  <si>
    <t>136,40</t>
  </si>
  <si>
    <t>17,64</t>
  </si>
  <si>
    <t>21,45</t>
  </si>
  <si>
    <t>16,19</t>
  </si>
  <si>
    <t>17,30</t>
  </si>
  <si>
    <t>13,65</t>
  </si>
  <si>
    <t>16,49</t>
  </si>
  <si>
    <t>12,56</t>
  </si>
  <si>
    <t>11,21</t>
  </si>
  <si>
    <t>13,67</t>
  </si>
  <si>
    <t>96,51</t>
  </si>
  <si>
    <t>112,95</t>
  </si>
  <si>
    <t>75,83</t>
  </si>
  <si>
    <t>90,47</t>
  </si>
  <si>
    <t>28,02</t>
  </si>
  <si>
    <t>92,13</t>
  </si>
  <si>
    <t>76,24</t>
  </si>
  <si>
    <t>57,36</t>
  </si>
  <si>
    <t>18,15</t>
  </si>
  <si>
    <t>7,31</t>
  </si>
  <si>
    <t>182,50</t>
  </si>
  <si>
    <t>172,21</t>
  </si>
  <si>
    <t>127,01</t>
  </si>
  <si>
    <t>117,91</t>
  </si>
  <si>
    <t>85,57</t>
  </si>
  <si>
    <t>78,56</t>
  </si>
  <si>
    <t>97,55</t>
  </si>
  <si>
    <t>88,46</t>
  </si>
  <si>
    <t>116,24</t>
  </si>
  <si>
    <t>107,19</t>
  </si>
  <si>
    <t>63,49</t>
  </si>
  <si>
    <t>56,53</t>
  </si>
  <si>
    <t>77,86</t>
  </si>
  <si>
    <t>70,88</t>
  </si>
  <si>
    <t>52,40</t>
  </si>
  <si>
    <t>46,34</t>
  </si>
  <si>
    <t>64,90</t>
  </si>
  <si>
    <t>58,83</t>
  </si>
  <si>
    <t>46,81</t>
  </si>
  <si>
    <t>41,19</t>
  </si>
  <si>
    <t>58,39</t>
  </si>
  <si>
    <t>52,78</t>
  </si>
  <si>
    <t>43,01</t>
  </si>
  <si>
    <t>37,68</t>
  </si>
  <si>
    <t>53,99</t>
  </si>
  <si>
    <t>48,67</t>
  </si>
  <si>
    <t>41,00</t>
  </si>
  <si>
    <t>46,47</t>
  </si>
  <si>
    <t>39,56</t>
  </si>
  <si>
    <t>34,54</t>
  </si>
  <si>
    <t>49,88</t>
  </si>
  <si>
    <t>44,89</t>
  </si>
  <si>
    <t>31,82</t>
  </si>
  <si>
    <t>46,66</t>
  </si>
  <si>
    <t>41,81</t>
  </si>
  <si>
    <t>164,52</t>
  </si>
  <si>
    <t>117,94</t>
  </si>
  <si>
    <t>93,45</t>
  </si>
  <si>
    <t>163,71</t>
  </si>
  <si>
    <t>213,38</t>
  </si>
  <si>
    <t>114,55</t>
  </si>
  <si>
    <t>111,40</t>
  </si>
  <si>
    <t>139,37</t>
  </si>
  <si>
    <t>193,11</t>
  </si>
  <si>
    <t>93,55</t>
  </si>
  <si>
    <t>91,53</t>
  </si>
  <si>
    <t>121,04</t>
  </si>
  <si>
    <t>79,43</t>
  </si>
  <si>
    <t>75,75</t>
  </si>
  <si>
    <t>111,15</t>
  </si>
  <si>
    <t>171,41</t>
  </si>
  <si>
    <t>71,66</t>
  </si>
  <si>
    <t>71,10</t>
  </si>
  <si>
    <t>164,79</t>
  </si>
  <si>
    <t>58,88</t>
  </si>
  <si>
    <t>65,06</t>
  </si>
  <si>
    <t>81,67</t>
  </si>
  <si>
    <t>159,90</t>
  </si>
  <si>
    <t>53,81</t>
  </si>
  <si>
    <t>60,92</t>
  </si>
  <si>
    <t>75,28</t>
  </si>
  <si>
    <t>155,64</t>
  </si>
  <si>
    <t>49,64</t>
  </si>
  <si>
    <t>61,88</t>
  </si>
  <si>
    <t>50,37</t>
  </si>
  <si>
    <t>216,73</t>
  </si>
  <si>
    <t>204,74</t>
  </si>
  <si>
    <t>163,50</t>
  </si>
  <si>
    <t>152,90</t>
  </si>
  <si>
    <t>116,47</t>
  </si>
  <si>
    <t>108,32</t>
  </si>
  <si>
    <t>69,41</t>
  </si>
  <si>
    <t>66,60</t>
  </si>
  <si>
    <t>38,99</t>
  </si>
  <si>
    <t>66,74</t>
  </si>
  <si>
    <t>64,07</t>
  </si>
  <si>
    <t>37,45</t>
  </si>
  <si>
    <t>36,87</t>
  </si>
  <si>
    <t>64,93</t>
  </si>
  <si>
    <t>62,36</t>
  </si>
  <si>
    <t>37,84</t>
  </si>
  <si>
    <t>35,44</t>
  </si>
  <si>
    <t>63,85</t>
  </si>
  <si>
    <t>61,35</t>
  </si>
  <si>
    <t>34,63</t>
  </si>
  <si>
    <t>62,11</t>
  </si>
  <si>
    <t>40,85</t>
  </si>
  <si>
    <t>35,48</t>
  </si>
  <si>
    <t>33,24</t>
  </si>
  <si>
    <t>71,31</t>
  </si>
  <si>
    <t>69,07</t>
  </si>
  <si>
    <t>39,47</t>
  </si>
  <si>
    <t>37,41</t>
  </si>
  <si>
    <t>57,12</t>
  </si>
  <si>
    <t>55,41</t>
  </si>
  <si>
    <t>28,29</t>
  </si>
  <si>
    <t>26,70</t>
  </si>
  <si>
    <t>49,62</t>
  </si>
  <si>
    <t>23,61</t>
  </si>
  <si>
    <t>22,23</t>
  </si>
  <si>
    <t>48,05</t>
  </si>
  <si>
    <t>46,67</t>
  </si>
  <si>
    <t>21,22</t>
  </si>
  <si>
    <t>19,93</t>
  </si>
  <si>
    <t>47,12</t>
  </si>
  <si>
    <t>45,81</t>
  </si>
  <si>
    <t>20,70</t>
  </si>
  <si>
    <t>19,46</t>
  </si>
  <si>
    <t>45,90</t>
  </si>
  <si>
    <t>44,64</t>
  </si>
  <si>
    <t>19,72</t>
  </si>
  <si>
    <t>18,52</t>
  </si>
  <si>
    <t>44,97</t>
  </si>
  <si>
    <t>43,73</t>
  </si>
  <si>
    <t>18,98</t>
  </si>
  <si>
    <t>17,85</t>
  </si>
  <si>
    <t>43,36</t>
  </si>
  <si>
    <t>42,16</t>
  </si>
  <si>
    <t>17,62</t>
  </si>
  <si>
    <t>16,51</t>
  </si>
  <si>
    <t>106,87</t>
  </si>
  <si>
    <t>90,31</t>
  </si>
  <si>
    <t>129,33</t>
  </si>
  <si>
    <t>288,83</t>
  </si>
  <si>
    <t>240,84</t>
  </si>
  <si>
    <t>152,48</t>
  </si>
  <si>
    <t>124,80</t>
  </si>
  <si>
    <t>110,66</t>
  </si>
  <si>
    <t>101,88</t>
  </si>
  <si>
    <t>159,70</t>
  </si>
  <si>
    <t>141,26</t>
  </si>
  <si>
    <t>131,76</t>
  </si>
  <si>
    <t>161,73</t>
  </si>
  <si>
    <t>230,48</t>
  </si>
  <si>
    <t>117,76</t>
  </si>
  <si>
    <t>86,79</t>
  </si>
  <si>
    <t>151,93</t>
  </si>
  <si>
    <t>75,98</t>
  </si>
  <si>
    <t>63,76</t>
  </si>
  <si>
    <t>111,01</t>
  </si>
  <si>
    <t>54,24</t>
  </si>
  <si>
    <t>127,87</t>
  </si>
  <si>
    <t>190,34</t>
  </si>
  <si>
    <t>84,87</t>
  </si>
  <si>
    <t>93,87</t>
  </si>
  <si>
    <t>140,36</t>
  </si>
  <si>
    <t>67,20</t>
  </si>
  <si>
    <t>149,22</t>
  </si>
  <si>
    <t>22,04</t>
  </si>
  <si>
    <t>573,87</t>
  </si>
  <si>
    <t>10,52</t>
  </si>
  <si>
    <t>7,53</t>
  </si>
  <si>
    <t>6,05</t>
  </si>
  <si>
    <t>10,90</t>
  </si>
  <si>
    <t>8,72</t>
  </si>
  <si>
    <t>6,93</t>
  </si>
  <si>
    <t>7,29</t>
  </si>
  <si>
    <t>7,87</t>
  </si>
  <si>
    <t>7,19</t>
  </si>
  <si>
    <t>5,20</t>
  </si>
  <si>
    <t>7,14</t>
  </si>
  <si>
    <t>5,50</t>
  </si>
  <si>
    <t>9,31</t>
  </si>
  <si>
    <t>7,79</t>
  </si>
  <si>
    <t>7,35</t>
  </si>
  <si>
    <t>10,94</t>
  </si>
  <si>
    <t>9,93</t>
  </si>
  <si>
    <t>9,08</t>
  </si>
  <si>
    <t>6,67</t>
  </si>
  <si>
    <t>6,25</t>
  </si>
  <si>
    <t>6,92</t>
  </si>
  <si>
    <t>9,64</t>
  </si>
  <si>
    <t>8,96</t>
  </si>
  <si>
    <t>8,35</t>
  </si>
  <si>
    <t>7,41</t>
  </si>
  <si>
    <t>6,24</t>
  </si>
  <si>
    <t>13,46</t>
  </si>
  <si>
    <t>11,86</t>
  </si>
  <si>
    <t>10,53</t>
  </si>
  <si>
    <t>9,07</t>
  </si>
  <si>
    <t>7,45</t>
  </si>
  <si>
    <t>6,78</t>
  </si>
  <si>
    <t>7,27</t>
  </si>
  <si>
    <t>13,22</t>
  </si>
  <si>
    <t>11,37</t>
  </si>
  <si>
    <t>8,12</t>
  </si>
  <si>
    <t>6,74</t>
  </si>
  <si>
    <t>6,26</t>
  </si>
  <si>
    <t>6,89</t>
  </si>
  <si>
    <t>7,12</t>
  </si>
  <si>
    <t>6,91</t>
  </si>
  <si>
    <t>6,29</t>
  </si>
  <si>
    <t>5,35</t>
  </si>
  <si>
    <t>6,18</t>
  </si>
  <si>
    <t>6,16</t>
  </si>
  <si>
    <t>7,76</t>
  </si>
  <si>
    <t>6,85</t>
  </si>
  <si>
    <t>6,75</t>
  </si>
  <si>
    <t>6,20</t>
  </si>
  <si>
    <t>5,24</t>
  </si>
  <si>
    <t>6,73</t>
  </si>
  <si>
    <t>6,59</t>
  </si>
  <si>
    <t>6,51</t>
  </si>
  <si>
    <t>6,65</t>
  </si>
  <si>
    <t>6,63</t>
  </si>
  <si>
    <t>9,38</t>
  </si>
  <si>
    <t>8,46</t>
  </si>
  <si>
    <t>8,43</t>
  </si>
  <si>
    <t>7,39</t>
  </si>
  <si>
    <t>12,20</t>
  </si>
  <si>
    <t>9,81</t>
  </si>
  <si>
    <t>8,52</t>
  </si>
  <si>
    <t>6,81</t>
  </si>
  <si>
    <t>5,74</t>
  </si>
  <si>
    <t>CORTE E DOBRA DE AÇO CA-50, DIÂMERO DE 32 MM, UTILIZADO EM ESTRUTURAS DIVERSAS, EXCETO LAJE. AF_10/2016</t>
  </si>
  <si>
    <t>9,27</t>
  </si>
  <si>
    <t>8,23</t>
  </si>
  <si>
    <t>6,97</t>
  </si>
  <si>
    <t>6,58</t>
  </si>
  <si>
    <t>10,61</t>
  </si>
  <si>
    <t>9,70</t>
  </si>
  <si>
    <t>8,56</t>
  </si>
  <si>
    <t>6,80</t>
  </si>
  <si>
    <t>7,47</t>
  </si>
  <si>
    <t>15,72</t>
  </si>
  <si>
    <t>12,40</t>
  </si>
  <si>
    <t>14,71</t>
  </si>
  <si>
    <t>11,52</t>
  </si>
  <si>
    <t>5,73</t>
  </si>
  <si>
    <t>11,80</t>
  </si>
  <si>
    <t>10,54</t>
  </si>
  <si>
    <t>9,14</t>
  </si>
  <si>
    <t>7,59</t>
  </si>
  <si>
    <t>7,20</t>
  </si>
  <si>
    <t>7,04</t>
  </si>
  <si>
    <t>8,50</t>
  </si>
  <si>
    <t>112,04</t>
  </si>
  <si>
    <t>676,03</t>
  </si>
  <si>
    <t>560,89</t>
  </si>
  <si>
    <t>646,57</t>
  </si>
  <si>
    <t>319,78</t>
  </si>
  <si>
    <t>331,84</t>
  </si>
  <si>
    <t>359,57</t>
  </si>
  <si>
    <t>396,08</t>
  </si>
  <si>
    <t>323,28</t>
  </si>
  <si>
    <t>336,67</t>
  </si>
  <si>
    <t>364,98</t>
  </si>
  <si>
    <t>404,20</t>
  </si>
  <si>
    <t>367,87</t>
  </si>
  <si>
    <t>356,24</t>
  </si>
  <si>
    <t>392,90</t>
  </si>
  <si>
    <t>371,78</t>
  </si>
  <si>
    <t>410,90</t>
  </si>
  <si>
    <t>348,96</t>
  </si>
  <si>
    <t>354,39</t>
  </si>
  <si>
    <t>362,30</t>
  </si>
  <si>
    <t>327,07</t>
  </si>
  <si>
    <t>460,32</t>
  </si>
  <si>
    <t>318,23</t>
  </si>
  <si>
    <t>360,94</t>
  </si>
  <si>
    <t>309,56</t>
  </si>
  <si>
    <t>357,37</t>
  </si>
  <si>
    <t>348,76</t>
  </si>
  <si>
    <t>345,56</t>
  </si>
  <si>
    <t>344,21</t>
  </si>
  <si>
    <t>341,94</t>
  </si>
  <si>
    <t>396,58</t>
  </si>
  <si>
    <t>374,07</t>
  </si>
  <si>
    <t>364,53</t>
  </si>
  <si>
    <t>348,65</t>
  </si>
  <si>
    <t>366,88</t>
  </si>
  <si>
    <t>344,92</t>
  </si>
  <si>
    <t>334,07</t>
  </si>
  <si>
    <t>341,92</t>
  </si>
  <si>
    <t>329,88</t>
  </si>
  <si>
    <t>312,43</t>
  </si>
  <si>
    <t>306,47</t>
  </si>
  <si>
    <t>521,07</t>
  </si>
  <si>
    <t>747,31</t>
  </si>
  <si>
    <t>175,67</t>
  </si>
  <si>
    <t>28,77</t>
  </si>
  <si>
    <t>283,52</t>
  </si>
  <si>
    <t>307,43</t>
  </si>
  <si>
    <t>330,52</t>
  </si>
  <si>
    <t>338,84</t>
  </si>
  <si>
    <t>348,03</t>
  </si>
  <si>
    <t>388,54</t>
  </si>
  <si>
    <t>280,70</t>
  </si>
  <si>
    <t>302,07</t>
  </si>
  <si>
    <t>320,42</t>
  </si>
  <si>
    <t>333,40</t>
  </si>
  <si>
    <t>342,40</t>
  </si>
  <si>
    <t>381,57</t>
  </si>
  <si>
    <t>391,38</t>
  </si>
  <si>
    <t>413,19</t>
  </si>
  <si>
    <t>488,64</t>
  </si>
  <si>
    <t>559,47</t>
  </si>
  <si>
    <t>375,27</t>
  </si>
  <si>
    <t>381,50</t>
  </si>
  <si>
    <t>338,13</t>
  </si>
  <si>
    <t>403,21</t>
  </si>
  <si>
    <t>379,66</t>
  </si>
  <si>
    <t>429,52</t>
  </si>
  <si>
    <t>407,12</t>
  </si>
  <si>
    <t>393,24</t>
  </si>
  <si>
    <t>447,52</t>
  </si>
  <si>
    <t>360,64</t>
  </si>
  <si>
    <t>366,07</t>
  </si>
  <si>
    <t>397,00</t>
  </si>
  <si>
    <t>74,76</t>
  </si>
  <si>
    <t>82,97</t>
  </si>
  <si>
    <t>98,58</t>
  </si>
  <si>
    <t>112,56</t>
  </si>
  <si>
    <t>67,24</t>
  </si>
  <si>
    <t>74,31</t>
  </si>
  <si>
    <t>114,64</t>
  </si>
  <si>
    <t>147,84</t>
  </si>
  <si>
    <t>33,73</t>
  </si>
  <si>
    <t>337,14</t>
  </si>
  <si>
    <t>432,56</t>
  </si>
  <si>
    <t>15,61</t>
  </si>
  <si>
    <t>88,51</t>
  </si>
  <si>
    <t>54,82</t>
  </si>
  <si>
    <t>15,67</t>
  </si>
  <si>
    <t>27,35</t>
  </si>
  <si>
    <t>34,34</t>
  </si>
  <si>
    <t>20,86</t>
  </si>
  <si>
    <t>33,76</t>
  </si>
  <si>
    <t>56,34</t>
  </si>
  <si>
    <t>46,03</t>
  </si>
  <si>
    <t>56,59</t>
  </si>
  <si>
    <t>30,61</t>
  </si>
  <si>
    <t>32,75</t>
  </si>
  <si>
    <t>32,02</t>
  </si>
  <si>
    <t>26,89</t>
  </si>
  <si>
    <t>32,06</t>
  </si>
  <si>
    <t>48,33</t>
  </si>
  <si>
    <t>53,59</t>
  </si>
  <si>
    <t>27,50</t>
  </si>
  <si>
    <t>27,00</t>
  </si>
  <si>
    <t>2,43</t>
  </si>
  <si>
    <t>19,06</t>
  </si>
  <si>
    <t>11,94</t>
  </si>
  <si>
    <t>37,53</t>
  </si>
  <si>
    <t>24,61</t>
  </si>
  <si>
    <t>29,15</t>
  </si>
  <si>
    <t>66,65</t>
  </si>
  <si>
    <t>138,07</t>
  </si>
  <si>
    <t>2.522,44</t>
  </si>
  <si>
    <t>1.445,27</t>
  </si>
  <si>
    <t>2.424,61</t>
  </si>
  <si>
    <t>1.717,86</t>
  </si>
  <si>
    <t>2.156,09</t>
  </si>
  <si>
    <t>1.684,53</t>
  </si>
  <si>
    <t>2.131,04</t>
  </si>
  <si>
    <t>2.013,36</t>
  </si>
  <si>
    <t>2.590,15</t>
  </si>
  <si>
    <t>2.255,03</t>
  </si>
  <si>
    <t>1.849,67</t>
  </si>
  <si>
    <t>1.110,40</t>
  </si>
  <si>
    <t>2.528,28</t>
  </si>
  <si>
    <t>3.350,20</t>
  </si>
  <si>
    <t>2.081,90</t>
  </si>
  <si>
    <t>1.458,99</t>
  </si>
  <si>
    <t>80,30</t>
  </si>
  <si>
    <t>61,66</t>
  </si>
  <si>
    <t>56,55</t>
  </si>
  <si>
    <t>77,87</t>
  </si>
  <si>
    <t>70,12</t>
  </si>
  <si>
    <t>66,22</t>
  </si>
  <si>
    <t>81,10</t>
  </si>
  <si>
    <t>77,95</t>
  </si>
  <si>
    <t>97,83</t>
  </si>
  <si>
    <t>92,58</t>
  </si>
  <si>
    <t>89,90</t>
  </si>
  <si>
    <t>436,65</t>
  </si>
  <si>
    <t>442,28</t>
  </si>
  <si>
    <t>447,91</t>
  </si>
  <si>
    <t>453,54</t>
  </si>
  <si>
    <t>464,80</t>
  </si>
  <si>
    <t>46,71</t>
  </si>
  <si>
    <t>53,54</t>
  </si>
  <si>
    <t>61,60</t>
  </si>
  <si>
    <t>82,53</t>
  </si>
  <si>
    <t>107,41</t>
  </si>
  <si>
    <t>138,09</t>
  </si>
  <si>
    <t>VIGA METÁLICA EM PERFIL LAMINADO OU SOLDADO EM AÇO ESTRUTURAL, COM CONEXÕES PARAFUSADAS, INCLUSOS MÃO DE OBRA, TRANSPORTE E IÇAMENTO UTILIZANDO GUINDASTE - FORNECIMENTO E INSTALAÇÃO. AF_01/2020_P</t>
  </si>
  <si>
    <t>9,11</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</si>
  <si>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</si>
  <si>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</si>
  <si>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8,17</t>
  </si>
  <si>
    <t>PILAR METÁLICO PERFIL LAMINADO OU SOLDADO EM AÇO ESTRUTURAL, COM CONEXÕES SOLDADAS, INCLUSOS MÃO DE OBRA, TRANSPORTE E IÇAMENTO UTILIZANDO GUINDASTE - FORNECIMENTO E INSTALAÇÃO. AF_01/2020</t>
  </si>
  <si>
    <t>8,44</t>
  </si>
  <si>
    <t>CONTRAVENTAMENTO COM CANTONEIRAS DE AÇO, ABAS IGUAIS, COM CONEXÕES PARAFUSADAS, INCLUSOS MÃO DE OBRA, TRANSPORTE E IÇAMENTO UTILIZANDO TALHA MANUAL, PARA EDIFÍCIOS DE ATÉ 2 PAVIMENTOS - FORNECIMENTO E INSTALAÇÃO. AF_01/2020_P</t>
  </si>
  <si>
    <t>9,33</t>
  </si>
  <si>
    <t>CONTRAVENTAMENTO COM CANTONEIRAS DE AÇO, ABAS IGUAIS, COM CONEXÕES SOLDADAS, INCLUSOS MÃO DE OBRA, TRANSPORTE E IÇAMENTO UTILIZANDO TALHA MANUAL, PARA EDIFÍCIOS DE ATÉ 2 PAVIMENTOS - FORNECIMENTO E INSTALAÇÃO. AF_01/2020</t>
  </si>
  <si>
    <t>13,40</t>
  </si>
  <si>
    <t>CONTRAVENTAMENTO COM CANTONEIRAS DE AÇO, ABAS IGUAIS, COM CONEXÕES PARAFUSADAS, INCLUSOS MÃO DE OBRA, TRANSPORTE E IÇAMENTO UTILIZANDO GUINDASTE, PARA EDIFÍCIOS DE 3 A 5 PAVIMENTOS - FORNECIMENTO E INSTALAÇÃO. AF_01/2020_P</t>
  </si>
  <si>
    <t>13,66</t>
  </si>
  <si>
    <t>CONTRAVENTAMENTO COM CANTONEIRAS DE AÇO, ABAS IGUAIS, COM CONEXÕES SOLDADAS, INCLUSOS MÃO DE OBRA, TRANSPORTE E IÇAMENTO UTILIZANDO GUINDASTE, PARA EDIFÍCIOS DE 3 A 5 PAVIMENTOS - FORNECIMENTO E INSTALAÇÃO. AF_01/2020</t>
  </si>
  <si>
    <t>13,29</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</si>
  <si>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</si>
  <si>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t>
  </si>
  <si>
    <t>9,16</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</si>
  <si>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</si>
  <si>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</si>
  <si>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6,44</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</si>
  <si>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</si>
  <si>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</si>
  <si>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12,24</t>
  </si>
  <si>
    <t>ESTRUTURA TRELIÇADA DE COBERTURA, TIPO SHED, COM LIGAÇÕES PARAFUSADAS, INCLUSOS PERFIS METÁLICOS, CHAPAS METÁLICAS, MÃO DE OBRA E TRANSPORTE COM GUINDASTE - FORNECIMENTO E INSTALAÇÃO. AF_01/2020_P</t>
  </si>
  <si>
    <t>8,45</t>
  </si>
  <si>
    <t>ESTRUTURA TRELIÇADA DE COBERTURA, TIPO FINK, COM LIGAÇÕES PARAFUSADAS, INCLUSOS PERFIS METÁLICOS, CHAPAS METÁLICAS, MÃO DE OBRA E TRANSPORTE COM GUINDASTE - FORNECIMENTO E INSTALAÇÃO. AF_01/2020_P</t>
  </si>
  <si>
    <t>37,64</t>
  </si>
  <si>
    <t>34,24</t>
  </si>
  <si>
    <t>32,74</t>
  </si>
  <si>
    <t>60,85</t>
  </si>
  <si>
    <t>39,48</t>
  </si>
  <si>
    <t>3,45</t>
  </si>
  <si>
    <t>5,59</t>
  </si>
  <si>
    <t>47,13</t>
  </si>
  <si>
    <t>77,65</t>
  </si>
  <si>
    <t>141,24</t>
  </si>
  <si>
    <t>150,83</t>
  </si>
  <si>
    <t>76,20</t>
  </si>
  <si>
    <t>10,09</t>
  </si>
  <si>
    <t>31,54</t>
  </si>
  <si>
    <t>62,48</t>
  </si>
  <si>
    <t>85,53</t>
  </si>
  <si>
    <t>53,88</t>
  </si>
  <si>
    <t>178,49</t>
  </si>
  <si>
    <t>26,12</t>
  </si>
  <si>
    <t>33,11</t>
  </si>
  <si>
    <t>37,85</t>
  </si>
  <si>
    <t>44,83</t>
  </si>
  <si>
    <t>49,04</t>
  </si>
  <si>
    <t>56,00</t>
  </si>
  <si>
    <t>60,74</t>
  </si>
  <si>
    <t>67,74</t>
  </si>
  <si>
    <t>28,91</t>
  </si>
  <si>
    <t>35,75</t>
  </si>
  <si>
    <t>42,38</t>
  </si>
  <si>
    <t>25,34</t>
  </si>
  <si>
    <t>39,51</t>
  </si>
  <si>
    <t>6,14</t>
  </si>
  <si>
    <t>6,87</t>
  </si>
  <si>
    <t>7,74</t>
  </si>
  <si>
    <t>8,86</t>
  </si>
  <si>
    <t>10,89</t>
  </si>
  <si>
    <t>8,28</t>
  </si>
  <si>
    <t>10,40</t>
  </si>
  <si>
    <t>9,87</t>
  </si>
  <si>
    <t>4,46</t>
  </si>
  <si>
    <t>4,80</t>
  </si>
  <si>
    <t>6,06</t>
  </si>
  <si>
    <t>9,21</t>
  </si>
  <si>
    <t>6,60</t>
  </si>
  <si>
    <t>8,75</t>
  </si>
  <si>
    <t>8,22</t>
  </si>
  <si>
    <t>6,61</t>
  </si>
  <si>
    <t>9,24</t>
  </si>
  <si>
    <t>11,12</t>
  </si>
  <si>
    <t>8,71</t>
  </si>
  <si>
    <t>10,77</t>
  </si>
  <si>
    <t>10,28</t>
  </si>
  <si>
    <t>8,61</t>
  </si>
  <si>
    <t>11,24</t>
  </si>
  <si>
    <t>13,89</t>
  </si>
  <si>
    <t>9,67</t>
  </si>
  <si>
    <t>12,32</t>
  </si>
  <si>
    <t>8,47</t>
  </si>
  <si>
    <t>9,78</t>
  </si>
  <si>
    <t>12,39</t>
  </si>
  <si>
    <t>15,01</t>
  </si>
  <si>
    <t>11,76</t>
  </si>
  <si>
    <t>17,05</t>
  </si>
  <si>
    <t>23,51</t>
  </si>
  <si>
    <t>28,60</t>
  </si>
  <si>
    <t>42,80</t>
  </si>
  <si>
    <t>17,14</t>
  </si>
  <si>
    <t>21,29</t>
  </si>
  <si>
    <t>34,90</t>
  </si>
  <si>
    <t>22,73</t>
  </si>
  <si>
    <t>26,74</t>
  </si>
  <si>
    <t>40,18</t>
  </si>
  <si>
    <t>42,92</t>
  </si>
  <si>
    <t>6,46</t>
  </si>
  <si>
    <t>15,88</t>
  </si>
  <si>
    <t>21,77</t>
  </si>
  <si>
    <t>12,64</t>
  </si>
  <si>
    <t>14,10</t>
  </si>
  <si>
    <t>3,85</t>
  </si>
  <si>
    <t>5,05</t>
  </si>
  <si>
    <t>6,64</t>
  </si>
  <si>
    <t>6,27</t>
  </si>
  <si>
    <t>7,15</t>
  </si>
  <si>
    <t>8,38</t>
  </si>
  <si>
    <t>10,02</t>
  </si>
  <si>
    <t>6,56</t>
  </si>
  <si>
    <t>9,43</t>
  </si>
  <si>
    <t>11,05</t>
  </si>
  <si>
    <t>13,61</t>
  </si>
  <si>
    <t>14,96</t>
  </si>
  <si>
    <t>8,25</t>
  </si>
  <si>
    <t>14,01</t>
  </si>
  <si>
    <t>15,34</t>
  </si>
  <si>
    <t>16,69</t>
  </si>
  <si>
    <t>10,38</t>
  </si>
  <si>
    <t>10,19</t>
  </si>
  <si>
    <t>11,36</t>
  </si>
  <si>
    <t>12,61</t>
  </si>
  <si>
    <t>13,63</t>
  </si>
  <si>
    <t>14,89</t>
  </si>
  <si>
    <t>15,54</t>
  </si>
  <si>
    <t>11,27</t>
  </si>
  <si>
    <t>19,64</t>
  </si>
  <si>
    <t>23,50</t>
  </si>
  <si>
    <t>34,26</t>
  </si>
  <si>
    <t>33,61</t>
  </si>
  <si>
    <t>35,64</t>
  </si>
  <si>
    <t>55,82</t>
  </si>
  <si>
    <t>4,49</t>
  </si>
  <si>
    <t>5,96</t>
  </si>
  <si>
    <t>5,25</t>
  </si>
  <si>
    <t>6,07</t>
  </si>
  <si>
    <t>5,91</t>
  </si>
  <si>
    <t>7,37</t>
  </si>
  <si>
    <t>10,56</t>
  </si>
  <si>
    <t>14,00</t>
  </si>
  <si>
    <t>10,11</t>
  </si>
  <si>
    <t>12,78</t>
  </si>
  <si>
    <t>15,63</t>
  </si>
  <si>
    <t>8,04</t>
  </si>
  <si>
    <t>9,73</t>
  </si>
  <si>
    <t>11,22</t>
  </si>
  <si>
    <t>2,07</t>
  </si>
  <si>
    <t>2,84</t>
  </si>
  <si>
    <t>3,79</t>
  </si>
  <si>
    <t>4,72</t>
  </si>
  <si>
    <t>5,31</t>
  </si>
  <si>
    <t>11,18</t>
  </si>
  <si>
    <t>16,06</t>
  </si>
  <si>
    <t>17,03</t>
  </si>
  <si>
    <t>6,77</t>
  </si>
  <si>
    <t>10,39</t>
  </si>
  <si>
    <t>18,21</t>
  </si>
  <si>
    <t>18,67</t>
  </si>
  <si>
    <t>24,42</t>
  </si>
  <si>
    <t>25,12</t>
  </si>
  <si>
    <t>35,03</t>
  </si>
  <si>
    <t>35,11</t>
  </si>
  <si>
    <t>48,56</t>
  </si>
  <si>
    <t>48,01</t>
  </si>
  <si>
    <t>63,27</t>
  </si>
  <si>
    <t>63,31</t>
  </si>
  <si>
    <t>81,03</t>
  </si>
  <si>
    <t>81,82</t>
  </si>
  <si>
    <t>100,72</t>
  </si>
  <si>
    <t>100,99</t>
  </si>
  <si>
    <t>123,51</t>
  </si>
  <si>
    <t>161,01</t>
  </si>
  <si>
    <t>161,97</t>
  </si>
  <si>
    <t>196,55</t>
  </si>
  <si>
    <t>201,96</t>
  </si>
  <si>
    <t>163,02</t>
  </si>
  <si>
    <t>22,82</t>
  </si>
  <si>
    <t>11,84</t>
  </si>
  <si>
    <t>7,73</t>
  </si>
  <si>
    <t>27,54</t>
  </si>
  <si>
    <t>14,93</t>
  </si>
  <si>
    <t>10,21</t>
  </si>
  <si>
    <t>7,56</t>
  </si>
  <si>
    <t>22,17</t>
  </si>
  <si>
    <t>11,19</t>
  </si>
  <si>
    <t>7,08</t>
  </si>
  <si>
    <t>26,35</t>
  </si>
  <si>
    <t>13,74</t>
  </si>
  <si>
    <t>21,44</t>
  </si>
  <si>
    <t>21,87</t>
  </si>
  <si>
    <t>20,43</t>
  </si>
  <si>
    <t>23,99</t>
  </si>
  <si>
    <t>24,31</t>
  </si>
  <si>
    <t>25,14</t>
  </si>
  <si>
    <t>28,25</t>
  </si>
  <si>
    <t>26,45</t>
  </si>
  <si>
    <t>33,10</t>
  </si>
  <si>
    <t>25,35</t>
  </si>
  <si>
    <t>31,10</t>
  </si>
  <si>
    <t>33,43</t>
  </si>
  <si>
    <t>43,03</t>
  </si>
  <si>
    <t>18,20</t>
  </si>
  <si>
    <t>18,39</t>
  </si>
  <si>
    <t>18,95</t>
  </si>
  <si>
    <t>21,02</t>
  </si>
  <si>
    <t>21,59</t>
  </si>
  <si>
    <t>10,22</t>
  </si>
  <si>
    <t>10,79</t>
  </si>
  <si>
    <t>12,72</t>
  </si>
  <si>
    <t>12,57</t>
  </si>
  <si>
    <t>13,43</t>
  </si>
  <si>
    <t>17,07</t>
  </si>
  <si>
    <t>25,89</t>
  </si>
  <si>
    <t>26,75</t>
  </si>
  <si>
    <t>31,63</t>
  </si>
  <si>
    <t>133,62</t>
  </si>
  <si>
    <t>210,60</t>
  </si>
  <si>
    <t>403,82</t>
  </si>
  <si>
    <t>542,01</t>
  </si>
  <si>
    <t>618,91</t>
  </si>
  <si>
    <t>161,62</t>
  </si>
  <si>
    <t>300,23</t>
  </si>
  <si>
    <t>409,91</t>
  </si>
  <si>
    <t>458,82</t>
  </si>
  <si>
    <t>167,60</t>
  </si>
  <si>
    <t>4.529,52</t>
  </si>
  <si>
    <t>243,56</t>
  </si>
  <si>
    <t>288,00</t>
  </si>
  <si>
    <t>445,77</t>
  </si>
  <si>
    <t>1.251,56</t>
  </si>
  <si>
    <t>13,54</t>
  </si>
  <si>
    <t>20,79</t>
  </si>
  <si>
    <t>61,03</t>
  </si>
  <si>
    <t>88,01</t>
  </si>
  <si>
    <t>117,41</t>
  </si>
  <si>
    <t>332,89</t>
  </si>
  <si>
    <t>860,71</t>
  </si>
  <si>
    <t>1.176,27</t>
  </si>
  <si>
    <t>1.926,89</t>
  </si>
  <si>
    <t>520,46</t>
  </si>
  <si>
    <t>75,30</t>
  </si>
  <si>
    <t>351,35</t>
  </si>
  <si>
    <t>405,45</t>
  </si>
  <si>
    <t>467,38</t>
  </si>
  <si>
    <t>640,03</t>
  </si>
  <si>
    <t>930,79</t>
  </si>
  <si>
    <t>273,82</t>
  </si>
  <si>
    <t>88,43</t>
  </si>
  <si>
    <t>10,26</t>
  </si>
  <si>
    <t>10,78</t>
  </si>
  <si>
    <t>11,69</t>
  </si>
  <si>
    <t>12,85</t>
  </si>
  <si>
    <t>18,68</t>
  </si>
  <si>
    <t>21,05</t>
  </si>
  <si>
    <t>51,39</t>
  </si>
  <si>
    <t>54,29</t>
  </si>
  <si>
    <t>56,57</t>
  </si>
  <si>
    <t>59,52</t>
  </si>
  <si>
    <t>64,26</t>
  </si>
  <si>
    <t>64,06</t>
  </si>
  <si>
    <t>65,60</t>
  </si>
  <si>
    <t>68,39</t>
  </si>
  <si>
    <t>71,82</t>
  </si>
  <si>
    <t>77,39</t>
  </si>
  <si>
    <t>84,50</t>
  </si>
  <si>
    <t>QUADRO DE MEDIÇÃO GERAL DE ENERGIA COM 8 MEDIDORES - FORNECIMENTO E INSTALAÇÃO. AF_04/2016</t>
  </si>
  <si>
    <t>2.586,53</t>
  </si>
  <si>
    <t>QUADRO DE MEDIÇÃO GERAL DE ENERGIA COM 12 MEDIDORES - FORNECIMENTO E INSTALAÇÃO. AF_04/2016</t>
  </si>
  <si>
    <t>4.977,37</t>
  </si>
  <si>
    <t>QUADRO DE MEDIÇÃO GERAL DE ENERGIA COM 16 MEDIDORES - FORNECIMENTO E INSTALAÇÃO. AF_04/2016</t>
  </si>
  <si>
    <t>6.636,50</t>
  </si>
  <si>
    <t>57,57</t>
  </si>
  <si>
    <t>18,09</t>
  </si>
  <si>
    <t>47,47</t>
  </si>
  <si>
    <t>8,21</t>
  </si>
  <si>
    <t>12,65</t>
  </si>
  <si>
    <t>11,06</t>
  </si>
  <si>
    <t>15,41</t>
  </si>
  <si>
    <t>22,30</t>
  </si>
  <si>
    <t>20,68</t>
  </si>
  <si>
    <t>27,57</t>
  </si>
  <si>
    <t>33,65</t>
  </si>
  <si>
    <t>40,54</t>
  </si>
  <si>
    <t>28,41</t>
  </si>
  <si>
    <t>35,30</t>
  </si>
  <si>
    <t>38,92</t>
  </si>
  <si>
    <t>51,92</t>
  </si>
  <si>
    <t>58,81</t>
  </si>
  <si>
    <t>46,65</t>
  </si>
  <si>
    <t>41,41</t>
  </si>
  <si>
    <t>48,30</t>
  </si>
  <si>
    <t>57,16</t>
  </si>
  <si>
    <t>59,93</t>
  </si>
  <si>
    <t>70,99</t>
  </si>
  <si>
    <t>65,21</t>
  </si>
  <si>
    <t>76,27</t>
  </si>
  <si>
    <t>54,66</t>
  </si>
  <si>
    <t>65,72</t>
  </si>
  <si>
    <t>80,74</t>
  </si>
  <si>
    <t>91,80</t>
  </si>
  <si>
    <t>33,29</t>
  </si>
  <si>
    <t>32,18</t>
  </si>
  <si>
    <t>39,07</t>
  </si>
  <si>
    <t>79,81</t>
  </si>
  <si>
    <t>86,70</t>
  </si>
  <si>
    <t>14,38</t>
  </si>
  <si>
    <t>31,17</t>
  </si>
  <si>
    <t>38,06</t>
  </si>
  <si>
    <t>18,13</t>
  </si>
  <si>
    <t>25,02</t>
  </si>
  <si>
    <t>27,21</t>
  </si>
  <si>
    <t>29,23</t>
  </si>
  <si>
    <t>34,10</t>
  </si>
  <si>
    <t>36,12</t>
  </si>
  <si>
    <t>19,63</t>
  </si>
  <si>
    <t>21,65</t>
  </si>
  <si>
    <t>26,52</t>
  </si>
  <si>
    <t>28,54</t>
  </si>
  <si>
    <t>18,71</t>
  </si>
  <si>
    <t>25,60</t>
  </si>
  <si>
    <t>36,82</t>
  </si>
  <si>
    <t>40,86</t>
  </si>
  <si>
    <t>43,71</t>
  </si>
  <si>
    <t>47,75</t>
  </si>
  <si>
    <t>30,93</t>
  </si>
  <si>
    <t>34,97</t>
  </si>
  <si>
    <t>37,82</t>
  </si>
  <si>
    <t>41,86</t>
  </si>
  <si>
    <t>54,01</t>
  </si>
  <si>
    <t>60,07</t>
  </si>
  <si>
    <t>60,90</t>
  </si>
  <si>
    <t>66,96</t>
  </si>
  <si>
    <t>45,18</t>
  </si>
  <si>
    <t>51,24</t>
  </si>
  <si>
    <t>52,07</t>
  </si>
  <si>
    <t>58,13</t>
  </si>
  <si>
    <t>59,83</t>
  </si>
  <si>
    <t>70,89</t>
  </si>
  <si>
    <t>99,57</t>
  </si>
  <si>
    <t>32,60</t>
  </si>
  <si>
    <t>39,49</t>
  </si>
  <si>
    <t>49,82</t>
  </si>
  <si>
    <t>56,71</t>
  </si>
  <si>
    <t>45,60</t>
  </si>
  <si>
    <t>52,49</t>
  </si>
  <si>
    <t>37,87</t>
  </si>
  <si>
    <t>44,76</t>
  </si>
  <si>
    <t>55,06</t>
  </si>
  <si>
    <t>56,11</t>
  </si>
  <si>
    <t>50,87</t>
  </si>
  <si>
    <t>57,76</t>
  </si>
  <si>
    <t>76,08</t>
  </si>
  <si>
    <t>41,65</t>
  </si>
  <si>
    <t>140,68</t>
  </si>
  <si>
    <t>185,35</t>
  </si>
  <si>
    <t>53,39</t>
  </si>
  <si>
    <t>29,04</t>
  </si>
  <si>
    <t>21,36</t>
  </si>
  <si>
    <t>71,35</t>
  </si>
  <si>
    <t>70,85</t>
  </si>
  <si>
    <t>13,07</t>
  </si>
  <si>
    <t>39,94</t>
  </si>
  <si>
    <t>44,70</t>
  </si>
  <si>
    <t>60,76</t>
  </si>
  <si>
    <t>60,93</t>
  </si>
  <si>
    <t>80,32</t>
  </si>
  <si>
    <t>137,19</t>
  </si>
  <si>
    <t>29,14</t>
  </si>
  <si>
    <t>55,94</t>
  </si>
  <si>
    <t>98,94</t>
  </si>
  <si>
    <t>75,42</t>
  </si>
  <si>
    <t>74,23</t>
  </si>
  <si>
    <t>49,20</t>
  </si>
  <si>
    <t>34,73</t>
  </si>
  <si>
    <t>43,33</t>
  </si>
  <si>
    <t>41,48</t>
  </si>
  <si>
    <t>37,42</t>
  </si>
  <si>
    <t>28,73</t>
  </si>
  <si>
    <t>36,28</t>
  </si>
  <si>
    <t>17,17</t>
  </si>
  <si>
    <t>18,57</t>
  </si>
  <si>
    <t>23,21</t>
  </si>
  <si>
    <t>39,97</t>
  </si>
  <si>
    <t>31,83</t>
  </si>
  <si>
    <t>35,43</t>
  </si>
  <si>
    <t>33,79</t>
  </si>
  <si>
    <t>1.559,53</t>
  </si>
  <si>
    <t>181,69</t>
  </si>
  <si>
    <t>84,65</t>
  </si>
  <si>
    <t>12,25</t>
  </si>
  <si>
    <t>10,32</t>
  </si>
  <si>
    <t>7,48</t>
  </si>
  <si>
    <t>27,20</t>
  </si>
  <si>
    <t>82,87</t>
  </si>
  <si>
    <t>147,65</t>
  </si>
  <si>
    <t>93,62</t>
  </si>
  <si>
    <t>170,60</t>
  </si>
  <si>
    <t>268,98</t>
  </si>
  <si>
    <t>293,76</t>
  </si>
  <si>
    <t>332,31</t>
  </si>
  <si>
    <t>306,01</t>
  </si>
  <si>
    <t>375,62</t>
  </si>
  <si>
    <t>319,49</t>
  </si>
  <si>
    <t>361,28</t>
  </si>
  <si>
    <t>345,42</t>
  </si>
  <si>
    <t>411,94</t>
  </si>
  <si>
    <t>372,68</t>
  </si>
  <si>
    <t>424,38</t>
  </si>
  <si>
    <t>422,40</t>
  </si>
  <si>
    <t>473,67</t>
  </si>
  <si>
    <t>413,39</t>
  </si>
  <si>
    <t>455,84</t>
  </si>
  <si>
    <t>442,94</t>
  </si>
  <si>
    <t>514,77</t>
  </si>
  <si>
    <t>531,74</t>
  </si>
  <si>
    <t>628,47</t>
  </si>
  <si>
    <t>623,87</t>
  </si>
  <si>
    <t>703,62</t>
  </si>
  <si>
    <t>281,53</t>
  </si>
  <si>
    <t>353,13</t>
  </si>
  <si>
    <t>474,15</t>
  </si>
  <si>
    <t>625,13</t>
  </si>
  <si>
    <t>1.013,40</t>
  </si>
  <si>
    <t>370,56</t>
  </si>
  <si>
    <t>649,70</t>
  </si>
  <si>
    <t>1.047,24</t>
  </si>
  <si>
    <t>378,65</t>
  </si>
  <si>
    <t>661,78</t>
  </si>
  <si>
    <t>1.065,64</t>
  </si>
  <si>
    <t>386,64</t>
  </si>
  <si>
    <t>513,98</t>
  </si>
  <si>
    <t>673,51</t>
  </si>
  <si>
    <t>1.083,56</t>
  </si>
  <si>
    <t>533,32</t>
  </si>
  <si>
    <t>696,69</t>
  </si>
  <si>
    <t>1.121,61</t>
  </si>
  <si>
    <t>719,74</t>
  </si>
  <si>
    <t>1.163,58</t>
  </si>
  <si>
    <t>347,18</t>
  </si>
  <si>
    <t>2.001,15</t>
  </si>
  <si>
    <t>2.246,48</t>
  </si>
  <si>
    <t>1.311,22</t>
  </si>
  <si>
    <t>1.412,84</t>
  </si>
  <si>
    <t>106,88</t>
  </si>
  <si>
    <t>142,72</t>
  </si>
  <si>
    <t>32,96</t>
  </si>
  <si>
    <t>27,44</t>
  </si>
  <si>
    <t>39,08</t>
  </si>
  <si>
    <t>44,48</t>
  </si>
  <si>
    <t>51,11</t>
  </si>
  <si>
    <t>137,83</t>
  </si>
  <si>
    <t>271,55</t>
  </si>
  <si>
    <t>30,90</t>
  </si>
  <si>
    <t>99,24</t>
  </si>
  <si>
    <t>54,11</t>
  </si>
  <si>
    <t>375,32</t>
  </si>
  <si>
    <t>269,73</t>
  </si>
  <si>
    <t>109,12</t>
  </si>
  <si>
    <t>86,57</t>
  </si>
  <si>
    <t>249,06</t>
  </si>
  <si>
    <t>261,54</t>
  </si>
  <si>
    <t>67,27</t>
  </si>
  <si>
    <t>55,71</t>
  </si>
  <si>
    <t>77,14</t>
  </si>
  <si>
    <t>65,58</t>
  </si>
  <si>
    <t>6.678,48</t>
  </si>
  <si>
    <t>8.253,24</t>
  </si>
  <si>
    <t>10.403,29</t>
  </si>
  <si>
    <t>14.566,48</t>
  </si>
  <si>
    <t>16.990,96</t>
  </si>
  <si>
    <t>27.647,00</t>
  </si>
  <si>
    <t>4.608,47</t>
  </si>
  <si>
    <t>5.162,50</t>
  </si>
  <si>
    <t>37.876,58</t>
  </si>
  <si>
    <t>52.973,06</t>
  </si>
  <si>
    <t>117,75</t>
  </si>
  <si>
    <t>139,45</t>
  </si>
  <si>
    <t>131,72</t>
  </si>
  <si>
    <t>167,35</t>
  </si>
  <si>
    <t>157,73</t>
  </si>
  <si>
    <t>141,63</t>
  </si>
  <si>
    <t>158,82</t>
  </si>
  <si>
    <t>143,65</t>
  </si>
  <si>
    <t>180,16</t>
  </si>
  <si>
    <t>171,98</t>
  </si>
  <si>
    <t>185,95</t>
  </si>
  <si>
    <t>211,99</t>
  </si>
  <si>
    <t>3.135,94</t>
  </si>
  <si>
    <t>31,90</t>
  </si>
  <si>
    <t>23,11</t>
  </si>
  <si>
    <t>38,45</t>
  </si>
  <si>
    <t>47,97</t>
  </si>
  <si>
    <t>60,32</t>
  </si>
  <si>
    <t>76,34</t>
  </si>
  <si>
    <t>25,99</t>
  </si>
  <si>
    <t>36,34</t>
  </si>
  <si>
    <t>50,79</t>
  </si>
  <si>
    <t>45,25</t>
  </si>
  <si>
    <t>56,83</t>
  </si>
  <si>
    <t>84,95</t>
  </si>
  <si>
    <t>120,21</t>
  </si>
  <si>
    <t>177,25</t>
  </si>
  <si>
    <t>116,63</t>
  </si>
  <si>
    <t>67,69</t>
  </si>
  <si>
    <t>78,31</t>
  </si>
  <si>
    <t>794,19</t>
  </si>
  <si>
    <t>199,40</t>
  </si>
  <si>
    <t>CAIXA DE INCÊNDIO 60X90X17CM - FORNECIMENTO E INSTALAÇÃO</t>
  </si>
  <si>
    <t>247,64</t>
  </si>
  <si>
    <t>157,97</t>
  </si>
  <si>
    <t>529,51</t>
  </si>
  <si>
    <t>165,47</t>
  </si>
  <si>
    <t>170,44</t>
  </si>
  <si>
    <t>1.909,78</t>
  </si>
  <si>
    <t>497,20</t>
  </si>
  <si>
    <t>192,01</t>
  </si>
  <si>
    <t>928,02</t>
  </si>
  <si>
    <t>193,41</t>
  </si>
  <si>
    <t>356,43</t>
  </si>
  <si>
    <t>1.150,94</t>
  </si>
  <si>
    <t>480,35</t>
  </si>
  <si>
    <t>222,30</t>
  </si>
  <si>
    <t>3,67</t>
  </si>
  <si>
    <t>4,36</t>
  </si>
  <si>
    <t>4,91</t>
  </si>
  <si>
    <t>6,19</t>
  </si>
  <si>
    <t>21,90</t>
  </si>
  <si>
    <t>35,81</t>
  </si>
  <si>
    <t>55,77</t>
  </si>
  <si>
    <t>131,26</t>
  </si>
  <si>
    <t>7,82</t>
  </si>
  <si>
    <t>14,47</t>
  </si>
  <si>
    <t>19,47</t>
  </si>
  <si>
    <t>33,39</t>
  </si>
  <si>
    <t>6,21</t>
  </si>
  <si>
    <t>8,03</t>
  </si>
  <si>
    <t>8,84</t>
  </si>
  <si>
    <t>3,04</t>
  </si>
  <si>
    <t>4,31</t>
  </si>
  <si>
    <t>12,21</t>
  </si>
  <si>
    <t>18,99</t>
  </si>
  <si>
    <t>24,70</t>
  </si>
  <si>
    <t>26,09</t>
  </si>
  <si>
    <t>268,67</t>
  </si>
  <si>
    <t>74,70</t>
  </si>
  <si>
    <t>70,60</t>
  </si>
  <si>
    <t>118,92</t>
  </si>
  <si>
    <t>177,54</t>
  </si>
  <si>
    <t>250,52</t>
  </si>
  <si>
    <t>5.831,32</t>
  </si>
  <si>
    <t>123,25</t>
  </si>
  <si>
    <t>1.263,86</t>
  </si>
  <si>
    <t>3.847,80</t>
  </si>
  <si>
    <t>5.275,91</t>
  </si>
  <si>
    <t>1.684,59</t>
  </si>
  <si>
    <t>1.953,66</t>
  </si>
  <si>
    <t>1.281,92</t>
  </si>
  <si>
    <t>827,01</t>
  </si>
  <si>
    <t>4.979,47</t>
  </si>
  <si>
    <t>4.174,13</t>
  </si>
  <si>
    <t>1,69</t>
  </si>
  <si>
    <t>1,12</t>
  </si>
  <si>
    <t>2,63</t>
  </si>
  <si>
    <t>1,73</t>
  </si>
  <si>
    <t>409,19</t>
  </si>
  <si>
    <t>527,50</t>
  </si>
  <si>
    <t>871,07</t>
  </si>
  <si>
    <t>41,36</t>
  </si>
  <si>
    <t>27,03</t>
  </si>
  <si>
    <t>729,75</t>
  </si>
  <si>
    <t>14,94</t>
  </si>
  <si>
    <t>17,56</t>
  </si>
  <si>
    <t>24,02</t>
  </si>
  <si>
    <t>6,11</t>
  </si>
  <si>
    <t>3,53</t>
  </si>
  <si>
    <t>7,32</t>
  </si>
  <si>
    <t>10,47</t>
  </si>
  <si>
    <t>12,05</t>
  </si>
  <si>
    <t>19,75</t>
  </si>
  <si>
    <t>15,17</t>
  </si>
  <si>
    <t>20,74</t>
  </si>
  <si>
    <t>48,36</t>
  </si>
  <si>
    <t>17,36</t>
  </si>
  <si>
    <t>29,80</t>
  </si>
  <si>
    <t>58,34</t>
  </si>
  <si>
    <t>15,58</t>
  </si>
  <si>
    <t>22,28</t>
  </si>
  <si>
    <t>30,14</t>
  </si>
  <si>
    <t>36,36</t>
  </si>
  <si>
    <t>15,56</t>
  </si>
  <si>
    <t>34,53</t>
  </si>
  <si>
    <t>44,54</t>
  </si>
  <si>
    <t>13,02</t>
  </si>
  <si>
    <t>19,23</t>
  </si>
  <si>
    <t>59,06</t>
  </si>
  <si>
    <t>92,96</t>
  </si>
  <si>
    <t>14,40</t>
  </si>
  <si>
    <t>18,08</t>
  </si>
  <si>
    <t>22,75</t>
  </si>
  <si>
    <t>43,00</t>
  </si>
  <si>
    <t>10,42</t>
  </si>
  <si>
    <t>34,82</t>
  </si>
  <si>
    <t>22,07</t>
  </si>
  <si>
    <t>23,15</t>
  </si>
  <si>
    <t>30,05</t>
  </si>
  <si>
    <t>48,81</t>
  </si>
  <si>
    <t>62,08</t>
  </si>
  <si>
    <t>46,26</t>
  </si>
  <si>
    <t>67,01</t>
  </si>
  <si>
    <t>29,90</t>
  </si>
  <si>
    <t>51,08</t>
  </si>
  <si>
    <t>54,21</t>
  </si>
  <si>
    <t>32,56</t>
  </si>
  <si>
    <t>59,23</t>
  </si>
  <si>
    <t>79,47</t>
  </si>
  <si>
    <t>114,62</t>
  </si>
  <si>
    <t>160,63</t>
  </si>
  <si>
    <t>94,50</t>
  </si>
  <si>
    <t>105,60</t>
  </si>
  <si>
    <t>140,63</t>
  </si>
  <si>
    <t>172,29</t>
  </si>
  <si>
    <t>225,49</t>
  </si>
  <si>
    <t>273,06</t>
  </si>
  <si>
    <t>36,37</t>
  </si>
  <si>
    <t>45,26</t>
  </si>
  <si>
    <t>37,86</t>
  </si>
  <si>
    <t>100,22</t>
  </si>
  <si>
    <t>111,63</t>
  </si>
  <si>
    <t>50,72</t>
  </si>
  <si>
    <t>64,83</t>
  </si>
  <si>
    <t>44,21</t>
  </si>
  <si>
    <t>112,57</t>
  </si>
  <si>
    <t>129,16</t>
  </si>
  <si>
    <t>59,84</t>
  </si>
  <si>
    <t>73,38</t>
  </si>
  <si>
    <t>96,17</t>
  </si>
  <si>
    <t>77,57</t>
  </si>
  <si>
    <t>113,65</t>
  </si>
  <si>
    <t>68,20</t>
  </si>
  <si>
    <t>81,77</t>
  </si>
  <si>
    <t>104,64</t>
  </si>
  <si>
    <t>60,25</t>
  </si>
  <si>
    <t>95,65</t>
  </si>
  <si>
    <t>36,49</t>
  </si>
  <si>
    <t>57,88</t>
  </si>
  <si>
    <t>70,98</t>
  </si>
  <si>
    <t>93,43</t>
  </si>
  <si>
    <t>52,13</t>
  </si>
  <si>
    <t>63,37</t>
  </si>
  <si>
    <t>98,76</t>
  </si>
  <si>
    <t>45,74</t>
  </si>
  <si>
    <t>61,72</t>
  </si>
  <si>
    <t>74,91</t>
  </si>
  <si>
    <t>97,34</t>
  </si>
  <si>
    <t>27,42</t>
  </si>
  <si>
    <t>26,72</t>
  </si>
  <si>
    <t>38,98</t>
  </si>
  <si>
    <t>68,34</t>
  </si>
  <si>
    <t>79,33</t>
  </si>
  <si>
    <t>111,03</t>
  </si>
  <si>
    <t>130,16</t>
  </si>
  <si>
    <t>172,45</t>
  </si>
  <si>
    <t>233,64</t>
  </si>
  <si>
    <t>330,70</t>
  </si>
  <si>
    <t>8,06</t>
  </si>
  <si>
    <t>11,63</t>
  </si>
  <si>
    <t>16,64</t>
  </si>
  <si>
    <t>17,98</t>
  </si>
  <si>
    <t>29,26</t>
  </si>
  <si>
    <t>40,88</t>
  </si>
  <si>
    <t>55,39</t>
  </si>
  <si>
    <t>76,09</t>
  </si>
  <si>
    <t>13,57</t>
  </si>
  <si>
    <t>29,85</t>
  </si>
  <si>
    <t>64,30</t>
  </si>
  <si>
    <t>113,58</t>
  </si>
  <si>
    <t>49,01</t>
  </si>
  <si>
    <t>23,56</t>
  </si>
  <si>
    <t>19,34</t>
  </si>
  <si>
    <t>30,04</t>
  </si>
  <si>
    <t>24,47</t>
  </si>
  <si>
    <t>36,26</t>
  </si>
  <si>
    <t>10,99</t>
  </si>
  <si>
    <t>16,68</t>
  </si>
  <si>
    <t>22,39</t>
  </si>
  <si>
    <t>32,90</t>
  </si>
  <si>
    <t>53,52</t>
  </si>
  <si>
    <t>75,23</t>
  </si>
  <si>
    <t>130,31</t>
  </si>
  <si>
    <t>8,82</t>
  </si>
  <si>
    <t>14,51</t>
  </si>
  <si>
    <t>20,18</t>
  </si>
  <si>
    <t>29,47</t>
  </si>
  <si>
    <t>39,83</t>
  </si>
  <si>
    <t>73,82</t>
  </si>
  <si>
    <t>108,79</t>
  </si>
  <si>
    <t>149,17</t>
  </si>
  <si>
    <t>5,71</t>
  </si>
  <si>
    <t>12,52</t>
  </si>
  <si>
    <t>15,16</t>
  </si>
  <si>
    <t>19,95</t>
  </si>
  <si>
    <t>27,45</t>
  </si>
  <si>
    <t>35,84</t>
  </si>
  <si>
    <t>58,55</t>
  </si>
  <si>
    <t>76,06</t>
  </si>
  <si>
    <t>123,84</t>
  </si>
  <si>
    <t>11,04</t>
  </si>
  <si>
    <t>12,99</t>
  </si>
  <si>
    <t>19,40</t>
  </si>
  <si>
    <t>24,10</t>
  </si>
  <si>
    <t>35,36</t>
  </si>
  <si>
    <t>43,32</t>
  </si>
  <si>
    <t>79,12</t>
  </si>
  <si>
    <t>108,45</t>
  </si>
  <si>
    <t>142,42</t>
  </si>
  <si>
    <t>8,40</t>
  </si>
  <si>
    <t>13,04</t>
  </si>
  <si>
    <t>19,79</t>
  </si>
  <si>
    <t>17,78</t>
  </si>
  <si>
    <t>30,82</t>
  </si>
  <si>
    <t>38,27</t>
  </si>
  <si>
    <t>46,54</t>
  </si>
  <si>
    <t>31,14</t>
  </si>
  <si>
    <t>38,66</t>
  </si>
  <si>
    <t>46,98</t>
  </si>
  <si>
    <t>46,59</t>
  </si>
  <si>
    <t>59,13</t>
  </si>
  <si>
    <t>88,58</t>
  </si>
  <si>
    <t>106,44</t>
  </si>
  <si>
    <t>115,28</t>
  </si>
  <si>
    <t>32,55</t>
  </si>
  <si>
    <t>50,40</t>
  </si>
  <si>
    <t>63,20</t>
  </si>
  <si>
    <t>40,90</t>
  </si>
  <si>
    <t>64,75</t>
  </si>
  <si>
    <t>82,77</t>
  </si>
  <si>
    <t>55,99</t>
  </si>
  <si>
    <t>77,24</t>
  </si>
  <si>
    <t>111,12</t>
  </si>
  <si>
    <t>134,86</t>
  </si>
  <si>
    <t>186,33</t>
  </si>
  <si>
    <t>241,32</t>
  </si>
  <si>
    <t>38,11</t>
  </si>
  <si>
    <t>59,80</t>
  </si>
  <si>
    <t>81,31</t>
  </si>
  <si>
    <t>46,46</t>
  </si>
  <si>
    <t>74,15</t>
  </si>
  <si>
    <t>100,88</t>
  </si>
  <si>
    <t>33,59</t>
  </si>
  <si>
    <t>42,34</t>
  </si>
  <si>
    <t>KIT CAVALETE PARA GÁS - SEM MEDIDOR OU REGULADOR - ENTRADA INDIVIDUAL PRINCIPAL, EM AÇO GALVANIZADO DN 15 E 25 MM (1/2" E 1") - FORNECIMENTO E INSTALAÇÃO. AF_01/2020</t>
  </si>
  <si>
    <t>509,19</t>
  </si>
  <si>
    <t>TUBO, PEX, MULTICAMADA, DN 16, INSTALADO EM IMPLANTAÇÃO DE INSTALAÇÕES DE GÁS - FORNECIMENTO E INSTALAÇÃO. AF_01/2020</t>
  </si>
  <si>
    <t>14,07</t>
  </si>
  <si>
    <t>TUBO, PEX, MULTICAMADA, DN 20, INSTALADO EM IMPLANTAÇÃO DE INSTALAÇÕES DE GÁS - FORNECIMENTO E INSTALAÇÃO. AF_01/2020</t>
  </si>
  <si>
    <t>TUBO, PEX, MULTICAMADA, DN 26, INSTALADO EM IMPLANTAÇÃO DE INSTALAÇÕES DE GÁS - FORNECIMENTO E INSTALAÇÃO. AF_01/2020</t>
  </si>
  <si>
    <t>26,67</t>
  </si>
  <si>
    <t>TUBO, PEX, MULTICAMADA, DN 32, INSTALADO EM IMPLANTAÇÃO DE INSTALAÇÕES DE GÁS - FORNECIMENTO E INSTALAÇÃO. AF_01/2020</t>
  </si>
  <si>
    <t>35,74</t>
  </si>
  <si>
    <t>TUBO, PEX, MULTICAMADA, DN 16, INSTALADO EM RAMAL INTERNO DE INSTALAÇÕES DE GÁS - FORNECIMENTO E INSTALAÇÃO. AF_01/2020</t>
  </si>
  <si>
    <t>13,27</t>
  </si>
  <si>
    <t>TUBO, PEX, MULTICAMADA, DN 20, INSTALADO EM RAMAL INTERNO DE INSTALAÇÕES DE GÁS - FORNECIMENTO E INSTALAÇÃO. AF_01/2020</t>
  </si>
  <si>
    <t>19,31</t>
  </si>
  <si>
    <t>TUBO, PEX, MULTICAMADA, DN 26, INSTALADO EM RAMAL INTERNO DE INSTALAÇÕES DE GÁS - FORNECIMENTO E INSTALAÇÃO. AF_01/2020</t>
  </si>
  <si>
    <t>25,53</t>
  </si>
  <si>
    <t>TUBO, PEX, MULTICAMADA, DN 32, INSTALADO EM RAMAL INTERNO DE INSTALAÇÕES DE GÁS - FORNECIMENTO E INSTALAÇÃO. AF_01/2020</t>
  </si>
  <si>
    <t>5,83</t>
  </si>
  <si>
    <t>165,69</t>
  </si>
  <si>
    <t>230,72</t>
  </si>
  <si>
    <t>529,43</t>
  </si>
  <si>
    <t>229,82</t>
  </si>
  <si>
    <t>96,18</t>
  </si>
  <si>
    <t>166,40</t>
  </si>
  <si>
    <t>265,77</t>
  </si>
  <si>
    <t>135,26</t>
  </si>
  <si>
    <t>134,43</t>
  </si>
  <si>
    <t>139,17</t>
  </si>
  <si>
    <t>93,93</t>
  </si>
  <si>
    <t>185,96</t>
  </si>
  <si>
    <t>296,88</t>
  </si>
  <si>
    <t>207,21</t>
  </si>
  <si>
    <t>283,59</t>
  </si>
  <si>
    <t>605,66</t>
  </si>
  <si>
    <t>6,40</t>
  </si>
  <si>
    <t>7,84</t>
  </si>
  <si>
    <t>9,00</t>
  </si>
  <si>
    <t>8,48</t>
  </si>
  <si>
    <t>12,10</t>
  </si>
  <si>
    <t>11,03</t>
  </si>
  <si>
    <t>7,85</t>
  </si>
  <si>
    <t>9,56</t>
  </si>
  <si>
    <t>4,59</t>
  </si>
  <si>
    <t>12,33</t>
  </si>
  <si>
    <t>9,76</t>
  </si>
  <si>
    <t>5,42</t>
  </si>
  <si>
    <t>9,88</t>
  </si>
  <si>
    <t>5,97</t>
  </si>
  <si>
    <t>7,23</t>
  </si>
  <si>
    <t>23,89</t>
  </si>
  <si>
    <t>16,63</t>
  </si>
  <si>
    <t>7,16</t>
  </si>
  <si>
    <t>19,50</t>
  </si>
  <si>
    <t>15,02</t>
  </si>
  <si>
    <t>10,08</t>
  </si>
  <si>
    <t>14,15</t>
  </si>
  <si>
    <t>23,64</t>
  </si>
  <si>
    <t>4,07</t>
  </si>
  <si>
    <t>4,33</t>
  </si>
  <si>
    <t>5,44</t>
  </si>
  <si>
    <t>4,89</t>
  </si>
  <si>
    <t>8,49</t>
  </si>
  <si>
    <t>10,46</t>
  </si>
  <si>
    <t>8,16</t>
  </si>
  <si>
    <t>8,41</t>
  </si>
  <si>
    <t>3,65</t>
  </si>
  <si>
    <t>6,49</t>
  </si>
  <si>
    <t>3,23</t>
  </si>
  <si>
    <t>6,15</t>
  </si>
  <si>
    <t>10,74</t>
  </si>
  <si>
    <t>5,90</t>
  </si>
  <si>
    <t>3,83</t>
  </si>
  <si>
    <t>8,29</t>
  </si>
  <si>
    <t>21,96</t>
  </si>
  <si>
    <t>7,83</t>
  </si>
  <si>
    <t>14,70</t>
  </si>
  <si>
    <t>5,23</t>
  </si>
  <si>
    <t>17,57</t>
  </si>
  <si>
    <t>12,49</t>
  </si>
  <si>
    <t>8,39</t>
  </si>
  <si>
    <t>10,36</t>
  </si>
  <si>
    <t>19,85</t>
  </si>
  <si>
    <t>3,69</t>
  </si>
  <si>
    <t>4,26</t>
  </si>
  <si>
    <t>5,54</t>
  </si>
  <si>
    <t>9,09</t>
  </si>
  <si>
    <t>6,79</t>
  </si>
  <si>
    <t>9,44</t>
  </si>
  <si>
    <t>9,58</t>
  </si>
  <si>
    <t>11,82</t>
  </si>
  <si>
    <t>15,48</t>
  </si>
  <si>
    <t>25,91</t>
  </si>
  <si>
    <t>35,57</t>
  </si>
  <si>
    <t>23,60</t>
  </si>
  <si>
    <t>78,72</t>
  </si>
  <si>
    <t>59,66</t>
  </si>
  <si>
    <t>50,38</t>
  </si>
  <si>
    <t>34,37</t>
  </si>
  <si>
    <t>92,73</t>
  </si>
  <si>
    <t>70,28</t>
  </si>
  <si>
    <t>17,49</t>
  </si>
  <si>
    <t>69,14</t>
  </si>
  <si>
    <t>25,46</t>
  </si>
  <si>
    <t>29,20</t>
  </si>
  <si>
    <t>23,88</t>
  </si>
  <si>
    <t>3,56</t>
  </si>
  <si>
    <t>37,54</t>
  </si>
  <si>
    <t>8,95</t>
  </si>
  <si>
    <t>3,01</t>
  </si>
  <si>
    <t>4,40</t>
  </si>
  <si>
    <t>21,06</t>
  </si>
  <si>
    <t>7,71</t>
  </si>
  <si>
    <t>14,37</t>
  </si>
  <si>
    <t>10,37</t>
  </si>
  <si>
    <t>25,23</t>
  </si>
  <si>
    <t>13,80</t>
  </si>
  <si>
    <t>16,47</t>
  </si>
  <si>
    <t>16,67</t>
  </si>
  <si>
    <t>23,91</t>
  </si>
  <si>
    <t>19,02</t>
  </si>
  <si>
    <t>9,36</t>
  </si>
  <si>
    <t>14,66</t>
  </si>
  <si>
    <t>12,45</t>
  </si>
  <si>
    <t>35,31</t>
  </si>
  <si>
    <t>30,60</t>
  </si>
  <si>
    <t>52,31</t>
  </si>
  <si>
    <t>24,78</t>
  </si>
  <si>
    <t>49,56</t>
  </si>
  <si>
    <t>48,17</t>
  </si>
  <si>
    <t>43,95</t>
  </si>
  <si>
    <t>85,35</t>
  </si>
  <si>
    <t>25,48</t>
  </si>
  <si>
    <t>8,55</t>
  </si>
  <si>
    <t>18,11</t>
  </si>
  <si>
    <t>23,90</t>
  </si>
  <si>
    <t>27,63</t>
  </si>
  <si>
    <t>22,31</t>
  </si>
  <si>
    <t>35,97</t>
  </si>
  <si>
    <t>85,69</t>
  </si>
  <si>
    <t>70,41</t>
  </si>
  <si>
    <t>114,84</t>
  </si>
  <si>
    <t>27,77</t>
  </si>
  <si>
    <t>10,96</t>
  </si>
  <si>
    <t>15,08</t>
  </si>
  <si>
    <t>38,28</t>
  </si>
  <si>
    <t>12,11</t>
  </si>
  <si>
    <t>14,74</t>
  </si>
  <si>
    <t>63,67</t>
  </si>
  <si>
    <t>15,09</t>
  </si>
  <si>
    <t>24,38</t>
  </si>
  <si>
    <t>21,86</t>
  </si>
  <si>
    <t>45,58</t>
  </si>
  <si>
    <t>188,54</t>
  </si>
  <si>
    <t>31,47</t>
  </si>
  <si>
    <t>5,29</t>
  </si>
  <si>
    <t>10,88</t>
  </si>
  <si>
    <t>18,04</t>
  </si>
  <si>
    <t>10,03</t>
  </si>
  <si>
    <t>13,45</t>
  </si>
  <si>
    <t>14,20</t>
  </si>
  <si>
    <t>16,27</t>
  </si>
  <si>
    <t>22,03</t>
  </si>
  <si>
    <t>33,23</t>
  </si>
  <si>
    <t>60,11</t>
  </si>
  <si>
    <t>52,27</t>
  </si>
  <si>
    <t>90,91</t>
  </si>
  <si>
    <t>74,86</t>
  </si>
  <si>
    <t>6,52</t>
  </si>
  <si>
    <t>9,79</t>
  </si>
  <si>
    <t>14,22</t>
  </si>
  <si>
    <t>14,75</t>
  </si>
  <si>
    <t>12,54</t>
  </si>
  <si>
    <t>13,48</t>
  </si>
  <si>
    <t>17,76</t>
  </si>
  <si>
    <t>6,53</t>
  </si>
  <si>
    <t>9,62</t>
  </si>
  <si>
    <t>9,41</t>
  </si>
  <si>
    <t>6,95</t>
  </si>
  <si>
    <t>9,18</t>
  </si>
  <si>
    <t>16,53</t>
  </si>
  <si>
    <t>9,19</t>
  </si>
  <si>
    <t>5,39</t>
  </si>
  <si>
    <t>24,05</t>
  </si>
  <si>
    <t>15,79</t>
  </si>
  <si>
    <t>15,49</t>
  </si>
  <si>
    <t>22,93</t>
  </si>
  <si>
    <t>16,45</t>
  </si>
  <si>
    <t>23,76</t>
  </si>
  <si>
    <t>43,51</t>
  </si>
  <si>
    <t>6,88</t>
  </si>
  <si>
    <t>70,08</t>
  </si>
  <si>
    <t>12,27</t>
  </si>
  <si>
    <t>48,21</t>
  </si>
  <si>
    <t>78,96</t>
  </si>
  <si>
    <t>28,45</t>
  </si>
  <si>
    <t>50,16</t>
  </si>
  <si>
    <t>47,41</t>
  </si>
  <si>
    <t>46,02</t>
  </si>
  <si>
    <t>11,99</t>
  </si>
  <si>
    <t>41,80</t>
  </si>
  <si>
    <t>9,97</t>
  </si>
  <si>
    <t>146,25</t>
  </si>
  <si>
    <t>126,07</t>
  </si>
  <si>
    <t>12,92</t>
  </si>
  <si>
    <t>99,69</t>
  </si>
  <si>
    <t>79,60</t>
  </si>
  <si>
    <t>15,83</t>
  </si>
  <si>
    <t>23,54</t>
  </si>
  <si>
    <t>6,70</t>
  </si>
  <si>
    <t>7,58</t>
  </si>
  <si>
    <t>12,01</t>
  </si>
  <si>
    <t>10,20</t>
  </si>
  <si>
    <t>7,65</t>
  </si>
  <si>
    <t>9,99</t>
  </si>
  <si>
    <t>5,93</t>
  </si>
  <si>
    <t>10,93</t>
  </si>
  <si>
    <t>8,08</t>
  </si>
  <si>
    <t>8,64</t>
  </si>
  <si>
    <t>13,21</t>
  </si>
  <si>
    <t>13,88</t>
  </si>
  <si>
    <t>4,66</t>
  </si>
  <si>
    <t>14,72</t>
  </si>
  <si>
    <t>10,07</t>
  </si>
  <si>
    <t>22,46</t>
  </si>
  <si>
    <t>18,44</t>
  </si>
  <si>
    <t>27,49</t>
  </si>
  <si>
    <t>43,54</t>
  </si>
  <si>
    <t>14,77</t>
  </si>
  <si>
    <t>22,08</t>
  </si>
  <si>
    <t>15,53</t>
  </si>
  <si>
    <t>21,17</t>
  </si>
  <si>
    <t>76,96</t>
  </si>
  <si>
    <t>16,66</t>
  </si>
  <si>
    <t>12,42</t>
  </si>
  <si>
    <t>25,61</t>
  </si>
  <si>
    <t>38,62</t>
  </si>
  <si>
    <t>11,08</t>
  </si>
  <si>
    <t>14,85</t>
  </si>
  <si>
    <t>20,98</t>
  </si>
  <si>
    <t>19,27</t>
  </si>
  <si>
    <t>14,67</t>
  </si>
  <si>
    <t>35,92</t>
  </si>
  <si>
    <t>85,47</t>
  </si>
  <si>
    <t>87,38</t>
  </si>
  <si>
    <t>100,94</t>
  </si>
  <si>
    <t>103,51</t>
  </si>
  <si>
    <t>9,37</t>
  </si>
  <si>
    <t>25,50</t>
  </si>
  <si>
    <t>33,54</t>
  </si>
  <si>
    <t>4,88</t>
  </si>
  <si>
    <t>9,68</t>
  </si>
  <si>
    <t>10,35</t>
  </si>
  <si>
    <t>9,83</t>
  </si>
  <si>
    <t>10,41</t>
  </si>
  <si>
    <t>26,49</t>
  </si>
  <si>
    <t>13,35</t>
  </si>
  <si>
    <t>13,31</t>
  </si>
  <si>
    <t>22,40</t>
  </si>
  <si>
    <t>4,73</t>
  </si>
  <si>
    <t>9,61</t>
  </si>
  <si>
    <t>14,63</t>
  </si>
  <si>
    <t>20,27</t>
  </si>
  <si>
    <t>8,34</t>
  </si>
  <si>
    <t>15,76</t>
  </si>
  <si>
    <t>12,09</t>
  </si>
  <si>
    <t>19,59</t>
  </si>
  <si>
    <t>77,93</t>
  </si>
  <si>
    <t>28,83</t>
  </si>
  <si>
    <t>18,41</t>
  </si>
  <si>
    <t>92,80</t>
  </si>
  <si>
    <t>20,44</t>
  </si>
  <si>
    <t>23,14</t>
  </si>
  <si>
    <t>26,88</t>
  </si>
  <si>
    <t>20,63</t>
  </si>
  <si>
    <t>125,20</t>
  </si>
  <si>
    <t>69,85</t>
  </si>
  <si>
    <t>91,90</t>
  </si>
  <si>
    <t>81,33</t>
  </si>
  <si>
    <t>134,34</t>
  </si>
  <si>
    <t>23,81</t>
  </si>
  <si>
    <t>45,68</t>
  </si>
  <si>
    <t>99,10</t>
  </si>
  <si>
    <t>122,12</t>
  </si>
  <si>
    <t>18,01</t>
  </si>
  <si>
    <t>27,10</t>
  </si>
  <si>
    <t>43,15</t>
  </si>
  <si>
    <t>56,05</t>
  </si>
  <si>
    <t>59,29</t>
  </si>
  <si>
    <t>20,58</t>
  </si>
  <si>
    <t>55,72</t>
  </si>
  <si>
    <t>29,41</t>
  </si>
  <si>
    <t>33,15</t>
  </si>
  <si>
    <t>61,55</t>
  </si>
  <si>
    <t>124,04</t>
  </si>
  <si>
    <t>4,10</t>
  </si>
  <si>
    <t>4,67</t>
  </si>
  <si>
    <t>19,41</t>
  </si>
  <si>
    <t>16,58</t>
  </si>
  <si>
    <t>11,26</t>
  </si>
  <si>
    <t>11,43</t>
  </si>
  <si>
    <t>29,45</t>
  </si>
  <si>
    <t>44,15</t>
  </si>
  <si>
    <t>67,06</t>
  </si>
  <si>
    <t>205,01</t>
  </si>
  <si>
    <t>6,68</t>
  </si>
  <si>
    <t>10,65</t>
  </si>
  <si>
    <t>19,19</t>
  </si>
  <si>
    <t>25,37</t>
  </si>
  <si>
    <t>38,84</t>
  </si>
  <si>
    <t>106,53</t>
  </si>
  <si>
    <t>41,77</t>
  </si>
  <si>
    <t>54,91</t>
  </si>
  <si>
    <t>99,07</t>
  </si>
  <si>
    <t>253,29</t>
  </si>
  <si>
    <t>8,94</t>
  </si>
  <si>
    <t>12,30</t>
  </si>
  <si>
    <t>12,12</t>
  </si>
  <si>
    <t>18,38</t>
  </si>
  <si>
    <t>25,30</t>
  </si>
  <si>
    <t>16,15</t>
  </si>
  <si>
    <t>23,69</t>
  </si>
  <si>
    <t>9,84</t>
  </si>
  <si>
    <t>21,38</t>
  </si>
  <si>
    <t>30,64</t>
  </si>
  <si>
    <t>44,36</t>
  </si>
  <si>
    <t>44,34</t>
  </si>
  <si>
    <t>62,03</t>
  </si>
  <si>
    <t>76,72</t>
  </si>
  <si>
    <t>81,57</t>
  </si>
  <si>
    <t>66,01</t>
  </si>
  <si>
    <t>95,23</t>
  </si>
  <si>
    <t>89,91</t>
  </si>
  <si>
    <t>123,34</t>
  </si>
  <si>
    <t>113,07</t>
  </si>
  <si>
    <t>86,41</t>
  </si>
  <si>
    <t>122,59</t>
  </si>
  <si>
    <t>149,82</t>
  </si>
  <si>
    <t>25,56</t>
  </si>
  <si>
    <t>26,54</t>
  </si>
  <si>
    <t>30,22</t>
  </si>
  <si>
    <t>31,13</t>
  </si>
  <si>
    <t>35,33</t>
  </si>
  <si>
    <t>44,32</t>
  </si>
  <si>
    <t>44,30</t>
  </si>
  <si>
    <t>57,92</t>
  </si>
  <si>
    <t>63,36</t>
  </si>
  <si>
    <t>84,32</t>
  </si>
  <si>
    <t>37,30</t>
  </si>
  <si>
    <t>47,15</t>
  </si>
  <si>
    <t>44,57</t>
  </si>
  <si>
    <t>51,76</t>
  </si>
  <si>
    <t>65,92</t>
  </si>
  <si>
    <t>64,71</t>
  </si>
  <si>
    <t>97,27</t>
  </si>
  <si>
    <t>91,95</t>
  </si>
  <si>
    <t>127,46</t>
  </si>
  <si>
    <t>117,19</t>
  </si>
  <si>
    <t>50,23</t>
  </si>
  <si>
    <t>59,78</t>
  </si>
  <si>
    <t>68,37</t>
  </si>
  <si>
    <t>86,30</t>
  </si>
  <si>
    <t>125,26</t>
  </si>
  <si>
    <t>155,32</t>
  </si>
  <si>
    <t>18,16</t>
  </si>
  <si>
    <t>19,14</t>
  </si>
  <si>
    <t>21,79</t>
  </si>
  <si>
    <t>22,70</t>
  </si>
  <si>
    <t>25,54</t>
  </si>
  <si>
    <t>25,72</t>
  </si>
  <si>
    <t>33,26</t>
  </si>
  <si>
    <t>44,66</t>
  </si>
  <si>
    <t>50,10</t>
  </si>
  <si>
    <t>68,91</t>
  </si>
  <si>
    <t>27,46</t>
  </si>
  <si>
    <t>26,16</t>
  </si>
  <si>
    <t>34,52</t>
  </si>
  <si>
    <t>31,94</t>
  </si>
  <si>
    <t>39,15</t>
  </si>
  <si>
    <t>37,37</t>
  </si>
  <si>
    <t>49,38</t>
  </si>
  <si>
    <t>77,43</t>
  </si>
  <si>
    <t>72,11</t>
  </si>
  <si>
    <t>104,36</t>
  </si>
  <si>
    <t>94,09</t>
  </si>
  <si>
    <t>35,38</t>
  </si>
  <si>
    <t>42,87</t>
  </si>
  <si>
    <t>64,21</t>
  </si>
  <si>
    <t>98,83</t>
  </si>
  <si>
    <t>124,49</t>
  </si>
  <si>
    <t>10,14</t>
  </si>
  <si>
    <t>25,25</t>
  </si>
  <si>
    <t>26,23</t>
  </si>
  <si>
    <t>13,96</t>
  </si>
  <si>
    <t>24,20</t>
  </si>
  <si>
    <t>38,16</t>
  </si>
  <si>
    <t>18,79</t>
  </si>
  <si>
    <t>30,65</t>
  </si>
  <si>
    <t>79,69</t>
  </si>
  <si>
    <t>117,35</t>
  </si>
  <si>
    <t>168,65</t>
  </si>
  <si>
    <t>37,06</t>
  </si>
  <si>
    <t>50,68</t>
  </si>
  <si>
    <t>59,87</t>
  </si>
  <si>
    <t>79,65</t>
  </si>
  <si>
    <t>118,68</t>
  </si>
  <si>
    <t>171,40</t>
  </si>
  <si>
    <t>29,66</t>
  </si>
  <si>
    <t>42,25</t>
  </si>
  <si>
    <t>50,26</t>
  </si>
  <si>
    <t>68,59</t>
  </si>
  <si>
    <t>105,42</t>
  </si>
  <si>
    <t>155,99</t>
  </si>
  <si>
    <t>28,88</t>
  </si>
  <si>
    <t>36,75</t>
  </si>
  <si>
    <t>46,40</t>
  </si>
  <si>
    <t>64,33</t>
  </si>
  <si>
    <t>83,30</t>
  </si>
  <si>
    <t>85,58</t>
  </si>
  <si>
    <t>26,46</t>
  </si>
  <si>
    <t>26,59</t>
  </si>
  <si>
    <t>31,86</t>
  </si>
  <si>
    <t>31,85</t>
  </si>
  <si>
    <t>36,08</t>
  </si>
  <si>
    <t>46,36</t>
  </si>
  <si>
    <t>65,66</t>
  </si>
  <si>
    <t>88,33</t>
  </si>
  <si>
    <t>23,43</t>
  </si>
  <si>
    <t>23,42</t>
  </si>
  <si>
    <t>26,47</t>
  </si>
  <si>
    <t>72,92</t>
  </si>
  <si>
    <t>16,92</t>
  </si>
  <si>
    <t>297,53</t>
  </si>
  <si>
    <t>26,64</t>
  </si>
  <si>
    <t>327,26</t>
  </si>
  <si>
    <t>18,36</t>
  </si>
  <si>
    <t>45,98</t>
  </si>
  <si>
    <t>16,88</t>
  </si>
  <si>
    <t>374,86</t>
  </si>
  <si>
    <t>29,29</t>
  </si>
  <si>
    <t>27,52</t>
  </si>
  <si>
    <t>470,45</t>
  </si>
  <si>
    <t>43,11</t>
  </si>
  <si>
    <t>37,93</t>
  </si>
  <si>
    <t>651,79</t>
  </si>
  <si>
    <t>859,74</t>
  </si>
  <si>
    <t>48,87</t>
  </si>
  <si>
    <t>8,92</t>
  </si>
  <si>
    <t>13,85</t>
  </si>
  <si>
    <t>13,72</t>
  </si>
  <si>
    <t>5,85</t>
  </si>
  <si>
    <t>257,65</t>
  </si>
  <si>
    <t>9,10</t>
  </si>
  <si>
    <t>8,59</t>
  </si>
  <si>
    <t>299,20</t>
  </si>
  <si>
    <t>15,28</t>
  </si>
  <si>
    <t>28,31</t>
  </si>
  <si>
    <t>328,91</t>
  </si>
  <si>
    <t>47,63</t>
  </si>
  <si>
    <t>36,99</t>
  </si>
  <si>
    <t>52,16</t>
  </si>
  <si>
    <t>21,52</t>
  </si>
  <si>
    <t>22,97</t>
  </si>
  <si>
    <t>20,72</t>
  </si>
  <si>
    <t>6,02</t>
  </si>
  <si>
    <t>14,76</t>
  </si>
  <si>
    <t>257,82</t>
  </si>
  <si>
    <t>10,59</t>
  </si>
  <si>
    <t>300,69</t>
  </si>
  <si>
    <t>50,32</t>
  </si>
  <si>
    <t>331,60</t>
  </si>
  <si>
    <t>37,23</t>
  </si>
  <si>
    <t>55,16</t>
  </si>
  <si>
    <t>16,80</t>
  </si>
  <si>
    <t>18,25</t>
  </si>
  <si>
    <t>16,22</t>
  </si>
  <si>
    <t>34,40</t>
  </si>
  <si>
    <t>53,46</t>
  </si>
  <si>
    <t>77,36</t>
  </si>
  <si>
    <t>169,18</t>
  </si>
  <si>
    <t>13,76</t>
  </si>
  <si>
    <t>32,65</t>
  </si>
  <si>
    <t>32,67</t>
  </si>
  <si>
    <t>47,99</t>
  </si>
  <si>
    <t>42,55</t>
  </si>
  <si>
    <t>68,81</t>
  </si>
  <si>
    <t>63,96</t>
  </si>
  <si>
    <t>47,30</t>
  </si>
  <si>
    <t>48,51</t>
  </si>
  <si>
    <t>68,97</t>
  </si>
  <si>
    <t>74,29</t>
  </si>
  <si>
    <t>93,96</t>
  </si>
  <si>
    <t>104,23</t>
  </si>
  <si>
    <t>94,58</t>
  </si>
  <si>
    <t>124,22</t>
  </si>
  <si>
    <t>116,02</t>
  </si>
  <si>
    <t>170,24</t>
  </si>
  <si>
    <t>236,52</t>
  </si>
  <si>
    <t>84,19</t>
  </si>
  <si>
    <t>94,49</t>
  </si>
  <si>
    <t>219,63</t>
  </si>
  <si>
    <t>183,80</t>
  </si>
  <si>
    <t>216,55</t>
  </si>
  <si>
    <t>484,58</t>
  </si>
  <si>
    <t>122,14</t>
  </si>
  <si>
    <t>272,80</t>
  </si>
  <si>
    <t>410,50</t>
  </si>
  <si>
    <t>841,61</t>
  </si>
  <si>
    <t>4,93</t>
  </si>
  <si>
    <t>5,70</t>
  </si>
  <si>
    <t>5,77</t>
  </si>
  <si>
    <t>9,53</t>
  </si>
  <si>
    <t>9,90</t>
  </si>
  <si>
    <t>20,91</t>
  </si>
  <si>
    <t>20,90</t>
  </si>
  <si>
    <t>24,94</t>
  </si>
  <si>
    <t>42,85</t>
  </si>
  <si>
    <t>56,96</t>
  </si>
  <si>
    <t>78,93</t>
  </si>
  <si>
    <t>11,10</t>
  </si>
  <si>
    <t>12,71</t>
  </si>
  <si>
    <t>18,06</t>
  </si>
  <si>
    <t>20,07</t>
  </si>
  <si>
    <t>33,68</t>
  </si>
  <si>
    <t>43,34</t>
  </si>
  <si>
    <t>83,35</t>
  </si>
  <si>
    <t>55,01</t>
  </si>
  <si>
    <t>108,19</t>
  </si>
  <si>
    <t>84,60</t>
  </si>
  <si>
    <t>197,13</t>
  </si>
  <si>
    <t>161,57</t>
  </si>
  <si>
    <t>11,51</t>
  </si>
  <si>
    <t>12,58</t>
  </si>
  <si>
    <t>44,02</t>
  </si>
  <si>
    <t>66,32</t>
  </si>
  <si>
    <t>58,48</t>
  </si>
  <si>
    <t>112,05</t>
  </si>
  <si>
    <t>96,00</t>
  </si>
  <si>
    <t>162,96</t>
  </si>
  <si>
    <t>154,75</t>
  </si>
  <si>
    <t>14,95</t>
  </si>
  <si>
    <t>21,15</t>
  </si>
  <si>
    <t>30,68</t>
  </si>
  <si>
    <t>37,60</t>
  </si>
  <si>
    <t>19,71</t>
  </si>
  <si>
    <t>24,62</t>
  </si>
  <si>
    <t>58,65</t>
  </si>
  <si>
    <t>147,47</t>
  </si>
  <si>
    <t>198,68</t>
  </si>
  <si>
    <t>272,94</t>
  </si>
  <si>
    <t>14,30</t>
  </si>
  <si>
    <t>4,62</t>
  </si>
  <si>
    <t>76,48</t>
  </si>
  <si>
    <t>92,44</t>
  </si>
  <si>
    <t>11,73</t>
  </si>
  <si>
    <t>22,20</t>
  </si>
  <si>
    <t>84,71</t>
  </si>
  <si>
    <t>9,54</t>
  </si>
  <si>
    <t>14,64</t>
  </si>
  <si>
    <t>39,29</t>
  </si>
  <si>
    <t>85,90</t>
  </si>
  <si>
    <t>108,70</t>
  </si>
  <si>
    <t>25,22</t>
  </si>
  <si>
    <t>49,83</t>
  </si>
  <si>
    <t>131,65</t>
  </si>
  <si>
    <t>42,81</t>
  </si>
  <si>
    <t>181,79</t>
  </si>
  <si>
    <t>209,73</t>
  </si>
  <si>
    <t>292,40</t>
  </si>
  <si>
    <t>69,80</t>
  </si>
  <si>
    <t>23,46</t>
  </si>
  <si>
    <t>44,99</t>
  </si>
  <si>
    <t>31,87</t>
  </si>
  <si>
    <t>10,85</t>
  </si>
  <si>
    <t>7,77</t>
  </si>
  <si>
    <t>17,92</t>
  </si>
  <si>
    <t>14,29</t>
  </si>
  <si>
    <t>14,87</t>
  </si>
  <si>
    <t>36,13</t>
  </si>
  <si>
    <t>8,24</t>
  </si>
  <si>
    <t>15,84</t>
  </si>
  <si>
    <t>26,13</t>
  </si>
  <si>
    <t>25,73</t>
  </si>
  <si>
    <t>15,96</t>
  </si>
  <si>
    <t>10,72</t>
  </si>
  <si>
    <t>27,65</t>
  </si>
  <si>
    <t>10,87</t>
  </si>
  <si>
    <t>21,25</t>
  </si>
  <si>
    <t>36,50</t>
  </si>
  <si>
    <t>5,65</t>
  </si>
  <si>
    <t>5,61</t>
  </si>
  <si>
    <t>25,26</t>
  </si>
  <si>
    <t>57,26</t>
  </si>
  <si>
    <t>55,69</t>
  </si>
  <si>
    <t>86,05</t>
  </si>
  <si>
    <t>128,70</t>
  </si>
  <si>
    <t>3,90</t>
  </si>
  <si>
    <t>4,08</t>
  </si>
  <si>
    <t>9,17</t>
  </si>
  <si>
    <t>18,07</t>
  </si>
  <si>
    <t>36,85</t>
  </si>
  <si>
    <t>57,91</t>
  </si>
  <si>
    <t>91,28</t>
  </si>
  <si>
    <t>4,95</t>
  </si>
  <si>
    <t>14,39</t>
  </si>
  <si>
    <t>62,20</t>
  </si>
  <si>
    <t>93,17</t>
  </si>
  <si>
    <t>146,31</t>
  </si>
  <si>
    <t>4,43</t>
  </si>
  <si>
    <t>4,99</t>
  </si>
  <si>
    <t>15,14</t>
  </si>
  <si>
    <t>9,74</t>
  </si>
  <si>
    <t>14,80</t>
  </si>
  <si>
    <t>18,82</t>
  </si>
  <si>
    <t>39,59</t>
  </si>
  <si>
    <t>57,24</t>
  </si>
  <si>
    <t>91,24</t>
  </si>
  <si>
    <t>7,03</t>
  </si>
  <si>
    <t>9,49</t>
  </si>
  <si>
    <t>21,72</t>
  </si>
  <si>
    <t>27,68</t>
  </si>
  <si>
    <t>61,38</t>
  </si>
  <si>
    <t>85,03</t>
  </si>
  <si>
    <t>128,66</t>
  </si>
  <si>
    <t>12,74</t>
  </si>
  <si>
    <t>35,14</t>
  </si>
  <si>
    <t>67,65</t>
  </si>
  <si>
    <t>146,24</t>
  </si>
  <si>
    <t>195,87</t>
  </si>
  <si>
    <t>101,14</t>
  </si>
  <si>
    <t>182,54</t>
  </si>
  <si>
    <t>203,32</t>
  </si>
  <si>
    <t>99,86</t>
  </si>
  <si>
    <t>167,46</t>
  </si>
  <si>
    <t>9,82</t>
  </si>
  <si>
    <t>13,00</t>
  </si>
  <si>
    <t>12,23</t>
  </si>
  <si>
    <t>18,93</t>
  </si>
  <si>
    <t>17,72</t>
  </si>
  <si>
    <t>31,50</t>
  </si>
  <si>
    <t>27,06</t>
  </si>
  <si>
    <t>27,40</t>
  </si>
  <si>
    <t>16,98</t>
  </si>
  <si>
    <t>15,59</t>
  </si>
  <si>
    <t>16,14</t>
  </si>
  <si>
    <t>20,06</t>
  </si>
  <si>
    <t>15,57</t>
  </si>
  <si>
    <t>22,41</t>
  </si>
  <si>
    <t>18,45</t>
  </si>
  <si>
    <t>19,89</t>
  </si>
  <si>
    <t>32,46</t>
  </si>
  <si>
    <t>28,22</t>
  </si>
  <si>
    <t>29,98</t>
  </si>
  <si>
    <t>16,94</t>
  </si>
  <si>
    <t>15,45</t>
  </si>
  <si>
    <t>19,82</t>
  </si>
  <si>
    <t>17,54</t>
  </si>
  <si>
    <t>21,12</t>
  </si>
  <si>
    <t>28,23</t>
  </si>
  <si>
    <t>30,43</t>
  </si>
  <si>
    <t>26,58</t>
  </si>
  <si>
    <t>39,33</t>
  </si>
  <si>
    <t>14,45</t>
  </si>
  <si>
    <t>16,72</t>
  </si>
  <si>
    <t>21,81</t>
  </si>
  <si>
    <t>19,08</t>
  </si>
  <si>
    <t>21,30</t>
  </si>
  <si>
    <t>25,24</t>
  </si>
  <si>
    <t>23,96</t>
  </si>
  <si>
    <t>37,28</t>
  </si>
  <si>
    <t>38,01</t>
  </si>
  <si>
    <t>19,90</t>
  </si>
  <si>
    <t>21,34</t>
  </si>
  <si>
    <t>23,72</t>
  </si>
  <si>
    <t>36,72</t>
  </si>
  <si>
    <t>48,03</t>
  </si>
  <si>
    <t>55,29</t>
  </si>
  <si>
    <t>41,17</t>
  </si>
  <si>
    <t>57,34</t>
  </si>
  <si>
    <t>65,35</t>
  </si>
  <si>
    <t>69,92</t>
  </si>
  <si>
    <t>82,80</t>
  </si>
  <si>
    <t>139,20</t>
  </si>
  <si>
    <t>148,56</t>
  </si>
  <si>
    <t>150,30</t>
  </si>
  <si>
    <t>151,84</t>
  </si>
  <si>
    <t>172,78</t>
  </si>
  <si>
    <t>182,26</t>
  </si>
  <si>
    <t>38,50</t>
  </si>
  <si>
    <t>28,35</t>
  </si>
  <si>
    <t>31,75</t>
  </si>
  <si>
    <t>62,10</t>
  </si>
  <si>
    <t>63,17</t>
  </si>
  <si>
    <t>72,57</t>
  </si>
  <si>
    <t>74,62</t>
  </si>
  <si>
    <t>82,99</t>
  </si>
  <si>
    <t>85,20</t>
  </si>
  <si>
    <t>93,07</t>
  </si>
  <si>
    <t>111,29</t>
  </si>
  <si>
    <t>123,07</t>
  </si>
  <si>
    <t>71,88</t>
  </si>
  <si>
    <t>147,33</t>
  </si>
  <si>
    <t>177,71</t>
  </si>
  <si>
    <t>123,36</t>
  </si>
  <si>
    <t>191,10</t>
  </si>
  <si>
    <t>201,28</t>
  </si>
  <si>
    <t>415,44</t>
  </si>
  <si>
    <t>369,75</t>
  </si>
  <si>
    <t>181,59</t>
  </si>
  <si>
    <t>300,53</t>
  </si>
  <si>
    <t>453,11</t>
  </si>
  <si>
    <t>22,45</t>
  </si>
  <si>
    <t>40,43</t>
  </si>
  <si>
    <t>47,48</t>
  </si>
  <si>
    <t>58,74</t>
  </si>
  <si>
    <t>69,89</t>
  </si>
  <si>
    <t>104,63</t>
  </si>
  <si>
    <t>127,18</t>
  </si>
  <si>
    <t>138,68</t>
  </si>
  <si>
    <t>169,06</t>
  </si>
  <si>
    <t>51,37</t>
  </si>
  <si>
    <t>71,18</t>
  </si>
  <si>
    <t>97,32</t>
  </si>
  <si>
    <t>103,69</t>
  </si>
  <si>
    <t>174,77</t>
  </si>
  <si>
    <t>184,95</t>
  </si>
  <si>
    <t>402,43</t>
  </si>
  <si>
    <t>356,74</t>
  </si>
  <si>
    <t>54,62</t>
  </si>
  <si>
    <t>79,15</t>
  </si>
  <si>
    <t>101,80</t>
  </si>
  <si>
    <t>155,30</t>
  </si>
  <si>
    <t>278,72</t>
  </si>
  <si>
    <t>435,80</t>
  </si>
  <si>
    <t>20,33</t>
  </si>
  <si>
    <t>27,96</t>
  </si>
  <si>
    <t>33,67</t>
  </si>
  <si>
    <t>34,89</t>
  </si>
  <si>
    <t>41,94</t>
  </si>
  <si>
    <t>50,89</t>
  </si>
  <si>
    <t>62,04</t>
  </si>
  <si>
    <t>93,35</t>
  </si>
  <si>
    <t>123,85</t>
  </si>
  <si>
    <t>154,23</t>
  </si>
  <si>
    <t>45,77</t>
  </si>
  <si>
    <t>62,83</t>
  </si>
  <si>
    <t>85,54</t>
  </si>
  <si>
    <t>91,91</t>
  </si>
  <si>
    <t>157,77</t>
  </si>
  <si>
    <t>167,95</t>
  </si>
  <si>
    <t>380,26</t>
  </si>
  <si>
    <t>334,57</t>
  </si>
  <si>
    <t>50,45</t>
  </si>
  <si>
    <t>71,68</t>
  </si>
  <si>
    <t>90,66</t>
  </si>
  <si>
    <t>139,61</t>
  </si>
  <si>
    <t>259,42</t>
  </si>
  <si>
    <t>406,20</t>
  </si>
  <si>
    <t>15,75</t>
  </si>
  <si>
    <t>19,22</t>
  </si>
  <si>
    <t>36,84</t>
  </si>
  <si>
    <t>33,57</t>
  </si>
  <si>
    <t>22,26</t>
  </si>
  <si>
    <t>57,54</t>
  </si>
  <si>
    <t>47,33</t>
  </si>
  <si>
    <t>83,52</t>
  </si>
  <si>
    <t>11,55</t>
  </si>
  <si>
    <t>230,23</t>
  </si>
  <si>
    <t>309,21</t>
  </si>
  <si>
    <t>783,55</t>
  </si>
  <si>
    <t>643,25</t>
  </si>
  <si>
    <t>146,56</t>
  </si>
  <si>
    <t>232,51</t>
  </si>
  <si>
    <t>457,09</t>
  </si>
  <si>
    <t>631,57</t>
  </si>
  <si>
    <t>743,12</t>
  </si>
  <si>
    <t>188,58</t>
  </si>
  <si>
    <t>351,22</t>
  </si>
  <si>
    <t>496,46</t>
  </si>
  <si>
    <t>583,26</t>
  </si>
  <si>
    <t>79,66</t>
  </si>
  <si>
    <t>167,13</t>
  </si>
  <si>
    <t>307,71</t>
  </si>
  <si>
    <t>533,67</t>
  </si>
  <si>
    <t>881,80</t>
  </si>
  <si>
    <t>225,33</t>
  </si>
  <si>
    <t>400,85</t>
  </si>
  <si>
    <t>227,06</t>
  </si>
  <si>
    <t>444,86</t>
  </si>
  <si>
    <t>614,80</t>
  </si>
  <si>
    <t>721,42</t>
  </si>
  <si>
    <t>184,08</t>
  </si>
  <si>
    <t>343,51</t>
  </si>
  <si>
    <t>485,47</t>
  </si>
  <si>
    <t>568,40</t>
  </si>
  <si>
    <t>50,59</t>
  </si>
  <si>
    <t>57,03</t>
  </si>
  <si>
    <t>9,57</t>
  </si>
  <si>
    <t>9,39</t>
  </si>
  <si>
    <t>TANQUE DE LOUÇA BRANCA COM COLUNA, 30L OU EQUIVALENTE - FORNECIMENTO E INSTALAÇÃO. AF_01/2020</t>
  </si>
  <si>
    <t>612,35</t>
  </si>
  <si>
    <t>TANQUE DE LOUÇA BRANCA SUSPENSO, 18L OU EQUIVALENTE - FORNECIMENTO E INSTALAÇÃO. AF_01/2020</t>
  </si>
  <si>
    <t>375,21</t>
  </si>
  <si>
    <t>TANQUE DE MÁRMORE SINTÉTICO COM COLUNA, 22L OU EQUIVALENTE   FORNECIMENTO E INSTALAÇÃO. AF_01/2020</t>
  </si>
  <si>
    <t>332,27</t>
  </si>
  <si>
    <t>TANQUE DE MÁRMORE SINTÉTICO SUSPENSO, 22L OU EQUIVALENTE - FORNECIMENTO E INSTALAÇÃO. AF_01/2020</t>
  </si>
  <si>
    <t>191,68</t>
  </si>
  <si>
    <t>VÁLVULA EM METAL CROMADO 1.1/2 X 1.1/2 PARA TANQUE OU LAVATÓRIO, COM OU SEM LADRÃO - FORNECIMENTO E INSTALAÇÃO. AF_01/2020</t>
  </si>
  <si>
    <t>25,19</t>
  </si>
  <si>
    <t>VÁLVULA EM METAL CROMADO TIPO AMERICANA 3.1/2 X 1.1/2 PARA PIA - FORNECIMENTO E INSTALAÇÃO. AF_01/2020</t>
  </si>
  <si>
    <t>39,78</t>
  </si>
  <si>
    <t>VÁLVULA EM PLÁSTICO 1 PARA PIA, TANQUE OU LAVATÓRIO, COM OU SEM LADRÃO - FORNECIMENTO E INSTALAÇÃO. AF_01/2020</t>
  </si>
  <si>
    <t>VÁLVULA EM PLÁSTICO CROMADO TIPO AMERICANA 3.1/2 X 1.1/2 SEM ADAPTADOR PARA PIA - FORNECIMENTO E INSTALAÇÃO. AF_01/2020</t>
  </si>
  <si>
    <t>15,80</t>
  </si>
  <si>
    <t>SIFÃO DO TIPO GARRAFA EM METAL CROMADO 1 X 1.1/2 - FORNECIMENTO E INSTALAÇÃO. AF_01/2020</t>
  </si>
  <si>
    <t>109,70</t>
  </si>
  <si>
    <t>SIFÃO DO TIPO GARRAFA/COPO EM PVC 1.1/4  X 1.1/2 - FORNECIMENTO E INSTALAÇÃO. AF_01/2020</t>
  </si>
  <si>
    <t>16,23</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</si>
  <si>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</si>
  <si>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</si>
  <si>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</si>
  <si>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</si>
  <si>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</si>
  <si>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</si>
  <si>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359,67</t>
  </si>
  <si>
    <t>BANCADA DE GRANITO CINZA POLIDO PARA PIA DE COZINHA 1,50 X 0,60 M - FORNECIMENTO E INSTALAÇÃO. AF_01/2020</t>
  </si>
  <si>
    <t>588,89</t>
  </si>
  <si>
    <t>BANCADA DE MÁRMORE BRANCO POLIDO PARA PIA DE COZINHA 1,50 X 0,60 M - FORNECIMENTO E INSTALAÇÃO. AF_01/2020</t>
  </si>
  <si>
    <t>330,05</t>
  </si>
  <si>
    <t>BANCADA DE MÁRMORE SINTÉTICO 120 X 60CM, COM CUBA INTEGRADA - FORNECIMENTO E INSTALAÇÃO. AF_01/2020</t>
  </si>
  <si>
    <t>185,36</t>
  </si>
  <si>
    <t>BANCADA DE GRANITO CINZA POLIDO PARA LAVATÓRIO 0,50 X 0,60 M - FORNECIMENTO E INSTALAÇÃO. AF_01/2020</t>
  </si>
  <si>
    <t>275,66</t>
  </si>
  <si>
    <t>BANCADA DE MÁRMORE BRANCO POLIDO PARA LAVATÓRIO 0,50 X 0,60 M - FORNECIMENTO E INSTALAÇÃO. AF_01/2020</t>
  </si>
  <si>
    <t>178,57</t>
  </si>
  <si>
    <t>CUBA DE EMBUTIR RETANGULAR DE AÇO INOXIDÁVEL, 46 X 30 X 12 CM - FORNECIMENTO E INSTALAÇÃO. AF_01/2020</t>
  </si>
  <si>
    <t>154,08</t>
  </si>
  <si>
    <t>CUBA DE EMBUTIR OVAL EM LOUÇA BRANCA, 35 X 50CM OU EQUIVALENTE - FORNECIMENTO E INSTALAÇÃO. AF_01/2020</t>
  </si>
  <si>
    <t>108,51</t>
  </si>
  <si>
    <t>LAVATÓRIO LOUÇA BRANCA COM COLUNA, *44 X 35,5* CM, PADRÃO POPULAR - FORNECIMENTO E INSTALAÇÃO. AF_01/2020</t>
  </si>
  <si>
    <t>213,93</t>
  </si>
  <si>
    <t>LAVATÓRIO LOUÇA BRANCA COM COLUNA, 45 X 55CM OU EQUIVALENTE, PADRÃO MÉDIO - FORNECIMENTO E INSTALAÇÃO. AF_01/2020</t>
  </si>
  <si>
    <t>281,44</t>
  </si>
  <si>
    <t>LAVATÓRIO LOUÇA BRANCA SUSPENSO, 29,5 X 39CM OU EQUIVALENTE, PADRÃO POPULAR - FORNECIMENTO E INSTALAÇÃO. AF_01/2020</t>
  </si>
  <si>
    <t>109,01</t>
  </si>
  <si>
    <t>APARELHO MISTURADOR DE MESA PARA LAVATÓRIO, PADRÃO MÉDIO - FORNECIMENTO E INSTALAÇÃO. AF_01/2020</t>
  </si>
  <si>
    <t>TORNEIRA CROMADA DE MESA, 1/2 OU 3/4, PARA LAVATÓRIO, PADRÃO POPULAR - FORNECIMENTO E INSTALAÇÃO. AF_01/2020</t>
  </si>
  <si>
    <t>47,58</t>
  </si>
  <si>
    <t>APARELHO MISTURADOR DE MESA PARA PIA DE COZINHA, PADRÃO MÉDIO - FORNECIMENTO E INSTALAÇÃO. AF_01/2020</t>
  </si>
  <si>
    <t>243,54</t>
  </si>
  <si>
    <t>TORNEIRA CROMADA TUBO MÓVEL, DE MESA, 1/2 OU 3/4, PARA PIA DE COZINHA, PADRÃO ALTO - FORNECIMENTO E INSTALAÇÃO. AF_01/2020</t>
  </si>
  <si>
    <t>95,14</t>
  </si>
  <si>
    <t>TORNEIRA CROMADA TUBO MÓVEL, DE PAREDE, 1/2 OU 3/4, PARA PIA DE COZINHA, PADRÃO MÉDIO - FORNECIMENTO E INSTALAÇÃO. AF_01/2020</t>
  </si>
  <si>
    <t>89,66</t>
  </si>
  <si>
    <t>TORNEIRA CROMADA LONGA, DE PAREDE, 1/2 OU 3/4, PARA PIA DE COZINHA, PADRÃO POPULAR - FORNECIMENTO E INSTALAÇÃO. AF_01/2020</t>
  </si>
  <si>
    <t>40,41</t>
  </si>
  <si>
    <t>TORNEIRA CROMADA 1/2 OU 3/4 PARA TANQUE, PADRÃO POPULAR - FORNECIMENTO E INSTALAÇÃO. AF_01/2020</t>
  </si>
  <si>
    <t>TORNEIRA CROMADA 1/2 OU 3/4 PARA TANQUE, PADRÃO MÉDIO - FORNECIMENTO E INSTALAÇÃO. AF_01/2020</t>
  </si>
  <si>
    <t>37,01</t>
  </si>
  <si>
    <t>TORNEIRA CROMADA DE MESA, 1/2 OU 3/4, PARA LAVATÓRIO, PADRÃO MÉDIO - FORNECIMENTO E INSTALAÇÃO. AF_01/2020</t>
  </si>
  <si>
    <t>79,92</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</si>
  <si>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</si>
  <si>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</si>
  <si>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683,86</t>
  </si>
  <si>
    <t>TANQUE DE LOUÇA BRANCA COM COLUNA, 30L OU EQUIVALENTE, INCLUSO SIFÃO FLEXÍVEL EM PVC, VÁLVULA PLÁSTICA E TORNEIRA DE METAL CROMADO PADRÃO POPULAR - FORNECIMENTO E INSTALAÇÃO. AF_01/2020</t>
  </si>
  <si>
    <t>646,01</t>
  </si>
  <si>
    <t>TANQUE DE LOUÇA BRANCA COM COLUNA, 30L OU EQUIVALENTE, INCLUSO SIFÃO FLEXÍVEL EM PVC, VÁLVULA PLÁSTICA E TORNEIRA DE PLÁSTICO - FORNECIMENTO E INSTALAÇÃO. AF_01/2020</t>
  </si>
  <si>
    <t>649,39</t>
  </si>
  <si>
    <t>TANQUE DE LOUÇA BRANCA SUSPENSO, 18L OU EQUIVALENTE, INCLUSO SIFÃO TIPO GARRAFA EM METAL CROMADO, VÁLVULA METÁLICA E TORNEIRA DE METAL CROMADO PADRÃO MÉDIO - FORNECIMENTO E INSTALAÇÃO. AF_01/2020</t>
  </si>
  <si>
    <t>547,11</t>
  </si>
  <si>
    <t>TANQUE DE LOUÇA BRANCA SUSPENSO, 18L OU EQUIVALENTE, INCLUSO SIFÃO TIPO GARRAFA EM PVC, VÁLVULA PLÁSTICA E TORNEIRA DE METAL CROMADO PADRÃO POPULAR - FORNECIMENTO E INSTALAÇÃO. AF_01/2020</t>
  </si>
  <si>
    <t>415,79</t>
  </si>
  <si>
    <t>TANQUE DE LOUÇA BRANCA SUSPENSO, 18L OU EQUIVALENTE, INCLUSO SIFÃO TIPO GARRAFA EM PVC, VÁLVULA PLÁSTICA E TORNEIRA DE PLÁSTICO - FORNECIMENTO E INSTALAÇÃO. AF_01/2020</t>
  </si>
  <si>
    <t>419,17</t>
  </si>
  <si>
    <t>TANQUE DE MÁRMORE SINTÉTICO COM COLUNA, 22L OU EQUIVALENTE, INCLUSO SIFÃO FLEXÍVEL EM PVC, VÁLVULA PLÁSTICA E TORNEIRA DE METAL CROMADO PADRÃO POPULAR - FORNECIMENTO E INSTALAÇÃO. AF_01/2020</t>
  </si>
  <si>
    <t>365,93</t>
  </si>
  <si>
    <t>TANQUE DE MÁRMORE SINTÉTICO COM COLUNA, 22L OU EQUIVALENTE, INCLUSO SIFÃO FLEXÍVEL EM PVC, VÁLVULA PLÁSTICA E TORNEIRA DE PLÁSTICO - FORNECIMENTO E INSTALAÇÃO. AF_01/2020</t>
  </si>
  <si>
    <t>369,31</t>
  </si>
  <si>
    <t>TANQUE DE MÁRMORE SINTÉTICO SUSPENSO, 22L OU EQUIVALENTE, INCLUSO SIFÃO TIPO GARRAFA EM PVC, VÁLVULA PLÁSTICA E TORNEIRA DE METAL CROMADO PADRÃO POPULAR - FORNEC. E INSTALAÇÃO. AF_01/2020</t>
  </si>
  <si>
    <t>232,26</t>
  </si>
  <si>
    <t>TANQUE DE MÁRMORE SINTÉTICO SUSPENSO, 22L OU EQUIVALENTE, INCLUSO SIFÃO TIPO GARRAFA EM PVC, VÁLVULA PLÁSTICA E TORNEIRA DE PLÁSTICO - FORNECIMENTO E INSTALAÇÃO. AF_01/2020</t>
  </si>
  <si>
    <t>235,64</t>
  </si>
  <si>
    <t>TANQUE DE MÁRMORE SINTÉTICO SUSPENSO, 22L OU EQUIVALENTE, INCLUSO SIFÃO FLEXÍVEL EM PVC, VÁLVULA PLÁSTICA E TORNEIRA DE METAL CROMADO PADRÃO POPULAR - FORNECIMENTO E INSTALAÇÃO. AF_01/2020</t>
  </si>
  <si>
    <t>225,34</t>
  </si>
  <si>
    <t>TANQUE DE MÁRMORE SINTÉTICO SUSPENSO, 22L OU EQUIVALENTE, INCLUSO SIFÃO FLEXÍVEL EM PVC, VÁLVULA PLÁSTICA E TORNEIRA DE PLÁSTICO - FORNECIMENTO E INSTALAÇÃO. AF_01/2020</t>
  </si>
  <si>
    <t>228,72</t>
  </si>
  <si>
    <t>VASO SANITÁRIO SIFONADO COM CAIXA ACOPLADA LOUÇA BRANCA, INCLUSO ENGATE FLEXÍVEL EM PLÁSTICO BRANCO, 1/2  X 40CM - FORNECIMENTO E INSTALAÇÃO. AF_01/2020</t>
  </si>
  <si>
    <t>367,83</t>
  </si>
  <si>
    <t>VASO SANITÁRIO SIFONADO COM CAIXA ACOPLADA LOUÇA BRANCA - PADRÃO MÉDIO, INCLUSO ENGATE FLEXÍVEL EM METAL CROMADO, 1/2  X 40CM - FORNECIMENTO E INSTALAÇÃO. AF_01/2020</t>
  </si>
  <si>
    <t>389,52</t>
  </si>
  <si>
    <t>BANCADA DE MÁRMORE SINTÉTICO 120 X 60CM, COM CUBA INTEGRADA, INCLUSO SIFÃO TIPO GARRAFA EM PVC, VÁLVULA EM PLÁSTICO CROMADO TIPO AMERICANA E TORNEIRA CROMADA LONGA, DE PAREDE, PADRÃO POPULAR - FORNECIMENTO E INSTALAÇÃO. AF_01/2020</t>
  </si>
  <si>
    <t>257,80</t>
  </si>
  <si>
    <t>BANCADA DE MÁRMORE SINTÉTICO 120 X 60CM, COM CUBA INTEGRADA, INCLUSO SIFÃO TIPO FLEXÍVEL EM PVC, VÁLVULA EM PLÁSTICO CROMADO TIPO AMERICANA E TORNEIRA CROMADA LONGA, DE PAREDE, PADRÃO POPULAR - FORNECIMENTO E INSTALAÇÃO. AF_01/2020</t>
  </si>
  <si>
    <t>250,88</t>
  </si>
  <si>
    <t>CUBA DE EMBUTIR DE AÇO INOXIDÁVEL MÉDIA, INCLUSO VÁLVULA TIPO AMERICANA EM METAL CROMADO E SIFÃO FLEXÍVEL EM PVC - FORNECIMENTO E INSTALAÇÃO. AF_01/2020</t>
  </si>
  <si>
    <t>203,17</t>
  </si>
  <si>
    <t>CUBA DE EMBUTIR DE AÇO INOXIDÁVEL MÉDIA, INCLUSO VÁLVULA TIPO AMERICANA E SIFÃO TIPO GARRAFA EM METAL CROMADO - FORNECIMENTO E INSTALAÇÃO. AF_01/2020</t>
  </si>
  <si>
    <t>303,56</t>
  </si>
  <si>
    <t>CUBA DE EMBUTIR OVAL EM LOUÇA BRANCA, 35 X 50CM OU EQUIVALENTE, INCLUSO VÁLVULA EM METAL CROMADO E SIFÃO FLEXÍVEL EM PVC - FORNECIMENTO E INSTALAÇÃO. AF_01/2020</t>
  </si>
  <si>
    <t>143,01</t>
  </si>
  <si>
    <t>CUBA DE EMBUTIR OVAL EM LOUÇA BRANCA, 35 X 50CM OU EQUIVALENTE, INCLUSO VÁLVULA E SIFÃO TIPO GARRAFA EM METAL CROMADO - FORNECIMENTO E INSTALAÇÃO. AF_01/2020</t>
  </si>
  <si>
    <t>243,40</t>
  </si>
  <si>
    <t>LAVATÓRIO LOUÇA BRANCA COM COLUNA, *44 X 35,5* CM, PADRÃO POPULAR, INCLUSO SIFÃO FLEXÍVEL EM PVC, VÁLVULA E ENGATE FLEXÍVEL 30CM EM PLÁSTICO E COM TORNEIRA CROMADA PADRÃO POPULAR - FORNECIMENTO E INSTALAÇÃO. AF_01/2020</t>
  </si>
  <si>
    <t>284,08</t>
  </si>
  <si>
    <t>LAVATÓRIO LOUÇA BRANCA COM COLUNA, 45 X 55CM OU EQUIVALENTE, PADRÃO MÉDIO, INCLUSO SIFÃO TIPO GARRAFA, VÁLVULA E ENGATE FLEXÍVEL DE 40CM EM METAL CROMADO, COM APARELHO MISTURADOR PADRÃO MÉDIO - FORNECIMENTO E INSTALAÇÃO. AF_01/2020</t>
  </si>
  <si>
    <t>680,04</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</si>
  <si>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</si>
  <si>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</si>
  <si>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186,08</t>
  </si>
  <si>
    <t>LAVATÓRIO LOUÇA BRANCA SUSPENSO, 29,5 X 39CM OU EQUIVALENTE, PADRÃO POPULAR, INCLUSO SIFÃO FLEXÍVEL EM PVC, VÁLVULA E ENGATE FLEXÍVEL 30CM EM PLÁSTICO E TORNEIRA CROMADA DE MESA, PADRÃO POPULAR - FORNECIMENTO E INSTALAÇÃO. AF_01/2020</t>
  </si>
  <si>
    <t>179,16</t>
  </si>
  <si>
    <t>BANCADA MÁRMORE BRANCO, 50 X 60 CM, INCLUSO CUBA DE EMBUTIR OVAL EM LOUÇA BRANCA 35 X 50 CM, VÁLVULA, SIFÃO TIPO GARRAFA E ENGATE FLEXÍVEL 40 CM EM METAL CROMADO E APARELHO MISTURADOR DE MESA, PADRÃO MÉDIO - FORNEC. E INSTALAÇÃO. AF_01/2020</t>
  </si>
  <si>
    <t>685,68</t>
  </si>
  <si>
    <t>BANCADA GRANITO CINZA,  50 X 60 CM, INCL. CUBA DE EMBUTIR OVAL LOUÇA BRANCA 35 X 50 CM, VÁLVULA METAL CROMADO, SIFÃO FLEXÍVEL PVC, ENGATE 30 CM FLEXÍVEL PLÁSTICO E TORNEIRA CROMADA DE MESA, PADRÃO POPULAR - FORNEC. E INSTALAÇÃO. AF_01/2020</t>
  </si>
  <si>
    <t>473,57</t>
  </si>
  <si>
    <t>BANCADA GRANITO CINZA  150 X 60 CM, COM CUBA DE EMBUTIR DE AÇO, VÁLVULA AMERICANA EM METAL, SIFÃO FLEXÍVEL EM PVC, ENGATE FLEXÍVEL 30 CM, TORNEIRA CROMADA LONGA, DE PAREDE, 1/2 OU 3/4, P/ COZINHA, PADRÃO POPULAR - FORNEC. E INSTALAÇÃO. AF_01/2020</t>
  </si>
  <si>
    <t>839,79</t>
  </si>
  <si>
    <t>BANCADA MÁRMORE BRANCO 150 X 60 CM, COM CUBA DE EMBUTIR DE AÇO, VÁLVULA AMERICANA E SIFÃO TIPO GARRAFA EM METAL , ENGATE FLEXÍVEL 30 CM, TORNEIRA CROMADA, DE MESA, 1/2 OU 3/4, PARA PIA COZINHA, PADRÃO ALTO - FORNEC. E INSTALAÇÃO. AF_01/2020</t>
  </si>
  <si>
    <t>736,07</t>
  </si>
  <si>
    <t>VASO SANITARIO SIFONADO CONVENCIONAL COM  LOUÇA BRANCA - FORNECIMENTO E INSTALAÇÃO. AF_01/2020</t>
  </si>
  <si>
    <t>165,02</t>
  </si>
  <si>
    <t>170,41</t>
  </si>
  <si>
    <t>VASO SANITARIO SIFONADO CONVENCIONAL PARA PCD SEM FURO FRONTAL COM  LOUÇA BRANCA SEM ASSENTO -  FORNECIMENTO E INSTALAÇÃO. AF_01/2020</t>
  </si>
  <si>
    <t>629,72</t>
  </si>
  <si>
    <t>VASO SANITARIO SIFONADO CONVENCIONAL PARA PCD SEM FURO FRONTAL COM LOUÇA BRANCA SEM ASSENTO, INCLUSO CONJUNTO DE LIGAÇÃO PARA BACIA SANITÁRIA AJUSTÁVEL - FORNECIMENTO E INSTALAÇÃO. AF_01/2020</t>
  </si>
  <si>
    <t>635,11</t>
  </si>
  <si>
    <t>PORTA TOALHA ROSTO EM METAL CROMADO, TIPO ARGOLA, INCLUSO FIXAÇÃO. AF_01/2020</t>
  </si>
  <si>
    <t>27,34</t>
  </si>
  <si>
    <t>PORTA TOALHA BANHO EM METAL CROMADO, TIPO BARRA, INCLUSO FIXAÇÃO. AF_01/2020</t>
  </si>
  <si>
    <t>46,38</t>
  </si>
  <si>
    <t>PAPELEIRA DE PAREDE EM METAL CROMADO SEM TAMPA, INCLUSO FIXAÇÃO. AF_01/2020</t>
  </si>
  <si>
    <t>33,12</t>
  </si>
  <si>
    <t>SABONETEIRA DE PAREDE EM METAL CROMADO, INCLUSO FIXAÇÃO. AF_01/2020</t>
  </si>
  <si>
    <t>32,51</t>
  </si>
  <si>
    <t>KIT DE ACESSORIOS PARA BANHEIRO EM METAL CROMADO, 5 PECAS, INCLUSO FIXAÇÃO. AF_01/2020</t>
  </si>
  <si>
    <t>114,69</t>
  </si>
  <si>
    <t>SABONETEIRA PLASTICA TIPO DISPENSER PARA SABONETE LIQUIDO COM RESERVATORIO 800 A 1500 ML, INCLUSO FIXAÇÃO. AF_01/2020</t>
  </si>
  <si>
    <t>VASO SANITÁRIO INFANTIL LOUÇA BRANCA - FORNECIMENTO E INSTALACAO. AF_01/2020</t>
  </si>
  <si>
    <t>305,53</t>
  </si>
  <si>
    <t>ASSENTO SANITÁRIO CONVENCIONAL - FORNECIMENTO E INSTALACAO. AF_01/2020</t>
  </si>
  <si>
    <t>ASSENTO SANITÁRIO INFANTIL - FORNECIMENTO E INSTALACAO. AF_01/2020</t>
  </si>
  <si>
    <t>57,38</t>
  </si>
  <si>
    <t>CUBA DE EMBUTIR RETANGULAR DE AÇO INOXIDÁVEL, 56 X 33 X 12 CM - FORNECIMENTO E INSTALAÇÃO. AF_01/2020</t>
  </si>
  <si>
    <t>168,85</t>
  </si>
  <si>
    <t>TORNEIRA CROMADA DE MESA PARA LAVATÓRIO COM SENSOR DE PRESENCA. AF_01/2020</t>
  </si>
  <si>
    <t>599,93</t>
  </si>
  <si>
    <t>SABONETEIRA DE PAREDE EM PLASTICO ABS COM ACABAMENTO CROMADO E ACRILICO, INCLUSO FIXAÇÃO. AF_01/2020</t>
  </si>
  <si>
    <t>MANOPLA E CANOPLA CROMADA  FORNECIMENTO E INSTALAÇÃO. AF_01/2020</t>
  </si>
  <si>
    <t>22,88</t>
  </si>
  <si>
    <t>ACABAMENTO MONOCOMANDO PARA CHUVEIRO  FORNECIMENTO E INSTALAÇÃO. AF_01/2020</t>
  </si>
  <si>
    <t>225,15</t>
  </si>
  <si>
    <t>MICTÓRIO SIFONADO LOUÇA BRANCA  PADRÃO MÉDIO  FORNECIMENTO E INSTALAÇÃO. AF_01/2020</t>
  </si>
  <si>
    <t>453,17</t>
  </si>
  <si>
    <t>CHUVEIRO ELÉTRICO COMUM CORPO PLÁSTICO, TIPO DUCHA  FORNECIMENTO E INSTALAÇÃO. AF_01/2020</t>
  </si>
  <si>
    <t>64,64</t>
  </si>
  <si>
    <t>SUPORTE MÃO FRANCESA EM AÇO, ABAS IGUAIS 30 CM, CAPACIDADE MINIMA 60 KG, BRANCO - FORNECIMENTO E INSTALAÇÃO. AF_01/2020</t>
  </si>
  <si>
    <t>24,53</t>
  </si>
  <si>
    <t>SUPORTE MÃO FRANCESA EM ACO, ABAS IGUAIS 40 CM, CAPACIDADE MINIMA 70 KG, BRANCO - FORNECIMENTO E INSTALAÇÃO. AF_01/2020</t>
  </si>
  <si>
    <t>BARRA DE APOIO EM "L", EM ACO INOX POLIDO 70 X 70 CM, FIXADA NA PAREDE - FORNECIMENTO E INSTALACAO. AF_01/2020</t>
  </si>
  <si>
    <t>432,20</t>
  </si>
  <si>
    <t>BARRA DE APOIO EM "L", EM ACO INOX POLIDO 80 X 80 CM, FIXADA NA PAREDE - FORNECIMENTO E INSTALACAO. AF_01/2020</t>
  </si>
  <si>
    <t>474,94</t>
  </si>
  <si>
    <t>BARRA DE APOIO LATERAL ARTICULADA, COM TRAVA, EM ACO INOX POLIDO, FIXADA NA PAREDE - FORNECIMENTO E INSTALAÇÃO. AF_01/2020</t>
  </si>
  <si>
    <t>422,87</t>
  </si>
  <si>
    <t>BARRA DE APOIO RETA, EM ACO INOX POLIDO, COMPRIMENTO 60CM, FIXADA NA PAREDE - FORNECIMENTO E INSTALAÇÃO. AF_01/2020</t>
  </si>
  <si>
    <t>222,59</t>
  </si>
  <si>
    <t>BARRA DE APOIO RETA, EM ACO INOX POLIDO, COMPRIMENTO 70 CM,  FIXADA NA PAREDE - FORNECIMENTO E INSTALAÇÃO. AF_01/2020</t>
  </si>
  <si>
    <t>236,68</t>
  </si>
  <si>
    <t>BARRA DE APOIO RETA, EM ACO INOX POLIDO, COMPRIMENTO 80 CM,  FIXADA NA PAREDE - FORNECIMENTO E INSTALAÇÃO. AF_01/2020</t>
  </si>
  <si>
    <t>246,06</t>
  </si>
  <si>
    <t>BARRA DE APOIO RETA, EM ACO INOX POLIDO, COMPRIMENTO 90 CM,  FIXADA NA PAREDE - FORNECIMENTO E INSTALAÇÃO. AF_01/2020</t>
  </si>
  <si>
    <t>253,25</t>
  </si>
  <si>
    <t>BARRA DE APOIO RETA, EM ALUMINIO, COMPRIMENTO 60 CM,  FIXADA NA PAREDE - FORNECIMENTO E INSTALAÇÃO. AF_01/2020</t>
  </si>
  <si>
    <t>184,03</t>
  </si>
  <si>
    <t>BARRA DE APOIO RETA, EM ALUMINIO, COMPRIMENTO 70 CM,  FIXADA NA PAREDE - FORNECIMENTO E INSTALAÇÃO. AF_01/2020</t>
  </si>
  <si>
    <t>197,07</t>
  </si>
  <si>
    <t>BARRA DE APOIO RETA, EM ALUMINIO, COMPRIMENTO 80 CM,  FIXADA NA PAREDE - FORNECIMENTO E INSTALAÇÃO. AF_01/2020</t>
  </si>
  <si>
    <t>205,40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</si>
  <si>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</si>
  <si>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</si>
  <si>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</si>
  <si>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780,41</t>
  </si>
  <si>
    <t>1.286,16</t>
  </si>
  <si>
    <t>1.898,50</t>
  </si>
  <si>
    <t>2.807,00</t>
  </si>
  <si>
    <t>3.721,54</t>
  </si>
  <si>
    <t>4.313,64</t>
  </si>
  <si>
    <t>5.717,71</t>
  </si>
  <si>
    <t>3.869,79</t>
  </si>
  <si>
    <t>5.169,97</t>
  </si>
  <si>
    <t>7.312,01</t>
  </si>
  <si>
    <t>9.811,35</t>
  </si>
  <si>
    <t>11.237,96</t>
  </si>
  <si>
    <t>12.320,11</t>
  </si>
  <si>
    <t>3.235,55</t>
  </si>
  <si>
    <t>5.063,64</t>
  </si>
  <si>
    <t>7.869,05</t>
  </si>
  <si>
    <t>10.236,37</t>
  </si>
  <si>
    <t>11.799,89</t>
  </si>
  <si>
    <t>13.894,79</t>
  </si>
  <si>
    <t>3.210,83</t>
  </si>
  <si>
    <t>5.637,96</t>
  </si>
  <si>
    <t>7.270,69</t>
  </si>
  <si>
    <t>10.787,22</t>
  </si>
  <si>
    <t>3.039,13</t>
  </si>
  <si>
    <t>4.021,87</t>
  </si>
  <si>
    <t>5.654,96</t>
  </si>
  <si>
    <t>7.664,77</t>
  </si>
  <si>
    <t>8.673,44</t>
  </si>
  <si>
    <t>9.296,56</t>
  </si>
  <si>
    <t>2.594,02</t>
  </si>
  <si>
    <t>4.111,66</t>
  </si>
  <si>
    <t>6.471,19</t>
  </si>
  <si>
    <t>8.372,80</t>
  </si>
  <si>
    <t>9.828,89</t>
  </si>
  <si>
    <t>11.606,67</t>
  </si>
  <si>
    <t>2.138,85</t>
  </si>
  <si>
    <t>3.680,18</t>
  </si>
  <si>
    <t>4.820,75</t>
  </si>
  <si>
    <t>7.142,91</t>
  </si>
  <si>
    <t>652,64</t>
  </si>
  <si>
    <t>410,31</t>
  </si>
  <si>
    <t>22,24</t>
  </si>
  <si>
    <t>381,16</t>
  </si>
  <si>
    <t>91,65</t>
  </si>
  <si>
    <t>114,26</t>
  </si>
  <si>
    <t>160,03</t>
  </si>
  <si>
    <t>72,02</t>
  </si>
  <si>
    <t>174,18</t>
  </si>
  <si>
    <t>25,87</t>
  </si>
  <si>
    <t>29,34</t>
  </si>
  <si>
    <t>33,22</t>
  </si>
  <si>
    <t>34,60</t>
  </si>
  <si>
    <t>231,70</t>
  </si>
  <si>
    <t>40,73</t>
  </si>
  <si>
    <t>42,40</t>
  </si>
  <si>
    <t>45,44</t>
  </si>
  <si>
    <t>189,20</t>
  </si>
  <si>
    <t>69,93</t>
  </si>
  <si>
    <t>71,93</t>
  </si>
  <si>
    <t>68,25</t>
  </si>
  <si>
    <t>75,62</t>
  </si>
  <si>
    <t>36,09</t>
  </si>
  <si>
    <t>32,36</t>
  </si>
  <si>
    <t>53,27</t>
  </si>
  <si>
    <t>72,68</t>
  </si>
  <si>
    <t>74,66</t>
  </si>
  <si>
    <t>136,13</t>
  </si>
  <si>
    <t>57,08</t>
  </si>
  <si>
    <t>72,47</t>
  </si>
  <si>
    <t>88,41</t>
  </si>
  <si>
    <t>103,43</t>
  </si>
  <si>
    <t>133,20</t>
  </si>
  <si>
    <t>241,28</t>
  </si>
  <si>
    <t>286,63</t>
  </si>
  <si>
    <t>560,44</t>
  </si>
  <si>
    <t>141,64</t>
  </si>
  <si>
    <t>146,71</t>
  </si>
  <si>
    <t>37,88</t>
  </si>
  <si>
    <t>43,19</t>
  </si>
  <si>
    <t>66,49</t>
  </si>
  <si>
    <t>143,19</t>
  </si>
  <si>
    <t>246,82</t>
  </si>
  <si>
    <t>68,28</t>
  </si>
  <si>
    <t>74,12</t>
  </si>
  <si>
    <t>89,39</t>
  </si>
  <si>
    <t>118,99</t>
  </si>
  <si>
    <t>136,99</t>
  </si>
  <si>
    <t>195,73</t>
  </si>
  <si>
    <t>52,01</t>
  </si>
  <si>
    <t>90,30</t>
  </si>
  <si>
    <t>120,74</t>
  </si>
  <si>
    <t>131,27</t>
  </si>
  <si>
    <t>172,80</t>
  </si>
  <si>
    <t>233,10</t>
  </si>
  <si>
    <t>310,93</t>
  </si>
  <si>
    <t>463,54</t>
  </si>
  <si>
    <t>57,62</t>
  </si>
  <si>
    <t>36,21</t>
  </si>
  <si>
    <t>61,31</t>
  </si>
  <si>
    <t>84,46</t>
  </si>
  <si>
    <t>110,21</t>
  </si>
  <si>
    <t>203,84</t>
  </si>
  <si>
    <t>328,81</t>
  </si>
  <si>
    <t>196,13</t>
  </si>
  <si>
    <t>123,02</t>
  </si>
  <si>
    <t>133,87</t>
  </si>
  <si>
    <t>400,11</t>
  </si>
  <si>
    <t>482,25</t>
  </si>
  <si>
    <t>598,72</t>
  </si>
  <si>
    <t>232,80</t>
  </si>
  <si>
    <t>344,33</t>
  </si>
  <si>
    <t>450,90</t>
  </si>
  <si>
    <t>168,09</t>
  </si>
  <si>
    <t>309,09</t>
  </si>
  <si>
    <t>460,59</t>
  </si>
  <si>
    <t>604,47</t>
  </si>
  <si>
    <t>110,70</t>
  </si>
  <si>
    <t>135,13</t>
  </si>
  <si>
    <t>88,14</t>
  </si>
  <si>
    <t>129,58</t>
  </si>
  <si>
    <t>87,84</t>
  </si>
  <si>
    <t>29,64</t>
  </si>
  <si>
    <t>51,42</t>
  </si>
  <si>
    <t>82,37</t>
  </si>
  <si>
    <t>105,21</t>
  </si>
  <si>
    <t>25,59</t>
  </si>
  <si>
    <t>13,84</t>
  </si>
  <si>
    <t>5,12</t>
  </si>
  <si>
    <t>8,11</t>
  </si>
  <si>
    <t>23,03</t>
  </si>
  <si>
    <t>32,48</t>
  </si>
  <si>
    <t>14,49</t>
  </si>
  <si>
    <t>3,20</t>
  </si>
  <si>
    <t>2,55</t>
  </si>
  <si>
    <t>17,22</t>
  </si>
  <si>
    <t>4,68</t>
  </si>
  <si>
    <t>10,25</t>
  </si>
  <si>
    <t>3,34</t>
  </si>
  <si>
    <t>9,28</t>
  </si>
  <si>
    <t>7,00</t>
  </si>
  <si>
    <t>2,98</t>
  </si>
  <si>
    <t>1,21</t>
  </si>
  <si>
    <t>2,36</t>
  </si>
  <si>
    <t>37,79</t>
  </si>
  <si>
    <t>16,91</t>
  </si>
  <si>
    <t>16,34</t>
  </si>
  <si>
    <t>9,69</t>
  </si>
  <si>
    <t>8,13</t>
  </si>
  <si>
    <t>22,98</t>
  </si>
  <si>
    <t>11,32</t>
  </si>
  <si>
    <t>10,58</t>
  </si>
  <si>
    <t>4,82</t>
  </si>
  <si>
    <t>4,23</t>
  </si>
  <si>
    <t>4,98</t>
  </si>
  <si>
    <t>1.758,13</t>
  </si>
  <si>
    <t>1.271,26</t>
  </si>
  <si>
    <t>1.029,53</t>
  </si>
  <si>
    <t>879,30</t>
  </si>
  <si>
    <t>17,70</t>
  </si>
  <si>
    <t>75,61</t>
  </si>
  <si>
    <t>37,80</t>
  </si>
  <si>
    <t>22,76</t>
  </si>
  <si>
    <t>38,70</t>
  </si>
  <si>
    <t>41,05</t>
  </si>
  <si>
    <t>429,65</t>
  </si>
  <si>
    <t>558,54</t>
  </si>
  <si>
    <t>182,57</t>
  </si>
  <si>
    <t>292,12</t>
  </si>
  <si>
    <t>584,24</t>
  </si>
  <si>
    <t>876,36</t>
  </si>
  <si>
    <t>1.135,12</t>
  </si>
  <si>
    <t>1.543,77</t>
  </si>
  <si>
    <t>1.725,39</t>
  </si>
  <si>
    <t>454,05</t>
  </si>
  <si>
    <t>590,26</t>
  </si>
  <si>
    <t>908,10</t>
  </si>
  <si>
    <t>1.452,96</t>
  </si>
  <si>
    <t>365,15</t>
  </si>
  <si>
    <t>730,30</t>
  </si>
  <si>
    <t>341,70</t>
  </si>
  <si>
    <t>78,70</t>
  </si>
  <si>
    <t>21,93</t>
  </si>
  <si>
    <t>140,17</t>
  </si>
  <si>
    <t>72,08</t>
  </si>
  <si>
    <t>962,54</t>
  </si>
  <si>
    <t>81,95</t>
  </si>
  <si>
    <t>194,70</t>
  </si>
  <si>
    <t>89,76</t>
  </si>
  <si>
    <t>77,03</t>
  </si>
  <si>
    <t>74,55</t>
  </si>
  <si>
    <t>24,09</t>
  </si>
  <si>
    <t>52,11</t>
  </si>
  <si>
    <t>59,12</t>
  </si>
  <si>
    <t>553,70</t>
  </si>
  <si>
    <t>797,33</t>
  </si>
  <si>
    <t>649,54</t>
  </si>
  <si>
    <t>502,77</t>
  </si>
  <si>
    <t>359,58</t>
  </si>
  <si>
    <t>498,58</t>
  </si>
  <si>
    <t>414,01</t>
  </si>
  <si>
    <t>328,73</t>
  </si>
  <si>
    <t>245,29</t>
  </si>
  <si>
    <t>32,70</t>
  </si>
  <si>
    <t>26,37</t>
  </si>
  <si>
    <t>2,58</t>
  </si>
  <si>
    <t>3,81</t>
  </si>
  <si>
    <t>2,67</t>
  </si>
  <si>
    <t>12,77</t>
  </si>
  <si>
    <t>17,25</t>
  </si>
  <si>
    <t>6,38</t>
  </si>
  <si>
    <t>11,87</t>
  </si>
  <si>
    <t>15,37</t>
  </si>
  <si>
    <t>5,69</t>
  </si>
  <si>
    <t>5,72</t>
  </si>
  <si>
    <t>5,88</t>
  </si>
  <si>
    <t>12,80</t>
  </si>
  <si>
    <t>16,10</t>
  </si>
  <si>
    <t>5,32</t>
  </si>
  <si>
    <t>5,33</t>
  </si>
  <si>
    <t>5,56</t>
  </si>
  <si>
    <t>8,53</t>
  </si>
  <si>
    <t>73,56</t>
  </si>
  <si>
    <t>29,35</t>
  </si>
  <si>
    <t>121,75</t>
  </si>
  <si>
    <t>77,30</t>
  </si>
  <si>
    <t>141,05</t>
  </si>
  <si>
    <t>246,28</t>
  </si>
  <si>
    <t>101,35</t>
  </si>
  <si>
    <t>130,95</t>
  </si>
  <si>
    <t>10,83</t>
  </si>
  <si>
    <t>10,12</t>
  </si>
  <si>
    <t>10,18</t>
  </si>
  <si>
    <t>9,35</t>
  </si>
  <si>
    <t>10,68</t>
  </si>
  <si>
    <t>165,80</t>
  </si>
  <si>
    <t>248,70</t>
  </si>
  <si>
    <t>4,25</t>
  </si>
  <si>
    <t>8,60</t>
  </si>
  <si>
    <t>5,13</t>
  </si>
  <si>
    <t>5,06</t>
  </si>
  <si>
    <t>4,61</t>
  </si>
  <si>
    <t>65,59</t>
  </si>
  <si>
    <t>24,59</t>
  </si>
  <si>
    <t>19,62</t>
  </si>
  <si>
    <t>17,69</t>
  </si>
  <si>
    <t>18,55</t>
  </si>
  <si>
    <t>17,10</t>
  </si>
  <si>
    <t>24,46</t>
  </si>
  <si>
    <t>18,30</t>
  </si>
  <si>
    <t>34,96</t>
  </si>
  <si>
    <t>112,47</t>
  </si>
  <si>
    <t>109,95</t>
  </si>
  <si>
    <t>106,77</t>
  </si>
  <si>
    <t>107,50</t>
  </si>
  <si>
    <t>105,57</t>
  </si>
  <si>
    <t>106,43</t>
  </si>
  <si>
    <t>104,98</t>
  </si>
  <si>
    <t>112,34</t>
  </si>
  <si>
    <t>109,65</t>
  </si>
  <si>
    <t>106,18</t>
  </si>
  <si>
    <t>122,84</t>
  </si>
  <si>
    <t>6,55</t>
  </si>
  <si>
    <t>4,60</t>
  </si>
  <si>
    <t>0,99</t>
  </si>
  <si>
    <t>8,83</t>
  </si>
  <si>
    <t>12,93</t>
  </si>
  <si>
    <t>10,43</t>
  </si>
  <si>
    <t>16,05</t>
  </si>
  <si>
    <t>12,38</t>
  </si>
  <si>
    <t>6,66</t>
  </si>
  <si>
    <t>23,32</t>
  </si>
  <si>
    <t>39,76</t>
  </si>
  <si>
    <t>5,16</t>
  </si>
  <si>
    <t>2,93</t>
  </si>
  <si>
    <t>15,47</t>
  </si>
  <si>
    <t>19,98</t>
  </si>
  <si>
    <t>1,44</t>
  </si>
  <si>
    <t>1,46</t>
  </si>
  <si>
    <t>1,28</t>
  </si>
  <si>
    <t>5,75</t>
  </si>
  <si>
    <t>3,22</t>
  </si>
  <si>
    <t>242,38</t>
  </si>
  <si>
    <t>209,01</t>
  </si>
  <si>
    <t>246,42</t>
  </si>
  <si>
    <t>184,92</t>
  </si>
  <si>
    <t>222,31</t>
  </si>
  <si>
    <t>188,93</t>
  </si>
  <si>
    <t>226,30</t>
  </si>
  <si>
    <t>172,52</t>
  </si>
  <si>
    <t>202,36</t>
  </si>
  <si>
    <t>178,48</t>
  </si>
  <si>
    <t>209,06</t>
  </si>
  <si>
    <t>144,54</t>
  </si>
  <si>
    <t>170,33</t>
  </si>
  <si>
    <t>150,09</t>
  </si>
  <si>
    <t>176,83</t>
  </si>
  <si>
    <t>130,29</t>
  </si>
  <si>
    <t>105,62</t>
  </si>
  <si>
    <t>1,33</t>
  </si>
  <si>
    <t>122,18</t>
  </si>
  <si>
    <t>218,44</t>
  </si>
  <si>
    <t>39,89</t>
  </si>
  <si>
    <t>40,94</t>
  </si>
  <si>
    <t>55,08</t>
  </si>
  <si>
    <t>56,26</t>
  </si>
  <si>
    <t>65,94</t>
  </si>
  <si>
    <t>67,33</t>
  </si>
  <si>
    <t>35,80</t>
  </si>
  <si>
    <t>50,53</t>
  </si>
  <si>
    <t>51,71</t>
  </si>
  <si>
    <t>60,80</t>
  </si>
  <si>
    <t>62,19</t>
  </si>
  <si>
    <t>46,33</t>
  </si>
  <si>
    <t>47,38</t>
  </si>
  <si>
    <t>61,63</t>
  </si>
  <si>
    <t>72,29</t>
  </si>
  <si>
    <t>73,68</t>
  </si>
  <si>
    <t>54,31</t>
  </si>
  <si>
    <t>55,49</t>
  </si>
  <si>
    <t>64,68</t>
  </si>
  <si>
    <t>66,07</t>
  </si>
  <si>
    <t>71,13</t>
  </si>
  <si>
    <t>72,12</t>
  </si>
  <si>
    <t>69,00</t>
  </si>
  <si>
    <t>78,18</t>
  </si>
  <si>
    <t>79,25</t>
  </si>
  <si>
    <t>121,28</t>
  </si>
  <si>
    <t>122,64</t>
  </si>
  <si>
    <t>60,58</t>
  </si>
  <si>
    <t>61,57</t>
  </si>
  <si>
    <t>57,22</t>
  </si>
  <si>
    <t>64,24</t>
  </si>
  <si>
    <t>65,31</t>
  </si>
  <si>
    <t>98,91</t>
  </si>
  <si>
    <t>100,27</t>
  </si>
  <si>
    <t>80,22</t>
  </si>
  <si>
    <t>81,21</t>
  </si>
  <si>
    <t>77,19</t>
  </si>
  <si>
    <t>78,45</t>
  </si>
  <si>
    <t>90,84</t>
  </si>
  <si>
    <t>141,01</t>
  </si>
  <si>
    <t>142,37</t>
  </si>
  <si>
    <t>66,29</t>
  </si>
  <si>
    <t>67,28</t>
  </si>
  <si>
    <t>62,99</t>
  </si>
  <si>
    <t>64,25</t>
  </si>
  <si>
    <t>71,95</t>
  </si>
  <si>
    <t>73,02</t>
  </si>
  <si>
    <t>110,86</t>
  </si>
  <si>
    <t>112,22</t>
  </si>
  <si>
    <t>67,62</t>
  </si>
  <si>
    <t>69,69</t>
  </si>
  <si>
    <t>118,29</t>
  </si>
  <si>
    <t>62,81</t>
  </si>
  <si>
    <t>629,62</t>
  </si>
  <si>
    <t>52,62</t>
  </si>
  <si>
    <t>47,87</t>
  </si>
  <si>
    <t>55,90</t>
  </si>
  <si>
    <t>57,10</t>
  </si>
  <si>
    <t>49,31</t>
  </si>
  <si>
    <t>50,51</t>
  </si>
  <si>
    <t>60,60</t>
  </si>
  <si>
    <t>61,94</t>
  </si>
  <si>
    <t>55,91</t>
  </si>
  <si>
    <t>57,25</t>
  </si>
  <si>
    <t>68,08</t>
  </si>
  <si>
    <t>59,44</t>
  </si>
  <si>
    <t>60,78</t>
  </si>
  <si>
    <t>62,35</t>
  </si>
  <si>
    <t>57,60</t>
  </si>
  <si>
    <t>59,30</t>
  </si>
  <si>
    <t>70,07</t>
  </si>
  <si>
    <t>71,77</t>
  </si>
  <si>
    <t>62,25</t>
  </si>
  <si>
    <t>73,67</t>
  </si>
  <si>
    <t>67,08</t>
  </si>
  <si>
    <t>68,98</t>
  </si>
  <si>
    <t>82,56</t>
  </si>
  <si>
    <t>72,62</t>
  </si>
  <si>
    <t>74,52</t>
  </si>
  <si>
    <t>127,29</t>
  </si>
  <si>
    <t>50,94</t>
  </si>
  <si>
    <t>64,39</t>
  </si>
  <si>
    <t>65,43</t>
  </si>
  <si>
    <t>79,56</t>
  </si>
  <si>
    <t>79,96</t>
  </si>
  <si>
    <t>47,56</t>
  </si>
  <si>
    <t>59,85</t>
  </si>
  <si>
    <t>73,42</t>
  </si>
  <si>
    <t>74,72</t>
  </si>
  <si>
    <t>56,77</t>
  </si>
  <si>
    <t>57,66</t>
  </si>
  <si>
    <t>70,74</t>
  </si>
  <si>
    <t>71,78</t>
  </si>
  <si>
    <t>85,07</t>
  </si>
  <si>
    <t>86,37</t>
  </si>
  <si>
    <t>51,12</t>
  </si>
  <si>
    <t>63,74</t>
  </si>
  <si>
    <t>64,78</t>
  </si>
  <si>
    <t>77,46</t>
  </si>
  <si>
    <t>78,76</t>
  </si>
  <si>
    <t>50,33</t>
  </si>
  <si>
    <t>51,16</t>
  </si>
  <si>
    <t>64,81</t>
  </si>
  <si>
    <t>113,19</t>
  </si>
  <si>
    <t>113,37</t>
  </si>
  <si>
    <t>195,90</t>
  </si>
  <si>
    <t>56,61</t>
  </si>
  <si>
    <t>53,92</t>
  </si>
  <si>
    <t>66,54</t>
  </si>
  <si>
    <t>60,50</t>
  </si>
  <si>
    <t>56,12</t>
  </si>
  <si>
    <t>75,09</t>
  </si>
  <si>
    <t>69,74</t>
  </si>
  <si>
    <t>65,50</t>
  </si>
  <si>
    <t>63,04</t>
  </si>
  <si>
    <t>86,51</t>
  </si>
  <si>
    <t>83,61</t>
  </si>
  <si>
    <t>69,68</t>
  </si>
  <si>
    <t>65,32</t>
  </si>
  <si>
    <t>91,59</t>
  </si>
  <si>
    <t>69,25</t>
  </si>
  <si>
    <t>66,57</t>
  </si>
  <si>
    <t>82,19</t>
  </si>
  <si>
    <t>79,16</t>
  </si>
  <si>
    <t>70,71</t>
  </si>
  <si>
    <t>84,55</t>
  </si>
  <si>
    <t>78,36</t>
  </si>
  <si>
    <t>99,15</t>
  </si>
  <si>
    <t>96,46</t>
  </si>
  <si>
    <t>86,13</t>
  </si>
  <si>
    <t>80,36</t>
  </si>
  <si>
    <t>108,02</t>
  </si>
  <si>
    <t>101,40</t>
  </si>
  <si>
    <t>56,66</t>
  </si>
  <si>
    <t>65,75</t>
  </si>
  <si>
    <t>445,22</t>
  </si>
  <si>
    <t>448,22</t>
  </si>
  <si>
    <t>451,22</t>
  </si>
  <si>
    <t>26,80</t>
  </si>
  <si>
    <t>16,35</t>
  </si>
  <si>
    <t>284,47</t>
  </si>
  <si>
    <t>235,33</t>
  </si>
  <si>
    <t>436,04</t>
  </si>
  <si>
    <t>683,25</t>
  </si>
  <si>
    <t>85,62</t>
  </si>
  <si>
    <t>97,45</t>
  </si>
  <si>
    <t>104,57</t>
  </si>
  <si>
    <t>111,92</t>
  </si>
  <si>
    <t>123,45</t>
  </si>
  <si>
    <t>137,39</t>
  </si>
  <si>
    <t>130,59</t>
  </si>
  <si>
    <t>138,22</t>
  </si>
  <si>
    <t>149,47</t>
  </si>
  <si>
    <t>56,04</t>
  </si>
  <si>
    <t>22,50</t>
  </si>
  <si>
    <t>27,55</t>
  </si>
  <si>
    <t>129,36</t>
  </si>
  <si>
    <t>56,19</t>
  </si>
  <si>
    <t>45,55</t>
  </si>
  <si>
    <t>19,42</t>
  </si>
  <si>
    <t>26,41</t>
  </si>
  <si>
    <t>12,28</t>
  </si>
  <si>
    <t>30,57</t>
  </si>
  <si>
    <t>48,77</t>
  </si>
  <si>
    <t>68,04</t>
  </si>
  <si>
    <t>86,56</t>
  </si>
  <si>
    <t>146,45</t>
  </si>
  <si>
    <t>179,81</t>
  </si>
  <si>
    <t>193,59</t>
  </si>
  <si>
    <t>106,03</t>
  </si>
  <si>
    <t>134,19</t>
  </si>
  <si>
    <t>1,76</t>
  </si>
  <si>
    <t>120,49</t>
  </si>
  <si>
    <t>137,90</t>
  </si>
  <si>
    <t>154,98</t>
  </si>
  <si>
    <t>109,29</t>
  </si>
  <si>
    <t>128,20</t>
  </si>
  <si>
    <t>144,29</t>
  </si>
  <si>
    <t>74,95</t>
  </si>
  <si>
    <t>1,75</t>
  </si>
  <si>
    <t>1,90</t>
  </si>
  <si>
    <t>0,88</t>
  </si>
  <si>
    <t>1,65</t>
  </si>
  <si>
    <t>5,52</t>
  </si>
  <si>
    <t>5,51</t>
  </si>
  <si>
    <t>849,47</t>
  </si>
  <si>
    <t>661,45</t>
  </si>
  <si>
    <t>58,67</t>
  </si>
  <si>
    <t>50,73</t>
  </si>
  <si>
    <t>54,68</t>
  </si>
  <si>
    <t>68,93</t>
  </si>
  <si>
    <t>61,82</t>
  </si>
  <si>
    <t>56,73</t>
  </si>
  <si>
    <t>57,97</t>
  </si>
  <si>
    <t>69,35</t>
  </si>
  <si>
    <t>70,65</t>
  </si>
  <si>
    <t>63,41</t>
  </si>
  <si>
    <t>51,75</t>
  </si>
  <si>
    <t>58,23</t>
  </si>
  <si>
    <t>59,43</t>
  </si>
  <si>
    <t>55,18</t>
  </si>
  <si>
    <t>66,56</t>
  </si>
  <si>
    <t>67,90</t>
  </si>
  <si>
    <t>39,24</t>
  </si>
  <si>
    <t>7,30</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</si>
  <si>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</si>
  <si>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</si>
  <si>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</si>
  <si>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</si>
  <si>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14,81</t>
  </si>
  <si>
    <t>PAVIMENTO COM TRATAMENTO SUPERFICIAL DUPLO, COM EMULSÃO ASFÁLTICA RR-2C, COM CAPA SELANTE. AF_01/2020</t>
  </si>
  <si>
    <t>16,99</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</si>
  <si>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</si>
  <si>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</si>
  <si>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</si>
  <si>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17,21</t>
  </si>
  <si>
    <t>525,15</t>
  </si>
  <si>
    <t>449,90</t>
  </si>
  <si>
    <t>303,12</t>
  </si>
  <si>
    <t>257,39</t>
  </si>
  <si>
    <t>496,15</t>
  </si>
  <si>
    <t>909,93</t>
  </si>
  <si>
    <t>863,07</t>
  </si>
  <si>
    <t>139,21</t>
  </si>
  <si>
    <t>171,61</t>
  </si>
  <si>
    <t>186,35</t>
  </si>
  <si>
    <t>9,52</t>
  </si>
  <si>
    <t>21,23</t>
  </si>
  <si>
    <t>17,84</t>
  </si>
  <si>
    <t>10,55</t>
  </si>
  <si>
    <t>2,53</t>
  </si>
  <si>
    <t>1,91</t>
  </si>
  <si>
    <t>16,25</t>
  </si>
  <si>
    <t>16,93</t>
  </si>
  <si>
    <t>19,26</t>
  </si>
  <si>
    <t>29,32</t>
  </si>
  <si>
    <t>20,46</t>
  </si>
  <si>
    <t>15,21</t>
  </si>
  <si>
    <t>2,75</t>
  </si>
  <si>
    <t>2,38</t>
  </si>
  <si>
    <t>7,40</t>
  </si>
  <si>
    <t>9,23</t>
  </si>
  <si>
    <t>23,82</t>
  </si>
  <si>
    <t>13,14</t>
  </si>
  <si>
    <t>12,66</t>
  </si>
  <si>
    <t>14,78</t>
  </si>
  <si>
    <t>9,59</t>
  </si>
  <si>
    <t>20,60</t>
  </si>
  <si>
    <t>13,56</t>
  </si>
  <si>
    <t>15,90</t>
  </si>
  <si>
    <t>12,16</t>
  </si>
  <si>
    <t>23,48</t>
  </si>
  <si>
    <t>25,90</t>
  </si>
  <si>
    <t>35,27</t>
  </si>
  <si>
    <t>23,57</t>
  </si>
  <si>
    <t>45,42</t>
  </si>
  <si>
    <t>37,48</t>
  </si>
  <si>
    <t>63,53</t>
  </si>
  <si>
    <t>141,41</t>
  </si>
  <si>
    <t>34,72</t>
  </si>
  <si>
    <t>17,55</t>
  </si>
  <si>
    <t>24,81</t>
  </si>
  <si>
    <t>24,40</t>
  </si>
  <si>
    <t>24,28</t>
  </si>
  <si>
    <t>14,73</t>
  </si>
  <si>
    <t>19,77</t>
  </si>
  <si>
    <t>24,54</t>
  </si>
  <si>
    <t>9,96</t>
  </si>
  <si>
    <t>16,16</t>
  </si>
  <si>
    <t>22,59</t>
  </si>
  <si>
    <t>JATEAMENTO ABRASIVO COM GRANALHA DE AÇO EM PERFIL METÁLICO EM FÁBRICA. AF_01/2020</t>
  </si>
  <si>
    <t>21,68</t>
  </si>
  <si>
    <t>LIXAMENTO MANUAL EM SUPERFÍCIES METÁLICAS EM OBRA. AF_01/2020</t>
  </si>
  <si>
    <t>7,89</t>
  </si>
  <si>
    <t>COLOCAÇÃO DE FITA PROTETORA PARA PINTURA. AF_01/2020</t>
  </si>
  <si>
    <t>PINTURA COM TINTA ALQUÍDICA DE FUNDO (TIPO ZARCÃO) PULVERIZADA SOBRE PERFIL METÁLICO EXECUTADO EM FÁBRICA (POR DEMÃO).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</si>
  <si>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</si>
  <si>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t>
  </si>
  <si>
    <t>PINTURA COM TINTA ALQUÍDICA DE FUNDO (TIPO ZARCÃO) APLICADA A ROLO OU PINCEL SOBRE SUPERFÍCIES METÁLICAS (EXCETO PERFIL) EXECUTADO EM OBRA (POR DEMÃO). AF_01/2020</t>
  </si>
  <si>
    <t>18,77</t>
  </si>
  <si>
    <t>PINTURA COM TINTA ALQUÍDICA DE FUNDO E ACABAMENTO (ESMALTE SINTÉTICO GRAFITE) PULVERIZADA SOBRE PERFIL METÁLICO EXECUTADO EM FÁBRICA (POR DEMÃO). AF_01/2020</t>
  </si>
  <si>
    <t>7,57</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</si>
  <si>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</si>
  <si>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t>
  </si>
  <si>
    <t>18,80</t>
  </si>
  <si>
    <t>PINTURA COM TINTA ALQUÍDICA DE FUNDO E ACABAMENTO (ESMALTE SINTÉTICO GRAFITE) APLICADA A ROLO OU PINCEL SOBRE SUPERFÍCIES METÁLICAS (EXCETO PERFIL) EXECUTADO EM OBRA (POR DEMÃO). AF_01/2020</t>
  </si>
  <si>
    <t>20,87</t>
  </si>
  <si>
    <t>PINTURA COM TINTA EPOXÍDICA DE FUNDO PULVERIZADA SOBRE PERFIL METÁLICO EXECUTADO EM FÁBRICA (POR DEMÃO). AF_01/2020</t>
  </si>
  <si>
    <t>PINTURA COM TINTA EPOXÍDICA DE FUNDO APLICADA A ROLO OU PINCEL SOBRE PERFIL METÁLICO EXECUTADO EM FÁBRICA (POR DEMÃO). AF_01/2020</t>
  </si>
  <si>
    <t>PINTURA COM TINTA EPOXÍDICA DE ACABAMENTO PULVERIZADA SOBRE PERFIL METÁLICO EXECUTADO EM FÁBRICA (POR DEMÃO). AF_01/2020</t>
  </si>
  <si>
    <t>15,23</t>
  </si>
  <si>
    <t>PINTURA COM TINTA EPOXÍDICA DE ACABAMENTO APLICADA A ROLO OU PINCEL SOBRE PERFIL METÁLICO EXECUTADO EM FÁBRICA (POR DEMÃO). AF_01/2020</t>
  </si>
  <si>
    <t>18,27</t>
  </si>
  <si>
    <t>PINTURA COM TINTA ACRÍLICA DE FUNDO PULVERIZADA SOBRE SUPERFÍCIES METÁLICAS (EXCETO PERFIL) EXECUTADO EM OBRA (POR DEMÃO). AF_01/2020</t>
  </si>
  <si>
    <t>9,94</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</si>
  <si>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</si>
  <si>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</si>
  <si>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</si>
  <si>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</si>
  <si>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</si>
  <si>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</si>
  <si>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</si>
  <si>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</si>
  <si>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</si>
  <si>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</si>
  <si>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</si>
  <si>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t>
  </si>
  <si>
    <t>7,64</t>
  </si>
  <si>
    <t>PINTURA COM TINTA ALQUÍDICA DE ACABAMENTO (ESMALTE SINTÉTICO FOSCO) APLICADA A ROLO OU PINCEL SOBRE PERFIL METÁLICO EXECUTADO EM FÁBRICA (POR DEMÃO). AF_01/2020</t>
  </si>
  <si>
    <t>8,70</t>
  </si>
  <si>
    <t>PINTURA COM TINTA ALQUÍDICA DE ACABAMENTO (ESMALTE SINTÉTICO FOSCO) PULVERIZADA SOBRE SUPERFÍCIES METÁLICAS (EXCETO PERFIL) EXECUTADO EM OBRA (POR DEMÃO). AF_01/2020</t>
  </si>
  <si>
    <t>19,12</t>
  </si>
  <si>
    <t>PINTURA COM TINTA ALQUÍDICA DE ACABAMENTO (ESMALTE SINTÉTICO FOSCO) APLICADA A ROLO OU PINCEL SOBRE SUPERFÍCIES METÁLICAS (EXCETO PERFIL) EXECUTADO EM OBRA (POR DEMÃO). AF_01/2020</t>
  </si>
  <si>
    <t>19,69</t>
  </si>
  <si>
    <t>PINTURA COM TINTA EPOXÍDICA DE ACABAMENTO PULVERIZADA SOBRE PERFIL METÁLICO EXECUTADO EM FÁBRICA (02 DEMÃOS). AF_01/2020</t>
  </si>
  <si>
    <t>30,48</t>
  </si>
  <si>
    <t>PINTURA COM TINTA EPOXÍDICA DE ACABAMENTO APLICADA A ROLO OU PINCEL SOBRE PERFIL METÁLICO EXECUTADO EM FÁBRICA (02 DEMÃOS). AF_01/2020</t>
  </si>
  <si>
    <t>36,57</t>
  </si>
  <si>
    <t>PINTURA COM TINTA ACRÍLICA DE ACABAMENTO PULVERIZADA SOBRE SUPERFÍCIES METÁLICAS (EXCETO PERFIL) EXECUTADO EM OBRA (02 DEMÃOS). AF_01/2020</t>
  </si>
  <si>
    <t>16,84</t>
  </si>
  <si>
    <t>PINTURA COM TINTA ACRÍLICA DE ACABAMENTO APLICADA A ROLO OU PINCEL SOBRE SUPERFÍCIES METÁLICAS (EXCETO PERFIL) EXECUTADO EM OBRA (02 DEMÃOS). AF_01/2020</t>
  </si>
  <si>
    <t>23,02</t>
  </si>
  <si>
    <t>PINTURA COM TINTA ALQUÍDICA DE ACABAMENTO (ESMALTE SINTÉTICO ACETINADO) PULVERIZADA SOBRE SUPERFÍCIES METÁLICAS (EXCETO PERFIL) EXECUTADO EM OBRA (02 DEMÃOS). AF_01/2020</t>
  </si>
  <si>
    <t>37,19</t>
  </si>
  <si>
    <t>PINTURA COM TINTA ALQUÍDICA DE ACABAMENTO (ESMALTE SINTÉTICO ACETINADO) APLICADA A ROLO OU PINCEL SOBRE SUPERFÍCIES METÁLICAS (EXCETO PERFIL) EXECUTADO EM OBRA (02 DEMÃOS). AF_01/2020</t>
  </si>
  <si>
    <t>38,76</t>
  </si>
  <si>
    <t>PINTURA COM TINTA ALQUÍDICA DE ACABAMENTO (ESMALTE SINTÉTICO BRILHANTE) PULVERIZADA SOBRE SUPERFÍCIES METÁLICAS (EXCETO PERFIL) EXECUTADO EM OBRA (02 DEMÃOS). AF_01/2020</t>
  </si>
  <si>
    <t>36,88</t>
  </si>
  <si>
    <t>PINTURA COM TINTA ALQUÍDICA DE ACABAMENTO (ESMALTE SINTÉTICO BRILHANTE) APLICADA A ROLO OU PINCEL SOBRE SUPERFÍCIES METÁLICAS (EXCETO PERFIL) EXECUTADO EM OBRA (02 DEMÃOS). AF_01/2020</t>
  </si>
  <si>
    <t>38,57</t>
  </si>
  <si>
    <t>PINTURA COM TINTA ALQUÍDICA DE ACABAMENTO (ESMALTE SINTÉTICO FOSCO) PULVERIZADA SOBRE SUPERFÍCIES METÁLICAS (EXCETO PERFIL) EXECUTADO EM OBRA (02 DEMÃOS). AF_01/2020</t>
  </si>
  <si>
    <t>38,25</t>
  </si>
  <si>
    <t>PINTURA COM TINTA ALQUÍDICA DE ACABAMENTO (ESMALTE SINTÉTICO FOSCO) APLICADA A ROLO OU PINCEL SOBRE SUPERFÍCIES METÁLICAS (EXCETO PERFIL) EXECUTADO EM OBRA (02 DEMÃOS). AF_01/2020</t>
  </si>
  <si>
    <t>39,42</t>
  </si>
  <si>
    <t>17,71</t>
  </si>
  <si>
    <t>13,09</t>
  </si>
  <si>
    <t>20,50</t>
  </si>
  <si>
    <t>23,40</t>
  </si>
  <si>
    <t>19,16</t>
  </si>
  <si>
    <t>81,41</t>
  </si>
  <si>
    <t>134,88</t>
  </si>
  <si>
    <t>40,01</t>
  </si>
  <si>
    <t>33,96</t>
  </si>
  <si>
    <t>45,59</t>
  </si>
  <si>
    <t>29,70</t>
  </si>
  <si>
    <t>70,09</t>
  </si>
  <si>
    <t>58,94</t>
  </si>
  <si>
    <t>90,02</t>
  </si>
  <si>
    <t>79,49</t>
  </si>
  <si>
    <t>73,10</t>
  </si>
  <si>
    <t>103,32</t>
  </si>
  <si>
    <t>91,36</t>
  </si>
  <si>
    <t>83,82</t>
  </si>
  <si>
    <t>33,64</t>
  </si>
  <si>
    <t>31,18</t>
  </si>
  <si>
    <t>30,79</t>
  </si>
  <si>
    <t>25,71</t>
  </si>
  <si>
    <t>400,16</t>
  </si>
  <si>
    <t>78,47</t>
  </si>
  <si>
    <t>273,26</t>
  </si>
  <si>
    <t>130,74</t>
  </si>
  <si>
    <t>331,54</t>
  </si>
  <si>
    <t>274,65</t>
  </si>
  <si>
    <t>135,86</t>
  </si>
  <si>
    <t>24,24</t>
  </si>
  <si>
    <t>60,43</t>
  </si>
  <si>
    <t>32,63</t>
  </si>
  <si>
    <t>85,81</t>
  </si>
  <si>
    <t>176,59</t>
  </si>
  <si>
    <t>72,06</t>
  </si>
  <si>
    <t>16,60</t>
  </si>
  <si>
    <t>50,67</t>
  </si>
  <si>
    <t>24,52</t>
  </si>
  <si>
    <t>51,82</t>
  </si>
  <si>
    <t>17,33</t>
  </si>
  <si>
    <t>5,21</t>
  </si>
  <si>
    <t>25,70</t>
  </si>
  <si>
    <t>45,63</t>
  </si>
  <si>
    <t>49,11</t>
  </si>
  <si>
    <t>591,92</t>
  </si>
  <si>
    <t>425,09</t>
  </si>
  <si>
    <t>49,86</t>
  </si>
  <si>
    <t>73,80</t>
  </si>
  <si>
    <t>60,44</t>
  </si>
  <si>
    <t>85,73</t>
  </si>
  <si>
    <t>69,04</t>
  </si>
  <si>
    <t>97,22</t>
  </si>
  <si>
    <t>77,21</t>
  </si>
  <si>
    <t>45,09</t>
  </si>
  <si>
    <t>50,21</t>
  </si>
  <si>
    <t>32,82</t>
  </si>
  <si>
    <t>36,94</t>
  </si>
  <si>
    <t>42,89</t>
  </si>
  <si>
    <t>69,37</t>
  </si>
  <si>
    <t>78,13</t>
  </si>
  <si>
    <t>62,23</t>
  </si>
  <si>
    <t>35,68</t>
  </si>
  <si>
    <t>81,85</t>
  </si>
  <si>
    <t>38,51</t>
  </si>
  <si>
    <t>88,79</t>
  </si>
  <si>
    <t>38,81</t>
  </si>
  <si>
    <t>42,05</t>
  </si>
  <si>
    <t>46,17</t>
  </si>
  <si>
    <t>67,71</t>
  </si>
  <si>
    <t>74,83</t>
  </si>
  <si>
    <t>38,19</t>
  </si>
  <si>
    <t>42,31</t>
  </si>
  <si>
    <t>70,97</t>
  </si>
  <si>
    <t>48,26</t>
  </si>
  <si>
    <t>74,74</t>
  </si>
  <si>
    <t>83,50</t>
  </si>
  <si>
    <t>19,05</t>
  </si>
  <si>
    <t>27,13</t>
  </si>
  <si>
    <t>15,97</t>
  </si>
  <si>
    <t>21,85</t>
  </si>
  <si>
    <t>26,60</t>
  </si>
  <si>
    <t>58,64</t>
  </si>
  <si>
    <t>64,44</t>
  </si>
  <si>
    <t>104,81</t>
  </si>
  <si>
    <t>62,31</t>
  </si>
  <si>
    <t>101,66</t>
  </si>
  <si>
    <t>112,59</t>
  </si>
  <si>
    <t>69,08</t>
  </si>
  <si>
    <t>114,33</t>
  </si>
  <si>
    <t>126,88</t>
  </si>
  <si>
    <t>52,89</t>
  </si>
  <si>
    <t>58,69</t>
  </si>
  <si>
    <t>89,03</t>
  </si>
  <si>
    <t>99,06</t>
  </si>
  <si>
    <t>56,58</t>
  </si>
  <si>
    <t>62,90</t>
  </si>
  <si>
    <t>95,93</t>
  </si>
  <si>
    <t>106,86</t>
  </si>
  <si>
    <t>63,33</t>
  </si>
  <si>
    <t>70,59</t>
  </si>
  <si>
    <t>108,58</t>
  </si>
  <si>
    <t>121,13</t>
  </si>
  <si>
    <t>35,52</t>
  </si>
  <si>
    <t>39,52</t>
  </si>
  <si>
    <t>34,45</t>
  </si>
  <si>
    <t>38,89</t>
  </si>
  <si>
    <t>30,99</t>
  </si>
  <si>
    <t>12,03</t>
  </si>
  <si>
    <t>4,54</t>
  </si>
  <si>
    <t>3,18</t>
  </si>
  <si>
    <t>4,58</t>
  </si>
  <si>
    <t>4,45</t>
  </si>
  <si>
    <t>6,35</t>
  </si>
  <si>
    <t>17,89</t>
  </si>
  <si>
    <t>5,76</t>
  </si>
  <si>
    <t>7,66</t>
  </si>
  <si>
    <t>5,10</t>
  </si>
  <si>
    <t>6,98</t>
  </si>
  <si>
    <t>18,23</t>
  </si>
  <si>
    <t>17,61</t>
  </si>
  <si>
    <t>44,79</t>
  </si>
  <si>
    <t>42,32</t>
  </si>
  <si>
    <t>40,06</t>
  </si>
  <si>
    <t>33,90</t>
  </si>
  <si>
    <t>54,88</t>
  </si>
  <si>
    <t>19,54</t>
  </si>
  <si>
    <t>22,94</t>
  </si>
  <si>
    <t>20,02</t>
  </si>
  <si>
    <t>25,82</t>
  </si>
  <si>
    <t>14,41</t>
  </si>
  <si>
    <t>16,13</t>
  </si>
  <si>
    <t>21,53</t>
  </si>
  <si>
    <t>23,26</t>
  </si>
  <si>
    <t>28,78</t>
  </si>
  <si>
    <t>30,51</t>
  </si>
  <si>
    <t>33,75</t>
  </si>
  <si>
    <t>34,42</t>
  </si>
  <si>
    <t>16,71</t>
  </si>
  <si>
    <t>23,31</t>
  </si>
  <si>
    <t>24,82</t>
  </si>
  <si>
    <t>26,10</t>
  </si>
  <si>
    <t>32,14</t>
  </si>
  <si>
    <t>34,04</t>
  </si>
  <si>
    <t>34,93</t>
  </si>
  <si>
    <t>31,39</t>
  </si>
  <si>
    <t>35,18</t>
  </si>
  <si>
    <t>28,26</t>
  </si>
  <si>
    <t>32,05</t>
  </si>
  <si>
    <t>27,14</t>
  </si>
  <si>
    <t>24,01</t>
  </si>
  <si>
    <t>27,80</t>
  </si>
  <si>
    <t>41,25</t>
  </si>
  <si>
    <t>37,58</t>
  </si>
  <si>
    <t>34,88</t>
  </si>
  <si>
    <t>13,32</t>
  </si>
  <si>
    <t>21,51</t>
  </si>
  <si>
    <t>20,54</t>
  </si>
  <si>
    <t>17,27</t>
  </si>
  <si>
    <t>16,28</t>
  </si>
  <si>
    <t>26,15</t>
  </si>
  <si>
    <t>22,49</t>
  </si>
  <si>
    <t>47,65</t>
  </si>
  <si>
    <t>51,83</t>
  </si>
  <si>
    <t>56,07</t>
  </si>
  <si>
    <t>61,47</t>
  </si>
  <si>
    <t>59,20</t>
  </si>
  <si>
    <t>64,52</t>
  </si>
  <si>
    <t>76,51</t>
  </si>
  <si>
    <t>88,23</t>
  </si>
  <si>
    <t>32,00</t>
  </si>
  <si>
    <t>34,20</t>
  </si>
  <si>
    <t>36,11</t>
  </si>
  <si>
    <t>40,07</t>
  </si>
  <si>
    <t>44,78</t>
  </si>
  <si>
    <t>43,20</t>
  </si>
  <si>
    <t>55,35</t>
  </si>
  <si>
    <t>55,33</t>
  </si>
  <si>
    <t>72,07</t>
  </si>
  <si>
    <t>75,03</t>
  </si>
  <si>
    <t>76,85</t>
  </si>
  <si>
    <t>83,12</t>
  </si>
  <si>
    <t>87,44</t>
  </si>
  <si>
    <t>85,85</t>
  </si>
  <si>
    <t>90,82</t>
  </si>
  <si>
    <t>98,01</t>
  </si>
  <si>
    <t>129,60</t>
  </si>
  <si>
    <t>134,14</t>
  </si>
  <si>
    <t>60,36</t>
  </si>
  <si>
    <t>69,53</t>
  </si>
  <si>
    <t>76,42</t>
  </si>
  <si>
    <t>107,81</t>
  </si>
  <si>
    <t>73,50</t>
  </si>
  <si>
    <t>101,72</t>
  </si>
  <si>
    <t>67,97</t>
  </si>
  <si>
    <t>114,81</t>
  </si>
  <si>
    <t>78,41</t>
  </si>
  <si>
    <t>107,20</t>
  </si>
  <si>
    <t>71,34</t>
  </si>
  <si>
    <t>113,95</t>
  </si>
  <si>
    <t>102,31</t>
  </si>
  <si>
    <t>75,33</t>
  </si>
  <si>
    <t>117,56</t>
  </si>
  <si>
    <t>83,25</t>
  </si>
  <si>
    <t>110,29</t>
  </si>
  <si>
    <t>76,55</t>
  </si>
  <si>
    <t>124,58</t>
  </si>
  <si>
    <t>88,18</t>
  </si>
  <si>
    <t>115,76</t>
  </si>
  <si>
    <t>79,89</t>
  </si>
  <si>
    <t>123,70</t>
  </si>
  <si>
    <t>83,89</t>
  </si>
  <si>
    <t>81,98</t>
  </si>
  <si>
    <t>96,85</t>
  </si>
  <si>
    <t>28,92</t>
  </si>
  <si>
    <t>19,03</t>
  </si>
  <si>
    <t>28,42</t>
  </si>
  <si>
    <t>37,40</t>
  </si>
  <si>
    <t>27,26</t>
  </si>
  <si>
    <t>29,40</t>
  </si>
  <si>
    <t>226,25</t>
  </si>
  <si>
    <t>207,67</t>
  </si>
  <si>
    <t>218,49</t>
  </si>
  <si>
    <t>264,09</t>
  </si>
  <si>
    <t>56,37</t>
  </si>
  <si>
    <t>49,43</t>
  </si>
  <si>
    <t>58,82</t>
  </si>
  <si>
    <t>60,75</t>
  </si>
  <si>
    <t>53,20</t>
  </si>
  <si>
    <t>62,82</t>
  </si>
  <si>
    <t>64,49</t>
  </si>
  <si>
    <t>55,28</t>
  </si>
  <si>
    <t>65,95</t>
  </si>
  <si>
    <t>250,65</t>
  </si>
  <si>
    <t>230,83</t>
  </si>
  <si>
    <t>241,65</t>
  </si>
  <si>
    <t>291,51</t>
  </si>
  <si>
    <t>54,44</t>
  </si>
  <si>
    <t>36,83</t>
  </si>
  <si>
    <t>46,10</t>
  </si>
  <si>
    <t>47,54</t>
  </si>
  <si>
    <t>40,72</t>
  </si>
  <si>
    <t>49,99</t>
  </si>
  <si>
    <t>46,92</t>
  </si>
  <si>
    <t>66,14</t>
  </si>
  <si>
    <t>93,94</t>
  </si>
  <si>
    <t>106,29</t>
  </si>
  <si>
    <t>130,43</t>
  </si>
  <si>
    <t>31,55</t>
  </si>
  <si>
    <t>40,44</t>
  </si>
  <si>
    <t>56,78</t>
  </si>
  <si>
    <t>57,42</t>
  </si>
  <si>
    <t>49,57</t>
  </si>
  <si>
    <t>101,95</t>
  </si>
  <si>
    <t>93,15</t>
  </si>
  <si>
    <t>34,38</t>
  </si>
  <si>
    <t>37,12</t>
  </si>
  <si>
    <t>42,17</t>
  </si>
  <si>
    <t>110,81</t>
  </si>
  <si>
    <t>152,56</t>
  </si>
  <si>
    <t>161,92</t>
  </si>
  <si>
    <t>12,50</t>
  </si>
  <si>
    <t>312,90</t>
  </si>
  <si>
    <t>307,33</t>
  </si>
  <si>
    <t>319,28</t>
  </si>
  <si>
    <t>312,75</t>
  </si>
  <si>
    <t>396,99</t>
  </si>
  <si>
    <t>382,65</t>
  </si>
  <si>
    <t>387,45</t>
  </si>
  <si>
    <t>379,61</t>
  </si>
  <si>
    <t>395,84</t>
  </si>
  <si>
    <t>380,62</t>
  </si>
  <si>
    <t>395,15</t>
  </si>
  <si>
    <t>373,23</t>
  </si>
  <si>
    <t>443,73</t>
  </si>
  <si>
    <t>312,33</t>
  </si>
  <si>
    <t>410,80</t>
  </si>
  <si>
    <t>403,22</t>
  </si>
  <si>
    <t>378,43</t>
  </si>
  <si>
    <t>379,80</t>
  </si>
  <si>
    <t>367,39</t>
  </si>
  <si>
    <t>359,30</t>
  </si>
  <si>
    <t>312,35</t>
  </si>
  <si>
    <t>304,46</t>
  </si>
  <si>
    <t>358,94</t>
  </si>
  <si>
    <t>352,09</t>
  </si>
  <si>
    <t>336,22</t>
  </si>
  <si>
    <t>323,95</t>
  </si>
  <si>
    <t>2.348,19</t>
  </si>
  <si>
    <t>2.350,80</t>
  </si>
  <si>
    <t>2.410,17</t>
  </si>
  <si>
    <t>2.407,13</t>
  </si>
  <si>
    <t>2.362,88</t>
  </si>
  <si>
    <t>2.365,89</t>
  </si>
  <si>
    <t>330,53</t>
  </si>
  <si>
    <t>285,65</t>
  </si>
  <si>
    <t>350,80</t>
  </si>
  <si>
    <t>299,97</t>
  </si>
  <si>
    <t>414,28</t>
  </si>
  <si>
    <t>367,55</t>
  </si>
  <si>
    <t>391,34</t>
  </si>
  <si>
    <t>363,14</t>
  </si>
  <si>
    <t>385,83</t>
  </si>
  <si>
    <t>375,00</t>
  </si>
  <si>
    <t>383,25</t>
  </si>
  <si>
    <t>372,49</t>
  </si>
  <si>
    <t>538,59</t>
  </si>
  <si>
    <t>444,03</t>
  </si>
  <si>
    <t>420,03</t>
  </si>
  <si>
    <t>466,37</t>
  </si>
  <si>
    <t>412,81</t>
  </si>
  <si>
    <t>383,00</t>
  </si>
  <si>
    <t>425,04</t>
  </si>
  <si>
    <t>380,80</t>
  </si>
  <si>
    <t>357,31</t>
  </si>
  <si>
    <t>394,12</t>
  </si>
  <si>
    <t>336,14</t>
  </si>
  <si>
    <t>347,39</t>
  </si>
  <si>
    <t>292,93</t>
  </si>
  <si>
    <t>421,46</t>
  </si>
  <si>
    <t>362,87</t>
  </si>
  <si>
    <t>336,52</t>
  </si>
  <si>
    <t>365,92</t>
  </si>
  <si>
    <t>326,50</t>
  </si>
  <si>
    <t>307,18</t>
  </si>
  <si>
    <t>2.325,31</t>
  </si>
  <si>
    <t>2.302,66</t>
  </si>
  <si>
    <t>2.387,60</t>
  </si>
  <si>
    <t>2.352,67</t>
  </si>
  <si>
    <t>2.349,51</t>
  </si>
  <si>
    <t>2.346,55</t>
  </si>
  <si>
    <t>2.322,44</t>
  </si>
  <si>
    <t>406,95</t>
  </si>
  <si>
    <t>491,64</t>
  </si>
  <si>
    <t>485,77</t>
  </si>
  <si>
    <t>496,61</t>
  </si>
  <si>
    <t>482,39</t>
  </si>
  <si>
    <t>477,13</t>
  </si>
  <si>
    <t>554,24</t>
  </si>
  <si>
    <t>506,42</t>
  </si>
  <si>
    <t>481,76</t>
  </si>
  <si>
    <t>467,15</t>
  </si>
  <si>
    <t>414,10</t>
  </si>
  <si>
    <t>464,22</t>
  </si>
  <si>
    <t>430,32</t>
  </si>
  <si>
    <t>2.435,55</t>
  </si>
  <si>
    <t>2.487,31</t>
  </si>
  <si>
    <t>2.452,20</t>
  </si>
  <si>
    <t>723,88</t>
  </si>
  <si>
    <t>713,99</t>
  </si>
  <si>
    <t>703,33</t>
  </si>
  <si>
    <t>1.019,26</t>
  </si>
  <si>
    <t>1.006,19</t>
  </si>
  <si>
    <t>997,20</t>
  </si>
  <si>
    <t>2.356,61</t>
  </si>
  <si>
    <t>2.358,31</t>
  </si>
  <si>
    <t>2.364,26</t>
  </si>
  <si>
    <t>3.408,32</t>
  </si>
  <si>
    <t>3.434,02</t>
  </si>
  <si>
    <t>3.460,48</t>
  </si>
  <si>
    <t>2.684,99</t>
  </si>
  <si>
    <t>2.700,97</t>
  </si>
  <si>
    <t>2.718,14</t>
  </si>
  <si>
    <t>870,24</t>
  </si>
  <si>
    <t>1.171,42</t>
  </si>
  <si>
    <t>3.633,18</t>
  </si>
  <si>
    <t>2.895,03</t>
  </si>
  <si>
    <t>2.470,58</t>
  </si>
  <si>
    <t>2.464,87</t>
  </si>
  <si>
    <t>745,32</t>
  </si>
  <si>
    <t>730,94</t>
  </si>
  <si>
    <t>798,62</t>
  </si>
  <si>
    <t>374,04</t>
  </si>
  <si>
    <t>452,53</t>
  </si>
  <si>
    <t>368,78</t>
  </si>
  <si>
    <t>451,41</t>
  </si>
  <si>
    <t>327,61</t>
  </si>
  <si>
    <t>414,19</t>
  </si>
  <si>
    <t>376,45</t>
  </si>
  <si>
    <t>547,34</t>
  </si>
  <si>
    <t>394,39</t>
  </si>
  <si>
    <t>365,03</t>
  </si>
  <si>
    <t>350,68</t>
  </si>
  <si>
    <t>454,81</t>
  </si>
  <si>
    <t>362,40</t>
  </si>
  <si>
    <t>332,73</t>
  </si>
  <si>
    <t>372,34</t>
  </si>
  <si>
    <t>335,21</t>
  </si>
  <si>
    <t>318,90</t>
  </si>
  <si>
    <t>474,59</t>
  </si>
  <si>
    <t>523,46</t>
  </si>
  <si>
    <t>465,81</t>
  </si>
  <si>
    <t>453,35</t>
  </si>
  <si>
    <t>556,47</t>
  </si>
  <si>
    <t>417,68</t>
  </si>
  <si>
    <t>453,94</t>
  </si>
  <si>
    <t>417,52</t>
  </si>
  <si>
    <t>402,58</t>
  </si>
  <si>
    <t>502,37</t>
  </si>
  <si>
    <t>357,71</t>
  </si>
  <si>
    <t>367,32</t>
  </si>
  <si>
    <t>367,19</t>
  </si>
  <si>
    <t>473,88</t>
  </si>
  <si>
    <t>417,18</t>
  </si>
  <si>
    <t>39,75</t>
  </si>
  <si>
    <t>0,60</t>
  </si>
  <si>
    <t>0,25</t>
  </si>
  <si>
    <t>1.132,52</t>
  </si>
  <si>
    <t>818,62</t>
  </si>
  <si>
    <t>294,24</t>
  </si>
  <si>
    <t>14,98</t>
  </si>
  <si>
    <t>2,11</t>
  </si>
  <si>
    <t>2,00</t>
  </si>
  <si>
    <t>24,39</t>
  </si>
  <si>
    <t>0,19</t>
  </si>
  <si>
    <t>0,42</t>
  </si>
  <si>
    <t>2,57</t>
  </si>
  <si>
    <t>3,08</t>
  </si>
  <si>
    <t>2,05</t>
  </si>
  <si>
    <t>20,28</t>
  </si>
  <si>
    <t>10,29</t>
  </si>
  <si>
    <t>2,60</t>
  </si>
  <si>
    <t>30,38</t>
  </si>
  <si>
    <t>64,57</t>
  </si>
  <si>
    <t>48,40</t>
  </si>
  <si>
    <t>0,95</t>
  </si>
  <si>
    <t>25,40</t>
  </si>
  <si>
    <t>30,89</t>
  </si>
  <si>
    <t>14,18</t>
  </si>
  <si>
    <t>2,44</t>
  </si>
  <si>
    <t>120,97</t>
  </si>
  <si>
    <t>32,50</t>
  </si>
  <si>
    <t>13,83</t>
  </si>
  <si>
    <t>0,41</t>
  </si>
  <si>
    <t>8,36</t>
  </si>
  <si>
    <t>2,72</t>
  </si>
  <si>
    <t>2,73</t>
  </si>
  <si>
    <t>1,48</t>
  </si>
  <si>
    <t>43,21</t>
  </si>
  <si>
    <t>78,03</t>
  </si>
  <si>
    <t>382,13</t>
  </si>
  <si>
    <t>117,99</t>
  </si>
  <si>
    <t>472,38</t>
  </si>
  <si>
    <t>407,27</t>
  </si>
  <si>
    <t>1.390,90</t>
  </si>
  <si>
    <t>50,88</t>
  </si>
  <si>
    <t>39,37</t>
  </si>
  <si>
    <t>33,60</t>
  </si>
  <si>
    <t>58,12</t>
  </si>
  <si>
    <t>44,42</t>
  </si>
  <si>
    <t>37,47</t>
  </si>
  <si>
    <t>44,58</t>
  </si>
  <si>
    <t>43,80</t>
  </si>
  <si>
    <t>76,41</t>
  </si>
  <si>
    <t>46,18</t>
  </si>
  <si>
    <t>11,39</t>
  </si>
  <si>
    <t>153,83</t>
  </si>
  <si>
    <t>23,71</t>
  </si>
  <si>
    <t>5,02</t>
  </si>
  <si>
    <t>53,57</t>
  </si>
  <si>
    <t>613,57</t>
  </si>
  <si>
    <t>115,58</t>
  </si>
  <si>
    <t>0,45</t>
  </si>
  <si>
    <t>54,03</t>
  </si>
  <si>
    <t>2,69</t>
  </si>
  <si>
    <t>65,14</t>
  </si>
  <si>
    <t>13,75</t>
  </si>
  <si>
    <t>89,44</t>
  </si>
  <si>
    <t>43,59</t>
  </si>
  <si>
    <t>133,53</t>
  </si>
  <si>
    <t>34,71</t>
  </si>
  <si>
    <t>452,32</t>
  </si>
  <si>
    <t>208,18</t>
  </si>
  <si>
    <t>215,42</t>
  </si>
  <si>
    <t>98,40</t>
  </si>
  <si>
    <t>17,63</t>
  </si>
  <si>
    <t>2,02</t>
  </si>
  <si>
    <t>15,64</t>
  </si>
  <si>
    <t>2,29</t>
  </si>
  <si>
    <t>19,21</t>
  </si>
  <si>
    <t>1,59</t>
  </si>
  <si>
    <t>66,20</t>
  </si>
  <si>
    <t>83,33</t>
  </si>
  <si>
    <t>167,33</t>
  </si>
  <si>
    <t>331,65</t>
  </si>
  <si>
    <t>123,89</t>
  </si>
  <si>
    <t>171,50</t>
  </si>
  <si>
    <t>0,52</t>
  </si>
  <si>
    <t>22,66</t>
  </si>
  <si>
    <t>117,30</t>
  </si>
  <si>
    <t>108,50</t>
  </si>
  <si>
    <t>72,09</t>
  </si>
  <si>
    <t>2,06</t>
  </si>
  <si>
    <t>3,60</t>
  </si>
  <si>
    <t>1,25</t>
  </si>
  <si>
    <t>0,83</t>
  </si>
  <si>
    <t>0,89</t>
  </si>
  <si>
    <t>0,76</t>
  </si>
  <si>
    <t>30,81</t>
  </si>
  <si>
    <t>48,62</t>
  </si>
  <si>
    <t>38,37</t>
  </si>
  <si>
    <t>58,76</t>
  </si>
  <si>
    <t>56,16</t>
  </si>
  <si>
    <t>4,09</t>
  </si>
  <si>
    <t>195,03</t>
  </si>
  <si>
    <t>125,44</t>
  </si>
  <si>
    <t>108,93</t>
  </si>
  <si>
    <t>31,98</t>
  </si>
  <si>
    <t>51,51</t>
  </si>
  <si>
    <t>95,82</t>
  </si>
  <si>
    <t>243,61</t>
  </si>
  <si>
    <t>113,02</t>
  </si>
  <si>
    <t>13,51</t>
  </si>
  <si>
    <t>13,38</t>
  </si>
  <si>
    <t>4,14</t>
  </si>
  <si>
    <t>5,43</t>
  </si>
  <si>
    <t>123,20</t>
  </si>
  <si>
    <t>59,15</t>
  </si>
  <si>
    <t>105,39</t>
  </si>
  <si>
    <t>202,34</t>
  </si>
  <si>
    <t>72,05</t>
  </si>
  <si>
    <t>197,26</t>
  </si>
  <si>
    <t>505,46</t>
  </si>
  <si>
    <t>799,88</t>
  </si>
  <si>
    <t>18,81</t>
  </si>
  <si>
    <t>17,73</t>
  </si>
  <si>
    <t>16,55</t>
  </si>
  <si>
    <t>19,70</t>
  </si>
  <si>
    <t>22,34</t>
  </si>
  <si>
    <t>17,59</t>
  </si>
  <si>
    <t>17,18</t>
  </si>
  <si>
    <t>35,90</t>
  </si>
  <si>
    <t>11,65</t>
  </si>
  <si>
    <t>34,75</t>
  </si>
  <si>
    <t>22,38</t>
  </si>
  <si>
    <t>28,72</t>
  </si>
  <si>
    <t>21,09</t>
  </si>
  <si>
    <t>15,05</t>
  </si>
  <si>
    <t>23,13</t>
  </si>
  <si>
    <t>22,57</t>
  </si>
  <si>
    <t>22,71</t>
  </si>
  <si>
    <t>23,70</t>
  </si>
  <si>
    <t>23,47</t>
  </si>
  <si>
    <t>23,08</t>
  </si>
  <si>
    <t>17,51</t>
  </si>
  <si>
    <t>21,55</t>
  </si>
  <si>
    <t>17,58</t>
  </si>
  <si>
    <t>17,90</t>
  </si>
  <si>
    <t>20,31</t>
  </si>
  <si>
    <t>23,80</t>
  </si>
  <si>
    <t>19,33</t>
  </si>
  <si>
    <t>20,82</t>
  </si>
  <si>
    <t>24,79</t>
  </si>
  <si>
    <t>24,99</t>
  </si>
  <si>
    <t>26,05</t>
  </si>
  <si>
    <t>50,44</t>
  </si>
  <si>
    <t>20,88</t>
  </si>
  <si>
    <t>21,73</t>
  </si>
  <si>
    <t>27,19</t>
  </si>
  <si>
    <t>29,25</t>
  </si>
  <si>
    <t>35,29</t>
  </si>
  <si>
    <t>64,31</t>
  </si>
  <si>
    <t>90,93</t>
  </si>
  <si>
    <t>119,92</t>
  </si>
  <si>
    <t>28,98</t>
  </si>
  <si>
    <t>24,66</t>
  </si>
  <si>
    <t>13,26</t>
  </si>
  <si>
    <t>24,41</t>
  </si>
  <si>
    <t>87,30</t>
  </si>
  <si>
    <t>99,21</t>
  </si>
  <si>
    <t>135,27</t>
  </si>
  <si>
    <t>103,60</t>
  </si>
  <si>
    <t>95,67</t>
  </si>
  <si>
    <t>3.360,82</t>
  </si>
  <si>
    <t>4.860,62</t>
  </si>
  <si>
    <t>2.377,43</t>
  </si>
  <si>
    <t>4.364,85</t>
  </si>
  <si>
    <t>5.178,29</t>
  </si>
  <si>
    <t>5.224,58</t>
  </si>
  <si>
    <t>6.287,90</t>
  </si>
  <si>
    <t>15.544,20</t>
  </si>
  <si>
    <t>4.408,45</t>
  </si>
  <si>
    <t>17.666,43</t>
  </si>
  <si>
    <t>24.080,27</t>
  </si>
  <si>
    <t>11.469,04</t>
  </si>
  <si>
    <t>16.211,52</t>
  </si>
  <si>
    <t>21.372,27</t>
  </si>
  <si>
    <t>3.232,10</t>
  </si>
  <si>
    <t>4.764,31</t>
  </si>
  <si>
    <t>3.873,74</t>
  </si>
  <si>
    <t>0,05</t>
  </si>
  <si>
    <t>0,50</t>
  </si>
  <si>
    <t>1,35</t>
  </si>
  <si>
    <t>2,35</t>
  </si>
  <si>
    <t>13,42</t>
  </si>
  <si>
    <t>13,52</t>
  </si>
  <si>
    <t>67,42</t>
  </si>
  <si>
    <t>118,84</t>
  </si>
  <si>
    <t>184,91</t>
  </si>
  <si>
    <t>49,41</t>
  </si>
  <si>
    <t>70,19</t>
  </si>
  <si>
    <t>92,79</t>
  </si>
  <si>
    <t>32,77</t>
  </si>
  <si>
    <t>49,74</t>
  </si>
  <si>
    <t>22,65</t>
  </si>
  <si>
    <t>126,67</t>
  </si>
  <si>
    <t>88,35</t>
  </si>
  <si>
    <t>99,55</t>
  </si>
  <si>
    <t>21,67</t>
  </si>
  <si>
    <t>42,54</t>
  </si>
  <si>
    <t>60,30</t>
  </si>
  <si>
    <t>94,29</t>
  </si>
  <si>
    <t>69,43</t>
  </si>
  <si>
    <t>4.050,20</t>
  </si>
  <si>
    <t>22.584,56</t>
  </si>
  <si>
    <t>12.664,96</t>
  </si>
  <si>
    <t>15.741,91</t>
  </si>
  <si>
    <t>17.735,80</t>
  </si>
  <si>
    <t>7.578,87</t>
  </si>
  <si>
    <t>3.018,75</t>
  </si>
  <si>
    <t>ABRANGÊNCIA : NACIONAL           LOCALIDADE  : BRASILIA             DATA DE PREÇO   : 01/2020 REFERÊNCIA COLETA : MEDIANO</t>
  </si>
  <si>
    <t xml:space="preserve">        PRECOS DE INSUMOS - BANCO NACIONAL</t>
  </si>
  <si>
    <t>MES DE COLETA: 01/2020</t>
  </si>
  <si>
    <t>ENCARGOS SOCIAIS (%) HORISTA 112,85  MENSALISTA  72,54</t>
  </si>
  <si>
    <t>UNIDADE DE MEDIDA</t>
  </si>
  <si>
    <t>PRECO MEDIANO R$</t>
  </si>
  <si>
    <t xml:space="preserve">!EM PROCESSO DE DESATIVACAO! CAIXA DE PROTECAO PARA 1 MEDIDOR MONOFASICO, EM CHAPA DE ACO 20 USG (PADRAO DA CONCESSIONARIA LOCAL)                                                                                                                                                                                                                                                                                                                                                                         </t>
  </si>
  <si>
    <t>112,07</t>
  </si>
  <si>
    <t xml:space="preserve">!EM PROCESSO DE DESATIVACAO! CAIXA INTERNA/EXTERNA DE MEDICAO PARA 1 MEDIDOR MONOFASICO, COM VISOR, EM CHAPA DE ACO 18 USG (PADRAO DA CONCESSIONARIA LOCAL)                                                                                                                                                                                                                                                                                                                                               </t>
  </si>
  <si>
    <t>68,60</t>
  </si>
  <si>
    <t xml:space="preserve">!EM PROCESSO DE DESATIVACAO! DIVISORIA COLMEIA CEGA COM MONTANTE E RODAPE DE ALUMINIO ANODIZADO SIMPLES (SEM COLOCACAO)                                                                                                                                                                                                                                                                                                                                                                                   </t>
  </si>
  <si>
    <t>83,80</t>
  </si>
  <si>
    <t xml:space="preserve">!EM PROCESSO DE DESATIVACAO! ESCAVADEIRA DRAGA DE ARRASTE, CAP. 3/4 JC 140HP (INCL MANUTENCAO/OPERACAO)                                                                                                                                                                                                                                                                                                                                                                                                   </t>
  </si>
  <si>
    <t>159,33</t>
  </si>
  <si>
    <t xml:space="preserve">!EM PROCESSO DE DESATIVACAO! ESCAVADEIRA HIDRAULICA SOBRE ESTEIRAS DE 99 HP, PESO OPERACIONAL DE *16* T E CAPACIDADE DE 0,85 A 1,00 M3 (LOCACAO COM OPERADOR, COMBUSTIVEL E MANUTENCAO)                                                                                                                                                                                                                                                                                                                   </t>
  </si>
  <si>
    <t>135,00</t>
  </si>
  <si>
    <t xml:space="preserve">!EM PROCESSO DE DESATIVACAO! HASTE DE ATERRAMENTO EM ACO COM 3,00 M DE COMPRIMENTO E DN = 3/4", REVESTIDA COM BAIXA CAMADA DE COBRE, SEM CONECTOR                                                                                                                                                                                                                                                                                                                                                         </t>
  </si>
  <si>
    <t>69,01</t>
  </si>
  <si>
    <t xml:space="preserve">!EM PROCESSO DE DESATIVACAO! HASTE DE ATERRAMENTO EM ACO COM 3,00 M DE COMPRIMENTO E DN = 5/8", REVESTIDA COM BAIXA CAMADA DE COBRE, COM CONECTOR TIPO GRAMPO                                                                                                                                                                                                                                                                                                                                             </t>
  </si>
  <si>
    <t>48,31</t>
  </si>
  <si>
    <t xml:space="preserve">!EM PROCESSO DE DESATIVACAO! HASTE DE ATERRAMENTO EM ACO COM 3,00 M DE COMPRIMENTO E DN = 5/8", REVESTIDA COM BAIXA CAMADA DE COBRE, SEM CONECTOR                                                                                                                                                                                                                                                                                                                                                         </t>
  </si>
  <si>
    <t>46,64</t>
  </si>
  <si>
    <t xml:space="preserve">!EM PROCESSO DE DESATIVACAO! LOCACAO DE GRUPO GERADOR *80 A 125* KVA, MOTOR DIESEL, REBOCAVEL, ACIONAMENTO MANUAL                                                                                                                                                                                                                                                                                                                                                                                         </t>
  </si>
  <si>
    <t>13,50</t>
  </si>
  <si>
    <t xml:space="preserve">!EM PROCESSO DE DESATIVACAO! LOCACAO DE GRUPO GERADOR ACIMA DE * 125 ATE 180* KVA, MOTOR DIESEL, REBOCAVEL, ACIONAMENTO MANUAL                                                                                                                                                                                                                                                                                                                                                                            </t>
  </si>
  <si>
    <t xml:space="preserve">!EM PROCESSO DE DESATIVACAO! LOCACAO DE GRUPO GERADOR ACIMA DE * 20 A 80* KVA, MOTOR DIESEL, REBOCAVEL, ACIONAMENTO MANUAL                                                                                                                                                                                                                                                                                                                                                                                </t>
  </si>
  <si>
    <t xml:space="preserve">!EM PROCESSO DE DESATIVACAO! LOCACAO DE GRUPO GERADOR DE *260* KVA, DIESEL REBOCAVEL, ACIONAMENTO MANUAL                                                                                                                                                                                                                                                                                                                                                                                                  </t>
  </si>
  <si>
    <t>22,12</t>
  </si>
  <si>
    <t xml:space="preserve">!EM PROCESSO DE DESATIVACAO! LOCACAO DE GRUPO GERADOR DE *400* KVA, DIESEL REBOCAVEL, ACIONAMENTO MANUAL                                                                                                                                                                                                                                                                                                                                                                                                  </t>
  </si>
  <si>
    <t>37,96</t>
  </si>
  <si>
    <t xml:space="preserve">!EM PROCESSO DE DESATIVACAO! LOCACAO DE GRUPO GERADOR DE *550* KVA, DIESEL REBOCAVEL, ACIONAMENTO MANUAL                                                                                                                                                                                                                                                                                                                                                                                                  </t>
  </si>
  <si>
    <t>46,28</t>
  </si>
  <si>
    <t xml:space="preserve">!EM PROCESSO DE DESATIVACAO! LUMINARIA FECHADA P/ ILUMINACAO PUBLICA, TIPO ABL 50/F OU EQUIV, P/ LAMPADA A VAPOR DE MERCURIO 400W                                                                                                                                                                                                                                                                                                                                                                         </t>
  </si>
  <si>
    <t xml:space="preserve">!EM PROCESSO DE DESATIVACAO! QUADRO DE DISTRIBUICAO SEM BARRAMENTO, COM PORTA, DE EMBUTIR, EM CHAPA DE ACO GALVANIZADO, PARA 3 DISJUNTORES NEMA                                                                                                                                                                                                                                                                                                                                                           </t>
  </si>
  <si>
    <t>34,99</t>
  </si>
  <si>
    <t xml:space="preserve">!EM PROCESSO DE DESATIVACAO! QUADRO DE DISTRIBUICAO SEM BARRAMENTO, COM PORTA, DE EMBUTIR, EM CHAPA DE ACO GALVANIZADO, PARA 6 DISJUNTORES NEMA                                                                                                                                                                                                                                                                                                                                                           </t>
  </si>
  <si>
    <t>48,12</t>
  </si>
  <si>
    <t xml:space="preserve">!EM PROCESSO DE DESATIVACAO! TERMINAL DE PORCELANA (MUFLA) UNIPOLAR, USO EXTERNO, TENSAO 3,6/6 KV, PARA CABO DE 10/16 MM2, COM ISOLAMENTO EPR                                                                                                                                                                                                                                                                                                                                                             </t>
  </si>
  <si>
    <t>201,22</t>
  </si>
  <si>
    <t xml:space="preserve">!EM PROCESSO DE DESATIVACAO! VEICULO DE PASSEIO COM MOTOR 1.0 FLEX, POTENCIA 72/85 CV, 5 PORTAS, COR SOLIDA, BASICO                                                                                                                                                                                                                                                                                                                                                                                       </t>
  </si>
  <si>
    <t>43.990,00</t>
  </si>
  <si>
    <t xml:space="preserve">!EM PROCESSO DESATIVACAO! ELETRODUTO EM ACO GALVANIZADO ELETROLITICO, LEVE, DIAMETRO 1", PAREDE DE 0,90 MM                                                                                                                                                                                                                                                                                                                                                                                                </t>
  </si>
  <si>
    <t xml:space="preserve">!EM PROCESSO DESATIVACAO! ELETRODUTO EM ACO GALVANIZADO ELETROLITICO, LEVE, DIAMETRO 3/4", PAREDE DE 0,90 MM                                                                                                                                                                                                                                                                                                                                                                                              </t>
  </si>
  <si>
    <t xml:space="preserve">!EM PROCESSO DESATIVACAO! ELETRODUTO EM ACO GALVANIZADO ELETROLITICO, SEMI-PESADO, DIAMETRO 1 1/2", PAREDE DE 1,20 MM                                                                                                                                                                                                                                                                                                                                                                                     </t>
  </si>
  <si>
    <t>22,80</t>
  </si>
  <si>
    <t xml:space="preserve">!EM PROCESSO DESATIVACAO! ELETRODUTO EM ACO GALVANIZADO ELETROLITICO, SEMI-PESADO, DIAMETRO 1 1/4", PAREDE DE 1,20 MM                                                                                                                                                                                                                                                                                                                                                                                     </t>
  </si>
  <si>
    <t xml:space="preserve">AÇO CA-25, 16,0 MM, BARRA DE TRANSFERENCIA                                                                                                                                                                                                                                                                                                                                                                                                                                                                </t>
  </si>
  <si>
    <t>5,55</t>
  </si>
  <si>
    <t xml:space="preserve">ABERTURA PARA ENCAIXE DE CUBA OU LAVATORIO EM BANCADA DE MARMORE/ GRANITO OU OUTRO TIPO DE PEDRA NATURAL                                                                                                                                                                                                                                                                                                                                                                                                  </t>
  </si>
  <si>
    <t>71,07</t>
  </si>
  <si>
    <t xml:space="preserve">ABRACADEIRA DE LATAO PARA FIXACAO DE CABO PARA-RAIO, DIMENSOES 32 X 24 X 24 MM                                                                                                                                                                                                                                                                                                                                                                                                                            </t>
  </si>
  <si>
    <t xml:space="preserve">ABRACADEIRA DE NYLON PARA AMARRACAO DE CABOS, COMPRIMENTO DE *230* X *7,6* MM                                                                                                                                                                                                                                                                                                                                                                                                                             </t>
  </si>
  <si>
    <t>1,02</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</si>
  <si>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</si>
  <si>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</si>
  <si>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</si>
  <si>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</si>
  <si>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</si>
  <si>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2,21</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</si>
  <si>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</si>
  <si>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</si>
  <si>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</si>
  <si>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2,15</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</si>
  <si>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</si>
  <si>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</si>
  <si>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</si>
  <si>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</si>
  <si>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1,30</t>
  </si>
  <si>
    <t xml:space="preserve">ABRACADEIRA EM ACO PARA AMARRACAO DE ELETRODUTOS, TIPO D, COM 2 1/2" E CUNHA DE FIXACAO                                                                                                                                                                                                                                                                                                                                                                                                                   </t>
  </si>
  <si>
    <t>2,90</t>
  </si>
  <si>
    <t xml:space="preserve">ABRACADEIRA EM ACO PARA AMARRACAO DE ELETRODUTOS, TIPO D, COM 2 1/2" E PARAFUSO DE FIXACAO                                                                                                                                                                                                                                                                                                                                                                                                                </t>
  </si>
  <si>
    <t xml:space="preserve">ABRACADEIRA EM ACO PARA AMARRACAO DE ELETRODUTOS, TIPO D, COM 2" E CUNHA DE FIXACAO                                                                                                                                                                                                                                                                                                                                                                                                                       </t>
  </si>
  <si>
    <t>2,32</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</si>
  <si>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</si>
  <si>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</si>
  <si>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</si>
  <si>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1,16</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</si>
  <si>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</si>
  <si>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</si>
  <si>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</si>
  <si>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</si>
  <si>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</si>
  <si>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5,22</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</si>
  <si>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</si>
  <si>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</si>
  <si>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</si>
  <si>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</si>
  <si>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0,81</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</si>
  <si>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</si>
  <si>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</si>
  <si>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</si>
  <si>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1,85</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</si>
  <si>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</si>
  <si>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</si>
  <si>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</si>
  <si>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</si>
  <si>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</si>
  <si>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PREDIAL                                                                                                                                                                                                                                                                                                                                                                                                                    </t>
  </si>
  <si>
    <t xml:space="preserve">ABRACADEIRA, GALVANIZADA/ZINCADA, ROSCA SEM FIM, PARAFUSO INOX, LARGURA  FITA *12,6 A *14 MM, D = 2" A 2 1/2"                                                                                                                                                                                                                                                                                                                                                                                             </t>
  </si>
  <si>
    <t>5,37</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</si>
  <si>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</si>
  <si>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</si>
  <si>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CROMADO PARA REGISTRO PEQUENO, 1/2 " OU 3/4 "                                                                                                                                                                                                                                                                                                                                                                                                                                                  </t>
  </si>
  <si>
    <t xml:space="preserve">ACABAMENTO SIMPLES/CONVENCIONAL PARA FORRO PVC, TIPO "U" OU "C", COR BRANCA, COMPRIMENTO 6 M                                                                                                                                                                                                                                                                                                                                                                                                              </t>
  </si>
  <si>
    <t>1,96</t>
  </si>
  <si>
    <t xml:space="preserve">ACESSORIO DE LIGACAO NAO ELETRICO PARA CARGAS EXPLOSIVAS, TUBO DE 6 M                                                                                                                                                                                                                                                                                                                                                                                                                                     </t>
  </si>
  <si>
    <t>59,58</t>
  </si>
  <si>
    <t xml:space="preserve">ACESSORIO INICIADOR NAO ELETRICO, TUBO DE 6 M, TEMPO DE RETARDO DE *160* MS                                                                                                                                                                                                                                                                                                                                                                                                                               </t>
  </si>
  <si>
    <t>55,45</t>
  </si>
  <si>
    <t xml:space="preserve">ACETILENO (RECARGA PARA CILINDRO DE CONJUNTO OXICORTE GRANDE)                                                                                                                                                                                                                                                                                                                                                                                                                                             </t>
  </si>
  <si>
    <t>40,00</t>
  </si>
  <si>
    <t xml:space="preserve">ACIDO MURIATICO, DILUICAO 10% A 12% PARA USO EM LIMPEZA                                                                                                                                                                                                                                                                                                                                                                                                                                                   </t>
  </si>
  <si>
    <t xml:space="preserve">ACO CA-25, 10,0 MM, OU 12,5 MM, OU 16,0 MM, OU 20,0 MM, OU 25,0 MM, VERGALHAO                                                                                                                                                                                                                                                                                                                                                                                                                             </t>
  </si>
  <si>
    <t>5,80</t>
  </si>
  <si>
    <t xml:space="preserve">ACO CA-25, 20,0 MM, BARRA DE TRANSFERENCIA                                                                                                                                                                                                                                                                                                                                                                                                                                                                </t>
  </si>
  <si>
    <t xml:space="preserve">ACO CA-25, 25,0 MM, BARRA DE TRANSFERENCIA                                                                                                                                                                                                                                                                                                                                                                                                                                                                </t>
  </si>
  <si>
    <t xml:space="preserve">ACO CA-25, 32,0 MM, BARRA DE TRANSFERENCIA                                                                                                                                                                                                                                                                                                                                                                                                                                                                </t>
  </si>
  <si>
    <t xml:space="preserve">ACO CA-25, 32,0 MM, VERGALHAO                                                                                                                                                                                                                                                                                                                                                                                                                                                                             </t>
  </si>
  <si>
    <t>6,54</t>
  </si>
  <si>
    <t xml:space="preserve">ACO CA-25, 6,3 MM OU 8,0 MM, VERGALHAO                                                                                                                                                                                                                                                                                                                                                                                                                                                                    </t>
  </si>
  <si>
    <t xml:space="preserve">ACO CA-50, 10,0 MM, OU 12,5 MM, OU 16,0 MM, OU 20,0 MM, DOBRADO E CORTADO                                                                                                                                                                                                                                                                                                                                                                                                                                 </t>
  </si>
  <si>
    <t xml:space="preserve">ACO CA-50, 10,0 MM, VERGALHAO                                                                                                                                                                                                                                                                                                                                                                                                                                                                             </t>
  </si>
  <si>
    <t>5,40</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</si>
  <si>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</si>
  <si>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</si>
  <si>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</si>
  <si>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</si>
  <si>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</si>
  <si>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</si>
  <si>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</si>
  <si>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</si>
  <si>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5,11</t>
  </si>
  <si>
    <t xml:space="preserve">ACO CA-60, 6,0 MM OU 7,0 MM, DOBRADO E CORTADO                                                                                                                                                                                                                                                                                                                                                                                                                                                            </t>
  </si>
  <si>
    <t>5,66</t>
  </si>
  <si>
    <t xml:space="preserve">ACO CA-60, 8,0 MM OU 9,5 MM, VERGALHAO                                                                                                                                                                                                                                                                                                                                                                                                                                                                    </t>
  </si>
  <si>
    <t xml:space="preserve">ACOPLAMENTO DE CONDUTOR PLUVIAL, EM PVC, DIAMETRO ENTRE 80 E 100 MM, PARA DRENAGEM PREDIAL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</si>
  <si>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</si>
  <si>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</si>
  <si>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</si>
  <si>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DE COBRE PARA TUBULACAO PEX, DN 16 X 15 MM                                                                                                                                                                                                                                                                                                                                                                                                                                                      </t>
  </si>
  <si>
    <t xml:space="preserve">ADAPTADOR DE COBRE PARA TUBULACAO PEX, DN 20 X 22 MM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</si>
  <si>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</si>
  <si>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</si>
  <si>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</si>
  <si>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PVC PARA SIFAO METALICO, SOLDAVEL, COM ANEL BORRACHA (JE), 40 MM X 1 1/2"                                                                                                                                                                                                                                                                                                                                                                                                                       </t>
  </si>
  <si>
    <t>0,84</t>
  </si>
  <si>
    <t xml:space="preserve">ADAPTADOR PVC PARA SIFAO, ROSCAVEL, 40 MM X 1 1/4"                                                                                                                                                                                                                                                                                                                                                                                                                                                        </t>
  </si>
  <si>
    <t>0,86</t>
  </si>
  <si>
    <t xml:space="preserve">ADAPTADOR PVC ROSCAVEL, COM FLANGES E ANEL DE VEDACAO, 1/2", PARA CAIXA D' AGUA                                                                                                                                                                                                                                                                                                                                                                                                                           </t>
  </si>
  <si>
    <t>8,27</t>
  </si>
  <si>
    <t xml:space="preserve">ADAPTADOR PVC ROSCAVEL, COM FLANGES E ANEL DE VEDACAO, 1", PARA CAIXA D' AGUA                                                                                                                                                                                                                                                                                                                                                                                                                             </t>
  </si>
  <si>
    <t>15,20</t>
  </si>
  <si>
    <t xml:space="preserve">ADAPTADOR PVC ROSCAVEL, COM FLANGES E ANEL DE VEDACAO, 3/4", PARA CAIXA D' AGUA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</si>
  <si>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</si>
  <si>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</si>
  <si>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</si>
  <si>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</si>
  <si>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</si>
  <si>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</si>
  <si>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</si>
  <si>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6,01</t>
  </si>
  <si>
    <t xml:space="preserve">ADAPTADOR PVC SOLDAVEL CURTO COM BOLSA E ROSCA, 50 MM X1 1/2", PARA AGUA FRIA                                                                                                                                                                                                                                                                                                                                                                                                                             </t>
  </si>
  <si>
    <t xml:space="preserve">ADAPTADOR PVC SOLDAVEL CURTO COM BOLSA E ROSCA, 60 MM X 2", PARA AGUA FRIA                                                                                                                                                                                                                                                                                                                                                                                                                                </t>
  </si>
  <si>
    <t>8,88</t>
  </si>
  <si>
    <t xml:space="preserve">ADAPTADOR PVC SOLDAVEL CURTO COM BOLSA E ROSCA, 75 MM X 2 1/2", PARA AGUA FRIA                                                                                                                                                                                                                                                                                                                                                                                                                            </t>
  </si>
  <si>
    <t>12,91</t>
  </si>
  <si>
    <t xml:space="preserve">ADAPTADOR PVC SOLDAVEL CURTO COM BOLSA E ROSCA, 85 MM X 3", PARA AGUA FRIA                                                                                                                                                                                                                                                                                                                                                                                                                                </t>
  </si>
  <si>
    <t>21,20</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</si>
  <si>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</si>
  <si>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</si>
  <si>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</si>
  <si>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</si>
  <si>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</si>
  <si>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17,52</t>
  </si>
  <si>
    <t xml:space="preserve">ADAPTADOR PVC SOLDAVEL, COM FLANGES E ANEL DE VEDACAO, 60 MM X 2", PARA CAIXA D' AGUA                                                                                                                                                                                                                                                                                                                                                                                                                     </t>
  </si>
  <si>
    <t>24,44</t>
  </si>
  <si>
    <t xml:space="preserve">ADAPTADOR PVC SOLDAVEL, COM FLANGES LIVRES, 110 MM X 4", PARA CAIXA D' AGUA                                                                                                                                                                                                                                                                                                                                                                                                                               </t>
  </si>
  <si>
    <t>254,77</t>
  </si>
  <si>
    <t xml:space="preserve">ADAPTADOR PVC SOLDAVEL, COM FLANGES LIVRES, 25 MM X 3/4", PARA CAIXA D' AGUA                                                                                                                                                                                                                                                                                                                                                                                                                              </t>
  </si>
  <si>
    <t xml:space="preserve">ADAPTADOR PVC SOLDAVEL, COM FLANGES LIVRES, 32 MM X 1", PARA CAIXA D' AGUA                                                                                                                                                                                                                                                                                                                                                                                                                                </t>
  </si>
  <si>
    <t>14,19</t>
  </si>
  <si>
    <t xml:space="preserve">ADAPTADOR PVC SOLDAVEL, COM FLANGES LIVRES, 40 MM X 1  1/4", PARA CAIXA D' AGUA                                                                                                                                                                                                                                                                                                                                                                                                                           </t>
  </si>
  <si>
    <t>26,39</t>
  </si>
  <si>
    <t xml:space="preserve">ADAPTADOR PVC SOLDAVEL, COM FLANGES LIVRES, 50 MM X 1  1/2", PARA CAIXA D' AGUA                                                                                                                                                                                                                                                                                                                                                                                                                           </t>
  </si>
  <si>
    <t>26,48</t>
  </si>
  <si>
    <t xml:space="preserve">ADAPTADOR PVC SOLDAVEL, COM FLANGES LIVRES, 60 MM X 2", PARA CAIXA D' AGUA                                                                                                                                                                                                                                                                                                                                                                                                                                </t>
  </si>
  <si>
    <t>40,48</t>
  </si>
  <si>
    <t xml:space="preserve">ADAPTADOR PVC SOLDAVEL, COM FLANGES LIVRES, 75 MM X 2  1/2", PARA CAIXA D' AGUA                                                                                                                                                                                                                                                                                                                                                                                                                           </t>
  </si>
  <si>
    <t>129,30</t>
  </si>
  <si>
    <t xml:space="preserve">ADAPTADOR PVC SOLDAVEL, COM FLANGES LIVRES, 85 MM X 3", PARA CAIXA D' AGUA                                                                                                                                                                                                                                                                                                                                                                                                                                </t>
  </si>
  <si>
    <t>180,51</t>
  </si>
  <si>
    <t xml:space="preserve">ADAPTADOR PVC SOLDAVEL, LONGO, COM FLANGE LIVRE,  110 MM X 4", PARA CAIXA D' AGUA                                                                                                                                                                                                                                                                                                                                                                                                                         </t>
  </si>
  <si>
    <t>274,23</t>
  </si>
  <si>
    <t xml:space="preserve">ADAPTADOR PVC SOLDAVEL, LONGO, COM FLANGE LIVRE,  25 MM X 3/4", PARA CAIXA D' AGUA                                                                                                                                                                                                                                                                                                                                                                                                                        </t>
  </si>
  <si>
    <t>13,03</t>
  </si>
  <si>
    <t xml:space="preserve">ADAPTADOR PVC SOLDAVEL, LONGO, COM FLANGE LIVRE,  32 MM X 1", PARA CAIXA D' AGUA                                                                                                                                                                                                                                                                                                                                                                                                                          </t>
  </si>
  <si>
    <t>14,54</t>
  </si>
  <si>
    <t xml:space="preserve">ADAPTADOR PVC SOLDAVEL, LONGO, COM FLANGE LIVRE,  40 MM X 1 1/4", PARA CAIXA D' AGUA                                                                                                                                                                                                                                                                                                                                                                                                                      </t>
  </si>
  <si>
    <t xml:space="preserve">ADAPTADOR PVC SOLDAVEL, LONGO, COM FLANGE LIVRE,  50 MM X 1 1/2", PARA CAIXA D' AGUA                                                                                                                                                                                                                                                                                                                                                                                                                      </t>
  </si>
  <si>
    <t xml:space="preserve">ADAPTADOR PVC SOLDAVEL, LONGO, COM FLANGE LIVRE,  60 MM X 2", PARA CAIXA D' AGUA                                                                                                                                                                                                                                                                                                                                                                                                                          </t>
  </si>
  <si>
    <t>42,15</t>
  </si>
  <si>
    <t xml:space="preserve">ADAPTADOR PVC SOLDAVEL, LONGO, COM FLANGE LIVRE,  75 MM X 2 1/2", PARA CAIXA D' AGUA                                                                                                                                                                                                                                                                                                                                                                                                                      </t>
  </si>
  <si>
    <t>163,62</t>
  </si>
  <si>
    <t xml:space="preserve">ADAPTADOR PVC SOLDAVEL, LONGO, COM FLANGE LIVRE,  85 MM X 3", PARA CAIXA D' AGUA                                                                                                                                                                                                                                                                                                                                                                                                                          </t>
  </si>
  <si>
    <t>191,56</t>
  </si>
  <si>
    <t xml:space="preserve">ADAPTADOR PVC, COM REGISTRO, PARA PEAD, 20 MM X 3/4", PARA LIGACAO PREDIAL DE AGUA                                                                                                                                                                                                                                                                                                                                                                                                                        </t>
  </si>
  <si>
    <t>4,15</t>
  </si>
  <si>
    <t xml:space="preserve">ADAPTADOR PVC, ROSCAVEL, COM FLANGES E ANEL DE VEDACAO, 1 1/2", PARA CAIXA D'AGUA                                                                                                                                                                                                                                                                                                                                                                                                                         </t>
  </si>
  <si>
    <t>25,76</t>
  </si>
  <si>
    <t xml:space="preserve">ADAPTADOR PVC, ROSCAVEL, COM FLANGES E ANEL DE VEDACAO, 1 1/4", PARA CAIXA D' AGUA                                                                                                                                                                                                                                                                                                                                                                                                                        </t>
  </si>
  <si>
    <t xml:space="preserve">ADAPTADOR PVC, ROSCAVEL, COM FLANGES E ANEL DE VEDACAO, 2", PARA CAIXA D' AGUA                                                                                                                                                                                                                                                                                                                                                                                                                            </t>
  </si>
  <si>
    <t>31,27</t>
  </si>
  <si>
    <t xml:space="preserve">ADAPTADOR PVC, ROSCAVEL, PARA VALVULA PIA OU LAVATORIO, 40 MM                                                                                                                                                                                                                                                                                                                                                                                                                                             </t>
  </si>
  <si>
    <t xml:space="preserve">ADAPTADOR, CPVC, SOLDAVEL, 15 MM, PARA AGUA QUENTE                                                                                                                                                                                                                                                                                                                                                                                                                                                        </t>
  </si>
  <si>
    <t>3,16</t>
  </si>
  <si>
    <t xml:space="preserve">ADAPTADOR, CPVC, SOLDAVEL, 22 MM, PARA AGUA QUENTE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</si>
  <si>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</si>
  <si>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</si>
  <si>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34,28</t>
  </si>
  <si>
    <t xml:space="preserve">ADAPTADOR, PVC PBA,  BOLSA/ROSCA, JE, DN 75 / DE  85 MM                                                                                                                                                                                                                                                                                                                                                                                                                                                   </t>
  </si>
  <si>
    <t>32,03</t>
  </si>
  <si>
    <t xml:space="preserve">ADAPTADOR, PVC PBA, A BOLSA DEFOFO, JE, DN 100 / DE 110 MM                                                                                                                                                                                                                                                                                                                                                                                                                                                </t>
  </si>
  <si>
    <t>88,37</t>
  </si>
  <si>
    <t xml:space="preserve">ADAPTADOR, PVC PBA, A BOLSA DEFOFO, JE, DN 50 / DE 60 MM                                                                                                                                                                                                                                                                                                                                                                                                                                                  </t>
  </si>
  <si>
    <t>20,35</t>
  </si>
  <si>
    <t xml:space="preserve">ADAPTADOR, PVC PBA, A BOLSA DEFOFO, JE, DN 75 / DE  85 MM                                                                                                                                                                                                                                                                                                                                                                                                                                                 </t>
  </si>
  <si>
    <t>46,14</t>
  </si>
  <si>
    <t xml:space="preserve">ADAPTADOR, PVC PBA, BOLSA/ROSCA, JE, DN 100 / DE 110 MM                                                                                                                                                                                                                                                                                                                                                                                                                                                   </t>
  </si>
  <si>
    <t>54,77</t>
  </si>
  <si>
    <t xml:space="preserve">ADAPTADOR, PVC PBA, BOLSA/ROSCA, JE, DN 50 / DE 60 MM                                                                                                                                                                                                                                                                                                                                                                                                                                                     </t>
  </si>
  <si>
    <t>14,28</t>
  </si>
  <si>
    <t xml:space="preserve">ADAPTADOR, PVC PBA, PONTA/ROSCA, JE, DN 50 / DE  60 MM                                                                                                                                                                                                                                                                                                                                                                                                                                                    </t>
  </si>
  <si>
    <t xml:space="preserve">ADAPTADOR, PVC PBA, PONTA/ROSCA, JE, DN 75 / DE  85 MM                                                                                                                                                                                                                                                                                                                                                                                                                                                    </t>
  </si>
  <si>
    <t>36,63</t>
  </si>
  <si>
    <t xml:space="preserve">ADESIVO ACRILICO/COLA DE CONTATO                                                                                                                                                                                                                                                                                                                                                                                                                                                                          </t>
  </si>
  <si>
    <t>24,95</t>
  </si>
  <si>
    <t xml:space="preserve">ADESIVO ESTRUTURAL A BASE DE RESINA EPOXI PARA INJECAO EM TRINCAS, BICOMPONENTE, BAIXA VISCOSIDADE                                                                                                                                                                                                                                                                                                                                                                                                        </t>
  </si>
  <si>
    <t>105,12</t>
  </si>
  <si>
    <t xml:space="preserve">ADESIVO ESTRUTURAL A BASE DE RESINA EPOXI, BICOMPONENTE, FLUIDO                                                                                                                                                                                                                                                                                                                                                                                                                                           </t>
  </si>
  <si>
    <t>37,43</t>
  </si>
  <si>
    <t xml:space="preserve">ADESIVO ESTRUTURAL A BASE DE RESINA EPOXI, BICOMPONENTE, PASTOSO (TIXOTROPICO)                                                                                                                                                                                                                                                                                                                                                                                                                            </t>
  </si>
  <si>
    <t>32,01</t>
  </si>
  <si>
    <t xml:space="preserve">ADESIVO LIQUIDO A BASE DE RESINAS PARA COLAGEM DE ESPUMA DE ISOLAMENTO TERMICO FLEXIVEL                                                                                                                                                                                                                                                                                                                                                                                                                   </t>
  </si>
  <si>
    <t>74,41</t>
  </si>
  <si>
    <t xml:space="preserve">ADESIVO PARA TUBOS CPVC, *75* G                                                                                                                                                                                                                                                                                                                                                                                                                                                                           </t>
  </si>
  <si>
    <t>15,94</t>
  </si>
  <si>
    <t xml:space="preserve">ADESIVO PLASTICO PARA PVC, BISNAGA COM 75 GR                                                                                                                                                                                                                                                                                                                                                                                                                                                              </t>
  </si>
  <si>
    <t xml:space="preserve">ADESIVO PLASTICO PARA PVC, FRASCO COM 175 GR                                                                                                                                                                                                                                                                                                                                                                                                                                                              </t>
  </si>
  <si>
    <t>18,03</t>
  </si>
  <si>
    <t xml:space="preserve">ADESIVO PLASTICO PARA PVC, FRASCO COM 850 GR                                                                                                                                                                                                                                                                                                                                                                                                                                                              </t>
  </si>
  <si>
    <t>56,82</t>
  </si>
  <si>
    <t xml:space="preserve">ADESIVO/COLA PARA EPS (ISOPOR) E OUTROS MATERIAIS                                                                                                                                                                                                                                                                                                                                                                                                                                                         </t>
  </si>
  <si>
    <t>19,60</t>
  </si>
  <si>
    <t xml:space="preserve">ADITIVO ACELERADOR DE PEGA E ENDURECIMENTO PARA ARGAMASSAS E CONCRETOS, LIQUIDO E ISENTO DE CLORETOS                                                                                                                                                                                                                                                                                                                                                                                                      </t>
  </si>
  <si>
    <t>12,34</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</si>
  <si>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</si>
  <si>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</si>
  <si>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</si>
  <si>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IMPERMEABILIZANTE CRISTALIZANTE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</si>
  <si>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</si>
  <si>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</si>
  <si>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</si>
  <si>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</si>
  <si>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ADUELA/GALERIA DE CONCRETO ARMADO, SECAO RETANGULAR 1.50 X 1.50 M (L X A), C = 1.00 M, E = 20 CM                                                                                                                                                                                                                                                                                                                                                                                                          </t>
  </si>
  <si>
    <t>1.915,22</t>
  </si>
  <si>
    <t xml:space="preserve">ADUELA/GALERIA DE CONCRETO ARMADO, SECAO RETANGULAR 2.00 X 2.00 M (L X A), C = 1.00 M, E = 20 CM                                                                                                                                                                                                                                                                                                                                                                                                          </t>
  </si>
  <si>
    <t>2.709,53</t>
  </si>
  <si>
    <t xml:space="preserve">ADUELA/GALERIA DE CONCRETO ARMADO, SECAO RETANGULAR 2.50 X 2.50 M (L X A), C = 1.00 M, E = 20 CM                                                                                                                                                                                                                                                                                                                                                                                                          </t>
  </si>
  <si>
    <t>3.315,50</t>
  </si>
  <si>
    <t xml:space="preserve">ADUELA/GALERIA DE CONCRETO ARMADO, SECAO RETANGULAR 3.00 X 3.00 M (L X A), C = 1.00 M, E = 20 CM                                                                                                                                                                                                                                                                                                                                                                                                          </t>
  </si>
  <si>
    <t>4.145,66</t>
  </si>
  <si>
    <t xml:space="preserve">AFASTADOR PARA TELHA DE FIBROCIMENTO CANALETE 90 OU KALHETAO                                                                                                                                                                                                                                                                                                                                                                                                                                              </t>
  </si>
  <si>
    <t xml:space="preserve">AGENTE DE CURA, PROTETOR DA EVAPORACAO DA AGUA DE HIDRATACAO DO CONCRETO                                                                                                                                                                                                                                                                                                                                                                                                                                  </t>
  </si>
  <si>
    <t xml:space="preserve">AGREGADO RECICLADO, TIPO RACHAO RECICLADO CINZA, CLASSE A                                                                                                                                                                                                                                                                                                                                                                                                                                                 </t>
  </si>
  <si>
    <t>34,08</t>
  </si>
  <si>
    <t xml:space="preserve">AGUA SANITARIA                                                                                                                                                                                                                                                                                                                                                                                                                                                                                            </t>
  </si>
  <si>
    <t>2,18</t>
  </si>
  <si>
    <t xml:space="preserve">AJUDANTE DE ARMADOR                                                                                                                                                                                                                                                                                                                                                                                                                                                                                       </t>
  </si>
  <si>
    <t xml:space="preserve">AJUDANTE DE ARMADOR (MENSALISTA)                                                                                                                                                                                                                                                                                                                                                                                                                                                                          </t>
  </si>
  <si>
    <t>2.041,52</t>
  </si>
  <si>
    <t xml:space="preserve">AJUDANTE DE ELETRICISTA                                                                                                                                                                                                                                                                                                                                                                                                                                                                                   </t>
  </si>
  <si>
    <t>11,53</t>
  </si>
  <si>
    <t xml:space="preserve">AJUDANTE DE ELETRICISTA (MENSALISTA)                                                                                                                                                                                                                                                                                                                                                                                                                                                                      </t>
  </si>
  <si>
    <t>2.058,71</t>
  </si>
  <si>
    <t xml:space="preserve">AJUDANTE DE ESTRUTURAS METALICAS                                                                                                                                                                                                                                                                                                                                                                                                                                                                          </t>
  </si>
  <si>
    <t>8,66</t>
  </si>
  <si>
    <t xml:space="preserve">AJUDANTE DE ESTRUTURAS METALICAS (MENSALISTA)                                                                                                                                                                                                                                                                                                                                                                                                                                                             </t>
  </si>
  <si>
    <t>1.545,25</t>
  </si>
  <si>
    <t xml:space="preserve">AJUDANTE DE OPERACAO EM GERAL                                                                                                                                                                                                                                                                                                                                                                                                                                                                             </t>
  </si>
  <si>
    <t>11,83</t>
  </si>
  <si>
    <t xml:space="preserve">AJUDANTE DE OPERACAO EM GERAL (MENSALISTA)                                                                                                                                                                                                                                                                                                                                                                                                                                                                </t>
  </si>
  <si>
    <t>2.112,51</t>
  </si>
  <si>
    <t xml:space="preserve">AJUDANTE DE PINTOR                                                                                                                                                                                                                                                                                                                                                                                                                                                                                        </t>
  </si>
  <si>
    <t xml:space="preserve">AJUDANTE DE PINTOR (MENSALISTA)                                                                                                                                                                                                                                                                                                                                                                                                                                                                           </t>
  </si>
  <si>
    <t xml:space="preserve">AJUDANTE DE SERRALHEIRO                                                                                                                                                                                                                                                                                                                                                                                                                                                                                   </t>
  </si>
  <si>
    <t xml:space="preserve">AJUDANTE DE SERRALHEIRO (MENSALISTA)                                                                                                                                                                                                                                                                                                                                                                                                                                                                      </t>
  </si>
  <si>
    <t>2.189,73</t>
  </si>
  <si>
    <t xml:space="preserve">AJUDANTE ESPECIALIZADO                                                                                                                                                                                                                                                                                                                                                                                                                                                                                    </t>
  </si>
  <si>
    <t xml:space="preserve">AJUDANTE ESPECIALIZADO (MENSALISTA)                                                                                                                                                                                                                                                                                                                                                                                                                                                                       </t>
  </si>
  <si>
    <t>2.473,13</t>
  </si>
  <si>
    <t xml:space="preserve">ALCA PREFORMADA DE CONTRA POSTE, EM ACO GALVANIZADO, PARA CABO 3/16", COMPRIMENTO *860* MM                                                                                                                                                                                                                                                                                                                                                                                                                </t>
  </si>
  <si>
    <t xml:space="preserve">ALCA PREFORMADA DE DISTRIBUICAO, EM ACO GALVANIZADO, PARA CABO DE ALUMINIO DIAMETRO 16 A 25 MM                                                                                                                                                                                                                                                                                                                                                                                                            </t>
  </si>
  <si>
    <t>2,30</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</si>
  <si>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</si>
  <si>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</si>
  <si>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</si>
  <si>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</si>
  <si>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</si>
  <si>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40,02</t>
  </si>
  <si>
    <t xml:space="preserve">ALICATE DE CRIMPAR RJ11, RJ12 E RJ45                                                                                                                                                                                                                                                                                                                                                                                                                                                                      </t>
  </si>
  <si>
    <t>109,21</t>
  </si>
  <si>
    <t xml:space="preserve">ALICATE DE PRESSAO PARA SOLDA DE CHAPA 18 "                                                                                                                                                                                                                                                                                                                                                                                                                                                               </t>
  </si>
  <si>
    <t>117,43</t>
  </si>
  <si>
    <t xml:space="preserve">ALICATE DE PRESSAO 11 " PARA SOLDA, TIPO C                                                                                                                                                                                                                                                                                                                                                                                                                                                                </t>
  </si>
  <si>
    <t xml:space="preserve">ALICATE DE PRESSAO 11 " PARA SOLDA, TIPO U                                                                                                                                                                                                                                                                                                                                                                                                                                                                </t>
  </si>
  <si>
    <t>72,70</t>
  </si>
  <si>
    <t xml:space="preserve">ALICATE PARA ANEIS DE PISTAO, CAPACIDADE 50 A 100 MM                                                                                                                                                                                                                                                                                                                                                                                                                                                      </t>
  </si>
  <si>
    <t>94,42</t>
  </si>
  <si>
    <t xml:space="preserve">ALIMENTACAO - HORISTA (COLETADO CAIXA)                                                                                                                                                                                                                                                                                                                                                                                                                                                                    </t>
  </si>
  <si>
    <t xml:space="preserve">ALIMENTACAO - MENSALISTA (COLETADO CAIXA)                                                                                                                                                                                                                                                                                                                                                                                                                                                                 </t>
  </si>
  <si>
    <t>485,20</t>
  </si>
  <si>
    <t xml:space="preserve">ALISADORA DE CONCRETO COM MOTOR A GASOLINA DE 5,5 HP, PESO COM MOTOR DE 78 KG, 4 PAS                                                                                                                                                                                                                                                                                                                                                                                                                      </t>
  </si>
  <si>
    <t>6.095,00</t>
  </si>
  <si>
    <t xml:space="preserve">ALMOXARIFE                                                                                                                                                                                                                                                                                                                                                                                                                                                                                                </t>
  </si>
  <si>
    <t>28,09</t>
  </si>
  <si>
    <t xml:space="preserve">ALMOXARIFE (MENSALISTA)                                                                                                                                                                                                                                                                                                                                                                                                                                                                                   </t>
  </si>
  <si>
    <t>5.010,56</t>
  </si>
  <si>
    <t xml:space="preserve">ALONGADOR COM TRES ALTURAS, EM TUBO DE ACO CARBONO, PINTURA NO PROCESSO ELETROSTATICO - EQUIPAMENTO DE GINASTICA PARA ACADEMIA AO AR LIVRE / ACADEMIA DA TERCEIRA IDADE - ATI                                                                                                                                                                                                                                                                                                                             </t>
  </si>
  <si>
    <t>1.290,00</t>
  </si>
  <si>
    <t xml:space="preserve">ALUMINIO ANODIZADO                                                                                                                                                                                                                                                                                                                                                                                                                                                                                        </t>
  </si>
  <si>
    <t>27,05</t>
  </si>
  <si>
    <t xml:space="preserve">ANEL BORRACHA DN 100 MM, PARA TUBO SERIE REFORCADA ESGOTO PREDIAL                                                                                                                                                                                                                                                                                                                                                                                                                                         </t>
  </si>
  <si>
    <t xml:space="preserve">ANEL BORRACHA DN 75 MM, PARA TUBO SERIE REFORCADA ESGOTO PREDIAL                                                                                                                                                                                                                                                                                                                                                                                                                                          </t>
  </si>
  <si>
    <t xml:space="preserve">ANEL BORRACHA PARA TUBO ESGOTO PREDIAL DN 40 MM (NBR 5688)                                                                                                                                                                                                                                                                                                                                                                                                                                                </t>
  </si>
  <si>
    <t xml:space="preserve">ANEL BORRACHA PARA TUBO ESGOTO PREDIAL DN 50 MM (NBR 5688)                                                                                                                                                                                                                                                                                                                                                                                                                                                </t>
  </si>
  <si>
    <t xml:space="preserve">ANEL BORRACHA PARA TUBO ESGOTO PREDIAL DN 75 MM (NBR 5688)                                                                                                                                                                                                                                                                                                                                                                                                                                                </t>
  </si>
  <si>
    <t xml:space="preserve">ANEL BORRACHA PARA TUBO ESGOTO PREDIAL, DN 100 MM (NBR 5688)                                                                                                                                                                                                                                                                                                                                                                                                                                              </t>
  </si>
  <si>
    <t xml:space="preserve">ANEL BORRACHA, DN 150 MM, PARA TUBO SERIE REFORCADA ESGOTO PREDIAL                                                                                                                                                                                                                                                                                                                                                                                                                                        </t>
  </si>
  <si>
    <t xml:space="preserve">ANEL BORRACHA, DN 40 MM, PARA TUBO SERIE REFORCADA ESGOTO PREDIAL                                                                                                                                                                                                                                                                                                                                                                                                                                         </t>
  </si>
  <si>
    <t xml:space="preserve">ANEL BORRACHA, DN 50 MM, PARA TUBO SERIE REFORCADA ESGOTO PREDIAL                                                                                                                                                                                                                                                                                                                                                                                                                                         </t>
  </si>
  <si>
    <t xml:space="preserve">ANEL BORRACHA, PARA TUBO PVC DEFOFO, DN 100 MM (NBR 7665)                                                                                                                                                                                                                                                                                                                                                                                                                                                 </t>
  </si>
  <si>
    <t xml:space="preserve">ANEL BORRACHA, PARA TUBO PVC DEFOFO, DN 150 MM (NBR 7665)                                                                                                                                                                                                                                                                                                                                                                                                                                                 </t>
  </si>
  <si>
    <t>12,59</t>
  </si>
  <si>
    <t xml:space="preserve">ANEL BORRACHA, PARA TUBO PVC DEFOFO, DN 200 MM (NBR 7665)                                                                                                                                                                                                                                                                                                                                                                                                                                                 </t>
  </si>
  <si>
    <t>23,77</t>
  </si>
  <si>
    <t xml:space="preserve">ANEL BORRACHA, PARA TUBO PVC DEFOFO, DN 250 MM (NBR 7665)                                                                                                                                                                                                                                                                                                                                                                                                                                                 </t>
  </si>
  <si>
    <t>75,57</t>
  </si>
  <si>
    <t xml:space="preserve">ANEL BORRACHA, PARA TUBO PVC DEFOFO, DN 300 MM (NBR 7665)                                                                                                                                                                                                                                                                                                                                                                                                                                                 </t>
  </si>
  <si>
    <t>116,08</t>
  </si>
  <si>
    <t xml:space="preserve">ANEL BORRACHA, PARA TUBO PVC, REDE COLETOR ESGOTO, DN 100 MM (NBR 7362)                                                                                                                                                                                                                                                                                                                                                                                                                                   </t>
  </si>
  <si>
    <t xml:space="preserve">ANEL BORRACHA, PARA TUBO PVC, REDE COLETOR ESGOTO, DN 125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</si>
  <si>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</si>
  <si>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</si>
  <si>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</si>
  <si>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18,63</t>
  </si>
  <si>
    <t xml:space="preserve">ANEL BORRACHA, PARA TUBO PVC, REDE COLETOR ESGOTO, DN 350 MM (NBR 7362)                                                                                                                                                                                                                                                                                                                                                                                                                                   </t>
  </si>
  <si>
    <t xml:space="preserve">ANEL BORRACHA, PARA TUBO PVC, REDE COLETOR ESGOTO, DN 400 MM (NBR 7362)                                                                                                                                                                                                                                                                                                                                                                                                                                   </t>
  </si>
  <si>
    <t>48,44</t>
  </si>
  <si>
    <t xml:space="preserve">ANEL BORRACHA, PARA TUBO/CONEXAO PVC PBA, DN 100 MM, PARA REDE AGUA                                                                                                                                                                                                                                                                                                                                                                                                                                       </t>
  </si>
  <si>
    <t>5,78</t>
  </si>
  <si>
    <t xml:space="preserve">ANEL BORRACHA, PARA TUBO/CONEXAO PVC PBA, DN 50 MM, PARA REDE AGUA                                                                                                                                                                                                                                                                                                                                                                                                                                        </t>
  </si>
  <si>
    <t xml:space="preserve">ANEL BORRACHA, PARA TUBO/CONEXAO PVC PBA, DN 60 MM, PARA REDE AGUA                                                                                                                                                                                                                                                                                                                                                                                                                                        </t>
  </si>
  <si>
    <t xml:space="preserve">ANEL BORRACHA, PARA TUBO/CONEXAO PVC PBA, DN 75 MM, PARA REDE AGUA                                                                                                                                                                                                                                                                                                                                                                                                                                        </t>
  </si>
  <si>
    <t>7,38</t>
  </si>
  <si>
    <t xml:space="preserve">ANEL BORRACHA, PARA TUBO, PVC REDE COLETOR ESGOTO, DN 300 MM (NBR 7362)                                                                                                                                                                                                                                                                                                                                                                                                                                   </t>
  </si>
  <si>
    <t>24,89</t>
  </si>
  <si>
    <t xml:space="preserve">ANEL DE BORRACHA PARA VEDACAO DE DUTO PEAD CORRUGADO PARA ELETRICA, DN 1 1/2"                                                                                                                                                                                                                                                                                                                                                                                                                             </t>
  </si>
  <si>
    <t>1,51</t>
  </si>
  <si>
    <t xml:space="preserve">ANEL DE BORRACHA PARA VEDACAO DE DUTO PEAD CORRUGADO PARA ELETRICA, DN 1 1/4"                                                                                                                                                                                                                                                                                                                                                                                                                             </t>
  </si>
  <si>
    <t>1,05</t>
  </si>
  <si>
    <t xml:space="preserve">ANEL DE BORRACHA PARA VEDACAO DE DUTO PEAD CORRUGADO PARA ELETRICA, DN 2"                                                                                                                                                                                                                                                                                                                                                                                                                                 </t>
  </si>
  <si>
    <t>4,19</t>
  </si>
  <si>
    <t xml:space="preserve">ANEL DE BORRACHA PARA VEDACAO DE DUTO PEAD CORRUGADO PARA ELETRICA, DN 3"                                                                                                                                                                                                                                                                                                                                                                                                                                 </t>
  </si>
  <si>
    <t xml:space="preserve">ANEL DE BORRACHA PARA VEDACAO DE DUTO PEAD CORRUGADO PARA ELETRICA, DN 4"                                                                                                                                                                                                                                                                                                                                                                                                                                 </t>
  </si>
  <si>
    <t xml:space="preserve">ANEL DE CONCRETO ARMADO, D = *1,10* M, H = 0,30 M                                                                                                                                                                                                                                                                                                                                                                                                                                                         </t>
  </si>
  <si>
    <t>95,78</t>
  </si>
  <si>
    <t xml:space="preserve">ANEL DE CONCRETO ARMADO, D = 0,60 M, H = 0,10 M                                                                                                                                                                                                                                                                                                                                                                                                                                                           </t>
  </si>
  <si>
    <t>39,26</t>
  </si>
  <si>
    <t xml:space="preserve">ANEL DE CONCRETO ARMADO, D = 0,60 M, H = 0,15 M                                                                                                                                                                                                                                                                                                                                                                                                                                                           </t>
  </si>
  <si>
    <t>47,79</t>
  </si>
  <si>
    <t xml:space="preserve">ANEL DE CONCRETO ARMADO, D = 0,60 M, H = 0,30 M                                                                                                                                                                                                                                                                                                                                                                                                                                                           </t>
  </si>
  <si>
    <t xml:space="preserve">ANEL DE CONCRETO ARMADO, D = 0,60 M, H = 0,40 M                                                                                                                                                                                                                                                                                                                                                                                                                                                           </t>
  </si>
  <si>
    <t>65,13</t>
  </si>
  <si>
    <t xml:space="preserve">ANEL DE CONCRETO ARMADO, D = 0,60 M, H = 0,50 M                                                                                                                                                                                                                                                                                                                                                                                                                                                           </t>
  </si>
  <si>
    <t xml:space="preserve">ANEL DE CONCRETO ARMADO, D = 0,80 M, H = 0,30 M                                                                                                                                                                                                                                                                                                                                                                                                                                                           </t>
  </si>
  <si>
    <t>95,02</t>
  </si>
  <si>
    <t xml:space="preserve">ANEL DE CONCRETO ARMADO, D = 0,80 M, H = 0,50 M                                                                                                                                                                                                                                                                                                                                                                                                                                                           </t>
  </si>
  <si>
    <t>116,07</t>
  </si>
  <si>
    <t xml:space="preserve">ANEL DE CONCRETO ARMADO, D = 1,00 M, H = 0,40 M                                                                                                                                                                                                                                                                                                                                                                                                                                                           </t>
  </si>
  <si>
    <t>120,15</t>
  </si>
  <si>
    <t xml:space="preserve">ANEL DE CONCRETO ARMADO, D = 1,00 M, H = 0,50 M                                                                                                                                                                                                                                                                                                                                                                                                                                                           </t>
  </si>
  <si>
    <t>139,72</t>
  </si>
  <si>
    <t xml:space="preserve">ANEL DE CONCRETO ARMADO, D = 1,20 M, H = 0,50 M                                                                                                                                                                                                                                                                                                                                                                                                                                                           </t>
  </si>
  <si>
    <t>152,14</t>
  </si>
  <si>
    <t xml:space="preserve">ANEL DE CONCRETO ARMADO, D = 1,50 M, H = 0,50 M                                                                                                                                                                                                                                                                                                                                                                                                                                                           </t>
  </si>
  <si>
    <t>238,97</t>
  </si>
  <si>
    <t xml:space="preserve">ANEL DE CONCRETO ARMADO, D = 2,00 M, H = 0,50 M                                                                                                                                                                                                                                                                                                                                                                                                                                                           </t>
  </si>
  <si>
    <t>376,05</t>
  </si>
  <si>
    <t xml:space="preserve">ANEL DE CONCRETO ARMADO, D = 2,50 M, H = 0,50 M                                                                                                                                                                                                                                                                                                                                                                                                                                                           </t>
  </si>
  <si>
    <t>489,33</t>
  </si>
  <si>
    <t xml:space="preserve">ANEL DE CONCRETO ARMADO, D = 3,00 M, H = 0,50 M                                                                                                                                                                                                                                                                                                                                                                                                                                                           </t>
  </si>
  <si>
    <t>807,96</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</si>
  <si>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</si>
  <si>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</si>
  <si>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</si>
  <si>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</si>
  <si>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58,52</t>
  </si>
  <si>
    <t xml:space="preserve">ANEL DE VEDACAO/JUNTA ELASTICA, H = *16* MM, PARA TUBO DE CONCRETO DN 400 MM                                                                                                                                                                                                                                                                                                                                                                                                                              </t>
  </si>
  <si>
    <t>69,30</t>
  </si>
  <si>
    <t xml:space="preserve">ANEL DE VEDACAO/JUNTA ELASTICA, H = *16* MM, PARA TUBO DE CONCRETO DN 500 MM                                                                                                                                                                                                                                                                                                                                                                                                                              </t>
  </si>
  <si>
    <t>87,85</t>
  </si>
  <si>
    <t xml:space="preserve">ANEL DE VEDACAO/JUNTA ELASTICA, H = *16* MM, PARA TUBO DE CONCRETO DN 600 MM                                                                                                                                                                                                                                                                                                                                                                                                                              </t>
  </si>
  <si>
    <t>107,78</t>
  </si>
  <si>
    <t xml:space="preserve">ANEL DE VEDACAO/JUNTA ELASTICA, H = *18* MM, PARA TUBO DE CONCRETO DN 700 MM                                                                                                                                                                                                                                                                                                                                                                                                                              </t>
  </si>
  <si>
    <t>113,96</t>
  </si>
  <si>
    <t xml:space="preserve">ANEL DE VEDACAO/JUNTA ELASTICA, H = *19* MM, PARA TUBO DE CONCRETO DN 800 MM                                                                                                                                                                                                                                                                                                                                                                                                                              </t>
  </si>
  <si>
    <t>142,28</t>
  </si>
  <si>
    <t xml:space="preserve">ANEL DE VEDACAO/JUNTA ELASTICA, H = *19* MM, PARA TUBO DE CONCRETO DN 900 MM                                                                                                                                                                                                                                                                                                                                                                                                                              </t>
  </si>
  <si>
    <t>133,85</t>
  </si>
  <si>
    <t xml:space="preserve">ANEL DE VEDACAO/JUNTA ELASTICA, H = *21* MM, PARA TUBO DE CONCRETO DN 1000 MM                                                                                                                                                                                                                                                                                                                                                                                                                             </t>
  </si>
  <si>
    <t>165,50</t>
  </si>
  <si>
    <t xml:space="preserve">ANEL DESLIZANTE / TRADICIONAL, METALICO, PARA TUBO PEX, DN 16 MM                                                                                                                                                                                                                                                                                                                                                                                                                                          </t>
  </si>
  <si>
    <t xml:space="preserve">ANEL DESLIZANTE / TRADICIONAL, METALICO, PARA TUBO PEX, DN 20 MM                                                                                                                                                                                                                                                                                                                                                                                                                                          </t>
  </si>
  <si>
    <t xml:space="preserve">ANEL DESLIZANTE / TRADICIONAL, METALICO, PARA TUBO PEX, DN 25 MM                                                                                                                                                                                                                                                                                                                                                                                                                                          </t>
  </si>
  <si>
    <t>4,16</t>
  </si>
  <si>
    <t xml:space="preserve">ANEL DESLIZANTE / TRADICIONAL, METALICO, PARA TUBO PEX, DN 32 MM                                                                                                                                                                                                                                                                                                                                                                                                                                          </t>
  </si>
  <si>
    <t xml:space="preserve">APARELHO CORTE OXI-ACETILENO PARA SOLDA E CORTE CONTENDO MACARICO SOLDA, BICO DE CORTE, CILINDROS, REGULADORES, MANGUEIRAS E CARRINHO                                                                                                                                                                                                                                                                                                                                                                     </t>
  </si>
  <si>
    <t>2.626,14</t>
  </si>
  <si>
    <t xml:space="preserve">APARELHO DE APOIO DE NEOPRENE FRETADO, 60 X 45 X 7,6 CM, COM FRETAGEM DE ACO DE 4 MM INTERCALADAS COM ELASTOMERO DE 11 MM E REVESTIMENTO FINAL COM ELASTOMERO DE 6 MM                                                                                                                                                                                                                                                                                                                                     </t>
  </si>
  <si>
    <t xml:space="preserve">APARELHO DE APOIO DE NEOPRENE SIMPLES/ NAO FRETADO, 100 X 100 CM, ESPESSURA 6,3 MM                                                                                                                                                                                                                                                                                                                                                                                                                        </t>
  </si>
  <si>
    <t>87,41</t>
  </si>
  <si>
    <t xml:space="preserve">APARELHO SINALIZADOR LUMINOSO COM LED, PARA SAIDA GARAGEM, COM 2 LENTES EM POLICARBONATO, BIVOLT (INCLUI SUPORTE DE FIXACAO)                                                                                                                                                                                                                                                                                                                                                                              </t>
  </si>
  <si>
    <t>121,23</t>
  </si>
  <si>
    <t xml:space="preserve">APOIO DO PORTA DENTE PARA FRESADORA DE ASFALTO                                                                                                                                                                                                                                                                                                                                                                                                                                                            </t>
  </si>
  <si>
    <t>1.827,33</t>
  </si>
  <si>
    <t xml:space="preserve">APONTADOR OU APROPRIADOR DE MAO DE OBRA                                                                                                                                                                                                                                                                                                                                                                                                                                                                   </t>
  </si>
  <si>
    <t xml:space="preserve">APONTADOR OU APROPRIADOR DE MAO DE OBRA (MENSALISTA)                                                                                                                                                                                                                                                                                                                                                                                                                                                      </t>
  </si>
  <si>
    <t>6.019,98</t>
  </si>
  <si>
    <t xml:space="preserve">AQUECEDOR DE AGUA A GAS GLP/GN COM CAPACIDADE DE ARMAZENAMENTO DE 50 A 80 L                                                                                                                                                                                                                                                                                                                                                                                                                               </t>
  </si>
  <si>
    <t>2.569,65</t>
  </si>
  <si>
    <t xml:space="preserve">AQUECEDOR DE AGUA ELETRICO  RESERVATORIO DE 100 L CILINDRICO EM COBRE, REFORCADO COM ACO CARBONO, MONOFASICO, TENSAO NOMINAL 220 V                                                                                                                                                                                                                                                                                                                                                                        </t>
  </si>
  <si>
    <t>2.740,00</t>
  </si>
  <si>
    <t xml:space="preserve">AQUECEDOR DE AGUA ELETRICO  RESERVATORIO DE 500 L CILINDRICO EM COBRE, REFORCADO COM ACO CARBONO, MONOFASICO, TENSAO NOMINAL 220 V                                                                                                                                                                                                                                                                                                                                                                        </t>
  </si>
  <si>
    <t>5.964,29</t>
  </si>
  <si>
    <t xml:space="preserve">AQUECEDOR DE AGUA ELETRICO  RESERVATORIO DE 500 L CILINDRICO EM COBRE, REFORCADO COM ACO CARBONO, TRIFASICO, TENSAO NOMINAL 220/380/400 V, POTENCIA 24 KW                                                                                                                                                                                                                                                                                                                                                 </t>
  </si>
  <si>
    <t>7.488,97</t>
  </si>
  <si>
    <t xml:space="preserve">AQUECEDOR DE AGUA ELETRICO  RESERVATORIO DE 700 L CILINDRICO EM COBRE, REFORCADO COM ACO CARBONO, MONOFASICO, TENSAO NOMINAL 220 V                                                                                                                                                                                                                                                                                                                                                                        </t>
  </si>
  <si>
    <t>9.701,14</t>
  </si>
  <si>
    <t xml:space="preserve">AQUECEDOR DE AGUA ELETRICO HORIZONTAL, RESERVATORIO DE 200 L CILINDRICO EM COBRE, REFORCADO COM ACO CARBONO, MONOFASICO, TENSAO NOMINAL 220 V                                                                                                                                                                                                                                                                                                                                                             </t>
  </si>
  <si>
    <t>3.709,35</t>
  </si>
  <si>
    <t xml:space="preserve">AQUECEDOR DE OLEO BPF (FLUIDO) TERMICO, CAPACIDADE DE 300.000 KCAL/H                                                                                                                                                                                                                                                                                                                                                                                                                                      </t>
  </si>
  <si>
    <t>202.992,51</t>
  </si>
  <si>
    <t xml:space="preserve">AQUECEDOR SOLAR  CAPACIDADE DO RESERVATORIO 800 L, INCLUI 8 PLACAS COLETORAS DE 1,42 M2                                                                                                                                                                                                                                                                                                                                                                                                                   </t>
  </si>
  <si>
    <t>5.042,81</t>
  </si>
  <si>
    <t xml:space="preserve">AQUECEDOR SOLAR CAPACIDADE DO RESERVATORIO 1000 L, INCLUI 10 PLACAS COLETORAS DE 1,42 M2                                                                                                                                                                                                                                                                                                                                                                                                                  </t>
  </si>
  <si>
    <t>7.800,60</t>
  </si>
  <si>
    <t xml:space="preserve">AQUECEDOR SOLAR CAPACIDADE DO RESERVATORIO 200 L, INCLUI 2 PLACAS COLETORAS DE 1,42 M2                                                                                                                                                                                                                                                                                                                                                                                                                    </t>
  </si>
  <si>
    <t>2.400,00</t>
  </si>
  <si>
    <t xml:space="preserve">AQUECEDOR SOLAR CAPACIDADE DO RESERVATORIO 400L, INCLUI 4 PLACAS COLETORAS DE 1,42 M2                                                                                                                                                                                                                                                                                                                                                                                                                     </t>
  </si>
  <si>
    <t>4.068,34</t>
  </si>
  <si>
    <t xml:space="preserve">AQUECEDOR SOLAR CAPACIDADE DO RESERVATORIO 600 L, INCLUI 6 PLACAS COLETORAS DE 1,42 M2                                                                                                                                                                                                                                                                                                                                                                                                                    </t>
  </si>
  <si>
    <t>5.399,47</t>
  </si>
  <si>
    <t xml:space="preserve">AR CONDICIONADO SPLIT INVERTER, HI-WALL (PAREDE), 12000 BTU/H, CICLO FRIO, 60HZ, CLASSIFICACAO A (SELO PROCEL), GAS HFC, CONTROLE S/FIO                                                                                                                                                                                                                                                                                                                                                                   </t>
  </si>
  <si>
    <t>1.885,44</t>
  </si>
  <si>
    <t xml:space="preserve">AR CONDICIONADO SPLIT INVERTER, HI-WALL (PAREDE), 18000 BTU/H, CICLO FRIO, 60HZ, CLASSIFICACAO A (SELO PROCEL), GAS HFC, CONTROLE S/FIO                                                                                                                                                                                                                                                                                                                                                                   </t>
  </si>
  <si>
    <t>2.799,00</t>
  </si>
  <si>
    <t xml:space="preserve">AR CONDICIONADO SPLIT INVERTER, HI-WALL (PAREDE), 24000 BTU/H, CICLO FRIO, 60HZ, CLASSIFICACAO A - SELO PROCEL, GAS HFC, CONTROLE S/FIO                                                                                                                                                                                                                                                                                                                                                                   </t>
  </si>
  <si>
    <t>3.868,48</t>
  </si>
  <si>
    <t xml:space="preserve">AR CONDICIONADO SPLIT INVERTER, HI-WALL (PAREDE), 9000 BTU/H, CICLO FRIO, 60HZ, CLASSIFICACAO A (SELO PROCEL), GAS HFC, CONTROLE S/FIO                                                                                                                                                                                                                                                                                                                                                                    </t>
  </si>
  <si>
    <t>1.683,86</t>
  </si>
  <si>
    <t xml:space="preserve">AR CONDICIONADO SPLIT INVERTER, PISO TETO, APRESENTANDO ENTRE 54000 E 58000 BTU/H, CICLO FRIO, 60HZ, CLASSIFICACAO ENERGETICA A OU B (SELO PROCEL), GAS HFC, CONTROLE S/FIO                                                                                                                                                                                                                                                                                                                               </t>
  </si>
  <si>
    <t>15.331,38</t>
  </si>
  <si>
    <t xml:space="preserve">AR CONDICIONADO SPLIT INVERTER, PISO TETO, 18000 BTU/H, CICLO FRIO, 60HZ, CLASSIFICACAO ENERGETICA A OU B (SELO PROCEL), GAS HFC, CONTROLE S/FIO                                                                                                                                                                                                                                                                                                                                                          </t>
  </si>
  <si>
    <t>7.258,94</t>
  </si>
  <si>
    <t xml:space="preserve">AR CONDICIONADO SPLIT INVERTER, PISO TETO, 24000 BTU/H, CICLO FRIO, 60HZ, CLASSIFICACAO ENERGETICA A OU B (SELO PROCEL), GAS HFC, CONTROLE S/FIO                                                                                                                                                                                                                                                                                                                                                          </t>
  </si>
  <si>
    <t>8.137,86</t>
  </si>
  <si>
    <t xml:space="preserve">AR CONDICIONADO SPLIT INVERTER, PISO TETO, 36000 BTU/H, CICLO FRIO, 60HZ, CLASSIFICACAO ENERGETICA A OU B (SELO PROCEL), GAS HFC, CONTROLE S/FIO                                                                                                                                                                                                                                                                                                                                                          </t>
  </si>
  <si>
    <t>9.194,06</t>
  </si>
  <si>
    <t xml:space="preserve">AR CONDICIONADO SPLIT INVERTER, PISO TETO, 48000 BTU/H, CICLO FRIO, 60HZ, CLASSIFICACAO ENERGETICA A OU B (SELO PROCEL), GAS HFC, CONTROLE S/FIO                                                                                                                                                                                                                                                                                                                                                          </t>
  </si>
  <si>
    <t>12.636,55</t>
  </si>
  <si>
    <t xml:space="preserve">AR CONDICIONADO SPLIT ON/OFF, CASSETE (TETO), FRIO 4 VIAS 18000 BTUS/H, CLASSIFICACAO ENERGETICA C - SELO PROCEL, GAS HFC, CONTROLE S/ FIO                                                                                                                                                                                                                                                                                                                                                                </t>
  </si>
  <si>
    <t>4.449,51</t>
  </si>
  <si>
    <t xml:space="preserve">AR CONDICIONADO SPLIT ON/OFF, CASSETE (TETO), FRIO 4 VIAS 24000 BTUS/H, CLASSIFICACAO ENERGETICA C - SELO PROCEL, GAS HFC, CONTROLE S/ FIO                                                                                                                                                                                                                                                                                                                                                                </t>
  </si>
  <si>
    <t>5.514,53</t>
  </si>
  <si>
    <t xml:space="preserve">AR CONDICIONADO SPLIT ON/OFF, CASSETE (TETO), FRIO 4 VIAS 36000 BTUS/H, CLASSIFICACAO ENERGETICA C - SELO PROCEL, GAS HFC, CONTROLE S/ FIO                                                                                                                                                                                                                                                                                                                                                                </t>
  </si>
  <si>
    <t>8.194,46</t>
  </si>
  <si>
    <t xml:space="preserve">AR CONDICIONADO SPLIT ON/OFF, CASSETE (TETO), FRIO 4 VIAS 48000 BTUS/H, CLASSIFICACAO ENERGETICA C - SELO PROCEL, GAS HFC, CONTROLE S/ FIO                                                                                                                                                                                                                                                                                                                                                                </t>
  </si>
  <si>
    <t>8.494,73</t>
  </si>
  <si>
    <t xml:space="preserve">AR CONDICIONADO SPLIT ON/OFF, CASSETE (TETO), FRIO 4 VIAS 60000 BTUS/H, CLASSIFICACAO ENERGETICA C - SELO PROCEL, GAS HFC, CONTROLE S/ FIO                                                                                                                                                                                                                                                                                                                                                                </t>
  </si>
  <si>
    <t>9.748,32</t>
  </si>
  <si>
    <t xml:space="preserve">AR CONDICIONADO SPLIT ON/OFF, CASSETE (TETO), 18000 BTUS/H, CICLO QUENTE/FRIO, 60 HZ, CLASSIFICACAO ENERGETICA C - SELO PROCEL, GAS HFC, CONTROLE S/ FIO                                                                                                                                                                                                                                                                                                                                                  </t>
  </si>
  <si>
    <t>5.324,25</t>
  </si>
  <si>
    <t xml:space="preserve">AR CONDICIONADO SPLIT ON/OFF, CASSETE (TETO), 24000 BTUS/H, CICLO QUENTE/FRIO, 60 HZ, CLASSIFICACAO ENERGETICA C - SELO PROCEL, GAS HFC, CONTROLE S/ FIO                                                                                                                                                                                                                                                                                                                                                  </t>
  </si>
  <si>
    <t>5.733,05</t>
  </si>
  <si>
    <t xml:space="preserve">AR CONDICIONADO SPLIT ON/OFF, CASSETE (TETO), 36000 BTUS/H, CICLO QUENTE/FRIO, 60 HZ, CLASSIFICACAO ENERGETICA A - SELO PROCEL, GAS HFC, CONTROLE S/ FIO                                                                                                                                                                                                                                                                                                                                                  </t>
  </si>
  <si>
    <t>8.472,35</t>
  </si>
  <si>
    <t xml:space="preserve">AR CONDICIONADO SPLIT ON/OFF, CASSETE (TETO), 48000 BTUS/H, CICLO QUENTE/FRIO, 60 HZ, CLASSIFICACAO ENERGETICA A - SELO PROCEL, GAS HFC, CONTROLE S/ FIO                                                                                                                                                                                                                                                                                                                                                  </t>
  </si>
  <si>
    <t>9.801,68</t>
  </si>
  <si>
    <t xml:space="preserve">AR CONDICIONADO SPLIT ON/OFF, CASSETE (TETO), 60000 BTUS/H, CICLO QUENTE/FRIO, 60 HZ, CLASSIFICACAO ENERGETICA A - SELO PROCEL, GAS HFC, CONTROLE S/ FIO                                                                                                                                                                                                                                                                                                                                                  </t>
  </si>
  <si>
    <t>10.253,81</t>
  </si>
  <si>
    <t xml:space="preserve">AR CONDICIONADO SPLIT ON/OFF, HI-WALL (PAREDE), 12000 BTUS/H, CICLO FRIO, 60 HZ, CLASSIFICACAO ENERGETICA A - SELO PROCEL, GAS HFC, CONTROLE S/ FIO                                                                                                                                                                                                                                                                                                                                                       </t>
  </si>
  <si>
    <t>1.513,19</t>
  </si>
  <si>
    <t xml:space="preserve">AR CONDICIONADO SPLIT ON/OFF, HI-WALL (PAREDE), 12000 BTUS/H, CICLO QUENTE/FRIO, 60 HZ, CLASSIFICACAO ENERGETICA A - SELO PROCEL, GAS HFC, CONTROLE S/ FIO                                                                                                                                                                                                                                                                                                                                                </t>
  </si>
  <si>
    <t>1.636,88</t>
  </si>
  <si>
    <t xml:space="preserve">AR CONDICIONADO SPLIT ON/OFF, HI-WALL (PAREDE), 18000 BTUS/H, CICLO FRIO, 60 HZ, CLASSIFICACAO ENERGETICA A - SELO PROCEL, GAS HFC, CONTROLE S/ FIO                                                                                                                                                                                                                                                                                                                                                       </t>
  </si>
  <si>
    <t>2.177,28</t>
  </si>
  <si>
    <t xml:space="preserve">AR CONDICIONADO SPLIT ON/OFF, HI-WALL (PAREDE), 18000 BTUS/H, CICLO QUENTE/FRIO, 60 HZ, CLASSIFICACAO ENERGETICA A - SELO PROCEL, GAS HFC, CONTROLE S/ FIO                                                                                                                                                                                                                                                                                                                                                </t>
  </si>
  <si>
    <t>2.428,00</t>
  </si>
  <si>
    <t xml:space="preserve">AR CONDICIONADO SPLIT ON/OFF, HI-WALL (PAREDE), 24000 BTUS/H, CICLO FRIO, 60 HZ, CLASSIFICACAO ENERGETICA A - SELO PROCEL, GAS HFC, CONTROLE S/ FIO                                                                                                                                                                                                                                                                                                                                                       </t>
  </si>
  <si>
    <t>2.852,04</t>
  </si>
  <si>
    <t xml:space="preserve">AR CONDICIONADO SPLIT ON/OFF, HI-WALL (PAREDE), 24000 BTUS/H, CICLO QUENTE/FRIO, 60 HZ, CLASSIFICACAO ENERGETICA A - SELO PROCEL, GAS HFC, CONTROLE S/ FIO                                                                                                                                                                                                                                                                                                                                                </t>
  </si>
  <si>
    <t>3.210,67</t>
  </si>
  <si>
    <t xml:space="preserve">AR CONDICIONADO SPLIT ON/OFF, HI-WALL (PAREDE), 9000 BTUS/H, CICLO FRIO, 60 HZ, CLASSIFICACAO ENERGETICA A - SELO PROCEL, GAS HFC, CONTROLE S/ FIO                                                                                                                                                                                                                                                                                                                                                        </t>
  </si>
  <si>
    <t>1.296,30</t>
  </si>
  <si>
    <t xml:space="preserve">AR CONDICIONADO SPLIT ON/OFF, HI-WALL (PAREDE), 9000 BTUS/H, CICLO QUENTE/FRIO, 60 HZ, CLASSIFICACAO ENERGETICA A - SELO PROCEL, GAS HFC, CONTROLE S/ FIO                                                                                                                                                                                                                                                                                                                                                 </t>
  </si>
  <si>
    <t>1.427,37</t>
  </si>
  <si>
    <t xml:space="preserve">AR CONDICIONADO SPLIT ON/OFF, PISO TETO, 18.000 BTU/H, CICLO FRIO, 60HZ, CLASSIFICACAO ENERGETICA C - SELO PROCEL, GAS HFC, CONTROLE S/FIO                                                                                                                                                                                                                                                                                                                                                                </t>
  </si>
  <si>
    <t>4.056,33</t>
  </si>
  <si>
    <t xml:space="preserve">AR CONDICIONADO SPLIT ON/OFF, PISO TETO, 24.000 BTU/H, CICLO FRIO, 60HZ, CLASSIFICACAO ENERGETICA C - SELO PROCEL, GAS HFC, CONTROLE S/FIO                                                                                                                                                                                                                                                                                                                                                                </t>
  </si>
  <si>
    <t>4.278,61</t>
  </si>
  <si>
    <t xml:space="preserve">AR CONDICIONADO SPLIT ON/OFF, PISO TETO, 36.000 BTU/H, CICLO FRIO, 60HZ, CLASSIFICACAO ENERGETICA C - SELO PROCEL, GAS HFC, CONTROLE S/FIO                                                                                                                                                                                                                                                                                                                                                                </t>
  </si>
  <si>
    <t>5.677,76</t>
  </si>
  <si>
    <t xml:space="preserve">AR CONDICIONADO SPLIT ON/OFF, PISO TETO, 48.000 BTU/H, CICLO FRIO, 60HZ, CLASSIFICACAO ENERGETICA C - SELO PROCEL, GAS HFC, CONTROLE S/FIO                                                                                                                                                                                                                                                                                                                                                                </t>
  </si>
  <si>
    <t>6.879,36</t>
  </si>
  <si>
    <t xml:space="preserve">AR CONDICIONADO SPLIT ON/OFF, PISO TETO, 60.000 BTU/H, CICLO FRIO, 60HZ, CLASSIFICACAO ENERGETICA C - SELO PROCEL, GAS HFC, CONTROLE S/FIO                                                                                                                                                                                                                                                                                                                                                                </t>
  </si>
  <si>
    <t>7.738,13</t>
  </si>
  <si>
    <t xml:space="preserve">AR-CONDICIONADO FRIO SPLITAO INVERTER 30 TR                                                                                                                                                                                                                                                                                                                                                                                                                                                               </t>
  </si>
  <si>
    <t>60.979,63</t>
  </si>
  <si>
    <t xml:space="preserve">AR-CONDICIONADO FRIO SPLITAO MODULAR 10 TR                                                                                                                                                                                                                                                                                                                                                                                                                                                                </t>
  </si>
  <si>
    <t>19.086,49</t>
  </si>
  <si>
    <t xml:space="preserve">AR-CONDICIONADO FRIO SPLITAO MODULAR 15 TR                                                                                                                                                                                                                                                                                                                                                                                                                                                                </t>
  </si>
  <si>
    <t>24.631,50</t>
  </si>
  <si>
    <t xml:space="preserve">AR-CONDICIONADO FRIO SPLITAO MODULAR 20 TR                                                                                                                                                                                                                                                                                                                                                                                                                                                                </t>
  </si>
  <si>
    <t>35.836,90</t>
  </si>
  <si>
    <t xml:space="preserve">AR-CONDICIONADO SPLIT INVERTER, PISO TETO, 24000 BTU/H, QUENTE/FRIO, 60HZ, CLASSIFICACAO ENERGETICA A - SELO PROCEL, GAS HFC, CONTROLE S/FIO                                                                                                                                                                                                                                                                                                                                                              </t>
  </si>
  <si>
    <t>4.401,42</t>
  </si>
  <si>
    <t xml:space="preserve">ARADO REVERSIVEL COM 3 DISCOS DE 26" X 6MM REBOCAVEL                                                                                                                                                                                                                                                                                                                                                                                                                                                      </t>
  </si>
  <si>
    <t>12.121,63</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</si>
  <si>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</si>
  <si>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</si>
  <si>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</si>
  <si>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</si>
  <si>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</si>
  <si>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14 BWG, D = 2,11 MM (0,026 KG/M)                                                                                                                                                                                                                                                                                                                                                                                                                                                        </t>
  </si>
  <si>
    <t xml:space="preserve">ARAME GALVANIZADO 16 BWG, D = 1,65MM (0,0166 KG/M)                                                                                                                                                                                                                                                                                                                                                                                                                                                        </t>
  </si>
  <si>
    <t>17,68</t>
  </si>
  <si>
    <t xml:space="preserve">ARAME GALVANIZADO 18 BWG, D = 1,24MM (0,009 KG/M)                                                                                                                                                                                                                                                                                                                                                                                                                                                         </t>
  </si>
  <si>
    <t xml:space="preserve">ARAME GALVANIZADO 6 BWG, D = 5,16 MM (0,157 KG/M), OU 8 BWG, D = 4,19 MM (0,101 KG/M), OU 10 BWG, D = 3,40 MM (0,0713 KG/M)                                                                                                                                                                                                                                                                                                                                                                               </t>
  </si>
  <si>
    <t>15,62</t>
  </si>
  <si>
    <t xml:space="preserve">ARAME PROTEGIDO COM POLIMERO PARA GABIAO, DIAMETRO 2,2 MM                                                                                                                                                                                                                                                                                                                                                                                                                                                 </t>
  </si>
  <si>
    <t>27,18</t>
  </si>
  <si>
    <t xml:space="preserve">ARAME RECOZIDO 16 BWG, D = 1,60 MM (0,016 KG/M) OU 18 BWG, D = 1,25 MM (0,01 KG/M)                                                                                                                                                                                                                                                                                                                                                                                                                        </t>
  </si>
  <si>
    <t xml:space="preserve">AREIA AMARELA, AREIA BARRADA OU ARENOSO (RETIRADA NO AREAL, SEM TRANSPORTE)                                                                                                                                                                                                                                                                                                                                                                                                                               </t>
  </si>
  <si>
    <t>66,50</t>
  </si>
  <si>
    <t xml:space="preserve">AREIA FINA - POSTO JAZIDA/FORNECEDOR (RETIRADO NA JAZIDA, SEM TRANSPORTE)                                                                                                                                                                                                                                                                                                                                                                                                                                 </t>
  </si>
  <si>
    <t>102,50</t>
  </si>
  <si>
    <t xml:space="preserve">AREIA GROSSA - POSTO JAZIDA/FORNECEDOR (RETIRADO NA JAZIDA, SEM TRANSPORTE)                                                                                                                                                                                                                                                                                                                                                                                                                               </t>
  </si>
  <si>
    <t>106,15</t>
  </si>
  <si>
    <t xml:space="preserve">AREIA MEDIA - POSTO JAZIDA/FORNECEDOR (RETIRADO NA JAZIDA, SEM TRANSPORTE)                                                                                                                                                                                                                                                                                                                                                                                                                                </t>
  </si>
  <si>
    <t>95,00</t>
  </si>
  <si>
    <t xml:space="preserve">AREIA PARA ATERRO - POSTO JAZIDA/FORNECEDOR (RETIRADO NA JAZIDA, SEM TRANSPORTE)                                                                                                                                                                                                                                                                                                                                                                                                                          </t>
  </si>
  <si>
    <t>79,61</t>
  </si>
  <si>
    <t xml:space="preserve">AREIA PARA LEITO FILTRANTE (0,42 A 1,68 MM) - POSTO JAZIDA/FORNECEDOR (RETIRADO NA JAZIDA, SEM TRANSPORTE)                                                                                                                                                                                                                                                                                                                                                                                                </t>
  </si>
  <si>
    <t>1.738,20</t>
  </si>
  <si>
    <t xml:space="preserve">AREIA PRETA PARA EMBOCO - POSTO JAZIDA/FORNECEDOR (RETIRADO NA JAZIDA, SEM TRANSPORTE)                                                                                                                                                                                                                                                                                                                                                                                                                    </t>
  </si>
  <si>
    <t>132,68</t>
  </si>
  <si>
    <t xml:space="preserve">ARGAMASSA COLANTE AC I PARA CERAMICAS                                                                                                                                                                                                                                                                                                                                                                                                                                                                     </t>
  </si>
  <si>
    <t xml:space="preserve">ARGAMASSA COLANTE AC-II                                                                                                                                                                                                                                                                                                                                                                                                                                                                                   </t>
  </si>
  <si>
    <t xml:space="preserve">ARGAMASSA COLANTE TIPO ACIII                                                                                                                                                                                                                                                                                                                                                                                                                                                                              </t>
  </si>
  <si>
    <t xml:space="preserve">ARGAMASSA COLANTE TIPO ACIII E                                                                                                                                                                                                                                                                                                                                                                                                                                                                            </t>
  </si>
  <si>
    <t>1,77</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</si>
  <si>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</si>
  <si>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</si>
  <si>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</si>
  <si>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CORES CLARAS                                                                                                                                                                                                                                                                                                                                                                                                                                           </t>
  </si>
  <si>
    <t>1,31</t>
  </si>
  <si>
    <t xml:space="preserve">ARGAMASSA PISO SOBRE PISO                                                                                                                                                                                                                                                                                                                                                                                                                                                                                 </t>
  </si>
  <si>
    <t>1,08</t>
  </si>
  <si>
    <t xml:space="preserve">ARGAMASSA POLIMERICA DE REPARO ESTRUTURAL, BICOMPONENTE                                                                                                                                                                                                                                                                                                                                                                                                                                                   </t>
  </si>
  <si>
    <t>2,88</t>
  </si>
  <si>
    <t xml:space="preserve">ARGAMASSA POLIMERICA IMPERMEABILIZANTE SEMIFLEXIVEL, BICOMPONENTE (MEMBRANA IMPERMEABILIZANTE ACRILICA)                                                                                                                                                                                                                                                                                                                                                                                                   </t>
  </si>
  <si>
    <t xml:space="preserve">ARGAMASSA PRONTA PARA CONTRAPISO                                                                                                                                                                                                                                                                                                                                                                                                                                                                          </t>
  </si>
  <si>
    <t xml:space="preserve">ARGAMASSA PRONTA PARA REVESTIMENTO INTERNO EM PAREDES                                                                                                                                                                                                                                                                                                                                                                                                                                                     </t>
  </si>
  <si>
    <t xml:space="preserve">ARGAMASSA USINADA AUTOADENSAVEL E AUTONIVELANTE PARA CONTRAPISO, INCLUI BOMBEAMENTO                                                                                                                                                                                                                                                                                                                                                                                                                       </t>
  </si>
  <si>
    <t>341,63</t>
  </si>
  <si>
    <t xml:space="preserve">ARGILA EXPANDIDA, GRANULOMETRIA 2215                                                                                                                                                                                                                                                                                                                                                                                                                                                                      </t>
  </si>
  <si>
    <t>199,50</t>
  </si>
  <si>
    <t xml:space="preserve">ARGILA OU BARRO PARA ATERRO/REATERRO (COM TRANSPORTE ATE 10 KM)                                                                                                                                                                                                                                                                                                                                                                                                                                           </t>
  </si>
  <si>
    <t xml:space="preserve">ARGILA OU BARRO PARA ATERRO/REATERRO (RETIRADO NA JAZIDA, SEM TRANSPORTE)                                                                                                                                                                                                                                                                                                                                                                                                                                 </t>
  </si>
  <si>
    <t>16,29</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</si>
  <si>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</si>
  <si>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</si>
  <si>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</si>
  <si>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</si>
  <si>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28,95</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</si>
  <si>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</si>
  <si>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</si>
  <si>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</si>
  <si>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</si>
  <si>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67,40</t>
  </si>
  <si>
    <t xml:space="preserve">ARMACAO VERTICAL COM HASTE E CONTRA-PINO, EM CHAPA DE ACO GALVANIZADO 3/16", COM 4 ESTRIBOS, SEM ISOLADOR                                                                                                                                                                                                                                                                                                                                                                                                 </t>
  </si>
  <si>
    <t>57,21</t>
  </si>
  <si>
    <t xml:space="preserve">ARMADOR                                                                                                                                                                                                                                                                                                                                                                                                                                                                                                   </t>
  </si>
  <si>
    <t>16,41</t>
  </si>
  <si>
    <t xml:space="preserve">ARMADOR (MENSALISTA)                                                                                                                                                                                                                                                                                                                                                                                                                                                                                      </t>
  </si>
  <si>
    <t>2.926,62</t>
  </si>
  <si>
    <t xml:space="preserve">ARQUITETO JUNIOR                                                                                                                                                                                                                                                                                                                                                                                                                                                                                          </t>
  </si>
  <si>
    <t>62,96</t>
  </si>
  <si>
    <t xml:space="preserve">ARQUITETO JUNIOR (MENSALISTA)                                                                                                                                                                                                                                                                                                                                                                                                                                                                             </t>
  </si>
  <si>
    <t>11.230,93</t>
  </si>
  <si>
    <t xml:space="preserve">ARQUITETO PAISAGISTA                                                                                                                                                                                                                                                                                                                                                                                                                                                                                      </t>
  </si>
  <si>
    <t>69,75</t>
  </si>
  <si>
    <t xml:space="preserve">ARQUITETO PAISAGISTA (MENSALISTA)                                                                                                                                                                                                                                                                                                                                                                                                                                                                         </t>
  </si>
  <si>
    <t>12.442,67</t>
  </si>
  <si>
    <t xml:space="preserve">ARQUITETO PLENO                                                                                                                                                                                                                                                                                                                                                                                                                                                                                           </t>
  </si>
  <si>
    <t>89,43</t>
  </si>
  <si>
    <t xml:space="preserve">ARQUITETO PLENO (MENSALISTA)                                                                                                                                                                                                                                                                                                                                                                                                                                                                              </t>
  </si>
  <si>
    <t>15.952,63</t>
  </si>
  <si>
    <t xml:space="preserve">ARQUITETO SENIOR                                                                                                                                                                                                                                                                                                                                                                                                                                                                                          </t>
  </si>
  <si>
    <t>118,25</t>
  </si>
  <si>
    <t xml:space="preserve">ARQUITETO SENIOR (MENSALISTA)                                                                                                                                                                                                                                                                                                                                                                                                                                                                             </t>
  </si>
  <si>
    <t>21.090,78</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</si>
  <si>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</si>
  <si>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</si>
  <si>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</si>
  <si>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</si>
  <si>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</si>
  <si>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</si>
  <si>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</si>
  <si>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</si>
  <si>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</si>
  <si>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</si>
  <si>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</si>
  <si>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QUADRADA EM ACO GALVANIZADO, DIMENSAO = 38 MM, ESPESSURA = 3MM, DIAMETRO DO FURO= 18 MM                                                                                                                                                                                                                                                                                                                                                                                                           </t>
  </si>
  <si>
    <t xml:space="preserve">ARRUELA REDONDA DE LATAO, DIAMETRO EXTERNO = 34 MM, ESPESSURA = 2,5 MM, DIAMETRO DO FURO = 17 MM                                                                                                                                                                                                                                                                                                                                                                                                          </t>
  </si>
  <si>
    <t xml:space="preserve">ASFALTO DILUIDO DE PETROLEO CM-30 (COLETADO CAIXA NA ANP ACRESCIDO DE ICMS)                                                                                                                                                                                                                                                                                                                                                                                                                               </t>
  </si>
  <si>
    <t xml:space="preserve">ASFALTO MODIFICADO TIPO I - NBR 9910 (ASFALTO OXIDADO PARA IMPERMEABILIZACAO, COEFICIENTE DE PENETRACAO 25-40)                                                                                                                                                                                                                                                                                                                                                                                            </t>
  </si>
  <si>
    <t xml:space="preserve">ASFALTO MODIFICADO TIPO II - NBR 9910 (ASFALTO OXIDADO PARA IMPERMEABILIZACAO, COEFICIENTE DE PENETRACAO 20-35)                                                                                                                                                                                                                                                                                                                                                                                           </t>
  </si>
  <si>
    <t>9,05</t>
  </si>
  <si>
    <t xml:space="preserve">ASFALTO MODIFICADO TIPO III - NBR 9910 (ASFALTO OXIDADO PARA IMPERMEABILIZACAO, COEFICIENTE DE PENETRACAO 15-25)                                                                                                                                                                                                                                                                                                                                                                                          </t>
  </si>
  <si>
    <t xml:space="preserve">ASSENTADOR DE MANILHAS                                                                                                                                                                                                                                                                                                                                                                                                                                                                                    </t>
  </si>
  <si>
    <t xml:space="preserve">ASSENTADOR DE MANILHAS (MENSALISTA)                                                                                                                                                                                                                                                                                                                                                                                                                                                                       </t>
  </si>
  <si>
    <t>2.221,29</t>
  </si>
  <si>
    <t xml:space="preserve">ASSENTO  VASO SANITARIO INFANTIL EM PLASTICO BRANCO                                                                                                                                                                                                                                                                                                                                                                                                                                                       </t>
  </si>
  <si>
    <t xml:space="preserve">ASSENTO SANITARIO DE PLASTICO, TIPO CONVENCIONAL                                                                                                                                                                                                                                                                                                                                                                                                                                                          </t>
  </si>
  <si>
    <t>25,00</t>
  </si>
  <si>
    <t xml:space="preserve">AUTOMATICO DE BOIA SUPERIOR / INFERIOR, *15* A / 250 V                                                                                                                                                                                                                                                                                                                                                                                                                                                    </t>
  </si>
  <si>
    <t>38,00</t>
  </si>
  <si>
    <t xml:space="preserve">AUXILIAR  DE ALMOXARIFE                                                                                                                                                                                                                                                                                                                                                                                                                                                                                   </t>
  </si>
  <si>
    <t xml:space="preserve">AUXILIAR DE ALMOXARIFE (MENSALISTA)                                                                                                                                                                                                                                                                                                                                                                                                                                                                       </t>
  </si>
  <si>
    <t>3.839,34</t>
  </si>
  <si>
    <t xml:space="preserve">AUXILIAR DE AZULEJISTA                                                                                                                                                                                                                                                                                                                                                                                                                                                                                    </t>
  </si>
  <si>
    <t xml:space="preserve">AUXILIAR DE AZULEJISTA (MENSALISTA)                                                                                                                                                                                                                                                                                                                                                                                                                                                                       </t>
  </si>
  <si>
    <t>2.133,37</t>
  </si>
  <si>
    <t xml:space="preserve">AUXILIAR DE ENCANADOR OU BOMBEIRO HIDRAULICO                                                                                                                                                                                                                                                                                                                                                                                                                                                              </t>
  </si>
  <si>
    <t xml:space="preserve">AUXILIAR DE ENCANADOR OU BOMBEIRO HIDRAULICO (MENSALISTA)                                                                                                                                                                                                                                                                                                                                                                                                                                                 </t>
  </si>
  <si>
    <t>2.074,93</t>
  </si>
  <si>
    <t xml:space="preserve">AUXILIAR DE ESCRITORIO                                                                                                                                                                                                                                                                                                                                                                                                                                                                                    </t>
  </si>
  <si>
    <t xml:space="preserve">AUXILIAR DE ESCRITORIO (MENSALISTA)                                                                                                                                                                                                                                                                                                                                                                                                                                                                       </t>
  </si>
  <si>
    <t>4.196,62</t>
  </si>
  <si>
    <t xml:space="preserve">AUXILIAR DE LABORATORISTA DE SOLOS E DE CONCRETO                                                                                                                                                                                                                                                                                                                                                                                                                                                          </t>
  </si>
  <si>
    <t>30,73</t>
  </si>
  <si>
    <t xml:space="preserve">AUXILIAR DE LABORATORISTA DE SOLOS E DE CONCRETO (MENSALISTA)                                                                                                                                                                                                                                                                                                                                                                                                                                             </t>
  </si>
  <si>
    <t>5.481,68</t>
  </si>
  <si>
    <t xml:space="preserve">AUXILIAR DE MECANICO                                                                                                                                                                                                                                                                                                                                                                                                                                                                                      </t>
  </si>
  <si>
    <t xml:space="preserve">AUXILIAR DE MECANICO (MENSALISTA)                                                                                                                                                                                                                                                                                                                                                                                                                                                                         </t>
  </si>
  <si>
    <t>1.897,43</t>
  </si>
  <si>
    <t xml:space="preserve">AUXILIAR DE PEDREIRO                                                                                                                                                                                                                                                                                                                                                                                                                                                                                      </t>
  </si>
  <si>
    <t>10,64</t>
  </si>
  <si>
    <t xml:space="preserve">AUXILIAR DE PEDREIRO (MENSALISTA)                                                                                                                                                                                                                                                                                                                                                                                                                                                                         </t>
  </si>
  <si>
    <t>1.900,18</t>
  </si>
  <si>
    <t xml:space="preserve">AUXILIAR DE SERVICOS GERAIS                                                                                                                                                                                                                                                                                                                                                                                                                                                                               </t>
  </si>
  <si>
    <t>11,49</t>
  </si>
  <si>
    <t xml:space="preserve">AUXILIAR DE SERVICOS GERAIS (MENSALISTA)                                                                                                                                                                                                                                                                                                                                                                                                                                                                  </t>
  </si>
  <si>
    <t>2.051,48</t>
  </si>
  <si>
    <t xml:space="preserve">AUXILIAR DE TOPOGRAFO                                                                                                                                                                                                                                                                                                                                                                                                                                                                                     </t>
  </si>
  <si>
    <t xml:space="preserve">AUXILIAR DE TOPOGRAFO (MENSALISTA)                                                                                                                                                                                                                                                                                                                                                                                                                                                                        </t>
  </si>
  <si>
    <t>1.195,47</t>
  </si>
  <si>
    <t xml:space="preserve">AUXILIAR TECNICO / ASSISTENTE DE ENGENHARIA                                                                                                                                                                                                                                                                                                                                                                                                                                                               </t>
  </si>
  <si>
    <t>33,56</t>
  </si>
  <si>
    <t xml:space="preserve">AUXILIAR TECNICO / ASSISTENTE DE ENGENHARIA (MENSALISTA)                                                                                                                                                                                                                                                                                                                                                                                                                                                  </t>
  </si>
  <si>
    <t>5.988,82</t>
  </si>
  <si>
    <t xml:space="preserve">AVENTAL DE SEGURANCA DE RASPA DE COURO 1,00 X 0,60 M                                                                                                                                                                                                                                                                                                                                                                                                                                                      </t>
  </si>
  <si>
    <t>33,32</t>
  </si>
  <si>
    <t xml:space="preserve">AZULEJISTA OU LADRILHEIRO                                                                                                                                                                                                                                                                                                                                                                                                                                                                                 </t>
  </si>
  <si>
    <t xml:space="preserve">AZULEJISTA OU LADRILHEIRO (MENSALISTA)                                                                                                                                                                                                                                                                                                                                                                                                                                                                    </t>
  </si>
  <si>
    <t xml:space="preserve">BACIA SANITARIA (VASO) COM CAIXA ACOPLADA, DE LOUCA BRANCA                                                                                                                                                                                                                                                                                                                                                                                                                                                </t>
  </si>
  <si>
    <t>299,16</t>
  </si>
  <si>
    <t xml:space="preserve">BACIA SANITARIA (VASO) CONVENCIONAL DE LOUCA BRANCA                                                                                                                                                                                                                                                                                                                                                                                                                                                       </t>
  </si>
  <si>
    <t>112,20</t>
  </si>
  <si>
    <t xml:space="preserve">BACIA SANITARIA (VASO) CONVENCIONAL DE LOUCA COR                                                                                                                                                                                                                                                                                                                                                                                                                                                          </t>
  </si>
  <si>
    <t>150,16</t>
  </si>
  <si>
    <t xml:space="preserve">BACIA SANITARIA (VASO) CONVENCIONAL PARA PCD SEM FURO FRONTAL, DE LOUCA BRANCA, SEM ASSENTO                                                                                                                                                                                                                                                                                                                                                                                                               </t>
  </si>
  <si>
    <t>558,99</t>
  </si>
  <si>
    <t xml:space="preserve">BACIA SANITARIA TURCA DE LOUCA BRANCA                                                                                                                                                                                                                                                                                                                                                                                                                                                                     </t>
  </si>
  <si>
    <t>419,83</t>
  </si>
  <si>
    <t xml:space="preserve">BALDE PLASTICO CAPACIDADE *10* L                                                                                                                                                                                                                                                                                                                                                                                                                                                                          </t>
  </si>
  <si>
    <t xml:space="preserve">BALDE VERMELHO PARA SINALIZACAO DE VIAS                                                                                                                                                                                                                                                                                                                                                                                                                                                                   </t>
  </si>
  <si>
    <t xml:space="preserve">BANCADA DE MARMORE SINTETICO COM UMA CUBA, 120 X *60* CM                                                                                                                                                                                                                                                                                                                                                                                                                                                  </t>
  </si>
  <si>
    <t>125,50</t>
  </si>
  <si>
    <t xml:space="preserve">BANCADA DE MARMORE SINTETICO COM UMA CUBA, 150 X *60* CM                                                                                                                                                                                                                                                                                                                                                                                                                                                  </t>
  </si>
  <si>
    <t>157,31</t>
  </si>
  <si>
    <t xml:space="preserve">BANCADA DE MARMORE SINTETICO COM UMA CUBA, 200 X *60* CM                                                                                                                                                                                                                                                                                                                                                                                                                                                  </t>
  </si>
  <si>
    <t>354,51</t>
  </si>
  <si>
    <t xml:space="preserve">BANCADA/ BANCA EM GRANITO, POLIDO, TIPO ANDORINHA/ QUARTZ/ CASTELO/ CORUMBA OU OUTROS EQUIVALENTES DA REGIAO, COM CUBA INOX, FORMATO *120 X 60* CM, E=  *2* CM                                                                                                                                                                                                                                                                                                                                            </t>
  </si>
  <si>
    <t>691,82</t>
  </si>
  <si>
    <t xml:space="preserve">BANCADA/ BANCA EM MARMORE, POLIDO, BRANCO COMUM, E=  *3* CM                                                                                                                                                                                                                                                                                                                                                                                                                                               </t>
  </si>
  <si>
    <t>240,56</t>
  </si>
  <si>
    <t xml:space="preserve">BANCADA/BANCA/PIA DE ACO INOXIDAVEL (AISI 430) COM 1 CUBA CENTRAL, COM VALVULA, ESCORREDOR DUPLO, DE *0,55 X 1,20* M                                                                                                                                                                                                                                                                                                                                                                                      </t>
  </si>
  <si>
    <t>183,95</t>
  </si>
  <si>
    <t xml:space="preserve">BANCADA/BANCA/PIA DE ACO INOXIDAVEL (AISI 430) COM 1 CUBA CENTRAL, COM VALVULA, ESCORREDOR DUPLO, DE *0,55 X 1,40* M                                                                                                                                                                                                                                                                                                                                                                                      </t>
  </si>
  <si>
    <t>244,61</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</si>
  <si>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</si>
  <si>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</si>
  <si>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</si>
  <si>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213,82</t>
  </si>
  <si>
    <t xml:space="preserve">BANCADA/BANCA/PIA DE ACO INOXIDAVEL (AISI 430) COM 2 CUBAS, COM VALVULAS, ESCORREDOR DUPLO, DE *0,55 X 2,00* M                                                                                                                                                                                                                                                                                                                                                                                            </t>
  </si>
  <si>
    <t>499,66</t>
  </si>
  <si>
    <t xml:space="preserve">BANCADA/TAMPO ACO INOX (AISI 304), LARGURA 60 CM, COM RODABANCA (NAO INCLUI PES DE APOIO)                                                                                                                                                                                                                                                                                                                                                                                                                 </t>
  </si>
  <si>
    <t>796,11</t>
  </si>
  <si>
    <t xml:space="preserve">BANCADA/TAMPO ACO INOX (AISI 304), LARGURA 70 CM, COM RODABANCA (NAO INCLUI PES DE APOIO)                                                                                                                                                                                                                                                                                                                                                                                                                 </t>
  </si>
  <si>
    <t>997,48</t>
  </si>
  <si>
    <t xml:space="preserve">BANCADA/TAMPO LISO (SEM CUBA) EM MARMORE SINTETICO                                                                                                                                                                                                                                                                                                                                                                                                                                                        </t>
  </si>
  <si>
    <t>139,15</t>
  </si>
  <si>
    <t xml:space="preserve">BANCO ARTICULADO PARA BANHO, EM ACO INOX POLIDO, 70* CM X 45* CM                                                                                                                                                                                                                                                                                                                                                                                                                                          </t>
  </si>
  <si>
    <t>653,55</t>
  </si>
  <si>
    <t xml:space="preserve">BANCO COM ENCOSTO, 1,60M* DE COMPRIMENTO, EM TUBO DE ACO CARBONO E PINTURA NO PROCESSO ELETROSTATICO - PARA ACADEMIA AO AR LIVRE / ACADEMIA DA TERCEIRA IDADE - ATI                                                                                                                                                                                                                                                                                                                                       </t>
  </si>
  <si>
    <t>686,09</t>
  </si>
  <si>
    <t xml:space="preserve">BANDEJA DE PINTURA PARA ROLO 23 CM                                                                                                                                                                                                                                                                                                                                                                                                                                                                        </t>
  </si>
  <si>
    <t xml:space="preserve">BARRA ANTIPANICO DUPLA, CEGA LADO OPOSTO, COR CINZA                                                                                                                                                                                                                                                                                                                                                                                                                                                       </t>
  </si>
  <si>
    <t>1.349,17</t>
  </si>
  <si>
    <t xml:space="preserve">BARRA ANTIPANICO DUPLA, PARA PORTA DE VIDRO, COR CINZA                                                                                                                                                                                                                                                                                                                                                                                                                                                    </t>
  </si>
  <si>
    <t>1.365,28</t>
  </si>
  <si>
    <t xml:space="preserve">BARRA ANTIPANICO SIMPLES, CEGA LADO OPOSTO, COR CINZA                                                                                                                                                                                                                                                                                                                                                                                                                                                     </t>
  </si>
  <si>
    <t>470,69</t>
  </si>
  <si>
    <t xml:space="preserve">BARRA ANTIPANICO SIMPLES, COM FECHADURA LADO OPOSTO, COR CINZA                                                                                                                                                                                                                                                                                                                                                                                                                                            </t>
  </si>
  <si>
    <t>719,56</t>
  </si>
  <si>
    <t xml:space="preserve">BARRA ANTIPANICO SIMPLES, PARA PORTA DE VIDRO, COR CINZA                                                                                                                                                                                                                                                                                                                                                                                                                                                  </t>
  </si>
  <si>
    <t>696,77</t>
  </si>
  <si>
    <t xml:space="preserve">BARRA DE APOIO EM "L", EM ACO INOX POLIDO 70 X 70 CM, DIAMETRO MINIMO 3 CM                                                                                                                                                                                                                                                                                                                                                                                                                                </t>
  </si>
  <si>
    <t>289,48</t>
  </si>
  <si>
    <t xml:space="preserve">BARRA DE APOIO EM "L", EM ACO INOX POLIDO 80 X 80 CM, DIAMETRO MINIMO 3 CM                                                                                                                                                                                                                                                                                                                                                                                                                                </t>
  </si>
  <si>
    <t>332,22</t>
  </si>
  <si>
    <t xml:space="preserve">BARRA DE APOIO LATERAL ARTICULADA, COM TRAVA, EM ACO INOX POLIDO, 70 CM, DIAMETRO MINIMO 3 CM                                                                                                                                                                                                                                                                                                                                                                                                             </t>
  </si>
  <si>
    <t>359,45</t>
  </si>
  <si>
    <t xml:space="preserve">BARRA DE APOIO RETA, EM ACO INOX POLIDO, COMPRIMENTO 60CM, DIAMETRO MINIMO 3 CM                                                                                                                                                                                                                                                                                                                                                                                                                           </t>
  </si>
  <si>
    <t>127,45</t>
  </si>
  <si>
    <t xml:space="preserve">BARRA DE APOIO RETA, EM ACO INOX POLIDO, COMPRIMENTO 70CM, DIAMETRO MINIMO 3 CM                                                                                                                                                                                                                                                                                                                                                                                                                           </t>
  </si>
  <si>
    <t>141,54</t>
  </si>
  <si>
    <t xml:space="preserve">BARRA DE APOIO RETA, EM ACO INOX POLIDO, COMPRIMENTO 80CM, DIAMETRO MINIMO 3 CM                                                                                                                                                                                                                                                                                                                                                                                                                           </t>
  </si>
  <si>
    <t>150,92</t>
  </si>
  <si>
    <t xml:space="preserve">BARRA DE APOIO RETA, EM ACO INOX POLIDO, COMPRIMENTO 90 CM, DIAMETRO MINIMO 3 CM                                                                                                                                                                                                                                                                                                                                                                                                                          </t>
  </si>
  <si>
    <t>158,11</t>
  </si>
  <si>
    <t xml:space="preserve">BARRA DE APOIO RETA, EM ALUMINIO, COMPRIMENTO 60CM, DIAMETRO MINIMO 3 CM                                                                                                                                                                                                                                                                                                                                                                                                                                  </t>
  </si>
  <si>
    <t>88,89</t>
  </si>
  <si>
    <t xml:space="preserve">BARRA DE APOIO RETA, EM ALUMINIO, COMPRIMENTO 70CM, DIAMETRO MINIMO 3 CM                                                                                                                                                                                                                                                                                                                                                                                                                                  </t>
  </si>
  <si>
    <t>101,93</t>
  </si>
  <si>
    <t xml:space="preserve">BARRA DE APOIO RETA, EM ALUMINIO, COMPRIMENTO 80 CM, DIAMETRO MINIMO 3 CM                                                                                                                                                                                                                                                                                                                                                                                                                                 </t>
  </si>
  <si>
    <t>110,26</t>
  </si>
  <si>
    <t xml:space="preserve">BARRA DE APOIO RETA, EM ALUMINIO, COMPRIMENTO 90 CM, DIAMETRO MINIMO 3 CM                                                                                                                                                                                                                                                                                                                                                                                                                                 </t>
  </si>
  <si>
    <t>115,46</t>
  </si>
  <si>
    <t xml:space="preserve">BARRA DE FERRO RETANGULAR, BARRA CHATA (QUALQUER DIMENSAO)                                                                                                                                                                                                                                                                                                                                                                                                                                                </t>
  </si>
  <si>
    <t xml:space="preserve">BARRA DE FERRO RETANGULAR, BARRA CHATA, 1 1/2"  X 1/2" (L X E), 3,79 KG/M                                                                                                                                                                                                                                                                                                                                                                                                                                 </t>
  </si>
  <si>
    <t>19,80</t>
  </si>
  <si>
    <t xml:space="preserve">BARRA DE FERRO RETANGULAR, BARRA CHATA, 1 1/2" X 1/4" (L X E), 1,89 KG/M                                                                                                                                                                                                                                                                                                                                                                                                                                  </t>
  </si>
  <si>
    <t>9,75</t>
  </si>
  <si>
    <t xml:space="preserve">BARRA DE FERRO RETANGULAR, BARRA CHATA, 1" X 1/4" (L X E), 1,2265 KG/M                                                                                                                                                                                                                                                                                                                                                                                                                                    </t>
  </si>
  <si>
    <t xml:space="preserve">BARRA DE FERRO RETANGULAR, BARRA CHATA, 1" X 3/16" (L X E), 1,73 KG/M                                                                                                                                                                                                                                                                                                                                                                                                                                     </t>
  </si>
  <si>
    <t>9,13</t>
  </si>
  <si>
    <t xml:space="preserve">BARRA DE FERRO RETANGULAR, BARRA CHATA, 2" X 1/2" (L X E), 5,06 KG/M                                                                                                                                                                                                                                                                                                                                                                                                                                      </t>
  </si>
  <si>
    <t xml:space="preserve">BARRA DE FERRO RETANGULAR, BARRA CHATA, 2" X 1/4" (L X E), 2,53 KG/M                                                                                                                                                                                                                                                                                                                                                                                                                                      </t>
  </si>
  <si>
    <t>13,05</t>
  </si>
  <si>
    <t xml:space="preserve">BARRA DE FERRO RETANGULAR, BARRA CHATA, 2" X 1" (L X E), 10,12 KG/M                                                                                                                                                                                                                                                                                                                                                                                                                                       </t>
  </si>
  <si>
    <t>51,01</t>
  </si>
  <si>
    <t xml:space="preserve">BARRA DE FERRO RETANGULAR, BARRA CHATA, 2" X 3/8" (L X E), 3,79KG/M                                                                                                                                                                                                                                                                                                                                                                                                                                       </t>
  </si>
  <si>
    <t>19,55</t>
  </si>
  <si>
    <t xml:space="preserve">BARRA DE FERRO RETANGULAR, BARRA CHATA, 2" X 5/16" (L X E), 3,162 KG/M                                                                                                                                                                                                                                                                                                                                                                                                                                    </t>
  </si>
  <si>
    <t>16,52</t>
  </si>
  <si>
    <t xml:space="preserve">BARRA DE FERRO RETANGULAR, BARRA CHATA, 3/4" X 1/8" (L X E), 0,47 KG/M                                                                                                                                                                                                                                                                                                                                                                                                                                    </t>
  </si>
  <si>
    <t xml:space="preserve">BARRA DE FERRO RETANGULAR, BARRA CHATA, 3/8" X 1 1/2" (L X E), 2,84 KG/M                                                                                                                                                                                                                                                                                                                                                                                                                                  </t>
  </si>
  <si>
    <t xml:space="preserve">BASE DE MISTURADOR MONOCOMANDO PARA CHUVEIRO                                                                                                                                                                                                                                                                                                                                                                                                                                                              </t>
  </si>
  <si>
    <t>355,15</t>
  </si>
  <si>
    <t xml:space="preserve">BASE PARA MASTRO DE PARA-RAIOS DIAMETRO NOMINAL 1 1/2"                                                                                                                                                                                                                                                                                                                                                                                                                                                    </t>
  </si>
  <si>
    <t>74,56</t>
  </si>
  <si>
    <t xml:space="preserve">BASE PARA MASTRO DE PARA-RAIOS DIAMETRO NOMINAL 2"                                                                                                                                                                                                                                                                                                                                                                                                                                                        </t>
  </si>
  <si>
    <t>77,45</t>
  </si>
  <si>
    <t xml:space="preserve">BASE PARA RELE COM SUPORTE METALICO                                                                                                                                                                                                                                                                                                                                                                                                                                                                       </t>
  </si>
  <si>
    <t xml:space="preserve">BASE UNIPOLAR PARA FUSIVEL NH1, CORRENTE NOMINAL DE 250 A, SEM CAPA                                                                                                                                                                                                                                                                                                                                                                                                                                       </t>
  </si>
  <si>
    <t>89,96</t>
  </si>
  <si>
    <t xml:space="preserve">BATE-ESTACAS POR GRAVIDADE, POTENCIA160 HP, PESO DO MARTELO ATE 3 TONELADAS                                                                                                                                                                                                                                                                                                                                                                                                                               </t>
  </si>
  <si>
    <t>332.215,39</t>
  </si>
  <si>
    <t xml:space="preserve">BATENTE/ PORTAL/ ADUELA/ MARCO MACICO, E= *3 CM, L= *13 CM, *60 CM A 120* CM X *210 CM,  EM CEDRINHO/ ANGELIM COMERCIAL/ EUCALIPTO/ CURUPIXA/ PEROBA/ CUMARU OU EQUIVALENTE DA REGIAO (NAO INCLUI ALIZARES)                                                                                                                                                                                                                                                                                               </t>
  </si>
  <si>
    <t>175,50</t>
  </si>
  <si>
    <t xml:space="preserve">BATENTE/ PORTAL/ ADUELA/ MARCO MACICO, E= *3* CM, L= *13* CM, *60 CM A 120* CM X *210* CM, EM PINUS/ TAUARI/ VIROLA OU EQUIVALENTE DA REGIAO (NAO INCLUI ALIZARES)                                                                                                                                                                                                                                                                                                                                        </t>
  </si>
  <si>
    <t>115,99</t>
  </si>
  <si>
    <t xml:space="preserve">BATENTE/ PORTAL/ ADUELA/ MARCO MACICO, E= *3* CM, L= *7* CM, *60 CM A 120* CM X *210* CM,  EM CEDRINHO/ ANGELIM COMERCIAL/ EUCALIPTO/ CURUPIXA/ PEROBA/ CUMARU OU EQUIVALENTE DA REGIAO (NAO INCLUI ALIZARES)                                                                                                                                                                                                                                                                                             </t>
  </si>
  <si>
    <t>142,57</t>
  </si>
  <si>
    <t xml:space="preserve">BATENTE/ PORTAL/ ADUELA/ MARCO MACICO, E= *3* CM, L= *7* CM, *60 CM A 120* CM X *210* CM, EM PINUS/ TAUARI/ VIROLA OU EQUIVALENTE DA REGIAO (NAO INCLUI ALIZARES)                                                                                                                                                                                                                                                                                                                                         </t>
  </si>
  <si>
    <t>77,50</t>
  </si>
  <si>
    <t xml:space="preserve">BATENTE/ PORTAL/ ADUELA/MARCO MACICO, E= *3* CM, L= *15* CM, *60 CM A 120* CM  X *210* CM, EM PINUS/ TAUARI/ VIROLA OU EQUIVALENTE DA REGIAO                                                                                                                                                                                                                                                                                                                                                              </t>
  </si>
  <si>
    <t>142,07</t>
  </si>
  <si>
    <t xml:space="preserve">BATENTE/ PORTAL/ADUELA/ MARCO MACICO, E= *3* CM, L= *15* CM, *60 CM A 120* CM  X *210* CM,  EM CEDRINHO/ ANGELIM COMERCIAL/  EUCALIPTO/ CURUPIXA/ PEROBA/ CUMARU OU EQUIVALENTE DA REGIAO (NAO INCLUI ALIZARES)                                                                                                                                                                                                                                                                                           </t>
  </si>
  <si>
    <t>192,21</t>
  </si>
  <si>
    <t xml:space="preserve">BATENTE/PORTAL/ADUELA/MARCO, EM MDF/PVC WOOD/POLIESTIRENO OU MADEIRA LAMINADA, L = *9,0* CM COM GUARNICAO REGULAVEL 2 FACES = *35* MM, PRIMER                                                                                                                                                                                                                                                                                                                                                             </t>
  </si>
  <si>
    <t>197,47</t>
  </si>
  <si>
    <t xml:space="preserve">BETONEIRA CAPACIDADE NOMINAL 400 L, CAPACIDADE DE MISTURA  280 L, MOTOR ELETRICO TRIFASICO 220/380 V POTENCIA 2 CV, SEM CARREGADOR                                                                                                                                                                                                                                                                                                                                                                        </t>
  </si>
  <si>
    <t>3.877,97</t>
  </si>
  <si>
    <t xml:space="preserve">BETONEIRA CAPACIDADE NOMINAL 400 L, CAPACIDADE DE MISTURA 310 L, MOTOR A DIESEL POTENCIA 5 CV, SEM CARREGADOR                                                                                                                                                                                                                                                                                                                                                                                             </t>
  </si>
  <si>
    <t>5.288,49</t>
  </si>
  <si>
    <t xml:space="preserve">BETONEIRA CAPACIDADE NOMINAL 400 L, CAPACIDADE DE MISTURA 310 L, MOTOR A GASOLINA POTENCIA 5,5 CV, SEM CARREGADOR                                                                                                                                                                                                                                                                                                                                                                                         </t>
  </si>
  <si>
    <t>4.850,74</t>
  </si>
  <si>
    <t xml:space="preserve">BETONEIRA CAPACIDADE NOMINAL 600 L, CAPACIDADE DE MISTURA 440 L, MOTOR A GASOLINA POTENCIA 10 HP, COM CARREGADOR                                                                                                                                                                                                                                                                                                                                                                                          </t>
  </si>
  <si>
    <t>21.098,78</t>
  </si>
  <si>
    <t xml:space="preserve">BETONEIRA, CAPACIDADE NOMINAL 400 L, CAPACIDADE DE MISTURA 310L, MOTOR ELETRICO TRIFASICO 220/380V POTENCIA 2 CV, SEM CARREGADOR                                                                                                                                                                                                                                                                                                                                                                          </t>
  </si>
  <si>
    <t>4.436,66</t>
  </si>
  <si>
    <t xml:space="preserve">BETONEIRA, CAPACIDADE NOMINAL 600 L, CAPACIDADE DE MISTURA  360L, MOTOR ELETRICO TRIFASICO 220/380V, POTENCIA 4CV, EXCLUSO CARREGADOR                                                                                                                                                                                                                                                                                                                                                                     </t>
  </si>
  <si>
    <t>15.774,79</t>
  </si>
  <si>
    <t xml:space="preserve">BETONEIRA, CAPACIDADE NOMINAL 600 L, CAPACIDADE DE MISTURA 440 L, MOTOR A DIESEL POTENCIA 10 CV, COM CARREGADOR                                                                                                                                                                                                                                                                                                                                                                                           </t>
  </si>
  <si>
    <t>19.172,94</t>
  </si>
  <si>
    <t xml:space="preserve">BLASTER, DINAMITADOR OU CABO DE FOGO                                                                                                                                                                                                                                                                                                                                                                                                                                                                      </t>
  </si>
  <si>
    <t xml:space="preserve">BLASTER, DINAMITADOR OU CABO DE FOGO (MENSALISTA)                                                                                                                                                                                                                                                                                                                                                                                                                                                         </t>
  </si>
  <si>
    <t>2.056,55</t>
  </si>
  <si>
    <t xml:space="preserve">BLOCO CERAMICO (ALVENARIA DE VEDACAO), DE 9 X 19 X 19 CM                                                                                                                                                                                                                                                                                                                                                                                                                                                  </t>
  </si>
  <si>
    <t>494,50</t>
  </si>
  <si>
    <t xml:space="preserve">BLOCO CERAMICO (ALVENARIA DE VEDACAO), 4 FUROS, DE 9 X 9 X 19 CM                                                                                                                                                                                                                                                                                                                                                                                                                                          </t>
  </si>
  <si>
    <t xml:space="preserve">BLOCO CERAMICO (ALVENARIA DE VEDACAO), 6 FUROS, DE 9 X 9 X 19 CM                                                                                                                                                                                                                                                                                                                                                                                                                                          </t>
  </si>
  <si>
    <t xml:space="preserve">BLOCO CERAMICO (ALVENARIA DE VEDACAO), 8 FUROS, DE 9 X 19 X 19 CM                                                                                                                                                                                                                                                                                                                                                                                                                                         </t>
  </si>
  <si>
    <t xml:space="preserve">BLOCO CERAMICO (ALVENARIA DE VEDACAO), 8 FUROS, DE 9 X 19 X 29 CM                                                                                                                                                                                                                                                                                                                                                                                                                                         </t>
  </si>
  <si>
    <t xml:space="preserve">BLOCO CERAMICO (ALVENARIA VEDACAO), 6 FUROS, DE 9 X 14 X 19 CM                                                                                                                                                                                                                                                                                                                                                                                                                                            </t>
  </si>
  <si>
    <t xml:space="preserve">BLOCO CERAMICO DE VEDACAO COM FUROS NA HORIZONTAL, 11,5 X 19 X 19 CM - 4,5 MPA (NBR 15270)                                                                                                                                                                                                                                                                                                                                                                                                                </t>
  </si>
  <si>
    <t xml:space="preserve">BLOCO CERAMICO DE VEDACAO COM FUROS NA VERTICAL, 14 X 19 X 39 CM - 4,5 MPA (NBR 15270)                                                                                                                                                                                                                                                                                                                                                                                                                    </t>
  </si>
  <si>
    <t xml:space="preserve">BLOCO CERAMICO DE VEDACAO COM FUROS NA VERTICAL, 19 X 19 X 39 CM - 4,5 MPA (NBR 15270)                                                                                                                                                                                                                                                                                                                                                                                                                    </t>
  </si>
  <si>
    <t xml:space="preserve">BLOCO CERAMICO DE VEDACAO COM FUROS NA VERTICAL, 9 X 19 X 39 CM - 4,5 MPA (NBR 15270)                                                                                                                                                                                                                                                                                                                                                                                                                     </t>
  </si>
  <si>
    <t xml:space="preserve">BLOCO CONCRETO ESTRUTURAL 14 X 19 X 29 CM, FBK 10 MPA (NBR 6136)                                                                                                                                                                                                                                                                                                                                                                                                                                          </t>
  </si>
  <si>
    <t xml:space="preserve">BLOCO CONCRETO ESTRUTURAL 14 X 19 X 29 CM, FBK 12 MPA  (NBR 6136)                                                                                                                                                                                                                                                                                                                                                                                                                                         </t>
  </si>
  <si>
    <t xml:space="preserve">BLOCO CONCRETO ESTRUTURAL 14 X 19 X 29 CM, FBK 14 MPA (NBR 6136)                                                                                                                                                                                                                                                                                                                                                                                                                                          </t>
  </si>
  <si>
    <t xml:space="preserve">BLOCO CONCRETO ESTRUTURAL 14 X 19 X 29 CM, FBK 16 MPA (NBR 6136)                                                                                                                                                                                                                                                                                                                                                                                                                                          </t>
  </si>
  <si>
    <t xml:space="preserve">BLOCO CONCRETO ESTRUTURAL 14 X 19 X 29 CM, FBK 4,5 MPA (NBR 6136)                                                                                                                                                                                                                                                                                                                                                                                                                                         </t>
  </si>
  <si>
    <t xml:space="preserve">BLOCO CONCRETO ESTRUTURAL 14 X 19 X 29 CM, FBK 6 MPA (NBR 6136)                                                                                                                                                                                                                                                                                                                                                                                                                                           </t>
  </si>
  <si>
    <t xml:space="preserve">BLOCO CONCRETO ESTRUTURAL 14 X 19 X 29 CM, FBK 8 MPA (NBR 6136)                                                                                                                                                                                                                                                                                                                                                                                                                                           </t>
  </si>
  <si>
    <t xml:space="preserve">BLOCO CONCRETO ESTRUTURAL 14 X 19 X 34 CM, FBK 4,5 MPA (NBR 6136)                                                                                                                                                                                                                                                                                                                                                                                                                                         </t>
  </si>
  <si>
    <t>2,42</t>
  </si>
  <si>
    <t xml:space="preserve">BLOCO CONCRETO ESTRUTURAL 14 X 19 X 39 CM, FBK 10 MPA (NBR 6136)                                                                                                                                                                                                                                                                                                                                                                                                                                          </t>
  </si>
  <si>
    <t xml:space="preserve">BLOCO CONCRETO ESTRUTURAL 14 X 19 X 39 CM, FBK 12 MPA (NBR 6136)                                                                                                                                                                                                                                                                                                                                                                                                                                          </t>
  </si>
  <si>
    <t xml:space="preserve">BLOCO CONCRETO ESTRUTURAL 14 X 19 X 39 CM, FBK 14 MPA (NBR 6136)                                                                                                                                                                                                                                                                                                                                                                                                                                          </t>
  </si>
  <si>
    <t xml:space="preserve">BLOCO CONCRETO ESTRUTURAL 14 X 19 X 39 CM, FBK 4,5 MPA (NBR 6136)                                                                                                                                                                                                                                                                                                                                                                                                                                         </t>
  </si>
  <si>
    <t xml:space="preserve">BLOCO CONCRETO ESTRUTURAL 14 X 19 X 39 CM, FBK 6 MPA (NBR 6136)                                                                                                                                                                                                                                                                                                                                                                                                                                           </t>
  </si>
  <si>
    <t xml:space="preserve">BLOCO CONCRETO ESTRUTURAL 14 X 19 X 39 CM, FBK 8 MPA (NBR 6136)                                                                                                                                                                                                                                                                                                                                                                                                                                           </t>
  </si>
  <si>
    <t xml:space="preserve">BLOCO CONCRETO ESTRUTURAL 14 X 19 X 39, FCK 16 MPA - NBR 6136/2007                                                                                                                                                                                                                                                                                                                                                                                                                                        </t>
  </si>
  <si>
    <t xml:space="preserve">BLOCO CONCRETO ESTRUTURAL 19 X 19 X 39 CM, FBK 10 MPA (NBR 6136)                                                                                                                                                                                                                                                                                                                                                                                                                                          </t>
  </si>
  <si>
    <t xml:space="preserve">BLOCO CONCRETO ESTRUTURAL 19 X 19 X 39 CM, FBK 12 MPA (NBR 6136)                                                                                                                                                                                                                                                                                                                                                                                                                                          </t>
  </si>
  <si>
    <t xml:space="preserve">BLOCO CONCRETO ESTRUTURAL 19 X 19 X 39 CM, FBK 14 MPA (NBR 6136)                                                                                                                                                                                                                                                                                                                                                                                                                                          </t>
  </si>
  <si>
    <t xml:space="preserve">BLOCO CONCRETO ESTRUTURAL 19 X 19 X 39 CM, FBK 16 MPA (NBR 6136)                                                                                                                                                                                                                                                                                                                                                                                                                                          </t>
  </si>
  <si>
    <t xml:space="preserve">BLOCO CONCRETO ESTRUTURAL 19 X 19 X 39 CM, FBK 4,5 MPA (NBR 6136)                                                                                                                                                                                                                                                                                                                                                                                                                                         </t>
  </si>
  <si>
    <t xml:space="preserve">BLOCO CONCRETO ESTRUTURAL 19 X 19 X 39 CM, FBK 8 MPA (NBR 6136)                                                                                                                                                                                                                                                                                                                                                                                                                                           </t>
  </si>
  <si>
    <t xml:space="preserve">BLOCO CONCRETO ESTRUTURAL 9 X 19 X 39 CM, FBK 4,5 MPA (NBR 6136)                                                                                                                                                                                                                                                                                                                                                                                                                                          </t>
  </si>
  <si>
    <t xml:space="preserve">BLOCO DE ESPUMA MULTIUSO *23 X 13 X 8* CM                                                                                                                                                                                                                                                                                                                                                                                                                                                                 </t>
  </si>
  <si>
    <t>6,45</t>
  </si>
  <si>
    <t xml:space="preserve">BLOCO DE GESSO COMPACTO, BRANCO, E = 10 CM, *67 X 50* CM                                                                                                                                                                                                                                                                                                                                                                                                                                                  </t>
  </si>
  <si>
    <t>68,92</t>
  </si>
  <si>
    <t xml:space="preserve">BLOCO DE GESSO VAZADO BRANCO, E = *7* CM, *67 X 50* CM                                                                                                                                                                                                                                                                                                                                                                                                                                                    </t>
  </si>
  <si>
    <t>38,58</t>
  </si>
  <si>
    <t xml:space="preserve">BLOCO DE POLIETILENO ALTA DENSIDADE, *27* X *30* X *100* CM, ACOMPANHADOS PLACAS  TERMINAIS  E LONGARINAS, PARA FUNDO DE FILTRO                                                                                                                                                                                                                                                                                                                                                                           </t>
  </si>
  <si>
    <t>512,82</t>
  </si>
  <si>
    <t xml:space="preserve">BLOCO DE VIDRO INCOLOR XADREZ, DE *20 X 20 X 10* CM                                                                                                                                                                                                                                                                                                                                                                                                                                                       </t>
  </si>
  <si>
    <t>11,31</t>
  </si>
  <si>
    <t xml:space="preserve">BLOCO DE VIDRO INCOLOR, CANELADO, DE *19 X 19 X 8* CM                                                                                                                                                                                                                                                                                                                                                                                                                                                     </t>
  </si>
  <si>
    <t xml:space="preserve">BLOCO DE VIDRO/ELEMENTO VAZADO INCOLOR, VENEZIANA, DE *20 X 20 X 6* CM                                                                                                                                                                                                                                                                                                                                                                                                                                    </t>
  </si>
  <si>
    <t xml:space="preserve">BLOCO DE VIDRO/ELEMENTO VAZADO, INCOLOR, VENEZIANA, *20 X 10 X 8* CM                                                                                                                                                                                                                                                                                                                                                                                                                                      </t>
  </si>
  <si>
    <t xml:space="preserve">BLOCO ESTRUTURAL CERAMICO - 14 X 19 X 29 CM - 4,0 MPA -  NBR 15270                                                                                                                                                                                                                                                                                                                                                                                                                                        </t>
  </si>
  <si>
    <t xml:space="preserve">BLOCO ESTRUTURAL CERAMICO 14 X 19 X 29 CM, 3,0 MPA (NBR 15270)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</si>
  <si>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</si>
  <si>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</si>
  <si>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</si>
  <si>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</si>
  <si>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</si>
  <si>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BLOCO VEDACAO CONCRETO APARENTE 14 X 19 X 39 CM (CLASSE C - NBR 6136)                                                                                                                                                                                                                                                                                                                                                                                                                                     </t>
  </si>
  <si>
    <t>2,08</t>
  </si>
  <si>
    <t xml:space="preserve">BLOCO VEDACAO CONCRETO APARENTE 19 X 19 X 39 CM  (CLASSE C - NBR 6136)                                                                                                                                                                                                                                                                                                                                                                                                                                    </t>
  </si>
  <si>
    <t xml:space="preserve">BLOCO VEDACAO CONCRETO APARENTE 9 X 19 X 39 CM (CLASSE C - NBR 6136)                                                                                                                                                                                                                                                                                                                                                                                                                                      </t>
  </si>
  <si>
    <t xml:space="preserve">BLOCO VEDACAO CONCRETO CELULAR AUTOCLAVADO 10 X 30 X 60 CM (E X A X C)                                                                                                                                                                                                                                                                                                                                                                                                                                    </t>
  </si>
  <si>
    <t xml:space="preserve">BLOCO VEDACAO CONCRETO CELULAR AUTOCLAVADO 15 X 30 X 60 CM (E X A X C)                                                                                                                                                                                                                                                                                                                                                                                                                                    </t>
  </si>
  <si>
    <t>82,20</t>
  </si>
  <si>
    <t xml:space="preserve">BLOCO VEDACAO CONCRETO CELULAR AUTOCLAVADO 20 X 30 X 60 CM                                                                                                                                                                                                                                                                                                                                                                                                                                                </t>
  </si>
  <si>
    <t>104,69</t>
  </si>
  <si>
    <t xml:space="preserve">BLOCO VEDACAO CONCRETO 14 X 19 X 29 CM (CLASSE C - NBR 6136)                                                                                                                                                                                                                                                                                                                                                                                                                                              </t>
  </si>
  <si>
    <t xml:space="preserve">BLOCO VEDACAO CONCRETO 14 X 19 X 39 CM (CLASSE C - NBR 6136)                                                                                                                                                                                                                                                                                                                                                                                                                                              </t>
  </si>
  <si>
    <t>2,03</t>
  </si>
  <si>
    <t xml:space="preserve">BLOCO VEDACAO CONCRETO 19 X 19 X 39 CM (CLASSE C - NBR 6136)                                                                                                                                                                                                                                                                                                                                                                                                                                              </t>
  </si>
  <si>
    <t xml:space="preserve">BLOCO VEDACAO CONCRETO 9 X 19 X 39 CM (CLASSE C - NBR 6136)                                                                                                                                                                                                                                                                                                                                                                                                                                               </t>
  </si>
  <si>
    <t xml:space="preserve">BLOQUETE/PISO DE CONCRETO - MODELO BLOCO PISOGRAMA/CONCREGRAMA 2 FUROS, *35  CM X 15* CM, E =  *6* CM, COR NATURAL                                                                                                                                                                                                                                                                                                                                                                                        </t>
  </si>
  <si>
    <t>46,27</t>
  </si>
  <si>
    <t xml:space="preserve">BLOQUETE/PISO DE CONCRETO - MODELO BLOCO PISOGRAMA/CONCREGRAMA 2 FUROS, *35  CM X 15* CM, E =  *8* CM, COR NATURAL                                                                                                                                                                                                                                                                                                                                                                                        </t>
  </si>
  <si>
    <t>48,48</t>
  </si>
  <si>
    <t xml:space="preserve">BLOQUETE/PISO DE CONCRETO - MODELO PISOGRAMA/CONCREGRAMA/PAVI-GRADE/GRAMEIRO, *60  CM X 45* CM, E =  *7* CM, COR NATURAL                                                                                                                                                                                                                                                                                                                                                                                  </t>
  </si>
  <si>
    <t xml:space="preserve">BLOQUETE/PISO DE CONCRETO - MODELO PISOGRAMA/CONCREGRAMA/PAVI-GRADE/GRAMEIRO, *60  CM X 45* CM, E =  *9* CM, COR NATURAL                                                                                                                                                                                                                                                                                                                                                                                  </t>
  </si>
  <si>
    <t>69,70</t>
  </si>
  <si>
    <t xml:space="preserve">BLOQUETE/PISO INTERTRAVADO DE CONCRETO - MODELO ONDA/16 FACES/RETANGULAR/TIJOLINHO/PAVER/HOLANDES/PARALELEPIPEDO, *22 CM X *11 CM, E = 10 CM, RESISTENCIA DE 50 MPA (NBR 9781), COR NATURAL                                                                                                                                                                                                                                                                                                               </t>
  </si>
  <si>
    <t>54,43</t>
  </si>
  <si>
    <t xml:space="preserve">BLOQUETE/PISO INTERTRAVADO DE CONCRETO - MODELO ONDA/16 FACES/RETANGULAR/TIJOLINHO/PAVER/HOLANDES/PARALELEPIPEDO, *22 CM X 11* CM, E = 8 CM, RESISTENCIA DE 35 MPA (NBR 9781), COR NATURAL                                                                                                                                                                                                                                                                                                                </t>
  </si>
  <si>
    <t>40,77</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</si>
  <si>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</si>
  <si>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</si>
  <si>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42,97</t>
  </si>
  <si>
    <t xml:space="preserve">BLOQUETE/PISO INTERTRAVADO DE CONCRETO - MODELO ONDA/16 FACES/RETANGULAR/TIJOLINHO/PAVER/HOLANDES/PARALELEPIPEDO, 20 CM X 10 CM, E = 6 CM, RESISTENCIA DE 35 MPA (NBR 9781), COR NATURAL                                                                                                                                                                                                                                                                                                                  </t>
  </si>
  <si>
    <t>38,07</t>
  </si>
  <si>
    <t xml:space="preserve">BLOQUETE/PISO INTERTRAVADO DE CONCRETO - MODELO ONDA/16 FACES/RETANGULAR/TIJOLINHO/PAVER/HOLANDES/PARALELEPIPEDO, 20 CM X 10 CM, E = 8 CM, RESISTENCIA DE 35 MPA (NBR 9781), COLORIDO                                                                                                                                                                                                                                                                                                                     </t>
  </si>
  <si>
    <t>50,57</t>
  </si>
  <si>
    <t xml:space="preserve">BLOQUETE/PISO INTERTRAVADO DE CONCRETO - MODELO RAQUETE, *22 CM X 13,5* CM, E = 6 CM, RESISTENCIA DE 35 MPA (NBR 9781), COR NATURAL                                                                                                                                                                                                                                                                                                                                                                       </t>
  </si>
  <si>
    <t>37,38</t>
  </si>
  <si>
    <t xml:space="preserve">BLOQUETE/PISO INTERTRAVADO DE CONCRETO - MODELO SEXTAVADO, 25 CM X 25 CM, E = 10 CM, RESISTENCIA DE 35 MPA (NBR 9781), COR NATURAL                                                                                                                                                                                                                                                                                                                                                                        </t>
  </si>
  <si>
    <t>51,23</t>
  </si>
  <si>
    <t xml:space="preserve">BLOQUETE/PISO INTERTRAVADO DE CONCRETO - MODELO SEXTAVADO, 25 CM X 25 CM, E = 6 CM, RESISTENCIA DE 35 MPA (NBR 9781), COR NATURAL                                                                                                                                                                                                                                                                                                                                                                         </t>
  </si>
  <si>
    <t>39,11</t>
  </si>
  <si>
    <t xml:space="preserve">BLOQUETE/PISO INTERTRAVADO DE CONCRETO - MODELO SEXTAVADO, 25 CM X 25 CM, E = 8 CM, RESISTENCIA DE 35 MPA (NBR 9781), COR NATURAL                                                                                                                                                                                                                                                                                                                                                                         </t>
  </si>
  <si>
    <t xml:space="preserve">BOCAL PVC, PARA CALHA PLUVIAL, DIAMETRO DA SAIDA ENTRE 80 E 100 MM, PARA DRENAGEM PREDIAL                                                                                                                                                                                                                                                                                                                                                                                                                 </t>
  </si>
  <si>
    <t>15,07</t>
  </si>
  <si>
    <t xml:space="preserve">BOLSA DE LIGACAO EM PVC FLEXIVEL PARA VASO SANITARIO 1.1/2 " (40 MM)                                                                                                                                                                                                                                                                                                                                                                                                                                      </t>
  </si>
  <si>
    <t xml:space="preserve">BOLSA DE LONA PARA FERRAMENTAS *50 X 35 X 25* CM                                                                                                                                                                                                                                                                                                                                                                                                                                                          </t>
  </si>
  <si>
    <t>155,87</t>
  </si>
  <si>
    <t xml:space="preserve">BOMBA CENTRIFUGA  MOTOR ELETRICO TRIFASICO 1,48HP  DIAMETRO DE SUCCAO X ELEVACAO 1" X 1", 4 ESTAGIOS, DIAMETRO DOS ROTORES 3 X 107 MM + 1 X 100 MM, HM/Q: 10 M / 5,3 M3/H A 70 M / 1,8 M3/H                                                                                                                                                                                                                                                                                                               </t>
  </si>
  <si>
    <t>1.690,33</t>
  </si>
  <si>
    <t xml:space="preserve">BOMBA CENTRIFUGA  MOTOR ELETRICO TRIFASICO 2,96HP, DIAMETRO DE SUCCAO X ELEVACAO 1 1/2" X 1 1/4", DIAMETRO DO ROTOR 148 MM, HM/Q: 34 M / 14,80 M3/H A 40 M / 8,60 M3/H                                                                                                                                                                                                                                                                                                                                    </t>
  </si>
  <si>
    <t>1.421,26</t>
  </si>
  <si>
    <t xml:space="preserve">BOMBA CENTRIFUGA COM MOTOR ELETRICO MONOFASICO, POTENCIA 0,33 HP,  BOCAIS 1" X 3/4", DIAMETRO DO ROTOR 99 MM, HM/Q = 4 MCA / 8,5 M3/H A 18 MCA / 0,90 M3/H                                                                                                                                                                                                                                                                                                                                                </t>
  </si>
  <si>
    <t>579,18</t>
  </si>
  <si>
    <t xml:space="preserve">BOMBA CENTRIFUGA MONOESTAGIO COM MOTOR ELETRICO MONOFASICO, POTENCIA 15 HP,  DIAMETRO DO ROTOR *173* MM, HM/Q = *30* MCA / *90* M3/H A *45* MCA / *55* M3/H                                                                                                                                                                                                                                                                                                                                               </t>
  </si>
  <si>
    <t>8.369,10</t>
  </si>
  <si>
    <t xml:space="preserve">BOMBA CENTRIFUGA MOTOR ELETRICO MONOFASICO 0,49 HP  BOCAIS 1" X 3/4", DIAMETRO DO ROTOR 110 MM, HM/Q: 6 M / 8,3 M3/H A 20 M / 1,2 M3/H                                                                                                                                                                                                                                                                                                                                                                    </t>
  </si>
  <si>
    <t>563,68</t>
  </si>
  <si>
    <t xml:space="preserve">BOMBA CENTRIFUGA MOTOR ELETRICO MONOFASICO 0,50 CV DIAMETRO DE SUCCAO X ELEVACAO 3/4" X 3/4", MONOESTAGIO, DIAMETRO DOS ROTORES 114 MM, HM/Q: 2 M / 2,99 M3/H A 24 M / 0,71 M3/H                                                                                                                                                                                                                                                                                                                          </t>
  </si>
  <si>
    <t>879,67</t>
  </si>
  <si>
    <t xml:space="preserve">BOMBA CENTRIFUGA MOTOR ELETRICO MONOFASICO 0,74HP  DIAMETRO DE SUCCAO X ELEVACAO 1 1/4" X 1", DIAMETRO DO ROTOR 120 MM, HM/Q: 8 M / 7,70 M3/H A 24 M / 2,80 M3/H                                                                                                                                                                                                                                                                                                                                          </t>
  </si>
  <si>
    <t>963,13</t>
  </si>
  <si>
    <t xml:space="preserve">BOMBA CENTRIFUGA MOTOR ELETRICO TRIFASICO 0,99HP  DIAMETRO DE SUCCAO X ELEVACAO 1" X 1", DIAMETRO DO ROTOR 145 MM, HM/Q: 14 M / 8,4 M3/H A 40 M / 0,60 M3/H                                                                                                                                                                                                                                                                                                                                               </t>
  </si>
  <si>
    <t>950,18</t>
  </si>
  <si>
    <t xml:space="preserve">BOMBA CENTRIFUGA MOTOR ELETRICO TRIFASICO 14,8 HP, DIAMETRO DE SUCCAO X ELEVACAO 2 1/2" X 2", DIAMETRO DO ROTOR 195 MM, HM/Q: 62 M / 55,5 M3/H A 80 M / 31,50 M3/H                                                                                                                                                                                                                                                                                                                                        </t>
  </si>
  <si>
    <t>5.328,36</t>
  </si>
  <si>
    <t xml:space="preserve">BOMBA CENTRIFUGA MOTOR ELETRICO TRIFASICO 5HP, DIAMETRO DE SUCCAO X ELEVACAO 2" X 1 1/2", DIAMETRO DO ROTOR 155 MM, HM/Q: 40 M / 20,40 M3/H A 46 M / 9,20 M3/H                                                                                                                                                                                                                                                                                                                                            </t>
  </si>
  <si>
    <t>2.470,72</t>
  </si>
  <si>
    <t xml:space="preserve">BOMBA CENTRIFUGA MOTOR ELETRICO TRIFASICO 9,86 DIAMETRO DE SUCCAO X ELEVACAO 1" X 1", 4 ESTAGIOS, DIAMETRO DOS ROTORES 4 X 146 MM, HM/Q: 85 M / 14,9 M3/H A 140 M / 4,2 M3/H                                                                                                                                                                                                                                                                                                                              </t>
  </si>
  <si>
    <t>5.012,58</t>
  </si>
  <si>
    <t xml:space="preserve">BOMBA CENTRIFUGA,  MOTOR ELETRICO TRIFASICO 1,48HP  DIAMETRO DE SUCCAO X ELEVACAO 1 1/2" X 1", DIAMETRO DO ROTOR 117 MM, HM/Q: 10 M / 21,9 M3/H A 24 M / 6,1 M3/H                                                                                                                                                                                                                                                                                                                                         </t>
  </si>
  <si>
    <t>1.018,59</t>
  </si>
  <si>
    <t xml:space="preserve">BOMBA DE PROJECAO DE CONCRETO SECO, POTENCIA 10 CV, VAZAO 3 M3/H                                                                                                                                                                                                                                                                                                                                                                                                                                          </t>
  </si>
  <si>
    <t>47.273,63</t>
  </si>
  <si>
    <t xml:space="preserve">BOMBA DE PROJECAO DE CONCRETO SECO, POTENCIA 10 CV, VAZAO 6 M3/H                                                                                                                                                                                                                                                                                                                                                                                                                                          </t>
  </si>
  <si>
    <t>50.647,84</t>
  </si>
  <si>
    <t xml:space="preserve">BOMBA SUBMERSA PARA POCOS TUBULARES PROFUNDOS DIAMETRO DE 4 POLEGADAS, ELETRICA, MONOFASICA, POTENCIA 0,49 HP, 13 ESTAGIOS, BOCAL DE DESCARGA DIAMETRO DE UMA POLEGADA E MEIA, HM/Q = 18 M / 1,90 M3/H A 85 M / 0,60 M3/H                                                                                                                                                                                                                                                                                 </t>
  </si>
  <si>
    <t>2.867,81</t>
  </si>
  <si>
    <t xml:space="preserve">BOMBA SUBMERSA PARA POCOS TUBULARES PROFUNDOS DIAMETRO DE 4 POLEGADAS, ELETRICA, TRIFASICA, POTENCIA 1,97 HP, 20 ESTAGIOS, BOCAL DE DESCARGA DIAMETRO DE UMA POLEGADA E MEIA, HM/Q = 18 M / 5,40 M3/H A 164 M / 0,80 M3/H                                                                                                                                                                                                                                                                                 </t>
  </si>
  <si>
    <t>4.123,34</t>
  </si>
  <si>
    <t xml:space="preserve">BOMBA SUBMERSA PARA POCOS TUBULARES PROFUNDOS DIAMETRO DE 4 POLEGADAS, ELETRICA, TRIFASICA, POTENCIA 5,42 HP, 15 ESTAGIOS, BOCAL DE DESCARGA DIAMETRO DE 2 POLEGADAS, HM/Q = 18 M / 18,10 M3/H A 121 M / 2,90 M3/H                                                                                                                                                                                                                                                                                        </t>
  </si>
  <si>
    <t>6.989,41</t>
  </si>
  <si>
    <t xml:space="preserve">BOMBA SUBMERSA PARA POCOS TUBULARES PROFUNDOS DIAMETRO DE 4 POLEGADAS, ELETRICA, TRIFASICA, POTENCIA 5,42 HP, 29 ESTAGIOS, BOCAL DE DESCARGA DE UMA POLEGADA E MEIA, HM/Q = 18 M / 8,10 M3/H A 201 M / 3,2 M3/H                                                                                                                                                                                                                                                                                           </t>
  </si>
  <si>
    <t>6.635,88</t>
  </si>
  <si>
    <t xml:space="preserve">BOMBA SUBMERSA PARA POCOS TUBULARES PROFUNDOS DIAMETRO DE 6 POLEGADAS, ELETRICA, TRIFASICA, POTENCIA 27,12 HP, 7 ESTAGIOS, BOCAL DE DESCARGA DIAMETRO DE 4 POLEGADAS, HM/Q = 13,9 M / 90 M3/H A 44,0 M / 25,0 M3/H                                                                                                                                                                                                                                                                                        </t>
  </si>
  <si>
    <t>27.230,46</t>
  </si>
  <si>
    <t xml:space="preserve">BOMBA SUBMERSA PARA POCOS TUBULARES PROFUNDOS DIAMETRO DE 6 POLEGADAS, ELETRICA, TRIFASICA, POTENCIA 3,45 HP, 5 ESTAGIOS, BOCAL DE DESCARGA DIAMETRO DE 2 POLEGADAS, HM/Q = 68,5 M / 6,12 M3/H A 39,5 M / 14,04 M3/H                                                                                                                                                                                                                                                                                      </t>
  </si>
  <si>
    <t>10.014,86</t>
  </si>
  <si>
    <t xml:space="preserve">BOMBA SUBMERSA PARA POCOS TUBULARES PROFUNDOS DIAMETRO DE 6 POLEGADAS, ELETRICA, TRIFASICA, POTENCIA 32 HP, 9 ESTAGIOS, BOCAL DE DESCARGA DIAMETRO DE 4 POLEGADAS, HM/Q = 114,0 M / 13,9 M3/H A 57,0 M / 25,0 M3/H                                                                                                                                                                                                                                                                                        </t>
  </si>
  <si>
    <t>29.698,46</t>
  </si>
  <si>
    <t xml:space="preserve">BOMBA SUBMERSIVEL,  ELETRICA, TRIFASICA, POTENCIA 6 HP, DIAMETRO DO ROTOR 127 MM, BOCAL DE SAIDA DIAMETRO DE 3 POLEGADAS, HM/Q = 7 M / 66,90 M3/H A 26 M / 2,88 M3/H                                                                                                                                                                                                                                                                                                                                      </t>
  </si>
  <si>
    <t>13.485,00</t>
  </si>
  <si>
    <t xml:space="preserve">BOMBA SUBMERSIVEL, ELETRICA, TRIFASICA, POTENCIA 0,98 HP, DIAMETRO DO ROTOR 142 MM SEMIABERTO, BOCAL DE SAIDA DIAMETRO DE 2 POLEGADAS, HM/Q = 2 M / 32 M3/H A 8 M / 16 M3/H                                                                                                                                                                                                                                                                                                                               </t>
  </si>
  <si>
    <t>2.977,15</t>
  </si>
  <si>
    <t xml:space="preserve">BOMBA SUBMERSIVEL, ELETRICA, TRIFASICA, POTENCIA 0,99 HP, DIAMETRO ROTOR 98 MM SEMIABERTO, BOCAL DE SAIDA DIAMETRO 2 POLEGADAS, HM/Q = 2 M / 28,90 M3/H A 14 M / 7 M3/H                                                                                                                                                                                                                                                                                                                                   </t>
  </si>
  <si>
    <t>3.596,00</t>
  </si>
  <si>
    <t xml:space="preserve">BOMBA SUBMERSIVEL, ELETRICA, TRIFASICA, POTENCIA 1,97 HP, DIAMETRO DO ROTOR 144 MM SEMIABERTO, BOCAL DE SAIDA DIAMETRO DE 2 POLEGADAS, HM/Q = 2 M / 26,8 M3/H A 28 M / 4,6 M3/H                                                                                                                                                                                                                                                                                                                           </t>
  </si>
  <si>
    <t>4.831,00</t>
  </si>
  <si>
    <t xml:space="preserve">BOMBA SUBMERSIVEL, ELETRICA, TRIFASICA, POTENCIA 13 HP, DIAMETRO DO ROTOR 170 MM, BOCAL DE SAIDA DIAMETRO DE 3 POLEGADAS, HM/Q = 11 M / 68,40 M3/H A 72 M / 3,6 M3/H                                                                                                                                                                                                                                                                                                                                      </t>
  </si>
  <si>
    <t>26.970,00</t>
  </si>
  <si>
    <t xml:space="preserve">BOMBA SUBMERSIVEL, ELETRICA, TRIFASICA, POTENCIA 2,96 HP, DIAMETRO DO ROTOR 144 MM SEMIABERTO, BOCAL DE SAIDA DIAMETRO DE DUAS POLEGADAS, HM/Q = 2 M / 38,8 M3/H A 28 M / 5 M3/H                                                                                                                                                                                                                                                                                                                          </t>
  </si>
  <si>
    <t>4.247,77</t>
  </si>
  <si>
    <t xml:space="preserve">BOMBA SUBMERSIVEL, ELETRICA, TRIFASICA, POTENCIA 3,75 HP, DIAMETRO DO ROTOR 90 MM SEMIABERTO, BOCAL DE SAIDA DIAMETRO DE 2 POLEGADAS, HM/Q = 5 M / 61,2 M3/H A 25,5 M / 3,6 M3/H                                                                                                                                                                                                                                                                                                                          </t>
  </si>
  <si>
    <t>6.742,50</t>
  </si>
  <si>
    <t xml:space="preserve">BOMBA TRIPLEX COM MOTOR A DIESEL, NACIONAL, DIAMETRO DE SUCCAO DE 2 1/2''                                                                                                                                                                                                                                                                                                                                                                                                                                 </t>
  </si>
  <si>
    <t>143.983,89</t>
  </si>
  <si>
    <t xml:space="preserve">BOMBA TRIPLEX, PARA INJECAO DE CALDA DE CIMENTO, VAZAO MAXIMA DE *100* LITROS/MINUTO, PRESSAO MAXIMA DE *70* BAR, POTENCIA DE 15 CV                                                                                                                                                                                                                                                                                                                                                                       </t>
  </si>
  <si>
    <t>72.615,72</t>
  </si>
  <si>
    <t xml:space="preserve">BORBOLETA EM LATAO FUNDIDO CROMADO, PARA TRAVAR JANELA TIPO GUILHOTINA                                                                                                                                                                                                                                                                                                                                                                                                                                    </t>
  </si>
  <si>
    <t xml:space="preserve">BORBOLETA EM ZAMAC CROMADO, PARA TRAVAR JANELA TIPO GUILHOTINA                                                                                                                                                                                                                                                                                                                                                                                                                                            </t>
  </si>
  <si>
    <t>14,86</t>
  </si>
  <si>
    <t xml:space="preserve">BOTA DE PVC PRETA, CANO MEDIO, SEM FORRO                                                                                                                                                                                                                                                                                                                                                                                                                                                                  </t>
  </si>
  <si>
    <t>32,31</t>
  </si>
  <si>
    <t xml:space="preserve">BOTA DE SEGURANCA COM BIQUEIRA DE ACO E COLARINHO ACOLCHOADO                                                                                                                                                                                                                                                                                                                                                                                                                                              </t>
  </si>
  <si>
    <t>53,85</t>
  </si>
  <si>
    <t xml:space="preserve">BRACO / CANO PARA CHUVEIRO ELETRICO, EM ALUMINIO, 30 CM X 1/2 "                                                                                                                                                                                                                                                                                                                                                                                                                                           </t>
  </si>
  <si>
    <t xml:space="preserve">BRACO OU HASTE COM CANOPLA PLASTICA, 1/2 ", PARA CHUVEIRO ELETRICO                                                                                                                                                                                                                                                                                                                                                                                                                                        </t>
  </si>
  <si>
    <t xml:space="preserve">BRACO OU HASTE COM CANOPLA PLASTICA, 1/2 ", PARA CHUVEIRO SIMPLES                                                                                                                                                                                                                                                                                                                                                                                                                                         </t>
  </si>
  <si>
    <t>5,58</t>
  </si>
  <si>
    <t xml:space="preserve">BRACO P/ LUMINARIA PUBLICA 1 X 1,50M ROMAGNOLE OU EQUIV                                                                                                                                                                                                                                                                                                                                                                                                                                                   </t>
  </si>
  <si>
    <t xml:space="preserve">BUCHA DE NYLON SEM ABA S10                                                                                                                                                                                                                                                                                                                                                                                                                                                                                </t>
  </si>
  <si>
    <t>0,40</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</si>
  <si>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</si>
  <si>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</si>
  <si>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</si>
  <si>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</si>
  <si>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</si>
  <si>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</si>
  <si>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</si>
  <si>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</si>
  <si>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</si>
  <si>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DE COBRE (REF 600-2) SEM ANEL DE SOLDA, PONTA X BOLSA, 22 X 15 MM                                                                                                                                                                                                                                                                                                                                                                                                                        </t>
  </si>
  <si>
    <t>3,38</t>
  </si>
  <si>
    <t xml:space="preserve">BUCHA DE REDUCAO DE COBRE (REF 600-2) SEM ANEL DE SOLDA, PONTA X BOLSA, 28 X 22 MM                                                                                                                                                                                                                                                                                                                                                                                                                        </t>
  </si>
  <si>
    <t>5,07</t>
  </si>
  <si>
    <t xml:space="preserve">BUCHA DE REDUCAO DE COBRE (REF 600-2) SEM ANEL DE SOLDA, PONTA X BOLSA, 35 X 28 MM                                                                                                                                                                                                                                                                                                                                                                                                                        </t>
  </si>
  <si>
    <t>11,60</t>
  </si>
  <si>
    <t xml:space="preserve">BUCHA DE REDUCAO DE COBRE (REF 600-2) SEM ANEL DE SOLDA, PONTA X BOLSA, 42 X 35 MM                                                                                                                                                                                                                                                                                                                                                                                                                        </t>
  </si>
  <si>
    <t xml:space="preserve">BUCHA DE REDUCAO DE COBRE (REF 600-2) SEM ANEL DE SOLDA, PONTA X BOLSA, 54 X 42 MM                                                                                                                                                                                                                                                                                                                                                                                                                        </t>
  </si>
  <si>
    <t>27,91</t>
  </si>
  <si>
    <t xml:space="preserve">BUCHA DE REDUCAO DE COBRE (REF 600-2) SEM ANEL DE SOLDA, PONTA X BOLSA, 66 X 54 MM                                                                                                                                                                                                                                                                                                                                                                                                                        </t>
  </si>
  <si>
    <t>87,01</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</si>
  <si>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</si>
  <si>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</si>
  <si>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</si>
  <si>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</si>
  <si>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</si>
  <si>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</si>
  <si>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8,42</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</si>
  <si>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</si>
  <si>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</si>
  <si>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</si>
  <si>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</si>
  <si>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</si>
  <si>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</si>
  <si>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23,67</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</si>
  <si>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</si>
  <si>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</si>
  <si>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</si>
  <si>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</si>
  <si>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</si>
  <si>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</si>
  <si>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</si>
  <si>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</si>
  <si>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</si>
  <si>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33,92</t>
  </si>
  <si>
    <t xml:space="preserve">BUCHA DE REDUCAO DE FERRO GALVANIZADO, COM ROSCA BSP, DE 3" X 2 1/2"                                                                                                                                                                                                                                                                                                                                                                                                                                      </t>
  </si>
  <si>
    <t>34,09</t>
  </si>
  <si>
    <t xml:space="preserve">BUCHA DE REDUCAO DE FERRO GALVANIZADO, COM ROSCA BSP, DE 3" X 2"                                                                                                                                                                                                                                                                                                                                                                                                                                          </t>
  </si>
  <si>
    <t xml:space="preserve">BUCHA DE REDUCAO DE FERRO GALVANIZADO, COM ROSCA BSP, DE 4" X 2 1/2"                                                                                                                                                                                                                                                                                                                                                                                                                                      </t>
  </si>
  <si>
    <t>64,48</t>
  </si>
  <si>
    <t xml:space="preserve">BUCHA DE REDUCAO DE FERRO GALVANIZADO, COM ROSCA BSP, DE 4" X 2"                                                                                                                                                                                                                                                                                                                                                                                                                                          </t>
  </si>
  <si>
    <t xml:space="preserve">BUCHA DE REDUCAO DE FERRO GALVANIZADO, COM ROSCA BSP, DE 4" X 3"                                                                                                                                                                                                                                                                                                                                                                                                                                          </t>
  </si>
  <si>
    <t xml:space="preserve">BUCHA DE REDUCAO DE FERRO GALVANIZADO, COM ROSCA BSP, DE 5" X 4"                                                                                                                                                                                                                                                                                                                                                                                                                                          </t>
  </si>
  <si>
    <t>176,48</t>
  </si>
  <si>
    <t xml:space="preserve">BUCHA DE REDUCAO DE FERRO GALVANIZADO, COM ROSCA BSP, DE 6" X 4"                                                                                                                                                                                                                                                                                                                                                                                                                                          </t>
  </si>
  <si>
    <t>186,47</t>
  </si>
  <si>
    <t xml:space="preserve">BUCHA DE REDUCAO DE FERRO GALVANIZADO, COM ROSCA BSP, DE 6" X 5"                                                                                                                                                                                                                                                                                                                                                                                                                                          </t>
  </si>
  <si>
    <t>200,03</t>
  </si>
  <si>
    <t xml:space="preserve">BUCHA DE REDUCAO DE PVC, SOLDAVEL, CURTA, COM 110 X 85 MM, PARA AGUA FRIA PREDIAL                                                                                                                                                                                                                                                                                                                                                                                                                         </t>
  </si>
  <si>
    <t>55,26</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</si>
  <si>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</si>
  <si>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</si>
  <si>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</si>
  <si>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</si>
  <si>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</si>
  <si>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4,01</t>
  </si>
  <si>
    <t xml:space="preserve">BUCHA DE REDUCAO DE PVC, SOLDAVEL, CURTA, COM 75 X 60 MM, PARA AGUA FRIA PREDIAL                                                                                                                                                                                                                                                                                                                                                                                                                          </t>
  </si>
  <si>
    <t xml:space="preserve">BUCHA DE REDUCAO DE PVC, SOLDAVEL, CURTA, COM 85 X 75 MM, PARA AGUA FRIA PREDIAL                                                                                                                                                                                                                                                                                                                                                                                                                          </t>
  </si>
  <si>
    <t xml:space="preserve">BUCHA DE REDUCAO DE PVC, SOLDAVEL, LONGA, COM 110 X 60 MM, PARA AGUA FRIA PREDIAL                                                                                                                                                                                                                                                                                                                                                                                                                         </t>
  </si>
  <si>
    <t xml:space="preserve">BUCHA DE REDUCAO DE PVC, SOLDAVEL, LONGA, COM 110 X 75 MM, PARA AGUA FRIA PREDIAL                                                                                                                                                                                                                                                                                                                                                                                                                         </t>
  </si>
  <si>
    <t>26,18</t>
  </si>
  <si>
    <t xml:space="preserve">BUCHA DE REDUCAO DE PVC, SOLDAVEL, LONGA, COM 32 X 20 MM, PARA AGUA FRIA PREDIAL                                                                                                                                                                                                                                                                                                                                                                                                                          </t>
  </si>
  <si>
    <t xml:space="preserve">BUCHA DE REDUCAO DE PVC, SOLDAVEL, LONGA, COM 40 X 20 MM, PARA AGUA FRIA PREDIAL                                                                                                                                                                                                                                                                                                                                                                                                                          </t>
  </si>
  <si>
    <t>2,56</t>
  </si>
  <si>
    <t xml:space="preserve">BUCHA DE REDUCAO DE PVC, SOLDAVEL, LONGA, COM 40 X 25 MM, PARA AGUA FRIA PREDIAL                                                                                                                                                                                                                                                                                                                                                                                                                          </t>
  </si>
  <si>
    <t xml:space="preserve">BUCHA DE REDUCAO DE PVC, SOLDAVEL, LONGA, COM 50 X 20 MM, PARA AGUA FRIA PREDIAL                                                                                                                                                                                                                                                                                                                                                                                                                          </t>
  </si>
  <si>
    <t xml:space="preserve">BUCHA DE REDUCAO DE PVC, SOLDAVEL, LONGA, COM 50 X 25 MM, PARA AGUA FRIA PREDIAL                                                                                                                                                                                                                                                                                                                                                                                                                          </t>
  </si>
  <si>
    <t xml:space="preserve">BUCHA DE REDUCAO DE PVC, SOLDAVEL, LONGA, COM 50 X 32 MM, PARA AGUA FRIA PREDIAL                                                                                                                                                                                                                                                                                                                                                                                                                          </t>
  </si>
  <si>
    <t>3,92</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</si>
  <si>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</si>
  <si>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</si>
  <si>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40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</si>
  <si>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</si>
  <si>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</si>
  <si>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COM 85 X 60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</si>
  <si>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</si>
  <si>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</si>
  <si>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</si>
  <si>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</si>
  <si>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12,18</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</si>
  <si>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</si>
  <si>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</si>
  <si>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</si>
  <si>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9,40</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</si>
  <si>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</si>
  <si>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</si>
  <si>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</si>
  <si>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</si>
  <si>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</si>
  <si>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38,93</t>
  </si>
  <si>
    <t xml:space="preserve">BUCHA DE REDUCAO EM ALUMINIO, COM ROSCA, DE 2 1/2" X 2", PARA ELETRODUTO                                                                                                                                                                                                                                                                                                                                                                                                                                  </t>
  </si>
  <si>
    <t>34,78</t>
  </si>
  <si>
    <t xml:space="preserve">BUCHA DE REDUCAO EM ALUMINIO, COM ROSCA, DE 2" X 1 1/2", PARA ELETRODUTO                                                                                                                                                                                                                                                                                                                                                                                                                                  </t>
  </si>
  <si>
    <t xml:space="preserve">BUCHA DE REDUCAO EM ALUMINIO, COM ROSCA, DE 2" X 1 1/4", PARA ELETRODUTO                                                                                                                                                                                                                                                                                                                                                                                                                                  </t>
  </si>
  <si>
    <t>21,48</t>
  </si>
  <si>
    <t xml:space="preserve">BUCHA DE REDUCAO EM ALUMINIO, COM ROSCA, DE 2" X 1", PARA ELETRODUTO                                                                                                                                                                                                                                                                                                                                                                                                                                      </t>
  </si>
  <si>
    <t xml:space="preserve">BUCHA DE REDUCAO EM ALUMINIO, COM ROSCA, DE 2" X 3/4", PARA ELETRODUTO                                                                                                                                                                                                                                                                                                                                                                                                                                    </t>
  </si>
  <si>
    <t>24,49</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</si>
  <si>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</si>
  <si>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</si>
  <si>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</si>
  <si>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43,56</t>
  </si>
  <si>
    <t xml:space="preserve">BUCHA DE REDUCAO EM ALUMINIO, COM ROSCA, DE 3" X 2 1/2", PARA ELETRODUTO                                                                                                                                                                                                                                                                                                                                                                                                                                  </t>
  </si>
  <si>
    <t xml:space="preserve">BUCHA DE REDUCAO EM ALUMINIO, COM ROSCA, DE 3" X 2", PARA ELETRODUTO                                                                                                                                                                                                                                                                                                                                                                                                                                      </t>
  </si>
  <si>
    <t>41,31</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</si>
  <si>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</si>
  <si>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</si>
  <si>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</si>
  <si>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66,97</t>
  </si>
  <si>
    <t xml:space="preserve">BUCHA DE REDUCAO PVC ROSCAVEL 1 1/2" X 1"                                                                                                                                                                                                                                                                                                                                                                                                                                                                 </t>
  </si>
  <si>
    <t xml:space="preserve">BUCHA DE REDUCAO PVC ROSCAVEL 3/4" X 1/2"                                                                                                                                                                                                                                                                                                                                                                                                                                                                 </t>
  </si>
  <si>
    <t xml:space="preserve">BUCHA DE REDUCAO PVC ROSCAVEL, 1 1/2" X 3/4"                                                                                                                                                                                                                                                                                                                                                                                                                                                              </t>
  </si>
  <si>
    <t xml:space="preserve">BUCHA DE REDUCAO PVC ROSCAVEL, 1" X 1/2"                                                                                                                                                                                                                                                                                                                                                                                                                                                                  </t>
  </si>
  <si>
    <t xml:space="preserve">BUCHA DE REDUCAO PVC ROSCAVEL, 1" X 3/4"                                                                                                                                                                                                                                                                                                                                                                                                                                                                  </t>
  </si>
  <si>
    <t xml:space="preserve">BUCHA DE REDUCAO PVC, ROSCAVEL,  2"  X 1 1/2 "                                                                                                                                                                                                                                                                                                                                                                                                                                                            </t>
  </si>
  <si>
    <t xml:space="preserve">BUCHA DE REDUCAO PVC, ROSCAVEL, 1 1/2"  X1 1/4 "                                                                                                                                                                                                                                                                                                                                                                                                                                                          </t>
  </si>
  <si>
    <t>5,62</t>
  </si>
  <si>
    <t xml:space="preserve">BUCHA DE REDUCAO PVC, ROSCAVEL, 1 1/4"  X 3/4 "                                                                                                                                                                                                                                                                                                                                                                                                                                                           </t>
  </si>
  <si>
    <t xml:space="preserve">BUCHA DE REDUCAO PVC, ROSCAVEL, 1 1/4" X 1 "                                                                                                                                                                                                                                                                                                                                                                                                                                                              </t>
  </si>
  <si>
    <t xml:space="preserve">BUCHA DE REDUCAO PVC, ROSCAVEL, 2"  X 1 "                                                                                                                                                                                                                                                                                                                                                                                                                                                                 </t>
  </si>
  <si>
    <t xml:space="preserve">BUCHA DE REDUCAO PVC, ROSCAVEL, 2"  X 1 1/4 "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</si>
  <si>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</si>
  <si>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</si>
  <si>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</si>
  <si>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</si>
  <si>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</si>
  <si>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</si>
  <si>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</si>
  <si>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</si>
  <si>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</si>
  <si>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</si>
  <si>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</si>
  <si>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</si>
  <si>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</si>
  <si>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</si>
  <si>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2,86</t>
  </si>
  <si>
    <t xml:space="preserve">BUCHA EM ALUMINIO, COM ROSCA, DE 3/4", PARA ELETRODUTO                                                                                                                                                                                                                                                                                                                                                                                                                                                    </t>
  </si>
  <si>
    <t xml:space="preserve">BUCHA EM ALUMINIO, COM ROSCA, DE 3/8", PARA ELETRODUTO                                                                                                                                                                                                                                                                                                                                                                                                                                                    </t>
  </si>
  <si>
    <t xml:space="preserve">BUCHA EM ALUMINIO, COM ROSCA, DE 3", PARA ELETRODUTO                                                                                                                                                                                                                                                                                                                                                                                                                                                      </t>
  </si>
  <si>
    <t>4,34</t>
  </si>
  <si>
    <t xml:space="preserve">BUCHA EM ALUMINIO, COM ROSCA, DE 4", PARA ELETRODUTO                                                                                                                                                                                                                                                                                                                                                                                                                                                      </t>
  </si>
  <si>
    <t xml:space="preserve">CABECEIRA DIREITA OU ESQUERDA, PVC, PARA CALHA PLUVIAL, DIAMETRO ENTRE 119 E 170 MM, PARA DRENAGEM PREDIAL                                                                                                                                                                                                                                                                                                                                                                                                </t>
  </si>
  <si>
    <t>4,47</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</si>
  <si>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</si>
  <si>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</si>
  <si>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</si>
  <si>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</si>
  <si>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</si>
  <si>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</si>
  <si>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8,69</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</si>
  <si>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</si>
  <si>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</si>
  <si>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</si>
  <si>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</si>
  <si>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36,51</t>
  </si>
  <si>
    <t xml:space="preserve">CABIDE/GANCHO DE BANHEIRO SIMPLES EM METAL CROMADO                                                                                                                                                                                                                                                                                                                                                                                                                                                        </t>
  </si>
  <si>
    <t xml:space="preserve">CABO DE ACO GALVANIZADO, DIAMETRO 12,7 MM (1/2"), COM ALMA DE ACO CABO INDEPENDENTE 6 X 25 F                                                                                                                                                                                                                                                                                                                                                                                                              </t>
  </si>
  <si>
    <t xml:space="preserve">CABO DE ACO GALVANIZADO, DIAMETRO 12,7 MM (1/2"), COM ALMA DE FIBRA 6 X 25 F                                                                                                                                                                                                                                                                                                                                                                                                                              </t>
  </si>
  <si>
    <t>42,96</t>
  </si>
  <si>
    <t xml:space="preserve">CABO DE ACO GALVANIZADO, DIAMETRO 9,53 MM (3/8"), COM ALMA DE FIBRA 6 X 25 F                                                                                                                                                                                                                                                                                                                                                                                                                              </t>
  </si>
  <si>
    <t>40,04</t>
  </si>
  <si>
    <t xml:space="preserve">CABO DE ACO GALVANIZADO, DIAMETRO 9,53 MM (3/8"), COM ALMA DE FIBRA 6 X 25 F  (COLETADO CAIXA)                                                                                                                                                                                                                                                                                                                                                                                                            </t>
  </si>
  <si>
    <t>10,04</t>
  </si>
  <si>
    <t xml:space="preserve">CABO DE ALUMINIO NU COM ALMA DE ACO, BITOLA 1/0 AWG                                                                                                                                                                                                                                                                                                                                                                                                                                                       </t>
  </si>
  <si>
    <t xml:space="preserve">CABO DE ALUMINIO NU COM ALMA DE ACO, BITOLA 2 AWG                                                                                                                                                                                                                                                                                                                                                                                                                                                         </t>
  </si>
  <si>
    <t>16,24</t>
  </si>
  <si>
    <t xml:space="preserve">CABO DE ALUMINIO NU COM ALMA DE ACO, BITOLA 2/0 AWG                                                                                                                                                                                                                                                                                                                                                                                                                                                       </t>
  </si>
  <si>
    <t xml:space="preserve">CABO DE ALUMINIO NU COM ALMA DE ACO, BITOLA 4 AWG                                                                                                                                                                                                                                                                                                                                                                                                                                                         </t>
  </si>
  <si>
    <t>16,50</t>
  </si>
  <si>
    <t xml:space="preserve">CABO DE ALUMINIO NU SEM ALMA DE ACO, BITOLA 1/0 AWG                                                                                                                                                                                                                                                                                                                                                                                                                                                       </t>
  </si>
  <si>
    <t xml:space="preserve">CABO DE ALUMINIO NU SEM ALMA DE ACO, BITOLA 2 AWG                                                                                                                                                                                                                                                                                                                                                                                                                                                         </t>
  </si>
  <si>
    <t>19,32</t>
  </si>
  <si>
    <t xml:space="preserve">CABO DE ALUMINIO NU SEM ALMA DE ACO, BITOLA 2/0 AWG                                                                                                                                                                                                                                                                                                                                                                                                                                                       </t>
  </si>
  <si>
    <t xml:space="preserve">CABO DE ALUMINIO NU SEM ALMA DE ACO, BITOLA 4 AWG                                                                                                                                                                                                                                                                                                                                                                                                                                                         </t>
  </si>
  <si>
    <t xml:space="preserve">CABO DE COBRE NU 10 MM2 MEIO-DURO                                                                                                                                                                                                                                                                                                                                                                                                                                                                         </t>
  </si>
  <si>
    <t xml:space="preserve">CABO DE COBRE NU 120 MM2 MEIO-DURO                                                                                                                                                                                                                                                                                                                                                                                                                                                                        </t>
  </si>
  <si>
    <t>58,24</t>
  </si>
  <si>
    <t xml:space="preserve">CABO DE COBRE NU 150 MM2 MEIO-DURO                                                                                                                                                                                                                                                                                                                                                                                                                                                                        </t>
  </si>
  <si>
    <t>74,06</t>
  </si>
  <si>
    <t xml:space="preserve">CABO DE COBRE NU 16 MM2 MEIO-DURO                                                                                                                                                                                                                                                                                                                                                                                                                                                                         </t>
  </si>
  <si>
    <t xml:space="preserve">CABO DE COBRE NU 185 MM2 MEIO-DURO                                                                                                                                                                                                                                                                                                                                                                                                                                                                        </t>
  </si>
  <si>
    <t>89,06</t>
  </si>
  <si>
    <t xml:space="preserve">CABO DE COBRE NU 25 MM2 MEIO-DURO                                                                                                                                                                                                                                                                                                                                                                                                                                                                         </t>
  </si>
  <si>
    <t>11,64</t>
  </si>
  <si>
    <t xml:space="preserve">CABO DE COBRE NU 300 MM2 MEIO-DURO                                                                                                                                                                                                                                                                                                                                                                                                                                                                        </t>
  </si>
  <si>
    <t>153,47</t>
  </si>
  <si>
    <t xml:space="preserve">CABO DE COBRE NU 35 MM2 MEIO-DURO                                                                                                                                                                                                                                                                                                                                                                                                                                                                         </t>
  </si>
  <si>
    <t>16,09</t>
  </si>
  <si>
    <t xml:space="preserve">CABO DE COBRE NU 50 MM2 MEIO-DURO                                                                                                                                                                                                                                                                                                                                                                                                                                                                         </t>
  </si>
  <si>
    <t xml:space="preserve">CABO DE COBRE NU 500 MM2 MEIO-DURO                                                                                                                                                                                                                                                                                                                                                                                                                                                                        </t>
  </si>
  <si>
    <t>257,74</t>
  </si>
  <si>
    <t xml:space="preserve">CABO DE COBRE NU 70 MM2 MEIO-DURO                                                                                                                                                                                                                                                                                                                                                                                                                                                                         </t>
  </si>
  <si>
    <t>31,56</t>
  </si>
  <si>
    <t xml:space="preserve">CABO DE COBRE NU 95 MM2 MEIO-DURO                                                                                                                                                                                                                                                                                                                                                                                                                                                                         </t>
  </si>
  <si>
    <t>44,46</t>
  </si>
  <si>
    <t xml:space="preserve">CABO DE COBRE RIGIDO, CLASSE 2, ISOLACAO EM PVC, ANTI-CHAMA BWF-B, 1 CONDUTOR, 450/750 V, DIAMETRO 120 MM2                                                                                                                                                                                                                                                                                                                                                                                                </t>
  </si>
  <si>
    <t>72,37</t>
  </si>
  <si>
    <t xml:space="preserve">CABO DE COBRE UNIPOLAR 10 MM2, BLINDADO, ISOLACAO 3,6/6 KV EPR, COBERTURA EM PVC                                                                                                                                                                                                                                                                                                                                                                                                                          </t>
  </si>
  <si>
    <t>22,00</t>
  </si>
  <si>
    <t xml:space="preserve">CABO DE COBRE UNIPOLAR 16 MM2, BLINDADO, ISOLACAO 3,6/6 KV EPR, COBERTURA EM PVC                                                                                                                                                                                                                                                                                                                                                                                                                          </t>
  </si>
  <si>
    <t xml:space="preserve">CABO DE COBRE UNIPOLAR 16 MM2, BLINDADO, ISOLACAO 6/10 KV EPR, COBERTURA EM PVC                                                                                                                                                                                                                                                                                                                                                                                                                           </t>
  </si>
  <si>
    <t>32,54</t>
  </si>
  <si>
    <t xml:space="preserve">CABO DE COBRE UNIPOLAR 25 MM2, BLINDADO, ISOLACAO 3,6/6 KV EPR, COBERTURA EM PVC                                                                                                                                                                                                                                                                                                                                                                                                                          </t>
  </si>
  <si>
    <t xml:space="preserve">CABO DE COBRE UNIPOLAR 25MM2, BLINDADO, ISOLACAO 6/10 KV EPR, COBERTURA EM PVC                                                                                                                                                                                                                                                                                                                                                                                                                            </t>
  </si>
  <si>
    <t xml:space="preserve">CABO DE COBRE UNIPOLAR 35 MM2, BLINDADO, ISOLACAO 12/20 KV EPR, COBERTURA EM PVC                                                                                                                                                                                                                                                                                                                                                                                                                          </t>
  </si>
  <si>
    <t xml:space="preserve">CABO DE COBRE UNIPOLAR 35 MM2, BLINDADO, ISOLACAO 3,6/6 KV EPR, COBERTURA EM PVC                                                                                                                                                                                                                                                                                                                                                                                                                          </t>
  </si>
  <si>
    <t>37,59</t>
  </si>
  <si>
    <t xml:space="preserve">CABO DE COBRE UNIPOLAR 35 MM2, BLINDADO, ISOLACAO 6/10 KV EPR, COBERTURA EM PVC                                                                                                                                                                                                                                                                                                                                                                                                                           </t>
  </si>
  <si>
    <t xml:space="preserve">CABO DE COBRE UNIPOLAR 50 MM2, BLINDADO, ISOLACAO 12/20 KV EPR, COBERTURA EM PVC                                                                                                                                                                                                                                                                                                                                                                                                                          </t>
  </si>
  <si>
    <t>45,14</t>
  </si>
  <si>
    <t xml:space="preserve">CABO DE COBRE UNIPOLAR 50 MM2, BLINDADO, ISOLACAO 3,6/6 KV EPR, COBERTURA EM PVC                                                                                                                                                                                                                                                                                                                                                                                                                          </t>
  </si>
  <si>
    <t>50,75</t>
  </si>
  <si>
    <t xml:space="preserve">CABO DE COBRE UNIPOLAR 50 MM2, BLINDADO, ISOLACAO 6/10 KV EPR, COBERTURA EM PVC                                                                                                                                                                                                                                                                                                                                                                                                                           </t>
  </si>
  <si>
    <t xml:space="preserve">CABO DE COBRE UNIPOLAR 70 MM2, BLINDADO, ISOLACAO 12/20 KV EPR, COBERTURA EM PVC                                                                                                                                                                                                                                                                                                                                                                                                                          </t>
  </si>
  <si>
    <t>56,14</t>
  </si>
  <si>
    <t xml:space="preserve">CABO DE COBRE UNIPOLAR 70 MM2, BLINDADO, ISOLACAO 3,6/6 KV EPR, COBERTURA EM PVC                                                                                                                                                                                                                                                                                                                                                                                                                          </t>
  </si>
  <si>
    <t>54,42</t>
  </si>
  <si>
    <t xml:space="preserve">CABO DE COBRE UNIPOLAR 70 MM2, BLINDADO, ISOLACAO 6/10 KV EPR, COBERTURA EM PVC                                                                                                                                                                                                                                                                                                                                                                                                                           </t>
  </si>
  <si>
    <t xml:space="preserve">CABO DE COBRE UNIPOLAR 95 MM2, BLINDADO, ISOLACAO 12/20 KV EPR, COBERTURA EM PVC                                                                                                                                                                                                                                                                                                                                                                                                                          </t>
  </si>
  <si>
    <t>68,74</t>
  </si>
  <si>
    <t xml:space="preserve">CABO DE COBRE UNIPOLAR 95 MM2, BLINDADO, ISOLACAO 3,6/6 KV EPR, COBERTURA EM PVC                                                                                                                                                                                                                                                                                                                                                                                                                          </t>
  </si>
  <si>
    <t>72,72</t>
  </si>
  <si>
    <t xml:space="preserve">CABO DE COBRE UNIPOLAR 95 MM2, BLINDADO, ISOLACAO 6/10 KV EPR, COBERTURA EM PVC                                                                                                                                                                                                                                                                                                                                                                                                                           </t>
  </si>
  <si>
    <t>74,49</t>
  </si>
  <si>
    <t xml:space="preserve">CABO DE COBRE, FLEXIVEL, CLASSE 4 OU 5, ISOLACAO EM PVC/A, ANTICHAMA BWF-B, COBERTURA PVC-ST1, ANTICHAMA BWF-B, 1 CONDUTOR, 0,6/1 KV, SECAO NOMINAL 1,5 MM2                                                                                                                                                                                                                                                                                                                                               </t>
  </si>
  <si>
    <t>1,56</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</si>
  <si>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</si>
  <si>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</si>
  <si>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</si>
  <si>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92,38</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</si>
  <si>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</si>
  <si>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</si>
  <si>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113,25</t>
  </si>
  <si>
    <t xml:space="preserve">CABO DE COBRE, FLEXIVEL, CLASSE 4 OU 5, ISOLACAO EM PVC/A, ANTICHAMA BWF-B, COBERTURA PVC-ST1, ANTICHAMA BWF-B, 1 CONDUTOR, 0,6/1 KV, SECAO NOMINAL 2,5 MM2                                                                                                                                                                                                                                                                                                                                               </t>
  </si>
  <si>
    <t>2,16</t>
  </si>
  <si>
    <t xml:space="preserve">CABO DE COBRE, FLEXIVEL, CLASSE 4 OU 5, ISOLACAO EM PVC/A, ANTICHAMA BWF-B, COBERTURA PVC-ST1, ANTICHAMA BWF-B, 1 CONDUTOR, 0,6/1 KV, SECAO NOMINAL 240 MM2                                                                                                                                                                                                                                                                                                                                               </t>
  </si>
  <si>
    <t>149,12</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</si>
  <si>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</si>
  <si>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</si>
  <si>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186,62</t>
  </si>
  <si>
    <t xml:space="preserve">CABO DE COBRE, FLEXIVEL, CLASSE 4 OU 5, ISOLACAO EM PVC/A, ANTICHAMA BWF-B, COBERTURA PVC-ST1, ANTICHAMA BWF-B, 1 CONDUTOR, 0,6/1 KV, SECAO NOMINAL 35 MM2                                                                                                                                                                                                                                                                                                                                                </t>
  </si>
  <si>
    <t>21,84</t>
  </si>
  <si>
    <t xml:space="preserve">CABO DE COBRE, FLEXIVEL, CLASSE 4 OU 5, ISOLACAO EM PVC/A, ANTICHAMA BWF-B, COBERTURA PVC-ST1, ANTICHAMA BWF-B, 1 CONDUTOR, 0,6/1 KV, SECAO NOMINAL 4 MM2                                                                                                                                                                                                                                                                                                                                                 </t>
  </si>
  <si>
    <t>3,10</t>
  </si>
  <si>
    <t xml:space="preserve">CABO DE COBRE, FLEXIVEL, CLASSE 4 OU 5, ISOLACAO EM PVC/A, ANTICHAMA BWF-B, COBERTURA PVC-ST1, ANTICHAMA BWF-B, 1 CONDUTOR, 0,6/1 KV, SECAO NOMINAL 400 MM2                                                                                                                                                                                                                                                                                                                                               </t>
  </si>
  <si>
    <t>243,45</t>
  </si>
  <si>
    <t xml:space="preserve">CABO DE COBRE, FLEXIVEL, CLASSE 4 OU 5, ISOLACAO EM PVC/A, ANTICHAMA BWF-B, COBERTURA PVC-ST1, ANTICHAMA BWF-B, 1 CONDUTOR, 0,6/1 KV, SECAO NOMINAL 50 MM2                                                                                                                                                                                                                                                                                                                                                </t>
  </si>
  <si>
    <t>31,12</t>
  </si>
  <si>
    <t xml:space="preserve">CABO DE COBRE, FLEXIVEL, CLASSE 4 OU 5, ISOLACAO EM PVC/A, ANTICHAMA BWF-B, COBERTURA PVC-ST1, ANTICHAMA BWF-B, 1 CONDUTOR, 0,6/1 KV, SECAO NOMINAL 500 MM2                                                                                                                                                                                                                                                                                                                                               </t>
  </si>
  <si>
    <t>312,73</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</si>
  <si>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</si>
  <si>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</si>
  <si>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43,12</t>
  </si>
  <si>
    <t xml:space="preserve">CABO DE COBRE, FLEXIVEL, CLASSE 4 OU 5, ISOLACAO EM PVC/A, ANTICHAMA BWF-B, COBERTURA PVC-ST1, ANTICHAMA BWF-B, 1 CONDUTOR, 0,6/1 KV, SECAO NOMINAL 95 MM2                                                                                                                                                                                                                                                                                                                                                </t>
  </si>
  <si>
    <t>57,28</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</si>
  <si>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</si>
  <si>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</si>
  <si>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</si>
  <si>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</si>
  <si>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0,91</t>
  </si>
  <si>
    <t xml:space="preserve">CABO DE COBRE, FLEXIVEL, CLASSE 4 OU 5, ISOLACAO EM PVC/A, ANTICHAMA BWF-B, 1 CONDUTOR, 450/750 V, SECAO NOMINAL 10 MM2                                                                                                                                                                                                                                                                                                                                                                                   </t>
  </si>
  <si>
    <t>6,22</t>
  </si>
  <si>
    <t xml:space="preserve">CABO DE COBRE, FLEXIVEL, CLASSE 4 OU 5, ISOLACAO EM PVC/A, ANTICHAMA BWF-B, 1 CONDUTOR, 450/750 V, SECAO NOMINAL 120 MM2                                                                                                                                                                                                                                                                                                                                                                                  </t>
  </si>
  <si>
    <t>73,78</t>
  </si>
  <si>
    <t xml:space="preserve">CABO DE COBRE, FLEXIVEL, CLASSE 4 OU 5, ISOLACAO EM PVC/A, ANTICHAMA BWF-B, 1 CONDUTOR, 450/750 V, SECAO NOMINAL 150 MM2                                                                                                                                                                                                                                                                                                                                                                                  </t>
  </si>
  <si>
    <t>92,11</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</si>
  <si>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</si>
  <si>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</si>
  <si>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112,10</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</si>
  <si>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</si>
  <si>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</si>
  <si>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148,17</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</si>
  <si>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</si>
  <si>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</si>
  <si>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</si>
  <si>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</si>
  <si>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31,04</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</si>
  <si>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</si>
  <si>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</si>
  <si>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43,66</t>
  </si>
  <si>
    <t xml:space="preserve">CABO DE COBRE, FLEXIVEL, CLASSE 4 OU 5, ISOLACAO EM PVC/A, ANTICHAMA BWF-B, 1 CONDUTOR, 450/750 V, SECAO NOMINAL 95 MM2                                                                                                                                                                                                                                                                                                                                                                                   </t>
  </si>
  <si>
    <t xml:space="preserve">CABO DE COBRE, RIGIDO, CLASSE 2, COMPACTADO, BLINDADO, ISOLACAO EM EPR OU XLPE, COBERTURA ANTICHAMA EM PVC, PEAD OU HFFR, 1 CONDUTOR, 20/35 KV, SECAO NOMINAL 120 MM2                                                                                                                                                                                                                                                                                                                                     </t>
  </si>
  <si>
    <t>147,75</t>
  </si>
  <si>
    <t xml:space="preserve">CABO DE COBRE, RIGIDO, CLASSE 2, COMPACTADO, BLINDADO, ISOLACAO EM EPR OU XLPE, COBERTURA ANTICHAMA EM PVC, PEAD OU HFFR, 1 CONDUTOR, 20/35 KV, SECAO NOMINAL 150 MM2                                                                                                                                                                                                                                                                                                                                     </t>
  </si>
  <si>
    <t>173,69</t>
  </si>
  <si>
    <t xml:space="preserve">CABO DE COBRE, RIGIDO, CLASSE 2, COMPACTADO, BLINDADO, ISOLACAO EM EPR OU XLPE, COBERTURA ANTICHAMA EM PVC, PEAD OU HFFR, 1 CONDUTOR, 20/35 KV, SECAO NOMINAL 185 MM2                                                                                                                                                                                                                                                                                                                                     </t>
  </si>
  <si>
    <t>189,27</t>
  </si>
  <si>
    <t xml:space="preserve">CABO DE COBRE, RIGIDO, CLASSE 2, COMPACTADO, BLINDADO, ISOLACAO EM EPR OU XLPE, COBERTURA ANTICHAMA EM PVC, PEAD OU HFFR, 1 CONDUTOR, 20/35 KV, SECAO NOMINAL 240 MM2                                                                                                                                                                                                                                                                                                                                     </t>
  </si>
  <si>
    <t>235,31</t>
  </si>
  <si>
    <t xml:space="preserve">CABO DE COBRE, RIGIDO, CLASSE 2, COMPACTADO, BLINDADO, ISOLACAO EM EPR OU XLPE, COBERTURA ANTICHAMA EM PVC, PEAD OU HFFR, 1 CONDUTOR, 20/35 KV, SECAO NOMINAL 300 MM2                                                                                                                                                                                                                                                                                                                                     </t>
  </si>
  <si>
    <t>277,35</t>
  </si>
  <si>
    <t xml:space="preserve">CABO DE COBRE, RIGIDO, CLASSE 2, COMPACTADO, BLINDADO, ISOLACAO EM EPR OU XLPE, COBERTURA ANTICHAMA EM PVC, PEAD OU HFFR, 1 CONDUTOR, 20/35 KV, SECAO NOMINAL 400 MM2                                                                                                                                                                                                                                                                                                                                     </t>
  </si>
  <si>
    <t>326,33</t>
  </si>
  <si>
    <t xml:space="preserve">CABO DE COBRE, RIGIDO, CLASSE 2, COMPACTADO, BLINDADO, ISOLACAO EM EPR OU XLPE, COBERTURA ANTICHAMA EM PVC, PEAD OU HFFR, 1 CONDUTOR, 20/35 KV, SECAO NOMINAL 50 MM2                                                                                                                                                                                                                                                                                                                                      </t>
  </si>
  <si>
    <t>99,22</t>
  </si>
  <si>
    <t xml:space="preserve">CABO DE COBRE, RIGIDO, CLASSE 2, COMPACTADO, BLINDADO, ISOLACAO EM EPR OU XLPE, COBERTURA ANTICHAMA EM PVC, PEAD OU HFFR, 1 CONDUTOR, 20/35 KV, SECAO NOMINAL 500 MM2                                                                                                                                                                                                                                                                                                                                     </t>
  </si>
  <si>
    <t>446,04</t>
  </si>
  <si>
    <t xml:space="preserve">CABO DE COBRE, RIGIDO, CLASSE 2, COMPACTADO, BLINDADO, ISOLACAO EM EPR OU XLPE, COBERTURA ANTICHAMA EM PVC, PEAD OU HFFR, 1 CONDUTOR, 20/35 KV, SECAO NOMINAL 70 MM2                                                                                                                                                                                                                                                                                                                                      </t>
  </si>
  <si>
    <t xml:space="preserve">CABO DE COBRE, RIGIDO, CLASSE 2, COMPACTADO, BLINDADO, ISOLACAO EM EPR OU XLPE, COBERTURA ANTICHAMA EM PVC, PEAD OU HFFR, 1 CONDUTOR, 20/35 KV, SECAO NOMINAL 95 MM2                                                                                                                                                                                                                                                                                                                                      </t>
  </si>
  <si>
    <t>140,49</t>
  </si>
  <si>
    <t xml:space="preserve">CABO DE COBRE, RIGIDO, CLASSE 2, ISOLACAO EM PVC/A, ANTICHAMA BWF-B, 1 CONDUTOR, 450/750 V, SECAO NOMINAL 1,5 MM2                                                                                                                                                                                                                                                                                                                                                                                         </t>
  </si>
  <si>
    <t xml:space="preserve">CABO DE COBRE, RIGIDO, CLASSE 2, ISOLACAO EM PVC/A, ANTICHAMA BWF-B, 1 CONDUTOR, 450/750 V, SECAO NOMINAL 10 MM2                                                                                                                                                                                                                                                                                                                                                                                          </t>
  </si>
  <si>
    <t xml:space="preserve">CABO DE COBRE, RIGIDO, CLASSE 2, ISOLACAO EM PVC/A, ANTICHAMA BWF-B, 1 CONDUTOR, 450/750 V, SECAO NOMINAL 150 MM2                                                                                                                                                                                                                                                                                                                                                                                         </t>
  </si>
  <si>
    <t>90,32</t>
  </si>
  <si>
    <t xml:space="preserve">CABO DE COBRE, RIGIDO, CLASSE 2, ISOLACAO EM PVC/A, ANTICHAMA BWF-B, 1 CONDUTOR, 450/750 V, SECAO NOMINAL 16 MM2                                                                                                                                                                                                                                                                                                                                                                                          </t>
  </si>
  <si>
    <t xml:space="preserve">CABO DE COBRE, RIGIDO, CLASSE 2, ISOLACAO EM PVC/A, ANTICHAMA BWF-B, 1 CONDUTOR, 450/750 V, SECAO NOMINAL 185 MM2                                                                                                                                                                                                                                                                                                                                                                                         </t>
  </si>
  <si>
    <t>110,85</t>
  </si>
  <si>
    <t xml:space="preserve">CABO DE COBRE, RIGIDO, CLASSE 2, ISOLACAO EM PVC/A, ANTICHAMA BWF-B, 1 CONDUTOR, 450/750 V, SECAO NOMINAL 2,5 MM2                                                                                                                                                                                                                                                                                                                                                                                         </t>
  </si>
  <si>
    <t xml:space="preserve">CABO DE COBRE, RIGIDO, CLASSE 2, ISOLACAO EM PVC/A, ANTICHAMA BWF-B, 1 CONDUTOR, 450/750 V, SECAO NOMINAL 240 MM2                                                                                                                                                                                                                                                                                                                                                                                         </t>
  </si>
  <si>
    <t>146,48</t>
  </si>
  <si>
    <t xml:space="preserve">CABO DE COBRE, RIGIDO, CLASSE 2, ISOLACAO EM PVC/A, ANTICHAMA BWF-B, 1 CONDUTOR, 450/750 V, SECAO NOMINAL 25 MM2                                                                                                                                                                                                                                                                                                                                                                                          </t>
  </si>
  <si>
    <t>15,78</t>
  </si>
  <si>
    <t xml:space="preserve">CABO DE COBRE, RIGIDO, CLASSE 2, ISOLACAO EM PVC/A, ANTICHAMA BWF-B, 1 CONDUTOR, 450/750 V, SECAO NOMINAL 300 MM2                                                                                                                                                                                                                                                                                                                                                                                         </t>
  </si>
  <si>
    <t>181,29</t>
  </si>
  <si>
    <t xml:space="preserve">CABO DE COBRE, RIGIDO, CLASSE 2, ISOLACAO EM PVC/A, ANTICHAMA BWF-B, 1 CONDUTOR, 450/750 V, SECAO NOMINAL 35 MM2                                                                                                                                                                                                                                                                                                                                                                                          </t>
  </si>
  <si>
    <t xml:space="preserve">CABO DE COBRE, RIGIDO, CLASSE 2, ISOLACAO EM PVC/A, ANTICHAMA BWF-B, 1 CONDUTOR, 450/750 V, SECAO NOMINAL 4 MM2                                                                                                                                                                                                                                                                                                                                                                                           </t>
  </si>
  <si>
    <t xml:space="preserve">CABO DE COBRE, RIGIDO, CLASSE 2, ISOLACAO EM PVC/A, ANTICHAMA BWF-B, 1 CONDUTOR, 450/750 V, SECAO NOMINAL 400 MM2                                                                                                                                                                                                                                                                                                                                                                                         </t>
  </si>
  <si>
    <t>234,56</t>
  </si>
  <si>
    <t xml:space="preserve">CABO DE COBRE, RIGIDO, CLASSE 2, ISOLACAO EM PVC/A, ANTICHAMA BWF-B, 1 CONDUTOR, 450/750 V, SECAO NOMINAL 50 MM2                                                                                                                                                                                                                                                                                                                                                                                          </t>
  </si>
  <si>
    <t>30,42</t>
  </si>
  <si>
    <t xml:space="preserve">CABO DE COBRE, RIGIDO, CLASSE 2, ISOLACAO EM PVC/A, ANTICHAMA BWF-B, 1 CONDUTOR, 450/750 V, SECAO NOMINAL 500 MM2                                                                                                                                                                                                                                                                                                                                                                                         </t>
  </si>
  <si>
    <t>290,62</t>
  </si>
  <si>
    <t xml:space="preserve">CABO DE COBRE, RIGIDO, CLASSE 2, ISOLACAO EM PVC/A, ANTICHAMA BWF-B, 1 CONDUTOR, 450/750 V, SECAO NOMINAL 6 MM2                                                                                                                                                                                                                                                                                                                                                                                           </t>
  </si>
  <si>
    <t xml:space="preserve">CABO DE COBRE, RIGIDO, CLASSE 2, ISOLACAO EM PVC/A, ANTICHAMA BWF-B, 1 CONDUTOR, 450/750 V, SECAO NOMINAL 70 MM2                                                                                                                                                                                                                                                                                                                                                                                          </t>
  </si>
  <si>
    <t>42,01</t>
  </si>
  <si>
    <t xml:space="preserve">CABO DE COBRE, RIGIDO, CLASSE 2, ISOLACAO EM PVC/A, ANTICHAMA BWF-B, 1 CONDUTOR, 450/750 V, SECAO NOMINAL 95 MM2                                                                                                                                                                                                                                                                                                                                                                                          </t>
  </si>
  <si>
    <t>56,91</t>
  </si>
  <si>
    <t xml:space="preserve">CABO DE PAR TRANCADO UTP, 4 PARES, CATEGORIA 5E                                                                                                                                                                                                                                                                                                                                                                                                                                                           </t>
  </si>
  <si>
    <t>0,98</t>
  </si>
  <si>
    <t xml:space="preserve">CABO DE PAR TRANCADO UTP, 4 PARES, CATEGORIA 6                                                                                                                                                                                                                                                                                                                                                                                                                                                            </t>
  </si>
  <si>
    <t>1,49</t>
  </si>
  <si>
    <t xml:space="preserve">CABO FLEXIVEL PVC 750 V, 2 CONDUTORES DE 1,5 MM2                                                                                                                                                                                                                                                                                                                                                                                                                                                          </t>
  </si>
  <si>
    <t xml:space="preserve">CABO FLEXIVEL PVC 750 V, 2 CONDUTORES DE 10,0 MM2                                                                                                                                                                                                                                                                                                                                                                                                                                                         </t>
  </si>
  <si>
    <t xml:space="preserve">CABO FLEXIVEL PVC 750 V, 2 CONDUTORES DE 4,0 MM2                                                                                                                                                                                                                                                                                                                                                                                                                                                          </t>
  </si>
  <si>
    <t>4,44</t>
  </si>
  <si>
    <t xml:space="preserve">CABO FLEXIVEL PVC 750 V, 2 CONDUTORES DE 6,0 MM2                                                                                                                                                                                                                                                                                                                                                                                                                                                          </t>
  </si>
  <si>
    <t xml:space="preserve">CABO FLEXIVEL PVC 750 V, 3 CONDUTORES DE 1,5 MM2                                                                                                                                                                                                                                                                                                                                                                                                                                                          </t>
  </si>
  <si>
    <t xml:space="preserve">CABO FLEXIVEL PVC 750 V, 3 CONDUTORES DE 10,0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</si>
  <si>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</si>
  <si>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</si>
  <si>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</si>
  <si>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10,0 MM2                                                                                                                                                                                                                                                                                                                                                                                                                                                         </t>
  </si>
  <si>
    <t>18,91</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</si>
  <si>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</si>
  <si>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</si>
  <si>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</si>
  <si>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3,97</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</si>
  <si>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</si>
  <si>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</si>
  <si>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244,28</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</si>
  <si>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</si>
  <si>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</si>
  <si>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</si>
  <si>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51,22</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</si>
  <si>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</si>
  <si>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</si>
  <si>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8,97</t>
  </si>
  <si>
    <t xml:space="preserve">CABO MULTIPOLAR DE COBRE, FLEXIVEL, CLASSE 4 OU 5, ISOLACAO EM HEPR, COBERTURA EM PVC-ST2, ANTICHAMA BWF-B, 0,6/1 KV, 3 CONDUTORES DE 50 MM2                                                                                                                                                                                                                                                                                                                                                              </t>
  </si>
  <si>
    <t>102,17</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</si>
  <si>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</si>
  <si>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</si>
  <si>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143,36</t>
  </si>
  <si>
    <t xml:space="preserve">CABO MULTIPOLAR DE COBRE, FLEXIVEL, CLASSE 4 OU 5, ISOLACAO EM HEPR, COBERTURA EM PVC-ST2, ANTICHAMA BWF-B, 0,6/1 KV, 3 CONDUTORES DE 95 MM2                                                                                                                                                                                                                                                                                                                                                              </t>
  </si>
  <si>
    <t>187,92</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</si>
  <si>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</si>
  <si>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</si>
  <si>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</si>
  <si>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</si>
  <si>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</si>
  <si>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</si>
  <si>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</si>
  <si>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</si>
  <si>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</si>
  <si>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117,74</t>
  </si>
  <si>
    <t xml:space="preserve">CABO TELEFONICO CI 50, 30 PARES, USO INTERNO                                                                                                                                                                                                                                                                                                                                                                                                                                                              </t>
  </si>
  <si>
    <t>16,48</t>
  </si>
  <si>
    <t xml:space="preserve">CABO TELEFONICO CI 50, 50 PARES, USO INTERNO                                                                                                                                                                                                                                                                                                                                                                                                                                                              </t>
  </si>
  <si>
    <t xml:space="preserve">CABO TELEFONICO CI 50, 75 PARES, USO INTERNO                                                                                                                                                                                                                                                                                                                                                                                                                                                              </t>
  </si>
  <si>
    <t>47,80</t>
  </si>
  <si>
    <t xml:space="preserve">CABO TELEFONICO CTP - APL - 50, 10 PARES, USO EXTERNO                                                                                                                                                                                                                                                                                                                                                                                                                                                     </t>
  </si>
  <si>
    <t xml:space="preserve">CABO TELEFONICO CTP - APL - 50, 100 PARES, USO EXTERNO                                                                                                                                                                                                                                                                                                                                                                                                                                                    </t>
  </si>
  <si>
    <t>58,89</t>
  </si>
  <si>
    <t xml:space="preserve">CABO TELEFONICO CTP - APL - 50, 20 PARES, USO EXTERNO                                                                                                                                                                                                                                                                                                                                                                                                                                                     </t>
  </si>
  <si>
    <t>14,11</t>
  </si>
  <si>
    <t xml:space="preserve">CABO TELEFONICO CTP - APL - 50, 30 PARES, USO EXTERNO                                                                                                                                                                                                                                                                                                                                                                                                                                                     </t>
  </si>
  <si>
    <t xml:space="preserve">CACAMBA METALICA BASCULANTE COM CAPACIDADE DE 10 M3 (INCLUI MONTAGEM, NAO INCLUI CAMINHAO)                                                                                                                                                                                                                                                                                                                                                                                                                </t>
  </si>
  <si>
    <t>40.756,99</t>
  </si>
  <si>
    <t xml:space="preserve">CACAMBA METALICA BASCULANTE COM CAPACIDADE DE 12 M3 (INCLUI MONTAGEM, NAO INCLUI CAMINHAO)                                                                                                                                                                                                                                                                                                                                                                                                                </t>
  </si>
  <si>
    <t>46.282,05</t>
  </si>
  <si>
    <t xml:space="preserve">CACAMBA METALICA BASCULANTE COM CAPACIDADE DE 6 M3 (INCLUI MONTAGEM, NAO INCLUI CAMINHAO)                                                                                                                                                                                                                                                                                                                                                                                                                 </t>
  </si>
  <si>
    <t>30.559,44</t>
  </si>
  <si>
    <t xml:space="preserve">CACAMBA METALICA BASCULANTE COM CAPACIDADE DE 8 M3 (INCLUI MONTAGEM, NAO INCLUI CAMINHAO)                                                                                                                                                                                                                                                                                                                                                                                                                 </t>
  </si>
  <si>
    <t>36.824,12</t>
  </si>
  <si>
    <t xml:space="preserve">CADEADO EM ACO INOX, LARGURA DE *50* MM, COM HASTE EM ACO TEMPERADO, SEM MOLA - CHAVES INCLUIDAS                                                                                                                                                                                                                                                                                                                                                                                                          </t>
  </si>
  <si>
    <t>119,76</t>
  </si>
  <si>
    <t xml:space="preserve">CADEADO SIMPLES/COMUM, EM LATAO MACICO CROMADO, LARGURA DE 25 MM,  HASTE DE ACO TEMPERADO, CEMENTADO (NAO LONGA), INCLUI 2 CHAVES                                                                                                                                                                                                                                                                                                                                                                         </t>
  </si>
  <si>
    <t xml:space="preserve">CADEADO SIMPLES, EM LATAO MACICO CROMADO, LARGURA DE 35 MM,  HASTE DE ACO TEMPERADO, CEMENTADO (NAO LONGA), INCLUI 2 CHAVES                                                                                                                                                                                                                                                                                                                                                                               </t>
  </si>
  <si>
    <t>15,29</t>
  </si>
  <si>
    <t xml:space="preserve">CADEIRA SUSPENSA MANUAL / BALANCIM INDIVIDUAL (NBR 14751)                                                                                                                                                                                                                                                                                                                                                                                                                                                 </t>
  </si>
  <si>
    <t>810,02</t>
  </si>
  <si>
    <t xml:space="preserve">CAIBRO DE MADEIRA APARELHADA *6 X 8* CM, MACARANDUBA, ANGELIM OU EQUIVALENTE DA REGIAO                                                                                                                                                                                                                                                                                                                                                                                                                    </t>
  </si>
  <si>
    <t>16,07</t>
  </si>
  <si>
    <t xml:space="preserve">CAIBRO DE MADEIRA NAO APARELHADA *5 X 6* CM, MACARANDUBA, ANGELIM OU EQUIVALENTE DA REGIAO                                                                                                                                                                                                                                                                                                                                                                                                                </t>
  </si>
  <si>
    <t xml:space="preserve">CAIBRO DE MADEIRA NAO APARELHADA *6 X 8* CM, MACARANDUBA, ANGELIM OU EQUIVALENTE DA REGIAO                                                                                                                                                                                                                                                                                                                                                                                                                </t>
  </si>
  <si>
    <t>12,88</t>
  </si>
  <si>
    <t xml:space="preserve">CAIBRO DE MADEIRA NAO APARELHADA *7,5 X 10 CM (3 X 4 ") PINUS, MISTA OU EQUIVALENTE DA REGIAO                                                                                                                                                                                                                                                                                                                                                                                                             </t>
  </si>
  <si>
    <t>11,61</t>
  </si>
  <si>
    <t xml:space="preserve">CAIBRO DE MADEIRA NAO APARELHADA 5 X 5 CM (2 X 2 ") PINUS, MISTA OU EQUIVALENTE DA REGIAO                                                                                                                                                                                                                                                                                                                                                                                                                 </t>
  </si>
  <si>
    <t xml:space="preserve">CAIBRO DE MADEIRA NAO APARELHADA 5 X 5 CM, CEDRINHO OU EQUIVALENTE DA REGIAO                                                                                                                                                                                                                                                                                                                                                                                                                              </t>
  </si>
  <si>
    <t xml:space="preserve">CAIXA D'AGUA DE FIBRA DE VIDRO, PARA 500 LITROS, COM TAMPA                                                                                                                                                                                                                                                                                                                                                                                                                                                </t>
  </si>
  <si>
    <t>264,00</t>
  </si>
  <si>
    <t xml:space="preserve">CAIXA D'AGUA EM POLIETILENO 1000 LITROS, COM TAMPA                                                                                                                                                                                                                                                                                                                                                                                                                                                        </t>
  </si>
  <si>
    <t>329,45</t>
  </si>
  <si>
    <t xml:space="preserve">CAIXA D'AGUA EM POLIETILENO 1500 LITROS, COM TAMPA                                                                                                                                                                                                                                                                                                                                                                                                                                                        </t>
  </si>
  <si>
    <t>669,11</t>
  </si>
  <si>
    <t xml:space="preserve">CAIXA D'AGUA EM POLIETILENO 2000 LITROS, COM TAMPA                                                                                                                                                                                                                                                                                                                                                                                                                                                        </t>
  </si>
  <si>
    <t>751,58</t>
  </si>
  <si>
    <t xml:space="preserve">CAIXA D'AGUA EM POLIETILENO 500 LITROS, COM TAMPA                                                                                                                                                                                                                                                                                                                                                                                                                                                         </t>
  </si>
  <si>
    <t>189,15</t>
  </si>
  <si>
    <t xml:space="preserve">CAIXA D'AGUA EM POLIETILENO 750 LITROS, COM TAMPA                                                                                                                                                                                                                                                                                                                                                                                                                                                         </t>
  </si>
  <si>
    <t>324,37</t>
  </si>
  <si>
    <t xml:space="preserve">CAIXA D'AGUA FIBRA DE VIDRO PARA 1000 LITROS, COM TAMPA                                                                                                                                                                                                                                                                                                                                                                                                                                                   </t>
  </si>
  <si>
    <t>362,83</t>
  </si>
  <si>
    <t xml:space="preserve">CAIXA D'AGUA FIBRA DE VIDRO PARA 10000 LITROS, COM TAMPA                                                                                                                                                                                                                                                                                                                                                                                                                                                  </t>
  </si>
  <si>
    <t>3.504,54</t>
  </si>
  <si>
    <t xml:space="preserve">CAIXA D'AGUA FIBRA DE VIDRO PARA 1500 LITROS, COM TAMPA                                                                                                                                                                                                                                                                                                                                                                                                                                                   </t>
  </si>
  <si>
    <t>588,69</t>
  </si>
  <si>
    <t xml:space="preserve">CAIXA D'AGUA FIBRA DE VIDRO PARA 2000 LITROS, COM TAMPA                                                                                                                                                                                                                                                                                                                                                                                                                                                   </t>
  </si>
  <si>
    <t>758,85</t>
  </si>
  <si>
    <t xml:space="preserve">CAIXA D'AGUA FIBRA DE VIDRO PARA 5000 LITROS, COM TAMPA                                                                                                                                                                                                                                                                                                                                                                                                                                                   </t>
  </si>
  <si>
    <t>1.690,09</t>
  </si>
  <si>
    <t xml:space="preserve">CAIXA DE DERIVACAO PARA MEDIDOR DE ENERGIA, COM BARRAMENTO MONOFASICO, EM POLICARBONATO / TERMOPLASTICO - MODULO (PADRAO CONCESSIONARIA LOCAL)                                                                                                                                                                                                                                                                                                                                                            </t>
  </si>
  <si>
    <t>192,07</t>
  </si>
  <si>
    <t xml:space="preserve">CAIXA DE DERIVACAO PARA MEDIDOR DE ENERGIA, COM BARRAMENTO POLIFASICO, EM POLICARBONATO / TERMOPLASTICO - MODULO (PADRAO CONCESSIONARIA LOCAL)                                                                                                                                                                                                                                                                                                                                                            </t>
  </si>
  <si>
    <t>204,11</t>
  </si>
  <si>
    <t xml:space="preserve">CAIXA DE DESCARGA DE PLASTICO EXTERNA, DE *9* L, PUXADOR FIO DE NYLON, NAO INCLUSO CANO, BOLSA, ENGATE                                                                                                                                                                                                                                                                                                                                                                                                    </t>
  </si>
  <si>
    <t>28,50</t>
  </si>
  <si>
    <t xml:space="preserve">CAIXA DE DESCARGA PLASTICA DE EMBUTIR COMPLETA, COM ESPELHO PLASTICO, CAPACIDADE 6 A 10 L, ACESSORIOS INCLUSOS                                                                                                                                                                                                                                                                                                                                                                                            </t>
  </si>
  <si>
    <t>629,99</t>
  </si>
  <si>
    <t xml:space="preserve">CAIXA DE GORDURA EM PVC, DIAMETRO MINIMO 300 MM, DIAMETRO DE SAIDA 100 MM, CAPACIDADE  APROXIMADA 18 LITROS, COM TAMPA                                                                                                                                                                                                                                                                                                                                                                                    </t>
  </si>
  <si>
    <t>393,88</t>
  </si>
  <si>
    <t xml:space="preserve">CAIXA DE INCENDIO/ABRIGO PARA MANGUEIRA, DE EMBUTIR/INTERNA, COM 75 X 45 X 17 CM, EM CHAPA DE ACO, PORTA COM VENTILACAO, VISOR COM A INSCRICAO "INCENDIO", SUPORTE/CESTA INTERNA PARA A MANGUEIRA, PINTURA ELETROSTATICA VERMELHA                                                                                                                                                                                                                                                                         </t>
  </si>
  <si>
    <t>171,81</t>
  </si>
  <si>
    <t xml:space="preserve">CAIXA DE INCENDIO/ABRIGO PARA MANGUEIRA, DE EMBUTIR/INTERNA, COM 90 X 60 X 17 CM, EM CHAPA DE ACO, PORTA COM VENTILACAO, VISOR COM A INSCRICAO "INCENDIO", SUPORTE/CESTA INTERNA PARA A MANGUEIRA, PINTURA ELETROSTATICA VERMELHA                                                                                                                                                                                                                                                                         </t>
  </si>
  <si>
    <t>217,32</t>
  </si>
  <si>
    <t xml:space="preserve">CAIXA DE INCENDIO/ABRIGO PARA MANGUEIRA, DE SOBREPOR/EXTERNA, COM 75 X 45 X 17 CM, EM CHAPA DE ACO, PORTA COM VENTILACAO, VISOR COM A INSCRICAO "INCENDIO", SUPORTE/CESTA INTERNA PARA A MANGUEIRA, PINTURA ELETROSTATICA VERMELHA                                                                                                                                                                                                                                                                        </t>
  </si>
  <si>
    <t>180,00</t>
  </si>
  <si>
    <t xml:space="preserve">CAIXA DE INCENDIO/ABRIGO PARA MANGUEIRA, DE SOBREPOR/EXTERNA, COM 90 X 60 X 17 CM, EM CHAPA DE ACO, PORTA COM VENTILACAO, VISOR COM A INSCRICAO "INCENDIO", SUPORTE/CESTA INTERNA PARA A MANGUEIRA, PINTURA ELETROSTATICA VERMELHA                                                                                                                                                                                                                                                                        </t>
  </si>
  <si>
    <t>219,88</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</si>
  <si>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</si>
  <si>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</si>
  <si>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</si>
  <si>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</si>
  <si>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</si>
  <si>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25,92</t>
  </si>
  <si>
    <t xml:space="preserve">CAIXA DE PASSAGEM ELETRICA DE PAREDE, DE EMBUTIR, EM PVC, COM TAMPA APARAFUSADA, DIMENSOES 150 X 150 X *75* MM                                                                                                                                                                                                                                                                                                                                                                                            </t>
  </si>
  <si>
    <t>31,70</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</si>
  <si>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</si>
  <si>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</si>
  <si>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</si>
  <si>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105,07</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</si>
  <si>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</si>
  <si>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</si>
  <si>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</si>
  <si>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34,67</t>
  </si>
  <si>
    <t xml:space="preserve">CAIXA DE PASSAGEM ELETRICA, PARA PISO, EM PVC, DIMENSOES DE 3/4" A 4"                                                                                                                                                                                                                                                                                                                                                                                                                                     </t>
  </si>
  <si>
    <t>410,21</t>
  </si>
  <si>
    <t xml:space="preserve">CAIXA DE PASSAGEM METALICA DE SOBREPOR COM TAMPA PARAFUSADA, DIMENSOES 20 X 20 X 10 CM                                                                                                                                                                                                                                                                                                                                                                                                                    </t>
  </si>
  <si>
    <t>17,32</t>
  </si>
  <si>
    <t xml:space="preserve">CAIXA DE PASSAGEM METALICA DE SOBREPOR COM TAMPA PARAFUSADA, DIMENSOES 30 X 30 X 10 CM                                                                                                                                                                                                                                                                                                                                                                                                                    </t>
  </si>
  <si>
    <t>34,05</t>
  </si>
  <si>
    <t xml:space="preserve">CAIXA DE PASSAGEM METALICA DE SOBREPOR COM TAMPA PARAFUSADA, DIMENSOES 40 X 40 X 15 CM                                                                                                                                                                                                                                                                                                                                                                                                                    </t>
  </si>
  <si>
    <t>54,73</t>
  </si>
  <si>
    <t xml:space="preserve">CAIXA DE PASSAGEM METALICA DE SOBREPOR COM TAMPA PARAFUSADA, DIMENSOES 50 X 50 X 15 CM                                                                                                                                                                                                                                                                                                                                                                                                                    </t>
  </si>
  <si>
    <t>81,87</t>
  </si>
  <si>
    <t xml:space="preserve">CAIXA DE PASSAGEM METALICA DE SOBREPOR COM TAMPA PARAFUSADA, DIMENSOES 60 X 60 X 20 CM                                                                                                                                                                                                                                                                                                                                                                                                                    </t>
  </si>
  <si>
    <t>109,27</t>
  </si>
  <si>
    <t xml:space="preserve">CAIXA DE PASSAGEM METALICA DE SOBREPOR COM TAMPA PARAFUSADA, DIMENSOES 70 X 70 X 20 CM                                                                                                                                                                                                                                                                                                                                                                                                                    </t>
  </si>
  <si>
    <t>132,05</t>
  </si>
  <si>
    <t xml:space="preserve">CAIXA DE PASSAGEM METALICA DE SOBREPOR COM TAMPA PARAFUSADA, DIMENSOES 80 X 80 X 20 CM                                                                                                                                                                                                                                                                                                                                                                                                                    </t>
  </si>
  <si>
    <t>167,38</t>
  </si>
  <si>
    <t xml:space="preserve">CAIXA DE PASSAGEM METALICA, DE SOBREPOR, COM TAMPA APARAFUSADA, DIMENSOES 15 X 15 X *10* CM                                                                                                                                                                                                                                                                                                                                                                                                               </t>
  </si>
  <si>
    <t>12,15</t>
  </si>
  <si>
    <t xml:space="preserve">CAIXA DE PASSAGEM METALICA, DE SOBREPOR, COM TAMPA APARAFUSADA, DIMENSOES 35 X 35 X *12* CM                                                                                                                                                                                                                                                                                                                                                                                                               </t>
  </si>
  <si>
    <t xml:space="preserve">CAIXA DE PASSAGEM/ LUZ / TELEFONIA, DE EMBUTIR,  EM CHAPA DE ACO GALVANIZADO, DIMENSOES 150 X 150 X 15 CM (PADRAO CONCESSIONARIA LOCAL)                                                                                                                                                                                                                                                                                                                                                                   </t>
  </si>
  <si>
    <t>767,09</t>
  </si>
  <si>
    <t xml:space="preserve">CAIXA DE PASSAGEM/ LUZ / TELEFONIA, DE EMBUTIR,  EM CHAPA DE ACO GALVANIZADO, DIMENSOES 20 X 20 X *12* CM (PADRAO CONCESSIONARIA LOCAL)                                                                                                                                                                                                                                                                                                                                                                   </t>
  </si>
  <si>
    <t>33,02</t>
  </si>
  <si>
    <t xml:space="preserve">CAIXA DE PASSAGEM/ LUZ / TELEFONIA, DE EMBUTIR,  EM CHAPA DE ACO GALVANIZADO, DIMENSOES 200 X 200 X 20 CM (PADRAO CONCESSIONARIA LOCAL)                                                                                                                                                                                                                                                                                                                                                                   </t>
  </si>
  <si>
    <t>1.498,40</t>
  </si>
  <si>
    <t xml:space="preserve">CAIXA DE PASSAGEM/ LUZ / TELEFONIA, DE EMBUTIR,  EM CHAPA DE ACO GALVANIZADO, DIMENSOES 40 X 40 X *12* CM (PADRAO CONCESSIONARIA LOCAL)                                                                                                                                                                                                                                                                                                                                                                   </t>
  </si>
  <si>
    <t>73,15</t>
  </si>
  <si>
    <t xml:space="preserve">CAIXA DE PASSAGEM/ LUZ / TELEFONIA, DE EMBUTIR,  EM CHAPA DE ACO GALVANIZADO, DIMENSOES 60 X 60 X *12* CM (PADRAO CONCESSIONARIA LOCAL)                                                                                                                                                                                                                                                                                                                                                                   </t>
  </si>
  <si>
    <t>121,21</t>
  </si>
  <si>
    <t xml:space="preserve">CAIXA DE PASSAGEM/ LUZ / TELEFONIA, DE EMBUTIR,  EM CHAPA DE ACO GALVANIZADO, DIMENSOES 80 X 80 X *12* CM (PADRAO CONCESSIONARIA LOCAL)                                                                                                                                                                                                                                                                                                                                                                   </t>
  </si>
  <si>
    <t>181,22</t>
  </si>
  <si>
    <t xml:space="preserve">CAIXA DE PASSAGEM/ LUZ / TELEFONIA, DE EMBUTIR, EM CHAPA DE ACO GALVANIZADO, DIMENSOES 120 X 120 X *12* CM (PADRAO CONCESSIONARIA LOCAL)                                                                                                                                                                                                                                                                                                                                                                  </t>
  </si>
  <si>
    <t>364,55</t>
  </si>
  <si>
    <t xml:space="preserve">CAIXA DE PASSAGEM/ LUZ / TELEFONIA, DE SOBREPOR,  EM CHAPA DE ACO GALVANIZADO, DIMENSOES 80 X 80 X *12* CM (PADRAO CONCESSIONARIA LOCAL)                                                                                                                                                                                                                                                                                                                                                                  </t>
  </si>
  <si>
    <t>226,99</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</si>
  <si>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</si>
  <si>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</si>
  <si>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</si>
  <si>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1.425,64</t>
  </si>
  <si>
    <t xml:space="preserve">CAIXA DE PROTECAO PARA TRANSFORMADOR CORRENTE, EM CHAPA DE ACO 18 USG (PADRAO DA CONCESSIONARIA LOCAL)                                                                                                                                                                                                                                                                                                                                                                                                    </t>
  </si>
  <si>
    <t>456,17</t>
  </si>
  <si>
    <t xml:space="preserve">CAIXA GORDURA DUPLA, CONCRETO PRE MOLDADO, CIRCULAR, COM TAMPA, D = 60* CM                                                                                                                                                                                                                                                                                                                                                                                                                                </t>
  </si>
  <si>
    <t>151,92</t>
  </si>
  <si>
    <t xml:space="preserve">CAIXA GORDURA, SIMPLES, CONCRETO PRE MOLDADO, CIRCULAR, COM TAMPA, D = 40 CM                                                                                                                                                                                                                                                                                                                                                                                                                              </t>
  </si>
  <si>
    <t>70,55</t>
  </si>
  <si>
    <t xml:space="preserve">CAIXA INSPECAO EM CONCRETO PARA ATERRAMENTO E PARA RAIOS DIAMETRO = 300 MM                                                                                                                                                                                                                                                                                                                                                                                                                                </t>
  </si>
  <si>
    <t>56,89</t>
  </si>
  <si>
    <t xml:space="preserve">CAIXA INSPECAO EM POLIETILENO PARA ATERRAMENTO E PARA RAIOS DIAMETRO = 300 MM                                                                                                                                                                                                                                                                                                                                                                                                                             </t>
  </si>
  <si>
    <t xml:space="preserve">CAIXA INSPECAO, CONCRETO PRE MOLDADO, CIRCULAR, COM TAMPA, D = 40* CM                                                                                                                                                                                                                                                                                                                                                                                                                                     </t>
  </si>
  <si>
    <t xml:space="preserve">CAIXA INSPECAO, CONCRETO PRE MOLDADO, CIRCULAR, COM TAMPA, D = 60* CM, H= 60* CM                                                                                                                                                                                                                                                                                                                                                                                                                          </t>
  </si>
  <si>
    <t>131,43</t>
  </si>
  <si>
    <t xml:space="preserve">CAIXA INTERNA/EXTERNA DE MEDICAO PARA 1 MEDIDOR TRIFASICO, COM VISOR, EM CHAPA DE ACO 18 USG (PADRAO DA CONCESSIONARIA LOCAL)                                                                                                                                                                                                                                                                                                                                                                             </t>
  </si>
  <si>
    <t>200,00</t>
  </si>
  <si>
    <t xml:space="preserve">CAIXA INTERNA/EXTERNA DE MEDICAO PARA 4 MEDIDORES MONOFASICOS, COM VISOR, EM CHAPA DE ACO 18 USG (PADRAO DA CONCESSIONARIA LOCAL)                                                                                                                                                                                                                                                                                                                                                                         </t>
  </si>
  <si>
    <t>234,08</t>
  </si>
  <si>
    <t xml:space="preserve">CAIXA MODULAR PARA MEDIDOR DE ENERGIA AGRUPADA, EM POLICARBONATO /  TERMOPLASTICO, COM SUPORTE PARA DISJUNTOR (PADRAO DA CONCESSIONARIA LOCAL)                                                                                                                                                                                                                                                                                                                                                            </t>
  </si>
  <si>
    <t>113,87</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</si>
  <si>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</si>
  <si>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</si>
  <si>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t>
  </si>
  <si>
    <t xml:space="preserve">CAIXA PARA MEDICAO COLETIVA TIPO L, PADRAO BIFASICO OU TRIFASICO, PARA ATE 4 MEDIDORES, SEM BARRAMENTO E COM PORTAS INFERIOR E SUPERIOR                                                                                                                                                                                                                                                                                                                                                                   </t>
  </si>
  <si>
    <t>953,58</t>
  </si>
  <si>
    <t xml:space="preserve">CAIXA PARA MEDICAO COLETIVA TIPO M, PADRAO BIFASICO OU TRIFASICO, PARA ATE 8 MEDIDORES, SEM BARRAMENTO E COM PORTAS INFERIOR E SUPERIOR                                                                                                                                                                                                                                                                                                                                                                   </t>
  </si>
  <si>
    <t>1.599,80</t>
  </si>
  <si>
    <t xml:space="preserve">CAIXA PARA MEDICAO COLETIVA TIPO N, PADRAO BIFASICO OU TRIFASICO, PARA ATE 12 MEDIDORES, SEM BARRAMENTO E COM PORTAS INFERIOR E SUPERIOR                                                                                                                                                                                                                                                                                                                                                                  </t>
  </si>
  <si>
    <t>2.012,10</t>
  </si>
  <si>
    <t xml:space="preserve">CAIXA PARA MEDIDOR MONOFASICO, EM POLICARBONATO /TERMOPLASTICO, COM DISJUNTOR (PADRAO DA CONCESSIONARIA LOCAL)                                                                                                                                                                                                                                                                                                                                                                                            </t>
  </si>
  <si>
    <t>59,45</t>
  </si>
  <si>
    <t xml:space="preserve">CAIXA PARA MEDIDOR POLIFASICO, EM POLICARBONATO (TERMOPLASTICO), COM 1 DISJUNTOR                                                                                                                                                                                                                                                                                                                                                                                                                          </t>
  </si>
  <si>
    <t>141,00</t>
  </si>
  <si>
    <t xml:space="preserve">CAIXA SIFONADA PVC 150 X 150 X 50MM COM TAMPA CEGA QUADRADA BRANCA                                                                                                                                                                                                                                                                                                                                                                                                                                        </t>
  </si>
  <si>
    <t xml:space="preserve">CAIXA SIFONADA PVC, 100 X 100 X 40 MM, COM GRELHA REDONDA BRANCA                                                                                                                                                                                                                                                                                                                                                                                                                                          </t>
  </si>
  <si>
    <t>11,81</t>
  </si>
  <si>
    <t xml:space="preserve">CAIXA SIFONADA PVC, 100 X 100 X 50 MM, COM GRELHA REDONDA BRANCA                                                                                                                                                                                                                                                                                                                                                                                                                                          </t>
  </si>
  <si>
    <t>11,98</t>
  </si>
  <si>
    <t xml:space="preserve">CAIXA SIFONADA PVC, 150 X 150 X 50 MM, COM GRELHA QUADRADA BRANCA (NBR 5688)                                                                                                                                                                                                                                                                                                                                                                                                                              </t>
  </si>
  <si>
    <t>27,90</t>
  </si>
  <si>
    <t xml:space="preserve">CAIXA SIFONADA PVC, 150 X 150 X 50 MM, COM GRELHA REDONDA BRANCA                                                                                                                                                                                                                                                                                                                                                                                                                                          </t>
  </si>
  <si>
    <t>30,31</t>
  </si>
  <si>
    <t xml:space="preserve">CAIXA SIFONADA PVC, 150 X 185 X 75 MM, COM GRELHA QUADRADA BRANCA                                                                                                                                                                                                                                                                                                                                                                                                                                         </t>
  </si>
  <si>
    <t xml:space="preserve">CAIXA SIFONADA PVC, 150 X 185 X 75 MM, COM TAMPA CEGA QUADRADA BRANCA                                                                                                                                                                                                                                                                                                                                                                                                                                     </t>
  </si>
  <si>
    <t>43,40</t>
  </si>
  <si>
    <t xml:space="preserve">CAIXA SIFONADA PVC, 250 X 230 X 75 MM, COM TAMPA E PORTA TAMPA QUADRADA BRANCA                                                                                                                                                                                                                                                                                                                                                                                                                            </t>
  </si>
  <si>
    <t>78,01</t>
  </si>
  <si>
    <t xml:space="preserve">CAL HIDRATADA CH-I PARA ARGAMASSAS                                                                                                                                                                                                                                                                                                                                                                                                                                                                        </t>
  </si>
  <si>
    <t xml:space="preserve">CAL HIDRATADA PARA PINTURA                                                                                                                                                                                                                                                                                                                                                                                                                                                                                </t>
  </si>
  <si>
    <t xml:space="preserve">CAL VIRGEM COMUM PARA ARGAMASSAS (NBR 6453)                                                                                                                                                                                                                                                                                                                                                                                                                                                               </t>
  </si>
  <si>
    <t xml:space="preserve">CALAFETADOR / CALAFATE                                                                                                                                                                                                                                                                                                                                                                                                                                                                                    </t>
  </si>
  <si>
    <t xml:space="preserve">CALAFETADOR / CALAFATE (MENSALISTA)                                                                                                                                                                                                                                                                                                                                                                                                                                                                       </t>
  </si>
  <si>
    <t>3.565,38</t>
  </si>
  <si>
    <t xml:space="preserve">CALCARIO DOLOMITICO A (POSTO PEDREIRA/FORNECEDOR, SEM FRETE)                                                                                                                                                                                                                                                                                                                                                                                                                                              </t>
  </si>
  <si>
    <t xml:space="preserve">CALCETEIRO                                                                                                                                                                                                                                                                                                                                                                                                                                                                                                </t>
  </si>
  <si>
    <t xml:space="preserve">CALCETEIRO  (MENSALISTA)                                                                                                                                                                                                                                                                                                                                                                                                                                                                                  </t>
  </si>
  <si>
    <t>2.709,60</t>
  </si>
  <si>
    <t xml:space="preserve">CALHA MOLDURA AMERICANA DE CHAPA DE ACO GALVANIZADA NUM 26, CORTE 33 CM                                                                                                                                                                                                                                                                                                                                                                                                                                   </t>
  </si>
  <si>
    <t>15,55</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</si>
  <si>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</si>
  <si>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</si>
  <si>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</si>
  <si>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PLUVIAL DE PVC, DIAMETRO ENTRE 119 E 170 MM, COMPRIMENTO DE 3 M, PARA DRENAGEM PREDIAL                                                                                                                                                                                                                                                                                                                                                                                                              </t>
  </si>
  <si>
    <t>35,94</t>
  </si>
  <si>
    <t xml:space="preserve">CALHA QUADRADA DE CHAPA DE ACO GALVANIZADA NUM 24, CORTE 100 CM                                                                                                                                                                                                                                                                                                                                                                                                                                           </t>
  </si>
  <si>
    <t>51,09</t>
  </si>
  <si>
    <t xml:space="preserve">CALHA QUADRADA DE CHAPA DE ACO GALVANIZADA NUM 24, CORTE 33 CM                                                                                                                                                                                                                                                                                                                                                                                                                                            </t>
  </si>
  <si>
    <t>20,05</t>
  </si>
  <si>
    <t xml:space="preserve">CALHA QUADRADA DE CHAPA DE ACO GALVANIZADA NUM 24, CORTE 50 CM                                                                                                                                                                                                                                                                                                                                                                                                                                            </t>
  </si>
  <si>
    <t>26,11</t>
  </si>
  <si>
    <t xml:space="preserve">CALHA QUADRADA DE CHAPA DE ACO GALVANIZADA NUM 26, CORTE 33 CM                                                                                                                                                                                                                                                                                                                                                                                                                                            </t>
  </si>
  <si>
    <t xml:space="preserve">CALHA QUADRADA DE CHAPA DE ACO GALVANIZADA NUM 28, CORTE 25 CM                                                                                                                                                                                                                                                                                                                                                                                                                                            </t>
  </si>
  <si>
    <t xml:space="preserve">CALHA/CANALETA DE CONCRETO SIMPLES, TIPO MEIA CANA, D = 20 CM, PARA AGUA PLUVIAL                                                                                                                                                                                                                                                                                                                                                                                                                          </t>
  </si>
  <si>
    <t xml:space="preserve">CALHA/CANALETA DE CONCRETO SIMPLES, TIPO MEIA CANA, D = 30 CM, PARA AGUA PLUVIAL                                                                                                                                                                                                                                                                                                                                                                                                                          </t>
  </si>
  <si>
    <t>20,13</t>
  </si>
  <si>
    <t xml:space="preserve">CALHA/CANALETA DE CONCRETO SIMPLES, TIPO MEIA CANA, D = 50 CM, PARA AGUA PLUVIAL                                                                                                                                                                                                                                                                                                                                                                                                                          </t>
  </si>
  <si>
    <t>39,06</t>
  </si>
  <si>
    <t xml:space="preserve">CALHA/CANALETA DE CONCRETO SIMPLES, TIPO MEIA CANA, D = 60 CM, PARA AGUA PLUVIAL                                                                                                                                                                                                                                                                                                                                                                                                                          </t>
  </si>
  <si>
    <t xml:space="preserve">CALHA/CANALETA DE CONCRETO SIMPLES, TIPO MEIA CANA, D = 80 CM, PARA AGUA PLUVIAL                                                                                                                                                                                                                                                                                                                                                                                                                          </t>
  </si>
  <si>
    <t xml:space="preserve">CALHA/CANALETA DE CONCRETO SIMPLES, TIPO MEIA CANA, D= 40 CM, PARA AGUA PLUVIAL                                                                                                                                                                                                                                                                                                                                                                                                                           </t>
  </si>
  <si>
    <t>27,74</t>
  </si>
  <si>
    <t xml:space="preserve">CAMADA SEPARADORA DE FILME DE POLIETILENO 20 A 25 MICRA                                                                                                                                                                                                                                                                                                                                                                                                                                                   </t>
  </si>
  <si>
    <t>1,42</t>
  </si>
  <si>
    <t xml:space="preserve">CAMINHAO TOCO, PESO BRUTO TOTAL 13000 KG, CARGA UTIL MAXIMA 7925 KG, DISTANCIA ENTRE EIXOS 4,80 M, POTENCIA 189 CV (INCLUI CABINE E CHASSI, NAO INCLUI CARROCERIA)                                                                                                                                                                                                                                                                                                                                        </t>
  </si>
  <si>
    <t>240.871,75</t>
  </si>
  <si>
    <t xml:space="preserve">CAMINHAO TOCO, PESO BRUTO TOTAL 14300 KG, CARGA UTIL MAXIMA 9590 KG, DISTANCIA ENTRE EIXOS 4,76 M, POTENCIA 185 CV (INCLUI CABINE E CHASSI, NAO INCLUI CARROCERIA)                                                                                                                                                                                                                                                                                                                                        </t>
  </si>
  <si>
    <t>251.543,28</t>
  </si>
  <si>
    <t xml:space="preserve">CAMINHAO TOCO, PESO BRUTO TOTAL 14300 KG, CARGA UTIL MAXIMA 9710 KG, DISTANCIA ENTRE EIXOS 3,56 M, POTENCIA 185 CV (INCLUI CABINE E CHASSI, NAO INCLUI CARROCERIA)                                                                                                                                                                                                                                                                                                                                        </t>
  </si>
  <si>
    <t>256.078,68</t>
  </si>
  <si>
    <t xml:space="preserve">CAMINHAO TOCO, PESO BRUTO TOTAL 16000 KG, CARGA UTIL MAXIMA DE 10685 KG, DISTANCIA ENTRE EIXOS 4,8M, POTENCIA 189 CV (INCLUI CABINE E CHASSI, NAO INCLUI CARROCERIA)                                                                                                                                                                                                                                                                                                                                      </t>
  </si>
  <si>
    <t>211.906,15</t>
  </si>
  <si>
    <t xml:space="preserve">CAMINHAO TOCO, PESO BRUTO TOTAL 16000 KG, CARGA UTIL MAXIMA 10600 KG, DISTANCIA ENTRE EIXOS 4,80 M, POTENCIA 275 CV (INCLUI CABINE E CHASSI, NAO INCLUI CARROCERIA)                                                                                                                                                                                                                                                                                                                                       </t>
  </si>
  <si>
    <t>294.991,65</t>
  </si>
  <si>
    <t xml:space="preserve">CAMINHAO TOCO, PESO BRUTO TOTAL 16000 KG, CARGA UTIL MAXIMA 10780 KG, DISTANCIA ENTRE EIXOS 3,56 M, POTENCIA 275 CV (INCLUI CABINE E CHASSI, NAO INCLUI CARROCERIA)                                                                                                                                                                                                                                                                                                                                       </t>
  </si>
  <si>
    <t>296.135,05</t>
  </si>
  <si>
    <t xml:space="preserve">CAMINHAO TOCO, PESO BRUTO TOTAL 16000 KG, CARGA UTIL MAXIMA 11030 KG, DISTANCIA ENTRE EIXOS 3,56M, POTENCIA 186 CV (INCLUI CABINE E CHASSI, NAO INCLUI CARROCERIA)                                                                                                                                                                                                                                                                                                                                        </t>
  </si>
  <si>
    <t>296.135,02</t>
  </si>
  <si>
    <t xml:space="preserve">CAMINHAO TOCO, PESO BRUTO TOTAL 16000 KG, CARGA UTIL MAXIMA 11130 KG, DISTANCIA ENTRE EIXOS 5,36 M, POTENCIA 185 CV (INCLUI CABINE E CHASSI, NAO INCLUI CARROCERIA)                                                                                                                                                                                                                                                                                                                                       </t>
  </si>
  <si>
    <t>268.541,50</t>
  </si>
  <si>
    <t xml:space="preserve">CAMINHAO TOCO, PESO BRUTO TOTAL 16000 KG, CARGA UTIL MAXIMA 13071 KG, DISTANCIA ENTRE EIXOS 4,80 M, POTENCIA 230 CV (INCLUI CABINE E CHASSI, NAO INCLUI CARROCERIA)                                                                                                                                                                                                                                                                                                                                       </t>
  </si>
  <si>
    <t>282.795,62</t>
  </si>
  <si>
    <t xml:space="preserve">CAMINHAO TOCO, PESO BRUTO TOTAL 8250 KG, CARGA UTIL MAXIMA 5110 KG, DISTANCIA ENTRE EIXOS 4,30 M, POTENCIA 162 CV (INCLUI CABINE E CHASSI, NAO INCLUI CARROCERIA)                                                                                                                                                                                                                                                                                                                                         </t>
  </si>
  <si>
    <t>197.423,37</t>
  </si>
  <si>
    <t xml:space="preserve">CAMINHAO TOCO, PESO BRUTO TOTAL 9000 KG, CARGA UTIL MAXIMA 5940 KG, DISTANCIA ENTRE EIXOS 3,69 M, POTENCIA 177 CV (INCLUI CABINE E CHASSI, NAO INCLUI CARROCERIA)                                                                                                                                                                                                                                                                                                                                         </t>
  </si>
  <si>
    <t>216.441,54</t>
  </si>
  <si>
    <t xml:space="preserve">CAMINHAO TOCO, PESO BRUTO TOTAL 9600 KG, CARGA UTIL MAXIMA 6110 KG, DISTANCIA ENTRE EIXOS 3,70 M, POTENCIA 156 CV (INCLUI CABINE E CHASSI, NAO INCLUI CARROCERIA)                                                                                                                                                                                                                                                                                                                                         </t>
  </si>
  <si>
    <t>215.679,31</t>
  </si>
  <si>
    <t xml:space="preserve">CAMINHAO TOCO, PESO BRUTO TOTAL 9600 KG, CARGA UTIL MAXIMA 6200 KG, DISTANCIA ENTRE EIXOS 3,10 M, POTENCIA 156 CV (INCLUI CABINE E CHASSI, NAO INCLUI CARROCERIA)                                                                                                                                                                                                                                                                                                                                         </t>
  </si>
  <si>
    <t>214.917,04</t>
  </si>
  <si>
    <t xml:space="preserve">CAMINHAO TOCO, PESO BRUTO TOTAL 9700 KG, CARGA UTIL MAXIMA 6360 KG, DISTANCIA ENTRE EIXOS 4,30 M, POTENCIA 160 CV (INCLUI CABINE E CHASSI, NAO INCLUI CARROCERIA)                                                                                                                                                                                                                                                                                                                                         </t>
  </si>
  <si>
    <t xml:space="preserve">CAMINHAO TRUCADO, PESO BRUTO TOTAL 22000 KG, CARGA UTIL MAXIMA 15350 KG, DISTANCIA ENTRE EIXOS 5,17 M, POTENCIA 238 CV (INCLUI CABINE E CHASSI, NAO INCLUI CARROCERIA)                                                                                                                                                                                                                                                                                                                                    </t>
  </si>
  <si>
    <t>307.949,95</t>
  </si>
  <si>
    <t xml:space="preserve">CAMINHAO TRUCADO, PESO BRUTO TOTAL 23000 KG, CARGA UTIL MAXIMA 15378 KG, DISTANCIA ENTRE EIXOS 4,80 M, POTENCIA 326 CV (INCLUI CABINE E CHASSI, NAO INCLUI CARROCERIA)                                                                                                                                                                                                                                                                                                                                    </t>
  </si>
  <si>
    <t>347.587,08</t>
  </si>
  <si>
    <t xml:space="preserve">CAMINHAO TRUCADO, PESO BRUTO TOTAL 23000 KG, CARGA UTIL MAXIMA 15935 KG, DISTANCIA ENTRE EIXOS 4,80 M, POTENCIA 230 CV (INCLUI CABINE E CHASSI, NAO INCLUI CARROCERIA)                                                                                                                                                                                                                                                                                                                                    </t>
  </si>
  <si>
    <t>312.752,14</t>
  </si>
  <si>
    <t xml:space="preserve">CAMINHAO TRUCADO, PESO BRUTO TOTAL 23000 KG, CARGA UTIL MAXIMA 15940 KG, DISTANCIA ENTRE EIXOS 3,60 M, POTENCIA 286 CV (INCLUI CABINE E CHASSI, NAO INCLUI CARROCERIA)                                                                                                                                                                                                                                                                                                                                    </t>
  </si>
  <si>
    <t>330.055,28</t>
  </si>
  <si>
    <t xml:space="preserve">CAMINHAO TRUCADO, PESO BRUTO TOTAL 23000 KG, CARGA UTIL MAXIMA 16190 KG, DISTANCIA ENTRE EIXOS 3,60 M, POTENCIA 286 CV (INCLUI CABINE E CHASSI, NAO INCLUI CARROCERIA)                                                                                                                                                                                                                                                                                                                                    </t>
  </si>
  <si>
    <t xml:space="preserve">CAMINHAO TRUCADO, PESO BRUTO TOTAL 23000 KG, CARGA UTIL MAXIMA 16360 KG, CABINE ESTENDIDA, DISTANCIA ENTRE EIXOS 3,56 M, POTENCIA 275 CV (INCLUI CABINE E CHASSI, NAO INCLUI CARROCERIA)                                                                                                                                                                                                                                                                                                                  </t>
  </si>
  <si>
    <t>326.244,02</t>
  </si>
  <si>
    <t xml:space="preserve">CAMINHONETE COM MOTOR A DIESEL, POTENCIA *160* CV, CABINE DUPLA, 4X4                                                                                                                                                                                                                                                                                                                                                                                                                                      </t>
  </si>
  <si>
    <t>154.995,87</t>
  </si>
  <si>
    <t xml:space="preserve">CAMPAINHA ALTA POTENCIA 110V / 220V, DIAMETRO 150 MM                                                                                                                                                                                                                                                                                                                                                                                                                                                      </t>
  </si>
  <si>
    <t>125,34</t>
  </si>
  <si>
    <t xml:space="preserve">CAMPAINHA CIGARRA 127 V / 220 V (APENAS MODULO)                                                                                                                                                                                                                                                                                                                                                                                                                                                           </t>
  </si>
  <si>
    <t xml:space="preserve">CAMPAINHA CIGARRA 127 V / 220 V, CONJUNTO MONTADO PARA EMBUTIR 4" X 2" (PLACA + SUPORTE + MODULO)                                                                                                                                                                                                                                                                                                                                                                                                         </t>
  </si>
  <si>
    <t>20,12</t>
  </si>
  <si>
    <t xml:space="preserve">CANALETA CONCRETO ESTRUTURAL 14 X 19 X 29 CM, FBK 14 MPA (NBR 6136)                                                                                                                                                                                                                                                                                                                                                                                                                                       </t>
  </si>
  <si>
    <t>3,28</t>
  </si>
  <si>
    <t xml:space="preserve">CANALETA CONCRETO ESTRUTURAL 14 X 19 X 29 CM, FBK 4,5 MPA (NBR 6136)                                                                                                                                                                                                                                                                                                                                                                                                                                      </t>
  </si>
  <si>
    <t xml:space="preserve">CANALETA CONCRETO ESTRUTURAL 14 X 19 X 39 CM, FBK 14 MPA (NBR 6136)                                                                                                                                                                                                                                                                                                                                                                                                                                       </t>
  </si>
  <si>
    <t xml:space="preserve">CANALETA CONCRETO ESTRUTURAL 14 X 19 X 39 CM, FBK 4,5 MPA (NBR 6136)                                                                                                                                                                                                                                                                                                                                                                                                                                      </t>
  </si>
  <si>
    <t xml:space="preserve">CANALETA CONCRETO 14 X 19 X 19 CM (CLASSE C - NBR 6136)                                                                                                                                                                                                                                                                                                                                                                                                                                                   </t>
  </si>
  <si>
    <t xml:space="preserve">CANALETA CONCRETO 19 X 19 X 19 CM (CLASSE C - NBR 6136)                                                                                                                                                                                                                                                                                                                                                                                                                                                   </t>
  </si>
  <si>
    <t xml:space="preserve">CANALETA CONCRETO 9 X 19 X 19 CM (CLASSE C - NBR 6136)                                                                                                                                                                                                                                                                                                                                                                                                                                                    </t>
  </si>
  <si>
    <t xml:space="preserve">CANALETA ESTRUTURAL CERAMICA, 14 X 19 X 19 CM, 6,0 MPA (NBR 15270)                                                                                                                                                                                                                                                                                                                                                                                                                                        </t>
  </si>
  <si>
    <t xml:space="preserve">CANALETA ESTRUTURAL CERAMICA, 14 X 19 X 29 CM, 4,0 MPA (NBR 15270)                                                                                                                                                                                                                                                                                                                                                                                                                                        </t>
  </si>
  <si>
    <t xml:space="preserve">CANALETA ESTRUTURAL CERAMICA, 14 X 19 X 29 CM, 6,0 MPA (NBR 15270)                                                                                                                                                                                                                                                                                                                                                                                                                                        </t>
  </si>
  <si>
    <t xml:space="preserve">CANALETA ESTRUTURAL CERAMICA, 14 X 19 X 39 CM, 4,0 MPA (NBR 15270)                                                                                                                                                                                                                                                                                                                                                                                                                                        </t>
  </si>
  <si>
    <t xml:space="preserve">CANALETA ESTRUTURAL CERAMICA, 14 X 19 X 39 CM, 6,0 MPA (NBR 15270)                                                                                                                                                                                                                                                                                                                                                                                                                                        </t>
  </si>
  <si>
    <t xml:space="preserve">CANOPLA ACABAMENTO CROMADO PARA INSTALACAO DE SPRINKLER, SOB FORRO, 15 MM                                                                                                                                                                                                                                                                                                                                                                                                                                 </t>
  </si>
  <si>
    <t xml:space="preserve">CANTONEIRA "U" ALUMINIO ABAS IGUAIS 1 ", E = 3/32 "                                                                                                                                                                                                                                                                                                                                                                                                                                                       </t>
  </si>
  <si>
    <t xml:space="preserve">CANTONEIRA ACO ABAS IGUAIS (QUALQUER BITOLA), ESPESSURA ENTRE 1/8" E 1/4"                                                                                                                                                                                                                                                                                                                                                                                                                                 </t>
  </si>
  <si>
    <t xml:space="preserve">CANTONEIRA ALUMINIO ABAS DESIGUAIS 1" X 3/4 ", E = 1/8 "                                                                                                                                                                                                                                                                                                                                                                                                                                                  </t>
  </si>
  <si>
    <t xml:space="preserve">CANTONEIRA ALUMINIO ABAS DESIGUAIS 2 1/2" X 1/2 ", E = 3/16 "                                                                                                                                                                                                                                                                                                                                                                                                                                             </t>
  </si>
  <si>
    <t>22,74</t>
  </si>
  <si>
    <t xml:space="preserve">CANTONEIRA ALUMINIO ABAS IGUAIS 1 ", E = 1/8 ", 25,40 X 3,17 MM (0,408 KG/M)                                                                                                                                                                                                                                                                                                                                                                                                                              </t>
  </si>
  <si>
    <t xml:space="preserve">CANTONEIRA ALUMINIO ABAS IGUAIS 1 ", E = 3 /16 "                                                                                                                                                                                                                                                                                                                                                                                                                                                          </t>
  </si>
  <si>
    <t xml:space="preserve">CANTONEIRA ALUMINIO ABAS IGUAIS 1 1/2 ", E = 3/16 "                                                                                                                                                                                                                                                                                                                                                                                                                                                       </t>
  </si>
  <si>
    <t xml:space="preserve">CANTONEIRA ALUMINIO ABAS IGUAIS 1 1/4 ", E = 3/16 "                                                                                                                                                                                                                                                                                                                                                                                                                                                       </t>
  </si>
  <si>
    <t xml:space="preserve">CANTONEIRA ALUMINIO ABAS IGUAIS 2 ", E = 1/4 "                                                                                                                                                                                                                                                                                                                                                                                                                                                            </t>
  </si>
  <si>
    <t>36,98</t>
  </si>
  <si>
    <t xml:space="preserve">CANTONEIRA ALUMINIO ABAS IGUAIS 2 ", E = 1/8 "                                                                                                                                                                                                                                                                                                                                                                                                                                                            </t>
  </si>
  <si>
    <t xml:space="preserve">CANTONEIRA FERRO GALVANIZADO DE ABAS IGUAIS, 1 1/2" X 1/4" (L X E), 3,40 KG/M                                                                                                                                                                                                                                                                                                                                                                                                                             </t>
  </si>
  <si>
    <t>18,35</t>
  </si>
  <si>
    <t xml:space="preserve">CANTONEIRA FERRO GALVANIZADO DE ABAS IGUAIS, 1" X 1/8" (L X E) , 1,20KG/M                                                                                                                                                                                                                                                                                                                                                                                                                                 </t>
  </si>
  <si>
    <t xml:space="preserve">CANTONEIRA FERRO GALVANIZADO DE ABAS IGUAIS, 2" X 3/8" (L X E), 6,9 KG/M                                                                                                                                                                                                                                                                                                                                                                                                                                  </t>
  </si>
  <si>
    <t xml:space="preserve">CANTONEIRA FERRO GALVANIZADO DE ABAS IGUAIS, 3/4" X 1/8" (L X E)                                                                                                                                                                                                                                                                                                                                                                                                                                          </t>
  </si>
  <si>
    <t xml:space="preserve">CAP OU TAMPAO DE FERRO GALVANIZADO, COM ROSCA BSP, DE 1 1/2"                                                                                                                                                                                                                                                                                                                                                                                                                                              </t>
  </si>
  <si>
    <t>10,16</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</si>
  <si>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</si>
  <si>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</si>
  <si>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</si>
  <si>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</si>
  <si>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</si>
  <si>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</si>
  <si>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14,68</t>
  </si>
  <si>
    <t xml:space="preserve">CAP OU TAMPAO DE FERRO GALVANIZADO, COM ROSCA BSP, DE 3/4"                                                                                                                                                                                                                                                                                                                                                                                                                                                </t>
  </si>
  <si>
    <t xml:space="preserve">CAP OU TAMPAO DE FERRO GALVANIZADO, COM ROSCA BSP, DE 3/8"                                                                                                                                                                                                                                                                                                                                                                                                                                                </t>
  </si>
  <si>
    <t xml:space="preserve">CAP OU TAMPAO DE FERRO GALVANIZADO, COM ROSCA BSP, DE 3"                                                                                                                                                                                                                                                                                                                                                                                                                                                  </t>
  </si>
  <si>
    <t>37,74</t>
  </si>
  <si>
    <t xml:space="preserve">CAP OU TAMPAO DE FERRO GALVANIZADO, COM ROSCA BSP, DE 4"                                                                                                                                                                                                                                                                                                                                                                                                                                                  </t>
  </si>
  <si>
    <t>63,13</t>
  </si>
  <si>
    <t xml:space="preserve">CAP PPR DN 20 MM, PARA AGUA QUENTE PREDIAL                                                                                                                                                                                                                                                                                                                                                                                                                                                                </t>
  </si>
  <si>
    <t xml:space="preserve">CAP PPR DN 25 MM, PARA AGUA QUENTE PREDIAL                                                                                                                                                                                                                                                                                                                                                                                                                                                                </t>
  </si>
  <si>
    <t>1,93</t>
  </si>
  <si>
    <t xml:space="preserve">CAP PVC, ROSCAVEL, 1 1/2",  AGUA FRIA PREDIAL                                                                                                                                                                                                                                                                                                                                                                                                                                                             </t>
  </si>
  <si>
    <t xml:space="preserve">CAP PVC, ROSCAVEL, 1 1/4",  AGUA FRIA PREDIAL                                                                                                                                                                                                                                                                                                                                                                                                                                                             </t>
  </si>
  <si>
    <t>8,65</t>
  </si>
  <si>
    <t xml:space="preserve">CAP PVC, ROSCAVEL, 1/2", PARA AGUA FRIA PREDIAL                                                                                                                                                                                                                                                                                                                                                                                                                                                           </t>
  </si>
  <si>
    <t xml:space="preserve">CAP PVC, ROSCAVEL, 1",  PARA AGUA FRIA PREDIAL                                                                                                                                                                                                                                                                                                                                                                                                                                                            </t>
  </si>
  <si>
    <t>2,97</t>
  </si>
  <si>
    <t xml:space="preserve">CAP PVC, ROSCAVEL, 2 1/2",  AGUA FRIA PREDIAL                                                                                                                                                                                                                                                                                                                                                                                                                                                             </t>
  </si>
  <si>
    <t xml:space="preserve">CAP PVC, ROSCAVEL, 2",  AGUA FRIA PREDIAL                                                                                                                                                                                                                                                                                                                                                                                                                                                                 </t>
  </si>
  <si>
    <t xml:space="preserve">CAP PVC, ROSCAVEL, 3/4",  PARA AGUA FRIA PREDIAL                                                                                                                                                                                                                                                                                                                                                                                                                                                          </t>
  </si>
  <si>
    <t xml:space="preserve">CAP PVC, ROSCAVEL, 3",  AGUA FRIA PREDIAL                                                                                                                                                                                                                                                                                                                                                                                                                                                                 </t>
  </si>
  <si>
    <t xml:space="preserve">CAP PVC, SERIE R, DN 100 MM, PARA ESGOTO PREDIAL                                                                                                                                                                                                                                                                                                                                                                                                                                                          </t>
  </si>
  <si>
    <t xml:space="preserve">CAP PVC, SERIE R, DN 150 MM, PARA ESGOTO PREDIAL                                                                                                                                                                                                                                                                                                                                                                                                                                                          </t>
  </si>
  <si>
    <t>48,66</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</si>
  <si>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</si>
  <si>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</si>
  <si>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</si>
  <si>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</si>
  <si>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110 MM, PARA AGUA FRIA PREDIAL                                                                                                                                                                                                                                                                                                                                                                                                                                                         </t>
  </si>
  <si>
    <t>56,48</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</si>
  <si>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</si>
  <si>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</si>
  <si>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</si>
  <si>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</si>
  <si>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</si>
  <si>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</si>
  <si>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</si>
  <si>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SOLDAVEL, 85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</si>
  <si>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</si>
  <si>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</si>
  <si>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</si>
  <si>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</si>
  <si>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42,77</t>
  </si>
  <si>
    <t xml:space="preserve">CAP, PVC, JE, OCRE, DN 200 MM (CONEXAO PARA TUBO COLETOR DE ESGOTO)                                                                                                                                                                                                                                                                                                                                                                                                                                       </t>
  </si>
  <si>
    <t xml:space="preserve">CAPA PARA CHUVA EM PVC COM FORRO DE POLIESTER, COM CAPUZ (AMARELA OU AZUL)                                                                                                                                                                                                                                                                                                                                                                                                                                </t>
  </si>
  <si>
    <t>14,58</t>
  </si>
  <si>
    <t xml:space="preserve">CAPACETE DE SEGURANCA ABA FRONTAL COM SUSPENSAO DE POLIETILENO, SEM JUGULAR (CLASSE B)                                                                                                                                                                                                                                                                                                                                                                                                                    </t>
  </si>
  <si>
    <t xml:space="preserve">CAPACITOR TRIFASICO, POTENCIA 2,5 KVAR, TENSAO 220 V, FORNECIDO COM CAPA PROTETORA, RESISTOR INTERNO A UNIDADE CAPACITIVA                                                                                                                                                                                                                                                                                                                                                                                 </t>
  </si>
  <si>
    <t>125,56</t>
  </si>
  <si>
    <t xml:space="preserve">CAPACITOR TRIFASICO, POTENCIA 5 KVAR, TENSAO 220 V, FORNECIDO COM CAPA PROTETORA, RESISTOR INTERNO A UNIDADE CAPACITIVA                                                                                                                                                                                                                                                                                                                                                                                   </t>
  </si>
  <si>
    <t>213,34</t>
  </si>
  <si>
    <t xml:space="preserve">CAPIM BRAQUIARIA DECUMBENS/ BRAQUIARINHA, VC *70*% MINIMO                                                                                                                                                                                                                                                                                                                                                                                                                                                 </t>
  </si>
  <si>
    <t xml:space="preserve">CARENAGEM /TAMPA, EM PLASTICO, COR BRANCA, UTILIZADO EM KIT CHASSI METALICO PARA INSTALACAO HIDRAULICA DE CUBA SIMPLES SEM MAQUINA DE LAVAR ROUPA, LARGURA *355* MM X ALTURA *670* MM (COM FUROS E DEMAIS ENCAIXES)                                                                                                                                                                                                                                                                                       </t>
  </si>
  <si>
    <t>21,49</t>
  </si>
  <si>
    <t xml:space="preserve">CARENAGEM /TAMPA, EM PLASTICO, COR BRANCA, UTILIZADO EM KIT CHASSI METALICO PARA INSTALACAO HIDRAULICA DE TANQUE COM MAQUINA DE LAVAR ROUPA, LARGURA *360* MM X ALTURA *470* MM (COM FUROS E DEMAIS ENCAIXES)                                                                                                                                                                                                                                                                                             </t>
  </si>
  <si>
    <t>19,53</t>
  </si>
  <si>
    <t xml:space="preserve">CARPETE DE NYLON EM MANTA PARA TRAFEGO COMERCIAL PESADO, E = 6 A 7 MM (INSTALADO)                                                                                                                                                                                                                                                                                                                                                                                                                         </t>
  </si>
  <si>
    <t>82,00</t>
  </si>
  <si>
    <t xml:space="preserve">CARPETE DE NYLON EM MANTA PARA TRAFEGO COMERCIAL PESADO, E = 9 A 10 MM (INSTALADO)                                                                                                                                                                                                                                                                                                                                                                                                                        </t>
  </si>
  <si>
    <t>100,74</t>
  </si>
  <si>
    <t xml:space="preserve">CARPETE DE NYLON EM PLACAS 50 X 50 CM PARA TRAFEGO COMERCIAL PESADO, E = 6,5 MM (INSTALADO)                                                                                                                                                                                                                                                                                                                                                                                                               </t>
  </si>
  <si>
    <t>102,87</t>
  </si>
  <si>
    <t xml:space="preserve">CARPETE DE POLIESTER EM MANTA PARA TRAFEGO COMERCIAL PESADO, E = 4 A 5 MM (INSTALADO)                                                                                                                                                                                                                                                                                                                                                                                                                     </t>
  </si>
  <si>
    <t>31,74</t>
  </si>
  <si>
    <t xml:space="preserve">CARPETE DE POLIPROPILENO EM MANTA PARA TRAFEGO COMERCIAL MEDIO, E = 5 A 6 MM (INSTALADO)                                                                                                                                                                                                                                                                                                                                                                                                                  </t>
  </si>
  <si>
    <t>54,04</t>
  </si>
  <si>
    <t xml:space="preserve">CARPINTEIRO AUXILIAR                                                                                                                                                                                                                                                                                                                                                                                                                                                                                      </t>
  </si>
  <si>
    <t xml:space="preserve">CARPINTEIRO AUXILIAR (MENSALISTA)                                                                                                                                                                                                                                                                                                                                                                                                                                                                         </t>
  </si>
  <si>
    <t>2.305,75</t>
  </si>
  <si>
    <t xml:space="preserve">CARPINTEIRO DE ESQUADRIAS                                                                                                                                                                                                                                                                                                                                                                                                                                                                                 </t>
  </si>
  <si>
    <t xml:space="preserve">CARPINTEIRO DE ESQUADRIAS (MENSALISTA)                                                                                                                                                                                                                                                                                                                                                                                                                                                                    </t>
  </si>
  <si>
    <t xml:space="preserve">CARPINTEIRO DE FORMAS                                                                                                                                                                                                                                                                                                                                                                                                                                                                                     </t>
  </si>
  <si>
    <t xml:space="preserve">CARPINTEIRO DE FORMAS (MENSALISTA)                                                                                                                                                                                                                                                                                                                                                                                                                                                                        </t>
  </si>
  <si>
    <t xml:space="preserve">CARRANCA PARA JANELA VENEZIANA DE ABRIR, EM LATAO CROMADO, SIMPLES, PARA APARAFUSAR NA PAREDE                                                                                                                                                                                                                                                                                                                                                                                                             </t>
  </si>
  <si>
    <t>13,39</t>
  </si>
  <si>
    <t xml:space="preserve">CARRINHO COM 2 PNEUS PARA TRANSPORTAR TUBO CONCRETO, ALTURA ATE 1,0 M E DIAMETRO ATE 1000MM, COM ESTRUTURA EM PERFIL OU TUBO METALICO                                                                                                                                                                                                                                                                                                                                                                     </t>
  </si>
  <si>
    <t>3.371,77</t>
  </si>
  <si>
    <t xml:space="preserve">CARRINHO DE MAO DE ACO CAPACIDADE 50 A 60 L, PNEU COM CAMARA                                                                                                                                                                                                                                                                                                                                                                                                                                              </t>
  </si>
  <si>
    <t>126,14</t>
  </si>
  <si>
    <t xml:space="preserve">CARROCERIA FIXA ABERTA DE MADEIRA PARA TRANSPORTE GERAL DE CARGA SECA DIMENSOES APROXIMADAS 2,25 X 4,10 X 0,50 M (INCLUI MONTAGEM, NAO INCLUI CAMINHAO)                                                                                                                                                                                                                                                                                                                                                   </t>
  </si>
  <si>
    <t>9.500,00</t>
  </si>
  <si>
    <t xml:space="preserve">CARROCERIA FIXA ABERTA DE MADEIRA PARA TRANSPORTE GERAL DE CARGA SECA DIMENSOES APROXIMADAS 2,5 X 5,5 X 0,50 M (INCLUI MONTAGEM, NAO INCLUI CAMINHAO)                                                                                                                                                                                                                                                                                                                                                     </t>
  </si>
  <si>
    <t>12.888,11</t>
  </si>
  <si>
    <t xml:space="preserve">CARROCERIA FIXA ABERTA DE MADEIRA PARA TRANSPORTE GERAL DE CARGA SECA DIMENSOES APROXIMADAS 2,5 X 6,00 X 0,50 M (INCLUI MONTAGEM, NAO INCLUI CAMINHAO)                                                                                                                                                                                                                                                                                                                                                    </t>
  </si>
  <si>
    <t>13.951,04</t>
  </si>
  <si>
    <t xml:space="preserve">CARROCERIA FIXA ABERTA DE MADEIRA PARA TRANSPORTE GERAL DE CARGA SECA DIMENSOES APROXIMADAS 2,5 X 6,5 X 0,50 M (INCLUI MONTAGEM, NAO INCLUI CAMINHAO)                                                                                                                                                                                                                                                                                                                                                     </t>
  </si>
  <si>
    <t>15.013,98</t>
  </si>
  <si>
    <t xml:space="preserve">CARROCERIA FIXA ABERTA DE MADEIRA PARA TRANSPORTE GERAL DE CARGA SECA DIMENSOES APROXIMADAS 2,5 X 7,00 X 0,50 M (INCLUI MONTAGEM, NAO INCLUI CAMINHAO)                                                                                                                                                                                                                                                                                                                                                    </t>
  </si>
  <si>
    <t>16.076,92</t>
  </si>
  <si>
    <t xml:space="preserve">CARROCERIA FIXA ABERTA DE MADEIRA PARA TRANSPORTE GERAL DE CARGA SECA DIMENSOES APROXIMADAS 2,5 X 7,5 X 0,50 M (INCLUI MONTAGEM, NAO INCLUI CAMINHAO)                                                                                                                                                                                                                                                                                                                                                     </t>
  </si>
  <si>
    <t>18.335,66</t>
  </si>
  <si>
    <t xml:space="preserve">CARVAO ANTRACITO PARA FILTRO, GRAO VARIANDO DE 0,8 ATE 1,1 MM, COEFICIENTE DE UNIFORMIDADE MENOR QUE 1,7 MM                                                                                                                                                                                                                                                                                                                                                                                               </t>
  </si>
  <si>
    <t>2.267,10</t>
  </si>
  <si>
    <t xml:space="preserve">CARVAO ANTRACITO PARA FILTRO, GRAO VARIANDO DE 0,8 ATE 1,1 MM, COEFICIENTE DE UNIFORMIDADE MENOR QUE 1,7 MM (DISTRIBUIDOR)                                                                                                                                                                                                                                                                                                                                                                                </t>
  </si>
  <si>
    <t xml:space="preserve">CASCALHO DE CAVA                                                                                                                                                                                                                                                                                                                                                                                                                                                                                          </t>
  </si>
  <si>
    <t>39,32</t>
  </si>
  <si>
    <t xml:space="preserve">CASCALHO DE RIO                                                                                                                                                                                                                                                                                                                                                                                                                                                                                           </t>
  </si>
  <si>
    <t xml:space="preserve">CASCALHO LAVADO                                                                                                                                                                                                                                                                                                                                                                                                                                                                                           </t>
  </si>
  <si>
    <t>68,85</t>
  </si>
  <si>
    <t xml:space="preserve">CAVALETE PARA TALHA COM ESTRUTURA EM TUBO METALICO ALTURA MINIMA 3,2 M EQUIPADO COM RODAS DE BORRACHA PARA MOVIMENTACAO DE TUBOS DE CONCRETO NA CENTRAL DE PREMOLDADOS COM CAPACIDADE DE CARGA DE 3 TONELADAS                                                                                                                                                                                                                                                                                             </t>
  </si>
  <si>
    <t>8.560,87</t>
  </si>
  <si>
    <t xml:space="preserve">CAVALO MECANICO TRACAO 4X2, PESO BRUTO TOTAL COMBINADO 49000 KG, CAPACIDADE MAXIMA DE TRACAO *66000* KG, POTENCIA *360* CV (INCLUI CABINE E CHASSI, NAO INCLUI SEMIRREBOQUE)                                                                                                                                                                                                                                                                                                                              </t>
  </si>
  <si>
    <t>428.426,03</t>
  </si>
  <si>
    <t xml:space="preserve">CAVALO MECANICO TRACAO 4X2, PESO BRUTO TOTAL 16000 KG, CAPACIDADE MAXIMA DE TRACAO *36000* KG, DISTANCIA ENTRE EIXOS *3,56* M, POTENCIA *286* CV (INCLUI CABINE E CHASSI, NAO INCLUI SEMIRREBOQUE)                                                                                                                                                                                                                                                                                                        </t>
  </si>
  <si>
    <t>367.434,90</t>
  </si>
  <si>
    <t xml:space="preserve">CAVALO MECANICO TRACAO 4X2, PESO BRUTO TOTAL 16000 KG, CAPACIDADE MAXIMA DE TRACAO *45000* KG, DISTANCIA ENTRE EIXOS *3,56* M, POTENCIA *330* CV (INCLUI CABINE E CHASSI, NAO INCLUI SEMIRREBOQUE)                                                                                                                                                                                                                                                                                                        </t>
  </si>
  <si>
    <t>371.897,61</t>
  </si>
  <si>
    <t xml:space="preserve">CAVALO MECANICO TRACAO 4X2, PESO BRUTO TOTAL 16000 KG, CAPACIDADE MAXIMA DE TRACAO *80000* KG, POTENCIA *380* CV (INCLUI CABINE E CHASSI, NAO INCLUI SEMIRREBOQUE)                                                                                                                                                                                                                                                                                                                                        </t>
  </si>
  <si>
    <t>422.773,26</t>
  </si>
  <si>
    <t xml:space="preserve">CAVALO MECANICO TRACAO 6X2, PESO BRUTO TOTAL COMBINADO 56000 KG, CAPACIDADE MAXIMA DE TRACAO *66000* KG, POTENCIA *360* CV (INCLUI CABINE E CHASSI, NAO INCLUI SEMIRREBOQUE)                                                                                                                                                                                                                                                                                                                              </t>
  </si>
  <si>
    <t>518.425,28</t>
  </si>
  <si>
    <t xml:space="preserve">CAVOUQUEIRO OU OPERADOR DE PERFURATRIZ / ROMPEDOR                                                                                                                                                                                                                                                                                                                                                                                                                                                         </t>
  </si>
  <si>
    <t xml:space="preserve">CAVOUQUEIRO OU OPERADOR DE PERFURATRIZ / ROMPEDOR (MENSALISTA)                                                                                                                                                                                                                                                                                                                                                                                                                                            </t>
  </si>
  <si>
    <t>1.779,35</t>
  </si>
  <si>
    <t xml:space="preserve">CENTRALIZADOR DE BARRA DE ACO (CHUMBADOR TIPO CARAMBOLA), PARA ACO ATE 20 MM                                                                                                                                                                                                                                                                                                                                                                                                                              </t>
  </si>
  <si>
    <t xml:space="preserve">CENTRO DE MEDICAO AGRUPADA, EM POLICARBONATO / PVC, COM 12 MEDIDORES E PROTECAO GERAL (INCLUI BARRAMENTO, DISJUNTORES E ACESSORIOS DE FIXACAO) (PADRAO CONCESSIONARIA LOCAL)                                                                                                                                                                                                                                                                                                                              </t>
  </si>
  <si>
    <t>4.756,08</t>
  </si>
  <si>
    <t xml:space="preserve">CENTRO DE MEDICAO AGRUPADA, EM POLICARBONATO / PVC, COM 16 MEDIDORES E PROTECAO GERAL (INCLUI BARRAMENTO, DISJUNTORES E ACESSORIOS DE FIXACAO) (PADRAO CONCESSIONARIA LOCAL)                                                                                                                                                                                                                                                                                                                              </t>
  </si>
  <si>
    <t>6.341,44</t>
  </si>
  <si>
    <t xml:space="preserve">CENTRO DE MEDICAO AGRUPADA, EM POLICARBONATO / PVC, COM 4 MEDIDORES E PROTECAO GERAL (INCLUI BARRAMENTO, DISJUNTORES E ACESSORIOS DE FIXACAO) (PADRAO CONCESSIONARIA LOCAL)                                                                                                                                                                                                                                                                                                                               </t>
  </si>
  <si>
    <t>1.105,17</t>
  </si>
  <si>
    <t xml:space="preserve">CENTRO DE MEDICAO AGRUPADA, EM POLICARBONATO / PVC, COM 8 MEDIDORES E PROTECAO GERAL (INCLUI BARRAMENTO, DISJUNTORES E ACESSORIOS DE FIXACAO) (PADRAO CONCESSIONARIA LOCAL)                                                                                                                                                                                                                                                                                                                               </t>
  </si>
  <si>
    <t>2.439,01</t>
  </si>
  <si>
    <t xml:space="preserve">CERA  LIQUIDA                                                                                                                                                                                                                                                                                                                                                                                                                                                                                             </t>
  </si>
  <si>
    <t xml:space="preserve">CHAPA ACO INOX AISI 304 NUMERO 4 (E = 6 MM), ACABAMENTO NUMERO 1 (LAMINADO A QUENTE, FOSCO)                                                                                                                                                                                                                                                                                                                                                                                                               </t>
  </si>
  <si>
    <t>1.069,66</t>
  </si>
  <si>
    <t xml:space="preserve">CHAPA ACO INOX AISI 304 NUMERO 9 (E = 4 MM), ACABAMENTO NUMERO 1 (LAMINADO A QUENTE, FOSCO)                                                                                                                                                                                                                                                                                                                                                                                                               </t>
  </si>
  <si>
    <t>713,10</t>
  </si>
  <si>
    <t xml:space="preserve">CHAPA DE ACO CARBONO GALVANIZADA, PERFURADA (GRADE FUROS) E = 1,5 MM, DIAMETRO DO FURO = 9,52 MM (FUROS ALTERNADOS HORIZ.)                                                                                                                                                                                                                                                                                                                                                                                </t>
  </si>
  <si>
    <t>20,22</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</si>
  <si>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</si>
  <si>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</si>
  <si>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</si>
  <si>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</si>
  <si>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5,64</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</si>
  <si>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</si>
  <si>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</si>
  <si>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</si>
  <si>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</si>
  <si>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</si>
  <si>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4,65</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</si>
  <si>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</si>
  <si>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</si>
  <si>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</si>
  <si>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</si>
  <si>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</si>
  <si>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</si>
  <si>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</si>
  <si>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</si>
  <si>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</si>
  <si>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8,37</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</si>
  <si>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</si>
  <si>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</si>
  <si>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</si>
  <si>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</si>
  <si>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</si>
  <si>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5,15</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</si>
  <si>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</si>
  <si>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</si>
  <si>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</si>
  <si>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</si>
  <si>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GESSO ACARTONADO, RESISTENTE A UMIDADE (RU), COR VERDE, E = 12,5 MM, 1200 X 1800 MM (L X C)                                                                                                                                                                                                                                                                                                                                                                                                      </t>
  </si>
  <si>
    <t>30,33</t>
  </si>
  <si>
    <t xml:space="preserve">CHAPA DE GESSO ACARTONADO, RESISTENTE A UMIDADE (RU), COR VERDE, E = 12,5 MM, 1200 X 2400 MM (L X C)                                                                                                                                                                                                                                                                                                                                                                                                      </t>
  </si>
  <si>
    <t xml:space="preserve">CHAPA DE GESSO ACARTONADO, RESISTENTE AO FOGO (RF), COR ROSA, E = 12,5 MM, 1200 X 1800 MM (L X C)                                                                                                                                                                                                                                                                                                                                                                                                         </t>
  </si>
  <si>
    <t>28,48</t>
  </si>
  <si>
    <t xml:space="preserve">CHAPA DE GESSO ACARTONADO, RESISTENTE AO FOGO (RF), COR ROSA, E = 12,5 MM, 1200 X 2400 MM (L X C)                                                                                                                                                                                                                                                                                                                                                                                                         </t>
  </si>
  <si>
    <t>30,18</t>
  </si>
  <si>
    <t xml:space="preserve">CHAPA DE GESSO ACARTONADO, STANDARD (ST), COR BRANCA, E = 12,5 MM, 1200 X 1800 MM (L X C)                                                                                                                                                                                                                                                                                                                                                                                                                 </t>
  </si>
  <si>
    <t xml:space="preserve">CHAPA DE GESSO ACARTONADO, STANDARD (ST), COR BRANCA, E = 12,5 MM, 1200 X 2400 MM (L X C)                                                                                                                                                                                                                                                                                                                                                                                                                 </t>
  </si>
  <si>
    <t>21,24</t>
  </si>
  <si>
    <t xml:space="preserve">CHAPA DE LAMINADO MELAMINICO, LISO BRILHANTE, DE *1,25 X 3,08* M, E = 0,8 MM                                                                                                                                                                                                                                                                                                                                                                                                                              </t>
  </si>
  <si>
    <t>29,33</t>
  </si>
  <si>
    <t xml:space="preserve">CHAPA DE LAMINADO MELAMINICO, LISO FOSCO, DE *1,25 X 3,08* M, E = 0,8 MM                                                                                                                                                                                                                                                                                                                                                                                                                                  </t>
  </si>
  <si>
    <t>33,91</t>
  </si>
  <si>
    <t xml:space="preserve">CHAPA DE LAMINADO MELAMINICO, TEXTURIZADO, DE *1,25 X 3,08* M, E = 0,8 MM                                                                                                                                                                                                                                                                                                                                                                                                                                 </t>
  </si>
  <si>
    <t>32,66</t>
  </si>
  <si>
    <t xml:space="preserve">CHAPA DE MADEIRA COMPENSADA DE PINUS, VIROLA OU EQUIVALENTE, DE *2,2 X 1,6* M, E = 10 MM                                                                                                                                                                                                                                                                                                                                                                                                                  </t>
  </si>
  <si>
    <t xml:space="preserve">CHAPA DE MADEIRA COMPENSADA DE PINUS, VIROLA OU EQUIVALENTE, DE *2,2 X 1,6* M, E = 12 MM                                                                                                                                                                                                                                                                                                                                                                                                                  </t>
  </si>
  <si>
    <t>125,71</t>
  </si>
  <si>
    <t xml:space="preserve">CHAPA DE MADEIRA COMPENSADA DE PINUS, VIROLA OU EQUIVALENTE, DE *2,2 X 1,6* M, E = 15 MM                                                                                                                                                                                                                                                                                                                                                                                                                  </t>
  </si>
  <si>
    <t>41,96</t>
  </si>
  <si>
    <t xml:space="preserve">CHAPA DE MADEIRA COMPENSADA DE PINUS, VIROLA OU EQUIVALENTE, DE *2,2 X 1,6* M, E = 20 MM                                                                                                                                                                                                                                                                                                                                                                                                                  </t>
  </si>
  <si>
    <t>53,70</t>
  </si>
  <si>
    <t xml:space="preserve">CHAPA DE MADEIRA COMPENSADA DE PINUS, VIROLA OU EQUIVALENTE, DE *2,2 X 1,6* M, E = 25 MM                                                                                                                                                                                                                                                                                                                                                                                                                  </t>
  </si>
  <si>
    <t xml:space="preserve">CHAPA DE MADEIRA COMPENSADA DE PINUS, VIROLA OU EQUIVALENTE, DE *2,2 X 1,6* M, E = 6 MM                                                                                                                                                                                                                                                                                                                                                                                                                   </t>
  </si>
  <si>
    <t>21,35</t>
  </si>
  <si>
    <t xml:space="preserve">CHAPA DE MADEIRA COMPENSADA DE PINUS, VIROLA OU EQUIVALENTE, DE *2,2 X 1,6* M, E = 8 MM                                                                                                                                                                                                                                                                                                                                                                                                                   </t>
  </si>
  <si>
    <t>27,04</t>
  </si>
  <si>
    <t xml:space="preserve">CHAPA DE MADEIRA COMPENSADA NAVAL (COM COLA FENOLICA), E = 10 MM, DE *1,60 X 2,20* M                                                                                                                                                                                                                                                                                                                                                                                                                      </t>
  </si>
  <si>
    <t>43,44</t>
  </si>
  <si>
    <t xml:space="preserve">CHAPA DE MADEIRA COMPENSADA NAVAL (COM COLA FENOLICA), E = 12 MM, DE *1,60 X 2,20* M                                                                                                                                                                                                                                                                                                                                                                                                                      </t>
  </si>
  <si>
    <t>52,95</t>
  </si>
  <si>
    <t xml:space="preserve">CHAPA DE MADEIRA COMPENSADA NAVAL (COM COLA FENOLICA), E = 15 MM, DE *1,60 X 2,20* M                                                                                                                                                                                                                                                                                                                                                                                                                      </t>
  </si>
  <si>
    <t xml:space="preserve">CHAPA DE MADEIRA COMPENSADA NAVAL (COM COLA FENOLICA), E = 18 MM, DE *1,60 X 2,20* M                                                                                                                                                                                                                                                                                                                                                                                                                      </t>
  </si>
  <si>
    <t xml:space="preserve">CHAPA DE MADEIRA COMPENSADA NAVAL (COM COLA FENOLICA), E = 20 MM, DE *1,60 X 2,20* M                                                                                                                                                                                                                                                                                                                                                                                                                      </t>
  </si>
  <si>
    <t xml:space="preserve">CHAPA DE MADEIRA COMPENSADA NAVAL (COM COLA FENOLICA), E = 25 MM, DE *1,60 X 2,20* M                                                                                                                                                                                                                                                                                                                                                                                                                      </t>
  </si>
  <si>
    <t>92,67</t>
  </si>
  <si>
    <t xml:space="preserve">CHAPA DE MADEIRA COMPENSADA NAVAL (COM COLA FENOLICA), E = 4 MM, DE *1,60 X 2,20* M                                                                                                                                                                                                                                                                                                                                                                                                                       </t>
  </si>
  <si>
    <t>23,86</t>
  </si>
  <si>
    <t xml:space="preserve">CHAPA DE MADEIRA COMPENSADA NAVAL (COM COLA FENOLICA), E = 6 MM, DE *1,60 X 2,20* M                                                                                                                                                                                                                                                                                                                                                                                                                       </t>
  </si>
  <si>
    <t>29,48</t>
  </si>
  <si>
    <t xml:space="preserve">CHAPA DE MADEIRA COMPENSADA PLASTIFICADA PARA FORMA DE CONCRETO, DE 2,20 x 1,10 M, E = 10 MM                                                                                                                                                                                                                                                                                                                                                                                                              </t>
  </si>
  <si>
    <t xml:space="preserve">CHAPA DE MADEIRA COMPENSADA PLASTIFICADA PARA FORMA DE CONCRETO, DE 2,20 x 1,10 M, E = 18 MM                                                                                                                                                                                                                                                                                                                                                                                                              </t>
  </si>
  <si>
    <t>38,21</t>
  </si>
  <si>
    <t xml:space="preserve">CHAPA DE MADEIRA COMPENSADA PLASTIFICADA PARA FORMA DE CONCRETO, DE 2,20 x 1,10 M, E = 6 MM                                                                                                                                                                                                                                                                                                                                                                                                               </t>
  </si>
  <si>
    <t>41,09</t>
  </si>
  <si>
    <t xml:space="preserve">CHAPA DE MADEIRA COMPENSADA PLASTIFICADA PARA FORMA DE CONCRETO, DE 2,20 X 1,10 m, E = 14 MM                                                                                                                                                                                                                                                                                                                                                                                                              </t>
  </si>
  <si>
    <t>72,64</t>
  </si>
  <si>
    <t xml:space="preserve">CHAPA DE MADEIRA COMPENSADA PLASTIFICADA PARA FORMA DE CONCRETO, DE 2,20 X 1,10 M, E = 12 MM                                                                                                                                                                                                                                                                                                                                                                                                              </t>
  </si>
  <si>
    <t>28,18</t>
  </si>
  <si>
    <t xml:space="preserve">CHAPA DE MADEIRA COMPENSADA PLASTIFICADA PARA FORMA DE CONCRETO, DE 2,20 X 1,10 M, E = 20 MM                                                                                                                                                                                                                                                                                                                                                                                                              </t>
  </si>
  <si>
    <t>103,59</t>
  </si>
  <si>
    <t xml:space="preserve">CHAPA DE MADEIRA COMPENSADA RESINADA PARA FORMA DE CONCRETO, DE *2,2 X 1,1* M, E = 10 MM                                                                                                                                                                                                                                                                                                                                                                                                                  </t>
  </si>
  <si>
    <t>38,14</t>
  </si>
  <si>
    <t xml:space="preserve">CHAPA DE MADEIRA COMPENSADA RESINADA PARA FORMA DE CONCRETO, DE *2,2 X 1,1* M, E = 12 MM                                                                                                                                                                                                                                                                                                                                                                                                                  </t>
  </si>
  <si>
    <t>48,58</t>
  </si>
  <si>
    <t xml:space="preserve">CHAPA DE MADEIRA COMPENSADA RESINADA PARA FORMA DE CONCRETO, DE *2,2 X 1,1* M, E = 14 MM                                                                                                                                                                                                                                                                                                                                                                                                                  </t>
  </si>
  <si>
    <t>22,36</t>
  </si>
  <si>
    <t xml:space="preserve">CHAPA DE MADEIRA COMPENSADA RESINADA PARA FORMA DE CONCRETO, DE *2,2 X 1,1* M, E = 17 MM                                                                                                                                                                                                                                                                                                                                                                                                                  </t>
  </si>
  <si>
    <t xml:space="preserve">CHAPA DE MADEIRA COMPENSADA RESINADA PARA FORMA DE CONCRETO, DE *2,2 X 1,1* M, E = 20 MM                                                                                                                                                                                                                                                                                                                                                                                                                  </t>
  </si>
  <si>
    <t>75,06</t>
  </si>
  <si>
    <t xml:space="preserve">CHAPA DE MADEIRA COMPENSADA RESINADA PARA FORMA DE CONCRETO, DE *2,2 X 1,1* M, E = 6 MM                                                                                                                                                                                                                                                                                                                                                                                                                   </t>
  </si>
  <si>
    <t>24,19</t>
  </si>
  <si>
    <t xml:space="preserve">CHAPA DE MDF BRANCO LISO 1 FACE, E = 12 MM, DE *2,75 X 1,85* M                                                                                                                                                                                                                                                                                                                                                                                                                                            </t>
  </si>
  <si>
    <t xml:space="preserve">CHAPA DE MDF BRANCO LISO 1 FACE, E = 15 MM, DE *2,75 X 1,85* M                                                                                                                                                                                                                                                                                                                                                                                                                                            </t>
  </si>
  <si>
    <t>28,49</t>
  </si>
  <si>
    <t xml:space="preserve">CHAPA DE MDF BRANCO LISO 1 FACE, E = 18 MM, DE *2,75 X 1,85* M                                                                                                                                                                                                                                                                                                                                                                                                                                            </t>
  </si>
  <si>
    <t>36,15</t>
  </si>
  <si>
    <t xml:space="preserve">CHAPA DE MDF BRANCO LISO 1 FACE, E = 25 MM, DE *2,75 X 1,85* M                                                                                                                                                                                                                                                                                                                                                                                                                                            </t>
  </si>
  <si>
    <t>51,93</t>
  </si>
  <si>
    <t xml:space="preserve">CHAPA DE MDF BRANCO LISO 1 FACE, E = 6 MM, DE *2,75 X 1,85* M                                                                                                                                                                                                                                                                                                                                                                                                                                             </t>
  </si>
  <si>
    <t xml:space="preserve">CHAPA DE MDF BRANCO LISO 1 FACE, E = 9 MM, DE *2,75 X 1,85* M                                                                                                                                                                                                                                                                                                                                                                                                                                             </t>
  </si>
  <si>
    <t>24,57</t>
  </si>
  <si>
    <t xml:space="preserve">CHAPA DE MDF BRANCO LISO 2 FACES, E = 12 MM, DE *2,75 X 1,85* M                                                                                                                                                                                                                                                                                                                                                                                                                                           </t>
  </si>
  <si>
    <t xml:space="preserve">CHAPA DE MDF BRANCO LISO 2 FACES, E = 15 MM, DE *2,75 X 1,85* M                                                                                                                                                                                                                                                                                                                                                                                                                                           </t>
  </si>
  <si>
    <t>29,50</t>
  </si>
  <si>
    <t xml:space="preserve">CHAPA DE MDF BRANCO LISO 2 FACES, E = 18 MM, DE *2,75 X 1,85* M                                                                                                                                                                                                                                                                                                                                                                                                                                           </t>
  </si>
  <si>
    <t xml:space="preserve">CHAPA DE MDF BRANCO LISO 2 FACES, E = 25 MM, DE *2,75 X 1,85* M                                                                                                                                                                                                                                                                                                                                                                                                                                           </t>
  </si>
  <si>
    <t>55,32</t>
  </si>
  <si>
    <t xml:space="preserve">CHAPA DE MDF BRANCO LISO 2 FACES, E = 6 MM, DE *2,75 X 1,85* M                                                                                                                                                                                                                                                                                                                                                                                                                                            </t>
  </si>
  <si>
    <t xml:space="preserve">CHAPA DE MDF BRANCO LISO 2 FACES, E = 9 MM, DE *2,75 X 1,85* M                                                                                                                                                                                                                                                                                                                                                                                                                                            </t>
  </si>
  <si>
    <t xml:space="preserve">CHAPA DE MDF CRU, E = 12 MM, DE *2,75 X 1,85* M                                                                                                                                                                                                                                                                                                                                                                                                                                                           </t>
  </si>
  <si>
    <t>20,71</t>
  </si>
  <si>
    <t xml:space="preserve">CHAPA DE MDF CRU, E = 15 MM, DE *2,75 X 1,85* M                                                                                                                                                                                                                                                                                                                                                                                                                                                           </t>
  </si>
  <si>
    <t xml:space="preserve">CHAPA DE MDF CRU, E = 18 MM, DE *2,75 X 1,85* M                                                                                                                                                                                                                                                                                                                                                                                                                                                           </t>
  </si>
  <si>
    <t>26,65</t>
  </si>
  <si>
    <t xml:space="preserve">CHAPA DE MDF CRU, E = 20 MM, DE *2,75 X 1,85* M                                                                                                                                                                                                                                                                                                                                                                                                                                                           </t>
  </si>
  <si>
    <t xml:space="preserve">CHAPA DE MDF CRU, E = 25 MM, DE *2,75 X 1,85* M                                                                                                                                                                                                                                                                                                                                                                                                                                                           </t>
  </si>
  <si>
    <t xml:space="preserve">CHAPA DE MDF CRU, E = 6 MM, DE *2,75 X 1,85* M                                                                                                                                                                                                                                                                                                                                                                                                                                                            </t>
  </si>
  <si>
    <t>12,43</t>
  </si>
  <si>
    <t xml:space="preserve">CHAPA DE MDF CRU, E = 9 MM, DE *2,75 X 1,85* M                                                                                                                                                                                                                                                                                                                                                                                                                                                            </t>
  </si>
  <si>
    <t xml:space="preserve">CHAPA EM ACO GALVANIZADO PARA STEEL DECK, COM NERVURAS TRAPEZOIDAIS, LARGURA UTIL DE 915 MM E ESPESSURA DE 0,80 MM                                                                                                                                                                                                                                                                                                                                                                                        </t>
  </si>
  <si>
    <t>63,55</t>
  </si>
  <si>
    <t xml:space="preserve">CHAPA EM ACO GALVANIZADO PARA STEEL DECK, COM NERVURAS TRAPEZOIDAIS, LARGURA UTIL DE 915 MM E ESPESSURA DE 0,95 MM                                                                                                                                                                                                                                                                                                                                                                                        </t>
  </si>
  <si>
    <t>74,20</t>
  </si>
  <si>
    <t xml:space="preserve">CHAPA EM ACO GALVANIZADO PARA STEEL DECK, COM NERVURAS TRAPEZOIDAIS, LARGURA UTIL DE 915 MM E ESPESSURA DE 1,25 MM                                                                                                                                                                                                                                                                                                                                                                                        </t>
  </si>
  <si>
    <t>96,23</t>
  </si>
  <si>
    <t xml:space="preserve">CHAPA PARA EMENDA DE VIGA, EM ACO GROSSO, QUALIDADE ESTRUTURAL, BITOLA 3/16 ", E= 4,75 MM, 4 FUROS, LARGURA 45 MM, COMPRIMENTO 500 MM                                                                                                                                                                                                                                                                                                                                                                     </t>
  </si>
  <si>
    <t>56,40</t>
  </si>
  <si>
    <t xml:space="preserve">CHAPA/BOBINA LISA EM ALUMINIO, ESPESSURA DE 0,50 MM, LARGURA DE 300 MM (LIGA 1.200 - H14)                                                                                                                                                                                                                                                                                                                                                                                                                 </t>
  </si>
  <si>
    <t xml:space="preserve">CHAPA/BOBINA LISA EM ALUMINIO, ESPESSURA DE 0,80 MM, LARGURA DE 1.000 MM (LIGA 1.200 - H14)                                                                                                                                                                                                                                                                                                                                                                                                               </t>
  </si>
  <si>
    <t>208,86</t>
  </si>
  <si>
    <t xml:space="preserve">CHAPA/BOBINA LISA EM ALUMINIO, ESPESSURA DE 0,80 MM, LARGURA DE 500 MM (LIGA 1.200 - H14)                                                                                                                                                                                                                                                                                                                                                                                                                 </t>
  </si>
  <si>
    <t>70,86</t>
  </si>
  <si>
    <t xml:space="preserve">CHAPA/BOBINA LISA EM ALUMINIO, ESPESSURA DE 0,80 MM, LARGURA DE 600 MM (LIGA 1.200 - H14)                                                                                                                                                                                                                                                                                                                                                                                                                 </t>
  </si>
  <si>
    <t>91,71</t>
  </si>
  <si>
    <t xml:space="preserve">CHAPA/BOBINA LISA EM ALUMINIO, ESPESSURA DE 3,00 MM, LARGURA DE 1.000 MM (LIGA 1.200 - H14)                                                                                                                                                                                                                                                                                                                                                                                                               </t>
  </si>
  <si>
    <t>519,38</t>
  </si>
  <si>
    <t xml:space="preserve">CHAPA/BOBINA LISA EM ALUMINIO, ESPESSURA DE 4,00 MM, LARGURA DE 1.000 MM (LIGA 1.200 - H14)                                                                                                                                                                                                                                                                                                                                                                                                               </t>
  </si>
  <si>
    <t xml:space="preserve">CHAPA/BOBINA LISA EM ALUMINIO, ESPESSURA DE 5,00 MM, LARGURA DE 1.060 MM (LIGA 1.200 - H14)                                                                                                                                                                                                                                                                                                                                                                                                               </t>
  </si>
  <si>
    <t>961,62</t>
  </si>
  <si>
    <t xml:space="preserve">CHAVE BLINDADA TRIPOLAR PARA MOTORES, DO TIPO FACA, COM PORTA FUSIVEL DO TIPO CARTUCHO, CORRENTE NOMINAL DE 100 A, TENSAO NOMINAL DE 250 V                                                                                                                                                                                                                                                                                                                                                                </t>
  </si>
  <si>
    <t>635,83</t>
  </si>
  <si>
    <t xml:space="preserve">CHAVE BLINDADA TRIPOLAR PARA MOTORES, DO TIPO FACA, COM PORTA FUSIVEL DO TIPO CARTUCHO, CORRENTE NOMINAL DE 30 A, TENSAO NOMINAL DE 250 V                                                                                                                                                                                                                                                                                                                                                                 </t>
  </si>
  <si>
    <t>215,02</t>
  </si>
  <si>
    <t xml:space="preserve">CHAVE BLINDADA TRIPOLAR PARA MOTORES, DO TIPO FACA, COM PORTA FUSIVEL DO TIPO CARTUCHO, CORRENTE NOMINAL DE 60 A, TENSAO NOMINAL DE 250 V                                                                                                                                                                                                                                                                                                                                                                 </t>
  </si>
  <si>
    <t>337,93</t>
  </si>
  <si>
    <t xml:space="preserve">CHAVE DE PARTIDA DIRETA TRIFASICA, COM CAIXA TERMOPLASTICA, COM FUSIVEL DE 25 A, PARA MOTOR COM POTENCIA DE 7,5 CV E TENSAO DE 380 V                                                                                                                                                                                                                                                                                                                                                                      </t>
  </si>
  <si>
    <t>504,70</t>
  </si>
  <si>
    <t xml:space="preserve">CHAVE DE PARTIDA DIRETA TRIFASICA, COM CAIXA TERMOPLASTICA, COM FUSIVEL DE 35 A, PARA MOTOR COM POTENCIA DE 5 CV E TENSAO DE 220 V                                                                                                                                                                                                                                                                                                                                                                        </t>
  </si>
  <si>
    <t>281,78</t>
  </si>
  <si>
    <t xml:space="preserve">CHAVE DE PARTIDA DIRETA TRIFASICA, COM CAIXA TERMOPLASTICA, COM FUSIVEL DE 63 A, PARA MOTOR COM POTENCIA DE 10 CV E TENSAO DE 220 V                                                                                                                                                                                                                                                                                                                                                                       </t>
  </si>
  <si>
    <t>444,51</t>
  </si>
  <si>
    <t xml:space="preserve">CHAVE DUPLA PARA CONEXOES TIPO STORZ, ENGATE RAPIDO 1 1/2" X 2 1/2", EM LATAO, PARA INSTALACAO PREDIAL COMBATE A INCENDIO                                                                                                                                                                                                                                                                                                                                                                                 </t>
  </si>
  <si>
    <t xml:space="preserve">CHAVE FUSIVEL PARA REDES DE DISTRIBUICAO, TENSAO DE 15,0 KV, CORRENTE NOMINAL DO PORTA FUSIVEL DE 100 A, CAPACIDADE DE INTERRUPCAO SIMETRICA DE 7,10 KA, CAPACIDADE DE INTERRUPCAO ASSIMETRICA 10,00 KA                                                                                                                                                                                                                                                                                                   </t>
  </si>
  <si>
    <t>302,85</t>
  </si>
  <si>
    <t xml:space="preserve">CHAVE SECCIONADORA-FUSIVEL BLINDADA TRIPOLAR, ABERTURA COM CARGA, PARA FUSIVEL NH00, CORRENTE NOMINAL DE 160 A, TENSAO DE 500 V                                                                                                                                                                                                                                                                                                                                                                           </t>
  </si>
  <si>
    <t>328,51</t>
  </si>
  <si>
    <t xml:space="preserve">CHAVE SECCIONADORA-FUSIVEL BLINDADA TRIPOLAR, ABERTURA COM CARGA, PARA FUSIVEL NH01, CORRENTE NOMINAL DE 250 A, TENSAO DE 500 V                                                                                                                                                                                                                                                                                                                                                                           </t>
  </si>
  <si>
    <t>455,39</t>
  </si>
  <si>
    <t xml:space="preserve">CHUMBADOR DE ACO TIPO PARABOLT, * 5/8" X 200* MM,  COM PORCA E ARRUELA                                                                                                                                                                                                                                                                                                                                                                                                                                    </t>
  </si>
  <si>
    <t>14,34</t>
  </si>
  <si>
    <t xml:space="preserve">CHUMBADOR DE ACO, DIAMETRO 1/2", COMPRIMENTO 75 MM                                                                                                                                                                                                                                                                                                                                                                                                                                                        </t>
  </si>
  <si>
    <t xml:space="preserve">CHUMBADOR DE ACO, DIAMETRO 5/8", COMPRIMENTO 6", COM PORCA                                                                                                                                                                                                                                                                                                                                                                                                                                                </t>
  </si>
  <si>
    <t xml:space="preserve">CHUMBADOR DE ACO, 1" X 600 MM, PARA POSTES DE ACO COM BASE, INCLUSO PORCA E ARRUELA                                                                                                                                                                                                                                                                                                                                                                                                                       </t>
  </si>
  <si>
    <t>181,27</t>
  </si>
  <si>
    <t xml:space="preserve">CHUMBADOR, DIAMETRO 1/4" COM PARAFUSO 1/4" X 40 MM                                                                                                                                                                                                                                                                                                                                                                                                                                                        </t>
  </si>
  <si>
    <t xml:space="preserve">CHUVEIRO COMUM EM PLASTICO BRANCO, COM CANO, 3 TEMPERATURAS, 5500 W (110/220 V)                                                                                                                                                                                                                                                                                                                                                                                                                           </t>
  </si>
  <si>
    <t xml:space="preserve">CHUVEIRO COMUM EM PLASTICO CROMADO, COM CANO, 4 TEMPERATURAS (110/220 V)                                                                                                                                                                                                                                                                                                                                                                                                                                  </t>
  </si>
  <si>
    <t>169,50</t>
  </si>
  <si>
    <t xml:space="preserve">CHUVEIRO PLASTICO BRANCO SIMPLES 5 '' PARA ACOPLAR EM HASTE 1/2 ", AGUA FRIA                                                                                                                                                                                                                                                                                                                                                                                                                              </t>
  </si>
  <si>
    <t xml:space="preserve">CIMENTO ASFALTICO DE PETROLEO A GRANEL (CAP) 30/45 (COLETADO CAIXA NA ANP ACRESCIDO DE ICMS)                                                                                                                                                                                                                                                                                                                                                                                                              </t>
  </si>
  <si>
    <t>3,13</t>
  </si>
  <si>
    <t xml:space="preserve">CIMENTO ASFALTICO DE PETROLEO A GRANEL (CAP) 50/70 (COLETADO CAIXA NA ANP ACRESCIDO DE ICMS)                                                                                                                                                                                                                                                                                                                                                                                                              </t>
  </si>
  <si>
    <t>3.300,96</t>
  </si>
  <si>
    <t xml:space="preserve">CIMENTO BRANCO                                                                                                                                                                                                                                                                                                                                                                                                                                                                                            </t>
  </si>
  <si>
    <t xml:space="preserve">CIMENTO IMPERMEABILIZANTE DE PEGA ULTRARRAPIDA PARA TAMPONAMENTOS                                                                                                                                                                                                                                                                                                                                                                                                                                         </t>
  </si>
  <si>
    <t>11,89</t>
  </si>
  <si>
    <t xml:space="preserve">CIMENTO PORTLAND COMPOSTO CP II-32                                                                                                                                                                                                                                                                                                                                                                                                                                                                        </t>
  </si>
  <si>
    <t xml:space="preserve">CIMENTO PORTLAND COMPOSTO CP II-32 (SACO DE 50 KG)                                                                                                                                                                                                                                                                                                                                                                                                                                                        </t>
  </si>
  <si>
    <t xml:space="preserve">CIMENTO PORTLAND DE ALTO FORNO (AF) CP III-32                                                                                                                                                                                                                                                                                                                                                                                                                                                             </t>
  </si>
  <si>
    <t xml:space="preserve">CIMENTO PORTLAND ESTRUTURAL BRANCO CPB-32                                                                                                                                                                                                                                                                                                                                                                                                                                                                 </t>
  </si>
  <si>
    <t xml:space="preserve">CIMENTO PORTLAND POZOLANICO CP IV- 32                                                                                                                                                                                                                                                                                                                                                                                                                                                                     </t>
  </si>
  <si>
    <t>21,10</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</si>
  <si>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</si>
  <si>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</si>
  <si>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</si>
  <si>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</si>
  <si>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</si>
  <si>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</si>
  <si>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 xml:space="preserve">COLA BRANCA BASE PVA                                                                                                                                                                                                                                                                                                                                                                                                                                                                                      </t>
  </si>
  <si>
    <t xml:space="preserve">COLAR DE TOMADA EM POLIPROPILENO, PP, COM PARAFUSOS, PARA PEAD, 63 X 1/2" - LIGACAO PREDIAL DE AGUA                                                                                                                                                                                                                                                                                                                                                                                                       </t>
  </si>
  <si>
    <t>12,73</t>
  </si>
  <si>
    <t xml:space="preserve">COLAR DE TOMADA EM POLIPROPILENO, PP, COM PARAFUSOS, PARA PEAD, 63 X 3/4" - LIGACAO PREDIAL DE AGUA                                                                                                                                                                                                                                                                                                                                                                                                       </t>
  </si>
  <si>
    <t>13,08</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</si>
  <si>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</si>
  <si>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</si>
  <si>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</si>
  <si>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5,87</t>
  </si>
  <si>
    <t xml:space="preserve">COLAR TOMADA PVC, COM TRAVAS, SAIDA COM ROSCA, DE 50 MM X 1/2" OU 50 MM X 3/4", PARA LIGACAO PREDIAL DE AGUA                                                                                                                                                                                                                                                                                                                                                                                              </t>
  </si>
  <si>
    <t xml:space="preserve">COLAR TOMADA PVC, COM TRAVAS, SAIDA COM ROSCA, DE 60 MM X 1/2" OU 60 MM X 3/4", PARA LIGACAO PREDIAL DE AGUA                                                                                                                                                                                                                                                                                                                                                                                              </t>
  </si>
  <si>
    <t>6,94</t>
  </si>
  <si>
    <t xml:space="preserve">COLAR TOMADA PVC, COM TRAVAS, SAIDA COM ROSCA, DE 75 MM X 1/2" OU 75 MM X 3/4", PARA LIGACAO PREDIAL DE AGUA                                                                                                                                                                                                                                                                                                                                                                                              </t>
  </si>
  <si>
    <t xml:space="preserve">COLAR TOMADA PVC, COM TRAVAS, SAIDA COM ROSCA, DE 85 MM X 1/2" OU 85 MM X 3/4", PARA LIGACAO PREDIAL DE AGUA                                                                                                                                                                                                                                                                                                                                                                                              </t>
  </si>
  <si>
    <t>8,68</t>
  </si>
  <si>
    <t xml:space="preserve">COLAR TOMADA PVC, COM TRAVAS, SAIDA ROSCAVEL COM BUCHA DE LATAO, DE 110 MM X 1/2" OU 110 MM X 3/4", PARA LIGACAO PREDIAL DE AGUA                                                                                                                                                                                                                                                                                                                                                                          </t>
  </si>
  <si>
    <t xml:space="preserve">COLAR TOMADA PVC, COM TRAVAS, SAIDA ROSCAVEL COM BUCHA DE LATAO, DE 60 MM X 1/2" OU 60 MM X 3/4", PARA LIGACAO PREDIAL DE AGUA                                                                                                                                                                                                                                                                                                                                                                            </t>
  </si>
  <si>
    <t xml:space="preserve">COLAR TOMADA PVC, COM TRAVAS, SAIDA ROSCAVEL COM BUCHA DE LATAO, DE 75 MM X 1/2" OU 75 MM X 3/4", PARA LIGACAO PREDIAL DE AGUA                                                                                                                                                                                                                                                                                                                                                                            </t>
  </si>
  <si>
    <t>13,06</t>
  </si>
  <si>
    <t xml:space="preserve">COLAR TOMADA PVC, COM TRAVAS, SAIDA ROSCAVEL COM BUCHA DE LATAO, DE 85 MM X 1/2" OU 85 MM X 3/4", PARA LIGACAO PREDIAL DE AGUA                                                                                                                                                                                                                                                                                                                                                                            </t>
  </si>
  <si>
    <t xml:space="preserve">COMPACTADOR DE SOLO A PERCUSSAO (SOQUETE), COM MOTOR GASOLINA DE 4 TEMPOS, PESO ENTRE 55 E 65 KG, FORCA DE IMPACTO DE 1.000 A 1.500 KGF, FREQUENCIA DE 600 A 700 GOLPES POR MINUTO, VELOCIDADE DE TRABALHO ENTRE 10 E 15 M/MIN, POTENCIA ENTRE 2,00 E 3,00 HP                                                                                                                                                                                                                                             </t>
  </si>
  <si>
    <t>11.000,00</t>
  </si>
  <si>
    <t xml:space="preserve">COMPACTADOR DE SOLO TIPO PLACA VIBRATORIA REVERSIVEL, A GASOLINA, 4 TEMPOS, PESO DE 125 A 150 KG, FORCA CENTRIFUGA DE 2500 A 2800 KGF, LARG. TRABALHO DE 400 A 450 MM, FREQ VIBRACAO DE 4300 A 4500 RPM, VELOC. TRABALHO DE 15 A 20 M/MIN, POT. DE 5,5 A 6,0 HP                                                                                                                                                                                                                                           </t>
  </si>
  <si>
    <t>9.234,41</t>
  </si>
  <si>
    <t xml:space="preserve">COMPACTADOR DE SOLO TIPO PLACA VIBRATORIA REVERSIVEL, A GASOLINA, 4 TEMPOS, PESO DE 150 A 175 KG, FORCA CENTRIFUGA DE 2800 A 3100 KGF, LARG. TRABALHO DE 450 A 520 MM, FREQ VIBRACAO DE 4000 A 4300 RPM, VELOC. TRABALHO DE 15 A 20 M/MIN, POT. DE 6,0 A 7,0 HP                                                                                                                                                                                                                                           </t>
  </si>
  <si>
    <t>7.971,01</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</si>
  <si>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                                                                                                                                                                                 </t>
  </si>
  <si>
    <t>6.161,89</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</si>
  <si>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                                                                                                                                                                                           </t>
  </si>
  <si>
    <t>108.950,77</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</si>
  <si>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                                                                                                                                                                                    </t>
  </si>
  <si>
    <t>14.344,09</t>
  </si>
  <si>
    <t xml:space="preserve">COMPACTADOR DE SOLOS DE PERCURSAO (SOQUETE) COM MOTOR A GASOLINA 4 TEMPOS DE 4 HP (4 CV)                                                                                                                                                                                                                                                                                                                                                                                                                  </t>
  </si>
  <si>
    <t>13.630,43</t>
  </si>
  <si>
    <t xml:space="preserve">COMPRESSOR DE AR ESTACIONARIO, VAZAO 620 PCM, PRESSAO EFETIVA DE TRABALHO 109 PSI, MOTOR ELETRICO, POTENCIA 127 CV                                                                                                                                                                                                                                                                                                                                                                                        </t>
  </si>
  <si>
    <t>86.280,46</t>
  </si>
  <si>
    <t xml:space="preserve">COMPRESSOR DE AR REBOCAVEL VAZAO 400 PCM, PRESSAO EFETIVA DE TRABALHO 102 PSI, MOTOR DIESEL, POTENCIA 110 CV                                                                                                                                                                                                                                                                                                                                                                                              </t>
  </si>
  <si>
    <t>69.528,30</t>
  </si>
  <si>
    <t xml:space="preserve">COMPRESSOR DE AR REBOCAVEL VAZAO 748 PCM, PRESSAO EFETIVA DE TRABALHO 102 PSI, MOTOR DIESEL, POTENCIA 210 CV                                                                                                                                                                                                                                                                                                                                                                                              </t>
  </si>
  <si>
    <t>148.850,72</t>
  </si>
  <si>
    <t xml:space="preserve">COMPRESSOR DE AR REBOCAVEL VAZAO 860 PCM, PRESSAO EFETIVA DE TRABALHO 102 PSI, MOTOR DIESEL, POTENCIA 250 CV                                                                                                                                                                                                                                                                                                                                                                                              </t>
  </si>
  <si>
    <t>161.682,54</t>
  </si>
  <si>
    <t xml:space="preserve">COMPRESSOR DE AR REBOCAVEL, VAZAO *89* PCM, PRESSAO EFETIVA DE TRABALHO *102* PSI, MOTOR DIESEL, POTENCIA *20* CV                                                                                                                                                                                                                                                                                                                                                                                         </t>
  </si>
  <si>
    <t>58.463,00</t>
  </si>
  <si>
    <t xml:space="preserve">COMPRESSOR DE AR REBOCAVEL, VAZAO 152 PCM, PRESSAO EFETIVA DE TRABALHO 102 PSI, MOTOR DIESEL, POTENCIA 31,5 KW                                                                                                                                                                                                                                                                                                                                                                                            </t>
  </si>
  <si>
    <t>37.643,84</t>
  </si>
  <si>
    <t xml:space="preserve">COMPRESSOR DE AR REBOCAVEL, VAZAO 189 PCM, PRESSAO EFETIVA DE TRABALHO 102 PSI, MOTOR DIESEL, POTENCIA 63 CV                                                                                                                                                                                                                                                                                                                                                                                              </t>
  </si>
  <si>
    <t>43.779,34</t>
  </si>
  <si>
    <t xml:space="preserve">COMPRESSOR DE AR REBOCAVEL, VAZAO 250 PCM, PRESSAO EFETIVA DE TRABALHO 102 PSI, MOTOR DIESEL, POTENCIA 81 CV                                                                                                                                                                                                                                                                                                                                                                                              </t>
  </si>
  <si>
    <t>58.630,76</t>
  </si>
  <si>
    <t xml:space="preserve">COMPRESSOR DE AR, VAZAO DE 10 PCM, RESERVATORIO 100 L, PRESSAO DE TRABALHO ENTRE 6,9 E 9,7 BAR,  POTENCIA 2 HP, TENSAO 110/220 V (COLETADO CAIXA)                                                                                                                                                                                                                                                                                                                                                         </t>
  </si>
  <si>
    <t>2.166,49</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</si>
  <si>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</si>
  <si>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</si>
  <si>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INCLUI SERVICO DE BOMBEAMENTO (NBR 15823)                                                                                                                                                                                                                                                                                                                                                                                       </t>
  </si>
  <si>
    <t>273,78</t>
  </si>
  <si>
    <t xml:space="preserve">CONCRETO AUTOADENSAVEL (CAA) CLASSE DE RESISTENCIA C20, ESPALHAMENTO SF2, INCLUI SERVICO DE BOMBEAMENTO (NBR 15823)                                                                                                                                                                                                                                                                                                                                                                                       </t>
  </si>
  <si>
    <t>283,92</t>
  </si>
  <si>
    <t xml:space="preserve">CONCRETO AUTOADENSAVEL (CAA) CLASSE DE RESISTENCIA C25, ESPALHAMENTO SF2, INCLUI SERVICO DE BOMBEAMENTO (NBR 15823)                                                                                                                                                                                                                                                                                                                                                                                       </t>
  </si>
  <si>
    <t>294,07</t>
  </si>
  <si>
    <t xml:space="preserve">CONCRETO AUTOADENSAVEL (CAA) CLASSE DE RESISTENCIA C30, ESPALHAMENTO SF2, INCLUI SERVICO DE BOMBEAMENTO (NBR 15823)                                                                                                                                                                                                                                                                                                                                                                                       </t>
  </si>
  <si>
    <t>300,02</t>
  </si>
  <si>
    <t xml:space="preserve">CONCRETO BETUMINOSO USINADO A QUENTE (CBUQ) PARA PAVIMENTACAO ASFALTICA, PADRAO DNIT, FAIXA C, COM CAP 30/45 - AQUISICAO POSTO USINA                                                                                                                                                                                                                                                                                                                                                                      </t>
  </si>
  <si>
    <t>302,55</t>
  </si>
  <si>
    <t xml:space="preserve">CONCRETO BETUMINOSO USINADO A QUENTE (CBUQ) PARA PAVIMENTACAO ASFALTICA, PADRAO DNIT, FAIXA C, COM CAP 50/70 - AQUISICAO POSTO USINA                                                                                                                                                                                                                                                                                                                                                                      </t>
  </si>
  <si>
    <t>326,52</t>
  </si>
  <si>
    <t xml:space="preserve">CONCRETO BETUMINOSO USINADO A QUENTE (CBUQ) PARA PAVIMENTACAO ASFALTICA, PADRAO DNIT, PARA BINDER, COM CAP 50/70 - AQUISICAO POSTO USINA                                                                                                                                                                                                                                                                                                                                                                  </t>
  </si>
  <si>
    <t>316,33</t>
  </si>
  <si>
    <t xml:space="preserve">CONCRETO USINADO BOMBEAVEL, CLASSE DE RESISTENCIA C20, COM BRITA 0 E 1, SLUMP = 100 +/- 20 MM, EXCLUI SERVICO DE BOMBEAMENTO (NBR 8953)                                                                                                                                                                                                                                                                                                                                                                   </t>
  </si>
  <si>
    <t>248,43</t>
  </si>
  <si>
    <t xml:space="preserve">CONCRETO USINADO BOMBEAVEL, CLASSE DE RESISTENCIA C20, COM BRITA 0 E 1, SLUMP = 100 +/- 20 MM, INCLUI SERVICO DE BOMBEAMENTO (NBR 8953)                                                                                                                                                                                                                                                                                                                                                                   </t>
  </si>
  <si>
    <t>289,00</t>
  </si>
  <si>
    <t xml:space="preserve">CONCRETO USINADO BOMBEAVEL, CLASSE DE RESISTENCIA C20, COM BRITA 0 E 1, SLUMP = 130 +/- 20 MM, EXCLUI SERVICO DE BOMBEAMENTO (NBR 8953)                                                                                                                                                                                                                                                                                                                                                                   </t>
  </si>
  <si>
    <t>305,03</t>
  </si>
  <si>
    <t xml:space="preserve">CONCRETO USINADO BOMBEAVEL, CLASSE DE RESISTENCIA C20, COM BRITA 0 E 1, SLUMP = 190 +/- 20 MM, INCLUI SERVICO DE BOMBEAMENTO (NBR 8953)                                                                                                                                                                                                                                                                                                                                                                   </t>
  </si>
  <si>
    <t>304,37</t>
  </si>
  <si>
    <t xml:space="preserve">CONCRETO USINADO BOMBEAVEL, CLASSE DE RESISTENCIA C20, COM BRITA 0, SLUMP = 220 +/- 20 MM, INCLUI SERVICO DE BOMBEAMENTO (NBR 8953)                                                                                                                                                                                                                                                                                                                                                                       </t>
  </si>
  <si>
    <t>368,47</t>
  </si>
  <si>
    <t xml:space="preserve">CONCRETO USINADO BOMBEAVEL, CLASSE DE RESISTENCIA C25, COM BRITA 0 E 1, SLUMP = 100 +/- 20 MM, EXCLUI SERVICO DE BOMBEAMENTO (NBR 8953)                                                                                                                                                                                                                                                                                                                                                                   </t>
  </si>
  <si>
    <t>258,07</t>
  </si>
  <si>
    <t xml:space="preserve">CONCRETO USINADO BOMBEAVEL, CLASSE DE RESISTENCIA C25, COM BRITA 0 E 1, SLUMP = 100 +/- 20 MM, INCLUI SERVICO DE BOMBEAMENTO (NBR 8953)                                                                                                                                                                                                                                                                                                                                                                   </t>
  </si>
  <si>
    <t>301,16</t>
  </si>
  <si>
    <t xml:space="preserve">CONCRETO USINADO BOMBEAVEL, CLASSE DE RESISTENCIA C25, COM BRITA 0 E 1, SLUMP = 130 +/- 20 MM, EXCLUI SERVICO DE BOMBEAMENTO (NBR 8953)                                                                                                                                                                                                                                                                                                                                                                   </t>
  </si>
  <si>
    <t>323,33</t>
  </si>
  <si>
    <t xml:space="preserve">CONCRETO USINADO BOMBEAVEL, CLASSE DE RESISTENCIA C25, COM BRITA 0 E 1, SLUMP = 190 +/- 20 MM, EXCLUI SERVICO DE BOMBEAMENTO (NBR 8953)                                                                                                                                                                                                                                                                                                                                                                   </t>
  </si>
  <si>
    <t>336,21</t>
  </si>
  <si>
    <t xml:space="preserve">CONCRETO USINADO BOMBEAVEL, CLASSE DE RESISTENCIA C30, COM BRITA 0 E 1, SLUMP = 100 +/- 20 MM, EXCLUI SERVICO DE BOMBEAMENTO (NBR 8953)                                                                                                                                                                                                                                                                                                                                                                   </t>
  </si>
  <si>
    <t>269,53</t>
  </si>
  <si>
    <t xml:space="preserve">CONCRETO USINADO BOMBEAVEL, CLASSE DE RESISTENCIA C30, COM BRITA 0 E 1, SLUMP = 100 +/- 20 MM, INCLUI SERVICO DE BOMBEAMENTO (NBR 8953)                                                                                                                                                                                                                                                                                                                                                                   </t>
  </si>
  <si>
    <t>311,30</t>
  </si>
  <si>
    <t xml:space="preserve">CONCRETO USINADO BOMBEAVEL, CLASSE DE RESISTENCIA C30, COM BRITA 0 E 1, SLUMP = 130 +/- 20 MM, EXCLUI SERVICO DE BOMBEAMENTO (NBR 8953)                                                                                                                                                                                                                                                                                                                                                                   </t>
  </si>
  <si>
    <t>339,72</t>
  </si>
  <si>
    <t xml:space="preserve">CONCRETO USINADO BOMBEAVEL, CLASSE DE RESISTENCIA C30, COM BRITA 0 E 1, SLUMP = 190 +/- 20 MM, EXCLUI SERVICO DE BOMBEAMENTO (NBR 8953)                                                                                                                                                                                                                                                                                                                                                                   </t>
  </si>
  <si>
    <t>362,41</t>
  </si>
  <si>
    <t xml:space="preserve">CONCRETO USINADO BOMBEAVEL, CLASSE DE RESISTENCIA C35, COM BRITA 0 E 1, SLUMP = 100 +/- 20 MM, EXCLUI SERVICO DE BOMBEAMENTO (NBR 8953)                                                                                                                                                                                                                                                                                                                                                                   </t>
  </si>
  <si>
    <t>281,03</t>
  </si>
  <si>
    <t xml:space="preserve">CONCRETO USINADO BOMBEAVEL, CLASSE DE RESISTENCIA C35, COM BRITA 0 E 1, SLUMP = 100 +/- 20 MM, INCLUI SERVICO DE BOMBEAMENTO (NBR 8953)                                                                                                                                                                                                                                                                                                                                                                   </t>
  </si>
  <si>
    <t xml:space="preserve">CONCRETO USINADO BOMBEAVEL, CLASSE DE RESISTENCIA C40, COM BRITA 0 E 1, SLUMP = 100 +/- 20 MM, EXCLUI SERVICO DE BOMBEAMENTO (NBR 8953)                                                                                                                                                                                                                                                                                                                                                                   </t>
  </si>
  <si>
    <t>293,56</t>
  </si>
  <si>
    <t xml:space="preserve">CONCRETO USINADO BOMBEAVEL, CLASSE DE RESISTENCIA C40, COM BRITA 0 E 1, SLUMP = 100 +/- 20 MM, INCLUI SERVICO DE BOMBEAMENTO (NBR 8953)                                                                                                                                                                                                                                                                                                                                                                   </t>
  </si>
  <si>
    <t>334,63</t>
  </si>
  <si>
    <t xml:space="preserve">CONCRETO USINADO BOMBEAVEL, CLASSE DE RESISTENCIA C45, COM BRITA 0 E 1, SLUMP = 100 +/- 20 MM, INCLUI SERVICO DE BOMBEAMENTO (NBR 8953)                                                                                                                                                                                                                                                                                                                                                                   </t>
  </si>
  <si>
    <t>376,20</t>
  </si>
  <si>
    <t xml:space="preserve">CONCRETO USINADO BOMBEAVEL, CLASSE DE RESISTENCIA C50, COM BRITA 0 E 1, SLUMP = 100 +/- 20 MM, INCLUI SERVICO DE BOMBEAMENTO (NBR 8953)                                                                                                                                                                                                                                                                                                                                                                   </t>
  </si>
  <si>
    <t>446,17</t>
  </si>
  <si>
    <t xml:space="preserve">CONCRETO USINADO BOMBEAVEL, CLASSE DE RESISTENCIA C60, COM BRITA 0 E 1, SLUMP = 100 +/- 20 MM, INCLUI SERVICO DE BOMBEAMENTO (NBR 8953)                                                                                                                                                                                                                                                                                                                                                                   </t>
  </si>
  <si>
    <t>572,92</t>
  </si>
  <si>
    <t xml:space="preserve">CONCRETO USINADO BOMBEAVEL, CLASSE DE RESISTENCIA C80, COM BRITA 0 E 1, SLUMP = 100 +/- 20 MM, EXCLUI SERVICO DE BOMBEAMENTO (NBR 8953)                                                                                                                                                                                                                                                                                                                                                                   </t>
  </si>
  <si>
    <t>790,94</t>
  </si>
  <si>
    <t xml:space="preserve">CONCRETO USINADO CONVENCIONAL (NAO BOMBEAVEL) CLASSE DE RESISTENCIA C10, COM BRITA 1 E 2, SLUMP = 80 MM +/- 10 MM (NBR 8953)                                                                                                                                                                                                                                                                                                                                                                              </t>
  </si>
  <si>
    <t>247,89</t>
  </si>
  <si>
    <t xml:space="preserve">CONCRETO USINADO CONVENCIONAL (NAO BOMBEAVEL) CLASSE DE RESISTENCIA C15, COM BRITA 1 E 2, SLUMP = 80 MM +/- 10 MM (NBR 8953)                                                                                                                                                                                                                                                                                                                                                                              </t>
  </si>
  <si>
    <t>250,25</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</si>
  <si>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</si>
  <si>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</si>
  <si>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</si>
  <si>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</si>
  <si>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</si>
  <si>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</si>
  <si>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</si>
  <si>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125,82</t>
  </si>
  <si>
    <t xml:space="preserve">CONDULETE DE ALUMINIO TIPO E, PARA ELETRODUTO ROSCAVEL DE 1  1/4", COM TAMPA CEGA                                                                                                                                                                                                                                                                                                                                                                                                                         </t>
  </si>
  <si>
    <t xml:space="preserve">CONDULETE DE ALUMINIO TIPO E, PARA ELETRODUTO ROSCAVEL DE 1 1/2", COM TAMPA CEGA                                                                                                                                                                                                                                                                                                                                                                                                                          </t>
  </si>
  <si>
    <t>16,83</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</si>
  <si>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</si>
  <si>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</si>
  <si>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</si>
  <si>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</si>
  <si>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</si>
  <si>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</si>
  <si>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114,20</t>
  </si>
  <si>
    <t xml:space="preserve">CONDULETE DE ALUMINIO TIPO LR, PARA ELETRODUTO ROSCAVEL DE 1 1/2", COM TAMPA CEGA                                                                                                                                                                                                                                                                                                                                                                                                                         </t>
  </si>
  <si>
    <t xml:space="preserve">CONDULETE DE ALUMINIO TIPO LR, PARA ELETRODUTO ROSCAVEL DE 1 1/4", COM TAMPA CEGA                                                                                                                                                                                                                                                                                                                                                                                                                         </t>
  </si>
  <si>
    <t>15,46</t>
  </si>
  <si>
    <t xml:space="preserve">CONDULETE DE ALUMINIO TIPO LR, PARA ELETRODUTO ROSCAVEL DE 1/2", COM TAMPA CEGA                                                                                                                                                                                                                                                                                                                                                                                                                           </t>
  </si>
  <si>
    <t>5,95</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</si>
  <si>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</si>
  <si>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</si>
  <si>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</si>
  <si>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</si>
  <si>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87,66</t>
  </si>
  <si>
    <t xml:space="preserve">CONDULETE DE ALUMINIO TIPO LR, PARA ELETRODUTO ROSCAVEL DE 4", COM TAMPA CEGA                                                                                                                                                                                                                                                                                                                                                                                                                             </t>
  </si>
  <si>
    <t>136,77</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</si>
  <si>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</si>
  <si>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</si>
  <si>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</si>
  <si>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7,28</t>
  </si>
  <si>
    <t xml:space="preserve">CONDULETE DE ALUMINIO TIPO T, PARA ELETRODUTO ROSCAVEL DE 1", COM TAMPA CEGA                                                                                                                                                                                                                                                                                                                                                                                                                              </t>
  </si>
  <si>
    <t xml:space="preserve">CONDULETE DE ALUMINIO TIPO T, PARA ELETRODUTO ROSCAVEL DE 2", COM TAMPA CEGA                                                                                                                                                                                                                                                                                                                                                                                                                              </t>
  </si>
  <si>
    <t>31,59</t>
  </si>
  <si>
    <t xml:space="preserve">CONDULETE DE ALUMINIO TIPO T, PARA ELETRODUTO ROSCAVEL DE 3/4", COM TAMPA CEGA                                                                                                                                                                                                                                                                                                                                                                                                                            </t>
  </si>
  <si>
    <t xml:space="preserve">CONDULETE DE ALUMINIO TIPO T, PARA ELETRODUTO ROSCAVEL DE 3", COM TAMPA CEGA                                                                                                                                                                                                                                                                                                                                                                                                                              </t>
  </si>
  <si>
    <t>98,64</t>
  </si>
  <si>
    <t xml:space="preserve">CONDULETE DE ALUMINIO TIPO T, PARA ELETRODUTO ROSCAVEL DE 4", COM TAMPA CEGA                                                                                                                                                                                                                                                                                                                                                                                                                              </t>
  </si>
  <si>
    <t>135,36</t>
  </si>
  <si>
    <t xml:space="preserve">CONDULETE DE ALUMINIO TIPO TB, PARA ELETRODUTO ROSCAVEL DE 3", COM TAMPA CEGA                                                                                                                                                                                                                                                                                                                                                                                                                             </t>
  </si>
  <si>
    <t xml:space="preserve">CONDULETE DE ALUMINIO TIPO X, PARA ELETRODUTO ROSCAVEL DE 1 1/2", COM TAMPA CEGA                                                                                                                                                                                                                                                                                                                                                                                                                          </t>
  </si>
  <si>
    <t>21,62</t>
  </si>
  <si>
    <t xml:space="preserve">CONDULETE DE ALUMINIO TIPO X, PARA ELETRODUTO ROSCAVEL DE 1 1/4", COM TAMPA CEGA                                                                                                                                                                                                                                                                                                                                                                                                                          </t>
  </si>
  <si>
    <t>18,53</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</si>
  <si>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</si>
  <si>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</si>
  <si>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</si>
  <si>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</si>
  <si>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</si>
  <si>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81,23</t>
  </si>
  <si>
    <t xml:space="preserve">CONDULETE DE ALUMINIO TIPO X, PARA ELETRODUTO ROSCAVEL DE 4", COM TAMPA CEGA                                                                                                                                                                                                                                                                                                                                                                                                                              </t>
  </si>
  <si>
    <t>135,22</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</si>
  <si>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</si>
  <si>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</si>
  <si>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</si>
  <si>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</si>
  <si>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</si>
  <si>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</si>
  <si>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</si>
  <si>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</si>
  <si>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</si>
  <si>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</si>
  <si>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</si>
  <si>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</si>
  <si>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</si>
  <si>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</si>
  <si>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</si>
  <si>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</si>
  <si>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10,13</t>
  </si>
  <si>
    <t xml:space="preserve">CONDULETE EM PVC, TIPO "T", SEM TAMPA, DE 3/4"                                                                                                                                                                                                                                                                                                                                                                                                                                                            </t>
  </si>
  <si>
    <t xml:space="preserve">CONDULETE EM PVC, TIPO "TB", SEM TAMPA, DE 1/2" OU 3/4"                                                                                                                                                                                                                                                                                                                                                                                                                                                   </t>
  </si>
  <si>
    <t>7,68</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</si>
  <si>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</si>
  <si>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</si>
  <si>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</si>
  <si>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</si>
  <si>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PREDIAL                                                                                                                                                                                                                                                                                                                                                                                                                        </t>
  </si>
  <si>
    <t xml:space="preserve">CONE DE SINALIZACAO EM PVC FLEXIVEL, H = 70 / 76 CM (NBR 15071)                                                                                                                                                                                                                                                                                                                                                                                                                                           </t>
  </si>
  <si>
    <t>99,54</t>
  </si>
  <si>
    <t xml:space="preserve">CONE DE SINALIZACAO EM PVC RIGIDO COM FAIXA REFLETIVA, H = 70 / 76 CM                                                                                                                                                                                                                                                                                                                                                                                                                                     </t>
  </si>
  <si>
    <t xml:space="preserve">CONECTOR / ADAPTADOR FEMEA, COM INSERTO METALICO, PPR, DN 25 MM X 1/2", PARA AGUA QUENTE E FRIA PREDIAL                                                                                                                                                                                                                                                                                                                                                                                                   </t>
  </si>
  <si>
    <t>8,15</t>
  </si>
  <si>
    <t xml:space="preserve">CONECTOR / ADAPTADOR FEMEA, COM INSERTO METALICO, PPR, DN 32 MM X 3/4", PARA AGUA QUENTE E FRIA PREDIAL                                                                                                                                                                                                                                                                                                                                                                                                   </t>
  </si>
  <si>
    <t>13,49</t>
  </si>
  <si>
    <t xml:space="preserve">CONECTOR / ADAPTADOR MACHO, COM INSERTO METALICO, PPR, DN 25 MM X 1/2", PARA AGUA QUENTE E FRIA PREDIAL                                                                                                                                                                                                                                                                                                                                                                                                   </t>
  </si>
  <si>
    <t>11,78</t>
  </si>
  <si>
    <t xml:space="preserve">CONECTOR / ADAPTADOR MACHO, COM INSERTO METALICO, PPR, DN 32 MM X 3/4", PARA AGUA QUENTE E FRIA PREDIAL                                                                                                                                                                                                                                                                                                                                                                                                   </t>
  </si>
  <si>
    <t>19,07</t>
  </si>
  <si>
    <t xml:space="preserve">CONECTOR BRONZE/LATAO (REF 603) SEM ANEL DE SOLDA, BOLSA X ROSCA F, 15 MM X 1/2"                                                                                                                                                                                                                                                                                                                                                                                                                          </t>
  </si>
  <si>
    <t>7,90</t>
  </si>
  <si>
    <t xml:space="preserve">CONECTOR BRONZE/LATAO (REF 603) SEM ANEL DE SOLDA, BOLSA X ROSCA F, 22 MM X 1/2"                                                                                                                                                                                                                                                                                                                                                                                                                          </t>
  </si>
  <si>
    <t>8,01</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</si>
  <si>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</si>
  <si>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</si>
  <si>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</si>
  <si>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13,47</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</si>
  <si>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</si>
  <si>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</si>
  <si>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</si>
  <si>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</si>
  <si>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64,13</t>
  </si>
  <si>
    <t xml:space="preserve">CONECTOR CURVO 90 GRAUS DE ALUMINIO, BITOLA 2", PARA ADAPTAR ENTRADA DE ELETRODUTO METALICO FLEXIVEL EM QUADROS                                                                                                                                                                                                                                                                                                                                                                                           </t>
  </si>
  <si>
    <t>27,30</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</si>
  <si>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</si>
  <si>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</si>
  <si>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77,32</t>
  </si>
  <si>
    <t xml:space="preserve">CONECTOR CURVO 90 GRAUS DE ALUMINIO, BITOLA 4", PARA ADAPTAR ENTRADA DE ELETRODUTO METALICO FLEXIVEL EM QUADROS                                                                                                                                                                                                                                                                                                                                                                                           </t>
  </si>
  <si>
    <t>142,32</t>
  </si>
  <si>
    <t xml:space="preserve">CONECTOR DE ALUMINIO TIPO PRENSA CABO, BITOLA 1 1/2", PARA CABOS DE DIAMETRO DE 37 A 40 MM                                                                                                                                                                                                                                                                                                                                                                                                                </t>
  </si>
  <si>
    <t>29,22</t>
  </si>
  <si>
    <t xml:space="preserve">CONECTOR DE ALUMINIO TIPO PRENSA CABO, BITOLA 1 1/4", PARA CABOS DE DIAMETRO DE 31 A 34 MM                                                                                                                                                                                                                                                                                                                                                                                                                </t>
  </si>
  <si>
    <t>26,04</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</si>
  <si>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</si>
  <si>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</si>
  <si>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</si>
  <si>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44,12</t>
  </si>
  <si>
    <t xml:space="preserve">CONECTOR DE ALUMINIO TIPO PRENSA CABO, BITOLA 3/4", PARA CABOS DE DIAMETRO DE 17,5 A 20 MM                                                                                                                                                                                                                                                                                                                                                                                                                </t>
  </si>
  <si>
    <t xml:space="preserve">CONECTOR DE ALUMINIO TIPO PRENSA CABO, BITOLA 3/8", PARA CABOS DE DIAMETRO DE 9 A 10 MM                                                                                                                                                                                                                                                                                                                                                                                                                   </t>
  </si>
  <si>
    <t xml:space="preserve">CONECTOR FEMEA RJ - 45, CATEGORIA 5 E                                                                                                                                                                                                                                                                                                                                                                                                                                                                     </t>
  </si>
  <si>
    <t xml:space="preserve">CONECTOR FEMEA RJ - 45, CATEGORIA 6                                                                                                                                                                                                                                                                                                                                                                                                                                                                       </t>
  </si>
  <si>
    <t xml:space="preserve">CONECTOR MACHO RJ - 45, CATEGORIA 5 E                                                                                                                                                                                                                                                                                                                                                                                                                                                                     </t>
  </si>
  <si>
    <t xml:space="preserve">CONECTOR MACHO RJ - 45, CATEGORIA 6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</si>
  <si>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</si>
  <si>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</si>
  <si>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</si>
  <si>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</si>
  <si>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</si>
  <si>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20,52</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</si>
  <si>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</si>
  <si>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</si>
  <si>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</si>
  <si>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</si>
  <si>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4,83</t>
  </si>
  <si>
    <t xml:space="preserve">CONECTOR METALICO TIPO PARAFUSO FENDIDO (SPLIT BOLT), PARA CABOS ATE 35 MM2                                                                                                                                                                                                                                                                                                                                                                                                                               </t>
  </si>
  <si>
    <t>6,04</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</si>
  <si>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</si>
  <si>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</si>
  <si>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</si>
  <si>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</si>
  <si>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</si>
  <si>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</si>
  <si>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</si>
  <si>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</si>
  <si>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</si>
  <si>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12,13</t>
  </si>
  <si>
    <t xml:space="preserve">CONECTOR RETO DE ALUMINIO PARA ELETRODUTO DE 2", PARA ADAPTAR ENTRADA DE ELETRODUTO METALICO FLEXIVEL EM QUADROS                                                                                                                                                                                                                                                                                                                                                                                          </t>
  </si>
  <si>
    <t>5,34</t>
  </si>
  <si>
    <t xml:space="preserve">CONECTOR RETO DE ALUMINIO PARA ELETRODUTO DE 3/4", PARA ADAPTAR ENTRADA DE ELETRODUTO METALICO FLEXIVEL EM QUADROS                                                                                                                                                                                                                                                                                                                                                                                        </t>
  </si>
  <si>
    <t>1,23</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</si>
  <si>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</si>
  <si>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</si>
  <si>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27,62</t>
  </si>
  <si>
    <t xml:space="preserve">CONECTOR, CPVC, SOLDAVEL, 15 MM X 1/2", PARA AGUA QUENTE                                                                                                                                                                                                                                                                                                                                                                                                                                                  </t>
  </si>
  <si>
    <t>9,50</t>
  </si>
  <si>
    <t xml:space="preserve">CONECTOR, CPVC, SOLDAVEL, 22 MM X 1/2", PARA AGUA QUENTE                                                                                                                                                                                                                                                                                                                                                                                                                                                  </t>
  </si>
  <si>
    <t xml:space="preserve">CONECTOR, CPVC, SOLDAVEL, 22 MM X 3/4", PARA AGUA QUENTE                                                                                                                                                                                                                                                                                                                                                                                                                                                  </t>
  </si>
  <si>
    <t>10,92</t>
  </si>
  <si>
    <t xml:space="preserve">CONECTOR, CPVC, SOLDAVEL, 28 MM X 1", PARA AGUA QUENTE                                                                                                                                                                                                                                                                                                                                                                                                                                                    </t>
  </si>
  <si>
    <t xml:space="preserve">CONECTOR, CPVC, SOLDAVEL, 35 MM X 1 1/4", PARA AGUA QUENTE                                                                                                                                                                                                                                                                                                                                                                                                                                                </t>
  </si>
  <si>
    <t>71,87</t>
  </si>
  <si>
    <t xml:space="preserve">CONECTOR, CPVC, SOLDAVEL, 42 MM X 1 1/2", PARA AGUA QUENTE                                                                                                                                                                                                                                                                                                                                                                                                                                                </t>
  </si>
  <si>
    <t>87,83</t>
  </si>
  <si>
    <t xml:space="preserve">CONEXAO FIXA, ROSCA FEMEA, EM PLASTICO, DN 16 MM X 1/2", PARA CONEXAO COM CRIMPAGEM EM TUBO PEX                                                                                                                                                                                                                                                                                                                                                                                                           </t>
  </si>
  <si>
    <t xml:space="preserve">CONEXAO FIXA, ROSCA FEMEA, EM PLASTICO, DN 16 MM X 3/4", PARA CONEXAO COM CRIMPAGEM EM TUBO PEX                                                                                                                                                                                                                                                                                                                                                                                                           </t>
  </si>
  <si>
    <t>13,82</t>
  </si>
  <si>
    <t xml:space="preserve">CONEXAO FIXA, ROSCA FEMEA, EM PLASTICO, DN 20 MM X 1/2", PARA CONEXAO COM CRIMPAGEM EM TUBO PEX                                                                                                                                                                                                                                                                                                                                                                                                           </t>
  </si>
  <si>
    <t xml:space="preserve">CONEXAO FIXA, ROSCA FEMEA, EM PLASTICO, DN 20 MM X 3/4", PARA CONEXAO COM CRIMPAGEM EM TUBO PEX                                                                                                                                                                                                                                                                                                                                                                                                           </t>
  </si>
  <si>
    <t>16,30</t>
  </si>
  <si>
    <t xml:space="preserve">CONEXAO FIXA, ROSCA FEMEA, EM PLASTICO, DN 25 MM X 1/2", PARA CONEXAO COM CRIMPAGEM EM TUBO PEX                                                                                                                                                                                                                                                                                                                                                                                                           </t>
  </si>
  <si>
    <t>13,97</t>
  </si>
  <si>
    <t xml:space="preserve">CONEXAO FIXA, ROSCA FEMEA, EM PLASTICO, DN 25 MM X 3/4", PARA CONEXAO COM CRIMPAGEM EM TUBO PEX                                                                                                                                                                                                                                                                                                                                                                                                           </t>
  </si>
  <si>
    <t xml:space="preserve">CONEXAO FIXA, ROSCA FEMEA, EM PLASTICO, DN 32 MM X 3/4", PARA CONEXAO COM CRIMPAGEM EM TUBO PEX                                                                                                                                                                                                                                                                                                                                                                                                           </t>
  </si>
  <si>
    <t xml:space="preserve">CONEXAO FIXA, ROSCA FEMEA, METALICA, COM ANEL DESLIZANTE, DN 16 MM X 1/2", PARA TUBO PEX                                                                                                                                                                                                                                                                                                                                                                                                                  </t>
  </si>
  <si>
    <t xml:space="preserve">CONEXAO FIXA, ROSCA FEMEA, METALICA, COM ANEL DESLIZANTE, DN 20 MM X 1/2", PARA TUBO PEX                                                                                                                                                                                                                                                                                                                                                                                                                  </t>
  </si>
  <si>
    <t>7,63</t>
  </si>
  <si>
    <t xml:space="preserve">CONEXAO FIXA, ROSCA FEMEA, METALICA, COM ANEL DESLIZANTE, DN 20 MM X 3/4", PARA TUBO PEX                                                                                                                                                                                                                                                                                                                                                                                                                  </t>
  </si>
  <si>
    <t xml:space="preserve">CONEXAO FIXA, ROSCA FEMEA, METALICA, COM ANEL DESLIZANTE, DN 25 MM X 1", PARA TUBO PEX                                                                                                                                                                                                                                                                                                                                                                                                                    </t>
  </si>
  <si>
    <t xml:space="preserve">CONEXAO FIXA, ROSCA FEMEA, METALICA, COM ANEL DESLIZANTE, DN 25 MM X 3/4", PARA TUBO PEX                                                                                                                                                                                                                                                                                                                                                                                                                  </t>
  </si>
  <si>
    <t xml:space="preserve">CONEXAO FIXA, ROSCA FEMEA, METALICA, COM ANEL DESLIZANTE, DN 32 MM X 1", PARA TUBO PEX                                                                                                                                                                                                                                                                                                                                                                                                                    </t>
  </si>
  <si>
    <t xml:space="preserve">CONEXAO FIXA, ROSCA MACHO, METALICA, PARA TUBO PEX, DN 16 MM X 1/2"                                                                                                                                                                                                                                                                                                                                                                                                                                       </t>
  </si>
  <si>
    <t xml:space="preserve">CONEXAO FIXA, ROSCA MACHO, METALICA, PARA TUBO PEX, DN 16 MM X 3/4"                                                                                                                                                                                                                                                                                                                                                                                                                                       </t>
  </si>
  <si>
    <t xml:space="preserve">CONEXAO FIXA, ROSCA MACHO, METALICA, PARA TUBO PEX, DN 20 MM X 1/2"                                                                                                                                                                                                                                                                                                                                                                                                                                       </t>
  </si>
  <si>
    <t>6,36</t>
  </si>
  <si>
    <t xml:space="preserve">CONEXAO FIXA, ROSCA MACHO, METALICA, PARA TUBO PEX, DN 20 MM X 3/4"                                                                                                                                                                                                                                                                                                                                                                                                                                       </t>
  </si>
  <si>
    <t xml:space="preserve">CONEXAO FIXA, ROSCA MACHO, METALICA, PARA TUBO PEX, DN 25 MM X 1/2"                                                                                                                                                                                                                                                                                                                                                                                                                                       </t>
  </si>
  <si>
    <t xml:space="preserve">CONEXAO FIXA, ROSCA MACHO, METALICA, PARA TUBO PEX, DN 25 MM X 1"                                                                                                                                                                                                                                                                                                                                                                                                                                         </t>
  </si>
  <si>
    <t xml:space="preserve">CONEXAO FIXA, ROSCA MACHO, METALICA, PARA TUBO PEX, DN 25 MM X 3/4"                                                                                                                                                                                                                                                                                                                                                                                                                                       </t>
  </si>
  <si>
    <t xml:space="preserve">CONEXAO FIXA, ROSCA MACHO, METALICA, PARA TUBO PEX, DN 32 MM X 1"                                                                                                                                                                                                                                                                                                                                                                                                                                         </t>
  </si>
  <si>
    <t>17,81</t>
  </si>
  <si>
    <t xml:space="preserve">CONEXAO MOVEL, ROSCA FEMEA, METALICA, COM ANEL DESLIZANTE, PARA TUBO PEX, DN 16 MM X 1/2"                                                                                                                                                                                                                                                                                                                                                                                                                 </t>
  </si>
  <si>
    <t xml:space="preserve">CONEXAO MOVEL, ROSCA FEMEA, METALICA, COM ANEL DESLIZANTE, PARA TUBO PEX, DN 16 MM X 3/4"                                                                                                                                                                                                                                                                                                                                                                                                                 </t>
  </si>
  <si>
    <t>7,86</t>
  </si>
  <si>
    <t xml:space="preserve">CONEXAO MOVEL, ROSCA FEMEA, METALICA, COM ANEL DESLIZANTE, PARA TUBO PEX, DN 20 MM X 1/2"                                                                                                                                                                                                                                                                                                                                                                                                                 </t>
  </si>
  <si>
    <t xml:space="preserve">CONEXAO MOVEL, ROSCA FEMEA, METALICA, COM ANEL DESLIZANTE, PARA TUBO PEX, DN 20 MM X 3/4"                                                                                                                                                                                                                                                                                                                                                                                                                 </t>
  </si>
  <si>
    <t xml:space="preserve">CONEXAO MOVEL, ROSCA FEMEA, METALICA, COM ANEL DESLIZANTE, PARA TUBO PEX, DN 25 MM X 1"                                                                                                                                                                                                                                                                                                                                                                                                                   </t>
  </si>
  <si>
    <t xml:space="preserve">CONEXAO MOVEL, ROSCA FEMEA, METALICA, COM ANEL DESLIZANTE, PARA TUBO PEX, DN 25 MM X 3/4"                                                                                                                                                                                                                                                                                                                                                                                                                 </t>
  </si>
  <si>
    <t xml:space="preserve">CONEXAO MOVEL, ROSCA FEMEA, METALICA, COM ANEL DESLIZANTE, PARA TUBO PEX, DN 32 MM X 1"                                                                                                                                                                                                                                                                                                                                                                                                                   </t>
  </si>
  <si>
    <t xml:space="preserve">CONJUNTO ARRUELAS DE VEDACAO 5/16" PARA TELHA FIBROCIMENTO (UMA ARRUELA METALICA E UMA ARRUELA PVC - CONICAS)                                                                                                                                                                                                                                                                                                                                                                                             </t>
  </si>
  <si>
    <t xml:space="preserve">CONJUNTO DE FECHADURA DE SOBREPOR EM FERRO PINTADO, SEM MACANETA, COM CHAVE GRANDE (SEM CILINDRO) - TIPO CAIXAO - COMPLETA                                                                                                                                                                                                                                                                                                                                                                                </t>
  </si>
  <si>
    <t>16,04</t>
  </si>
  <si>
    <t xml:space="preserve">CONJUNTO DE FERRAGENS PIVO, PARA PORTA PIVOTANTE DE ATE 100 KG, REGULAVEL COM ESFERA , CROMADO - SUPERIOR E INFERIOR - COMPLETO                                                                                                                                                                                                                                                                                                                                                                           </t>
  </si>
  <si>
    <t>54,22</t>
  </si>
  <si>
    <t xml:space="preserve">CONJUNTO DE LIGACAO PARA BACIA SANITARIA AJUSTAVEL, EM PLASTICO BRANCO, COM TUBO, CANOPLA E ESPUDE                                                                                                                                                                                                                                                                                                                                                                                                        </t>
  </si>
  <si>
    <t xml:space="preserve">CONJUNTO DE LIGACAO PARA BACIA SANITARIA EM PLASTICO BRANCO COM TUBO, CANOPLA E ANEL DE EXPANSAO (TUBO 1.1/2 '' X 20 CM)                                                                                                                                                                                                                                                                                                                                                                                  </t>
  </si>
  <si>
    <t xml:space="preserve">CONJUNTO MONTADO ESTOPIM COM ESPOLETA COMUM NUMERO 8, COM CABECA ACENDEDORA, 1,5 M                                                                                                                                                                                                                                                                                                                                                                                                                        </t>
  </si>
  <si>
    <t xml:space="preserve">CONJUNTO PARA FUTSAL COM TRAVES OFICIAIS DE 3,00 X 2,00 M EM TUBO DE ACO GALVANIZADO 3" COM REQUADRO EM TUBO DE 1", PINTURA EM PRIMER COM TINTA ESMALTE SINTETICO E REDES DE POLIETILENO FIO 4 MM                                                                                                                                                                                                                                                                                                         </t>
  </si>
  <si>
    <t>2.307,08</t>
  </si>
  <si>
    <t xml:space="preserve">CONJUNTO PARA QUADRA DE  VOLEI COM POSTES EM TUBO DE ACO GALVANIZADO 3", H = *255* CM, PINTURA EM TINTA ESMALTE SINTETICO, REDE DE NYLON COM 2 MM, MALHA 10 X 10 CM E ANTENAS OFICIAIS EM FIBRA DE VIDRO                                                                                                                                                                                                                                                                                                  </t>
  </si>
  <si>
    <t>1.400,60</t>
  </si>
  <si>
    <t xml:space="preserve">CONTAINER ALMOXARIFADO, DE *2,40* X *6,00* M, PADRAO SIMPLES, SEM REVESTIMENTO E SEM DIVISORIAS INTERNOS E SEM SANITARIO, PARA USO EM CANTEIRO DE OBRAS                                                                                                                                                                                                                                                                                                                                                   </t>
  </si>
  <si>
    <t>11.487,50</t>
  </si>
  <si>
    <t xml:space="preserve">CONTATOR TRIPOLAR, CORRENTE DE *110* A, TENSAO NOMINAL DE *500* V, CATEGORIA AC-2 E AC-3                                                                                                                                                                                                                                                                                                                                                                                                                  </t>
  </si>
  <si>
    <t>1.260,26</t>
  </si>
  <si>
    <t xml:space="preserve">CONTATOR TRIPOLAR, CORRENTE DE *185* A, TENSAO NOMINAL DE *500* V, CATEGORIA AC-2 E AC-3                                                                                                                                                                                                                                                                                                                                                                                                                  </t>
  </si>
  <si>
    <t>1.884,87</t>
  </si>
  <si>
    <t xml:space="preserve">CONTATOR TRIPOLAR, CORRENTE DE *22* A, TENSAO NOMINAL DE *500* V, CATEGORIA AC-2 E AC-3                                                                                                                                                                                                                                                                                                                                                                                                                   </t>
  </si>
  <si>
    <t xml:space="preserve">CONTATOR TRIPOLAR, CORRENTE DE *265* A, TENSAO NOMINAL DE *500* V, CATEGORIA AC-2 E AC-3                                                                                                                                                                                                                                                                                                                                                                                                                  </t>
  </si>
  <si>
    <t>4.253,39</t>
  </si>
  <si>
    <t xml:space="preserve">CONTATOR TRIPOLAR, CORRENTE DE *38* A, TENSAO NOMINAL DE *500* V, CATEGORIA AC-2 E AC-3                                                                                                                                                                                                                                                                                                                                                                                                                   </t>
  </si>
  <si>
    <t>277,33</t>
  </si>
  <si>
    <t xml:space="preserve">CONTATOR TRIPOLAR, CORRENTE DE *500* A, TENSAO NOMINAL DE *500* V, CATEGORIA AC-2 E AC-3                                                                                                                                                                                                                                                                                                                                                                                                                  </t>
  </si>
  <si>
    <t>10.351,73</t>
  </si>
  <si>
    <t xml:space="preserve">CONTATOR TRIPOLAR, CORRENTE DE *65* A, TENSAO NOMINAL DE *500* V, CATEGORIA AC-2 E AC-3                                                                                                                                                                                                                                                                                                                                                                                                                   </t>
  </si>
  <si>
    <t>530,10</t>
  </si>
  <si>
    <t xml:space="preserve">CONTATOR TRIPOLAR, CORRENTE DE 12 A, TENSAO NOMINAL DE *500* V, CATEGORIA AC-2 E AC-3                                                                                                                                                                                                                                                                                                                                                                                                                     </t>
  </si>
  <si>
    <t>107,36</t>
  </si>
  <si>
    <t xml:space="preserve">CONTATOR TRIPOLAR, CORRENTE DE 25 A, TENSAO NOMINAL DE *500* V, CATEGORIA AC-2 E AC-3                                                                                                                                                                                                                                                                                                                                                                                                                     </t>
  </si>
  <si>
    <t>147,69</t>
  </si>
  <si>
    <t xml:space="preserve">CONTATOR TRIPOLAR, CORRENTE DE 250 A, TENSAO NOMINAL DE *500* V, PARA ACIONAMENTO DE CAPACITORES                                                                                                                                                                                                                                                                                                                                                                                                          </t>
  </si>
  <si>
    <t>3.251,80</t>
  </si>
  <si>
    <t xml:space="preserve">CONTATOR TRIPOLAR, CORRENTE DE 300 A, TENSAO NOMINAL DE *500* V, CATEGORIA AC-2 E AC-3                                                                                                                                                                                                                                                                                                                                                                                                                    </t>
  </si>
  <si>
    <t>5.001,33</t>
  </si>
  <si>
    <t xml:space="preserve">CONTATOR TRIPOLAR, CORRENTE DE 32 A, TENSAO NOMINAL DE *500* V, CATEGORIA AC-2 E AC-3                                                                                                                                                                                                                                                                                                                                                                                                                     </t>
  </si>
  <si>
    <t>228,58</t>
  </si>
  <si>
    <t xml:space="preserve">CONTATOR TRIPOLAR, CORRENTE DE 400 A, TENSAO NOMINAL DE *500* V, CATEGORIA AC-2 E AC-3                                                                                                                                                                                                                                                                                                                                                                                                                    </t>
  </si>
  <si>
    <t>5.970,50</t>
  </si>
  <si>
    <t xml:space="preserve">CONTATOR TRIPOLAR, CORRENTE DE 45 A, TENSAO NOMINAL DE *500* V, CATEGORIA AC-2 E AC-3                                                                                                                                                                                                                                                                                                                                                                                                                     </t>
  </si>
  <si>
    <t>408,80</t>
  </si>
  <si>
    <t xml:space="preserve">CONTATOR TRIPOLAR, CORRENTE DE 630 A, TENSAO NOMINAL DE *500* V, CATEGORIA AC-2 E AC-3                                                                                                                                                                                                                                                                                                                                                                                                                    </t>
  </si>
  <si>
    <t>14.675,79</t>
  </si>
  <si>
    <t xml:space="preserve">CONTATOR TRIPOLAR, CORRENTE DE 75 A, TENSAO NOMINAL DE *500* V, CATEGORIA AC-2 E AC-3                                                                                                                                                                                                                                                                                                                                                                                                                     </t>
  </si>
  <si>
    <t>767,67</t>
  </si>
  <si>
    <t xml:space="preserve">CONTATOR TRIPOLAR, CORRENTE DE 9 A, TENSAO NOMINAL DE *500* V, CATEGORIA AC-2 E AC-3                                                                                                                                                                                                                                                                                                                                                                                                                      </t>
  </si>
  <si>
    <t>101,11</t>
  </si>
  <si>
    <t xml:space="preserve">CONTATOR TRIPOLAR, CORRENTE DE 95 A, TENSAO NOMINAL DE *500* V, CATEGORIA AC-2 E AC-3                                                                                                                                                                                                                                                                                                                                                                                                                     </t>
  </si>
  <si>
    <t>1.054,90</t>
  </si>
  <si>
    <t xml:space="preserve">CONTRA-PORCA SEXTAVADA, DIAMETRO NOMINAL 1 3/8", ALTURA 35 MM                                                                                                                                                                                                                                                                                                                                                                                                                                             </t>
  </si>
  <si>
    <t xml:space="preserve">COORDENADOR / GERENTE DE OBRA                                                                                                                                                                                                                                                                                                                                                                                                                                                                             </t>
  </si>
  <si>
    <t>125,24</t>
  </si>
  <si>
    <t xml:space="preserve">COORDENADOR / GERENTE DE OBRA (MENSALISTA)                                                                                                                                                                                                                                                                                                                                                                                                                                                                </t>
  </si>
  <si>
    <t>22.335,56</t>
  </si>
  <si>
    <t xml:space="preserve">CORANTE LIQUIDO PARA TINTA PVA, BISNAGA 50 ML                                                                                                                                                                                                                                                                                                                                                                                                                                                             </t>
  </si>
  <si>
    <t>3,84</t>
  </si>
  <si>
    <t xml:space="preserve">CORDA DE POLIAMIDA 12 MM TIPO BOMBEIRO, PARA TRABALHO EM ALTURA                                                                                                                                                                                                                                                                                                                                                                                                                                           </t>
  </si>
  <si>
    <t>478,90</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</si>
  <si>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</si>
  <si>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</si>
  <si>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</si>
  <si>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</si>
  <si>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</si>
  <si>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</si>
  <si>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</si>
  <si>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4,81</t>
  </si>
  <si>
    <t xml:space="preserve">CORDEL DETONANTE, NP 10 G/M                                                                                                                                                                                                                                                                                                                                                                                                                                                                               </t>
  </si>
  <si>
    <t>4,97</t>
  </si>
  <si>
    <t xml:space="preserve">CORRENTE DE ELO CURTO COMUM, SOLDADA, GALVANIZADA, ESPESSURA DO ELO = 1/2" (12,5 MM)                                                                                                                                                                                                                                                                                                                                                                                                                      </t>
  </si>
  <si>
    <t xml:space="preserve">CORTADEIRA DE PISO DE CONCRETO E ASFALTO, PARA DISCO PADRAO DE DIAMETRO 350 MM (14") OU 450 MM (18") , MOTOR A GASOLINA, POTENCIA 13 HP, SEM DISCO                                                                                                                                                                                                                                                                                                                                                        </t>
  </si>
  <si>
    <t>8.184,33</t>
  </si>
  <si>
    <t xml:space="preserve">CORTADEIRA HIDRAULICA DE VERGALHAO, PARA ACO DE DIAMETRO ATE 50 MM, MOTOR ELETRICO TRIFASICO, POTENCIA DE 5,5 HP A 7,5 HP                                                                                                                                                                                                                                                                                                                                                                                 </t>
  </si>
  <si>
    <t>67.468,88</t>
  </si>
  <si>
    <t xml:space="preserve">COTOVELO BRONZE/LATAO (REF 707-3) SEM ANEL DE SOLDA, BOLSA X ROSCA F, 15MM X 1/2"                                                                                                                                                                                                                                                                                                                                                                                                                         </t>
  </si>
  <si>
    <t xml:space="preserve">COTOVELO BRONZE/LATAO (REF 707-3) SEM ANEL DE SOLDA, BOLSA X ROSCA F, 22MM X 1/2"                                                                                                                                                                                                                                                                                                                                                                                                                         </t>
  </si>
  <si>
    <t>12,00</t>
  </si>
  <si>
    <t xml:space="preserve">COTOVELO BRONZE/LATAO (REF 707-3) SEM ANEL DE SOLDA, BOLSA X ROSCA F, 22MM X 3/4"                                                                                                                                                                                                                                                                                                                                                                                                                         </t>
  </si>
  <si>
    <t xml:space="preserve">COTOVELO DE COBRE 90 GRAUS (REF 607) SEM ANEL DE SOLDA, BOLSA X BOLSA, 104 MM                                                                                                                                                                                                                                                                                                                                                                                                                             </t>
  </si>
  <si>
    <t>450,24</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</si>
  <si>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</si>
  <si>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</si>
  <si>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</si>
  <si>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</si>
  <si>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</si>
  <si>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</si>
  <si>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54,57</t>
  </si>
  <si>
    <t xml:space="preserve">COTOVELO DE COBRE 90 GRAUS (REF 607) SEM ANEL DE SOLDA, BOLSA X BOLSA, 66 MM                                                                                                                                                                                                                                                                                                                                                                                                                              </t>
  </si>
  <si>
    <t>190,01</t>
  </si>
  <si>
    <t xml:space="preserve">COTOVELO DE COBRE 90 GRAUS (REF 607) SEM ANEL DE SOLDA, BOLSA X BOLSA, 79 MM                                                                                                                                                                                                                                                                                                                                                                                                                              </t>
  </si>
  <si>
    <t>182,21</t>
  </si>
  <si>
    <t xml:space="preserve">COTOVELO DE REDUCAO 90 GRAUS DE FERRO GALVANIZADO, COM ROSCA BSP, DE 1 1/2" X 1"                                                                                                                                                                                                                                                                                                                                                                                                                          </t>
  </si>
  <si>
    <t>22,48</t>
  </si>
  <si>
    <t xml:space="preserve">COTOVELO DE REDUCAO 90 GRAUS DE FERRO GALVANIZADO, COM ROSCA BSP, DE 1 1/2" X 3/4"                                                                                                                                                                                                                                                                                                                                                                                                                        </t>
  </si>
  <si>
    <t>22,47</t>
  </si>
  <si>
    <t xml:space="preserve">COTOVELO DE REDUCAO 90 GRAUS DE FERRO GALVANIZADO, COM ROSCA BSP, DE 1 1/4" X 1"                                                                                                                                                                                                                                                                                                                                                                                                                          </t>
  </si>
  <si>
    <t>16,02</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</si>
  <si>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</si>
  <si>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</si>
  <si>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</si>
  <si>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</si>
  <si>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32,24</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</si>
  <si>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</si>
  <si>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</si>
  <si>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</si>
  <si>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15,51</t>
  </si>
  <si>
    <t xml:space="preserve">COTOVELO 45 GRAUS DE FERRO GALVANIZADO, COM ROSCA BSP, DE 1/2"                                                                                                                                                                                                                                                                                                                                                                                                                                            </t>
  </si>
  <si>
    <t xml:space="preserve">COTOVELO 45 GRAUS DE FERRO GALVANIZADO, COM ROSCA BSP, DE 1"                                                                                                                                                                                                                                                                                                                                                                                                                                              </t>
  </si>
  <si>
    <t xml:space="preserve">COTOVELO 45 GRAUS DE FERRO GALVANIZADO, COM ROSCA BSP, DE 2 1/2"                                                                                                                                                                                                                                                                                                                                                                                                                                          </t>
  </si>
  <si>
    <t>53,42</t>
  </si>
  <si>
    <t xml:space="preserve">COTOVELO 45 GRAUS DE FERRO GALVANIZADO, COM ROSCA BSP, DE 2"                                                                                                                                                                                                                                                                                                                                                                                                                                              </t>
  </si>
  <si>
    <t>27,64</t>
  </si>
  <si>
    <t xml:space="preserve">COTOVELO 45 GRAUS DE FERRO GALVANIZADO, COM ROSCA BSP, DE 3/4"                                                                                                                                                                                                                                                                                                                                                                                                                                            </t>
  </si>
  <si>
    <t xml:space="preserve">COTOVELO 45 GRAUS DE FERRO GALVANIZADO, COM ROSCA BSP, DE 3"                                                                                                                                                                                                                                                                                                                                                                                                                                              </t>
  </si>
  <si>
    <t>78,11</t>
  </si>
  <si>
    <t xml:space="preserve">COTOVELO 45 GRAUS DE FERRO GALVANIZADO, COM ROSCA BSP, DE 4"                                                                                                                                                                                                                                                                                                                                                                                                                                              </t>
  </si>
  <si>
    <t>136,86</t>
  </si>
  <si>
    <t xml:space="preserve">COTOVELO 45 GRAUS, PEAD PE 100, DE 125 MM, PARA ELETROFUSAO                                                                                                                                                                                                                                                                                                                                                                                                                                               </t>
  </si>
  <si>
    <t>160,77</t>
  </si>
  <si>
    <t xml:space="preserve">COTOVELO 45 GRAUS, PEAD PE 100, DE 200 MM, PARA ELETROFUSAO                                                                                                                                                                                                                                                                                                                                                                                                                                               </t>
  </si>
  <si>
    <t>1.051,15</t>
  </si>
  <si>
    <t xml:space="preserve">COTOVELO 45 GRAUS, PEAD PE 100, DE 32 MM, PARA ELETROFUSAO                                                                                                                                                                                                                                                                                                                                                                                                                                                </t>
  </si>
  <si>
    <t xml:space="preserve">COTOVELO 45 GRAUS, PEAD PE 100, DE 40 MM, PARA ELETROFUSAO                                                                                                                                                                                                                                                                                                                                                                                                                                                </t>
  </si>
  <si>
    <t xml:space="preserve">COTOVELO 45 GRAUS, PEAD PE 100, DE 63 MM, PARA ELETROFUSAO                                                                                                                                                                                                                                                                                                                                                                                                                                                </t>
  </si>
  <si>
    <t>32,25</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</si>
  <si>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</si>
  <si>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</si>
  <si>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</si>
  <si>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</si>
  <si>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11,02</t>
  </si>
  <si>
    <t xml:space="preserve">COTOVELO 90 GRAUS DE FERRO GALVANIZADO, COM ROSCA BSP MACHO/FEMEA, DE 2 1/2"                                                                                                                                                                                                                                                                                                                                                                                                                              </t>
  </si>
  <si>
    <t>62,72</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</si>
  <si>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</si>
  <si>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</si>
  <si>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</si>
  <si>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95,40</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</si>
  <si>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</si>
  <si>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</si>
  <si>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</si>
  <si>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</si>
  <si>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</si>
  <si>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48,10</t>
  </si>
  <si>
    <t xml:space="preserve">COTOVELO 90 GRAUS DE FERRO GALVANIZADO, COM ROSCA BSP, DE 2"                                                                                                                                                                                                                                                                                                                                                                                                                                              </t>
  </si>
  <si>
    <t xml:space="preserve">COTOVELO 90 GRAUS DE FERRO GALVANIZADO, COM ROSCA BSP, DE 3/4"                                                                                                                                                                                                                                                                                                                                                                                                                                            </t>
  </si>
  <si>
    <t xml:space="preserve">COTOVELO 90 GRAUS DE FERRO GALVANIZADO, COM ROSCA BSP, DE 3"                                                                                                                                                                                                                                                                                                                                                                                                                                              </t>
  </si>
  <si>
    <t>67,84</t>
  </si>
  <si>
    <t xml:space="preserve">COTOVELO 90 GRAUS DE FERRO GALVANIZADO, COM ROSCA BSP, DE 4"                                                                                                                                                                                                                                                                                                                                                                                                                                              </t>
  </si>
  <si>
    <t>129,02</t>
  </si>
  <si>
    <t xml:space="preserve">COTOVELO 90 GRAUS DE FERRO GALVANIZADO, COM ROSCA BSP, DE 5"                                                                                                                                                                                                                                                                                                                                                                                                                                              </t>
  </si>
  <si>
    <t>188,26</t>
  </si>
  <si>
    <t xml:space="preserve">COTOVELO 90 GRAUS DE FERRO GALVANIZADO, COM ROSCA BSP, DE 6"                                                                                                                                                                                                                                                                                                                                                                                                                                              </t>
  </si>
  <si>
    <t>481,18</t>
  </si>
  <si>
    <t xml:space="preserve">COTOVELO 90 GRAUS, PEAD PE 100, DE 125 MM, PARA ELETROFUSAO                                                                                                                                                                                                                                                                                                                                                                                                                                               </t>
  </si>
  <si>
    <t xml:space="preserve">COTOVELO 90 GRAUS, PEAD PE 100, DE 20 MM, PARA ELETROFUSAO                                                                                                                                                                                                                                                                                                                                                                                                                                                </t>
  </si>
  <si>
    <t xml:space="preserve">COTOVELO 90 GRAUS, PEAD PE 100, DE 200 MM, PARA ELETROFUSAO                                                                                                                                                                                                                                                                                                                                                                                                                                               </t>
  </si>
  <si>
    <t>1.499,08</t>
  </si>
  <si>
    <t xml:space="preserve">COTOVELO 90 GRAUS, PEAD PE 100, DE 32 MM, PARA ELETROFUSAO                                                                                                                                                                                                                                                                                                                                                                                                                                                </t>
  </si>
  <si>
    <t>27,33</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</si>
  <si>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</si>
  <si>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</si>
  <si>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</si>
  <si>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3,31</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</si>
  <si>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</si>
  <si>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</si>
  <si>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</si>
  <si>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COM CASTANHA BIPARTIDA, COM VARA DE 1.20 M, EM LATAO CROMADO, PARA PORTAS E JANELAS - COMPLETA                                                                                                                                                                                                                                                                                                                                                                                                    </t>
  </si>
  <si>
    <t>45,35</t>
  </si>
  <si>
    <t xml:space="preserve">CREMONA COM CASTANHA BIPARTIDA, COM VARA DE 1.50 M, EM LATAO CROMADO, PARA PORTAS E JANELAS - COMPLETA                                                                                                                                                                                                                                                                                                                                                                                                    </t>
  </si>
  <si>
    <t>52,25</t>
  </si>
  <si>
    <t xml:space="preserve">CREMONA LATAO CROMADO, COM CASTANHA BIPARTIDA E PRESILHAS, MEDIDAS APROXIMADAS DE 113 X 40 X 35 MM (NAO INCL VARA FERRO)                                                                                                                                                                                                                                                                                                                                                                                  </t>
  </si>
  <si>
    <t xml:space="preserve">CRUZETA DE CONCRETO LEVE, COMP. 2000 MM SECAO, 90 X 90 MM                                                                                                                                                                                                                                                                                                                                                                                                                                                 </t>
  </si>
  <si>
    <t xml:space="preserve">CRUZETA DE EUCALIPTO TRATADO, OU EQUIVALENTE DA REGIAO, *2,4* M, SECAO *9 X 11,5* CM                                                                                                                                                                                                                                                                                                                                                                                                                      </t>
  </si>
  <si>
    <t>73,93</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</si>
  <si>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</si>
  <si>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</si>
  <si>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</si>
  <si>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</si>
  <si>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</si>
  <si>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101,49</t>
  </si>
  <si>
    <t xml:space="preserve">CRUZETA DE FERRO GALVANIZADO, COM ROSCA BSP, DE 2"                                                                                                                                                                                                                                                                                                                                                                                                                                                        </t>
  </si>
  <si>
    <t>56,10</t>
  </si>
  <si>
    <t xml:space="preserve">CRUZETA DE FERRO GALVANIZADO, COM ROSCA BSP, DE 3/4"                                                                                                                                                                                                                                                                                                                                                                                                                                                      </t>
  </si>
  <si>
    <t xml:space="preserve">CRUZETA DE FERRO GALVANIZADO, COM ROSCA BSP, DE 3"                                                                                                                                                                                                                                                                                                                                                                                                                                                        </t>
  </si>
  <si>
    <t>145,67</t>
  </si>
  <si>
    <t xml:space="preserve">CUBA ACO INOX (AISI 304) DE EMBUTIR COM VALVULA DE 3 1/2 ", DE *56 X 33 X 12* CM                                                                                                                                                                                                                                                                                                                                                                                                                          </t>
  </si>
  <si>
    <t>146,73</t>
  </si>
  <si>
    <t xml:space="preserve">CUBA ACO INOX (AISI 304) DE EMBUTIR COM VALVULA 3 1/2 ", DE *40 X 34 X 12* CM                                                                                                                                                                                                                                                                                                                                                                                                                             </t>
  </si>
  <si>
    <t>101,63</t>
  </si>
  <si>
    <t xml:space="preserve">CUBA ACO INOX (AISI 304) DE EMBUTIR COM VALVULA 3 1/2 ", DE *46 X 30 X 12* CM                                                                                                                                                                                                                                                                                                                                                                                                                             </t>
  </si>
  <si>
    <t>133,46</t>
  </si>
  <si>
    <t xml:space="preserve">CUMEEIRA ARTICULADA (ABA INFERIOR) PARA TELHA ONDULADA DE FIBROCIMENTO E = 4 MM, ABA *330* MM, COMPRIMENTO 500 MM (SEM AMIANTO)                                                                                                                                                                                                                                                                                                                                                                           </t>
  </si>
  <si>
    <t xml:space="preserve">CUMEEIRA ARTICULADA (ABA INTERNA INFERIOR OU EXTERNA SUPERIOR) PARA TELHA ESTRUTURAL DE FIBROCIMENTO, 1 ABA, E = 6 MM (SEM AMIANTO)                                                                                                                                                                                                                                                                                                                                                                       </t>
  </si>
  <si>
    <t xml:space="preserve">CUMEEIRA ARTICULADA (ABA SUPERIOR) PARA TELHA ONDULADA DE FIBROCIMENTO E = 4 MM, ABA *330* MM, COMPRIMENTO 500 MM (SEM AMIANTO)                                                                                                                                                                                                                                                                                                                                                                           </t>
  </si>
  <si>
    <t>4,28</t>
  </si>
  <si>
    <t xml:space="preserve">CUMEEIRA ARTICULADA (PAR) PARA TELHA ONDULADA DE FIBROCIMENTO, E = 6 MM, ABA 350 MM, COMPRIMENTO 1100 MM (SEM AMIANTO)                                                                                                                                                                                                                                                                                                                                                                                    </t>
  </si>
  <si>
    <t xml:space="preserve">CUMEEIRA NORMAL PARA TELHA ESTRUTURAL DE FIBROCIMENTO 1 ABA, E = 6 MM, COMPRIMENTO 608 MM (SEM AMIANTO)                                                                                                                                                                                                                                                                                                                                                                                                   </t>
  </si>
  <si>
    <t xml:space="preserve">CUMEEIRA NORMAL PARA TELHA ESTRUTURAL DE FIBROCIMENTO 2 ABAS, E = 6 MM, DE 1050 X 935 MM (SEM AMIANTO)                                                                                                                                                                                                                                                                                                                                                                                                    </t>
  </si>
  <si>
    <t>67,54</t>
  </si>
  <si>
    <t xml:space="preserve">CUMEEIRA NORMAL PARA TELHA ONDULADA DE FIBROCIMENTO, E = 6 MM, ABA 300 MM, COMPRIMENTO 1100 MM (SEM AMIANTO)                                                                                                                                                                                                                                                                                                                                                                                              </t>
  </si>
  <si>
    <t>34,15</t>
  </si>
  <si>
    <t xml:space="preserve">CUMEEIRA PARA TELHA CERAMICA, COMPRIMENTO DE *41* CM, RENDIMENTO DE *3* TELHAS/M                                                                                                                                                                                                                                                                                                                                                                                                                          </t>
  </si>
  <si>
    <t xml:space="preserve">CUMEEIRA PARA TELHA DE CONCRETO, PARA 2 AGUAS DE TELHADO, COR CINZA, RENDIMENTO DE *3* TELHAS/M (COLETADO CAIXA)                                                                                                                                                                                                                                                                                                                                                                                          </t>
  </si>
  <si>
    <t>6,84</t>
  </si>
  <si>
    <t xml:space="preserve">CUMEEIRA SHED PARA TELHA ONDULADA DE FIBROCIMENTO, E = 6 MM, ABA 280 MM, COMPRIMENTO 1100 MM (SEM AMIANTO)                                                                                                                                                                                                                                                                                                                                                                                                </t>
  </si>
  <si>
    <t xml:space="preserve">CUMEEIRA UNIVERSAL PARA TELHA ONDULADA DE FIBROCIMENTO, E = 6 MM, ABA 210 MM, COMPRIMENTO 1100 MM (SEM AMIANTO)                                                                                                                                                                                                                                                                                                                                                                                           </t>
  </si>
  <si>
    <t>23,95</t>
  </si>
  <si>
    <t xml:space="preserve">CURVA CPVC, 90 GRAUS, SOLDAVEL, 22 MM, PARA AGUA QUENTE                                                                                                                                                                                                                                                                                                                                                                                                                                                   </t>
  </si>
  <si>
    <t xml:space="preserve">CURVA CPVC, 90 GRAUS, SOLDAVEL, 28 MM, PARA AGUA QUENTE                                                                                                                                                                                                                                                                                                                                                                                                                                                   </t>
  </si>
  <si>
    <t xml:space="preserve">CURVA CPVC, 90 GRAUS, SOLDAVEL,15 MM, PARA AGUA QUENTE                                                                                                                                                                                                                                                                                                                                                                                                                                                    </t>
  </si>
  <si>
    <t xml:space="preserve">CURVA CURTA PVC, PB, JE, 45 GRAUS, DN 100 MM, PARA REDE COLETORA ESGOTO (NBR 10569)                                                                                                                                                                                                                                                                                                                                                                                                                       </t>
  </si>
  <si>
    <t xml:space="preserve">CURVA CURTA PVC, PB, JE, 90 GRAUS, DN 100 MM, PARA REDE COLETORA ESGOTO (NBR 10569)                                                                                                                                                                                                                                                                                                                                                                                                                       </t>
  </si>
  <si>
    <t>17,60</t>
  </si>
  <si>
    <t xml:space="preserve">CURVA DE PVC 45 GRAUS, SOLDAVEL, 110 MM, PARA AGUA FRIA PREDIAL (NBR 5648)                                                                                                                                                                                                                                                                                                                                                                                                                                </t>
  </si>
  <si>
    <t>100,73</t>
  </si>
  <si>
    <t xml:space="preserve">CURVA DE PVC 45 GRAUS, SOLDAVEL, 20 MM, PARA AGUA FRIA PREDIAL (NBR 5648)                                                                                                                                                                                                                                                                                                                                                                                                                                 </t>
  </si>
  <si>
    <t xml:space="preserve">CURVA DE PVC 45 GRAUS, SOLDAVEL, 25 MM, PARA AGUA FRIA PREDIAL (NBR 5648)                                                                                                                                                                                                                                                                                                                                                                                                                                 </t>
  </si>
  <si>
    <t xml:space="preserve">CURVA DE PVC 45 GRAUS, SOLDAVEL, 32 MM, PARA AGUA FRIA PREDIAL (NBR 5648)                                                                                                                                                                                                                                                                                                                                                                                                                                 </t>
  </si>
  <si>
    <t xml:space="preserve">CURVA DE PVC 45 GRAUS, SOLDAVEL, 40 MM, PARA AGUA FRIA PREDIAL (NBR 5648)                                                                                                                                                                                                                                                                                                                                                                                                                                 </t>
  </si>
  <si>
    <t>4,70</t>
  </si>
  <si>
    <t xml:space="preserve">CURVA DE PVC 45 GRAUS, SOLDAVEL, 50 MM, PARA AGUA FRIA PREDIAL (NBR 5648)                                                                                                                                                                                                                                                                                                                                                                                                                                 </t>
  </si>
  <si>
    <t xml:space="preserve">CURVA DE PVC 45 GRAUS, SOLDAVEL, 60 MM, PARA AGUA FRIA PREDIAL (NBR 5648)                                                                                                                                                                                                                                                                                                                                                                                                                                 </t>
  </si>
  <si>
    <t xml:space="preserve">CURVA DE PVC 45 GRAUS, SOLDAVEL, 75 MM, PARA AGUA FRIA PREDIAL (NBR 5648)                                                                                                                                                                                                                                                                                                                                                                                                                                 </t>
  </si>
  <si>
    <t>23,35</t>
  </si>
  <si>
    <t xml:space="preserve">CURVA DE PVC 45 GRAUS, SOLDAVEL, 85 MM, PARA AGUA FRIA PREDIAL (NBR 5648)                                                                                                                                                                                                                                                                                                                                                                                                                                 </t>
  </si>
  <si>
    <t>40,81</t>
  </si>
  <si>
    <t xml:space="preserve">CURVA DE PVC 90 GRAUS, SOLDAVEL, 110 MM, PARA AGUA FRIA PREDIAL (NBR 5648)                                                                                                                                                                                                                                                                                                                                                                                                                                </t>
  </si>
  <si>
    <t xml:space="preserve">CURVA DE PVC 90 GRAUS, SOLDAVEL, 20 MM, PARA AGUA FRIA PREDIAL (NBR 5648)                                                                                                                                                                                                                                                                                                                                                                                                                                 </t>
  </si>
  <si>
    <t xml:space="preserve">CURVA DE PVC 90 GRAUS, SOLDAVEL, 25 MM, PARA AGUA FRIA PREDIAL (NBR 5648)                                                                                                                                                                                                                                                                                                                                                                                                                                 </t>
  </si>
  <si>
    <t xml:space="preserve">CURVA DE PVC 90 GRAUS, SOLDAVEL, 32 MM, PARA AGUA FRIA PREDIAL (NBR 5648)                                                                                                                                                                                                                                                                                                                                                                                                                                 </t>
  </si>
  <si>
    <t>5,17</t>
  </si>
  <si>
    <t xml:space="preserve">CURVA DE PVC 90 GRAUS, SOLDAVEL, 40 MM, PARA AGUA FRIA PREDIAL (NBR 5648)                                                                                                                                                                                                                                                                                                                                                                                                                                 </t>
  </si>
  <si>
    <t xml:space="preserve">CURVA DE PVC 90 GRAUS, SOLDAVEL, 50 MM, PARA AGUA FRIA PREDIAL (NBR 5648)                                                                                                                                                                                                                                                                                                                                                                                                                                 </t>
  </si>
  <si>
    <t>11,20</t>
  </si>
  <si>
    <t xml:space="preserve">CURVA DE PVC 90 GRAUS, SOLDAVEL, 60 MM, PARA AGUA FRIA PREDIAL (NBR 5648)                                                                                                                                                                                                                                                                                                                                                                                                                                 </t>
  </si>
  <si>
    <t>27,69</t>
  </si>
  <si>
    <t xml:space="preserve">CURVA DE PVC 90 GRAUS, SOLDAVEL, 75 MM, PARA AGUA FRIA PREDIAL (NBR 5648)                                                                                                                                                                                                                                                                                                                                                                                                                                 </t>
  </si>
  <si>
    <t>39,36</t>
  </si>
  <si>
    <t xml:space="preserve">CURVA DE PVC 90 GRAUS, SOLDAVEL, 85 MM, PARA AGUA FRIA PREDIAL (NBR 5648)                                                                                                                                                                                                                                                                                                                                                                                                                                 </t>
  </si>
  <si>
    <t>56,56</t>
  </si>
  <si>
    <t xml:space="preserve">CURVA DE PVC, 45 GRAUS, SERIE R, DN 100 MM, PARA ESGOTO PREDIAL                                                                                                                                                                                                                                                                                                                                                                                                                                           </t>
  </si>
  <si>
    <t xml:space="preserve">CURVA DE PVC, 90 GRAUS, SERIE R, DN 100 MM, PARA ESGOTO PREDIAL                                                                                                                                                                                                                                                                                                                                                                                                                                           </t>
  </si>
  <si>
    <t>37,92</t>
  </si>
  <si>
    <t xml:space="preserve">CURVA DE PVC, 90 GRAUS, SERIE R, DN 50 MM, PARA ESGOTO PREDIAL                                                                                                                                                                                                                                                                                                                                                                                                                                            </t>
  </si>
  <si>
    <t xml:space="preserve">CURVA DE PVC, 90 GRAUS, SERIE R, DN 75 MM, PARA ESGOTO PREDIAL                                                                                                                                                                                                                                                                                                                                                                                                                                            </t>
  </si>
  <si>
    <t>26,17</t>
  </si>
  <si>
    <t xml:space="preserve">CURVA DE TRANSPOSICAO BRONZE/LATAO (REF 736) SEM ANEL DE SOLDA, BOLSA X BOLSA, 15 MM                                                                                                                                                                                                                                                                                                                                                                                                                      </t>
  </si>
  <si>
    <t xml:space="preserve">CURVA DE TRANSPOSICAO BRONZE/LATAO (REF 736) SEM ANEL DE SOLDA, BOLSA X BOLSA, 22 MM                                                                                                                                                                                                                                                                                                                                                                                                                      </t>
  </si>
  <si>
    <t>23,10</t>
  </si>
  <si>
    <t xml:space="preserve">CURVA DE TRANSPOSICAO BRONZE/LATAO (REF 736) SEM ANEL DE SOLDA, BOLSA X BOLSA, 28 MM                                                                                                                                                                                                                                                                                                                                                                                                                      </t>
  </si>
  <si>
    <t>41,63</t>
  </si>
  <si>
    <t xml:space="preserve">CURVA DE TRANSPOSICAO, CPVC, SOLDAVEL, 15 MM                                                                                                                                                                                                                                                                                                                                                                                                                                                              </t>
  </si>
  <si>
    <t>3,26</t>
  </si>
  <si>
    <t xml:space="preserve">CURVA DE TRANSPOSICAO, CPVC, SOLDAVEL, 22 MM                                                                                                                                                                                                                                                                                                                                                                                                                                                              </t>
  </si>
  <si>
    <t xml:space="preserve">CURVA DE TRANSPOSICAO, PVC SOLDAVEL, 20 MM, PARA AGUA FRIA PREDIAL                                                                                                                                                                                                                                                                                                                                                                                                                                        </t>
  </si>
  <si>
    <t xml:space="preserve">CURVA DE TRANSPOSICAO, PVC, SOLDAVEL, 25 MM, PARA AGUA FRIA PREDIAL                                                                                                                                                                                                                                                                                                                                                                                                                                       </t>
  </si>
  <si>
    <t xml:space="preserve">CURVA DE TRANSPOSICAO, PVC, SOLDAVEL, 32 MM, PARA AGUA FRIA PREDIAL                                                                                                                                                                                                                                                                                                                                                                                                                                       </t>
  </si>
  <si>
    <t xml:space="preserve">CURVA LONGA PVC, PB, JE, 45 GRAUS, DN 100 MM, PARA REDE COLETORA ESGOTO (NBR 10569)                                                                                                                                                                                                                                                                                                                                                                                                                       </t>
  </si>
  <si>
    <t xml:space="preserve">CURVA LONGA PVC, PB, JE, 45 GRAUS, DN 150 MM, PARA REDE COLETORA ESGOTO (NBR 10569)                                                                                                                                                                                                                                                                                                                                                                                                                       </t>
  </si>
  <si>
    <t>71,37</t>
  </si>
  <si>
    <t xml:space="preserve">CURVA LONGA PVC, PB, JE, 90 GRAUS, DN 100 MM, PARA REDE COLETORA ESGOTO (NBR 10569)                                                                                                                                                                                                                                                                                                                                                                                                                       </t>
  </si>
  <si>
    <t xml:space="preserve">CURVA LONGA PVC, PB, JE, 90 GRAUS, DN 150 MM, PARA REDE COLETORA ESGOTO (NBR 10569)                                                                                                                                                                                                                                                                                                                                                                                                                       </t>
  </si>
  <si>
    <t>102,48</t>
  </si>
  <si>
    <t xml:space="preserve">CURVA PPR 90 GRAUS, DN 20 MM, PARA AGUA QUENTE PREDIAL                                                                                                                                                                                                                                                                                                                                                                                                                                                    </t>
  </si>
  <si>
    <t>4,51</t>
  </si>
  <si>
    <t xml:space="preserve">CURVA PPR 90 GRAUS, DN 25 MM, PARA AGUA QUENTE PREDIAL                                                                                                                                                                                                                                                                                                                                                                                                                                                    </t>
  </si>
  <si>
    <t xml:space="preserve">CURVA PVC CURTA 90 G, DN 50 MM, PARA ESGOTO PREDIAL                                                                                                                                                                                                                                                                                                                                                                                                                                                       </t>
  </si>
  <si>
    <t xml:space="preserve">CURVA PVC CURTA 90 GRAUS, DN 40 MM, PARA ESGOTO PREDIAL                                                                                                                                                                                                                                                                                                                                                                                                                                                   </t>
  </si>
  <si>
    <t xml:space="preserve">CURVA PVC CURTA 90 GRAUS, DN 75 MM, PARA ESGOTO PREDIAL                                                                                                                                                                                                                                                                                                                                                                                                                                                   </t>
  </si>
  <si>
    <t xml:space="preserve">CURVA PVC CURTA 90 GRAUS, 100 MM, PARA ESGOTO PREDIAL                                                                                                                                                                                                                                                                                                                                                                                                                                                     </t>
  </si>
  <si>
    <t xml:space="preserve">CURVA PVC LEVE, 90 GRAUS, COM PONTA E BOLSA LISA, DN 150 MM                                                                                                                                                                                                                                                                                                                                                                                                                                               </t>
  </si>
  <si>
    <t>54,60</t>
  </si>
  <si>
    <t xml:space="preserve">CURVA PVC LEVE, 90 GRAUS, COM PONTA E BOLSA LISA, DN 250 MM                                                                                                                                                                                                                                                                                                                                                                                                                                               </t>
  </si>
  <si>
    <t>403,44</t>
  </si>
  <si>
    <t xml:space="preserve">CURVA PVC LEVE, 90 GRAUS, COM PONTA E BOLSA LISA, DN 300 MM                                                                                                                                                                                                                                                                                                                                                                                                                                               </t>
  </si>
  <si>
    <t>628,40</t>
  </si>
  <si>
    <t xml:space="preserve">CURVA PVC LONGA 45 GRAUS, 100 MM, PARA ESGOTO PREDIAL                                                                                                                                                                                                                                                                                                                                                                                                                                                     </t>
  </si>
  <si>
    <t xml:space="preserve">CURVA PVC LONGA 45G, DN 50 MM, PARA ESGOTO PREDIAL                                                                                                                                                                                                                                                                                                                                                                                                                                                        </t>
  </si>
  <si>
    <t xml:space="preserve">CURVA PVC LONGA 45G, DN 75 MM, PARA ESGOTO PREDIAL                                                                                                                                                                                                                                                                                                                                                                                                                                                        </t>
  </si>
  <si>
    <t xml:space="preserve">CURVA PVC LONGA 90 GRAUS, 100 MM, PARA ESGOTO PREDIAL                                                                                                                                                                                                                                                                                                                                                                                                                                                     </t>
  </si>
  <si>
    <t>30,59</t>
  </si>
  <si>
    <t xml:space="preserve">CURVA PVC LONGA 90 GRAUS, 40 MM, PARA ESGOTO PREDIAL                                                                                                                                                                                                                                                                                                                                                                                                                                                      </t>
  </si>
  <si>
    <t xml:space="preserve">CURVA PVC LONGA 90 GRAUS, 50 MM, PARA ESGOTO PREDIAL                                                                                                                                                                                                                                                                                                                                                                                                                                                      </t>
  </si>
  <si>
    <t>7,13</t>
  </si>
  <si>
    <t xml:space="preserve">CURVA PVC LONGA 90 GRAUS, 75 MM, PARA ESGOTO PREDIAL                                                                                                                                                                                                                                                                                                                                                                                                                                                      </t>
  </si>
  <si>
    <t xml:space="preserve">CURVA PVC PBA, JE, PB, 22 GRAUS, DN 100 / DE 110 MM, PARA REDE AGUA (NBR 10351)                                                                                                                                                                                                                                                                                                                                                                                                                           </t>
  </si>
  <si>
    <t>94,55</t>
  </si>
  <si>
    <t xml:space="preserve">CURVA PVC PBA, JE, PB, 22 GRAUS, DN 50 / DE 60 MM, PARA REDE AGUA (NBR 10351)                                                                                                                                                                                                                                                                                                                                                                                                                             </t>
  </si>
  <si>
    <t>20,10</t>
  </si>
  <si>
    <t xml:space="preserve">CURVA PVC PBA, JE, PB, 22 GRAUS, DN 75 / DE 85 MM, PARA REDE AGUA (NBR 10351)                                                                                                                                                                                                                                                                                                                                                                                                                             </t>
  </si>
  <si>
    <t>38,86</t>
  </si>
  <si>
    <t xml:space="preserve">CURVA PVC PBA, JE, PB, 45 GRAUS, DN 100 / DE 110 MM, PARA REDE AGUA (NBR 10351)                                                                                                                                                                                                                                                                                                                                                                                                                           </t>
  </si>
  <si>
    <t>93,63</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</si>
  <si>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</si>
  <si>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</si>
  <si>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</si>
  <si>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</si>
  <si>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</si>
  <si>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60,47</t>
  </si>
  <si>
    <t xml:space="preserve">CURVA PVC 90 GRAUS, ROSCAVEL, 1 1/2",  AGUA FRIA PREDIAL                                                                                                                                                                                                                                                                                                                                                                                                                                                  </t>
  </si>
  <si>
    <t>19,73</t>
  </si>
  <si>
    <t xml:space="preserve">CURVA PVC 90 GRAUS, ROSCAVEL, 1 1/4",  AGUA FRIA PREDIAL                                                                                                                                                                                                                                                                                                                                                                                                                                                  </t>
  </si>
  <si>
    <t>14,91</t>
  </si>
  <si>
    <t xml:space="preserve">CURVA PVC 90 GRAUS, ROSCAVEL, 1/2",  AGUA FRIA PREDIAL                                                                                                                                                                                                                                                                                                                                                                                                                                                    </t>
  </si>
  <si>
    <t xml:space="preserve">CURVA PVC 90 GRAUS, ROSCAVEL, 1",  AGUA FRIA PREDIAL                                                                                                                                                                                                                                                                                                                                                                                                                                                      </t>
  </si>
  <si>
    <t>6,13</t>
  </si>
  <si>
    <t xml:space="preserve">CURVA PVC 90 GRAUS, ROSCAVEL, 2",  AGUA FRIA PREDIAL                                                                                                                                                                                                                                                                                                                                                                                                                                                      </t>
  </si>
  <si>
    <t>28,16</t>
  </si>
  <si>
    <t xml:space="preserve">CURVA PVC 90 GRAUS, ROSCAVEL, 3/4",  AGUA FRIA PREDIAL                                                                                                                                                                                                                                                                                                                                                                                                                                                    </t>
  </si>
  <si>
    <t xml:space="preserve">CURVA PVC, BB, JE, 45 GRAUS, DN 200 MM, PARA TUBO CORRUGADO E/OU LISO, REDE COLETORA ESGOTO (NBR 10569)                                                                                                                                                                                                                                                                                                                                                                                                   </t>
  </si>
  <si>
    <t>227,38</t>
  </si>
  <si>
    <t xml:space="preserve">CURVA PVC, BB, JE, 45 GRAUS, DN 250 MM, PARA TUBO CORRUGADO E/OU LISO, REDE COLETORA ESGOTO (NBR 10569)                                                                                                                                                                                                                                                                                                                                                                                                   </t>
  </si>
  <si>
    <t>374,03</t>
  </si>
  <si>
    <t xml:space="preserve">CURVA PVC, BB, JE, 90 GRAUS, DN 200 MM, PARA TUBO CORRUGADO E/OU LISO, REDE COLETORA ESGOTO (NBR 10569)                                                                                                                                                                                                                                                                                                                                                                                                   </t>
  </si>
  <si>
    <t>284,39</t>
  </si>
  <si>
    <t xml:space="preserve">CURVA PVC, BB, JE, 90 GRAUS, DN 250 MM, PARA TUBO CORRUGADO E/OU LISO, REDE COLETORA ESGOTO (NBR 10569)                                                                                                                                                                                                                                                                                                                                                                                                   </t>
  </si>
  <si>
    <t>420,44</t>
  </si>
  <si>
    <t xml:space="preserve">CURVA PVC, SERIE R, 87.30 GRAUS, CURTA, 100 MM, PARA ESGOTO PREDIAL (PARA PE-DE-COLUNA)                                                                                                                                                                                                                                                                                                                                                                                                                   </t>
  </si>
  <si>
    <t>28,90</t>
  </si>
  <si>
    <t xml:space="preserve">CURVA PVC, SERIE R, 87.30 GRAUS, CURTA, 150 MM, PARA ESGOTO PREDIAL (PARA PE-DE-COLUNA)                                                                                                                                                                                                                                                                                                                                                                                                                   </t>
  </si>
  <si>
    <t xml:space="preserve">CURVA PVC, SERIE R, 87.30 GRAUS, CURTA, 75 MM, PARA ESGOTO PREDIAL (PARA PE-DE-COLUNA)                                                                                                                                                                                                                                                                                                                                                                                                                    </t>
  </si>
  <si>
    <t xml:space="preserve">CURVA PVC, 45 GRAUS, CURTA, PB, DN 100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</si>
  <si>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</si>
  <si>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</si>
  <si>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</si>
  <si>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195,09</t>
  </si>
  <si>
    <t xml:space="preserve">CURVA 135 GRAUS, PARA ELETRODUTO, EM ACO GALVANIZADO ELETROLITICO, DIAMETRO DE 15 MM (1/2")                                                                                                                                                                                                                                                                                                                                                                                                               </t>
  </si>
  <si>
    <t xml:space="preserve">CURVA 135 GRAUS, PARA ELETRODUTO, EM ACO GALVANIZADO ELETROLITICO, DIAMETRO DE 20 MM (3/4")                                                                                                                                                                                                                                                                                                                                                                                                               </t>
  </si>
  <si>
    <t>5,57</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</si>
  <si>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</si>
  <si>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</si>
  <si>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</si>
  <si>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27,43</t>
  </si>
  <si>
    <t xml:space="preserve">CURVA 135 GRAUS, PARA ELETRODUTO, EM ACO GALVANIZADO ELETROLITICO, DIAMETRO DE 50 MM (2")                                                                                                                                                                                                                                                                                                                                                                                                                 </t>
  </si>
  <si>
    <t>41,71</t>
  </si>
  <si>
    <t xml:space="preserve">CURVA 135 GRAUS, PARA ELETRODUTO, EM ACO GALVANIZADO ELETROLITICO, DIAMETRO DE 65 MM (2 1/2")                                                                                                                                                                                                                                                                                                                                                                                                             </t>
  </si>
  <si>
    <t>73,48</t>
  </si>
  <si>
    <t xml:space="preserve">CURVA 135 GRAUS, PARA ELETRODUTO, EM ACO GALVANIZADO ELETROLITICO, DIAMETRO DE 80 MM (3")                                                                                                                                                                                                                                                                                                                                                                                                                 </t>
  </si>
  <si>
    <t>99,39</t>
  </si>
  <si>
    <t xml:space="preserve">CURVA 180 GRAUS, DE PVC RIGIDO ROSCAVEL, DE 1 1/2", PARA ELETRODUTO                                                                                                                                                                                                                                                                                                                                                                                                                                       </t>
  </si>
  <si>
    <t xml:space="preserve">CURVA 180 GRAUS, DE PVC RIGIDO ROSCAVEL, DE 1 1/4", PARA ELETRODUTO                                                                                                                                                                                                                                                                                                                                                                                                                                       </t>
  </si>
  <si>
    <t xml:space="preserve">CURVA 180 GRAUS, DE PVC RIGIDO ROSCAVEL, DE 1/2", PARA ELETRODUTO                                                                                                                                                                                                                                                                                                                                                                                                                                         </t>
  </si>
  <si>
    <t>1,53</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</si>
  <si>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</si>
  <si>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</si>
  <si>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</si>
  <si>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</si>
  <si>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</si>
  <si>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6,47</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</si>
  <si>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</si>
  <si>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</si>
  <si>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</si>
  <si>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43,68</t>
  </si>
  <si>
    <t xml:space="preserve">CURVA 45 GRAUS DE COBRE (REF 606) SEM ANEL DE SOLDA, BOLSA X BOLSA, 54 MM                                                                                                                                                                                                                                                                                                                                                                                                                                 </t>
  </si>
  <si>
    <t>64,87</t>
  </si>
  <si>
    <t xml:space="preserve">CURVA 45 GRAUS DE COBRE (REF 606) SEM ANEL DE SOLDA, BOLSA X BOLSA, 66 MM                                                                                                                                                                                                                                                                                                                                                                                                                                 </t>
  </si>
  <si>
    <t>154,18</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</si>
  <si>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</si>
  <si>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</si>
  <si>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</si>
  <si>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</si>
  <si>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</si>
  <si>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106,02</t>
  </si>
  <si>
    <t xml:space="preserve">CURVA 45 GRAUS DE FERRO GALVANIZADO, COM ROSCA BSP FEMEA, DE 2"                                                                                                                                                                                                                                                                                                                                                                                                                                           </t>
  </si>
  <si>
    <t>70,37</t>
  </si>
  <si>
    <t xml:space="preserve">CURVA 45 GRAUS DE FERRO GALVANIZADO, COM ROSCA BSP FEMEA, DE 3/4"                                                                                                                                                                                                                                                                                                                                                                                                                                         </t>
  </si>
  <si>
    <t xml:space="preserve">CURVA 45 GRAUS DE FERRO GALVANIZADO, COM ROSCA BSP FEMEA, DE 3"                                                                                                                                                                                                                                                                                                                                                                                                                                           </t>
  </si>
  <si>
    <t xml:space="preserve">CURVA 45 GRAUS DE FERRO GALVANIZADO, COM ROSCA BSP FEMEA, DE 4"                                                                                                                                                                                                                                                                                                                                                                                                                                           </t>
  </si>
  <si>
    <t>317,86</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</si>
  <si>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</si>
  <si>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</si>
  <si>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</si>
  <si>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</si>
  <si>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17,31</t>
  </si>
  <si>
    <t xml:space="preserve">CURVA 45 GRAUS DE FERRO GALVANIZADO, COM ROSCA BSP MACHO/FEMEA, DE 2 1/2"                                                                                                                                                                                                                                                                                                                                                                                                                                 </t>
  </si>
  <si>
    <t>94,90</t>
  </si>
  <si>
    <t xml:space="preserve">CURVA 45 GRAUS DE FERRO GALVANIZADO, COM ROSCA BSP MACHO/FEMEA, DE 2"                                                                                                                                                                                                                                                                                                                                                                                                                                     </t>
  </si>
  <si>
    <t>52,63</t>
  </si>
  <si>
    <t xml:space="preserve">CURVA 45 GRAUS DE FERRO GALVANIZADO, COM ROSCA BSP MACHO/FEMEA, DE 3/4"                                                                                                                                                                                                                                                                                                                                                                                                                                   </t>
  </si>
  <si>
    <t>11,38</t>
  </si>
  <si>
    <t xml:space="preserve">CURVA 45 GRAUS DE FERRO GALVANIZADO, COM ROSCA BSP MACHO/FEMEA, DE 3"                                                                                                                                                                                                                                                                                                                                                                                                                                     </t>
  </si>
  <si>
    <t>132,88</t>
  </si>
  <si>
    <t xml:space="preserve">CURVA 45 GRAUS EM ACO CARBONO, SOLDAVEL, PRESSAO 3.000 LBS, DN 1 1/2"                                                                                                                                                                                                                                                                                                                                                                                                                                     </t>
  </si>
  <si>
    <t>48,29</t>
  </si>
  <si>
    <t xml:space="preserve">CURVA 45 GRAUS EM ACO CARBONO, SOLDAVEL, PRESSAO 3.000 LBS, DN 1 1/4"                                                                                                                                                                                                                                                                                                                                                                                                                                     </t>
  </si>
  <si>
    <t>33,06</t>
  </si>
  <si>
    <t xml:space="preserve">CURVA 45 GRAUS EM ACO CARBONO, SOLDAVEL, PRESSAO 3.000 LBS, DN 1/2"                                                                                                                                                                                                                                                                                                                                                                                                                                       </t>
  </si>
  <si>
    <t xml:space="preserve">CURVA 45 GRAUS EM ACO CARBONO, SOLDAVEL, PRESSAO 3.000 LBS, DN 1"                                                                                                                                                                                                                                                                                                                                                                                                                                         </t>
  </si>
  <si>
    <t>21,63</t>
  </si>
  <si>
    <t xml:space="preserve">CURVA 45 GRAUS EM ACO CARBONO, SOLDAVEL, PRESSAO 3.000 LBS, DN 2 1/2"                                                                                                                                                                                                                                                                                                                                                                                                                                     </t>
  </si>
  <si>
    <t>137,18</t>
  </si>
  <si>
    <t xml:space="preserve">CURVA 45 GRAUS EM ACO CARBONO, SOLDAVEL, PRESSAO 3.000 LBS, DN 2"                                                                                                                                                                                                                                                                                                                                                                                                                                         </t>
  </si>
  <si>
    <t>68,66</t>
  </si>
  <si>
    <t xml:space="preserve">CURVA 45 GRAUS EM ACO CARBONO, SOLDAVEL, PRESSAO 3.000 LBS, DN 3/4"                                                                                                                                                                                                                                                                                                                                                                                                                                       </t>
  </si>
  <si>
    <t>15,24</t>
  </si>
  <si>
    <t xml:space="preserve">CURVA 45 GRAUS EM ACO CARBONO, SOLDAVEL, PRESSAO 3.000 LBS, DN 3"                                                                                                                                                                                                                                                                                                                                                                                                                                         </t>
  </si>
  <si>
    <t>356,05</t>
  </si>
  <si>
    <t xml:space="preserve">CURVA 45 GRAUS RANHURADA EM FERRO FUNDIDO, DN 50 MM (2")                                                                                                                                                                                                                                                                                                                                                                                                                                                  </t>
  </si>
  <si>
    <t>12,41</t>
  </si>
  <si>
    <t xml:space="preserve">CURVA 45 GRAUS RANHURADA EM FERRO FUNDIDO, DN 65 MM (2 1/2")                                                                                                                                                                                                                                                                                                                                                                                                                                              </t>
  </si>
  <si>
    <t>17,16</t>
  </si>
  <si>
    <t xml:space="preserve">CURVA 45 GRAUS RANHURADA EM FERRO FUNDIDO, DN 80 MM (3")                                                                                                                                                                                                                                                                                                                                                                                                                                                  </t>
  </si>
  <si>
    <t xml:space="preserve">CURVA 45 GRAUS, PARA ELETRODUTO, EM ACO GALVANIZADO ELETROLITICO, DIAMETRO DE 20 MM (3/4")                                                                                                                                                                                                                                                                                                                                                                                                                </t>
  </si>
  <si>
    <t>4,35</t>
  </si>
  <si>
    <t xml:space="preserve">CURVA 45 GRAUS, PARA ELETRODUTO, EM ACO GALVANIZADO ELETROLITICO, DIAMETRO DE 25 MM (1")                                                                                                                                                                                                                                                                                                                                                                                                                  </t>
  </si>
  <si>
    <t xml:space="preserve">CURVA 45 GRAUS, PARA ELETRODUTO, EM ACO GALVANIZADO ELETROLITICO, DIAMETRO DE 40 MM (1 1/2")                                                                                                                                                                                                                                                                                                                                                                                                              </t>
  </si>
  <si>
    <t>16,11</t>
  </si>
  <si>
    <t xml:space="preserve">CURVA 90 GRAUS DE BARRA CHATA EM ALUMINIO 3/4 " X 1/4 " X 300 MM                                                                                                                                                                                                                                                                                                                                                                                                                                          </t>
  </si>
  <si>
    <t xml:space="preserve">CURVA 90 GRAUS DE FERRO GALVANIZADO, COM ROSCA BSP FEMEA, DE 1 1/2"                                                                                                                                                                                                                                                                                                                                                                                                                                       </t>
  </si>
  <si>
    <t>42,03</t>
  </si>
  <si>
    <t xml:space="preserve">CURVA 90 GRAUS DE FERRO GALVANIZADO, COM ROSCA BSP FEMEA, DE 1 1/4"                                                                                                                                                                                                                                                                                                                                                                                                                                       </t>
  </si>
  <si>
    <t>33,69</t>
  </si>
  <si>
    <t xml:space="preserve">CURVA 90 GRAUS DE FERRO GALVANIZADO, COM ROSCA BSP FEMEA, DE 1/2"                                                                                                                                                                                                                                                                                                                                                                                                                                         </t>
  </si>
  <si>
    <t xml:space="preserve">CURVA 90 GRAUS DE FERRO GALVANIZADO, COM ROSCA BSP FEMEA, DE 1"                                                                                                                                                                                                                                                                                                                                                                                                                                           </t>
  </si>
  <si>
    <t>20,03</t>
  </si>
  <si>
    <t xml:space="preserve">CURVA 90 GRAUS DE FERRO GALVANIZADO, COM ROSCA BSP FEMEA, DE 2 1/2"                                                                                                                                                                                                                                                                                                                                                                                                                                       </t>
  </si>
  <si>
    <t>121,49</t>
  </si>
  <si>
    <t xml:space="preserve">CURVA 90 GRAUS DE FERRO GALVANIZADO, COM ROSCA BSP FEMEA, DE 2"                                                                                                                                                                                                                                                                                                                                                                                                                                           </t>
  </si>
  <si>
    <t>70,00</t>
  </si>
  <si>
    <t xml:space="preserve">CURVA 90 GRAUS DE FERRO GALVANIZADO, COM ROSCA BSP FEMEA, DE 3/4"                                                                                                                                                                                                                                                                                                                                                                                                                                         </t>
  </si>
  <si>
    <t>13,28</t>
  </si>
  <si>
    <t xml:space="preserve">CURVA 90 GRAUS DE FERRO GALVANIZADO, COM ROSCA BSP FEMEA, DE 3"                                                                                                                                                                                                                                                                                                                                                                                                                                           </t>
  </si>
  <si>
    <t>163,99</t>
  </si>
  <si>
    <t xml:space="preserve">CURVA 90 GRAUS DE FERRO GALVANIZADO, COM ROSCA BSP FEMEA, DE 4"                                                                                                                                                                                                                                                                                                                                                                                                                                           </t>
  </si>
  <si>
    <t>331,37</t>
  </si>
  <si>
    <t xml:space="preserve">CURVA 90 GRAUS DE FERRO GALVANIZADO, COM ROSCA BSP MACHO/FEMEA, DE 1 1/2"                                                                                                                                                                                                                                                                                                                                                                                                                                 </t>
  </si>
  <si>
    <t>39,41</t>
  </si>
  <si>
    <t xml:space="preserve">CURVA 90 GRAUS DE FERRO GALVANIZADO, COM ROSCA BSP MACHO/FEMEA, DE 1 1/4"                                                                                                                                                                                                                                                                                                                                                                                                                                 </t>
  </si>
  <si>
    <t>32,37</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</si>
  <si>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</si>
  <si>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</si>
  <si>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</si>
  <si>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111,00</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</si>
  <si>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</si>
  <si>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</si>
  <si>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</si>
  <si>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158,74</t>
  </si>
  <si>
    <t xml:space="preserve">CURVA 90 GRAUS DE FERRO GALVANIZADO, COM ROSCA BSP MACHO/FEMEA, DE 4"                                                                                                                                                                                                                                                                                                                                                                                                                                     </t>
  </si>
  <si>
    <t>318,25</t>
  </si>
  <si>
    <t xml:space="preserve">CURVA 90 GRAUS DE FERRO GALVANIZADO, COM ROSCA BSP MACHO, DE 1 1/2"                                                                                                                                                                                                                                                                                                                                                                                                                                       </t>
  </si>
  <si>
    <t>47,73</t>
  </si>
  <si>
    <t xml:space="preserve">CURVA 90 GRAUS DE FERRO GALVANIZADO, COM ROSCA BSP MACHO, DE 1 1/4"                                                                                                                                                                                                                                                                                                                                                                                                                                       </t>
  </si>
  <si>
    <t>36,61</t>
  </si>
  <si>
    <t xml:space="preserve">CURVA 90 GRAUS DE FERRO GALVANIZADO, COM ROSCA BSP MACHO, DE 1/2"                                                                                                                                                                                                                                                                                                                                                                                                                                         </t>
  </si>
  <si>
    <t>8,74</t>
  </si>
  <si>
    <t xml:space="preserve">CURVA 90 GRAUS DE FERRO GALVANIZADO, COM ROSCA BSP MACHO, DE 1"                                                                                                                                                                                                                                                                                                                                                                                                                                           </t>
  </si>
  <si>
    <t xml:space="preserve">CURVA 90 GRAUS DE FERRO GALVANIZADO, COM ROSCA BSP MACHO, DE 2 1/2"                                                                                                                                                                                                                                                                                                                                                                                                                                       </t>
  </si>
  <si>
    <t>151,34</t>
  </si>
  <si>
    <t xml:space="preserve">CURVA 90 GRAUS DE FERRO GALVANIZADO, COM ROSCA BSP MACHO, DE 2"                                                                                                                                                                                                                                                                                                                                                                                                                                           </t>
  </si>
  <si>
    <t>67,72</t>
  </si>
  <si>
    <t xml:space="preserve">CURVA 90 GRAUS DE FERRO GALVANIZADO, COM ROSCA BSP MACHO, DE 3/4"                                                                                                                                                                                                                                                                                                                                                                                                                                         </t>
  </si>
  <si>
    <t xml:space="preserve">CURVA 90 GRAUS DE FERRO GALVANIZADO, COM ROSCA BSP MACHO, DE 3"                                                                                                                                                                                                                                                                                                                                                                                                                                           </t>
  </si>
  <si>
    <t>197,11</t>
  </si>
  <si>
    <t xml:space="preserve">CURVA 90 GRAUS DE FERRO GALVANIZADO, COM ROSCA BSP MACHO, DE 4"                                                                                                                                                                                                                                                                                                                                                                                                                                           </t>
  </si>
  <si>
    <t>376,32</t>
  </si>
  <si>
    <t xml:space="preserve">CURVA 90 GRAUS DE FERRO GALVANIZADO, COM ROSCA BSP MACHO, DE 6"                                                                                                                                                                                                                                                                                                                                                                                                                                           </t>
  </si>
  <si>
    <t>941,32</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</si>
  <si>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</si>
  <si>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</si>
  <si>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</si>
  <si>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</si>
  <si>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</si>
  <si>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147,36</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</si>
  <si>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</si>
  <si>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</si>
  <si>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</si>
  <si>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310,36</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</si>
  <si>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</si>
  <si>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</si>
  <si>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</si>
  <si>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</si>
  <si>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</si>
  <si>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2,25</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</si>
  <si>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</si>
  <si>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</si>
  <si>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</si>
  <si>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</si>
  <si>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1,72</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</si>
  <si>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</si>
  <si>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</si>
  <si>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</si>
  <si>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</si>
  <si>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1,74</t>
  </si>
  <si>
    <t xml:space="preserve">CURVA 90 GRAUS, LONGA, DE PVC RIGIDO ROSCAVEL, DE 3", PARA ELETRODUTO                                                                                                                                                                                                                                                                                                                                                                                                                                     </t>
  </si>
  <si>
    <t>14,97</t>
  </si>
  <si>
    <t xml:space="preserve">CURVA 90 GRAUS, LONGA, DE PVC RIGIDO ROSCAVEL, DE 4", PARA ELETRODUTO                                                                                                                                                                                                                                                                                                                                                                                                                                     </t>
  </si>
  <si>
    <t xml:space="preserve">CURVA 90 GRAUS, PARA ELETRODUTO, EM ACO GALVANIZADO ELETROLITICO, DIAMETRO DE 100 MM (4")                                                                                                                                                                                                                                                                                                                                                                                                                 </t>
  </si>
  <si>
    <t xml:space="preserve">CURVA 90 GRAUS, PARA ELETRODUTO, EM ACO GALVANIZADO ELETROLITICO, DIAMETRO DE 15 MM (1/2")                                                                                                                                                                                                                                                                                                                                                                                                                </t>
  </si>
  <si>
    <t xml:space="preserve">CURVA 90 GRAUS, PARA ELETRODUTO, EM ACO GALVANIZADO ELETROLITICO, DIAMETRO DE 20 MM (3/4")                                                                                                                                                                                                                                                                                                                                                                                                                </t>
  </si>
  <si>
    <t>4,41</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</si>
  <si>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</si>
  <si>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</si>
  <si>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</si>
  <si>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16,65</t>
  </si>
  <si>
    <t xml:space="preserve">CURVA 90 GRAUS, PARA ELETRODUTO, EM ACO GALVANIZADO ELETROLITICO, DIAMETRO DE 50 MM (2")                                                                                                                                                                                                                                                                                                                                                                                                                  </t>
  </si>
  <si>
    <t>24,45</t>
  </si>
  <si>
    <t xml:space="preserve">CURVA 90 GRAUS, PARA ELETRODUTO, EM ACO GALVANIZADO ELETROLITICO, DIAMETRO DE 65 MM (2 1/2")                                                                                                                                                                                                                                                                                                                                                                                                              </t>
  </si>
  <si>
    <t>61,90</t>
  </si>
  <si>
    <t xml:space="preserve">CURVA 90 GRAUS, PARA ELETRODUTO, EM ACO GALVANIZADO ELETROLITICO, DIAMETRO DE 80 MM (3")                                                                                                                                                                                                                                                                                                                                                                                                                  </t>
  </si>
  <si>
    <t>81,27</t>
  </si>
  <si>
    <t xml:space="preserve">DENTE PARA FRESADORA                                                                                                                                                                                                                                                                                                                                                                                                                                                                                      </t>
  </si>
  <si>
    <t xml:space="preserve">DESEMPENADEIRA DE ACO DENTADA 12 X *25* CM, DENTES 8 X 8 MM, CABO FECHADO DE MADEIRA                                                                                                                                                                                                                                                                                                                                                                                                                      </t>
  </si>
  <si>
    <t>12,62</t>
  </si>
  <si>
    <t xml:space="preserve">DESEMPENADEIRA DE ACO LISA 12 X *25* CM COM CABO FECHADO DE MADEIRA                                                                                                                                                                                                                                                                                                                                                                                                                                       </t>
  </si>
  <si>
    <t xml:space="preserve">DESEMPENADEIRA PLASTICA LISA *14 X 27* CM                                                                                                                                                                                                                                                                                                                                                                                                                                                                 </t>
  </si>
  <si>
    <t xml:space="preserve">DESENHISTA COPISTA                                                                                                                                                                                                                                                                                                                                                                                                                                                                                        </t>
  </si>
  <si>
    <t xml:space="preserve">DESENHISTA COPISTA (MENSALISTA)                                                                                                                                                                                                                                                                                                                                                                                                                                                                           </t>
  </si>
  <si>
    <t>2.179,76</t>
  </si>
  <si>
    <t xml:space="preserve">DESENHISTA DETALHISTA                                                                                                                                                                                                                                                                                                                                                                                                                                                                                     </t>
  </si>
  <si>
    <t xml:space="preserve">DESENHISTA DETALHISTA (MENSALISTA)                                                                                                                                                                                                                                                                                                                                                                                                                                                                        </t>
  </si>
  <si>
    <t>4.656,26</t>
  </si>
  <si>
    <t xml:space="preserve">DESENHISTA PROJETISTA                                                                                                                                                                                                                                                                                                                                                                                                                                                                                     </t>
  </si>
  <si>
    <t xml:space="preserve">DESENHISTA PROJETISTA (MENSALISTA)                                                                                                                                                                                                                                                                                                                                                                                                                                                                        </t>
  </si>
  <si>
    <t>4.161,83</t>
  </si>
  <si>
    <t xml:space="preserve">DESENHISTA TECNICO AUXILIAR                                                                                                                                                                                                                                                                                                                                                                                                                                                                               </t>
  </si>
  <si>
    <t>27,88</t>
  </si>
  <si>
    <t xml:space="preserve">DESENHISTA TECNICO AUXILIAR (MENSALISTA)                                                                                                                                                                                                                                                                                                                                                                                                                                                                  </t>
  </si>
  <si>
    <t>4.973,08</t>
  </si>
  <si>
    <t xml:space="preserve">DESMOLDANTE PARA CONCRETO ESTAMPADO                                                                                                                                                                                                                                                                                                                                                                                                                                                                       </t>
  </si>
  <si>
    <t xml:space="preserve">DESMOLDANTE PARA FORMAS METALICAS A BASE DE OLEO VEGETAL                                                                                                                                                                                                                                                                                                                                                                                                                                                  </t>
  </si>
  <si>
    <t xml:space="preserve">DESMOLDANTE PROTETOR PARA FORMAS DE MADEIRA, DE BASE OLEOSA EMULSIONADA EM AGUA                                                                                                                                                                                                                                                                                                                                                                                                                           </t>
  </si>
  <si>
    <t>4,85</t>
  </si>
  <si>
    <t xml:space="preserve">DETERGENTE AMONIACO (AMONIA DILUIDA)                                                                                                                                                                                                                                                                                                                                                                                                                                                                      </t>
  </si>
  <si>
    <t xml:space="preserve">DILUENTE EPOXI                                                                                                                                                                                                                                                                                                                                                                                                                                                                                            </t>
  </si>
  <si>
    <t xml:space="preserve">DISCO DE BORRACHA PARA LIXADEIRA RIGIDO 7 " COM ARRUELA CENTRAL                                                                                                                                                                                                                                                                                                                                                                                                                                           </t>
  </si>
  <si>
    <t>43,81</t>
  </si>
  <si>
    <t xml:space="preserve">DISCO DE CORTE DIAMANTADO SEGMENTADO DIAMETRO DE 180 MM PARA ESMERILHADEIRA 7 "                                                                                                                                                                                                                                                                                                                                                                                                                           </t>
  </si>
  <si>
    <t>139,25</t>
  </si>
  <si>
    <t xml:space="preserve">DISCO DE CORTE DIAMANTADO SEGMENTADO PARA CONCRETO, DIAMETRO DE 110 MM, FURO DE 20 MM                                                                                                                                                                                                                                                                                                                                                                                                                     </t>
  </si>
  <si>
    <t>33,77</t>
  </si>
  <si>
    <t xml:space="preserve">DISCO DE CORTE DIAMANTADO SEGMENTADO PARA CONCRETO, DIAMETRO DE 350 MM, FURO DE 1 " (14 X 1 ")                                                                                                                                                                                                                                                                                                                                                                                                            </t>
  </si>
  <si>
    <t>799,53</t>
  </si>
  <si>
    <t xml:space="preserve">DISCO DE CORTE PARA METAL COM DUAS TELAS 12 X 1/8 X 3/4 " (300 X 3,2 X 19,05 MM)                                                                                                                                                                                                                                                                                                                                                                                                                          </t>
  </si>
  <si>
    <t>35,59</t>
  </si>
  <si>
    <t xml:space="preserve">DISCO DE DESBASTE PARA METAL FERROSO EM GERAL, COM TRES TELAS,  9 X 1/4 X 7/8 " (228,6 X 6,4 X 22,2 MM)                                                                                                                                                                                                                                                                                                                                                                                                   </t>
  </si>
  <si>
    <t xml:space="preserve">DISCO DE LIXA PARA METAL, DIAMETRO = 180 MM, GRAO 120                                                                                                                                                                                                                                                                                                                                                                                                                                                     </t>
  </si>
  <si>
    <t>8,76</t>
  </si>
  <si>
    <t xml:space="preserve">DISJUNTOR  TERMOMAGNETICO TRIPOLAR 3 X 400 A / ICC - 25 KA                                                                                                                                                                                                                                                                                                                                                                                                                                                </t>
  </si>
  <si>
    <t>1.368,71</t>
  </si>
  <si>
    <t xml:space="preserve">DISJUNTOR TERMICO E MAGNETICO AJUSTAVEIS, TRIPOLAR DE 100 ATE 250A, CAPACIDADE DE INTERRUPCAO DE 35KA                                                                                                                                                                                                                                                                                                                                                                                                     </t>
  </si>
  <si>
    <t>1.076,70</t>
  </si>
  <si>
    <t xml:space="preserve">DISJUNTOR TERMICO E MAGNETICO AJUSTAVEIS, TRIPOLAR DE 300 ATE 400A, CAPACIDADE DE INTERRUPCAO DE 35KA                                                                                                                                                                                                                                                                                                                                                                                                     </t>
  </si>
  <si>
    <t>1.667,08</t>
  </si>
  <si>
    <t xml:space="preserve">DISJUNTOR TERMICO E MAGNETICO AJUSTAVEIS, TRIPOLAR DE 450 ATE 600A, CAPACIDADE DE INTERRUPCAO DE 35KA                                                                                                                                                                                                                                                                                                                                                                                                     </t>
  </si>
  <si>
    <t>3.894,81</t>
  </si>
  <si>
    <t xml:space="preserve">DISJUNTOR TERMOMAGNETICO TRIPOLAR 125A                                                                                                                                                                                                                                                                                                                                                                                                                                                                    </t>
  </si>
  <si>
    <t>316,77</t>
  </si>
  <si>
    <t xml:space="preserve">DISJUNTOR TERMOMAGNETICO TRIPOLAR 150 A / 600 V, TIPO FXD / ICC - 35 KA                                                                                                                                                                                                                                                                                                                                                                                                                                   </t>
  </si>
  <si>
    <t>359,37</t>
  </si>
  <si>
    <t xml:space="preserve">DISJUNTOR TERMOMAGNETICO TRIPOLAR 200 A / 600 V, TIPO FXD / ICC - 35 KA                                                                                                                                                                                                                                                                                                                                                                                                                                   </t>
  </si>
  <si>
    <t>504,34</t>
  </si>
  <si>
    <t xml:space="preserve">DISJUNTOR TERMOMAGNETICO TRIPOLAR 250 A / 600 V, TIPO FXD                                                                                                                                                                                                                                                                                                                                                                                                                                                 </t>
  </si>
  <si>
    <t>844,59</t>
  </si>
  <si>
    <t xml:space="preserve">DISJUNTOR TERMOMAGNETICO TRIPOLAR 3  X 250 A/ICC - 25 KA                                                                                                                                                                                                                                                                                                                                                                                                                                                  </t>
  </si>
  <si>
    <t>738,71</t>
  </si>
  <si>
    <t xml:space="preserve">DISJUNTOR TERMOMAGNETICO TRIPOLAR 3 X 350 A/ICC - 25 KA                                                                                                                                                                                                                                                                                                                                                                                                                                                   </t>
  </si>
  <si>
    <t>1.368,85</t>
  </si>
  <si>
    <t xml:space="preserve">DISJUNTOR TERMOMAGNETICO TRIPOLAR 300 A / 600 V, TIPO JXD / ICC - 40 KA                                                                                                                                                                                                                                                                                                                                                                                                                                   </t>
  </si>
  <si>
    <t>1.160,15</t>
  </si>
  <si>
    <t xml:space="preserve">DISJUNTOR TERMOMAGNETICO TRIPOLAR 400 A / 600 V, TIPO JXD / ICC - 40 KA                                                                                                                                                                                                                                                                                                                                                                                                                                   </t>
  </si>
  <si>
    <t xml:space="preserve">DISJUNTOR TERMOMAGNETICO TRIPOLAR 600 A / 600 V, TIPO LXD / ICC - 40 KA                                                                                                                                                                                                                                                                                                                                                                                                                                   </t>
  </si>
  <si>
    <t>1.910,77</t>
  </si>
  <si>
    <t xml:space="preserve">DISJUNTOR TERMOMAGNETICO TRIPOLAR 800 A / 600 V, TIPO LMXD                                                                                                                                                                                                                                                                                                                                                                                                                                                </t>
  </si>
  <si>
    <t>4.084,88</t>
  </si>
  <si>
    <t xml:space="preserve">DISJUNTOR TIPO DIN / IEC, MONOPOLAR DE 40  ATE 50A                                                                                                                                                                                                                                                                                                                                                                                                                                                        </t>
  </si>
  <si>
    <t xml:space="preserve">DISJUNTOR TIPO DIN/IEC, BIPOLAR DE 6 ATE 32A                                                                                                                                                                                                                                                                                                                                                                                                                                                              </t>
  </si>
  <si>
    <t>47,40</t>
  </si>
  <si>
    <t xml:space="preserve">DISJUNTOR TIPO DIN/IEC, BIPOLAR 40 ATE 50A                                                                                                                                                                                                                                                                                                                                                                                                                                                                </t>
  </si>
  <si>
    <t xml:space="preserve">DISJUNTOR TIPO DIN/IEC, BIPOLAR 63 A                                                                                                                                                                                                                                                                                                                                                                                                                                                                      </t>
  </si>
  <si>
    <t>66,85</t>
  </si>
  <si>
    <t xml:space="preserve">DISJUNTOR TIPO DIN/IEC, MONOPOLAR DE 6  ATE  32A                                                                                                                                                                                                                                                                                                                                                                                                                                                          </t>
  </si>
  <si>
    <t xml:space="preserve">DISJUNTOR TIPO DIN/IEC, MONOPOLAR DE 63 A                                                                                                                                                                                                                                                                                                                                                                                                                                                                 </t>
  </si>
  <si>
    <t xml:space="preserve">DISJUNTOR TIPO DIN/IEC, TRIPOLAR DE 10 ATE 50A                                                                                                                                                                                                                                                                                                                                                                                                                                                            </t>
  </si>
  <si>
    <t xml:space="preserve">DISJUNTOR TIPO DIN/IEC, TRIPOLAR 63 A                                                                                                                                                                                                                                                                                                                                                                                                                                                                     </t>
  </si>
  <si>
    <t>69,36</t>
  </si>
  <si>
    <t xml:space="preserve">DISJUNTOR TIPO NEMA, BIPOLAR 10  ATE  50 A, TENSAO MAXIMA 415 V                                                                                                                                                                                                                                                                                                                                                                                                                                           </t>
  </si>
  <si>
    <t>57,64</t>
  </si>
  <si>
    <t xml:space="preserve">DISJUNTOR TIPO NEMA, BIPOLAR 60 ATE 100A, TENSAO MAXIMA 415 V                                                                                                                                                                                                                                                                                                                                                                                                                                             </t>
  </si>
  <si>
    <t xml:space="preserve">DISJUNTOR TIPO NEMA, MONOPOLAR DE 60 ATE 70A, TENSAO MAXIMA DE 240 V                                                                                                                                                                                                                                                                                                                                                                                                                                      </t>
  </si>
  <si>
    <t>28,15</t>
  </si>
  <si>
    <t xml:space="preserve">DISJUNTOR TIPO NEMA, MONOPOLAR 10 ATE 30A, TENSAO MAXIMA DE 240 V                                                                                                                                                                                                                                                                                                                                                                                                                                         </t>
  </si>
  <si>
    <t>10,71</t>
  </si>
  <si>
    <t xml:space="preserve">DISJUNTOR TIPO NEMA, MONOPOLAR 35  ATE  50 A, TENSAO MAXIMA DE 240 V                                                                                                                                                                                                                                                                                                                                                                                                                                      </t>
  </si>
  <si>
    <t>17,96</t>
  </si>
  <si>
    <t xml:space="preserve">DISJUNTOR TIPO NEMA, TRIPOLAR 10  ATE  50A, TENSAO MAXIMA DE 415 V                                                                                                                                                                                                                                                                                                                                                                                                                                        </t>
  </si>
  <si>
    <t>71,89</t>
  </si>
  <si>
    <t xml:space="preserve">DISJUNTOR TIPO NEMA, TRIPOLAR 60 ATE 100 A, TENSAO MAXIMA DE 415 V                                                                                                                                                                                                                                                                                                                                                                                                                                        </t>
  </si>
  <si>
    <t>101,29</t>
  </si>
  <si>
    <t xml:space="preserve">DISPOSITIVO DPS CLASSE II, 1 POLO, TENSAO MAXIMA DE 175 V, CORRENTE MAXIMA DE *20* KA (TIPO AC)                                                                                                                                                                                                                                                                                                                                                                                                           </t>
  </si>
  <si>
    <t xml:space="preserve">DISPOSITIVO DPS CLASSE II, 1 POLO, TENSAO MAXIMA DE 175 V, CORRENTE MAXIMA DE *30* KA (TIPO AC)                                                                                                                                                                                                                                                                                                                                                                                                           </t>
  </si>
  <si>
    <t>69,61</t>
  </si>
  <si>
    <t xml:space="preserve">DISPOSITIVO DPS CLASSE II, 1 POLO, TENSAO MAXIMA DE 175 V, CORRENTE MAXIMA DE *45* KA (TIPO AC)                                                                                                                                                                                                                                                                                                                                                                                                           </t>
  </si>
  <si>
    <t>89,04</t>
  </si>
  <si>
    <t xml:space="preserve">DISPOSITIVO DPS CLASSE II, 1 POLO, TENSAO MAXIMA DE 175 V, CORRENTE MAXIMA DE *90* KA (TIPO AC)                                                                                                                                                                                                                                                                                                                                                                                                           </t>
  </si>
  <si>
    <t>158,27</t>
  </si>
  <si>
    <t xml:space="preserve">DISPOSITIVO DPS CLASSE II, 1 POLO, TENSAO MAXIMA DE 275 V, CORRENTE MAXIMA DE *20* KA (TIPO AC)                                                                                                                                                                                                                                                                                                                                                                                                           </t>
  </si>
  <si>
    <t>64,47</t>
  </si>
  <si>
    <t xml:space="preserve">DISPOSITIVO DPS CLASSE II, 1 POLO, TENSAO MAXIMA DE 275 V, CORRENTE MAXIMA DE *30* KA (TIPO AC)                                                                                                                                                                                                                                                                                                                                                                                                           </t>
  </si>
  <si>
    <t>79,21</t>
  </si>
  <si>
    <t xml:space="preserve">DISPOSITIVO DPS CLASSE II, 1 POLO, TENSAO MAXIMA DE 275 V, CORRENTE MAXIMA DE *45* KA (TIPO AC)                                                                                                                                                                                                                                                                                                                                                                                                           </t>
  </si>
  <si>
    <t>95,20</t>
  </si>
  <si>
    <t xml:space="preserve">DISPOSITIVO DPS CLASSE II, 1 POLO, TENSAO MAXIMA DE 275 V, CORRENTE MAXIMA DE *90* KA (TIPO AC)                                                                                                                                                                                                                                                                                                                                                                                                           </t>
  </si>
  <si>
    <t>165,40</t>
  </si>
  <si>
    <t xml:space="preserve">DISPOSITIVO DPS CLASSE II, 1 POLO, TENSAO MAXIMA DE 385 V, CORRENTE MAXIMA DE *20* KA (TIPO AC)                                                                                                                                                                                                                                                                                                                                                                                                           </t>
  </si>
  <si>
    <t>106,85</t>
  </si>
  <si>
    <t xml:space="preserve">DISPOSITIVO DPS CLASSE II, 1 POLO, TENSAO MAXIMA DE 385 V, CORRENTE MAXIMA DE *30* KA (TIPO AC)                                                                                                                                                                                                                                                                                                                                                                                                           </t>
  </si>
  <si>
    <t>113,91</t>
  </si>
  <si>
    <t xml:space="preserve">DISPOSITIVO DPS CLASSE II, 1 POLO, TENSAO MAXIMA DE 385 V, CORRENTE MAXIMA DE *45* KA (TIPO AC)                                                                                                                                                                                                                                                                                                                                                                                                           </t>
  </si>
  <si>
    <t>129,24</t>
  </si>
  <si>
    <t xml:space="preserve">DISPOSITIVO DPS CLASSE II, 1 POLO, TENSAO MAXIMA DE 385 V, CORRENTE MAXIMA DE *90* KA (TIPO AC)                                                                                                                                                                                                                                                                                                                                                                                                           </t>
  </si>
  <si>
    <t>243,29</t>
  </si>
  <si>
    <t xml:space="preserve">DISPOSITIVO DPS CLASSE II, 1 POLO, TENSAO MAXIMA DE 460 V, CORRENTE MAXIMA DE *20* KA (TIPO AC)                                                                                                                                                                                                                                                                                                                                                                                                           </t>
  </si>
  <si>
    <t>119,20</t>
  </si>
  <si>
    <t xml:space="preserve">DISPOSITIVO DPS CLASSE II, 1 POLO, TENSAO MAXIMA DE 460 V, CORRENTE MAXIMA DE *30* KA (TIPO AC)                                                                                                                                                                                                                                                                                                                                                                                                           </t>
  </si>
  <si>
    <t>122,89</t>
  </si>
  <si>
    <t xml:space="preserve">DISPOSITIVO DPS CLASSE II, 1 POLO, TENSAO MAXIMA DE 460 V, CORRENTE MAXIMA DE *45* KA (TIPO AC)                                                                                                                                                                                                                                                                                                                                                                                                           </t>
  </si>
  <si>
    <t>144,79</t>
  </si>
  <si>
    <t xml:space="preserve">DISPOSITIVO DPS CLASSE II, 1 POLO, TENSAO MAXIMA DE 460 V, CORRENTE MAXIMA DE *90* KA (TIPO AC)                                                                                                                                                                                                                                                                                                                                                                                                           </t>
  </si>
  <si>
    <t>298,78</t>
  </si>
  <si>
    <t xml:space="preserve">DISPOSITIVO DR, 2 POLOS, SENSIBILIDADE DE 30 MA, CORRENTE DE 100 A, TIPO AC                                                                                                                                                                                                                                                                                                                                                                                                                               </t>
  </si>
  <si>
    <t>253,59</t>
  </si>
  <si>
    <t xml:space="preserve">DISPOSITIVO DR, 2 POLOS, SENSIBILIDADE DE 30 MA, CORRENTE DE 25 A, TIPO AC                                                                                                                                                                                                                                                                                                                                                                                                                                </t>
  </si>
  <si>
    <t>127,33</t>
  </si>
  <si>
    <t xml:space="preserve">DISPOSITIVO DR, 2 POLOS, SENSIBILIDADE DE 30 MA, CORRENTE DE 40 A, TIPO AC                                                                                                                                                                                                                                                                                                                                                                                                                                </t>
  </si>
  <si>
    <t>129,59</t>
  </si>
  <si>
    <t xml:space="preserve">DISPOSITIVO DR, 2 POLOS, SENSIBILIDADE DE 30 MA, CORRENTE DE 63 A, TIPO AC                                                                                                                                                                                                                                                                                                                                                                                                                                </t>
  </si>
  <si>
    <t>138,58</t>
  </si>
  <si>
    <t xml:space="preserve">DISPOSITIVO DR, 2 POLOS, SENSIBILIDADE DE 30 MA, CORRENTE DE 80 A, TIPO AC                                                                                                                                                                                                                                                                                                                                                                                                                                </t>
  </si>
  <si>
    <t>236,31</t>
  </si>
  <si>
    <t xml:space="preserve">DISPOSITIVO DR, 2 POLOS, SENSIBILIDADE DE 300 MA, CORRENTE DE 25 A, TIPO AC                                                                                                                                                                                                                                                                                                                                                                                                                               </t>
  </si>
  <si>
    <t>144,18</t>
  </si>
  <si>
    <t xml:space="preserve">DISPOSITIVO DR, 2 POLOS, SENSIBILIDADE DE 300 MA, CORRENTE DE 40 A, TIPO AC                                                                                                                                                                                                                                                                                                                                                                                                                               </t>
  </si>
  <si>
    <t>157,25</t>
  </si>
  <si>
    <t xml:space="preserve">DISPOSITIVO DR, 2 POLOS, SENSIBILIDADE DE 300 MA, CORRENTE DE 63 A, TIPO AC                                                                                                                                                                                                                                                                                                                                                                                                                               </t>
  </si>
  <si>
    <t>158,19</t>
  </si>
  <si>
    <t xml:space="preserve">DISPOSITIVO DR, 2 POLOS, SENSIBILIDADE DE 300 MA, CORRENTE DE 80 A, TIPO  AC                                                                                                                                                                                                                                                                                                                                                                                                                              </t>
  </si>
  <si>
    <t>264,73</t>
  </si>
  <si>
    <t xml:space="preserve">DISPOSITIVO DR, 4 POLOS, SENSIBILIDADE DE 30 MA, CORRENTE DE 100 A, TIPO AC                                                                                                                                                                                                                                                                                                                                                                                                                               </t>
  </si>
  <si>
    <t>293,18</t>
  </si>
  <si>
    <t xml:space="preserve">DISPOSITIVO DR, 4 POLOS, SENSIBILIDADE DE 30 MA, CORRENTE DE 25 A, TIPO AC                                                                                                                                                                                                                                                                                                                                                                                                                                </t>
  </si>
  <si>
    <t>145,07</t>
  </si>
  <si>
    <t xml:space="preserve">DISPOSITIVO DR, 4 POLOS, SENSIBILIDADE DE 30 MA, CORRENTE DE 40 A, TIPO AC                                                                                                                                                                                                                                                                                                                                                                                                                                </t>
  </si>
  <si>
    <t>145,18</t>
  </si>
  <si>
    <t xml:space="preserve">DISPOSITIVO DR, 4 POLOS, SENSIBILIDADE DE 30 MA, CORRENTE DE 63 A, TIPO AC                                                                                                                                                                                                                                                                                                                                                                                                                                </t>
  </si>
  <si>
    <t xml:space="preserve">DISPOSITIVO DR, 4 POLOS, SENSIBILIDADE DE 30 MA, CORRENTE DE 80 A, TIPO AC                                                                                                                                                                                                                                                                                                                                                                                                                                </t>
  </si>
  <si>
    <t>295,34</t>
  </si>
  <si>
    <t xml:space="preserve">DISPOSITIVO DR, 4 POLOS, SENSIBILIDADE DE 300 MA, CORRENTE DE 100 A, TIPO AC                                                                                                                                                                                                                                                                                                                                                                                                                              </t>
  </si>
  <si>
    <t>474,92</t>
  </si>
  <si>
    <t xml:space="preserve">DISPOSITIVO DR, 4 POLOS, SENSIBILIDADE DE 300 MA, CORRENTE DE 25 A, TIPO AC                                                                                                                                                                                                                                                                                                                                                                                                                               </t>
  </si>
  <si>
    <t>180,13</t>
  </si>
  <si>
    <t xml:space="preserve">DISPOSITIVO DR, 4 POLOS, SENSIBILIDADE DE 300 MA, CORRENTE DE 40 A, TIPO AC                                                                                                                                                                                                                                                                                                                                                                                                                               </t>
  </si>
  <si>
    <t>211,07</t>
  </si>
  <si>
    <t xml:space="preserve">DISPOSITIVO DR, 4 POLOS, SENSIBILIDADE DE 300 MA, CORRENTE DE 63 A, TIPO AC                                                                                                                                                                                                                                                                                                                                                                                                                               </t>
  </si>
  <si>
    <t>203,41</t>
  </si>
  <si>
    <t xml:space="preserve">DISPOSITIVO DR, 4 POLOS, SENSIBILIDADE DE 300 MA, CORRENTE DE 80 A, TIPO AC                                                                                                                                                                                                                                                                                                                                                                                                                               </t>
  </si>
  <si>
    <t>471,24</t>
  </si>
  <si>
    <t xml:space="preserve">DISTRIBUIDOR DE AGREGADOS AUTOPROPELIDO, CAP 3 M3, A DIESEL, 6 CC, 176 CV                                                                                                                                                                                                                                                                                                                                                                                                                                 </t>
  </si>
  <si>
    <t>249.588,52</t>
  </si>
  <si>
    <t xml:space="preserve">DISTRIBUIDOR DE AGREGADOS REBOCAVEL, CAPACIDADE 1,9 M3, LARGURA DE TRABALHO 3,66 M                                                                                                                                                                                                                                                                                                                                                                                                                        </t>
  </si>
  <si>
    <t>57.408,12</t>
  </si>
  <si>
    <t xml:space="preserve">DISTRIBUIDOR METALICO, COM ROSCA, 2 SAIDAS, DN 1" X 1/2", PARA CONEXAO COM ANEL DESLIZANTE EM TUBO PEX                                                                                                                                                                                                                                                                                                                                                                                                    </t>
  </si>
  <si>
    <t xml:space="preserve">DISTRIBUIDOR METALICO, COM ROSCA, 2 SAIDAS, DN 3/4" X 1/2", PARA CONEXAO COM ANEL DESLIZANTE EM TUBO PEX                                                                                                                                                                                                                                                                                                                                                                                                  </t>
  </si>
  <si>
    <t>28,81</t>
  </si>
  <si>
    <t xml:space="preserve">DISTRIBUIDOR METALICO, COM ROSCA, 3 SAIDAS, DN 1" X 1/2", PARA CONEXAO COM ANEL DESLIZANTE EM TUBO PEX                                                                                                                                                                                                                                                                                                                                                                                                    </t>
  </si>
  <si>
    <t>44,61</t>
  </si>
  <si>
    <t xml:space="preserve">DISTRIBUIDOR METALICO, COM ROSCA, 3 SAIDAS, DN 3/4" X 1/2", PARA CONEXAO COM ANEL DESLIZANTE EM TUBO PEX                                                                                                                                                                                                                                                                                                                                                                                                  </t>
  </si>
  <si>
    <t>35,89</t>
  </si>
  <si>
    <t xml:space="preserve">DISTRIBUIDOR, PLASTICO, 2 SAIDAS, DN 32 X 16 MM, PARA CONEXAO COM CRIMPAGEM EM TUBO PEX                                                                                                                                                                                                                                                                                                                                                                                                                   </t>
  </si>
  <si>
    <t>111,78</t>
  </si>
  <si>
    <t xml:space="preserve">DISTRIBUIDOR, PLASTICO, 2 SAIDAS, DN 32 X 20 MM, PARA CONEXAO COM CRIMPAGEM EM TUBO PEX                                                                                                                                                                                                                                                                                                                                                                                                                   </t>
  </si>
  <si>
    <t>121,14</t>
  </si>
  <si>
    <t xml:space="preserve">DISTRIBUIDOR, PLASTICO, 2 SAIDAS, DN 32 X 25 MM, PARA CONEXAO COM CRIMPAGEM EM TUBO PEX                                                                                                                                                                                                                                                                                                                                                                                                                   </t>
  </si>
  <si>
    <t>122,88</t>
  </si>
  <si>
    <t xml:space="preserve">DISTRIBUIDOR, PLASTICO, 3 SAIDAS, DN 32 X 16 MM, PARA CONEXAO COM CRIMPAGEM EM TUBO PEX                                                                                                                                                                                                                                                                                                                                                                                                                   </t>
  </si>
  <si>
    <t xml:space="preserve">DISTRIBUIDOR, PLASTICO, 3 SAIDAS, DN 32 X 20 MM, PARA CONEXAO COM CRIMPAGEM EM TUBO PEX                                                                                                                                                                                                                                                                                                                                                                                                                   </t>
  </si>
  <si>
    <t>141,15</t>
  </si>
  <si>
    <t xml:space="preserve">DISTRIBUIDOR, PLASTICO, 3 SAIDAS, DN 32 X 25 MM, PARA CONEXAO COM CRIMPAGEM EM TUBO PEX                                                                                                                                                                                                                                                                                                                                                                                                                   </t>
  </si>
  <si>
    <t>150,63</t>
  </si>
  <si>
    <t xml:space="preserve">DIVISORIA (N2) PAINEL/VIDRO - PAINEL C/ MSO/COMEIA E=35MM - MONTANTE/RODAPE DUPLO ACO GALV PINTADO - COLOCADA                                                                                                                                                                                                                                                                                                                                                                                             </t>
  </si>
  <si>
    <t>94,57</t>
  </si>
  <si>
    <t xml:space="preserve">DIVISORIA (N2) PAINEL/VIDRO - PAINEL C/ MSO/COMEIA E=35MM - PERFIS SIMPLES ACO GALV PINTADO - COLOCADA                                                                                                                                                                                                                                                                                                                                                                                                    </t>
  </si>
  <si>
    <t>90,98</t>
  </si>
  <si>
    <t xml:space="preserve">DIVISORIA (N2) PAINEL/VIDRO - PAINEL MSO/COMEIA E=35MM - MONTANTE/RODAPE DUPLO ALUMINIO ANOD NAT - COLOCADA                                                                                                                                                                                                                                                                                                                                                                                               </t>
  </si>
  <si>
    <t>105,89</t>
  </si>
  <si>
    <t xml:space="preserve">DIVISORIA (N2) PAINEL/VIDRO - PAINEL MSO/COMEIA E=35MM - PERFIS SIMPLES ALUMINIO ANOD NAT - COLOCADA                                                                                                                                                                                                                                                                                                                                                                                                      </t>
  </si>
  <si>
    <t xml:space="preserve">DIVISORIA (N2) PAINEL/VIDRO - PAINEL VERMICULITA E=35MM - PERFIS SIMPLES ALUMINIO ANOD NATURAL - COLOCADA                                                                                                                                                                                                                                                                                                                                                                                                 </t>
  </si>
  <si>
    <t>237,03</t>
  </si>
  <si>
    <t xml:space="preserve">DIVISORIA (N3) PAINEL/VIDRO/PAINEL MSO/COMEIA E=35MM - MONTANTE/RODAPE DUPLO ACO GALV PINTADO - COLOCADA                                                                                                                                                                                                                                                                                                                                                                                                  </t>
  </si>
  <si>
    <t>104,86</t>
  </si>
  <si>
    <t xml:space="preserve">DIVISORIA (N3) PAINEL/VIDRO/PAINEL MSO/COMEIA E=35MM - MONTANTE/RODAPE DUPLO ALUMINIO ANOD NAT - COLOCADA                                                                                                                                                                                                                                                                                                                                                                                                 </t>
  </si>
  <si>
    <t xml:space="preserve">DIVISORIA (N3) PAINEL/VIDRO/PAINEL MSO/COMEIA E=35MM - PERFIS SIMPLES ACO GALV PINTADO - COLOCADA                                                                                                                                                                                                                                                                                                                                                                                                         </t>
  </si>
  <si>
    <t xml:space="preserve">DIVISORIA (N3) PAINEL/VIDRO/PAINEL MSO/COMEIA E=35MM - PERFIS SIMPLES ALUMINIO ANOD NAT - COLOCADA                                                                                                                                                                                                                                                                                                                                                                                                        </t>
  </si>
  <si>
    <t>86,19</t>
  </si>
  <si>
    <t xml:space="preserve">DIVISORIA (N3) PAINEL/VIDRO/PAINEL VERMICULITA E=35MM - MONTANTE/RODAPE DUPLO ALUMINIO ANOD NATURAL - COLOCADA                                                                                                                                                                                                                                                                                                                                                                                            </t>
  </si>
  <si>
    <t>210,69</t>
  </si>
  <si>
    <t xml:space="preserve">DIVISORIA (N3) PAINEL/VIDRO/PAINEL VERMICULITA E=35MM - MONTANTE/RODAPE PERFIL DUPLO ACO GALV PINTADO - COLOCADA                                                                                                                                                                                                                                                                                                                                                                                          </t>
  </si>
  <si>
    <t>203,51</t>
  </si>
  <si>
    <t xml:space="preserve">DIVISORIA CEGA (N1) - PAINEL MSO/COMEIA E=35MM - MONTANTE/RODAPE DUPLO   ACO GALV PINTADO - COLOCADA                                                                                                                                                                                                                                                                                                                                                                                                      </t>
  </si>
  <si>
    <t>89,78</t>
  </si>
  <si>
    <t xml:space="preserve">DIVISORIA CEGA (N1) - PAINEL MSO/COMEIA E=35MM - MONTANTE/RODAPE DUPLO ALUMINIO ANOD NAT - COLOCADA                                                                                                                                                                                                                                                                                                                                                                                                       </t>
  </si>
  <si>
    <t>95,77</t>
  </si>
  <si>
    <t xml:space="preserve">DIVISORIA CEGA (N1) - PAINEL MSO/COMEIA E=35MM - PERFIS SIMPLES ACO GALV PINTADO   - COLOCADA                                                                                                                                                                                                                                                                                                                                                                                                             </t>
  </si>
  <si>
    <t>76,61</t>
  </si>
  <si>
    <t xml:space="preserve">DIVISORIA CEGA (N1) - PAINEL MSO/COMEIA E=35MM - PERFIS SIMPLES ALUMINIO ANOD NAT - COLOCADA                                                                                                                                                                                                                                                                                                                                                                                                              </t>
  </si>
  <si>
    <t xml:space="preserve">DIVISORIA CEGA (N1) - PAINEL VERMICULITA E=35MM - MONTANTE/RODAPE PERFIS SIMPLES ACO GALV PINTADO - COLOCADA                                                                                                                                                                                                                                                                                                                                                                                              </t>
  </si>
  <si>
    <t>186,75</t>
  </si>
  <si>
    <t xml:space="preserve">DIVISORIA CEGA (N1) - PAINEL VERMICULITA E=35MM - PERFIS SIMPLES ALUMINIO ANOD NATURAL - COLOCADA                                                                                                                                                                                                                                                                                                                                                                                                         </t>
  </si>
  <si>
    <t>227,45</t>
  </si>
  <si>
    <t xml:space="preserve">DIVISORIA EM GRANITO, COM DUAS FACES POLIDAS, TIPO ANDORINHA/ QUARTZ/ CASTELO/ CORUMBA OU OUTROS EQUIVALENTES DA REGIAO, E=  *3,0* CM                                                                                                                                                                                                                                                                                                                                                                     </t>
  </si>
  <si>
    <t>552,07</t>
  </si>
  <si>
    <t xml:space="preserve">DIVISORIA EM MARMORE, COM DUAS FACES POLIDAS, BRANCO COMUM, E=  *3,0* CM                                                                                                                                                                                                                                                                                                                                                                                                                                  </t>
  </si>
  <si>
    <t>304,86</t>
  </si>
  <si>
    <t xml:space="preserve">DIVISORIA, PLACA  PRE-MOLDADA EM GRANILITE, MARMORITE OU GRANITINA,  E = *3 CM                                                                                                                                                                                                                                                                                                                                                                                                                            </t>
  </si>
  <si>
    <t>119,56</t>
  </si>
  <si>
    <t xml:space="preserve">DOBRADEIRA ELETROMECANICA DE VERGALHAO, PARA ACO DE DIAMETRO ATE 1 1/2 "Â, MOTOR ELETRICO TRIFASICO, POTENCIA DE 3 HP ATE 5 HP                                                                                                                                                                                                                                                                                                                                                                           </t>
  </si>
  <si>
    <t>71.506,16</t>
  </si>
  <si>
    <t xml:space="preserve">DOBRADICA EM ACO/FERRO, 3 1/2" X  3", E= 1,9  A 2 MM, COM ANEL,  CROMADO OU ZINCADO, TAMPA BOLA, COM PARAFUSOS                                                                                                                                                                                                                                                                                                                                                                                            </t>
  </si>
  <si>
    <t xml:space="preserve">DOBRADICA EM ACO/FERRO, 3" X 2 1/2", E= 1,2 A 1,8 MM, SEM ANEL,  CROMADO OU ZINCADO, TAMPA BOLA, COM PARAFUSOS                                                                                                                                                                                                                                                                                                                                                                                            </t>
  </si>
  <si>
    <t xml:space="preserve">DOBRADICA EM ACO/FERRO, 3" X 2 1/2", E= 1,2 A 1,8 MM, SEM ANEL,  CROMADO OU ZINCADO, TAMPA CHATA, COM PARAFUSOS                                                                                                                                                                                                                                                                                                                                                                                           </t>
  </si>
  <si>
    <t xml:space="preserve">DOBRADICA EM ACO/FERRO, 3" X 2 1/2", E= 1,9 A 2 MM, SEM ANEL,  CROMADO OU ZINCADO, TAMPA BOLA, COM PARAFUSOS                                                                                                                                                                                                                                                                                                                                                                                              </t>
  </si>
  <si>
    <t xml:space="preserve">DOBRADICA EM ACO/FERRO, 4" X 3", E= 2,2 A 3,0 MM, COM ANEL, CROMADO OU ZINCADO,TAMPA BOLA, COM PARAFUSOS                                                                                                                                                                                                                                                                                                                                                                                                  </t>
  </si>
  <si>
    <t>21,18</t>
  </si>
  <si>
    <t xml:space="preserve">DOBRADICA EM LATAO, 3 " X 2 1/2 ", E= 1,9 A 2 MM, COM ANEL, CROMADO, TAMPA BOLA, COM PARAFUSOS                                                                                                                                                                                                                                                                                                                                                                                                            </t>
  </si>
  <si>
    <t xml:space="preserve">DOBRADICA EM LATAO, 4" X 3", E= 2,2 A 3,0 MM, COM ANEL,  TAMPA BOLA, COM PARAFUSOS                                                                                                                                                                                                                                                                                                                                                                                                                        </t>
  </si>
  <si>
    <t>48,55</t>
  </si>
  <si>
    <t xml:space="preserve">DOBRADICA TIPO PIANO EM ACO/FERRO, 1'' X 3 M, GALVANIZADO, COM PARAFUSOS                                                                                                                                                                                                                                                                                                                                                                                                                                  </t>
  </si>
  <si>
    <t xml:space="preserve">DOBRADICA TIPO VAI-E-VEM EM ACO/FERRO, TAMANHO 3'', GALVANIZADO, COM PARAFUSOS                                                                                                                                                                                                                                                                                                                                                                                                                            </t>
  </si>
  <si>
    <t xml:space="preserve">DOMOS INDIVIDUAL EM ACRILICO BRANCO *95 X 95* CM, SEM INSTALACAO                                                                                                                                                                                                                                                                                                                                                                                                                                          </t>
  </si>
  <si>
    <t>444,59</t>
  </si>
  <si>
    <t xml:space="preserve">DOSADOR DE AREIA, CAPACIDADE DE *26* LITROS                                                                                                                                                                                                                                                                                                                                                                                                                                                               </t>
  </si>
  <si>
    <t>1.284,80</t>
  </si>
  <si>
    <t xml:space="preserve">DUCHA HIGIENICA PLASTICA COM REGISTRO METALICO 1/2 "                                                                                                                                                                                                                                                                                                                                                                                                                                                      </t>
  </si>
  <si>
    <t xml:space="preserve">DUCHA METALICA DE PAREDE, ARTICULAVEL, COM BRACO/CANO, SEM DESVIADOR                                                                                                                                                                                                                                                                                                                                                                                                                                      </t>
  </si>
  <si>
    <t>174,25</t>
  </si>
  <si>
    <t xml:space="preserve">DUCHA METALICA DE PAREDE, ARTICULAVEL, COM DESVIADOR E DUCHA MANUAL                                                                                                                                                                                                                                                                                                                                                                                                                                       </t>
  </si>
  <si>
    <t>391,85</t>
  </si>
  <si>
    <t xml:space="preserve">DUMPER COM CAPACIDADE DE CARGA DE 1700 KG, PARTIDA ELETRICA, MOTOR DIESEL COM POTENCIA DE 16 CV                                                                                                                                                                                                                                                                                                                                                                                                           </t>
  </si>
  <si>
    <t>71.813,07</t>
  </si>
  <si>
    <t xml:space="preserve">ELEMENTO VAZADO CERAMICO 25 X 18 X 7 CM                                                                                                                                                                                                                                                                                                                                                                                                                                                                   </t>
  </si>
  <si>
    <t xml:space="preserve">ELEMENTO VAZADO CERAMICO 7 X 20 X 20 CM                                                                                                                                                                                                                                                                                                                                                                                                                                                                   </t>
  </si>
  <si>
    <t xml:space="preserve">ELEMENTO VAZADO CERAMICO 9 X 20 X 20 CM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</si>
  <si>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</si>
  <si>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</si>
  <si>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</si>
  <si>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</si>
  <si>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</si>
  <si>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10,48</t>
  </si>
  <si>
    <t xml:space="preserve">ELEMENTO VAZADO DE CONCRETO, QUADRICULADO, 16 FUROS *40 X 40 X 7* CM                                                                                                                                                                                                                                                                                                                                                                                                                                      </t>
  </si>
  <si>
    <t xml:space="preserve">ELEMENTO VAZADO DE CONCRETO, QUADRICULADO, 16 FUROS *50 X 50 X 7* CM                                                                                                                                                                                                                                                                                                                                                                                                                                      </t>
  </si>
  <si>
    <t>19,51</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</si>
  <si>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</si>
  <si>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</si>
  <si>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</si>
  <si>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</si>
  <si>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t>
  </si>
  <si>
    <t xml:space="preserve">ELETRICISTA (MENSALISTA)                                                                                                                                                                                                                                                                                                                                                                                                                                                                                  </t>
  </si>
  <si>
    <t xml:space="preserve">ELETRICISTA DE MANUTENCAO INDUSTRIAL                                                                                                                                                                                                                                                                                                                                                                                                                                                                      </t>
  </si>
  <si>
    <t xml:space="preserve">ELETRICISTA DE MANUTENCAO INDUSTRIAL (MENSALISTA)                                                                                                                                                                                                                                                                                                                                                                                                                                                         </t>
  </si>
  <si>
    <t>2.930,00</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</si>
  <si>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</si>
  <si>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</si>
  <si>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</si>
  <si>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</si>
  <si>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</si>
  <si>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</si>
  <si>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</si>
  <si>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</si>
  <si>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</si>
  <si>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</si>
  <si>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</si>
  <si>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</si>
  <si>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</si>
  <si>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</si>
  <si>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</si>
  <si>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</si>
  <si>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</si>
  <si>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</si>
  <si>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</si>
  <si>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</si>
  <si>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</si>
  <si>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</si>
  <si>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</si>
  <si>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</si>
  <si>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</si>
  <si>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</si>
  <si>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</si>
  <si>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33,99</t>
  </si>
  <si>
    <t xml:space="preserve">ELETRODUTO FLEXIVEL, EM ACO GALVANIZADO, REVESTIDO EXTERNAMENTE COM PVC PRETO, DIAMETRO EXTERNO DE 75 MM (2 1/2"), TIPO SEALTUBO                                                                                                                                                                                                                                                                                                                                                                          </t>
  </si>
  <si>
    <t>52,97</t>
  </si>
  <si>
    <t xml:space="preserve">ELETRODUTO FLEXIVEL, EM ACO, TIPO CONDUITE, DIAMETRO DE 1 1/2"                                                                                                                                                                                                                                                                                                                                                                                                                                            </t>
  </si>
  <si>
    <t>21,40</t>
  </si>
  <si>
    <t xml:space="preserve">ELETRODUTO FLEXIVEL, EM ACO, TIPO CONDUITE, DIAMETRO DE 1 1/4"                                                                                                                                                                                                                                                                                                                                                                                                                                            </t>
  </si>
  <si>
    <t>18,18</t>
  </si>
  <si>
    <t xml:space="preserve">ELETRODUTO FLEXIVEL, EM ACO, TIPO CONDUITE, DIAMETRO DE 1/2"                                                                                                                                                                                                                                                                                                                                                                                                                                              </t>
  </si>
  <si>
    <t xml:space="preserve">ELETRODUTO FLEXIVEL, EM ACO, TIPO CONDUITE, DIAMETRO DE 1"                                                                                                                                                                                                                                                                                                                                                                                                                                                </t>
  </si>
  <si>
    <t xml:space="preserve">ELETRODUTO FLEXIVEL, EM ACO, TIPO CONDUITE, DIAMETRO DE 2 1/2"                                                                                                                                                                                                                                                                                                                                                                                                                                            </t>
  </si>
  <si>
    <t>47,23</t>
  </si>
  <si>
    <t xml:space="preserve">ELETRODUTO FLEXIVEL, EM ACO, TIPO CONDUITE, DIAMETRO DE 2"                                                                                                                                                                                                                                                                                                                                                                                                                                                </t>
  </si>
  <si>
    <t>28,84</t>
  </si>
  <si>
    <t xml:space="preserve">ELETRODUTO FLEXIVEL, EM ACO, TIPO CONDUITE, DIAMETRO DE 3"                                                                                                                                                                                                                                                                                                                                                                                                                                                </t>
  </si>
  <si>
    <t>53,18</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</si>
  <si>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</si>
  <si>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</si>
  <si>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</si>
  <si>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</si>
  <si>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</si>
  <si>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</si>
  <si>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</si>
  <si>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</si>
  <si>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</si>
  <si>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</si>
  <si>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</si>
  <si>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2",  PARA CABEAMENTO SUBTERRANEO (NBR 15715)                                                                                                                                                                                                                                                                                                                                                                </t>
  </si>
  <si>
    <t xml:space="preserve">ELETRODUTO/DUTO PEAD FLEXIVEL PAREDE SIMPLES, CORRUGACAO HELICOIDAL, COR PRETA, SEM ROSCA, DE 3",  PARA CABEAMENTO SUBTERRANEO (NBR 15715)                                                                                                                                                                                                                                                                                                                                                                </t>
  </si>
  <si>
    <t xml:space="preserve">ELETRODUTODUTO PEAD FLEXIVEL PAREDE SIMPLES, CORRUGACAO HELICOIDAL, COR PRETA, SEM ROSCA, DE 1 1/2",  PARA CABEAMENTO SUBTERRANEO (NBR 15715)                                                                                                                                                                                                                                                                                                                                                             </t>
  </si>
  <si>
    <t>3,61</t>
  </si>
  <si>
    <t xml:space="preserve">ELETRODUTODUTO PEAD FLEXIVEL PAREDE SIMPLES, CORRUGACAO HELICOIDAL, COR PRETA, SEM ROSCA, DE 1 1/4",  PARA CABEAMENTO SUBTERRANEO (NBR 15715)                                                                                                                                                                                                                                                                                                                                                             </t>
  </si>
  <si>
    <t xml:space="preserve">ELETRODUTODUTO PEAD FLEXIVEL PAREDE SIMPLES, CORRUGACAO HELICOIDAL, COR PRETA, SEM ROSCA, DE 4",  PARA CABEAMENTO SUBTERRANEO (NBR 15715)                                                                                                                                                                                                                                                                                                                                                                 </t>
  </si>
  <si>
    <t xml:space="preserve">ELETROTECNICO                                                                                                                                                                                                                                                                                                                                                                                                                                                                                             </t>
  </si>
  <si>
    <t xml:space="preserve">ELETROTECNICO (MENSALISTA)                                                                                                                                                                                                                                                                                                                                                                                                                                                                                </t>
  </si>
  <si>
    <t>4.316,95</t>
  </si>
  <si>
    <t xml:space="preserve">ELEVADOR DE CARGA A CABO, CABINE SEMI FECHADA 2,0 X 1,5 X 2,0 M, CAPACIDADE DE CARGA 1000 KG, TORRE  2,38 X 2,21 X 15 M, GUINCHO DE EMBREAGEM, FREIO DE SEGURANCA, LIMITADOR DE VELOCIDADE E CANCELA                                                                                                                                                                                                                                                                                                      </t>
  </si>
  <si>
    <t>36.823,49</t>
  </si>
  <si>
    <t xml:space="preserve">ELEVADOR DE CREMALHEIRA CABINE FECHADA 1,5 X 2,5 X 2,35 M (UMA POR TORRE), CAPACIDADE DE CARGA 1200 KG (15 PESSOAS), TORRE  24 M (16 MODULOS), FREIO DE SEGURANCA, LIMITADOR DE CARGA                                                                                                                                                                                                                                                                                                                     </t>
  </si>
  <si>
    <t>173.364,31</t>
  </si>
  <si>
    <t xml:space="preserve">EMENDA PARA CALHA PLUVIAL, PVC, DIAMETRO ENTRE 119 E 170 MM, PARA DRENAGEM PREDIAL                                                                                                                                                                                                                                                                                                                                                                                                                        </t>
  </si>
  <si>
    <t>8,99</t>
  </si>
  <si>
    <t xml:space="preserve">EMPILHADEIRA SOBRE PNEUS COM TORRE DE TRES ESTAGIOS, 4,70M DE ELEVACAO, C/ DESLOCADOR LATERAL DOS GARFOS, MOTOR GLP 4.3L, CAPACIDADE NOMINAL DE CARGA DE 6T                                                                                                                                                                                                                                                                                                                                               </t>
  </si>
  <si>
    <t>323.092,78</t>
  </si>
  <si>
    <t xml:space="preserve">EMPILHADEIRA SOBRE PNEUS COM TORRE DE TRES ESTAGIOS, 4,80M DE ELEVACAO, C/ DESLOCADOR LATERAL DOS GARFOS, MOTOR GLP 2.2L, CAPACIDADE NOMINAL DE CARGA DE 3T                                                                                                                                                                                                                                                                                                                                               </t>
  </si>
  <si>
    <t>111.677,29</t>
  </si>
  <si>
    <t xml:space="preserve">EMPILHADEIRA SOBRE PNEUS COM TORRE DE TRES ESTAGIOS, 4,80M DE ELEVACAO, C/ DESLOCADOR LATERAL DOS GARFOS, MOTOR GLP 2.4L, CAPACIDADE NOMINAL DE CARGA DE 2,5T                                                                                                                                                                                                                                                                                                                                             </t>
  </si>
  <si>
    <t>95.630,00</t>
  </si>
  <si>
    <t xml:space="preserve">EMPILHADEIRA SOBRE PNEUS COM TORRE DE TRES ESTAGIOS, 4,80M DE ELEVACAO, C/ DESLOCADOR LATERAL DOS GARFOS, MOTOR GLP 4.3L, CAPACIDADE NOMINAL DE CARGA DE 4T                                                                                                                                                                                                                                                                                                                                               </t>
  </si>
  <si>
    <t>210.600,67</t>
  </si>
  <si>
    <t xml:space="preserve">EMPILHADEIRA SOBRE PNEUS COM TORRE DE TRES ESTAGIOS, 4,80M DE ELEVACAO, C/ DESLOCADOR LATERAL DOS GARFOS, MOTOR GLP 4.3L, CAPACIDADE NOMINAL DE CARGA DE 5T                                                                                                                                                                                                                                                                                                                                               </t>
  </si>
  <si>
    <t>220.290,53</t>
  </si>
  <si>
    <t xml:space="preserve">EMULSAO ASFALTICA ANIONICA                                                                                                                                                                                                                                                                                                                                                                                                                                                                                </t>
  </si>
  <si>
    <t>8,26</t>
  </si>
  <si>
    <t xml:space="preserve">EMULSAO ASFALTICA CATIONICA RL-1C PARA USO EM PAVIMENTACAO ASFALTICA (COLETADO CAIXA NA ANP ACRESCIDO DE ICMS)                                                                                                                                                                                                                                                                                                                                                                                            </t>
  </si>
  <si>
    <t>2.402,77</t>
  </si>
  <si>
    <t xml:space="preserve">EMULSAO ASFALTICA CATIONICA RR-1C PARA USO EM PAVIMENTACAO ASFALTICA (COLETADO CAIXA NA ANP ACRESCIDO DE ICMS)                                                                                                                                                                                                                                                                                                                                                                                            </t>
  </si>
  <si>
    <t xml:space="preserve">EMULSAO ASFALTICA CATIONICA RR-2C PARA USO EM PAVIMENTACAO ASFALTICA (COLETADO CAIXA NA ANP ACRESCIDO DE ICMS)                                                                                                                                                                                                                                                                                                                                                                                            </t>
  </si>
  <si>
    <t xml:space="preserve">EMULSAO EXPLOSIVA EM CARTUCHOS DE 1" X 12", DENSIDADE 1.15 G/CM3, INICIACAO ESPOLETA N. 8 / CORDEL                                                                                                                                                                                                                                                                                                                                                                                                        </t>
  </si>
  <si>
    <t>15,19</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</si>
  <si>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</si>
  <si>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</si>
  <si>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</si>
  <si>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11,50</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</si>
  <si>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</si>
  <si>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</si>
  <si>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t>
  </si>
  <si>
    <t xml:space="preserve">ENCANADOR OU BOMBEIRO HIDRAULICO (MENSALISTA)                                                                                                                                                                                                                                                                                                                                                                                                                                                             </t>
  </si>
  <si>
    <t xml:space="preserve">ENCARREGADO GERAL DE OBRAS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</si>
  <si>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</si>
  <si>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</si>
  <si>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</si>
  <si>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</si>
  <si>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</si>
  <si>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</si>
  <si>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25,64</t>
  </si>
  <si>
    <t xml:space="preserve">ENGATE/RABICHO FLEXIVEL PLASTICO (PVC OU ABS) BRANCO 1/2 " X 30 CM                                                                                                                                                                                                                                                                                                                                                                                                                                        </t>
  </si>
  <si>
    <t xml:space="preserve">ENGATE/RABICHO FLEXIVEL PLASTICO (PVC OU ABS) BRANCO 1/2 " X 40 CM                                                                                                                                                                                                                                                                                                                                                                                                                                        </t>
  </si>
  <si>
    <t xml:space="preserve">ENGENHEIRO CIVIL DE OBRA JUNIOR                                                                                                                                                                                                                                                                                                                                                                                                                                                                           </t>
  </si>
  <si>
    <t>85,43</t>
  </si>
  <si>
    <t xml:space="preserve">ENGENHEIRO CIVIL DE OBRA JUNIOR (MENSALISTA)                                                                                                                                                                                                                                                                                                                                                                                                                                                              </t>
  </si>
  <si>
    <t>15.236,66</t>
  </si>
  <si>
    <t xml:space="preserve">ENGENHEIRO CIVIL DE OBRA PLENO                                                                                                                                                                                                                                                                                                                                                                                                                                                                            </t>
  </si>
  <si>
    <t xml:space="preserve">ENGENHEIRO CIVIL DE OBRA PLENO (MENSALISTA)                                                                                                                                                                                                                                                                                                                                                                                                                                                               </t>
  </si>
  <si>
    <t>17.342,46</t>
  </si>
  <si>
    <t xml:space="preserve">ENGENHEIRO CIVIL DE OBRA SENIOR                                                                                                                                                                                                                                                                                                                                                                                                                                                                           </t>
  </si>
  <si>
    <t>132,92</t>
  </si>
  <si>
    <t xml:space="preserve">ENGENHEIRO CIVIL DE OBRA SENIOR (MENSALISTA)                                                                                                                                                                                                                                                                                                                                                                                                                                                              </t>
  </si>
  <si>
    <t>23.706,66</t>
  </si>
  <si>
    <t xml:space="preserve">ENGENHEIRO CIVIL JUNIOR                                                                                                                                                                                                                                                                                                                                                                                                                                                                                   </t>
  </si>
  <si>
    <t>86,67</t>
  </si>
  <si>
    <t xml:space="preserve">ENGENHEIRO CIVIL JUNIOR (MENSALISTA)                                                                                                                                                                                                                                                                                                                                                                                                                                                                      </t>
  </si>
  <si>
    <t>15.458,92</t>
  </si>
  <si>
    <t xml:space="preserve">ENGENHEIRO CIVIL PLENO                                                                                                                                                                                                                                                                                                                                                                                                                                                                                    </t>
  </si>
  <si>
    <t>97,78</t>
  </si>
  <si>
    <t xml:space="preserve">ENGENHEIRO CIVIL PLENO (MENSALISTA)                                                                                                                                                                                                                                                                                                                                                                                                                                                                       </t>
  </si>
  <si>
    <t>17.440,72</t>
  </si>
  <si>
    <t xml:space="preserve">ENGENHEIRO CIVIL SENIOR                                                                                                                                                                                                                                                                                                                                                                                                                                                                                   </t>
  </si>
  <si>
    <t>134,01</t>
  </si>
  <si>
    <t xml:space="preserve">ENGENHEIRO CIVIL SENIOR (MENSALISTA)                                                                                                                                                                                                                                                                                                                                                                                                                                                                      </t>
  </si>
  <si>
    <t>23.900,86</t>
  </si>
  <si>
    <t xml:space="preserve">ENGENHEIRO ELETRICISTA                                                                                                                                                                                                                                                                                                                                                                                                                                                                                    </t>
  </si>
  <si>
    <t>100,25</t>
  </si>
  <si>
    <t xml:space="preserve">ENGENHEIRO ELETRICISTA (MENSALISTA)                                                                                                                                                                                                                                                                                                                                                                                                                                                                       </t>
  </si>
  <si>
    <t>17.880,49</t>
  </si>
  <si>
    <t xml:space="preserve">ENGENHEIRO SANITARISTA                                                                                                                                                                                                                                                                                                                                                                                                                                                                                    </t>
  </si>
  <si>
    <t>94,67</t>
  </si>
  <si>
    <t xml:space="preserve">ENGENHEIRO SANITARISTA (MENSALISTA)                                                                                                                                                                                                                                                                                                                                                                                                                                                                       </t>
  </si>
  <si>
    <t>16.884,14</t>
  </si>
  <si>
    <t xml:space="preserve">ENXADA ESTREITA *25 X 23* CM COM CABO                                                                                                                                                                                                                                                                                                                                                                                                                                                                     </t>
  </si>
  <si>
    <t>31,25</t>
  </si>
  <si>
    <t xml:space="preserve">EPI - FAMILIA ALMOXARIFE - HORISTA (ENCARGOS COMPLEMENTARES - COLETADO CAIXA)                                                                                                                                                                                                                                                                                                                                                                                                                             </t>
  </si>
  <si>
    <t xml:space="preserve">EPI - FAMILIA ALMOXARIFE - MENSALISTA (ENCARGOS COMPLEMENTARES - COLETADO CAIXA)                                                                                                                                                                                                                                                                                                                                                                                                                          </t>
  </si>
  <si>
    <t>114,12</t>
  </si>
  <si>
    <t xml:space="preserve">EPI - FAMILIA CARPINTEIRO DE FORMAS - HORISTA (ENCARGOS COMPLEMENTARES - COLETADO CAIXA)                                                                                                                                                                                                                                                                                                                                                                                                                  </t>
  </si>
  <si>
    <t xml:space="preserve">EPI - FAMILIA CARPINTEIRO DE FORMAS - MENSALISTA (ENCARGOS COMPLEMENTARES - COLETADO CAIXA)                                                                                                                                                                                                                                                                                                                                                                                                               </t>
  </si>
  <si>
    <t>203,86</t>
  </si>
  <si>
    <t xml:space="preserve">EPI - FAMILIA ELETRICISTA - HORISTA (ENCARGOS COMPLEMENTARES - COLETADO CAIXA)                                                                                                                                                                                                                                                                                                                                                                                                                            </t>
  </si>
  <si>
    <t xml:space="preserve">EPI - FAMILIA ELETRICISTA - MENSALISTA (ENCARGOS COMPLEMENTARES - COLETADO CAIXA)                                                                                                                                                                                                                                                                                                                                                                                                                         </t>
  </si>
  <si>
    <t>175,10</t>
  </si>
  <si>
    <t xml:space="preserve">EPI - FAMILIA ENCANADOR - HORISTA (ENCARGOS COMPLEMENTARES - COLETADO CAIXA)                                                                                                                                                                                                                                                                                                                                                                                                                              </t>
  </si>
  <si>
    <t xml:space="preserve">EPI - FAMILIA ENCANADOR - MENSALISTA (ENCARGOS COMPLEMENTARES - COLETADO CAIXA)                                                                                                                                                                                                                                                                                                                                                                                                                           </t>
  </si>
  <si>
    <t>156,65</t>
  </si>
  <si>
    <t xml:space="preserve">EPI - FAMILIA ENCARREGADO GERAL - HORISTA (ENCARGOS COMPLEMENTARES - COLETADO CAIXA)                                                                                                                                                                                                                                                                                                                                                                                                                      </t>
  </si>
  <si>
    <t xml:space="preserve">EPI - FAMILIA ENCARREGADO GERAL - MENSALISTA (ENCARGOS COMPLEMENTARES - COLETADO CAIXA)                                                                                                                                                                                                                                                                                                                                                                                                                   </t>
  </si>
  <si>
    <t>179,44</t>
  </si>
  <si>
    <t xml:space="preserve">EPI - FAMILIA ENGENHEIRO CIVIL - HORISTA (ENCARGOS COMPLEMENTARES - COLETADO CAIXA)                                                                                                                                                                                                                                                                                                                                                                                                                       </t>
  </si>
  <si>
    <t xml:space="preserve">EPI - FAMILIA ENGENHEIRO CIVIL - MENSALISTA (ENCARGOS COMPLEMENTARES - COLETADO CAIXA)                                                                                                                                                                                                                                                                                                                                                                                                                    </t>
  </si>
  <si>
    <t>108,24</t>
  </si>
  <si>
    <t xml:space="preserve">EPI - FAMILIA OPERADOR ESCAVADEIRA - HORISTA (ENCARGOS COMPLEMENTARES - COLETADO CAIXA)                                                                                                                                                                                                                                                                                                                                                                                                                   </t>
  </si>
  <si>
    <t xml:space="preserve">EPI - FAMILIA OPERADOR ESCAVADEIRA - MENSALISTA (ENCARGOS COMPLEMENTARES - COLETADO CAIXA)                                                                                                                                                                                                                                                                                                                                                                                                                </t>
  </si>
  <si>
    <t>125,38</t>
  </si>
  <si>
    <t xml:space="preserve">EPI - FAMILIA PEDREIRO - HORISTA (ENCARGOS COMPLEMENTARES - COLETADO CAIXA)                                                                                                                                                                                                                                                                                                                                                                                                                               </t>
  </si>
  <si>
    <t xml:space="preserve">EPI - FAMILIA PEDREIRO - MENSALISTA (ENCARGOS COMPLEMENTARES - COLETADO CAIXA)                                                                                                                                                                                                                                                                                                                                                                                                                            </t>
  </si>
  <si>
    <t>181,88</t>
  </si>
  <si>
    <t xml:space="preserve">EPI - FAMILIA PINTOR - HORISTA (ENCARGOS COMPLEMENTARES - COLETADO CAIXA)                                                                                                                                                                                                                                                                                                                                                                                                                                 </t>
  </si>
  <si>
    <t xml:space="preserve">EPI - FAMILIA PINTOR - MENSALISTA (ENCARGOS COMPLEMENTARES - COLETADO CAIXA)                                                                                                                                                                                                                                                                                                                                                                                                                              </t>
  </si>
  <si>
    <t>275,92</t>
  </si>
  <si>
    <t xml:space="preserve">EPI - FAMILIA SERVENTE - HORISTA (ENCARGOS COMPLEMENTARES - COLETADO CAIXA)                                                                                                                                                                                                                                                                                                                                                                                                                               </t>
  </si>
  <si>
    <t xml:space="preserve">EPI - FAMILIA SERVENTE - MENSALISTA (ENCARGOS COMPLEMENTARES - COLETADO CAIXA)                                                                                                                                                                                                                                                                                                                                                                                                                            </t>
  </si>
  <si>
    <t>192,76</t>
  </si>
  <si>
    <t xml:space="preserve">EPI - FAMILIA SOLDADOR - HORISTA (ENCARGOS COMPLEMENTARES - COLETADO CAIXA)                                                                                                                                                                                                                                                                                                                                                                                                                               </t>
  </si>
  <si>
    <t xml:space="preserve">EPI - FAMILIA SOLDADOR - MENSALISTA (ENCARGOS COMPLEMENTARES - COLETADO CAIXA)                                                                                                                                                                                                                                                                                                                                                                                                                            </t>
  </si>
  <si>
    <t>255,78</t>
  </si>
  <si>
    <t xml:space="preserve">EPI - FAMILIA TOPOGRAFO - HORISTA (ENCARGOS COMPLEMENTARES - COLETADO CAIXA)                                                                                                                                                                                                                                                                                                                                                                                                                              </t>
  </si>
  <si>
    <t xml:space="preserve">EPI - FAMILIA TOPOGRAFO - MENSALISTA (ENCARGOS COMPLEMENTARES - COLETADO CAIXA)                                                                                                                                                                                                                                                                                                                                                                                                                           </t>
  </si>
  <si>
    <t>102,76</t>
  </si>
  <si>
    <t xml:space="preserve">EQUIPAMENTO DE LIMPEZA COMBINADO (VACUO/ALTA PRESSAO) 95% VACUO, TANQUE 7000 L, BOMBA 140 KGF/CM2 66 L/MIN COM MOTOR INDEPENDENTE A DIESEL DE 60 CV (INCLUI MONTAGEM, NAO INCLUI CAMINHAO)                                                                                                                                                                                                                                                                                                                </t>
  </si>
  <si>
    <t>188.694,18</t>
  </si>
  <si>
    <t xml:space="preserve">EQUIPAMENTO PARA DEMARCACAO DE FAIXAS DE TRAFEGO A FRIO, A SER MONTADO SOBRE CAMINHAO DE PBT MINIMO DE 9 T E DISTANCIA MINIMA ENTRE EIXOS DE 4,3 M, CAPACIDADE PARA 800 L DE TINTA (INCLUI MONTAGEM, NAO INCLUI CAMINHAO)                                                                                                                                                                                                                                                                                 </t>
  </si>
  <si>
    <t>972.265,62</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</si>
  <si>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                                                                                                                                                                                                                                   </t>
  </si>
  <si>
    <t>1.447.265,62</t>
  </si>
  <si>
    <t xml:space="preserve">ESCADA DUPLA DE ABRIR EM ALUMINIO, MODELO PINTOR, 8 DEGRAUS                                                                                                                                                                                                                                                                                                                                                                                                                                               </t>
  </si>
  <si>
    <t>234,85</t>
  </si>
  <si>
    <t xml:space="preserve">ESCADA EXTENSIVEL EM ALUMINIO COM 6,00 M ESTENDIDA                                                                                                                                                                                                                                                                                                                                                                                                                                                        </t>
  </si>
  <si>
    <t>665,10</t>
  </si>
  <si>
    <t xml:space="preserve">ESCAVADEIRA HIDRAULICA SOBRE ESTEIRA, COM GARRA GIRATORIA DE MANDIBULAS, PESO OPERACIONAL ENTRE 22,00 E 25,50 TON, POTENCIA LIQUIDA ENTRE 150 E 160 HP                                                                                                                                                                                                                                                                                                                                                    </t>
  </si>
  <si>
    <t>495.242,66</t>
  </si>
  <si>
    <t xml:space="preserve">ESCAVADEIRA HIDRAULICA SOBRE ESTEIRAS CACAMBA 0,40 A 1,20 M3, PESO OPERACIONAL 21,19 T, POTENCIA LIQUIDA 173 HP                                                                                                                                                                                                                                                                                                                                                                                           </t>
  </si>
  <si>
    <t>448.769,18</t>
  </si>
  <si>
    <t xml:space="preserve">ESCAVADEIRA HIDRAULICA SOBRE ESTEIRAS COM CACAMBA DE 1,20 M3, PESO OPERACIONAL 21 T, POTENCIA BRUTA 155 HP                                                                                                                                                                                                                                                                                                                                                                                                </t>
  </si>
  <si>
    <t>469.887,73</t>
  </si>
  <si>
    <t xml:space="preserve">ESCAVADEIRA HIDRAULICA SOBRE ESTEIRAS, CACAMBA  0,80 M3, PESO OPERACIONAL 17,8 T, POTENCIA LIQUIDA 110 HP                                                                                                                                                                                                                                                                                                                                                                                                 </t>
  </si>
  <si>
    <t>402.994,18</t>
  </si>
  <si>
    <t xml:space="preserve">ESCAVADEIRA HIDRAULICA SOBRE ESTEIRAS, CACAMBA 0,4 A 1,70 M3, PESO OPERACIONAL 23,2 T, POTENCIA BRUTA 183 HP                                                                                                                                                                                                                                                                                                                                                                                              </t>
  </si>
  <si>
    <t>481.502,94</t>
  </si>
  <si>
    <t xml:space="preserve">ESCAVADEIRA HIDRAULICA SOBRE ESTEIRAS, CACAMBA 0,62M3, PESO OPERACIONAL 12,61T, POTENCIA LIQUIDA 95HP                                                                                                                                                                                                                                                                                                                                                                                                     </t>
  </si>
  <si>
    <t>369.574,62</t>
  </si>
  <si>
    <t xml:space="preserve">ESCAVADEIRA HIDRAULICA SOBRE ESTEIRAS, CACAMBA 0,80 A 1,30 M3, PESO OPERACIONAL 22,18 T, POTENCIA LIQUIDA 170 HP                                                                                                                                                                                                                                                                                                                                                                                          </t>
  </si>
  <si>
    <t>440.849,73</t>
  </si>
  <si>
    <t xml:space="preserve">ESCAVADEIRA HIDRAULICA SOBRE ESTEIRAS, CACAMBA 0,80M3, PESO OPERACIONAL 17T, POTENCIA BRUTA 111HP                                                                                                                                                                                                                                                                                                                                                                                                         </t>
  </si>
  <si>
    <t>422.371,00</t>
  </si>
  <si>
    <t xml:space="preserve">ESCAVADEIRA HIDRAULICA SOBRE ESTEIRAS, CAPACIDADE DA CACAMBA ENTRE 1,20 E 1,50 M3, PESO OPERACIONAL ENTRE 20,00 E 22,00 TON, POTENCIA LIQUIDA ENTRE 150 E 155 HP, EQUIPADA COM CLAMSHELL                                                                                                                                                                                                                                                                                                                  </t>
  </si>
  <si>
    <t>476.763,93</t>
  </si>
  <si>
    <t xml:space="preserve">ESCORA PRE-MOLDADA EM CONCRETO, *10 X 10* CM, H = 2,30M                                                                                                                                                                                                                                                                                                                                                                                                                                                   </t>
  </si>
  <si>
    <t xml:space="preserve">ESCOVA CIRCULAR EM ACO LATONADO, 6 X 1 " (DIAMETRO X ESPESSURA), FURO DE 1 1/4 ", FIO ONDULADO *0,30* MM                                                                                                                                                                                                                                                                                                                                                                                                  </t>
  </si>
  <si>
    <t>80,91</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</si>
  <si>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</si>
  <si>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</si>
  <si>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</si>
  <si>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142,85</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</si>
  <si>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</si>
  <si>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</si>
  <si>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36,18</t>
  </si>
  <si>
    <t xml:space="preserve">ESGUICHO TIPO JATO SOLIDO, EM LATAO, ENGATE RAPIDO 1 1/2" X 19 MM, PARA MANGUEIRA EM INSTALACAO PREDIAL COMBATE A INCENDIO                                                                                                                                                                                                                                                                                                                                                                                </t>
  </si>
  <si>
    <t>38,95</t>
  </si>
  <si>
    <t xml:space="preserve">ESGUICHO TIPO JATO SOLIDO, EM LATAO, ENGATE RAPIDO 2 1/2" X 13 MM, PARA MANGUEIRA EM INSTALACAO PREDIAL COMBATE A INCENDIO                                                                                                                                                                                                                                                                                                                                                                                </t>
  </si>
  <si>
    <t>59,04</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</si>
  <si>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</si>
  <si>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</si>
  <si>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64,76</t>
  </si>
  <si>
    <t xml:space="preserve">ESMERILHADEIRA ANGULAR ELETRICA, DIAMETRO DO DISCO 7 '' (180 MM), ROTACAO 8500 RPM, POTENCIA 2400 W                                                                                                                                                                                                                                                                                                                                                                                                       </t>
  </si>
  <si>
    <t>592,40</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</si>
  <si>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</si>
  <si>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</si>
  <si>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</si>
  <si>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 SEPARADOR DE BARRA , METALICO, TIPO CARAMBOLA, PARA TIRANTES, 25 X 84 MM                                                                                                                                                                                                                                                                                                                                                                                                                      </t>
  </si>
  <si>
    <t>1,82</t>
  </si>
  <si>
    <t xml:space="preserve">ESPACADOR OU DISTANCIADOR, EM PLASTICO, TIPO APOIO DE CORDOALHA (CARANGUEJO), PARA ARMADURA NEGATIVA E PROTENSAO, COBRIMENTO 50 MM                                                                                                                                                                                                                                                                                                                                                                        </t>
  </si>
  <si>
    <t xml:space="preserve">ESPACADOR/SEPARADOR DE CORDOALHA TIPO DISCO 12 FUROS DE 14 MM, PARA TIRANTES                                                                                                                                                                                                                                                                                                                                                                                                                              </t>
  </si>
  <si>
    <t xml:space="preserve">ESPARGIDOR DE ASFALTO PRESSURIZADO, REBOCAVEL, TANQUE DE 2500 L, PNEUMATICO,  COM MOTOR A GASOLINA 3,4HP                                                                                                                                                                                                                                                                                                                                                                                                  </t>
  </si>
  <si>
    <t>74.000,00</t>
  </si>
  <si>
    <t xml:space="preserve">ESPARGIDOR DE ASFALTO PRESSURIZADO, TANQUE 6 M3 COM ISOLACAO TERMICA, AQUECIDO COM 2 MACARICOS, COM BARRA ESPARGIDORA 3,60 M, A SER MONTADO SOBRE CAMINHAO                                                                                                                                                                                                                                                                                                                                                </t>
  </si>
  <si>
    <t>157.088,52</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</si>
  <si>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</si>
  <si>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</si>
  <si>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</si>
  <si>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</si>
  <si>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4,74</t>
  </si>
  <si>
    <t xml:space="preserve">ESPELHO / PLACA DE 1 POSTO 4" X 2", PARA INSTALACAO DE TOMADAS E INTERRUPTORES                                                                                                                                                                                                                                                                                                                                                                                                                            </t>
  </si>
  <si>
    <t>2,12</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</si>
  <si>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</si>
  <si>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</si>
  <si>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</si>
  <si>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</si>
  <si>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5,47</t>
  </si>
  <si>
    <t xml:space="preserve">ESPELHO / PLACA DE 6 POSTOS 4" X 4", PARA INSTALACAO DE TOMADAS E INTERRUPTORES                                                                                                                                                                                                                                                                                                                                                                                                                           </t>
  </si>
  <si>
    <t xml:space="preserve">ESPELHO CRISTAL E = 4 MM                                                                                                                                                                                                                                                                                                                                                                                                                                                                                  </t>
  </si>
  <si>
    <t>305,77</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</si>
  <si>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</si>
  <si>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</si>
  <si>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24,90</t>
  </si>
  <si>
    <t xml:space="preserve">ESPOLETA SIMPLES N 8.                                                                                                                                                                                                                                                                                                                                                                                                                                                                                     </t>
  </si>
  <si>
    <t xml:space="preserve">ESPUMA EXPANSIVA DE POLIURETANO, APLICACAO MANUAL - 500 ML                                                                                                                                                                                                                                                                                                                                                                                                                                                </t>
  </si>
  <si>
    <t>24,21</t>
  </si>
  <si>
    <t xml:space="preserve">ESQUADRO DE ACO 12 " (300 MM), CABO DE ALUMINIO                                                                                                                                                                                                                                                                                                                                                                                                                                                           </t>
  </si>
  <si>
    <t xml:space="preserve">ESQUADRO INTERNO OU EXTERNO PARA CALHA PLUVIAL, PVC, DIAMETRO ENTRE 119 E 170 MM, PARA DRENAGEM PREDIAL                                                                                                                                                                                                                                                                                                                                                                                                   </t>
  </si>
  <si>
    <t xml:space="preserve">ESQUI TRIPLO, EM TUBO DE ACO CARBONO, PINTURA NO PROCESSO ELETROSTATICO - EQUIPAMENTO DE GINASTICA PARA ACADEMIA AO AR LIVRE / ACADEMIA DA TERCEIRA IDADE - ATI                                                                                                                                                                                                                                                                                                                                           </t>
  </si>
  <si>
    <t>3.422,44</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</si>
  <si>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</si>
  <si>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</si>
  <si>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54,39</t>
  </si>
  <si>
    <t xml:space="preserve">ESTACA PRE-MOLDADA VAZADA DE CONCRETO CENTRIFUGADO, PARA CARGA DE 100 T, SECAO CIRCULAR, COM ANEL METALICO INCORPORADO A PECA (SOMENTE FORNECIMENTO)                                                                                                                                                                                                                                                                                                                                                      </t>
  </si>
  <si>
    <t>139,40</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</si>
  <si>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</si>
  <si>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</si>
  <si>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</si>
  <si>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</si>
  <si>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ESTUCADOR                                                                                                                                                                                                                                                                                                                                                                                                                                                                                                 </t>
  </si>
  <si>
    <t>17,19</t>
  </si>
  <si>
    <t xml:space="preserve">ESTUCADOR (MENSALISTA)                                                                                                                                                                                                                                                                                                                                                                                                                                                                                    </t>
  </si>
  <si>
    <t>3.070,64</t>
  </si>
  <si>
    <t xml:space="preserve">ETANOL                                                                                                                                                                                                                                                                                                                                                                                                                                                                                                    </t>
  </si>
  <si>
    <t>3,49</t>
  </si>
  <si>
    <t xml:space="preserve">EXAMES - HORISTA (COLETADO CAIXA)                                                                                                                                                                                                                                                                                                                                                                                                                                                                         </t>
  </si>
  <si>
    <t xml:space="preserve">EXAMES - MENSALISTA (COLETADO CAIXA)                                                                                                                                                                                                                                                                                                                                                                                                                                                                      </t>
  </si>
  <si>
    <t xml:space="preserve">EXTENSAO DE SOLDA 201 ACETILENO, E = *1,5 A 2,5* MM                                                                                                                                                                                                                                                                                                                                                                                                                                                       </t>
  </si>
  <si>
    <t>30,17</t>
  </si>
  <si>
    <t xml:space="preserve">EXTENSAO DE SOLDA 201 GLP, E = *2,5 A 4,0* MM                                                                                                                                                                                                                                                                                                                                                                                                                                                             </t>
  </si>
  <si>
    <t xml:space="preserve">EXTINTOR DE INCENDIO PORTATIL COM CARGA DE AGUA PRESSURIZADA DE 10 L, CLASSE A                                                                                                                                                                                                                                                                                                                                                                                                                            </t>
  </si>
  <si>
    <t>150,93</t>
  </si>
  <si>
    <t xml:space="preserve">EXTINTOR DE INCENDIO PORTATIL COM CARGA DE GAS CARBONICO CO2 DE 4 KG, CLASSE BC                                                                                                                                                                                                                                                                                                                                                                                                                           </t>
  </si>
  <si>
    <t>477,69</t>
  </si>
  <si>
    <t xml:space="preserve">EXTINTOR DE INCENDIO PORTATIL COM CARGA DE GAS CARBONICO CO2 DE 6 KG, CLASSE BC                                                                                                                                                                                                                                                                                                                                                                                                                           </t>
  </si>
  <si>
    <t>517,50</t>
  </si>
  <si>
    <t xml:space="preserve">EXTINTOR DE INCENDIO PORTATIL COM CARGA DE PO QUIMICO SECO (PQS) DE 12 KG, CLASSE BC                                                                                                                                                                                                                                                                                                                                                                                                                      </t>
  </si>
  <si>
    <t>238,84</t>
  </si>
  <si>
    <t xml:space="preserve">EXTINTOR DE INCENDIO PORTATIL COM CARGA DE PO QUIMICO SECO (PQS) DE 4 KG, CLASSE BC                                                                                                                                                                                                                                                                                                                                                                                                                       </t>
  </si>
  <si>
    <t>145,96</t>
  </si>
  <si>
    <t xml:space="preserve">EXTINTOR DE INCENDIO PORTATIL COM CARGA DE PO QUIMICO SECO (PQS) DE 6 KG, CLASSE BC                                                                                                                                                                                                                                                                                                                                                                                                                       </t>
  </si>
  <si>
    <t>172,50</t>
  </si>
  <si>
    <t xml:space="preserve">EXTINTOR DE INCENDIO PORTATIL COM CARGA DE PO QUIMICO SECO (PQS) DE 8 KG, CLASSE BC                                                                                                                                                                                                                                                                                                                                                                                                                       </t>
  </si>
  <si>
    <t>205,67</t>
  </si>
  <si>
    <t xml:space="preserve">EXTREMIDADE PVC PBA, BF, JE, DN 100/ DE 110 MM (NBR 10351)                                                                                                                                                                                                                                                                                                                                                                                                                                                </t>
  </si>
  <si>
    <t>137,72</t>
  </si>
  <si>
    <t xml:space="preserve">EXTREMIDADE PVC PBA, BF, JE, DN 50 / DE 60 MM (NBR 10351)                                                                                                                                                                                                                                                                                                                                                                                                                                                 </t>
  </si>
  <si>
    <t>27,53</t>
  </si>
  <si>
    <t xml:space="preserve">EXTREMIDADE PVC PBA, BF, JE, DN 75/ DE 85 MM (NBR 10351)                                                                                                                                                                                                                                                                                                                                                                                                                                                  </t>
  </si>
  <si>
    <t>86,94</t>
  </si>
  <si>
    <t xml:space="preserve">EXTREMIDADE PVC PBA, PF, JE, DN 100 / DE 110 MM (NBR 10351)                                                                                                                                                                                                                                                                                                                                                                                                                                               </t>
  </si>
  <si>
    <t>113,21</t>
  </si>
  <si>
    <t xml:space="preserve">EXTREMIDADE PVC PBA, PF, JE, DN 50/ DE 60 MM (NBR 10351)                                                                                                                                                                                                                                                                                                                                                                                                                                                  </t>
  </si>
  <si>
    <t>28,52</t>
  </si>
  <si>
    <t xml:space="preserve">EXTREMIDADE PVC PBA, PF, JE, DN 75 / DE 85 MM (NBR 10351)                                                                                                                                                                                                                                                                                                                                                                                                                                                 </t>
  </si>
  <si>
    <t>71,54</t>
  </si>
  <si>
    <t xml:space="preserve">EXTREMIDADE/TUBETE PARA HIDROMETRO PVC, COM ROSCA, CURTA, COM BUCHA LATAO, 1/2"                                                                                                                                                                                                                                                                                                                                                                                                                           </t>
  </si>
  <si>
    <t xml:space="preserve">EXTREMIDADE/TUBETE PARA HIDROMETRO PVC, COM ROSCA, CURTA, COM BUCHA LATAO, 3/4"                                                                                                                                                                                                                                                                                                                                                                                                                           </t>
  </si>
  <si>
    <t xml:space="preserve">EXTREMIDADE/TUBETE PARA HIDROMETRO PVC, COM ROSCA, CURTA, SEM BUCHA LATAO, 1/2"                                                                                                                                                                                                                                                                                                                                                                                                                           </t>
  </si>
  <si>
    <t xml:space="preserve">EXTREMIDADE/TUBETE PARA HIDROMETRO PVC, COM ROSCA, CURTA, SEM BUCHA LATAO, 3/4"                                                                                                                                                                                                                                                                                                                                                                                                                           </t>
  </si>
  <si>
    <t xml:space="preserve">EXTREMIDADE/TUBETE PARA HIDROMETRO PVC, COM ROSCA, LONGA, SEM BUCHA LATAO, 1/2"                                                                                                                                                                                                                                                                                                                                                                                                                           </t>
  </si>
  <si>
    <t xml:space="preserve">EXTREMIDADE/TUBETE PARA HIDROMETRO PVC, COM ROSCA, LONGA, SEM BUCHA LATAO, 3/4"                                                                                                                                                                                                                                                                                                                                                                                                                           </t>
  </si>
  <si>
    <t xml:space="preserve">FAIXA / FILETE / LISTELO EM CERAMICA, DECORADA, *8 X 30* CM (L X C)                                                                                                                                                                                                                                                                                                                                                                                                                                       </t>
  </si>
  <si>
    <t>278,76</t>
  </si>
  <si>
    <t xml:space="preserve">FAIXA / FILETE / LISTELO EM CERAMICA, LISO OU CORDAO, BRANCO, *2 X 30* CM (L X C)                                                                                                                                                                                                                                                                                                                                                                                                                         </t>
  </si>
  <si>
    <t xml:space="preserve">FECHADURA AUXILIAR DE EMBUTIR PARA PORTA DE ARMARIO DE MADEIRA, CROMADA, CHAVE TIPO GORGES, CAIXA COM LINGUETA, CHAPA TESTA E CONTRA CHAPA                                                                                                                                                                                                                                                                                                                                                                </t>
  </si>
  <si>
    <t>34,77</t>
  </si>
  <si>
    <t xml:space="preserve">FECHADURA AUXILIAR DE EMBUTIR PARA PORTA DE ARMARIO, CROMADA, CAIXA COM CILINDRO REDONDO, CHAPA TESTA E LINGUETA                                                                                                                                                                                                                                                                                                                                                                                          </t>
  </si>
  <si>
    <t>22,78</t>
  </si>
  <si>
    <t xml:space="preserve">FECHADURA AUXILIAR SEGURANCA, DE EMBUTIR, REFORCADA, MAQUINA DE 40 A 55 MM, COM CILINDRO, CROMADA, PARA PORTA EXTERNA - COMPLETA                                                                                                                                                                                                                                                                                                                                                                          </t>
  </si>
  <si>
    <t>56,88</t>
  </si>
  <si>
    <t xml:space="preserve">FECHADURA AUXILIAR TRAVA DE SEGURANCA SIMPLES, CROMADA, MAQUINA *40* MM, INCLUI CHAVE TETRA E ROSETA REDONDA - COMPLETA                                                                                                                                                                                                                                                                                                                                                                                   </t>
  </si>
  <si>
    <t>35,61</t>
  </si>
  <si>
    <t xml:space="preserve">FECHADURA BICO DE PAPAGAIO, MAQUINA *45* MM, CROMADA, COM CHAVE TIPO GORGES BIPARTIDA, PARA PORTA DE CORRER INTERNA - COMPLETA                                                                                                                                                                                                                                                                                                                                                                            </t>
  </si>
  <si>
    <t>51,66</t>
  </si>
  <si>
    <t xml:space="preserve">FECHADURA BICO DE PAPAGAIO, MAQUINA *45* MM, CROMADA, COM CILINDRO, PARA PORTA DE CORRER EXTERNA - COMPLETA                                                                                                                                                                                                                                                                                                                                                                                               </t>
  </si>
  <si>
    <t>66,42</t>
  </si>
  <si>
    <t xml:space="preserve">FECHADURA C/ CILINDRO LATAO CROMADO P/ PORTA VIDRO TP AROUCA 2171-L OU EQUIV                                                                                                                                                                                                                                                                                                                                                                                                                              </t>
  </si>
  <si>
    <t>59,37</t>
  </si>
  <si>
    <t xml:space="preserve">FECHADURA DE EMBUTIR PARA PORTA DE BANHEIRO, CHAVE TIPO TRANQUETA, MAQUINA 40 MM, SEM MACANETA, SEM ESPELHO (SOMENTE MAQUINA) - NIVEL SEGURANCA MEDIO                                                                                                                                                                                                                                                                                                                                                     </t>
  </si>
  <si>
    <t xml:space="preserve">FECHADURA DE EMBUTIR PARA PORTA DE BANHEIRO, TIPO TRANQUETA, MAQUINA 40 MM, MACANETAS ALAVANCA E ROSETAS REDONDAS EM METAL CROMADO - NIVEL SEGURANCA MEDIO - COMPLETA                                                                                                                                                                                                                                                                                                                                     </t>
  </si>
  <si>
    <t>36,79</t>
  </si>
  <si>
    <t xml:space="preserve">FECHADURA DE EMBUTIR PARA PORTA DE BANHEIRO, TIPO TRANQUETA, MAQUINA 40 MM, MACANETAS ALAVANCA, ESPELHO EM METAL CROMADO - NIVEL SEGURANCA MEDIO - COMPLETA                                                                                                                                                                                                                                                                                                                                               </t>
  </si>
  <si>
    <t>33,74</t>
  </si>
  <si>
    <t xml:space="preserve">FECHADURA DE EMBUTIR PARA PORTA DE BANHEIRO, TIPO TRANQUETA, MAQUINA 55 MM, MACANETAS ALAVANCA E ROSETAS REDONDAS EM METAL CROMADO - NIVEL SEGURANCA MEDIO - COMPLETA                                                                                                                                                                                                                                                                                                                                     </t>
  </si>
  <si>
    <t>58,85</t>
  </si>
  <si>
    <t xml:space="preserve">FECHADURA DE EMBUTIR PARA PORTA EXTERNA / ENTRADA, MAQUINA 40 MM, COM CILINDRO, MACANETA ALAVANCA E ESPELHO EM METAL CROMADO - NIVEL SEGURANCA MEDIO - COMPLETA                                                                                                                                                                                                                                                                                                                                           </t>
  </si>
  <si>
    <t>49,17</t>
  </si>
  <si>
    <t xml:space="preserve">FECHADURA DE EMBUTIR PARA PORTA EXTERNA / ENTRADA, MAQUINA 55 MM, COM CILINDRO, MACANETA ALAVANCA E ESPELHO EM METAL CROMADO - NIVEL SEGURANCA MEDIO - COMPLETA                                                                                                                                                                                                                                                                                                                                           </t>
  </si>
  <si>
    <t>74,42</t>
  </si>
  <si>
    <t xml:space="preserve">FECHADURA DE EMBUTIR PARA PORTA EXTERNA, MAQUINA 40 MM, COM CILINDRO, MACANETA ALAVANCA E ROSETA REDONDA EM METAL CROMADO - NIVEL DE SEGURANCA MEDIO - COMPLETA                                                                                                                                                                                                                                                                                                                                           </t>
  </si>
  <si>
    <t xml:space="preserve">FECHADURA DE EMBUTIR PARA PORTA EXTERNA, MAQUINA 40 MM, SEM MACANETA, SEM ESPELHO (SOMENTE MAQUINA) - NIVEL DE SEGURANCA MEDIO                                                                                                                                                                                                                                                                                                                                                                            </t>
  </si>
  <si>
    <t>27,09</t>
  </si>
  <si>
    <t xml:space="preserve">FECHADURA DE EMBUTIR PARA PORTA EXTERNA, MAQUINA 55 MM, COM CILINDRO, MACANETA ALAVANCA E ROSETA REDONDA EM METAL CROMADO - NIVEL DE SEGURANCA MEDIO - COMPLETA                                                                                                                                                                                                                                                                                                                                           </t>
  </si>
  <si>
    <t xml:space="preserve">FECHADURA DE EMBUTIR PARA PORTA EXTERNA, MAQUINA 55 MM, SEM ESPELHO, SEM MACANETA (SOMENTE MAQUINA) - NIVEL DE SEGURANCA MEDIO                                                                                                                                                                                                                                                                                                                                                                            </t>
  </si>
  <si>
    <t>47,52</t>
  </si>
  <si>
    <t xml:space="preserve">FECHADURA DE EMBUTIR PARA PORTA INTERNA, TIPO GORGES (CHAVE GRANDE), MAQUINA 40 MM, MACANETA ALAVANCA E ESPELHO EM METAL CROMADO - NIVEL SEGURANCA MEDIO - COMPLETA                                                                                                                                                                                                                                                                                                                                       </t>
  </si>
  <si>
    <t xml:space="preserve">FECHADURA DE EMBUTIR PARA PORTA INTERNA, TIPO GORGES (CHAVE GRANDE), MAQUINA 55 MM, MACANETAS ALAVANCA E ROSETAS REDONDAS EM METAL CROMADO - NIVEL SEGURANCA MEDIO - COMPLETA                                                                                                                                                                                                                                                                                                                             </t>
  </si>
  <si>
    <t xml:space="preserve">FECHADURA DE EMBUTIR PARA PORTA INTERNA, TIPO GORGES, MAQUINA 55 MM (SOMENTE MAQUINA, SEM ESPELHO E SEM MACANETA) - NIVEL DE SEGURANCA MEDIO                                                                                                                                                                                                                                                                                                                                                              </t>
  </si>
  <si>
    <t>28,47</t>
  </si>
  <si>
    <t xml:space="preserve">FECHADURA DE SOBREPOR EM FERRO PINTADO, COM MACANETA ALAVANCA, CHAVE GRANDE - COMPLETA                                                                                                                                                                                                                                                                                                                                                                                                                    </t>
  </si>
  <si>
    <t>45,99</t>
  </si>
  <si>
    <t xml:space="preserve">FECHADURA DE SOBREPOR PARA PORTAO, CAIXA *100* MM, COM CILINDRO, CHAVE SIMPLES, TRINCO LATERAL, EM  LATAO OU ACO CROMADO OU POLIDO, COM OU SEM PINTURA - COMPLETA                                                                                                                                                                                                                                                                                                                                         </t>
  </si>
  <si>
    <t>32,81</t>
  </si>
  <si>
    <t xml:space="preserve">FECHADURA DE SOBREPOR PARA PORTAO, COM CHAVE TETRA, CAIXA *100* MM, TRINCO LATERAL, EM LATAO OU ACO CROMADO, PINTADO - COMPLETA                                                                                                                                                                                                                                                                                                                                                                           </t>
  </si>
  <si>
    <t>44,73</t>
  </si>
  <si>
    <t xml:space="preserve">FECHADURA DE SOBREPOR, CROMADA, COM CILINDRO REDONDO, PARA ARMARIO E GAVETA DE MADEIRA, COM PORTA DE APROXIMADAMENTE 20 MM                                                                                                                                                                                                                                                                                                                                                                                </t>
  </si>
  <si>
    <t xml:space="preserve">FECHADURA TRADICIONAL DE EMBUTIR, CROMADA, COM CILINDRO, PARA GAVETAS E MOVEIS DE MADEIRA - COM ABINHAS LATERAIS CURVAS, CHAVES COM PROTECAO PLASTICA                                                                                                                                                                                                                                                                                                                                                     </t>
  </si>
  <si>
    <t xml:space="preserve">FECHADURA TUBULAR CROMADA, MACANETA DIAMETRO *30* MM, CILINDRO CENTRAL COM CHAVE EXTERNA E BOTAO INTERNO, MAQUINA *70* MM - COMPLETA                                                                                                                                                                                                                                                                                                                                                                      </t>
  </si>
  <si>
    <t>54,48</t>
  </si>
  <si>
    <t xml:space="preserve">FECHADURA TUBULAR, ACABAMENTO CROMADO, DISTANCIA DE BROCA 90 MM, CILINDRO CENTRAL COM CHAVE EXTERNA E BOTAO INTERNO, MACANETA FORMATO TULIPA/TACA/BOLA - COMPLETA                                                                                                                                                                                                                                                                                                                                         </t>
  </si>
  <si>
    <t xml:space="preserve">FECHO / FECHADURA COM PUXADOR CONCHA, COM TRANCA TIPO TRAVA, PARA JANELA / PORTA DE CORRER (INCLUI TESTA, FECHADURA, PUXADOR) - COMPLETA                                                                                                                                                                                                                                                                                                                                                                  </t>
  </si>
  <si>
    <t>47,31</t>
  </si>
  <si>
    <t xml:space="preserve">FECHO / FECHADURA CONCHA COM ALAVANCA / TRAVA, DE EMBUTIR, PARA PORTA OU JANELA DE CORRER EM LATAO OU ACO INOX - COMPLETO                                                                                                                                                                                                                                                                                                                                                                                 </t>
  </si>
  <si>
    <t>30,25</t>
  </si>
  <si>
    <t xml:space="preserve">FECHO / TRINCO / FERROLHO FIO REDONDO, DE SOBREPOR, 12", EM ACO GALVANIZADO / ZINCADO                                                                                                                                                                                                                                                                                                                                                                                                                     </t>
  </si>
  <si>
    <t xml:space="preserve">FECHO / TRINCO / FERROLHO FIO REDONDO, DE SOBREPOR, 2", EM ACO GALVANIZADO / ZINCADO                                                                                                                                                                                                                                                                                                                                                                                                                      </t>
  </si>
  <si>
    <t>1,55</t>
  </si>
  <si>
    <t xml:space="preserve">FECHO / TRINCO / FERROLHO FIO REDONDO, DE SOBREPOR, 4", EM ACO GALVANIZADO / ZINCADO                                                                                                                                                                                                                                                                                                                                                                                                                      </t>
  </si>
  <si>
    <t>2,19</t>
  </si>
  <si>
    <t xml:space="preserve">FECHO / TRINCO / FERROLHO FIO REDONDO, DE SOBREPOR, 5", EM ACO GALVANIZADO / ZINCADO                                                                                                                                                                                                                                                                                                                                                                                                                      </t>
  </si>
  <si>
    <t>3,39</t>
  </si>
  <si>
    <t xml:space="preserve">FECHO / TRINCO / FERROLHO FIO REDONDO, DE SOBREPOR, 6", EM ACO GALVANIZADO / ZINCADO                                                                                                                                                                                                                                                                                                                                                                                                                      </t>
  </si>
  <si>
    <t xml:space="preserve">FECHO / TRINCO / FERROLHO FIO REDONDO, DE SOBREPOR, 8", EM ACO GALVANIZADO / ZINCADO                                                                                                                                                                                                                                                                                                                                                                                                                      </t>
  </si>
  <si>
    <t xml:space="preserve">FECHO DE EMBUTIR, TIPO UNHA, COMANDO COM ALAVANCA, EM ACO CROMADO, 22 CM, PARA PORTAS E JANELAS - INCLUI PARAFUSOS                                                                                                                                                                                                                                                                                                                                                                                        </t>
  </si>
  <si>
    <t xml:space="preserve">FECHO DE EMBUTIR, TIPO UNHA, COMANDO COM ALAVANCA, EM LATAO CROMADO, 22 CM, PARA PORTAS E JANELAS - INCLUI PARAFUSOS                                                                                                                                                                                                                                                                                                                                                                                      </t>
  </si>
  <si>
    <t xml:space="preserve">FECHO DE EMBUTIR, TIPO UNHA, COMANDO COM ALAVANCA, EM LATAO CROMADO, 40 CM, PARA PORTAS E JANELAS - INCLUI PARAFUSOS                                                                                                                                                                                                                                                                                                                                                                                      </t>
  </si>
  <si>
    <t>29,31</t>
  </si>
  <si>
    <t xml:space="preserve">FECHO DE EMBUTIR, TIPO UNHA, COMANDO DESLIZANTE, COM TRAVA, 120 MM, EM LATAO CROMADO                                                                                                                                                                                                                                                                                                                                                                                                                      </t>
  </si>
  <si>
    <t xml:space="preserve">FECHO DE SEGURANCA, TIPO BATOM, EM LATAO / ZAMAC, CROMADO, PARA PORTAS E JANELAS - INCLUI PARAFUSOS                                                                                                                                                                                                                                                                                                                                                                                                       </t>
  </si>
  <si>
    <t>16,78</t>
  </si>
  <si>
    <t xml:space="preserve">FELTRO EM LA DE ROCHA, 1 FACE REVESTIDA COM PAPEL ALUMINIZADO, EM ROLO, DENSIDADE = 32 KG/M3, E=*50* MM (COLETADO CAIXA)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</si>
  <si>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</si>
  <si>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</si>
  <si>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</si>
  <si>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</si>
  <si>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64,51</t>
  </si>
  <si>
    <t xml:space="preserve">FERRAMENTAS - FAMILIA ELETRICISTA - HORISTA (ENCARGOS COMPLEMENTARES - COLETADO CAIXA)                                                                                                                                                                                                                                                                                                                                                                                                                    </t>
  </si>
  <si>
    <t xml:space="preserve">FERRAMENTAS - FAMILIA ELETRICISTA - MENSALISTA (ENCARGOS COMPLEMENTARES - COLETADO CAIXA)                                                                                                                                                                                                                                                                                                                                                                                                                 </t>
  </si>
  <si>
    <t>103,89</t>
  </si>
  <si>
    <t xml:space="preserve">FERRAMENTAS - FAMILIA ENCANADOR - HORISTA (ENCARGOS COMPLEMENTARES - COLETADO CAIXA)                                                                                                                                                                                                                                                                                                                                                                                                                      </t>
  </si>
  <si>
    <t xml:space="preserve">FERRAMENTAS - FAMILIA ENCANADOR - MENSALISTA (ENCARGOS COMPLEMENTARES - COLETADO CAIXA)                                                                                                                                                                                                                                                                                                                                                                                                                   </t>
  </si>
  <si>
    <t>45,78</t>
  </si>
  <si>
    <t xml:space="preserve">FERRAMENTAS - FAMILIA ENCARREGADO GERAL - HORISTA (ENCARGOS COMPLEMENTARES - COLETADO CAIXA)                                                                                                                                                                                                                                                                                                                                                                                                              </t>
  </si>
  <si>
    <t xml:space="preserve">FERRAMENTAS - FAMILIA ENCARREGADO GERAL - MENSALISTA (ENCARGOS COMPLEMENTARES - COLETADO CAIXA)                                                                                                                                                                                                                                                                                                                                                                                                           </t>
  </si>
  <si>
    <t>14,26</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</si>
  <si>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</si>
  <si>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</si>
  <si>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</si>
  <si>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</si>
  <si>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</si>
  <si>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</si>
  <si>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94,89</t>
  </si>
  <si>
    <t xml:space="preserve">FERRAMENTAS - FAMILIA PINTOR - HORISTA (ENCARGOS COMPLEMENTARES - COLETADO CAIXA)                                                                                                                                                                                                                                                                                                                                                                                                                         </t>
  </si>
  <si>
    <t xml:space="preserve">FERRAMENTAS - FAMILIA PINTOR - MENSALISTA (ENCARGOS COMPLEMENTARES - COLETADO CAIXA)                                                                                                                                                                                                                                                                                                                                                                                                                      </t>
  </si>
  <si>
    <t>220,02</t>
  </si>
  <si>
    <t xml:space="preserve">FERRAMENTAS - FAMILIA SERVENTE - HORISTA (ENCARGOS COMPLEMENTARES - COLETADO CAIXA)                                                                                                                                                                                                                                                                                                                                                                                                                       </t>
  </si>
  <si>
    <t xml:space="preserve">FERRAMENTAS - FAMILIA SERVENTE - MENSALISTA (ENCARGOS COMPLEMENTARES - COLETADO CAIXA)                                                                                                                                                                                                                                                                                                                                                                                                                    </t>
  </si>
  <si>
    <t>71,29</t>
  </si>
  <si>
    <t xml:space="preserve">FERRAMENTAS - FAMILIA SOLDADOR - HORISTA (ENCARGOS COMPLEMENTARES - COLETADO CAIXA)                                                                                                                                                                                                                                                                                                                                                                                                                       </t>
  </si>
  <si>
    <t xml:space="preserve">FERRAMENTAS - FAMILIA SOLDADOR - MENSALISTA (ENCARGOS COMPLEMENTARES - COLETADO CAIXA)                                                                                                                                                                                                                                                                                                                                                                                                                    </t>
  </si>
  <si>
    <t>157,85</t>
  </si>
  <si>
    <t xml:space="preserve">FERRAMENTAS - FAMILIA TOPOGRAFO - HORISTA (ENCARGOS COMPLEMENTARES - COLETADO CAIXA)                                                                                                                                                                                                                                                                                                                                                                                                                      </t>
  </si>
  <si>
    <t xml:space="preserve">FERRAMENTAS - FAMILIA TOPOGRAFO - MENSALISTA (ENCARGOS COMPLEMENTARES - COLETADO CAIXA)                                                                                                                                                                                                                                                                                                                                                                                                                   </t>
  </si>
  <si>
    <t xml:space="preserve">FERROLHO / FECHO CHATO, DE SOBREPOR, EM FERRO ZINCADO, REFORCADO, 5", COM PORTA CADEADO, PARA PORTAO, PORTA E JANELA - INCLUI PARAFUSOS                                                                                                                                                                                                                                                                                                                                                                   </t>
  </si>
  <si>
    <t xml:space="preserve">FERROLHO / FECHO CHATO, DE SOBREPOR, EM FERRO ZINCADO, REFORCADO, 6", COM PORTA CADEADO, PARA PORTAO, PORTA E JANELA - INCLUI PARAFUSOS                                                                                                                                                                                                                                                                                                                                                                   </t>
  </si>
  <si>
    <t xml:space="preserve">FERROLHO / FECHO CHATO, EM FERRO ZINCADO, LEVE, 3", COM PORTA CADEADO, PARA PORTAO, PORTA E JANELA - INCLUI PARAFUSOS                                                                                                                                                                                                                                                                                                                                                                                     </t>
  </si>
  <si>
    <t xml:space="preserve">FERTILIZANTE NPK - 10:10:10                                                                                                                                                                                                                                                                                                                                                                                                                                                                               </t>
  </si>
  <si>
    <t xml:space="preserve">FERTILIZANTE NPK - 4: 14: 8                                                                                                                                                                                                                                                                                                                                                                                                                                                                               </t>
  </si>
  <si>
    <t>2,23</t>
  </si>
  <si>
    <t xml:space="preserve">FERTILIZANTE ORGANICO COMPOSTO, CLASSE A                                                                                                                                                                                                                                                                                                                                                                                                                                                                  </t>
  </si>
  <si>
    <t xml:space="preserve">FIBRA DE ACO PARA REFORCO DO CONCRETO, SOLTA, TIPO A-I, FATOR DE FORMA *50* L / D, COMPRIMENTO DE *30* MM E RESISTENCIA A TRACAO DO ACO MAIOR 1000 MPA                                                                                                                                                                                                                                                                                                                                                    </t>
  </si>
  <si>
    <t xml:space="preserve">FILTRO ANAEROBIO CILINDRICO CONCRETO PRE MOLDADO 1,20 X 1,50 (DIAMETROXALTURA) PARA 4 A 5 CONTRIBUINTES (NBR 13969)                                                                                                                                                                                                                                                                                                                                                                                       </t>
  </si>
  <si>
    <t>688,47</t>
  </si>
  <si>
    <t xml:space="preserve">FILTRO ANAEROBIO, EM POLIETILENO DE ALTA DENSIDADE (PEAD), CAPACIDADE *1100* LITROS (NBR 13969)                                                                                                                                                                                                                                                                                                                                                                                                           </t>
  </si>
  <si>
    <t>885,68</t>
  </si>
  <si>
    <t xml:space="preserve">FILTRO ANAEROBIO, EM POLIETILENO DE ALTA DENSIDADE (PEAD), CAPACIDADE *2800* LITROS (NBR 13969)                                                                                                                                                                                                                                                                                                                                                                                                           </t>
  </si>
  <si>
    <t>2.267,73</t>
  </si>
  <si>
    <t xml:space="preserve">FILTRO ANAEROBIO, EM POLIETILENO DE ALTA DENSIDADE (PEAD), CAPACIDADE *5000* LITROS (NBR 13969)                                                                                                                                                                                                                                                                                                                                                                                                           </t>
  </si>
  <si>
    <t>3.099,57</t>
  </si>
  <si>
    <t xml:space="preserve">FINCAPINO CURTO CALIBRE 22 VERMELHO, CARGA MEDIA (ACAO DIRETA)                                                                                                                                                                                                                                                                                                                                                                                                                                            </t>
  </si>
  <si>
    <t>29,53</t>
  </si>
  <si>
    <t xml:space="preserve">FINCAPINO LONGO CALIBRE 22, CARGA FORTE (ACAO DIRETA)                                                                                                                                                                                                                                                                                                                                                                                                                                                     </t>
  </si>
  <si>
    <t>47,50</t>
  </si>
  <si>
    <t xml:space="preserve">FIO COBRE NU DE 150 A 500 MM2, PARA TENSOES DE ATE 600 V                                                                                                                                                                                                                                                                                                                                                                                                                                                  </t>
  </si>
  <si>
    <t>49,00</t>
  </si>
  <si>
    <t xml:space="preserve">FIO COBRE NU DE 16 A 35 MM2, PARA TENSOES DE ATE 600 V                                                                                                                                                                                                                                                                                                                                                                                                                                                    </t>
  </si>
  <si>
    <t>49,97</t>
  </si>
  <si>
    <t xml:space="preserve">FIO COBRE NU DE 50 A 120 MM2, PARA TENSOES DE ATE 600 V                                                                                                                                                                                                                                                                                                                                                                                                                                                   </t>
  </si>
  <si>
    <t>48,34</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</si>
  <si>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</si>
  <si>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</si>
  <si>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</si>
  <si>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</si>
  <si>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</si>
  <si>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FIO TELEFONICO EXTERNO (FE) EM ACO COBREADO, ISOLACAO EM PEAD OU PVC ANTI-CHAMA, 2 CONDUTORES                                                                                                                                                                                                                                                                                                                                                                                                             </t>
  </si>
  <si>
    <t xml:space="preserve">FIO TELEFONICO INTERNO (FI) EM COBRE ESTANHADO, ISOLACAO EM PVC ANTICHAMA, 2 CONDUTORES DE 0,6 MM (NBR 9115:2005)                                                                                                                                                                                                                                                                                                                                                                                         </t>
  </si>
  <si>
    <t xml:space="preserve">FITA ACO INOX PARA CINTAR POSTE, L = 19 MM, E = 0,5 MM (ROLO DE 30M)                                                                                                                                                                                                                                                                                                                                                                                                                                      </t>
  </si>
  <si>
    <t>63,40</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</si>
  <si>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</si>
  <si>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</si>
  <si>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</si>
  <si>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66,04</t>
  </si>
  <si>
    <t xml:space="preserve">FITA CREPE ROLO DE 25 MM X 50 M                                                                                                                                                                                                                                                                                                                                                                                                                                                                           </t>
  </si>
  <si>
    <t xml:space="preserve">FITA DE ALUMINIO PARA PROTECAO DO CONDUTOR LARGURA 10 MM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</si>
  <si>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</si>
  <si>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</si>
  <si>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</si>
  <si>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</si>
  <si>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</si>
  <si>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</si>
  <si>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34,14</t>
  </si>
  <si>
    <t xml:space="preserve">FITA METALICA PERFURADA, L = *18* MM, ROLO DE 30 M, CARGA RECOMENDADA = *30* KGF                                                                                                                                                                                                                                                                                                                                                                                                                          </t>
  </si>
  <si>
    <t>38,59</t>
  </si>
  <si>
    <t xml:space="preserve">FITA METALICA PERFURADA, L = 17 MM, ROLO DE 30 M, CARGA RECOMENDADA = *19* KGF                                                                                                                                                                                                                                                                                                                                                                                                                            </t>
  </si>
  <si>
    <t>29,62</t>
  </si>
  <si>
    <t xml:space="preserve">FITA METALICA PERFURADA, L = 25 MM, ROLO DE 30 M, CARGA RECOMENDADA = *222,5* KGF                                                                                                                                                                                                                                                                                                                                                                                                                         </t>
  </si>
  <si>
    <t xml:space="preserve">FITA PLASTICA ZEBRADA PARA DEMARCACAO DE AREAS, LARGURA = 7 CM, SEM ADESIVO (COLETADO CAIXA)                                                                                                                                                                                                                                                                                                                                                                                                              </t>
  </si>
  <si>
    <t xml:space="preserve">FITA VEDA ROSCA EM ROLOS DE 18 MM X 10 M (L X C)                                                                                                                                                                                                                                                                                                                                                                                                                                                          </t>
  </si>
  <si>
    <t xml:space="preserve">FITA VEDA ROSCA EM ROLOS DE 18 MM X 25 M (L X C)                                                                                                                                                                                                                                                                                                                                                                                                                                                          </t>
  </si>
  <si>
    <t>8,19</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</si>
  <si>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</si>
  <si>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</si>
  <si>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</si>
  <si>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</si>
  <si>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FIXADOR DE CAL (SACHE 150 ML)                                                                                                                                                                                                                                                                                                                                                                                                                                                                             </t>
  </si>
  <si>
    <t xml:space="preserve">FLANELA *30 X 40* CM                                                                                                                                                                                                                                                                                                                                                                                                                                                                                      </t>
  </si>
  <si>
    <t xml:space="preserve">FLANGE PVC, ROSCAVEL SEXTAVADO SEM FUROS 3/4"                                                                                                                                                                                                                                                                                                                                                                                                                                                             </t>
  </si>
  <si>
    <t>5,63</t>
  </si>
  <si>
    <t xml:space="preserve">FLANGE PVC, ROSCAVEL, SEXTAVADO, SEM FUROS 3"                                                                                                                                                                                                                                                                                                                                                                                                                                                             </t>
  </si>
  <si>
    <t>91,44</t>
  </si>
  <si>
    <t xml:space="preserve">FLANGE PVC, ROSCAVEL, SEXTAVADO, SEM FUROS, 1 1/2"                                                                                                                                                                                                                                                                                                                                                                                                                                                        </t>
  </si>
  <si>
    <t xml:space="preserve">FLANGE PVC, ROSCAVEL, SEXTAVADO, SEM FUROS, 1 1/4"                                                                                                                                                                                                                                                                                                                                                                                                                                                        </t>
  </si>
  <si>
    <t xml:space="preserve">FLANGE PVC, ROSCAVEL, SEXTAVADO, SEM FUROS, 1/2"                                                                                                                                                                                                                                                                                                                                                                                                                                                          </t>
  </si>
  <si>
    <t xml:space="preserve">FLANGE PVC, ROSCAVEL, SEXTAVADO, SEM FUROS, 1"                                                                                                                                                                                                                                                                                                                                                                                                                                                            </t>
  </si>
  <si>
    <t xml:space="preserve">FLANGE PVC, ROSCAVEL, SEXTAVADO, SEM FUROS, 2 1/2"                                                                                                                                                                                                                                                                                                                                                                                                                                                        </t>
  </si>
  <si>
    <t>80,87</t>
  </si>
  <si>
    <t xml:space="preserve">FLANGE PVC, ROSCAVEL, SEXTAVADO, SEM FUROS, 2"                                                                                                                                                                                                                                                                                                                                                                                                                                                            </t>
  </si>
  <si>
    <t xml:space="preserve">FLANGE SEXTAVADO DE FERRO GALVANIZADO, COM ROSCA BSP, DE 1 1/2"                                                                                                                                                                                                                                                                                                                                                                                                                                           </t>
  </si>
  <si>
    <t>28,01</t>
  </si>
  <si>
    <t xml:space="preserve">FLANGE SEXTAVADO DE FERRO GALVANIZADO, COM ROSCA BSP, DE 1 1/4"                                                                                                                                                                                                                                                                                                                                                                                                                                           </t>
  </si>
  <si>
    <t>22,25</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</si>
  <si>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</si>
  <si>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</si>
  <si>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</si>
  <si>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</si>
  <si>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</si>
  <si>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</si>
  <si>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</si>
  <si>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104,45</t>
  </si>
  <si>
    <t xml:space="preserve">FLANGE SEXTAVADO DE FERRO GALVANIZADO, COM ROSCA BSP, DE 6"                                                                                                                                                                                                                                                                                                                                                                                                                                               </t>
  </si>
  <si>
    <t>175,49</t>
  </si>
  <si>
    <t xml:space="preserve">FORRO COMPOSTO POR PAINEIS DE LA DE VIDRO, REVESTIDOS EM PVC MICROPERFURADO, DE *1250 X 625* MM, ESPESSURA 15 MM (COM COLOCACAO)                                                                                                                                                                                                                                                                                                                                                                          </t>
  </si>
  <si>
    <t>58,63</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</si>
  <si>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</si>
  <si>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</si>
  <si>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76,45</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</si>
  <si>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</si>
  <si>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</si>
  <si>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52,94</t>
  </si>
  <si>
    <t xml:space="preserve">FORRO DE MADEIRA CUMARU/IPE CHAMPANHE OU EQUIVALENTE DA REGIAO, ENCAIXE MACHO/FEMEA COM FRISO, *10 X 1* CM (SEM COLOCACAO)                                                                                                                                                                                                                                                                                                                                                                                </t>
  </si>
  <si>
    <t>80,00</t>
  </si>
  <si>
    <t xml:space="preserve">FORRO DE MADEIRA PINUS OU EQUIVALENTE DA REGIAO, ENCAIXE MACHO/FEMEA COM FRISO, *10 X 1* CM (SEM COLOCACAO)                                                                                                                                                                                                                                                                                                                                                                                               </t>
  </si>
  <si>
    <t xml:space="preserve">FORRO DE PVC LISO, BRANCO, REGUA DE 10 CM, ESPESSURA DE 8 MM A 10 MM (COM COLOCACAO / SEM ESTRUTURA METALICA)                                                                                                                                                                                                                                                                                                                                                                                             </t>
  </si>
  <si>
    <t>40,20</t>
  </si>
  <si>
    <t xml:space="preserve">FORRO DE PVC LISO, BRANCO, REGUA DE 20 CM, ESPESSURA DE 8 MM A 10 MM, COMPRIMENTO 6 M (SEM COLOCACAO)                                                                                                                                                                                                                                                                                                                                                                                                     </t>
  </si>
  <si>
    <t>16,33</t>
  </si>
  <si>
    <t xml:space="preserve">FORRO DE PVC, FRISADO, BRANCO, REGUA DE 10 CM, ESPESSURA DE 8 MM A 10 MM E COMPRIMENTO 6 M (SEM COLOCACAO)                                                                                                                                                                                                                                                                                                                                                                                                </t>
  </si>
  <si>
    <t xml:space="preserve">FORRO DE PVC, FRISADO, BRANCO, REGUA DE 20 CM, ESPESSURA DE 8 MM A 10 MM E COMPRIMENTO 6 M (SEM COLOCACAO)                                                                                                                                                                                                                                                                                                                                                                                                </t>
  </si>
  <si>
    <t>11,72</t>
  </si>
  <si>
    <t xml:space="preserve">FOSSA SEPTICA CILINDRICA TIPO "IMHOFF", COM TAMPA, PARA 50 CONTRIBUINTES                                                                                                                                                                                                                                                                                                                                                                                                                                  </t>
  </si>
  <si>
    <t>3.243,24</t>
  </si>
  <si>
    <t xml:space="preserve">FOSSA SEPTICA CILINDRICA, TIPO "IMHOFF", COM TAMPA, PARA 100 CONTRIBUINTES                                                                                                                                                                                                                                                                                                                                                                                                                                </t>
  </si>
  <si>
    <t>4.768,14</t>
  </si>
  <si>
    <t xml:space="preserve">FOSSA SEPTICA CILINDRICA, TIPO "IMHOFF", COM TAMPA, PARA 150 CONTRIBUINTES                                                                                                                                                                                                                                                                                                                                                                                                                                </t>
  </si>
  <si>
    <t>5.115,79</t>
  </si>
  <si>
    <t xml:space="preserve">FOSSA SEPTICA CILINDRICA, TIPO "IMHOFF", COM TAMPA, PARA 200 CONTRIBUINTES                                                                                                                                                                                                                                                                                                                                                                                                                                </t>
  </si>
  <si>
    <t>5.705,84</t>
  </si>
  <si>
    <t xml:space="preserve">FOSSA SEPTICA CILINDRICA, TIPO "IMHOFF", COM TAMPA, PARA 30 CONTRIBUINTES                                                                                                                                                                                                                                                                                                                                                                                                                                 </t>
  </si>
  <si>
    <t>1.838,97</t>
  </si>
  <si>
    <t xml:space="preserve">FOSSA SEPTICA CILINDRICA, TIPO "IMHOFF", COM TAMPA, PARA 75 CONTRIBUINTES                                                                                                                                                                                                                                                                                                                                                                                                                                 </t>
  </si>
  <si>
    <t>4.318,64</t>
  </si>
  <si>
    <t xml:space="preserve">FOSSA SEPTICA CONCRETO PRE MOLDADO PARA 10 CONTRIBUINTES - *90 X 90* CM                                                                                                                                                                                                                                                                                                                                                                                                                                   </t>
  </si>
  <si>
    <t>728,30</t>
  </si>
  <si>
    <t xml:space="preserve">FOSSA SEPTICA CONCRETO PRE MOLDADO PARA 5 CONTRIBUINTES *90 X 70* CM                                                                                                                                                                                                                                                                                                                                                                                                                                      </t>
  </si>
  <si>
    <t>603,13</t>
  </si>
  <si>
    <t xml:space="preserve">FOSSA SEPTICA, SEM FILTRO, PARA 15 A 30 CONTRIBUINTES, CILINDRICA, COM TAMPA, EM POLIETILENO DE ALTA DENSIDADE (PEAD), CAPACIDADE APROXIMADA DE 5500 LITROS (NBR 7229)                                                                                                                                                                                                                                                                                                                                    </t>
  </si>
  <si>
    <t>3.607,75</t>
  </si>
  <si>
    <t xml:space="preserve">FOSSA SEPTICA, SEM FILTRO, PARA 4 A 7 CONTRIBUINTES, CILINDRICA,  COM TAMPA, EM POLIETILENO DE ALTA DENSIDADE (PEAD), CAPACIDADE APROXIMADA DE 1100 LITROS (NBR 7229)                                                                                                                                                                                                                                                                                                                                     </t>
  </si>
  <si>
    <t>927,70</t>
  </si>
  <si>
    <t xml:space="preserve">FOSSA SEPTICA, SEM FILTRO, PARA 8 A 14 CONTRIBUINTES, CILINDRICA, COM TAMPA, EM POLIETILENO DE ALTA DENSIDADE (PEAD), CAPACIDADE APROXIMADA DE 3000 LITROS (NBR 7229)                                                                                                                                                                                                                                                                                                                                     </t>
  </si>
  <si>
    <t>2.854,79</t>
  </si>
  <si>
    <t xml:space="preserve">FOSSA SEPTICA,SEM FILTRO, PARA 40 A 52 CONTRIBUINTES, CILINDRICA, COM TAMPA, EM POLIETILENO DE ALTA DENSIDADE (PEAD), CAPACIDADE APROXIMADA DE 10000 LITROS (NBR 7229)                                                                                                                                                                                                                                                                                                                                    </t>
  </si>
  <si>
    <t>8.246,30</t>
  </si>
  <si>
    <t xml:space="preserve">FRESADORA DE ASFALTO A FRIO SOBRE ESTEIRAS, LARG. FRESAGEM 2,00 M, POT. 410 KW/550 HP                                                                                                                                                                                                                                                                                                                                                                                                                     </t>
  </si>
  <si>
    <t>4.521.707,05</t>
  </si>
  <si>
    <t xml:space="preserve">FRESADORA DE ASFALTO A FRIO SOBRE RODAS, LARG. FRESAGEM 1,00 M, POT. 155 KW/208 HP                                                                                                                                                                                                                                                                                                                                                                                                                        </t>
  </si>
  <si>
    <t>1.935.675,34</t>
  </si>
  <si>
    <t xml:space="preserve">FUNDO ANTICORROSIVO PARA METAIS FERROSOS (ZARCAO)                                                                                                                                                                                                                                                                                                                                                                                                                                                         </t>
  </si>
  <si>
    <t>25,94</t>
  </si>
  <si>
    <t xml:space="preserve">FUNDO PREPARADOR ACRILICO BASE AGUA                                                                                                                                                                                                                                                                                                                                                                                                                                                                       </t>
  </si>
  <si>
    <t>13,01</t>
  </si>
  <si>
    <t xml:space="preserve">FUNDO SINTETICO NIVELADOR BRANCO FOSCO PARA MADEIRA                                                                                                                                                                                                                                                                                                                                                                                                                                                       </t>
  </si>
  <si>
    <t>77,89</t>
  </si>
  <si>
    <t xml:space="preserve">FURO PARA TORNEIRA OU OUTROS ACESSORIOS  EM BANCADA DE MARMORE/ GRANITO OU OUTRO TIPO DE PEDRA NATURAL                                                                                                                                                                                                                                                                                                                                                                                                    </t>
  </si>
  <si>
    <t>10,66</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</si>
  <si>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</si>
  <si>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</si>
  <si>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</si>
  <si>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13,17</t>
  </si>
  <si>
    <t xml:space="preserve">FUSIVEL NH 100 A TAMANHO 00, CAPACIDADE DE INTERRUPCAO DE 120 KA, TENSAO NOMIMNAL DE 500 V                                                                                                                                                                                                                                                                                                                                                                                                                </t>
  </si>
  <si>
    <t>13,77</t>
  </si>
  <si>
    <t xml:space="preserve">FUSIVEL NH 125 A TAMANHO 00, CAPACIDADE DE INTERRUPCAO DE 120 KA, TENSAO NOMIMNAL DE 500 V                                                                                                                                                                                                                                                                                                                                                                                                                </t>
  </si>
  <si>
    <t xml:space="preserve">FUSIVEL NH 160 A TAMANHO 00, CAPACIDADE DE INTERRUPCAO DE 120 KA, TENSAO NOMIMNAL DE 500 V                                                                                                                                                                                                                                                                                                                                                                                                                </t>
  </si>
  <si>
    <t>14,92</t>
  </si>
  <si>
    <t xml:space="preserve">FUSIVEL NH 20 A TAMANHO 000, CAPACIDADE DE INTERRUPCAO DE 120 KA, TENSAO NOMIMNAL DE 500 V                                                                                                                                                                                                                                                                                                                                                                                                                </t>
  </si>
  <si>
    <t>14,02</t>
  </si>
  <si>
    <t xml:space="preserve">FUSIVEL NH 200 A 250 AMPERES, TAMANHO 1, CAPACIDADE DE INTERRUPCAO DE 120 KA, TENSAO NOMIMNAL DE 500 V                                                                                                                                                                                                                                                                                                                                                                                                    </t>
  </si>
  <si>
    <t>32,85</t>
  </si>
  <si>
    <t xml:space="preserve">GABIAO  TIPO CAIXA, MALHA HEXAGONAL 8 X 10 CM (ZN/AL), FIO 2,7 MM, DIMENSOES 2,0 X 1,0 X 0,5 M (C X L X A)                                                                                                                                                                                                                                                                                                                                                                                                </t>
  </si>
  <si>
    <t>427,37</t>
  </si>
  <si>
    <t xml:space="preserve">GABIAO MANTA (COLCHAO) MALHA HEXAGONAL 6 X 8 CM (ZN/AL REVESTIDO COM POLIMERO), DIMENSOES 4,0 X 2,0 X 0,17 M (C X L X A) FIO 2 MM                                                                                                                                                                                                                                                                                                                                                                         </t>
  </si>
  <si>
    <t>1.173,69</t>
  </si>
  <si>
    <t xml:space="preserve">GABIAO MANTA (COLCHAO) MALHA HEXAGONAL 6 X 8 CM (ZN/AL REVESTIDO COM POLIMERO), FIO 2 MM, DIMENSOES 4,0 X 2,0 X 0,23 M (C X L X A)                                                                                                                                                                                                                                                                                                                                                                        </t>
  </si>
  <si>
    <t>1.266,23</t>
  </si>
  <si>
    <t xml:space="preserve">GABIAO MANTA (COLCHAO) MALHA HEXAGONAL 6 X 8 CM (ZN/AL REVESTIDO COM POLIMERO), FIO 2 MM, DIMENSOES 4,0 X 2,0 X 0,3 M (C X L X A)                                                                                                                                                                                                                                                                                                                                                                         </t>
  </si>
  <si>
    <t>1.392,94</t>
  </si>
  <si>
    <t xml:space="preserve">GABIAO MANTA (COLCHAO) MALHA HEXAGONAL 6 X 8 CM (ZN/AL REVESTIDO COM POLIMERO), FIO 2,0 MM, DIMENSOES 5,0 X 2,0 X 0,17 M (C X L X A)                                                                                                                                                                                                                                                                                                                                                                      </t>
  </si>
  <si>
    <t>112,60</t>
  </si>
  <si>
    <t xml:space="preserve">GABIAO MANTA (COLCHAO) MALHA HEXAGONAL 6 X 8 CM (ZN/AL REVESTIDO COM POLIMERO), FIO 2,0 MM, DIMENSOES 5,0 X 2,0 X 0,23 M (C X L X A)                                                                                                                                                                                                                                                                                                                                                                      </t>
  </si>
  <si>
    <t>121,83</t>
  </si>
  <si>
    <t xml:space="preserve">GABIAO MANTA (COLCHAO) MALHA HEXAGONAL 6 X 8 CM (ZN/AL REVESTIDO COM POLIMERO), FIO 2,0 MM, DIMENSOES 5,0 X 2,0 X 0,30 M (C X L X A)                                                                                                                                                                                                                                                                                                                                                                      </t>
  </si>
  <si>
    <t>133,63</t>
  </si>
  <si>
    <t xml:space="preserve">GABIAO SACO MALHA HEXAGONAL 8 X 10 CM (ZN/AL REVESTIDO COM POLIMERO),  FIO 2,4 MM, DIMENSOES 3,0 X 0,65 M                                                                                                                                                                                                                                                                                                                                                                                                 </t>
  </si>
  <si>
    <t>403,58</t>
  </si>
  <si>
    <t xml:space="preserve">GABIAO SACO MALHA HEXAGONAL 8 X 10 CM (ZN/AL REVESTIDO COM POLIMERO), FIO 2,4 MM, H = 0,65 M                                                                                                                                                                                                                                                                                                                                                                                                              </t>
  </si>
  <si>
    <t xml:space="preserve">GABIAO SACO MALHA HEXAGONAL 8 X 10 CM (ZN/AL), FIO 2,7 MM, DIMENSOES 4,0 X 0,65 M                                                                                                                                                                                                                                                                                                                                                                                                                         </t>
  </si>
  <si>
    <t>536,72</t>
  </si>
  <si>
    <t xml:space="preserve">GABIAO TIPO CAIXA MALHA HEXAGONAL 8 X 10 CM (ZN/AL REVESTIDO COM POLIMERO),  FIO 2,4 MM, DIMENSOES 2,0 X 1,0 X 1,0 M (C X L X A)                                                                                                                                                                                                                                                                                                                                                                          </t>
  </si>
  <si>
    <t>752,44</t>
  </si>
  <si>
    <t xml:space="preserve">GABIAO TIPO CAIXA MALHA HEXAGONAL 8 X 10 CM (ZN/AL REVESTIDO COM POLIMERO),  FIO 2,4 MM, H = 0,50 M                                                                                                                                                                                                                                                                                                                                                                                                       </t>
  </si>
  <si>
    <t>538,15</t>
  </si>
  <si>
    <t xml:space="preserve">GABIAO TIPO CAIXA MALHA HEXAGONAL 8 X 10 CM (ZN/AL), FIO 2,7 MM, DIMENSOES 2,0 X 1,0 X 1,0 M (C X L X A)                                                                                                                                                                                                                                                                                                                                                                                                  </t>
  </si>
  <si>
    <t>625,80</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</si>
  <si>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</si>
  <si>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</si>
  <si>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774,01</t>
  </si>
  <si>
    <t xml:space="preserve">GABIAO TIPO CAIXA PARA SOLO REFORCADO, MALHA HEXAGONAL DE DUPLA TORCAO 8 X 10 CM (ZN/AL REVESTIDO COM POLIMERO), FIO 2,7 MM, DIMENSOES 2,0 X 1,0 X 1,0 M, COM CAUDA DE 3,0 M                                                                                                                                                                                                                                                                                                                              </t>
  </si>
  <si>
    <t>995,34</t>
  </si>
  <si>
    <t xml:space="preserve">GABIAO TIPO CAIXA PARA SOLO REFORCADO, MALHA HEXAGONAL DE DUPLA TORCAO 8 X 10 CM (ZN/AL REVESTIDO COM POLIMERO), FIO 2,7 MM, DIMENSOES 2,0 X 1,0 X 1,0 M, COM CAUDA DE 4,0 M                                                                                                                                                                                                                                                                                                                              </t>
  </si>
  <si>
    <t>1.097,13</t>
  </si>
  <si>
    <t xml:space="preserve">GABIAO TIPO CAIXA PARA SOLO REFORCADO, MALHA HEXAGONAL 8 X 10 CM (ZN/AL REVESTIDO COM POLIMERO), FIO 2,7 MM, DIMENSOES 2,0 X 1,0 X 0,5 M, COM CAUDA DE 4,0 M                                                                                                                                                                                                                                                                                                                                              </t>
  </si>
  <si>
    <t>560,54</t>
  </si>
  <si>
    <t xml:space="preserve">GABIAO TIPO CAIXA PARA SOLO REFORCADO, MALHA HEXAGONAL 8 X 10 CM (ZN/AL REVESTIDO COM POLIMERO), FIO 2,7 MM, DIMENSOES 2,0 X 1,0 X 1,0 M, COM CAUDA DE 4,0 M                                                                                                                                                                                                                                                                                                                                              </t>
  </si>
  <si>
    <t>357,87</t>
  </si>
  <si>
    <t xml:space="preserve">GABIAO TIPO CAIXA TRAPEZOIDAL, MALHA HEXAGONAL 10 X 12 CM (ZN/AL REVESTIDO COM POLIMERO) FIO 2,7 MM, FACE COM 65 GRAUS, COM GEOSSINTETICO, DIMENSOES 2,0 X 1,5 X 1,0 M (C X L X A)                                                                                                                                                                                                                                                                                                                        </t>
  </si>
  <si>
    <t>300,85</t>
  </si>
  <si>
    <t xml:space="preserve">GABIAO TIPO CAIXA, MALHA HEXAGONAL 8 X 10 CM (ZN/AL REVESTIDO COM POLIMERO), FIO DE 2,4 MM, DIMENSOES 2,0 x 1,0 x 1,0 M (C X L X A)                                                                                                                                                                                                                                                                                                                                                                       </t>
  </si>
  <si>
    <t>376,22</t>
  </si>
  <si>
    <t xml:space="preserve">GABIAO TIPO CAIXA, MALHA HEXAGONAL 8 X 10 CM (ZN/AL REVESTIDO COM POLIMERO), FIO 2,4 MM, DIMENSOES 2,0 X 1,0 X 0,5 M (C X L X A)                                                                                                                                                                                                                                                                                                                                                                          </t>
  </si>
  <si>
    <t xml:space="preserve">GABIAO TIPO CAIXA, MALHA HEXAGONAL 8 X 10 CM (ZN/AL), FIO DE 2,7 MM, DIMENSOES 2,0 X 1,0 X 1,0 M (C X L X A)                                                                                                                                                                                                                                                                                                                                                                                              </t>
  </si>
  <si>
    <t>250,64</t>
  </si>
  <si>
    <t xml:space="preserve">GABIAO TIPO CAIXA, MALHA HEXAGONAL 8 X 10 CM (ZN/AL), FIO DE 2,7 MM, DIMENSOES 5,0 X 1,0 X 1,0 M (C X L X A)                                                                                                                                                                                                                                                                                                                                                                                              </t>
  </si>
  <si>
    <t>312,53</t>
  </si>
  <si>
    <t xml:space="preserve">GANCHO CHATO EM FERRO GALVANIZADO,  L = 110 MM, RECOBRIMENTO = 100MM, SECAO 1/8 X 1/2" (3 MM X 12 MM), PARA FIXAR TELHA DE FIBROCIMENTO ONDULADA                                                                                                                                                                                                                                                                                                                                                          </t>
  </si>
  <si>
    <t xml:space="preserve">GANCHO L COM ROSCA, PARA FIXAR TELHA EM MADEIRA, 1/4" X 350 MM (COLETADO CAIXA)                                                                                                                                                                                                                                                                                                                                                                                                                           </t>
  </si>
  <si>
    <t xml:space="preserve">GANCHO OLHAL EM ACO GALVANIZADO, ESPESSURA 16MM, ABERTURA 21MM                                                                                                                                                                                                                                                                                                                                                                                                                                            </t>
  </si>
  <si>
    <t xml:space="preserve">GAS DE COZINHA - GLP                                                                                                                                                                                                                                                                                                                                                                                                                                                                                      </t>
  </si>
  <si>
    <t xml:space="preserve">GASOLINA COMUM                                                                                                                                                                                                                                                                                                                                                                                                                                                                                            </t>
  </si>
  <si>
    <t>4,50</t>
  </si>
  <si>
    <t xml:space="preserve">GEOGRELHA TECIDA COM FILAMENTOS DE POLIESTER + PVC, RESISTENCIA LONGITUDINAL: 90 KN/M, RESISTENCIA TRANSVERSAL: 30 KN/M, ALONGAMENTO = 12 POR CENTO                                                                                                                                                                                                                                                                                                                                                       </t>
  </si>
  <si>
    <t>45,43</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</si>
  <si>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</si>
  <si>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</si>
  <si>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</si>
  <si>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</si>
  <si>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</si>
  <si>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10,44</t>
  </si>
  <si>
    <t xml:space="preserve">GEOTEXTIL NAO TECIDO AGULHADO DE FILAMENTOS CONTINUOS 100% POLIESTER, RESITENCIA A TRACAO = 26 KN/M                                                                                                                                                                                                                                                                                                                                                                                                       </t>
  </si>
  <si>
    <t xml:space="preserve">GEOTEXTIL NAO TECIDO AGULHADO DE FILAMENTOS CONTINUOS 100% POLIESTER, RESITENCIA A TRACAO = 31 KN/M                                                                                                                                                                                                                                                                                                                                                                                                       </t>
  </si>
  <si>
    <t>15,66</t>
  </si>
  <si>
    <t xml:space="preserve">GERADOR PORTATIL MONOFASICO, POTENCIA 5500 VA, MOTOR A GASOLINA, POTENCIA DO MOTOR 13 CV                                                                                                                                                                                                                                                                                                                                                                                                                  </t>
  </si>
  <si>
    <t>5.027,60</t>
  </si>
  <si>
    <t xml:space="preserve">GESSEIRO                                                                                                                                                                                                                                                                                                                                                                                                                                                                                                  </t>
  </si>
  <si>
    <t xml:space="preserve">GESSEIRO (MENSALISTA)                                                                                                                                                                                                                                                                                                                                                                                                                                                                                     </t>
  </si>
  <si>
    <t xml:space="preserve">GESSO EM PO PARA REVESTIMENTOS/MOLDURAS/SANCAS                                                                                                                                                                                                                                                                                                                                                                                                                                                            </t>
  </si>
  <si>
    <t xml:space="preserve">GESSO PROJETADO                                                                                                                                                                                                                                                                                                                                                                                                                                                                                           </t>
  </si>
  <si>
    <t xml:space="preserve">GONZO DE EMBUTIR, EM LATAO / ZAMAC, *20 X 48* MM, PARA JANELA BASCULANTE / PIVOTANTE -  INCLUI PARAFUSOS                                                                                                                                                                                                                                                                                                                                                                                                  </t>
  </si>
  <si>
    <t>12,04</t>
  </si>
  <si>
    <t xml:space="preserve">GONZO DE SOBREPOR, EM LATAO / ZAMAC, PARA JANELA PIVOTANTE - INCLUI PARAFUSOS                                                                                                                                                                                                                                                                                                                                                                                                                             </t>
  </si>
  <si>
    <t xml:space="preserve">GRADE DE DISCOS COM CONTROLE REMOTO, REBOCAVEL, COM 24 DISCOS 24" X 6 MM, COM PNEUS PARA TRANSPORTE                                                                                                                                                                                                                                                                                                                                                                                                       </t>
  </si>
  <si>
    <t>33.396,60</t>
  </si>
  <si>
    <t xml:space="preserve">GRADE DE DISCOS MECANICA 20X24" COM 20 DISCOS 24" X 6MM  COM PNEUS PARA TRANSPORTE                                                                                                                                                                                                                                                                                                                                                                                                                        </t>
  </si>
  <si>
    <t>26.182,94</t>
  </si>
  <si>
    <t xml:space="preserve">GRADIL *1320 X 2170* MM (A X L) EM BARRA DE ACO CHATA *25 MM X 2* MM, ENTRELACADA COM BARRA ACO REDONDA *5* MM, MALHA *65 X 132* MM, GALVANIZADO E PINTURA ELETROSTATICA, COR PRETO                                                                                                                                                                                                                                                                                                                       </t>
  </si>
  <si>
    <t>325,34</t>
  </si>
  <si>
    <t xml:space="preserve">GRAMA BATATAIS EM PLACAS, SEM PLANTIO                                                                                                                                                                                                                                                                                                                                                                                                                                                                     </t>
  </si>
  <si>
    <t xml:space="preserve">GRAMA ESMERALDA OU SAO CARLOS OU CURITIBANA, EM PLACAS, SEM PLANTIO                                                                                                                                                                                                                                                                                                                                                                                                                                       </t>
  </si>
  <si>
    <t xml:space="preserve">GRAMA SINTETICA, ALTURA /ESPESSURA DE 52MM ( 2MM DE BASE E 50MM DE FIOS EXPOSTOS), BASE TRIPLA, MINIMO DE 8.000 PONTOS POR M2, INCLUINDO MAO DE OBRA E SISTEMA DE INSTALACAO (FLUTUANTE, UNIAO DOS ROLOS COM TAPEDE 30CM, COLA PU, 30 KG/M2 DE AREIA CLASSIFICADA GRANULOMETRIA 40/45 OU 50/60 E 10 KG/M2 DE GRANULO DE BORRACHA SBR PRETA MALHA 10 (0,7 A 2,0 MM)) (COLETADO CAIXA)                                                                                                                      </t>
  </si>
  <si>
    <t>74,50</t>
  </si>
  <si>
    <t xml:space="preserve">GRAMPO DE ACO POLIDO 1 " X 9                                                                                                                                                                                                                                                                                                                                                                                                                                                                              </t>
  </si>
  <si>
    <t>10,23</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</si>
  <si>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</si>
  <si>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</si>
  <si>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</si>
  <si>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</si>
  <si>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19,49</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</si>
  <si>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</si>
  <si>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</si>
  <si>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</si>
  <si>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</si>
  <si>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</si>
  <si>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</si>
  <si>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</si>
  <si>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128,39</t>
  </si>
  <si>
    <t xml:space="preserve">GRANALHA DE ACO, ANGULAR (GRIT), PARA JATEAMENTO, PENEIRA 1,41 A 1,19 MM (SAE G16)                                                                                                                                                                                                                                                                                                                                                                                                                        </t>
  </si>
  <si>
    <t>111,57</t>
  </si>
  <si>
    <t xml:space="preserve">GRANALHA DE ACO, ESFERICA (SHOT), PARA JATEAMENTO, PENEIRA 0,40 A 1,00 MM (SAE S-170 A S-280)                                                                                                                                                                                                                                                                                                                                                                                                             </t>
  </si>
  <si>
    <t>133,17</t>
  </si>
  <si>
    <t xml:space="preserve">GRANALHA DE ACO, ESFERICA (SHOT), PARA JATEAMENTO, PENEIRA 1,19 A 1,00 MM (SAE S390)                                                                                                                                                                                                                                                                                                                                                                                                                      </t>
  </si>
  <si>
    <t>150,00</t>
  </si>
  <si>
    <t xml:space="preserve">GRANILHA/ GRANA/ PEDRISCO OU AGREGADO EM MARMORE/ GRANITO/ QUARTZO E CALCARIO, PRETO, CINZA, PALHA OU BRANCO                                                                                                                                                                                                                                                                                                                                                                                              </t>
  </si>
  <si>
    <t xml:space="preserve">GRANITO PARA BANCADA, POLIDO, TIPO ANDORINHA/ QUARTZ/ CASTELO/ CORUMBA OU OUTROS EQUIVALENTES DA REGIAO, E=  *2,5* CM                                                                                                                                                                                                                                                                                                                                                                                     </t>
  </si>
  <si>
    <t>498,11</t>
  </si>
  <si>
    <t xml:space="preserve">GRAUTE CIMENTICIO PARA USO GERAL                                                                                                                                                                                                                                                                                                                                                                                                                                                                          </t>
  </si>
  <si>
    <t xml:space="preserve">GRAXA LUBRIFICANTE                                                                                                                                                                                                                                                                                                                                                                                                                                                                                        </t>
  </si>
  <si>
    <t>29,36</t>
  </si>
  <si>
    <t xml:space="preserve">GRELHA FOFO ARTICULADA, CARGA MAXIMA 1,5 T, *300 X 1000* MM, E= *15* MM                                                                                                                                                                                                                                                                                                                                                                                                                                   </t>
  </si>
  <si>
    <t>140,57</t>
  </si>
  <si>
    <t xml:space="preserve">GRELHA FOFO SIMPLES COM REQUADRO, CARGA MAXIMA  12,5 T, *300 X 1000* MM, E= *15* MM, AREA ESTACIONAMENTO CARRO PASSEIO                                                                                                                                                                                                                                                                                                                                                                                    </t>
  </si>
  <si>
    <t>194,43</t>
  </si>
  <si>
    <t xml:space="preserve">GRELHA FOFO SIMPLES COM REQUADRO, CARGA MAXIMA 1,5 T, 150 X 1000 MM, E= *15* MM                                                                                                                                                                                                                                                                                                                                                                                                                           </t>
  </si>
  <si>
    <t>107,27</t>
  </si>
  <si>
    <t xml:space="preserve">GRELHA FOFO SIMPLES COM REQUADRO, CARGA MAXIMA 1,5 T, 200 X 1000 MM, E= *15* MM                                                                                                                                                                                                                                                                                                                                                                                                                           </t>
  </si>
  <si>
    <t>136,32</t>
  </si>
  <si>
    <t xml:space="preserve">GRELHA PVC BRANCA QUADRADA, 150 X 150 MM                                                                                                                                                                                                                                                                                                                                                                                                                                                                  </t>
  </si>
  <si>
    <t xml:space="preserve">GRELHA PVC CROMADA REDONDA, 150 MM                                                                                                                                                                                                                                                                                                                                                                                                                                                                        </t>
  </si>
  <si>
    <t>22,84</t>
  </si>
  <si>
    <t xml:space="preserve">GRUA ASCENCIONAL, LANCA DE 30 M, CAPACIDADE DE 1,0 T A 30 M, ALTURA ATE 39 M                                                                                                                                                                                                                                                                                                                                                                                                                              </t>
  </si>
  <si>
    <t>377.809,08</t>
  </si>
  <si>
    <t xml:space="preserve">GRUA ASCENCIONAL, LANCA DE 42 M, CAPACIDADE DE 1,5 T A 30 M, ALTURA ATE 39 M                                                                                                                                                                                                                                                                                                                                                                                                                              </t>
  </si>
  <si>
    <t>428.042,35</t>
  </si>
  <si>
    <t xml:space="preserve">GRUA ASCENCIONAL, LANCA DE 50 M, CAPACIDADE DE 2,33 T A 30 M, ALTURA ATE 48 M                                                                                                                                                                                                                                                                                                                                                                                                                             </t>
  </si>
  <si>
    <t>795.140,35</t>
  </si>
  <si>
    <t xml:space="preserve">GRUPO DE SOLDAGEM C/ GERADOR A DIESEL 60 CV PARA SOLDA ELETRICA, SOBRE 04 RODAS, COM MOTOR 4 CILINDROS                                                                                                                                                                                                                                                                                                                                                                                                    </t>
  </si>
  <si>
    <t>139.225,88</t>
  </si>
  <si>
    <t xml:space="preserve">GRUPO DE SOLDAGEM COM GERADOR A DIESEL 30 CV, PARA SOLDA ELETRICA, SOBRE DUAS RODAS                                                                                                                                                                                                                                                                                                                                                                                                                       </t>
  </si>
  <si>
    <t>124.452,47</t>
  </si>
  <si>
    <t xml:space="preserve">GRUPO GERADOR A GASOLINA, POTENCIA NOMINAL 2,2 KW, TENSAO DE SAIDA 110/220 V, MOTOR POTENCIA 6,5 HP                                                                                                                                                                                                                                                                                                                                                                                                       </t>
  </si>
  <si>
    <t>2.714,90</t>
  </si>
  <si>
    <t xml:space="preserve">GRUPO GERADOR DIESEL, COM CARENAGEM, POTENCIA STANDART ENTRE 100 E 110 KVA, VELOCIDADE DE 1800 RPM, FREQUENCIA DE 60 HZ                                                                                                                                                                                                                                                                                                                                                                                   </t>
  </si>
  <si>
    <t>89.898,14</t>
  </si>
  <si>
    <t xml:space="preserve">GRUPO GERADOR DIESEL, COM CARENAGEM, POTENCIA STANDART ENTRE 140 E 150 KVA, VELOCIDADE DE 1800 RPM, FREQUENCIA DE 60 HZ                                                                                                                                                                                                                                                                                                                                                                                   </t>
  </si>
  <si>
    <t>105.444,44</t>
  </si>
  <si>
    <t xml:space="preserve">GRUPO GERADOR DIESEL, COM CARENAGEM, POTENCIA STANDART ENTRE 210 E 220 KVA, VELOCIDADE DE 1800 RPM, FREQUENCIA DE 60 HZ                                                                                                                                                                                                                                                                                                                                                                                   </t>
  </si>
  <si>
    <t>128.425,92</t>
  </si>
  <si>
    <t xml:space="preserve">GRUPO GERADOR DIESEL, COM CARENAGEM, POTENCIA STANDART ENTRE 250 E 260 KVA, VELOCIDADE DE 1800 RPM, FREQUENCIA DE 60 HZ                                                                                                                                                                                                                                                                                                                                                                                   </t>
  </si>
  <si>
    <t>148.703,70</t>
  </si>
  <si>
    <t xml:space="preserve">GRUPO GERADOR DIESEL, COM CARENAGEM, POTENCIA STANDART ENTRE 50 E 55 KVA, VELOCIDADE DE 1800 RPM, FREQUENCIA DE 60 HZ                                                                                                                                                                                                                                                                                                                                                                                     </t>
  </si>
  <si>
    <t>80.056,66</t>
  </si>
  <si>
    <t xml:space="preserve">GRUPO GERADOR DIESEL, SEM CARENAGEM, POTENCIA STANDART ENTRE 100 E 110 KVA, VELOCIDADE DE 1800 RPM, FREQUENCIA DE 60 HZ                                                                                                                                                                                                                                                                                                                                                                                   </t>
  </si>
  <si>
    <t>78.137,03</t>
  </si>
  <si>
    <t xml:space="preserve">GRUPO GERADOR DIESEL, SEM CARENAGEM, POTENCIA STANDART ENTRE 210 E 220 KVA, VELOCIDADE DE 1800 RPM, FREQUENCIA DE 60 HZ                                                                                                                                                                                                                                                                                                                                                                                   </t>
  </si>
  <si>
    <t>112.284,81</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</si>
  <si>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</si>
  <si>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</si>
  <si>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73.000,00</t>
  </si>
  <si>
    <t xml:space="preserve">GRUPO GERADOR ESTACIONARIO SILENCIADO, POTENCIA 50 KVA, MOTOR DIESEL                                                                                                                                                                                                                                                                                                                                                                                                                                      </t>
  </si>
  <si>
    <t>60.960,82</t>
  </si>
  <si>
    <t xml:space="preserve">GRUPO GERADOR ESTACIONARIO, MOTOR DIESEL POTENCIA 170 KVA                                                                                                                                                                                                                                                                                                                                                                                                                                                 </t>
  </si>
  <si>
    <t>104.493,66</t>
  </si>
  <si>
    <t xml:space="preserve">GRUPO GERADOR ESTACIONARIO, POTENCIA 150 KVA, MOTOR DIESEL                                                                                                                                                                                                                                                                                                                                                                                                                                                </t>
  </si>
  <si>
    <t>93.035,37</t>
  </si>
  <si>
    <t xml:space="preserve">GRUPO GERADOR ESTACIONARIO, SILENCIADO, POTENCIA 180 KVA, MOTOR DIESEL                                                                                                                                                                                                                                                                                                                                                                                                                                    </t>
  </si>
  <si>
    <t>111.846,34</t>
  </si>
  <si>
    <t xml:space="preserve">GRUPO GERADOR REBOCAVEL, POTENCIA *66* KVA, MOTOR A DIESEL                                                                                                                                                                                                                                                                                                                                                                                                                                                </t>
  </si>
  <si>
    <t>65.745,55</t>
  </si>
  <si>
    <t xml:space="preserve">GUARNICAO/ ALIZAR/ VISTA MACICA, E= *1* CM, L= *4,5* CM, EM CEDRINHO/ ANGELIM COMERCIAL/  EUCALIPTO/ CURUPIXA/ PEROBA/ CUMARU OU EQUIVALENTE DA REGIAO                                                                                                                                                                                                                                                                                                                                                    </t>
  </si>
  <si>
    <t xml:space="preserve">GUARNICAO/ ALIZAR/ VISTA MACICA, E= *1* CM, L= *4,5* CM, EM PINUS/ TAUARI/ VIROLA OU EQUIVALENTE DA REGIAO                                                                                                                                                                                                                                                                                                                                                                                                </t>
  </si>
  <si>
    <t xml:space="preserve">GUARNICAO/ALIZAR/VISTA, E = *1,3* CM, L = *5,0* CM HASTE REGULAVEL = *35* MM, EM MDF/PVC WOOD/ POLIESTIRENO OU MADEIRA LAMINADA, PRIMER BRANCO                                                                                                                                                                                                                                                                                                                                                            </t>
  </si>
  <si>
    <t>135,80</t>
  </si>
  <si>
    <t xml:space="preserve">GUARNICAO/ALIZAR/VISTA, E = *1,3* CM, L = *7,0* CM, EM POLIESTIRENO, BRANCO                                                                                                                                                                                                                                                                                                                                                                                                                               </t>
  </si>
  <si>
    <t>154,88</t>
  </si>
  <si>
    <t xml:space="preserve">GUARNICAO/ALIZAR/VISTA, E = *1,5* CM, L = *5,0* CM, EM POLIESTIRENO, BRANCO                                                                                                                                                                                                                                                                                                                                                                                                                               </t>
  </si>
  <si>
    <t>154,55</t>
  </si>
  <si>
    <t xml:space="preserve">GUARNICAO/MOLDURA DE ACABAMENTO PARA ESQUADRIA DE ALUMINIO ANODIZADO NATURAL, PARA 1 FACE                                                                                                                                                                                                                                                                                                                                                                                                                 </t>
  </si>
  <si>
    <t>6,30</t>
  </si>
  <si>
    <t xml:space="preserve">GUINCHO DE ALAVANCA MANUAL, CAPACIDADE DE 1,6 T, COM 20 M DE CABO DE ACO (AQUISICAO)                                                                                                                                                                                                                                                                                                                                                                                                                      </t>
  </si>
  <si>
    <t>2.200,79</t>
  </si>
  <si>
    <t xml:space="preserve">GUINCHO DE ALAVANCA MANUAL, CAPACIDADE 3,2 T COM 20 M DE CABO DE ACO DIAMETRO 16,3 MM                                                                                                                                                                                                                                                                                                                                                                                                                     </t>
  </si>
  <si>
    <t>2.512,44</t>
  </si>
  <si>
    <t xml:space="preserve">GUINCHO ELETRICO DE COLUNA, CAPACIDADE 400 KG, COM MOTO FREIO, MOTOR TRIFASICO DE 1,25 CV                                                                                                                                                                                                                                                                                                                                                                                                                 </t>
  </si>
  <si>
    <t>4.374,55</t>
  </si>
  <si>
    <t xml:space="preserve">GUINDASTE HIDRAULICO AUTOPROPELIDO, COM LANCA TELESCOPICA 28,80 M, CAPACIDADE MAXIMA 30 T, POTENCIA 97 KW, TRACAO 4 X 4                                                                                                                                                                                                                                                                                                                                                                                   </t>
  </si>
  <si>
    <t>660.657,27</t>
  </si>
  <si>
    <t xml:space="preserve">GUINDASTE HIDRAULICO AUTOPROPELIDO, COM LANCA TELESCOPICA 40 M, CAPACIDADE MAXIMA 60 T, POTENCIA 260 KW, TRACAO 6 X 6                                                                                                                                                                                                                                                                                                                                                                                     </t>
  </si>
  <si>
    <t>1.270.494,75</t>
  </si>
  <si>
    <t xml:space="preserve">GUINDASTE HIDRAULICO AUTOPROPELIDO, COM LANCA TELESCOPICA 50 M, CAPACIDADE MAXIMA 100 T, POTENCIA 350 KW, TRACAO 10 X 6                                                                                                                                                                                                                                                                                                                                                                                   </t>
  </si>
  <si>
    <t>2.159.841,08</t>
  </si>
  <si>
    <t xml:space="preserve">GUINDAUTO HIDRAULICO, CAPACIDADE MAXIMA DE CARGA 10000 KG, MOMENTO MAXIMO DE CARGA 23 TM , ALCANCE MAXIMO HORIZONTAL 11,80 M, PARA MONTAGEM SOBRE CHASSI DE CAMINHAO PBT MINIMO 15000 KG (INCLUI MONTAGEM, NAO INCLUI CAMINHAO)                                                                                                                                                                                                                                                                           </t>
  </si>
  <si>
    <t>132.370,65</t>
  </si>
  <si>
    <t xml:space="preserve">GUINDAUTO HIDRAULICO, CAPACIDADE MAXIMA DE CARGA 14340 KG, MOMENTO MAXIMO DE CARGA 42,3 TM, ALCANCE MAXIMO HORIZONTAL 16,80 M, PARA MONTAGEM SOBRE CHASSI DE CAMINHAO PBT MINIMO 23000 KG (INCLUI MONTAGEM, NAO INCLUI CAMINHAO)                                                                                                                                                                                                                                                                          </t>
  </si>
  <si>
    <t>208.493,79</t>
  </si>
  <si>
    <t xml:space="preserve">GUINDAUTO HIDRAULICO, CAPACIDADE MAXIMA DE CARGA 30000 KG, MOMENTO MAXIMO DE CARGA 92,2 TM , ALCANCE MAXIMO HORIZONTAL  22,00 M, PARA MONTAGEM SOBRE CHASSI DE CAMINHAO PBT MINIMO 30000 KG (INCLUI MONTAGEM, NAO INCLUI CAMINHAO)                                                                                                                                                                                                                                                                        </t>
  </si>
  <si>
    <t>772.114,39</t>
  </si>
  <si>
    <t xml:space="preserve">GUINDAUTO HIDRAULICO, CAPACIDADE MAXIMA DE CARGA 3300 KG, MOMENTO MAXIMO DE CARGA 5,8 TM , ALCANCE MAXIMO HORIZONTAL  7,60 M, PARA MONTAGEM SOBRE CHASSI DE CAMINHAO PBT MINIMO 8000 KG (INCLUI MONTAGEM, NAO INCLUI CAMINHAO)                                                                                                                                                                                                                                                                            </t>
  </si>
  <si>
    <t>52.123,44</t>
  </si>
  <si>
    <t xml:space="preserve">GUINDAUTO HIDRAULICO, CAPACIDADE MAXIMA DE CARGA 6200 KG, MOMENTO MAXIMO DE CARGA 11,7 TM , ALCANCE MAXIMO HORIZONTAL  9,70 M, PARA MONTAGEM SOBRE CHASSI DE CAMINHAO PBT MINIMO 13000 KG (INCLUI MONTAGEM, NAO INCLUI CAMINHAO)                                                                                                                                                                                                                                                                          </t>
  </si>
  <si>
    <t>73.316,50</t>
  </si>
  <si>
    <t xml:space="preserve">GUINDAUTO HIDRAULICO, CAPACIDADE MAXIMA DE CARGA 8500 KG, MOMENTO MAXIMO DE CARGA 30,4 TM , ALCANCE MAXIMO HORIZONTAL  14,30 M, PARA MONTAGEM SOBRE CHASSI DE CAMINHAO PBT MINIMO 23000 KG (INCLUI MONTAGEM, NAO INCLUI CAMINHAO)                                                                                                                                                                                                                                                                         </t>
  </si>
  <si>
    <t>171.377,31</t>
  </si>
  <si>
    <t xml:space="preserve">HASTE ANCORA EM ACO GALVANIZADO, DIMENSOES 16 MM X 2000 MM                                                                                                                                                                                                                                                                                                                                                                                                                                                </t>
  </si>
  <si>
    <t xml:space="preserve">HASTE DE ACO GALVANIZADO PARA FIXACAO DE CONCERTINA 2 "/3 M                                                                                                                                                                                                                                                                                                                                                                                                                                               </t>
  </si>
  <si>
    <t>17,24</t>
  </si>
  <si>
    <t xml:space="preserve">HASTE DE ATERRAMENTO EM ACO GALVANIZADO TIPO CANTONEIRA COM 2,00 M DE COMPRIMENTO, 25 X 25 MM E CHAPA DE 3/16"                                                                                                                                                                                                                                                                                                                                                                                            </t>
  </si>
  <si>
    <t>54,15</t>
  </si>
  <si>
    <t xml:space="preserve">HASTE METALICA PARA FIXACAO DE CALHA PLUVIAL,  ZINCADA, DOBRADA 90 GRAUS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</si>
  <si>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</si>
  <si>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</si>
  <si>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</si>
  <si>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</si>
  <si>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</si>
  <si>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HEXAMETAFOSFATO DE SODIO                                                                                                                                                                                                                                                                                                                                                                                                                                                                                  </t>
  </si>
  <si>
    <t xml:space="preserve">HIDRANTE DE COLUNA COMPLETO, EM FERRO FUNDIDO, DN = 100 MM, COM REGISTRO, CUNHA DE BORRACHA, CURVA DESSIMETRICA, EXTREMIDADE E TAMPAS (INCLUI KIT FIXACAO)                                                                                                                                                                                                                                                                                                                                                </t>
  </si>
  <si>
    <t>3.306,55</t>
  </si>
  <si>
    <t xml:space="preserve">HIDRANTE DE COLUNA COMPLETO, EM FERRO FUNDIDO, DN = 75 MM, COM REGISTRO, CUNHA DE BORRACHA, CURVA DESSIMETRICA, EXTREMIDADE E TAMPAS (INCLUI KIT FIXACAO)                                                                                                                                                                                                                                                                                                                                                 </t>
  </si>
  <si>
    <t>2.994,99</t>
  </si>
  <si>
    <t xml:space="preserve">HIDRANTE SUBTERRANEO, EM FERRO FUNDIDO, COM CURVA CURTA E CAIXA, DN 75 MM                                                                                                                                                                                                                                                                                                                                                                                                                                 </t>
  </si>
  <si>
    <t>1.770,16</t>
  </si>
  <si>
    <t xml:space="preserve">HIDRANTE SUBTERRANEO, EM FERRO FUNDIDO, COM CURVA LONGA E CAIXA, DN 75 MM                                                                                                                                                                                                                                                                                                                                                                                                                                 </t>
  </si>
  <si>
    <t>1.864,33</t>
  </si>
  <si>
    <t xml:space="preserve">HIDROJATEADORA PARA DESOBSTRUCAO DE REDES E GALERIAS, TANQUE 7000 L, BOMBA TRIPLEX 120 KGF/CM2 128 L/MIN (INCLUI MONTAGEM, NAO INCLUI CAMINHAO)                                                                                                                                                                                                                                                                                                                                                           </t>
  </si>
  <si>
    <t>114.526,71</t>
  </si>
  <si>
    <t xml:space="preserve">HIDROJATEADORA PARA DESOBSTRUCAO DE REDES E GALERIAS, TANQUE 7000 L, BOMBA TRIPLEX 140 KGF/CM2 260 L/MIN ALIMENTADA POR MOTOR INDEPENDENTE A DIESEL POTENCIA 125 CV (INCLUI MONTAGEM, NAO INCLUI CAMINHAO)                                                                                                                                                                                                                                                                                                </t>
  </si>
  <si>
    <t>121.838,18</t>
  </si>
  <si>
    <t xml:space="preserve">HIDROMETRO MULTIJATO, VAZAO MAXIMA DE 10,0 M3/H, DE 1"                                                                                                                                                                                                                                                                                                                                                                                                                                                    </t>
  </si>
  <si>
    <t>450,69</t>
  </si>
  <si>
    <t xml:space="preserve">HIDROMETRO MULTIJATO, VAZAO MAXIMA DE 20,0 M3/H, DE 1 1/2"                                                                                                                                                                                                                                                                                                                                                                                                                                                </t>
  </si>
  <si>
    <t>749,03</t>
  </si>
  <si>
    <t xml:space="preserve">HIDROMETRO MULTIJATO, VAZAO MAXIMA DE 30,0 M3/H, DE 2"                                                                                                                                                                                                                                                                                                                                                                                                                                                    </t>
  </si>
  <si>
    <t>1.053,73</t>
  </si>
  <si>
    <t xml:space="preserve">HIDROMETRO MULTIJATO, VAZAO MAXIMA DE 7,0 M3/H, DE 1"                                                                                                                                                                                                                                                                                                                                                                                                                                                     </t>
  </si>
  <si>
    <t>330,08</t>
  </si>
  <si>
    <t xml:space="preserve">HIDROMETRO UNIJATO, VAZAO MAXIMA DE 1,5 M3/H, DE 1/2"                                                                                                                                                                                                                                                                                                                                                                                                                                                     </t>
  </si>
  <si>
    <t>86,33</t>
  </si>
  <si>
    <t xml:space="preserve">HIDROMETRO UNIJATO, VAZAO MAXIMA DE 3,0 M3/H, DE 1/2"                                                                                                                                                                                                                                                                                                                                                                                                                                                     </t>
  </si>
  <si>
    <t xml:space="preserve">HIDROMETRO UNIJATO, VAZAO MAXIMA DE 5,0 M3/H, DE 3/4"                                                                                                                                                                                                                                                                                                                                                                                                                                                     </t>
  </si>
  <si>
    <t xml:space="preserve">HIDROMETRO WOLTMANN, VAZAO MAXIMA DE 50,0 M3/H, DE 2"                                                                                                                                                                                                                                                                                                                                                                                                                                                     </t>
  </si>
  <si>
    <t>1.701,20</t>
  </si>
  <si>
    <t xml:space="preserve">HIDROMETRO WOLTMANN, VAZAO MAXIMA DE 80,0 M3/H, DE 3"                                                                                                                                                                                                                                                                                                                                                                                                                                                     </t>
  </si>
  <si>
    <t>2.221,72</t>
  </si>
  <si>
    <t xml:space="preserve">IGNITOR PARA LAMPADA DE VAPOR DE SODIO / VAPOR METALICO ATE 2000 W, TENSAO DE PULSO ENTRE 600 A 750 V                                                                                                                                                                                                                                                                                                                                                                                                     </t>
  </si>
  <si>
    <t>41,44</t>
  </si>
  <si>
    <t xml:space="preserve">IGNITOR PARA LAMPADA DE VAPOR DE SODIO / VAPOR METALICO ATE 400 W, TENSAO DE PULSO ENTRE 3000 A 4500 V                                                                                                                                                                                                                                                                                                                                                                                                    </t>
  </si>
  <si>
    <t>21,50</t>
  </si>
  <si>
    <t xml:space="preserve">IGNITOR PARA LAMPADA DE VAPOR DE SODIO / VAPOR METALICO ATE 400 W, TENSAO DE PULSO ENTRE 580 A 750 V                                                                                                                                                                                                                                                                                                                                                                                                      </t>
  </si>
  <si>
    <t xml:space="preserve">IMPERMEABILIZADOR                                                                                                                                                                                                                                                                                                                                                                                                                                                                                         </t>
  </si>
  <si>
    <t xml:space="preserve">IMPERMEABILIZADOR (MENSALISTA)                                                                                                                                                                                                                                                                                                                                                                                                                                                                            </t>
  </si>
  <si>
    <t xml:space="preserve">IMPERMEABILIZANTE FLEXIVEL BRANCO DE BASE ACRILICA PARA COBERTURAS                                                                                                                                                                                                                                                                                                                                                                                                                                        </t>
  </si>
  <si>
    <t xml:space="preserve">IMPERMEABILIZANTE INCOLOR PARA TRATAMENTO DE FACHADAS E TELHAS, BASE SILICONE                                                                                                                                                                                                                                                                                                                                                                                                                             </t>
  </si>
  <si>
    <t xml:space="preserve">IMUNIZANTE PARA MADEIRA, INCOLOR                                                                                                                                                                                                                                                                                                                                                                                                                                                                          </t>
  </si>
  <si>
    <t>20,56</t>
  </si>
  <si>
    <t xml:space="preserve">INSTALADOR DE TUBULACOES (TUBOS/EQUIPAMENTOS)                                                                                                                                                                                                                                                                                                                                                                                                                                                             </t>
  </si>
  <si>
    <t xml:space="preserve">INSTALADOR DE TUBULACOES (TUBOS/EQUIPAMENTOS) (MENSALISTA)                                                                                                                                                                                                                                                                                                                                                                                                                                                </t>
  </si>
  <si>
    <t>2.255,35</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</si>
  <si>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</si>
  <si>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</si>
  <si>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</si>
  <si>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</si>
  <si>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</si>
  <si>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</si>
  <si>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</si>
  <si>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</si>
  <si>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</si>
  <si>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</si>
  <si>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</si>
  <si>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</si>
  <si>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</si>
  <si>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</si>
  <si>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</si>
  <si>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</si>
  <si>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</si>
  <si>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</si>
  <si>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23,52</t>
  </si>
  <si>
    <t xml:space="preserve">INTERRUPTORES SIMPLES (2 MODULOS) + TOMADA 2P+T 10A, 250V, CONJUNTO MONTADO PARA EMBUTIR 4" X 2" (PLACA + SUPORTE + MODULOS)                                                                                                                                                                                                                                                                                                                                                                              </t>
  </si>
  <si>
    <t>20,19</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</si>
  <si>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</si>
  <si>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</si>
  <si>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</si>
  <si>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16,01</t>
  </si>
  <si>
    <t xml:space="preserve">INVERSOR DE SOLDA MONOFASICO DE 160 A, POTENCIA DE 5400 W, TENSAO DE 220 V, TURBO VENTILADO, PROTECAO POR FUSIVEL TERMICO, PARA ELETRODOS DE 2,0 A 4,0 MM                                                                                                                                                                                                                                                                                                                                                 </t>
  </si>
  <si>
    <t>999,14</t>
  </si>
  <si>
    <t xml:space="preserve">ISOLADOR DE PORCELANA SUSPENSO, DISCO TIPO GARFO OLHAL, DIAMETRO DE 152 MM, PARA TENSAO DE *15* KV                                                                                                                                                                                                                                                                                                                                                                                                        </t>
  </si>
  <si>
    <t xml:space="preserve">ISOLADOR DE PORCELANA, TIPO BUCHA, PARA TENSAO DE *15* KV                                                                                                                                                                                                                                                                                                                                                                                                                                                 </t>
  </si>
  <si>
    <t>333,87</t>
  </si>
  <si>
    <t xml:space="preserve">ISOLADOR DE PORCELANA, TIPO BUCHA, PARA TENSAO DE *35* KV                                                                                                                                                                                                                                                                                                                                                                                                                                                 </t>
  </si>
  <si>
    <t>568,45</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</si>
  <si>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</si>
  <si>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</si>
  <si>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</si>
  <si>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ALUMINIO, 100 X 100 CM (A X L), ACABAMENTO ACET OU BRILHANTE, BATENTE/REQUADRO DE 3 A 14 CM, COM VIDRO, SEM GUARNICAO/ALIZAR                                                                                                                                                                                                                                                                                                                                                         </t>
  </si>
  <si>
    <t>192,08</t>
  </si>
  <si>
    <t xml:space="preserve">JANELA BASCULANTE EM ALUMINIO, 100 X 80 CM (A X L), ACABAMENTO ACET OU BRILHANTE, BATENTE/REQUADRO DE 3 A 14 CM, COM VIDRO, SEM GUARNICAO/ALIZAR                                                                                                                                                                                                                                                                                                                                                          </t>
  </si>
  <si>
    <t>154,71</t>
  </si>
  <si>
    <t xml:space="preserve">JANELA BASCULANTE EM ALUMINIO, 80 X 60 CM (A X L), ACABAMENTO ACET OU BRILHANTE, BATENTE/REQUADRO DE 3 A 14 CM, COM VIDRO, SEM GUARNICAO/ALIZAR                                                                                                                                                                                                                                                                                                                                                           </t>
  </si>
  <si>
    <t>142,67</t>
  </si>
  <si>
    <t xml:space="preserve">JANELA BASCULANTE EM ALUMINIO, 80 X 60 CM (A X L), BATENTE/REQUADRO DE 3 A 14 CM, COM VIDRO, SEM GUARNICAO/ALIZAR                                                                                                                                                                                                                                                                                                                                                                                         </t>
  </si>
  <si>
    <t>270,99</t>
  </si>
  <si>
    <t xml:space="preserve">JANELA BASCULANTE EM MADEIRA PINUS/ EUCALIPTO/ TAUARI/ VIROLA OU EQUIVALENTE DA REGIAO, *60 X 60*, CAIXA DO BATENTE/ MARCO E = *10* CM, 2 BASCULAS PARA VIDRO, COM FERRAGENS (SEM VIDRO, SEM GUARNICAO/ALIZAR E SEM ACABAMENTO)                                                                                                                                                                                                                                                                           </t>
  </si>
  <si>
    <t>201,19</t>
  </si>
  <si>
    <t xml:space="preserve">JANELA BASCULANTE EM MADEIRA PINUS/ EUCALIPTO/ TAUARI/ VIROLA OU EQUIVALENTE DA REGIAO, CAIXA DO BATENTE/ MARCO *10* CM, *2* FOLHAS BASCULANTES PARA VIDRO, COM FERRAGENS (SEM VIDRO, SEM GUARNICAO/ALIZAR E SEM ACABAMENTO)                                                                                                                                                                                                                                                                              </t>
  </si>
  <si>
    <t>558,88</t>
  </si>
  <si>
    <t xml:space="preserve">JANELA BASCULANTE, ACO, COM BATENTE/REQUADRO, 100 X 100 CM (SEM VIDROS)                                                                                                                                                                                                                                                                                                                                                                                                                                   </t>
  </si>
  <si>
    <t>338,44</t>
  </si>
  <si>
    <t xml:space="preserve">JANELA BASCULANTE, ACO, COM BATENTE/REQUADRO, 60 X 60 CM (SEM VIDROS)                                                                                                                                                                                                                                                                                                                                                                                                                                     </t>
  </si>
  <si>
    <t>157,00</t>
  </si>
  <si>
    <t xml:space="preserve">JANELA BASCULANTE, ACO, COM BATENTE/REQUADRO, 60 X 80 CM (SEM VIDROS)                                                                                                                                                                                                                                                                                                                                                                                                                                     </t>
  </si>
  <si>
    <t>184,64</t>
  </si>
  <si>
    <t>384,67</t>
  </si>
  <si>
    <t xml:space="preserve">JANELA BASCULANTE, ACO, COM BATENTE/REQUADRO, 80 X 80 CM (SEM VIDROS)                                                                                                                                                                                                                                                                                                                                                                                                                                     </t>
  </si>
  <si>
    <t>288,87</t>
  </si>
  <si>
    <t>451,36</t>
  </si>
  <si>
    <t xml:space="preserve">JANELA DE ABRIR EM MADEIRA IMBUIA/CEDRO ARANA/CEDRO ROSA OU EQUIVALENTE DA REGIAO, CAIXA DO BATENTE/MARCO *10* CM, 2 FOLHAS DE ABRIR TIPO VENEZIANA E 2 FOLHAS DE ABRIR PARA VIDRO, COM GUARNICAO/ALIZAR, COM FERRAGENS, (SEM VIDRO E SEM ACABAMENTO)                                                                                                                                                                                                                                                     </t>
  </si>
  <si>
    <t>829,00</t>
  </si>
  <si>
    <t xml:space="preserve">JANELA DE ABRIR EM MADEIRA PINUS/EUCALIPTO/ TAUARI/ VIROLA OU EQUIVALENTE DA REGIAO, CAIXA DO BATENTE/MARCO *10* CM, 2 FOLHAS DE ABRIR TIPO VENEZIANA E 2 FOLHAS GUILHOTINA PARA VIDRO, COM FERRAGENS (SEM VIDRO,SEM GUARNICAO/ALIZAR E SEM ACABAMENTO)                                                                                                                                                                                                                                                   </t>
  </si>
  <si>
    <t>473,64</t>
  </si>
  <si>
    <t xml:space="preserve">JANELA DE CORRER EM ALUMINIO, VENEZIANA, 120  X 150 CM (A X L), 3 FLS (2 VENEZIANAS E 1 VIDRO), SEM BANDEIRA, ACABAMENTO ACET OU BRILHANTE, BATENTE/REQUADRO DE 6 A 14 CM, COM VIDRO, SEM GUARNICAO/ALIZAR                                                                                                                                                                                                                                                                                                </t>
  </si>
  <si>
    <t>522,23</t>
  </si>
  <si>
    <t xml:space="preserve">JANELA DE CORRER EM ALUMINIO, VENEZIANA, 120 X 120 CM (A X L), 3 FLS (2 VENEZIANAS E 1 VIDRO), SEM BANDEIRA, ACABAMENTO ACET OU BRILHANTE, BATENTE/REQUADRO DE 6 A 14 CM, COM VIDRO, SEM GUARNICAO/ALIZAR                                                                                                                                                                                                                                                                                                 </t>
  </si>
  <si>
    <t>433,09</t>
  </si>
  <si>
    <t xml:space="preserve">JANELA DE CORRER EM ALUMINIO, VENEZIANA, 120 X 150 CM (A X L), 6 FLS (4 VENEZIANAS E 2 VIDROS), SEM BANDEIRA, ACABAMENTO ACET OU BRILHANTE, BATENTE/REQUADRO DE 6 A 14 CM, COM VIDRO, SEM GUARNICAO/ALIZAR                                                                                                                                                                                                                                                                                                </t>
  </si>
  <si>
    <t>602,49</t>
  </si>
  <si>
    <t xml:space="preserve">JANELA DE CORRER EM ALUMINIO, VENEZIANA, 120 X 200 CM (A X L), 6 FLS (4 VENEZIANAS E 2 VIDROS), SEM BANDEIRA, ACABAMENTO ACET OU BRILHANTE,  BATENTE/REQUADRO DE 6 A 14 CM, COM VIDRO, SEM GUARNICAO/ALIZAR                                                                                                                                                                                                                                                                                               </t>
  </si>
  <si>
    <t>745,79</t>
  </si>
  <si>
    <t xml:space="preserve">JANELA DE CORRER EM ALUMINIO, 100 X 120 CM (A X L), 2 FLS,  SEM BANDEIRA,  ACABAMENTO ACET OU BRILHANTE, BATENTE/REQUADRO DE 6 A 14 CM, COM VIDRO, SEM GUARNICAO                                                                                                                                                                                                                                                                                                                                          </t>
  </si>
  <si>
    <t>248,50</t>
  </si>
  <si>
    <t xml:space="preserve">JANELA DE CORRER EM ALUMINIO, 100 X 150 CM (A X L), 2 FLS,  SEM BANDEIRA,  ACABAMENTO ACET OU BRILHANTE, BATENTE/REQUADRO DE 6 A 14 CM, COM VIDRO, SEM GUARNICAO/ALIZAR                                                                                                                                                                                                                                                                                                                                   </t>
  </si>
  <si>
    <t>291,89</t>
  </si>
  <si>
    <t xml:space="preserve">JANELA DE CORRER EM ALUMINIO, 100 X 150 CM (A X L), 4 FLS, SEM BANDEIRA, ACABAMENTO ACET OU BRILHANTE, BATENTE/REQUADRO DE 6 A 14 CM, COM VIDRO, SEM GUARNICAO/ALIZAR                                                                                                                                                                                                                                                                                                                                     </t>
  </si>
  <si>
    <t>241,76</t>
  </si>
  <si>
    <t xml:space="preserve">JANELA DE CORRER EM ALUMINIO, 100 X 150 CM (A X L), 4 FLS, SEM BANDEIRA, ACABAMENTO ACET OU BRILHANTE, COM VIDRO, COM GUARNICAO PARA 1 FACE                                                                                                                                                                                                                                                                                                                                                               </t>
  </si>
  <si>
    <t>254,24</t>
  </si>
  <si>
    <t xml:space="preserve">JANELA DE CORRER EM ALUMINIO, 100 X 200 CM, 4 FLS,  BANDEIRA COM BASCULA,  ACABAMENTO ACET OU BRILHANTE, BATENTE/REQUADRO DE 6 A 14 CM, COM VIDRO, SEM GUARNICAO/ALIZAR                                                                                                                                                                                                                                                                                                                                   </t>
  </si>
  <si>
    <t>407,82</t>
  </si>
  <si>
    <t xml:space="preserve">JANELA DE CORRER EM ALUMINIO, 120 X 120 CM (A X L), 2 FLS, SEM BANDEIRA, ACABAMENTO ACET OU BRILHANTE,  BATENTE/REQUADRO DE 6 A 14 CM, COM VIDRO, SEM GUARNICAO/ALIZAR                                                                                                                                                                                                                                                                                                                                    </t>
  </si>
  <si>
    <t>282,98</t>
  </si>
  <si>
    <t xml:space="preserve">JANELA DE CORRER EM ALUMINIO, 120 X 150 CM (A X L), 2 FLS, SEM BANDEIRA, ACABAMENTO ACET OU BRILHANTE, BATENTE/REQUADRO DE 6 A 14 CM, COM VIDRO, SEM GUARNICAO/ALIZAR                                                                                                                                                                                                                                                                                                                                     </t>
  </si>
  <si>
    <t>319,83</t>
  </si>
  <si>
    <t xml:space="preserve">JANELA DE CORRER EM ALUMINIO, 120 X 150 CM (A X L), 4 FLS, BANDEIRA COM BASCULA,  ACABAMENTO ACET OU BRILHANTE, BATENTE/REQUADRO DE 6 A 14 CM, COM VIDRO, SEM GUARNICAO/ALIZAR                                                                                                                                                                                                                                                                                                                            </t>
  </si>
  <si>
    <t>398,90</t>
  </si>
  <si>
    <t xml:space="preserve">JANELA DE CORRER EM ALUMINIO, 120 X 200 CM (A X L), 4 FLS, BANDEIRA COM BASCULA,  ACABAMENTO ACET OU BRILHANTE, BATENTE/REQUADRO DE 6 A 14 CM, COM VIDRO, SEM GUARNICAO/ALIZAR                                                                                                                                                                                                                                                                                                                            </t>
  </si>
  <si>
    <t>449,44</t>
  </si>
  <si>
    <t xml:space="preserve">JANELA DE CORRER, ACO, BATENTE/REQUADRO DE 6 A 14 CM,  COM DIVISAO HORIZ , PINT ANTICORROSIVA, SEM VIDRO, BANDEIRA COM BASCULA, 4 FLS, 120  X 150 CM (A X L)                                                                                                                                                                                                                                                                                                                                              </t>
  </si>
  <si>
    <t>867,08</t>
  </si>
  <si>
    <t xml:space="preserve">JANELA DE CORRER, ACO, BATENTE/REQUADRO DE 6 A 14 CM, QUADRICULADA, PINT ANTICORROSIVA, SEM VIDRO, BANDEIRA COM BASCULA, 4 FLS, 120  X 150 CM (A X L)                                                                                                                                                                                                                                                                                                                                                     </t>
  </si>
  <si>
    <t>1.087,69</t>
  </si>
  <si>
    <t xml:space="preserve">JANELA DE CORRER, ACO, BATENTE/REQUADRO DE 6 A 14 CM, QUADRICULADA, PINT ANTICORROSIVA, SEM VIDRO, BANDEIRA COM BASCULA, 4 FLS, 120  X 200 CM (A X L)                                                                                                                                                                                                                                                                                                                                                     </t>
  </si>
  <si>
    <t>1.341,35</t>
  </si>
  <si>
    <t xml:space="preserve">JANELA DE CORRER, ACO, BATENTE/REQUADRO DE 6 A 14 CM, QUADRICULADA, PINT ANTICORROSIVA, SEM VIDRO, SEM BANDEIRA, 4 FLS, 100  X 120 CM (A X L)                                                                                                                                                                                                                                                                                                                                                             </t>
  </si>
  <si>
    <t>603,88</t>
  </si>
  <si>
    <t xml:space="preserve">JANELA DE CORRER, ACO, BATENTE/REQUADRO DE 6 A 14 CM, QUADRICULADA, PINT ANTICORROSIVA, SEM VIDRO, SEM BANDEIRA, 4 FLS, 120  X 150 CM (A X L)                                                                                                                                                                                                                                                                                                                                                             </t>
  </si>
  <si>
    <t>451,96</t>
  </si>
  <si>
    <t xml:space="preserve">JANELA DE CORRER, ACO, BATENTE/REQUADRO DE 6 A 14 CM, QUADRICULADA, PINT ANTICORROSIVA, SEM VIDRO, SEM BANDEIRA, 4 FLS, 120  X 200 CM (A X L)                                                                                                                                                                                                                                                                                                                                                             </t>
  </si>
  <si>
    <t>546,52</t>
  </si>
  <si>
    <t xml:space="preserve">JANELA DE CORRER, ACO, BATENTE/REQUADRO DE 6 A 14 CM, QUADRICULADA, PINTURA ANTICORROSIVA, SEM VIDRO, BANDEIRA COM BASCULA, 4 FLS, 120  X 150 CM (A X L)                                                                                                                                                                                                                                                                                                                                                  </t>
  </si>
  <si>
    <t>604,27</t>
  </si>
  <si>
    <t xml:space="preserve">JANELA DE CORRER, ACO, BATENTE/REQUADRO DE 6 A 14 CM, SEM  DIVISAO, PINT ANTICORROSIVA, SEM VIDRO, BANDEIRA COM BASCULA, 4 FLS, 120  X 200 CM (A X L)                                                                                                                                                                                                                                                                                                                                                     </t>
  </si>
  <si>
    <t>640,02</t>
  </si>
  <si>
    <t xml:space="preserve">JANELA DE CORRER, ACO, BATENTE/REQUADRO DE 6 A 14 CM, VENEZIANA, PINT ANTICORROSIVA, PINT ACABAMENTO, COM VIDRO, 6 FLS, 120  X 150 CM (A X L)                                                                                                                                                                                                                                                                                                                                                             </t>
  </si>
  <si>
    <t>612,67</t>
  </si>
  <si>
    <t xml:space="preserve">JANELA DE CORRER, ACO, BATENTE/REQUADRO DE 6 A 14 CM, VENEZIANA, PINT ANTICORROSIVA, SEM VIDRO, 6 FLS, 120  X 150 CM (A X L)                                                                                                                                                                                                                                                                                                                                                                              </t>
  </si>
  <si>
    <t>551,64</t>
  </si>
  <si>
    <t xml:space="preserve">JANELA DE CORRER, ACO, COM BATENTE/REQUADRO DE 6 A 14 CM, SEM DIVISAO, PINT ANTICORROSIVA, PINT ACABAMENTO, COM VIDRO, SEM BANDEIRA, COM GRADE, 4 FLS, 100  X 120 CM (A X L)                                                                                                                                                                                                                                                                                                                              </t>
  </si>
  <si>
    <t>692,80</t>
  </si>
  <si>
    <t xml:space="preserve">JANELA DE CORRER, ACO, COM BATENTE/REQUADRO DE 6 A 14 CM, SEM DIVISAO, PINT ANTICORROSIVA, PINT ACABAMENTO, COM VIDRO, SEM BANDEIRA, 2 FLS, 120  X 150 CM (A X L)                                                                                                                                                                                                                                                                                                                                         </t>
  </si>
  <si>
    <t>839,06</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</si>
  <si>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</si>
  <si>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790,73</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</si>
  <si>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</si>
  <si>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1.002,16</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</si>
  <si>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</si>
  <si>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616,15</t>
  </si>
  <si>
    <t xml:space="preserve">JANELA EM MADEIRA CEDRINHO/ ANGELIM COMERCIAL/ CURUPIXA/ CUMARU OU EQUIVALENTE DA REGIAO, CAIXA DO BATENTE/MARCO *10* CM, 2 FOLHAS DE ABRIR TIPO VENEZIANA E 2 FOLHAS GUILHOTINA PARA VIDRO, COM GUARNICAO/ALIZAR, COM FERRAGENS (SEM VIDRO E SEM ACABAMENTO)                                                                                                                                                                                                                                             </t>
  </si>
  <si>
    <t>620,87</t>
  </si>
  <si>
    <t xml:space="preserve">JANELA FIXA EM ALUMINIO, 60  X 80 CM (A X L), BATENTE/REQUADRO DE 3 A 14 CM, COM VIDRO, SEM GUARNICAO/ALIZAR                                                                                                                                                                                                                                                                                                                                                                                              </t>
  </si>
  <si>
    <t>215,50</t>
  </si>
  <si>
    <t xml:space="preserve">JANELA FIXA EM ALUMINIO, 60 X 80 CM (A X L), BATENTE/REQUADRO DE 3 A 14 CM, COM VIDRO, SEM GUARNICAO/ALIZAR                                                                                                                                                                                                                                                                                                                                                                                               </t>
  </si>
  <si>
    <t>111,76</t>
  </si>
  <si>
    <t xml:space="preserve">JANELA MAXIM AR EM ALUMINIO, 80 X 60 CM (A X L), BATENTE/REQUADRO DE 4 A 14 CM, COM VIDRO, SEM GUARNICAO/ALIZAR                                                                                                                                                                                                                                                                                                                                                                                           </t>
  </si>
  <si>
    <t>145,65</t>
  </si>
  <si>
    <t>290,71</t>
  </si>
  <si>
    <t xml:space="preserve">JANELA MAXIM AR EM MADEIRA CEDRINHO/ ANGELIM COMERCIAL/ CURUPIXA/ CUMARU OU EQUIVALENTE DA REGIAO, CAIXA DO BATENTE/MARCO *10* CM, 1 FOLHA  PARA VIDRO, COM GUARNICAO/ALIZAR, COM FERRAGENS, (SEM VIDRO E SEM ACABAMENTO)                                                                                                                                                                                                                                                                                 </t>
  </si>
  <si>
    <t>875,57</t>
  </si>
  <si>
    <t xml:space="preserve">JANELA MAXIMO AR, ACO, BATENTE / REQUADRO DE 6 A 14 CM, PINT ANTICORROSIVA, SEM VIDRO, COM GRADE, 1 FL, 60  X 80 CM (A X L)                                                                                                                                                                                                                                                                                                                                                                               </t>
  </si>
  <si>
    <t>341,97</t>
  </si>
  <si>
    <t xml:space="preserve">JANELA MAXIMO AR, ACO, BATENTE/REQUADRO DE 6 A 14 CM, PINT ANTICORROSIVA, SEM VIDRO, COM GRADE, 1 FL, 60  X 80 CM (A X L)                                                                                                                                                                                                                                                                                                                                                                                 </t>
  </si>
  <si>
    <t>712,44</t>
  </si>
  <si>
    <t xml:space="preserve">JANELA MAXIMO AR, ACO, BATENTE/REQUADRO DE 6 A 14 CM, PINT ANTICORROSIVA, SEM VIDRO, SEM GRADE, 1 FL, 60  X 80 CM (A X L)                                                                                                                                                                                                                                                                                                                                                                                 </t>
  </si>
  <si>
    <t>267,52</t>
  </si>
  <si>
    <t xml:space="preserve">JARDINEIRO                                                                                                                                                                                                                                                                                                                                                                                                                                                                                                </t>
  </si>
  <si>
    <t>15,87</t>
  </si>
  <si>
    <t xml:space="preserve">JARDINEIRO (MENSALISTA)                                                                                                                                                                                                                                                                                                                                                                                                                                                                                   </t>
  </si>
  <si>
    <t>2.832,67</t>
  </si>
  <si>
    <t xml:space="preserve">JOELHO COM VISITA, PVC SERIE R, 90 GRAUS, 100 X 75 MM, PARA ESGOTO PREDIAL                                                                                                                                                                                                                                                                                                                                                                                                                                </t>
  </si>
  <si>
    <t xml:space="preserve">JOELHO CPVC, SOLDAVEL, 45 GRAUS, 15 MM, PARA AGUA QUENTE                                                                                                                                                                                                                                                                                                                                                                                                                                                  </t>
  </si>
  <si>
    <t>1,86</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</si>
  <si>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</si>
  <si>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</si>
  <si>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</si>
  <si>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</si>
  <si>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</si>
  <si>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</si>
  <si>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</si>
  <si>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89,50</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</si>
  <si>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</si>
  <si>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</si>
  <si>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</si>
  <si>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</si>
  <si>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</si>
  <si>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</si>
  <si>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</si>
  <si>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74,81</t>
  </si>
  <si>
    <t xml:space="preserve">JOELHO CPVC, SOLDAVEL, 90 GRAUS, 89 MM, PARA AGUA QUENTE                                                                                                                                                                                                                                                                                                                                                                                                                                                  </t>
  </si>
  <si>
    <t>86,93</t>
  </si>
  <si>
    <t xml:space="preserve">JOELHO DE REDUCAO, PVC SOLDAVEL, 90 GRAUS,  25 MM X 20 MM, PARA AGUA FRIA PREDIAL                                                                                                                                                                                                                                                                                                                                                                                                                         </t>
  </si>
  <si>
    <t>1,68</t>
  </si>
  <si>
    <t xml:space="preserve">JOELHO DE REDUCAO, PVC SOLDAVEL, 90 GRAUS,  32 MM X 25 MM, PARA AGUA FRIA PREDIAL                                                                                                                                                                                                                                                                                                                                                                                                                         </t>
  </si>
  <si>
    <t xml:space="preserve">JOELHO DE REDUCAO, PVC, ROSCAVEL COM BUCHA DE LATAO, 90 GRAUS,  3/4" X 1/2", PARA AGUA FRIA PREDIAL                                                                                                                                                                                                                                                                                                                                                                                                       </t>
  </si>
  <si>
    <t xml:space="preserve">JOELHO DE REDUCAO, PVC, ROSCAVEL, 90 GRAUS, 1" X 3/4", PARA AGUA FRIA PREDIAL                                                                                                                                                                                                                                                                                                                                                                                                                             </t>
  </si>
  <si>
    <t xml:space="preserve">JOELHO DE REDUCAO, PVC, ROSCAVEL, 90 GRAUS, 3/4" X 1/2", PARA AGUA FRIA PREDIAL                                                                                                                                                                                                                                                                                                                                                                                                                           </t>
  </si>
  <si>
    <t>2,79</t>
  </si>
  <si>
    <t xml:space="preserve">JOELHO DE TRANSICAO, CPVC, SOLDAVEL, 90 GRAUS, 15 MM X 1/2", PARA AGUA QUENTE                                                                                                                                                                                                                                                                                                                                                                                                                             </t>
  </si>
  <si>
    <t>4,76</t>
  </si>
  <si>
    <t xml:space="preserve">JOELHO DE TRANSICAO, CPVC, SOLDAVEL, 90 GRAUS, 22 MM X 1/2", PARA AGUA QUENTE                                                                                                                                                                                                                                                                                                                                                                                                                             </t>
  </si>
  <si>
    <t xml:space="preserve">JOELHO DE TRANSICAO, CPVC, SOLDAVEL, 90 GRAUS, 22 MM X 3/4", PARA AGUA QUENTE                                                                                                                                                                                                                                                                                                                                                                                                                             </t>
  </si>
  <si>
    <t xml:space="preserve">JOELHO PPR 45 GRAUS, SOLDAVEL,  DN 20 MM, PARA AGUA QUENTE PREDIAL                                                                                                                                                                                                                                                                                                                                                                                                                                        </t>
  </si>
  <si>
    <t xml:space="preserve">JOELHO PPR 45 GRAUS, SOLDAVEL, DN 25 MM, PARA AGUA QUENTE PREDIAL                                                                                                                                                                                                                                                                                                                                                                                                                                         </t>
  </si>
  <si>
    <t xml:space="preserve">JOELHO PPR, 45 GRAUS, SOLDAVEL, DN 32 MM, PARA AGUA QUENTE PREDIAL                                                                                                                                                                                                                                                                                                                                                                                                                                        </t>
  </si>
  <si>
    <t xml:space="preserve">JOELHO PPR, 90 GRAUS, SOLDAVEL, DN 110 MM, PARA AGUA QUENTE PREDIAL                                                                                                                                                                                                                                                                                                                                                                                                                                       </t>
  </si>
  <si>
    <t>103,14</t>
  </si>
  <si>
    <t xml:space="preserve">JOELHO PPR, 90 GRAUS, SOLDAVEL, DN 20 MM, PARA AGUA QUENTE PREDIAL                                                                                                                                                                                                                                                                                                                                                                                                                                        </t>
  </si>
  <si>
    <t xml:space="preserve">JOELHO PPR, 90 GRAUS, SOLDAVEL, DN 25 MM, PARA AGUA QUENTE PREDIAL                                                                                                                                                                                                                                                                                                                                                                                                                                        </t>
  </si>
  <si>
    <t xml:space="preserve">JOELHO PPR, 90 GRAUS, SOLDAVEL, DN 32 MM, PARA AGUA QUENTE PREDIAL                                                                                                                                                                                                                                                                                                                                                                                                                                        </t>
  </si>
  <si>
    <t xml:space="preserve">JOELHO PPR, 90 GRAUS, SOLDAVEL, DN 40 MM, PARA AGUA QUENTE PREDIAL                                                                                                                                                                                                                                                                                                                                                                                                                                        </t>
  </si>
  <si>
    <t xml:space="preserve">JOELHO PPR, 90 GRAUS, SOLDAVEL, DN 50 MM, PARA AGUA QUENTE PREDIAL                                                                                                                                                                                                                                                                                                                                                                                                                                        </t>
  </si>
  <si>
    <t xml:space="preserve">JOELHO PPR, 90 GRAUS, SOLDAVEL, DN 63 MM, PARA AGUA QUENTE PREDIAL                                                                                                                                                                                                                                                                                                                                                                                                                                        </t>
  </si>
  <si>
    <t xml:space="preserve">JOELHO PPR, 90 GRAUS, SOLDAVEL, DN 75 MM, PARA AGUA QUENTE PREDIAL                                                                                                                                                                                                                                                                                                                                                                                                                                        </t>
  </si>
  <si>
    <t>45,12</t>
  </si>
  <si>
    <t xml:space="preserve">JOELHO PPR, 90 GRAUS, SOLDAVEL, DN 90 MM, PARA AGUA QUENTE PREDIAL                                                                                                                                                                                                                                                                                                                                                                                                                                        </t>
  </si>
  <si>
    <t>68,77</t>
  </si>
  <si>
    <t xml:space="preserve">JOELHO PVC COM VISITA, 90 GRAUS, DN 100 X 50 MM, SERIE NORMAL, PARA ESGOTO PREDIAL                                                                                                                                                                                                                                                                                                                                                                                                                        </t>
  </si>
  <si>
    <t xml:space="preserve">JOELHO PVC LEVE, 45 GRAUS, DN 150 MM, PARA ESGOTO PREDIAL                                                                                                                                                                                                                                                                                                                                                                                                                                                 </t>
  </si>
  <si>
    <t>37,07</t>
  </si>
  <si>
    <t xml:space="preserve">JOELHO PVC LEVE, 90 GRAUS, DN 150 MM, PARA ESGOTO PREDIAL                                                                                                                                                                                                                                                                                                                                                                                                                                                 </t>
  </si>
  <si>
    <t>33,83</t>
  </si>
  <si>
    <t xml:space="preserve">JOELHO PVC,  SOLDAVEL COM ROSCA, 90 GRAUS, 20 MM X 1/2", PARA AGUA FRIA PREDIAL                                                                                                                                                                                                                                                                                                                                                                                                                           </t>
  </si>
  <si>
    <t xml:space="preserve">JOELHO PVC,  SOLDAVEL COM ROSCA, 90 GRAUS, 25 MM X 1/2", PARA AGUA FRIA PREDIAL                                                                                                                                                                                                                                                                                                                                                                                                                           </t>
  </si>
  <si>
    <t xml:space="preserve">JOELHO PVC,  SOLDAVEL COM ROSCA, 90 GRAUS, 25 MM X 3/4", PARA AGUA FRIA PREDIAL                                                                                                                                                                                                                                                                                                                                                                                                                           </t>
  </si>
  <si>
    <t xml:space="preserve">JOELHO PVC,  SOLDAVEL COM ROSCA, 90 GRAUS, 32 MM X 3/4", PARA AGUA FRIA PREDIAL                                                                                                                                                                                                                                                                                                                                                                                                                           </t>
  </si>
  <si>
    <t xml:space="preserve">JOELHO PVC, COM BOLSA E ANEL, 90 GRAUS, DN 40 X *38* MM, SERIE NORMAL, PARA ESGOTO PREDIAL                                                                                                                                                                                                                                                                                                                                                                                                                </t>
  </si>
  <si>
    <t xml:space="preserve">JOELHO PVC, ROSCAVEL, 45 GRAUS, 1/2", PARA AGUA FRIA PREDIAL                                                                                                                                                                                                                                                                                                                                                                                                                                              </t>
  </si>
  <si>
    <t>2,85</t>
  </si>
  <si>
    <t xml:space="preserve">JOELHO PVC, ROSCAVEL, 45 GRAUS, 1", PARA AGUA FRIA PREDIAL                                                                                                                                                                                                                                                                                                                                                                                                                                                </t>
  </si>
  <si>
    <t xml:space="preserve">JOELHO PVC, ROSCAVEL, 45 GRAUS, 3/4", PARA AGUA FRIA PREDIAL                                                                                                                                                                                                                                                                                                                                                                                                                                              </t>
  </si>
  <si>
    <t xml:space="preserve">JOELHO PVC, ROSCAVEL, 90 GRAUS, 1/2", PARA AGUA FRIA PREDIAL                                                                                                                                                                                                                                                                                                                                                                                                                                              </t>
  </si>
  <si>
    <t xml:space="preserve">JOELHO PVC, ROSCAVEL, 90 GRAUS, 1", PARA AGUA FRIA PREDIAL                                                                                                                                                                                                                                                                                                                                                                                                                                                </t>
  </si>
  <si>
    <t xml:space="preserve">JOELHO PVC, ROSCAVEL, 90 GRAUS, 3/4", PARA AGUA FRIA PREDIAL                                                                                                                                                                                                                                                                                                                                                                                                                                              </t>
  </si>
  <si>
    <t xml:space="preserve">JOELHO PVC, SOLDAVEL, BB, 45 GRAUS, DN 40 MM, PARA ESGOTO PREDIAL                                                                                                                                                                                                                                                                                                                                                                                                                                         </t>
  </si>
  <si>
    <t xml:space="preserve">JOELHO PVC, SOLDAVEL, BB, 90 GRAUS, DN 40 MM, PARA ESGOTO PREDIAL                                                                                                                                                                                                                                                                                                                                                                                                                                         </t>
  </si>
  <si>
    <t>2,41</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</si>
  <si>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</si>
  <si>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</si>
  <si>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</si>
  <si>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</si>
  <si>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</si>
  <si>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5,45</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</si>
  <si>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</si>
  <si>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</si>
  <si>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</si>
  <si>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</si>
  <si>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</si>
  <si>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</si>
  <si>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</si>
  <si>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</si>
  <si>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</si>
  <si>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PARA AGUA FRIA PREDIAL                                                                                                                                                                                                                                                                                                                                                                                                                                            </t>
  </si>
  <si>
    <t>169,09</t>
  </si>
  <si>
    <t xml:space="preserve">JOELHO PVC, SOLDAVEL, 90 GRAUS, 20 MM, PARA AGUA FRIA PREDIAL                                                                                                                                                                                                                                                                                                                                                                                                                                             </t>
  </si>
  <si>
    <t xml:space="preserve">JOELHO PVC, SOLDAVEL, 90 GRAUS, 25 MM, PARA AGUA FRIA PREDIAL                                                                                                                                                                                                                                                                                                                                                                                                                                             </t>
  </si>
  <si>
    <t xml:space="preserve">JOELHO PVC, SOLDAVEL, 90 GRAUS, 32 MM, PARA AGUA FRIA PREDIAL                                                                                                                                                                                                                                                                                                                                                                                                                                             </t>
  </si>
  <si>
    <t>1,62</t>
  </si>
  <si>
    <t xml:space="preserve">JOELHO PVC, SOLDAVEL, 90 GRAUS, 40 MM, PARA AGUA FRIA PREDIAL                                                                                                                                                                                                                                                                                                                                                                                                                                             </t>
  </si>
  <si>
    <t xml:space="preserve">JOELHO PVC, SOLDAVEL, 90 GRAUS, 50 MM, PARA AGUA FRIA PREDIAL                                                                                                                                                                                                                                                                                                                                                                                                                                             </t>
  </si>
  <si>
    <t xml:space="preserve">JOELHO PVC, SOLDAVEL, 90 GRAUS, 60 MM, PARA AGUA FRIA PREDIAL                                                                                                                                                                                                                                                                                                                                                                                                                                             </t>
  </si>
  <si>
    <t xml:space="preserve">JOELHO PVC, SOLDAVEL, 90 GRAUS, 85 MM, PARA AGUA FRIA PREDIAL                                                                                                                                                                                                                                                                                                                                                                                                                                             </t>
  </si>
  <si>
    <t>80,15</t>
  </si>
  <si>
    <t xml:space="preserve">JOELHO PVC, 45 GRAUS, ROSCAVEL,  1 1/2", AGUA FRIA PREDIAL                                                                                                                                                                                                                                                                                                                                                                                                                                                </t>
  </si>
  <si>
    <t>15,43</t>
  </si>
  <si>
    <t xml:space="preserve">JOELHO PVC, 45 GRAUS, ROSCAVEL, 1 1/4",  AGUA FRIA PREDIAL                                                                                                                                                                                                                                                                                                                                                                                                                                                </t>
  </si>
  <si>
    <t>8,80</t>
  </si>
  <si>
    <t xml:space="preserve">JOELHO PVC, 45 GRAUS, ROSCAVEL, 2", AGUA FRIA PREDIAL                                                                                                                                                                                                                                                                                                                                                                                                                                                     </t>
  </si>
  <si>
    <t xml:space="preserve">JOELHO PVC, 60 GRAUS, DIAMETRO ENTRE 80 E 100 MM, PARA DRENAGEM PLUVIAL PREDIAL                                                                                                                                                                                                                                                                                                                                                                                                                           </t>
  </si>
  <si>
    <t xml:space="preserve">JOELHO PVC, 90 GRAUS, DIAMETRO ENTRE 80 E 100 MM, PARA DRENAGEM PLUVIAL PREDIAL                                                                                                                                                                                                                                                                                                                                                                                                                           </t>
  </si>
  <si>
    <t xml:space="preserve">JOELHO PVC, 90 GRAUS, ROSCAVEL, 1 1/2",  AGUA FRIA PREDIAL                                                                                                                                                                                                                                                                                                                                                                                                                                                </t>
  </si>
  <si>
    <t xml:space="preserve">JOELHO PVC, 90 GRAUS, ROSCAVEL, 1 1/4", AGUA FRIA PREDIAL                                                                                                                                                                                                                                                                                                                                                                                                                                                 </t>
  </si>
  <si>
    <t xml:space="preserve">JOELHO PVC, 90 GRAUS, ROSCAVEL, 2", AGUA FRIA PREDIAL                                                                                                                                                                                                                                                                                                                                                                                                                                                     </t>
  </si>
  <si>
    <t xml:space="preserve">JOELHO ROSCA FEMEA MOVEL, METALICO, PARA CONEXAO COM ANEL DESLIZANTE EM TUBO PEX, DN 16 MM X 1/2"                                                                                                                                                                                                                                                                                                                                                                                                         </t>
  </si>
  <si>
    <t>11,56</t>
  </si>
  <si>
    <t xml:space="preserve">JOELHO ROSCA FEMEA MOVEL, METALICO, PARA CONEXAO COM ANEL DESLIZANTE EM TUBO PEX, DN 20 MM X 1/2"                                                                                                                                                                                                                                                                                                                                                                                                         </t>
  </si>
  <si>
    <t xml:space="preserve">JOELHO ROSCA FEMEA MOVEL, METALICO, PARA CONEXAO COM ANEL DESLIZANTE EM TUBO PEX, DN 20 MM X 3/4"                                                                                                                                                                                                                                                                                                                                                                                                         </t>
  </si>
  <si>
    <t xml:space="preserve">JOELHO ROSCA FEMEA MOVEL, METALICO, PARA CONEXAO COM ANEL DESLIZANTE EM TUBO PEX, DN 25 MM X 3/4"                                                                                                                                                                                                                                                                                                                                                                                                         </t>
  </si>
  <si>
    <t>23,36</t>
  </si>
  <si>
    <t xml:space="preserve">JOELHO 45 GRAUS, PPR, SOLDAVEL, F/ F, DN 40 MM, PARA AQUA QUENTE E FRIA PREDIAL                                                                                                                                                                                                                                                                                                                                                                                                                           </t>
  </si>
  <si>
    <t xml:space="preserve">JOELHO 45 GRAUS, PPR, SOLDAVEL, F/ F, DN 50 MM, PARA AQUA QUENTE E FRIA PREDIAL                                                                                                                                                                                                                                                                                                                                                                                                                           </t>
  </si>
  <si>
    <t xml:space="preserve">JOELHO 45 GRAUS, PPR, SOLDAVEL, F/ F, DN 63 MM, PARA AQUA QUENTE E FRIA PREDIAL                                                                                                                                                                                                                                                                                                                                                                                                                           </t>
  </si>
  <si>
    <t xml:space="preserve">JOELHO 45 GRAUS, PPR, SOLDAVEL, F/ F, DN 75 MM, PARA AQUA QUENTE E FRIA PREDIAL                                                                                                                                                                                                                                                                                                                                                                                                                           </t>
  </si>
  <si>
    <t>43,55</t>
  </si>
  <si>
    <t xml:space="preserve">JOELHO 45 GRAUS, PPR, SOLDAVEL, F/ F, DN 90 MM, PARA AQUA QUENTE E FRIA PREDIAL                                                                                                                                                                                                                                                                                                                                                                                                                           </t>
  </si>
  <si>
    <t>88,00</t>
  </si>
  <si>
    <t xml:space="preserve">JOELHO 90 GRAUS, METALICO, PARA CONEXAO COM ANEL DESLIZANTE EM TUBO PEX, DN 16 MM                                                                                                                                                                                                                                                                                                                                                                                                                         </t>
  </si>
  <si>
    <t xml:space="preserve">JOELHO 90 GRAUS, METALICO, PARA CONEXAO COM ANEL DESLIZANTE EM TUBO PEX, DN 20 MM                                                                                                                                                                                                                                                                                                                                                                                                                         </t>
  </si>
  <si>
    <t xml:space="preserve">JOELHO 90 GRAUS, METALICO, PARA CONEXAO COM ANEL DESLIZANTE EM TUBO PEX, DN 25 MM                                                                                                                                                                                                                                                                                                                                                                                                                         </t>
  </si>
  <si>
    <t>21,61</t>
  </si>
  <si>
    <t xml:space="preserve">JOELHO 90 GRAUS, METALICO, PARA CONEXAO COM ANEL DESLIZANTE EM TUBO PEX, DN 32 MM                                                                                                                                                                                                                                                                                                                                                                                                                         </t>
  </si>
  <si>
    <t>28,51</t>
  </si>
  <si>
    <t xml:space="preserve">JOELHO 90 GRAUS, PLASTICO, PARA CONEXAO COM CRIMPAGEM EM TUBO PEX, DN 16 MM                                                                                                                                                                                                                                                                                                                                                                                                                               </t>
  </si>
  <si>
    <t xml:space="preserve">JOELHO 90 GRAUS, PLASTICO, PARA CONEXAO COM CRIMPAGEM EM TUBO PEX, DN 20 MM                                                                                                                                                                                                                                                                                                                                                                                                                               </t>
  </si>
  <si>
    <t xml:space="preserve">JOELHO 90 GRAUS, PLASTICO, PARA CONEXAO COM CRIMPAGEM EM TUBO PEX, DN 25 MM                                                                                                                                                                                                                                                                                                                                                                                                                               </t>
  </si>
  <si>
    <t>16,90</t>
  </si>
  <si>
    <t xml:space="preserve">JOELHO 90 GRAUS, PLASTICO, PARA CONEXAO COM CRIMPAGEM EM TUBO PEX, DN 32 MM                                                                                                                                                                                                                                                                                                                                                                                                                               </t>
  </si>
  <si>
    <t>29,72</t>
  </si>
  <si>
    <t xml:space="preserve">JOELHO 90 GRAUS, ROSCA FEMEA TERMINAL, METALICO, PARA CONEXAO COM ANEL DESLIZANTE EM TUBO PEX, DN 16 MM X 1/2"                                                                                                                                                                                                                                                                                                                                                                                            </t>
  </si>
  <si>
    <t>9,46</t>
  </si>
  <si>
    <t xml:space="preserve">JOELHO 90 GRAUS, ROSCA FEMEA TERMINAL, METALICO, PARA CONEXAO COM ANEL DESLIZANTE EM TUBO PEX, DN 20 MM X 1/2"                                                                                                                                                                                                                                                                                                                                                                                            </t>
  </si>
  <si>
    <t>10,17</t>
  </si>
  <si>
    <t xml:space="preserve">JOELHO 90 GRAUS, ROSCA FEMEA TERMINAL, METALICO, PARA CONEXAO COM ANEL DESLIZANTE EM TUBO PEX, DN 20 MM X 3/4"                                                                                                                                                                                                                                                                                                                                                                                            </t>
  </si>
  <si>
    <t xml:space="preserve">JOELHO 90 GRAUS, ROSCA FEMEA TERMINAL, METALICO, PARA CONEXAO COM ANEL DESLIZANTE EM TUBO PEX, DN 25 MM X 3/4"                                                                                                                                                                                                                                                                                                                                                                                            </t>
  </si>
  <si>
    <t xml:space="preserve">JOELHO 90 GRAUS, ROSCA FEMEA TERMINAL, PLASTICO, PARA CONEXAO COM CRIMPAGEM EM TUBO PEX, DN 16 MM X 1/2"                                                                                                                                                                                                                                                                                                                                                                                                  </t>
  </si>
  <si>
    <t>11,97</t>
  </si>
  <si>
    <t xml:space="preserve">JOELHO 90 GRAUS, ROSCA FEMEA TERMINAL, PLASTICO, PARA CONEXAO COM CRIMPAGEM EM TUBO PEX, DN 16 MM X 3/4"                                                                                                                                                                                                                                                                                                                                                                                                  </t>
  </si>
  <si>
    <t xml:space="preserve">JOELHO 90 GRAUS, ROSCA FEMEA TERMINAL, PLASTICO, PARA CONEXAO COM CRIMPAGEM EM TUBO PEX, DN 20 MM X 1/2"                                                                                                                                                                                                                                                                                                                                                                                                  </t>
  </si>
  <si>
    <t xml:space="preserve">JOELHO 90 GRAUS, ROSCA FEMEA TERMINAL, PLASTICO, PARA CONEXAO COM CRIMPAGEM EM TUBO PEX, DN 20 MM X 3/4"                                                                                                                                                                                                                                                                                                                                                                                                  </t>
  </si>
  <si>
    <t>19,61</t>
  </si>
  <si>
    <t xml:space="preserve">JOELHO 90 GRAUS, ROSCA FEMEA TERMINAL, PLASTICO, PARA CONEXAO COM CRIMPAGEM EM TUBO PEX, DN 25 MM X 1/2"                                                                                                                                                                                                                                                                                                                                                                                                  </t>
  </si>
  <si>
    <t xml:space="preserve">JOELHO 90 GRAUS, ROSCA FEMEA TERMINAL, PLASTICO, PARA CONEXAO COM CRIMPAGEM EM TUBO PEX, DN 25 MM X 1"                                                                                                                                                                                                                                                                                                                                                                                                    </t>
  </si>
  <si>
    <t xml:space="preserve">JOELHO 90 GRAUS, ROSCA FEMEA TERMINAL, PLASTICO, PARA CONEXAO COM CRIMPAGEM EM TUBO PEX, DN 25 MM X 3/4"                                                                                                                                                                                                                                                                                                                                                                                                  </t>
  </si>
  <si>
    <t xml:space="preserve">JOELHO 90 GRAUS, ROSCA FEMEA TERMINAL, PLASTICO, PARA CONEXAO COM CRIMPAGEM EM TUBO PEX, DN 32 MM X 1"                                                                                                                                                                                                                                                                                                                                                                                                    </t>
  </si>
  <si>
    <t>38,36</t>
  </si>
  <si>
    <t xml:space="preserve">JOELHO 90 GRAUS, ROSCA MACHO TERMINAL, METALICO, PARA CONEXAO COM ANEL DESLIZANTE EM TUBO PEX, DN 16 MM X 1/2"                                                                                                                                                                                                                                                                                                                                                                                            </t>
  </si>
  <si>
    <t>9,66</t>
  </si>
  <si>
    <t xml:space="preserve">JOELHO 90 GRAUS, ROSCA MACHO TERMINAL, METALICO, PARA CONEXAO COM ANEL DESLIZANTE EM TUBO PEX, DN 20 MM X 1/2"                                                                                                                                                                                                                                                                                                                                                                                            </t>
  </si>
  <si>
    <t xml:space="preserve">JOELHO 90 GRAUS, ROSCA MACHO TERMINAL, METALICO, PARA CONEXAO COM ANEL DESLIZANTE EM TUBO PEX, DN 20 MM X 3/4"                                                                                                                                                                                                                                                                                                                                                                                            </t>
  </si>
  <si>
    <t xml:space="preserve">JOELHO 90 GRAUS, ROSCA MACHO TERMINAL, METALICO, PARA CONEXAO COM ANEL DESLIZANTE EM TUBO PEX, DN 25 MM X 3/4"                                                                                                                                                                                                                                                                                                                                                                                            </t>
  </si>
  <si>
    <t xml:space="preserve">JOELHO 90 GRAUS, ROSCA MACHO TERMINAL, PLASTICO, PARA CONEXAO COM CRIMPAGEM EM TUBO PEX, DN 25 MM X 1/2"                                                                                                                                                                                                                                                                                                                                                                                                  </t>
  </si>
  <si>
    <t xml:space="preserve">JOELHO 90 GRAUS, ROSCA MACHO TERMINAL, PLASTICO, PARA CONEXAO COM CRIMPAGEM EM TUBO PEX, DN 25 MM X 1"                                                                                                                                                                                                                                                                                                                                                                                                    </t>
  </si>
  <si>
    <t xml:space="preserve">JOELHO 90 GRAUS, ROSCA MACHO TERMINAL, PLASTICO, PARA CONEXAO COM CRIMPAGEM EM TUBO PEX, DN 32 MM X 1"                                                                                                                                                                                                                                                                                                                                                                                                    </t>
  </si>
  <si>
    <t>29,94</t>
  </si>
  <si>
    <t xml:space="preserve">JOELHO, PVC COM ROSCA E BUCHA LATAO, 90 GRAUS,  3/4", PARA AGUA FRIA PREDIAL                                                                                                                                                                                                                                                                                                                                                                                                                              </t>
  </si>
  <si>
    <t xml:space="preserve">JOELHO, PVC SERIE R, 45 GRAUS, DN 100 MM, PARA ESGOTO PREDIAL                                                                                                                                                                                                                                                                                                                                                                                                                                             </t>
  </si>
  <si>
    <t xml:space="preserve">JOELHO, PVC SERIE R, 45 GRAUS, DN 150 MM, PARA ESGOTO PREDIAL                                                                                                                                                                                                                                                                                                                                                                                                                                             </t>
  </si>
  <si>
    <t>53,02</t>
  </si>
  <si>
    <t xml:space="preserve">JOELHO, PVC SERIE R, 45 GRAUS, DN 40 MM, PARA ESGOTO PREDIAL                                                                                                                                                                                                                                                                                                                                                                                                                                              </t>
  </si>
  <si>
    <t xml:space="preserve">JOELHO, PVC SERIE R, 45 GRAUS, DN 50 MM, PARA ESGOTO PREDIAL                                                                                                                                                                                                                                                                                                                                                                                                                                              </t>
  </si>
  <si>
    <t>4,69</t>
  </si>
  <si>
    <t xml:space="preserve">JOELHO, PVC SERIE R, 45 GRAUS, DN 75 MM, PARA ESGOTO PREDIAL                                                                                                                                                                                                                                                                                                                                                                                                                                              </t>
  </si>
  <si>
    <t xml:space="preserve">JOELHO, PVC SERIE R, 90 GRAUS, DN 100 MM, PARA ESGOTO PREDIAL                                                                                                                                                                                                                                                                                                                                                                                                                                             </t>
  </si>
  <si>
    <t xml:space="preserve">JOELHO, PVC SERIE R, 90 GRAUS, DN 150 MM, PARA ESGOTO PREDIAL                                                                                                                                                                                                                                                                                                                                                                                                                                             </t>
  </si>
  <si>
    <t>68,30</t>
  </si>
  <si>
    <t xml:space="preserve">JOELHO, PVC SERIE R, 90 GRAUS, DN 40 MM, PARA ESGOTO PREDIAL                                                                                                                                                                                                                                                                                                                                                                                                                                              </t>
  </si>
  <si>
    <t xml:space="preserve">JOELHO, PVC SERIE R, 90 GRAUS, DN 50 MM, PARA ESGOTO PREDIAL                                                                                                                                                                                                                                                                                                                                                                                                                                              </t>
  </si>
  <si>
    <t xml:space="preserve">JOELHO, PVC SERIE R, 90 GRAUS, DN 75 MM, PARA ESGOTO PREDIAL                                                                                                                                                                                                                                                                                                                                                                                                                                              </t>
  </si>
  <si>
    <t>13,12</t>
  </si>
  <si>
    <t xml:space="preserve">JOELHO, PVC SOLDAVEL, 45 GRAUS, 110 MM, PARA AGUA FRIA PREDIAL                                                                                                                                                                                                                                                                                                                                                                                                                                            </t>
  </si>
  <si>
    <t>154,63</t>
  </si>
  <si>
    <t xml:space="preserve">JOELHO, PVC SOLDAVEL, 45 GRAUS, 20 MM, PARA AGUA FRIA PREDIAL                                                                                                                                                                                                                                                                                                                                                                                                                                             </t>
  </si>
  <si>
    <t xml:space="preserve">JOELHO, PVC SOLDAVEL, 45 GRAUS, 25 MM, PARA AGUA FRIA PREDIAL                                                                                                                                                                                                                                                                                                                                                                                                                                             </t>
  </si>
  <si>
    <t xml:space="preserve">JOELHO, PVC SOLDAVEL, 45 GRAUS, 32 MM, PARA AGUA FRIA PREDIAL                                                                                                                                                                                                                                                                                                                                                                                                                                             </t>
  </si>
  <si>
    <t xml:space="preserve">JOELHO, PVC SOLDAVEL, 45 GRAUS, 40 MM, PARA AGUA FRIA PREDIAL                                                                                                                                                                                                                                                                                                                                                                                                                                             </t>
  </si>
  <si>
    <t xml:space="preserve">JOELHO, PVC SOLDAVEL, 45 GRAUS, 50 MM, PARA AGUA FRIA PREDIAL                                                                                                                                                                                                                                                                                                                                                                                                                                             </t>
  </si>
  <si>
    <t xml:space="preserve">JOELHO, PVC SOLDAVEL, 45 GRAUS, 60 MM, PARA AGUA FRIA PREDIAL                                                                                                                                                                                                                                                                                                                                                                                                                                             </t>
  </si>
  <si>
    <t>21,16</t>
  </si>
  <si>
    <t xml:space="preserve">JOELHO, PVC SOLDAVEL, 45 GRAUS, 75 MM, PARA AGUA FRIA PREDIAL                                                                                                                                                                                                                                                                                                                                                                                                                                             </t>
  </si>
  <si>
    <t>48,64</t>
  </si>
  <si>
    <t xml:space="preserve">JOELHO, PVC SOLDAVEL, 45 GRAUS, 85 MM, PARA AGUA FRIA PREDIAL                                                                                                                                                                                                                                                                                                                                                                                                                                             </t>
  </si>
  <si>
    <t>57,70</t>
  </si>
  <si>
    <t xml:space="preserve">JOELHO, PVC SOLDAVEL, 90 GRAUS, 75 MM, PARA AGUA FRIA PREDIAL                                                                                                                                                                                                                                                                                                                                                                                                                                             </t>
  </si>
  <si>
    <t>67,70</t>
  </si>
  <si>
    <t xml:space="preserve">JOELHO, ROSCA FEMEA, COM BASE FIXA, METALICO, PARA CONEXAO COM ANEL DESLIZANTE EM TUBO PEX, DN 16 MM X 1/2"                                                                                                                                                                                                                                                                                                                                                                                               </t>
  </si>
  <si>
    <t xml:space="preserve">JOELHO, ROSCA FEMEA, COM BASE FIXA, METALICO, PARA CONEXAO COM ANEL DESLIZANTE EM TUBO PEX, DN 20 MM X 1/2"                                                                                                                                                                                                                                                                                                                                                                                               </t>
  </si>
  <si>
    <t xml:space="preserve">JOELHO, ROSCA FEMEA, COM BASE FIXA, METALICO, PARA CONEXAO COM ANEL DESLIZANTE EM TUBO PEX, DN 25 MM X 3/4"                                                                                                                                                                                                                                                                                                                                                                                               </t>
  </si>
  <si>
    <t xml:space="preserve">JOELHO, ROSCA FEMEA, COM BASE FIXA, PLASTICO, PARA CONEXAO COM CRIMPAGEM EM TUBO PEX, DN 25 MM X 1/2"                                                                                                                                                                                                                                                                                                                                                                                                     </t>
  </si>
  <si>
    <t xml:space="preserve">JOELHO, ROSCA FEMEA, COM BASE FIXA, PLASTICO, PARA CONEXAO POR CRIMPAGEM EM TUBO PEX, DN 16 MM X 3/4"                                                                                                                                                                                                                                                                                                                                                                                                     </t>
  </si>
  <si>
    <t xml:space="preserve">JOELHO, ROSCA FEMEA, COM BASE FIXA, PLASTICO, PARA CONEXAO POR CRIMPAGEM EM TUBO PEX, DN 20 MM X 3/4"                                                                                                                                                                                                                                                                                                                                                                                                     </t>
  </si>
  <si>
    <t xml:space="preserve">JOGO DE FERRAGENS CROMADAS P/ PORTA DE VIDRO TEMPERADO, UMA FOLHA COMPOSTA: DOBRADICA SUPERIOR (101) E INFERIOR (103),TRINCO (502), FECHADURA (520),CONTRA FECHADURA (531),COM CAPUCHINHO                                                                                                                                                                                                                                                                                                                 </t>
  </si>
  <si>
    <t>415,62</t>
  </si>
  <si>
    <t xml:space="preserve">JOGO DE TRANQUETA E ROSETA QUADRADA DE SOBREPOR SEM FUROS, EM LATAO CROMADO, *50 X 50* MM, PARA FECHADURA DE PORTA DE BANHEIRO                                                                                                                                                                                                                                                                                                                                                                            </t>
  </si>
  <si>
    <t>37,46</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</si>
  <si>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</si>
  <si>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</si>
  <si>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</si>
  <si>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</si>
  <si>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DE REDUCAO SIMPLES, COM BOLSA PARA ANEL, PVC LEVE,  150 X 100 MM, PARA ESGOTO PREDIAL                                                                                                                                                                                                                                                                                                                                                                                                              </t>
  </si>
  <si>
    <t xml:space="preserve">JUNCAO DUPLA, PVC SERIE R, DN 100 X 100 X 100 MM, PARA ESGOTO PREDIAL                                                                                                                                                                                                                                                                                                                                                                                                                                     </t>
  </si>
  <si>
    <t>65,65</t>
  </si>
  <si>
    <t xml:space="preserve">JUNCAO DUPLA, PVC SOLDAVEL, DN 100 X 100 X 100 MM , SERIE NORMAL PARA ESGOTO PREDIAL                                                                                                                                                                                                                                                                                                                                                                                                                      </t>
  </si>
  <si>
    <t>26,03</t>
  </si>
  <si>
    <t xml:space="preserve">JUNCAO DUPLA, PVC SOLDAVEL, DN 75 X 75 X 75 MM , SERIE NORMAL PARA ESGOTO PREDIAL                                                                                                                                                                                                                                                                                                                                                                                                                         </t>
  </si>
  <si>
    <t>12,90</t>
  </si>
  <si>
    <t xml:space="preserve">JUNCAO INVERTIDA, PVC SOLDAVEL, 75 X 75 MM, SERIE NORMAL PARA ESGOTO PREDIAL                                                                                                                                                                                                                                                                                                                                                                                                                              </t>
  </si>
  <si>
    <t xml:space="preserve">JUNCAO PVC  ROSCAVEL, 45 GRAUS, 1/2", PARA AGUA FRIA PREDIAL                                                                                                                                                                                                                                                                                                                                                                                                                                              </t>
  </si>
  <si>
    <t xml:space="preserve">JUNCAO PVC  ROSCAVEL, 45 GRAUS, 3/4", PARA AGUA FRIA PREDIAL                                                                                                                                                                                                                                                                                                                                                                                                                                              </t>
  </si>
  <si>
    <t xml:space="preserve">JUNCAO PVC, 45 GRAUS, ROSCAVEL, 1 1/4", AGUA FRIA PREDIAL                                                                                                                                                                                                                                                                                                                                                                                                                                                 </t>
  </si>
  <si>
    <t xml:space="preserve">JUNCAO PVC, 60 GRAUS, CIRCULAR,  DIAMETRO ENTRE 80 E 100 MM, PARA DRENAGEM PLUVIAL PREDIAL                                                                                                                                                                                                                                                                                                                                                                                                                </t>
  </si>
  <si>
    <t xml:space="preserve">JUNCAO SIMPLES, PVC LEVE, 150 MM, PARA ESGOTO PREDIAL                                                                                                                                                                                                                                                                                                                                                                                                                                                     </t>
  </si>
  <si>
    <t>88,19</t>
  </si>
  <si>
    <t xml:space="preserve">JUNCAO SIMPLES, PVC SERIE R, DN 100 X 100 MM, PARA ESGOTO PREDIAL                                                                                                                                                                                                                                                                                                                                                                                                                                         </t>
  </si>
  <si>
    <t>38,74</t>
  </si>
  <si>
    <t xml:space="preserve">JUNCAO SIMPLES, PVC SERIE R, DN 100 X 75 MM, PARA ESGOTO PREDIAL                                                                                                                                                                                                                                                                                                                                                                                                                                          </t>
  </si>
  <si>
    <t xml:space="preserve">JUNCAO SIMPLES, PVC SERIE R, DN 150 X 100 MM, PARA ESGOTO PREDIAL                                                                                                                                                                                                                                                                                                                                                                                                                                         </t>
  </si>
  <si>
    <t>102,66</t>
  </si>
  <si>
    <t xml:space="preserve">JUNCAO SIMPLES, PVC SERIE R, DN 150 X 150 MM, PARA ESGOTO PREDIAL                                                                                                                                                                                                                                                                                                                                                                                                                                         </t>
  </si>
  <si>
    <t>115,77</t>
  </si>
  <si>
    <t xml:space="preserve">JUNCAO SIMPLES, PVC SERIE R, DN 40 X 40 MM, PARA ESGOTO PREDIAL                                                                                                                                                                                                                                                                                                                                                                                                                                           </t>
  </si>
  <si>
    <t xml:space="preserve">JUNCAO SIMPLES, PVC SERIE R, DN 50 X 50 MM, PARA ESGOTO PREDIAL                                                                                                                                                                                                                                                                                                                                                                                                                                           </t>
  </si>
  <si>
    <t>8,09</t>
  </si>
  <si>
    <t xml:space="preserve">JUNCAO SIMPLES, PVC SERIE R, DN 75 X 75 MM, PARA ESGOTO PREDIAL                                                                                                                                                                                                                                                                                                                                                                                                                                           </t>
  </si>
  <si>
    <t>24,75</t>
  </si>
  <si>
    <t xml:space="preserve">JUNCAO SIMPLES, PVC, DN 100 X 50 MM, SERIE NORMAL PARA ESGOTO PREDIAL                                                                                                                                                                                                                                                                                                                                                                                                                                     </t>
  </si>
  <si>
    <t xml:space="preserve">JUNCAO SIMPLES, PVC, DN 100 X 75 MM, SERIE NORMAL PARA ESGOTO PREDIAL                                                                                                                                                                                                                                                                                                                                                                                                                                     </t>
  </si>
  <si>
    <t xml:space="preserve">JUNCAO SIMPLES, PVC, DN 50 X 50 MM, SERIE NORMAL PARA ESGOTO PREDIAL                                                                                                                                                                                                                                                                                                                                                                                                                                      </t>
  </si>
  <si>
    <t xml:space="preserve">JUNCAO SIMPLES, PVC, DN 75 X 50 MM, SERIE NORMAL PARA ESGOTO PREDIAL                                                                                                                                                                                                                                                                                                                                                                                                                                      </t>
  </si>
  <si>
    <t xml:space="preserve">JUNCAO SIMPLES, PVC, DN 75 X 75 MM, SERIE NORMAL PARA ESGOTO PREDIAL                                                                                                                                                                                                                                                                                                                                                                                                                                      </t>
  </si>
  <si>
    <t>10,95</t>
  </si>
  <si>
    <t xml:space="preserve">JUNCAO SIMPLES, PVC, 45 GRAUS, DN 100 X 100 MM, SERIE NORMAL PARA ESGOTO PREDIAL                                                                                                                                                                                                                                                                                                                                                                                                                          </t>
  </si>
  <si>
    <t xml:space="preserve">JUNCAO SIMPLES, PVC, 45 GRAUS, DN 40 X 40 MM, SERIE NORMAL PARA ESGOTO PREDIAL                                                                                                                                                                                                                                                                                                                                                                                                                            </t>
  </si>
  <si>
    <t xml:space="preserve">JUNCAO 2 GARRAS PARA FITA PERFURADA                                                                                                                                                                                                                                                                                                                                                                                                                                                                       </t>
  </si>
  <si>
    <t xml:space="preserve">JUNCAO, PVC, 45 GRAUS, JE, BBB, DN 100 MM, PARA REDE COLETORA DE ESGOTO (NBR 10569)                                                                                                                                                                                                                                                                                                                                                                                                                       </t>
  </si>
  <si>
    <t xml:space="preserve">JUNCAO, PVC, 45 GRAUS, JE, BBB, DN 150 MM, PARA REDE COLETORA DE ESGOTO (NBR 10569)                                                                                                                                                                                                                                                                                                                                                                                                                       </t>
  </si>
  <si>
    <t>118,59</t>
  </si>
  <si>
    <t xml:space="preserve">JUNCAO, PVC, 45 GRAUS, JE, BBB, DN 150 MM, PARA TUBO CORRUGADO E/OU LISO, REDE COLETORA DE ESGOTO (NBR 10569)                                                                                                                                                                                                                                                                                                                                                                                             </t>
  </si>
  <si>
    <t>331,80</t>
  </si>
  <si>
    <t xml:space="preserve">JUNCAO, PVC, 45 GRAUS, JE, BBB, DN 200 MM, PARA TUBO CORRUGADO E/OU LISO, REDE COLETORA DE ESGOTO (NBR 10569)                                                                                                                                                                                                                                                                                                                                                                                             </t>
  </si>
  <si>
    <t>499,70</t>
  </si>
  <si>
    <t xml:space="preserve">JUNCAO, PVC, 45 GRAUS, JE, BBB, DN 250 MM, PARA TUBO CORRUGADO E/OU LISO, REDE COLETORA DE ESGOTO (NBR 10569)                                                                                                                                                                                                                                                                                                                                                                                             </t>
  </si>
  <si>
    <t>696,06</t>
  </si>
  <si>
    <t xml:space="preserve">JUNTA DE EXPANSAO BRONZE/LATAO (REF 900), PONTA X PONTA, 35 MM                                                                                                                                                                                                                                                                                                                                                                                                                                            </t>
  </si>
  <si>
    <t>369,58</t>
  </si>
  <si>
    <t xml:space="preserve">JUNTA DE EXPANSAO BRONZE/LATAO (REF 900), PONTA X PONTA, 42 MM                                                                                                                                                                                                                                                                                                                                                                                                                                            </t>
  </si>
  <si>
    <t>462,72</t>
  </si>
  <si>
    <t xml:space="preserve">JUNTA DE EXPANSAO BRONZE/LATAO (REF 900), PONTA X PONTA, 54 MM                                                                                                                                                                                                                                                                                                                                                                                                                                            </t>
  </si>
  <si>
    <t>641,77</t>
  </si>
  <si>
    <t xml:space="preserve">JUNTA DE EXPANSAO BRONZE/LATAO (REF 900), PONTA X PONTA, 66 MM                                                                                                                                                                                                                                                                                                                                                                                                                                            </t>
  </si>
  <si>
    <t>847,68</t>
  </si>
  <si>
    <t xml:space="preserve">JUNTA DE EXPANSAO DE COBRE (REF 900), PONTA X PONTA, 15 MM                                                                                                                                                                                                                                                                                                                                                                                                                                                </t>
  </si>
  <si>
    <t>253,45</t>
  </si>
  <si>
    <t xml:space="preserve">JUNTA DE EXPANSAO DE COBRE (REF 900), PONTA X PONTA, 22 MM                                                                                                                                                                                                                                                                                                                                                                                                                                                </t>
  </si>
  <si>
    <t>293,99</t>
  </si>
  <si>
    <t xml:space="preserve">JUNTA DE EXPANSAO DE COBRE (REF 900), PONTA X PONTA, 28 MM                                                                                                                                                                                                                                                                                                                                                                                                                                                </t>
  </si>
  <si>
    <t>322,91</t>
  </si>
  <si>
    <t xml:space="preserve">JUNTA DILATACAO ELASTICA PARA CONCRETO (FUGENBAND) O-12, ATE 5 MCA                                                                                                                                                                                                                                                                                                                                                                                                                                        </t>
  </si>
  <si>
    <t>53,68</t>
  </si>
  <si>
    <t xml:space="preserve">JUNTA DILATACAO ELASTICA PARA CONCRETO (FUGENBAND) O-22, ATE 30 MCA                                                                                                                                                                                                                                                                                                                                                                                                                                       </t>
  </si>
  <si>
    <t>79,86</t>
  </si>
  <si>
    <t xml:space="preserve">JUNTA DILATACAO ELASTICA PARA CONCRETO (FUGENBAND) O-35/10, ATE 100 MCA                                                                                                                                                                                                                                                                                                                                                                                                                                   </t>
  </si>
  <si>
    <t>300,57</t>
  </si>
  <si>
    <t xml:space="preserve">JUNTA DILATACAO ELASTICA PARA CONCRETO (FUGENBAND) O-35/6, ATE 100 MCA                                                                                                                                                                                                                                                                                                                                                                                                                                    </t>
  </si>
  <si>
    <t>248,66</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</si>
  <si>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</si>
  <si>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</si>
  <si>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</si>
  <si>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</si>
  <si>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248,76</t>
  </si>
  <si>
    <t xml:space="preserve">KIT CAVALETE, PVC, COM REGISTRO, PARA HIDROMETRO, BITOLAS 1/2" OU 3/4" - COMPLETO                                                                                                                                                                                                                                                                                                                                                                                                                         </t>
  </si>
  <si>
    <t>57,41</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</si>
  <si>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                                                                                                                                                                                   </t>
  </si>
  <si>
    <t>83,96</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</si>
  <si>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                                                                                                                                                                                          </t>
  </si>
  <si>
    <t>92,07</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</si>
  <si>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                                                                                                                                                                            </t>
  </si>
  <si>
    <t>157,07</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</si>
  <si>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                                                                                                                                                                       </t>
  </si>
  <si>
    <t>135,16</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</si>
  <si>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                                                                                                                                                                            </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</si>
  <si>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                                                                                                                                                                                  </t>
  </si>
  <si>
    <t>184,74</t>
  </si>
  <si>
    <t xml:space="preserve">KIT DE ACESSORIOS PARA BANHEIRO EM METAL CROMADO, 5 PECAS                                                                                                                                                                                                                                                                                                                                                                                                                                                 </t>
  </si>
  <si>
    <t xml:space="preserve">KIT DE MATERIAIS PARA BRACADEIRA PARA FIXACAO EM POSTE CIRCULAR, CONTEM TRES FIXADORES E UM ROLO DE FITA DE 3 M EM ACO CARBONO                                                                                                                                                                                                                                                                                                                                                                            </t>
  </si>
  <si>
    <t>30,91</t>
  </si>
  <si>
    <t xml:space="preserve">KIT DE PROTECAO ARSTOP PARA AR CONDICIONADO, TOMADA PADRAO 2P+T 20 A, COM DISJUNTOR UNIPOLAR DIN 20A                                                                                                                                                                                                                                                                                                                                                                                                      </t>
  </si>
  <si>
    <t>20,92</t>
  </si>
  <si>
    <t xml:space="preserve">KIT PORTA PRONTA DE MADEIRA, FOLHA LEVE (NBR 15930) DE 60 X 210 CM, E = *35* MM, COM MARCO EM ACO, NUCLEO COLMEIA, CAPA LISA EM HDF, ACABAMENTO MELAMINICO BRANCO (INCLUI MARCO, ALIZARES, DOBRADICAS E FECHADURA)                                                                                                                                                                                                                                                                                        </t>
  </si>
  <si>
    <t>356,94</t>
  </si>
  <si>
    <t xml:space="preserve">KIT PORTA PRONTA DE MADEIRA, FOLHA LEVE (NBR 15930) DE 60 X 210 CM, E = 35 MM, NUCLEO COLMEIA, ESTRUTURA USINADA PARA FECHADURA, CAPA LISA EM HDF, ACABAMENTO EM PRIMER PARA PINTURA (INCLUI MARCO, ALIZARES E DOBRADICAS)                                                                                                                                                                                                                                                                                </t>
  </si>
  <si>
    <t>314,48</t>
  </si>
  <si>
    <t xml:space="preserve">KIT PORTA PRONTA DE MADEIRA, FOLHA LEVE (NBR 15930) DE 70 X 210 CM, E = *35* MM, COM MARCO EM ACO, NUCLEO COLMEIA, CAPA LISA EM HDF, ACABAMENTO MELAMINICO BRANCO (INCLUI MARCO, ALIZARES, DOBRADICAS E FECHADURA)                                                                                                                                                                                                                                                                                        </t>
  </si>
  <si>
    <t>340,44</t>
  </si>
  <si>
    <t xml:space="preserve">KIT PORTA PRONTA DE MADEIRA, FOLHA LEVE (NBR 15930) DE 70 X 210 CM, E = 35 MM, NUCLEO COLMEIA, ESTRUTURA USINADA PARA FECHADURA, CAPA LISA EM HDF, ACABAMENTO EM PRIMER PARA PINTURA (INCLUI MARCO, ALIZARES E DOBRADICAS)                                                                                                                                                                                                                                                                                </t>
  </si>
  <si>
    <t>317,72</t>
  </si>
  <si>
    <t xml:space="preserve">KIT PORTA PRONTA DE MADEIRA, FOLHA LEVE (NBR 15930) DE 80 X 210 CM, E = *35* MM, COM MARCO EM ACO, NUCLEO COLMEIA, CAPA LISA EM HDF, ACABAMENTO MELAMINICO BRANCO (INCLUI MARCO, ALIZARES, DOBRADICAS E FECHADURA)                                                                                                                                                                                                                                                                                        </t>
  </si>
  <si>
    <t>343,68</t>
  </si>
  <si>
    <t xml:space="preserve">KIT PORTA PRONTA DE MADEIRA, FOLHA LEVE (NBR 15930) DE 80 X 210 CM, E = 35 MM, NUCLEO COLMEIA, ESTRUTURA USINADA PARA FECHADURA, CAPA LISA EM HDF, ACABAMENTO EM PRIMER PARA PINTURA (INCLUI MARCO, ALIZARES E DOBRADICAS)                                                                                                                                                                                                                                                                                </t>
  </si>
  <si>
    <t>320,97</t>
  </si>
  <si>
    <t xml:space="preserve">KIT PORTA PRONTA DE MADEIRA, FOLHA LEVE (NBR 15930) DE 90 X 210 CM, E = *35* MM, COM MARCO EM ACO, NUCLEO COLMEIA, CAPA LISA EM HDF, ACABAMENTO MELAMINICO BRANCO (INCLUI MARCO, ALIZARES, DOBRADICAS E FECHADURA)                                                                                                                                                                                                                                                                                        </t>
  </si>
  <si>
    <t>359,92</t>
  </si>
  <si>
    <t xml:space="preserve">KIT PORTA PRONTA DE MADEIRA, FOLHA LEVE (NBR 15930) DE 90 X 210 CM, E = 35 MM, NUCLEO COLMEIA, ESTRUTURA USINADA PARA FECHADURA, CAPA LISA EM HDF, ACABAMENTO EM PRIMER PARA PINTURA (INCLUI MARCO, ALIZARES E DOBRADICAS)                                                                                                                                                                                                                                                                                </t>
  </si>
  <si>
    <t>337,21</t>
  </si>
  <si>
    <t xml:space="preserve">KIT PORTA PRONTA DE MADEIRA, FOLHA MEDIA (NBR 15930) DE 60 X 210 CM, E = 35 MM, NUCLEO SARRAFEADO, ESTRUTURA USINADA PARA FECHADURA, CAPA LISA EM HDF, ACABAMENTO EM PRIMER PARA PINTURA (INCLUI MARCO, ALIZARES E DOBRADICAS)                                                                                                                                                                                                                                                                            </t>
  </si>
  <si>
    <t>343,96</t>
  </si>
  <si>
    <t xml:space="preserve">KIT PORTA PRONTA DE MADEIRA, FOLHA MEDIA (NBR 15930) DE 60 X 210 CM, E = 35 MM, NUCLEO SARRAFEADO, ESTRUTURA USINADA PARA FECHADURA, CAPA LISA EM HDF, ACABAMENTO MELAMINICO BRANCO (INCLUI MARCO, ALIZARES E DOBRADICAS)                                                                                                                                                                                                                                                                                 </t>
  </si>
  <si>
    <t>389,91</t>
  </si>
  <si>
    <t xml:space="preserve">KIT PORTA PRONTA DE MADEIRA, FOLHA MEDIA (NBR 15930) DE 70 X 210 CM, E = 35 MM, NUCLEO SARRAFEADO, ESTRUTURA USINADA PARA FECHADURA, CAPA LISA EM HDF, ACABAMENTO EM PRIMER PARA PINTURA (INCLUI MARCO, ALIZARES E DOBRADICAS)                                                                                                                                                                                                                                                                            </t>
  </si>
  <si>
    <t xml:space="preserve">KIT PORTA PRONTA DE MADEIRA, FOLHA MEDIA (NBR 15930) DE 70 X 210 CM, E = 35 MM, NUCLEO SARRAFEADO, ESTRUTURA USINADA PARA FECHADURA, CAPA LISA EM HDF, ACABAMENTO MELAMINICO BRANCO (INCLUI MARCO, ALIZARES E DOBRADICAS)                                                                                                                                                                                                                                                                                 </t>
  </si>
  <si>
    <t>402,37</t>
  </si>
  <si>
    <t xml:space="preserve">KIT PORTA PRONTA DE MADEIRA, FOLHA MEDIA (NBR 15930) DE 80 X 210 CM, E = 35 MM, NUCLEO SARRAFEADO, ESTRUTURA USINADA PARA FECHADURA, CAPA LISA EM HDF, ACABAMENTO EM PRIMER PARA PINTURA (INCLUI MARCO, ALIZARES E DOBRADICAS)                                                                                                                                                                                                                                                                            </t>
  </si>
  <si>
    <t>369,79</t>
  </si>
  <si>
    <t xml:space="preserve">KIT PORTA PRONTA DE MADEIRA, FOLHA MEDIA (NBR 15930) DE 80 X 210 CM, E = 35 MM, NUCLEO SARRAFEADO, ESTRUTURA USINADA PARA FECHADURA, CAPA LISA EM HDF, ACABAMENTO MELAMINICO BRANCO (INCLUI MARCO, ALIZARES E DOBRADICAS)                                                                                                                                                                                                                                                                                 </t>
  </si>
  <si>
    <t>404,84</t>
  </si>
  <si>
    <t xml:space="preserve">KIT PORTA PRONTA DE MADEIRA, FOLHA MEDIA (NBR 15930) DE 90 X 210 CM, E = 35 MM, NUCLEO SARRAFEADO, ESTRUTURA USINADA PARA FECHADURA, CAPA LISA EM HDF, ACABAMENTO EM PRIMER PARA PINTURA (INCLUI MARCO, ALIZARES E DOBRADICAS)                                                                                                                                                                                                                                                                            </t>
  </si>
  <si>
    <t>382,77</t>
  </si>
  <si>
    <t xml:space="preserve">KIT PORTA PRONTA DE MADEIRA, FOLHA MEDIA (NBR 15930) DE 90 X 210 CM, E = 35 MM, NUCLEO SARRAFEADO, ESTRUTURA USINADA PARA FECHADURA, CAPA LISA EM HDF, ACABAMENTO MELAMINICO BRANCO (INCLUI MARCO, ALIZARES E DOBRADICAS)                                                                                                                                                                                                                                                                                 </t>
  </si>
  <si>
    <t>428,33</t>
  </si>
  <si>
    <t xml:space="preserve">KIT PORTA PRONTA DE MADEIRA, FOLHA PESADA (NBR 15930) DE 80 X 210 CM, E = 35 MM, NUCLEO SOLIDO, CAPA LISA EM HDF, ACABAMENTO MELAMINICO BRANCO (INCLUI MARCO, ALIZARES, DOBRADICAS E FECHADURA EXTERNA)                                                                                                                                                                                                                                                                                                   </t>
  </si>
  <si>
    <t>429,73</t>
  </si>
  <si>
    <t xml:space="preserve">KIT PORTA PRONTA DE MADEIRA, FOLHA PESADA (NBR 15930) DE 80 X 210 CM, E = 35 MM, NUCLEO SOLIDO, ESTRUTURA USINADA PARA FECHADURA, CAPA LISA EM HDF, ACABAMENTO EM LAMINADO NATURAL COM VERNIZ (INCLUI MARCO, ALIZARES E DOBRADICAS)                                                                                                                                                                                                                                                                       </t>
  </si>
  <si>
    <t>477,85</t>
  </si>
  <si>
    <t xml:space="preserve">KIT PORTA PRONTA DE MADEIRA, FOLHA PESADA (NBR 15930) DE 90 X 210 CM, E = 35 MM, NUCLEO SOLIDO, CAPA LISA EM HDF, ACABAMENTO MELAMINICO BRANCO (INCLUI MARCO, ALIZARES, DOBRADICAS E FECHADURA EXTERNA)                                                                                                                                                                                                                                                                                                   </t>
  </si>
  <si>
    <t>440,92</t>
  </si>
  <si>
    <t xml:space="preserve">KIT PORTA PRONTA DE MADEIRA, FOLHA PESADA (NBR 15930) DE 90 X 210 CM, E = 35 MM, NUCLEO SOLIDO, ESTRUTURA USINADA PARA FECHADURA, CAPA LISA EM HDF, ACABAMENTO EM LAMINADO NATURAL COM VERNIZ (INCLUI MARCO, ALIZARES E DOBRADICAS)                                                                                                                                                                                                                                                                       </t>
  </si>
  <si>
    <t>518,38</t>
  </si>
  <si>
    <t xml:space="preserve">LADRILHO HIDRAULICO, *20 x 20* CM, E= 2 CM, PADRAO COPACABANA, 2 CORES (PRETO E BRANCO)                                                                                                                                                                                                                                                                                                                                                                                                                   </t>
  </si>
  <si>
    <t xml:space="preserve">LADRILHO HIDRAULICO, *20 X 20* CM, E= 2 CM, DADOS, COR NATURAL                                                                                                                                                                                                                                                                                                                                                                                                                                            </t>
  </si>
  <si>
    <t>44,75</t>
  </si>
  <si>
    <t xml:space="preserve">LADRILHO HIDRAULICO, *20 X 20* CM, E= 2 CM, RAMPA, NATURAL                                                                                                                                                                                                                                                                                                                                                                                                                                                </t>
  </si>
  <si>
    <t xml:space="preserve">LADRILHO HIDRAULICO, *20 X 20* CM, E= 2 CM, TATIL ALERTA OU DIRECIONAL, AMARELO                                                                                                                                                                                                                                                                                                                                                                                                                           </t>
  </si>
  <si>
    <t>57,06</t>
  </si>
  <si>
    <t xml:space="preserve">LADRILHO HIDRAULICO, *30 X 30* CM, E= 2 CM, MILANO, NATURAL                                                                                                                                                                                                                                                                                                                                                                                                                                               </t>
  </si>
  <si>
    <t>44,20</t>
  </si>
  <si>
    <t xml:space="preserve">LAJE PRE-MOLDADA CONVENCIONAL (LAJOTAS + VIGOTAS) PARA FORRO, UNIDIRECIONAL, SOBRECARGA DE 100 KG/M2, VAO ATE 4,00 M (SEM COLOCACAO)                                                                                                                                                                                                                                                                                                                                                                      </t>
  </si>
  <si>
    <t>29,00</t>
  </si>
  <si>
    <t xml:space="preserve">LAJE PRE-MOLDADA CONVENCIONAL (LAJOTAS + VIGOTAS) PARA FORRO, UNIDIRECIONAL, SOBRECARGA DE 100 KG/M2, VAO ATE 4,50 M (SEM COLOCACAO)                                                                                                                                                                                                                                                                                                                                                                      </t>
  </si>
  <si>
    <t>30,23</t>
  </si>
  <si>
    <t xml:space="preserve">LAJE PRE-MOLDADA CONVENCIONAL (LAJOTAS + VIGOTAS) PARA FORRO, UNIDIRECIONAL, SOBRECARGA 100 KG/M2, VAO ATE 5,00 M (SEM COLOCACAO)                                                                                                                                                                                                                                                                                                                                                                         </t>
  </si>
  <si>
    <t>32,59</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</si>
  <si>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</si>
  <si>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</si>
  <si>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</si>
  <si>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34,84</t>
  </si>
  <si>
    <t xml:space="preserve">LAJE PRE-MOLDADA CONVENCIONAL (LAJOTAS + VIGOTAS) PARA PISO, UNIDIRECIONAL, SOBRECARGA DE 350 KG/M2, VAO ATE 4,50 M (SEM COLOCACAO)                                                                                                                                                                                                                                                                                                                                                                       </t>
  </si>
  <si>
    <t>36,53</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</si>
  <si>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</si>
  <si>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</si>
  <si>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</si>
  <si>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240,54</t>
  </si>
  <si>
    <t xml:space="preserve">LAJE PRE-MOLDADA DE TRANSICAO EXCENTRICA EM CONCRETO ARMADO, DN 1500 MM, FURO CIRCULAR DN 530 MM, ESPESSURA 15 CM                                                                                                                                                                                                                                                                                                                                                                                         </t>
  </si>
  <si>
    <t>409,99</t>
  </si>
  <si>
    <t xml:space="preserve">LAJE PRE-MOLDADA TRELICADA (LAJOTAS + VIGOTAS) PARA FORRO, UNIDIRECIONAL, SOBRECARGA DE 100 KG/M2, VAO ATE 6,00 M (SEM COLOCACAO)                                                                                                                                                                                                                                                                                                                                                                         </t>
  </si>
  <si>
    <t>43,72</t>
  </si>
  <si>
    <t xml:space="preserve">LAJE PRE-MOLDADA TRELICADA (LAJOTAS + VIGOTAS) PARA PISO, UNIDIRECIONAL, SOBRECARGA DE 200 KG/M2, VAO ATE 6,00 M (SEM COLOCACAO)                                                                                                                                                                                                                                                                                                                                                                          </t>
  </si>
  <si>
    <t>51,05</t>
  </si>
  <si>
    <t xml:space="preserve">LAMBRI EM ALUMINIO, DE APROXIMADAMENTE 0,6 KG/M, COM APROXIMADAMENTE 168,0 MM DE LARGURA, 6,0 MM DE ALTURA E 6,0 M DE EXTENSAO                                                                                                                                                                                                                                                                                                                                                                            </t>
  </si>
  <si>
    <t>236,70</t>
  </si>
  <si>
    <t xml:space="preserve">LAMPADA DE LUZ MISTA 160 W, BASE E27 (220 V)                                                                                                                                                                                                                                                                                                                                                                                                                                                              </t>
  </si>
  <si>
    <t>17,88</t>
  </si>
  <si>
    <t xml:space="preserve">LAMPADA DE LUZ MISTA 250 W, BASE E27 (220 V)                                                                                                                                                                                                                                                                                                                                                                                                                                                              </t>
  </si>
  <si>
    <t xml:space="preserve">LAMPADA DE LUZ MISTA 500 W, BASE E40 (220 V)                                                                                                                                                                                                                                                                                                                                                                                                                                                              </t>
  </si>
  <si>
    <t>44,94</t>
  </si>
  <si>
    <t xml:space="preserve">LAMPADA FLUORESCENTE COMPACTA BRANCA 135 W, BASE E40 (127/220 V)                                                                                                                                                                                                                                                                                                                                                                                                                                          </t>
  </si>
  <si>
    <t>133,12</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</si>
  <si>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</si>
  <si>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</si>
  <si>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</si>
  <si>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</si>
  <si>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38,18</t>
  </si>
  <si>
    <t xml:space="preserve">LAMPADA FLUORESCENTE ESPIRAL BRANCA 65 W, BASE E27 (127/220 V)                                                                                                                                                                                                                                                                                                                                                                                                                                            </t>
  </si>
  <si>
    <t>69,09</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</si>
  <si>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</si>
  <si>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</si>
  <si>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</si>
  <si>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</si>
  <si>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</si>
  <si>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30,52</t>
  </si>
  <si>
    <t xml:space="preserve">LAMPADA LED TUBULAR BIVOLT 18/20 W, BASE G13                                                                                                                                                                                                                                                                                                                                                                                                                                                              </t>
  </si>
  <si>
    <t>51,48</t>
  </si>
  <si>
    <t xml:space="preserve">LAMPADA LED TUBULAR BIVOLT 9/10 W, BASE G13                                                                                                                                                                                                                                                                                                                                                                                                                                                               </t>
  </si>
  <si>
    <t xml:space="preserve">LAMPADA LED 10 W BIVOLT BRANCA, FORMATO TRADICIONAL (BASE E27)                                                                                                                                                                                                                                                                                                                                                                                                                                            </t>
  </si>
  <si>
    <t>29,02</t>
  </si>
  <si>
    <t xml:space="preserve">LAMPADA LED 6 W BIVOLT BRANCA, FORMATO TRADICIONAL (BASE E27)                                                                                                                                                                                                                                                                                                                                                                                                                                             </t>
  </si>
  <si>
    <t>21,47</t>
  </si>
  <si>
    <t xml:space="preserve">LAMPADA VAPOR DE SODIO OVOIDE 150 W (BASE E40)                                                                                                                                                                                                                                                                                                                                                                                                                                                            </t>
  </si>
  <si>
    <t>34,55</t>
  </si>
  <si>
    <t xml:space="preserve">LAMPADA VAPOR DE SODIO OVOIDE 250 W (BASE E40)                                                                                                                                                                                                                                                                                                                                                                                                                                                            </t>
  </si>
  <si>
    <t>39,95</t>
  </si>
  <si>
    <t xml:space="preserve">LAMPADA VAPOR DE SODIO OVOIDE 400 W (BASE E40)                                                                                                                                                                                                                                                                                                                                                                                                                                                            </t>
  </si>
  <si>
    <t>46,58</t>
  </si>
  <si>
    <t xml:space="preserve">LAMPADA VAPOR MERCURIO 125 W (BASE E27)                                                                                                                                                                                                                                                                                                                                                                                                                                                                   </t>
  </si>
  <si>
    <t>15,95</t>
  </si>
  <si>
    <t xml:space="preserve">LAMPADA VAPOR MERCURIO 250 W (BASE E40)                                                                                                                                                                                                                                                                                                                                                                                                                                                                   </t>
  </si>
  <si>
    <t>28,43</t>
  </si>
  <si>
    <t xml:space="preserve">LAMPADA VAPOR MERCURIO 400 W (BASE E40)                                                                                                                                                                                                                                                                                                                                                                                                                                                                   </t>
  </si>
  <si>
    <t>38,80</t>
  </si>
  <si>
    <t xml:space="preserve">LAMPADA VAPOR METALICO OVOIDE 150 W, BASE E27/E40                                                                                                                                                                                                                                                                                                                                                                                                                                                         </t>
  </si>
  <si>
    <t>32,71</t>
  </si>
  <si>
    <t xml:space="preserve">LAMPADA VAPOR METALICO TUBULAR 400 W (BASE E40)                                                                                                                                                                                                                                                                                                                                                                                                                                                           </t>
  </si>
  <si>
    <t>64,00</t>
  </si>
  <si>
    <t xml:space="preserve">LAVADORA DE ALTA PRESSAO (LAVA-JATO) PARA AGUA FRIA, PRESSAO DE OPERACAO ENTRE 1400 E 1900 LIB/POL2, VAZAO MAXIMA ENTRE  400 E 700 L/H                                                                                                                                                                                                                                                                                                                                                                    </t>
  </si>
  <si>
    <t>1.932,28</t>
  </si>
  <si>
    <t xml:space="preserve">LAVATORIO DE CANTO LOUCA BRANCA SUSPENSO *40 X 30* CM                                                                                                                                                                                                                                                                                                                                                                                                                                                     </t>
  </si>
  <si>
    <t>113,09</t>
  </si>
  <si>
    <t xml:space="preserve">LAVATORIO LOUCA BRANCA COM COLUNA *44 X 35,5* CM                                                                                                                                                                                                                                                                                                                                                                                                                                                          </t>
  </si>
  <si>
    <t xml:space="preserve">LAVATORIO LOUCA BRANCA COM COLUNA *54 X 44* CM                                                                                                                                                                                                                                                                                                                                                                                                                                                            </t>
  </si>
  <si>
    <t>166,04</t>
  </si>
  <si>
    <t xml:space="preserve">LAVATORIO LOUCA BRANCA SUSPENSO *40 X 30* CM                                                                                                                                                                                                                                                                                                                                                                                                                                                              </t>
  </si>
  <si>
    <t>73,22</t>
  </si>
  <si>
    <t xml:space="preserve">LAVATORIO LOUCA COR COM COLUNA *54 X 44* CM                                                                                                                                                                                                                                                                                                                                                                                                                                                               </t>
  </si>
  <si>
    <t>182,15</t>
  </si>
  <si>
    <t xml:space="preserve">LAVATORIO LOUCA COR SUSPENSO *40 X 30* CM                                                                                                                                                                                                                                                                                                                                                                                                                                                                 </t>
  </si>
  <si>
    <t xml:space="preserve">LAVATORIO/CUBA DE EMBUTIR OVAL LOUCA BRANCA SEM LADRAO *50 X 35* CM                                                                                                                                                                                                                                                                                                                                                                                                                                       </t>
  </si>
  <si>
    <t>71,97</t>
  </si>
  <si>
    <t xml:space="preserve">LAVATORIO/CUBA DE EMBUTIR OVAL LOUCA COR SEM LADRAO *50 X 35* CM                                                                                                                                                                                                                                                                                                                                                                                                                                          </t>
  </si>
  <si>
    <t>78,37</t>
  </si>
  <si>
    <t xml:space="preserve">LAVATORIO/CUBA DE SOBREPOR OVAL PEQUENA LOUCA BRANCA SEM LADRAO *31 X 44*                                                                                                                                                                                                                                                                                                                                                                                                                                 </t>
  </si>
  <si>
    <t>114,50</t>
  </si>
  <si>
    <t xml:space="preserve">LAVATORIO/CUBA DE SOBREPOR RETANGULAR LOUCA BRANCA COM LADRAO *52 X 45* CM                                                                                                                                                                                                                                                                                                                                                                                                                                </t>
  </si>
  <si>
    <t>205,30</t>
  </si>
  <si>
    <t xml:space="preserve">LAVATORIO/CUBA DE SOBREPOR RETANGULAR LOUCA COR COM LADRAO *52 X 45* CM                                                                                                                                                                                                                                                                                                                                                                                                                                   </t>
  </si>
  <si>
    <t>208,36</t>
  </si>
  <si>
    <t xml:space="preserve">LEITURISTA OU CADASTRISTA DE REDES DE AGUA E ESGOTO                                                                                                                                                                                                                                                                                                                                                                                                                                                       </t>
  </si>
  <si>
    <t xml:space="preserve">LEITURISTA OU CADASTRISTA DE REDES DE AGUA E ESGOTO (MENSALISTA)                                                                                                                                                                                                                                                                                                                                                                                                                                          </t>
  </si>
  <si>
    <t>4.218,36</t>
  </si>
  <si>
    <t xml:space="preserve">LETRA ACO INOX (AISI 304), CHAPA NUM. 22, RECORTADO, H= 20 CM (SEM RELEVO)                                                                                                                                                                                                                                                                                                                                                                                                                                </t>
  </si>
  <si>
    <t>74,92</t>
  </si>
  <si>
    <t xml:space="preserve">LEVANTADOR DE JANELA GUILHOTINA, EM LATAO CROMADO                                                                                                                                                                                                                                                                                                                                                                                                                                                         </t>
  </si>
  <si>
    <t>11,90</t>
  </si>
  <si>
    <t xml:space="preserve">LIMPADORA A SUCCAO, TANQUE 12000 L, BASCULAMENTO HIDRAULICO, BOMBA 12 M3/MIN 95% VACUO (INCLUI MONTAGEM, NAO INCLUI CAMINHAO)                                                                                                                                                                                                                                                                                                                                                                             </t>
  </si>
  <si>
    <t>98.500,00</t>
  </si>
  <si>
    <t xml:space="preserve">LIMPADORA DE SUCCAO TANQUE 7000 L, BOMBA 12 M3/MIN 95% VACUO (INCLUI MONTAGEM, NAO INCLUI CAMINHAO)                                                                                                                                                                                                                                                                                                                                                                                                       </t>
  </si>
  <si>
    <t>83.643,10</t>
  </si>
  <si>
    <t xml:space="preserve">LIMPADORA DE SUCCAO, TANQUE 11000 L, BOMBA 340 M3/MIN (INCLUI MONTAGEM, NAO INCLUI CAMINHAO)                                                                                                                                                                                                                                                                                                                                                                                                              </t>
  </si>
  <si>
    <t>140.029,09</t>
  </si>
  <si>
    <t xml:space="preserve">LIMPADORA DE SUCCAO, TANQUE 5500 L, BOMBA 60M3/MIN, VACUO 500 MBAR (INCLUI MONTAGEM, NAO INCLUI CAMINHAO)                                                                                                                                                                                                                                                                                                                                                                                                 </t>
  </si>
  <si>
    <t>237.651,71</t>
  </si>
  <si>
    <t xml:space="preserve">LINHA DE PEDREIRO LISA 100 M                                                                                                                                                                                                                                                                                                                                                                                                                                                                              </t>
  </si>
  <si>
    <t xml:space="preserve">LIQUIDO PARA BRILHO PAREDES INTERNAS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</si>
  <si>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</si>
  <si>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</si>
  <si>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</si>
  <si>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</si>
  <si>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3.692,94</t>
  </si>
  <si>
    <t xml:space="preserve">LIXADEIRA ELETRICA ANGULAR, PARA DISCO DE 7 " (180 MM), POTENCIA DE 2.200 W, *5.000* RPM, 220 V                                                                                                                                                                                                                                                                                                                                                                                                           </t>
  </si>
  <si>
    <t>610,76</t>
  </si>
  <si>
    <t xml:space="preserve">LIXEIRA DUPLA, COM CAPACIDADE VOLUMETRICA DE 60L*, FABRICADA EM TUBO DE ACO CARBONO, CESTOS EM CHAPA DE ACO E PINTURA NO PROCESSO ELETROSTATICO - PARA ACADEMIA AO AR LIVRE / ACADEMIA DA TERCEIRA IDADE - ATI                                                                                                                                                                                                                                                                                            </t>
  </si>
  <si>
    <t>702,04</t>
  </si>
  <si>
    <t xml:space="preserve">LOCACAO DE ANDAIME METALICO TIPO FACHADEIRO, LARGURA DE 1,20 M, ALTURA POR PECA DE 2,0 M, INCLUINDO SAPATAS E ITENS NECESSARIOS A INSTALACAO                                                                                                                                                                                                                                                                                                                                                              </t>
  </si>
  <si>
    <t xml:space="preserve">LOCACAO DE ANDAIME METALICO TUBULAR DE ENCAIXE, TIPO DE TORRE, COM LARGURA DE 1 ATE 1,5 M E ALTURA DE *1,00* M                                                                                                                                                                                                                                                                                                                                                                                            </t>
  </si>
  <si>
    <t xml:space="preserve">LOCACAO DE ANDAIME SUSPENSO OU BALANCIM MANUAL, CAPACIDADE DE CARGA TOTAL DE APROXIMADAMENTE 250 KG/M2, PLATAFORMA DE 1,50 M X 0,80 M (C X L), CABO DE 45 M                                                                                                                                                                                                                                                                                                                                               </t>
  </si>
  <si>
    <t>580,00</t>
  </si>
  <si>
    <t xml:space="preserve">LOCACAO DE APRUMADOR METALICO DE PILAR, COM ALTURA E ANGULO REGULAVEIS, EXTENSAO DE *1,50* A *2,80* M                                                                                                                                                                                                                                                                                                                                                                                                     </t>
  </si>
  <si>
    <t>7,80</t>
  </si>
  <si>
    <t xml:space="preserve">LOCACAO DE BARRA DE ANCORAGEM DE 0,80 A 1,20 M DE EXTENSAO, COM ROSCA DE 5/8", INCLUINDO PORCA E FLANGE                                                                                                                                                                                                                                                                                                                                                                                                   </t>
  </si>
  <si>
    <t>3,00</t>
  </si>
  <si>
    <t xml:space="preserve">LOCACAO DE BOMBA MANUAL PARA TESTE HIDROSTATICO ATE 30 BAR                                                                                                                                                                                                                                                                                                                                                                                                                                                </t>
  </si>
  <si>
    <t xml:space="preserve">LOCACAO DE BOMBA MANUAL PARA TESTE HIDROSTATICO ATE 60 BAR                                                                                                                                                                                                                                                                                                                                                                                                                                                </t>
  </si>
  <si>
    <t>2,09</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</si>
  <si>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</si>
  <si>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</si>
  <si>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</si>
  <si>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</si>
  <si>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</si>
  <si>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6,00 M, ALT. 2,50 M, COM 1 SANITARIO, PARA ESCRITORIO, COMPLETO, SEM DIVISORIAS INTERNAS                                                                                                                                                                                                                                                                                                                                                                                    </t>
  </si>
  <si>
    <t>515,00</t>
  </si>
  <si>
    <t xml:space="preserve">LOCACAO DE CONTAINER 2,30  X  6,00 M, ALT. 2,50 M, PARA ESCRITORIO, SEM DIVISORIAS INTERNAS E SEM SANITARIO                                                                                                                                                                                                                                                                                                                                                                                               </t>
  </si>
  <si>
    <t>402,34</t>
  </si>
  <si>
    <t xml:space="preserve">LOCACAO DE CONTAINER 2,30 X 4,30 M, ALT. 2,50 M, P/ SANITARIO, C/ 5 BACIAS, 1 LAVATORIO E 4 MICTORIOS                                                                                                                                                                                                                                                                                                                                                                                                     </t>
  </si>
  <si>
    <t>643,75</t>
  </si>
  <si>
    <t xml:space="preserve">LOCACAO DE CONTAINER 2,30 X 4,30 M, ALT. 2,50 M, PARA SANITARIO, COM 3 BACIAS, 4 CHUVEIROS, 1 LAVATORIO E 1 MICTORIO                                                                                                                                                                                                                                                                                                                                                                                      </t>
  </si>
  <si>
    <t>584,73</t>
  </si>
  <si>
    <t xml:space="preserve">LOCACAO DE CONTAINER 2,30 X 6,00 M, ALT. 2,50 M,  PARA SANITARIO,  COM 4 BACIAS, 8 CHUVEIROS,1 LAVATORIO E 1 MICTORIO                                                                                                                                                                                                                                                                                                                                                                                     </t>
  </si>
  <si>
    <t xml:space="preserve">LOCACAO DE CRUZETA PARA ESCORA METALICA                                                                                                                                                                                                                                                                                                                                                                                                                                                                   </t>
  </si>
  <si>
    <t xml:space="preserve">LOCACAO DE ELEVADOR DE CARGA A CABO, CABINE SEMI FECHADA *2,0* X *1,5* X *2,0* M, CAPACIDADE DE CARGA 1000 KG, TORRE  *2,38* X *2,21* X 15 M, GUINCHO DE EMBREAGEM, FREIO DE SEGURANCA, LIMITADOR DE VELOCIDADE E CANCELA                                                                                                                                                                                                                                                                                 </t>
  </si>
  <si>
    <t>20,25</t>
  </si>
  <si>
    <t xml:space="preserve">LOCACAO DE ELEVADOR DE CREMALHEIRA CABINE SIMPLES FECHADA 1,5 X 2,5 X 2,35 M (UMA POR TORRE), CAPACIDADE DE CARGA *1200* KG (15 PESSOAS), TORRE DE 24 M (16 MODULOS), 16 PARADAS, FREIO DE SEGURANCA, LIMITADOR DE CARGA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</si>
  <si>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</si>
  <si>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</si>
  <si>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NIVEL OPTICO, COM PRECISAO DE 0,7 MM, AUMENTO DE 32X                                                                                                                                                                                                                                                                                                                                                                                                                                           </t>
  </si>
  <si>
    <t xml:space="preserve">LOCACAO DE PERFURATRIZ PNEUMATICA DE PESO MEDIO, * 18 * KG, PARA ROCHA                                                                                                                                                                                                                                                                                                                                                                                                                                    </t>
  </si>
  <si>
    <t xml:space="preserve">LOCACAO DE PERFURATRIZ PNEUMATICA DE PESO MEDIO, * 24 * KG, PARA ROCHA                                                                                                                                                                                                                                                                                                                                                                                                                                    </t>
  </si>
  <si>
    <t xml:space="preserve">LOCACAO DE TALHA ELETRICA 3 T, VELOCIDADE  2,1 M / MIN, POTENCIA 1,3 KW                                                                                                                                                                                                                                                                                                                                                                                                                                   </t>
  </si>
  <si>
    <t xml:space="preserve">LOCACAO DE TALHA MANUAL DE CORRENTE, CAPACIDADE DE 2 T COM ELEVACAO DE 3 M                                                                                                                                                                                                                                                                                                                                                                                                                                </t>
  </si>
  <si>
    <t xml:space="preserve">LOCACAO DE TEODOLITO ELETRONICO, PRECISAO ANGULAR DE 5 A 7 SEGUNDOS, INCLUINDO TRIPE                                                                                                                                                                                                                                                                                                                                                                                                                      </t>
  </si>
  <si>
    <t xml:space="preserve">LOCACAO DE TORRE METALICA COMPLETA PARA UMA CARGA DE 8 TF (80 KN)  E PE DIREITO DE 6 M, INCLUINDO MODULOS , DIAGONAIS, SAPATAS E FORCADOS                                                                                                                                                                                                                                                                                                                                                                 </t>
  </si>
  <si>
    <t>418,61</t>
  </si>
  <si>
    <t xml:space="preserve">LOCACAO DE VIGA SANDUICHE METALICA VAZADA PARA TRAVAMENTO DE PILARES, ALTURA DE *8* CM, LARGURA DE *6* CM E EXTENSAO DE 2 M                                                                                                                                                                                                                                                                                                                                                                               </t>
  </si>
  <si>
    <t xml:space="preserve">LONA PLASTICA PRETA, E= 150 MICRA                                                                                                                                                                                                                                                                                                                                                                                                                                                                         </t>
  </si>
  <si>
    <t xml:space="preserve">LONA PLASTICA PRETA, E= 200 MICRA (COLETADO CAIXA)                                                                                                                                                                                                                                                                                                                                                                                                                                                        </t>
  </si>
  <si>
    <t>1,03</t>
  </si>
  <si>
    <t xml:space="preserve">LONA PLASTICA, PRETA, LARGURA  8 M, E= 150 MICRA                                                                                                                                                                                                                                                                                                                                                                                                                                                          </t>
  </si>
  <si>
    <t>8,33</t>
  </si>
  <si>
    <t xml:space="preserve">LUMINARIA ABERTA P/ ILUMINACAO PUBLICA, TIPO X-57 PETERCO OU EQUIV                                                                                                                                                                                                                                                                                                                                                                                                                                        </t>
  </si>
  <si>
    <t>40,47</t>
  </si>
  <si>
    <t xml:space="preserve">LUMINARIA ARANDELA TIPO MEIA-LUA COM VIDRO FOSCO *30 X 15* CM, PARA 1 LAMPADA, BASE E27, POTENCIA MAXIMA 40/60 W (NAO INCLUI LAMPADA)                                                                                                                                                                                                                                                                                                                                                                     </t>
  </si>
  <si>
    <t>31,60</t>
  </si>
  <si>
    <t xml:space="preserve">LUMINARIA DE EMBUTIR EM CHAPA DE ACO PARA 2 LAMPADAS FLUORESCENTES DE 14 W COM REFLETOR E ALETAS EM ALUMINIO, COMPLETA (INCLUI REATOR E LAMPADAS)                                                                                                                                                                                                                                                                                                                                                         </t>
  </si>
  <si>
    <t>127,91</t>
  </si>
  <si>
    <t xml:space="preserve">LUMINARIA DE EMBUTIR EM CHAPA DE ACO PARA 4 LAMPADAS FLUORESCENTES DE 14 W *60 X 60 CM* ALETADA (NAO INCLUI REATOR E LAMPADAS)                                                                                                                                                                                                                                                                                                                                                                            </t>
  </si>
  <si>
    <t>135,75</t>
  </si>
  <si>
    <t xml:space="preserve">LUMINARIA DE EMERGENCIA 30 LEDS, POTENCIA 2 W, BATERIA DE LITIO, AUTONOMIA DE 6 HORAS                                                                                                                                                                                                                                                                                                                                                                                                                     </t>
  </si>
  <si>
    <t>32,04</t>
  </si>
  <si>
    <t xml:space="preserve">LUMINARIA DE LED PARA ILUMINACAO PUBLICA, DE 98 W  ATE 137 W, INVOLUCRO EM ALUMINIO OU ACO INOX (COLETADO CAIXA)                                                                                                                                                                                                                                                                                                                                                                                          </t>
  </si>
  <si>
    <t>939,68</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</si>
  <si>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</si>
  <si>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</si>
  <si>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32,41</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</si>
  <si>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</si>
  <si>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</si>
  <si>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</si>
  <si>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</si>
  <si>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14,44</t>
  </si>
  <si>
    <t xml:space="preserve">LUMINARIA DE SOBREPOR EM CHAPA DE ACO PARA 2 LAMPADAS FLUORESCENTES DE *18* W, ALETADA, COMPLETA (LAMPADAS E REATOR INCLUSOS)                                                                                                                                                                                                                                                                                                                                                                             </t>
  </si>
  <si>
    <t>46,80</t>
  </si>
  <si>
    <t xml:space="preserve">LUMINARIA DE SOBREPOR EM CHAPA DE ACO PARA 2 LAMPADAS FLUORESCENTES DE *18* W, PERFIL COMERCIAL (NAO INCLUI REATOR E LAMPADAS)                                                                                                                                                                                                                                                                                                                                                                            </t>
  </si>
  <si>
    <t>15,13</t>
  </si>
  <si>
    <t xml:space="preserve">LUMINARIA DE SOBREPOR EM CHAPA DE ACO PARA 2 LAMPADAS FLUORESCENTES DE *36* W, ALETADA, COMPLETA (LAMPADAS E REATOR INCLUSOS)                                                                                                                                                                                                                                                                                                                                                                             </t>
  </si>
  <si>
    <t>66,19</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</si>
  <si>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</si>
  <si>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</si>
  <si>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</si>
  <si>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177,23</t>
  </si>
  <si>
    <t xml:space="preserve">LUMINARIA HERMETICA IP-65 PARA 2 DUAS LAMPADAS DE 14/16/18/20 W (NAO INCLUI REATOR E LAMPADAS)                                                                                                                                                                                                                                                                                                                                                                                                            </t>
  </si>
  <si>
    <t>83,91</t>
  </si>
  <si>
    <t xml:space="preserve">LUMINARIA HERMETICA IP-65 PARA 2 DUAS LAMPADAS DE 28/32/36/40 W (NAO INCLUI REATOR E LAMPADAS)                                                                                                                                                                                                                                                                                                                                                                                                            </t>
  </si>
  <si>
    <t>103,36</t>
  </si>
  <si>
    <t xml:space="preserve">LUMINARIA LED PLAFON REDONDO DE SOBREPOR BIVOLT 12/13 W,  D = *17* CM                                                                                                                                                                                                                                                                                                                                                                                                                                     </t>
  </si>
  <si>
    <t xml:space="preserve">LUMINARIA LED REFLETOR RETANGULAR BIVOLT, LUZ BRANCA, 10 W                                                                                                                                                                                                                                                                                                                                                                                                                                                </t>
  </si>
  <si>
    <t>64,85</t>
  </si>
  <si>
    <t xml:space="preserve">LUMINARIA LED REFLETOR RETANGULAR BIVOLT, LUZ BRANCA, 30 W                                                                                                                                                                                                                                                                                                                                                                                                                                                </t>
  </si>
  <si>
    <t>125,60</t>
  </si>
  <si>
    <t xml:space="preserve">LUMINARIA LED REFLETOR RETANGULAR BIVOLT, LUZ BRANCA, 50 W                                                                                                                                                                                                                                                                                                                                                                                                                                                </t>
  </si>
  <si>
    <t>232,46</t>
  </si>
  <si>
    <t xml:space="preserve">LUMINARIA PLAFON REDONDO COM VIDRO FOSCO DIAMETRO *25* CM, PARA 1 LAMPADA, BASE E27, POTENCIA MAXIMA 40/60 W (NAO INCLUI LAMPADA)                                                                                                                                                                                                                                                                                                                                                                         </t>
  </si>
  <si>
    <t>29,97</t>
  </si>
  <si>
    <t xml:space="preserve">LUMINARIA PLAFON REDONDO COM VIDRO FOSCO DIAMETRO *30* CM, PARA 2 LAMPADAS, BASE E27, POTENCIA MAXIMA 40/60 W (NAO INCLUI LAMPADAS)                                                                                                                                                                                                                                                                                                                                                                       </t>
  </si>
  <si>
    <t>34,70</t>
  </si>
  <si>
    <t xml:space="preserve">LUMINARIA PROVA DE TEMPO PETERCO Y.31/1                                                                                                                                                                                                                                                                                                                                                                                                                                                                   </t>
  </si>
  <si>
    <t>101,69</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</si>
  <si>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                                                                                                                                              </t>
  </si>
  <si>
    <t>65,17</t>
  </si>
  <si>
    <t xml:space="preserve">LUMINARIA SPOT DE SOBREPOR EM ALUMINIO COM ALETA PLASTICA PARA 1 LAMPADA, BASE E27, POTENCIA MAXIMA 40/60 W (NAO INCLUI LAMPADA)                                                                                                                                                                                                                                                                                                                                                                          </t>
  </si>
  <si>
    <t>52,05</t>
  </si>
  <si>
    <t xml:space="preserve">LUMINARIA SPOT DE SOBREPOR EM ALUMINIO COM ALETA PLASTICA PARA 2 LAMPADAS, BASE E27, POTENCIA MAXIMA 40/60 W (NAO INCLUI LAMPADA)                                                                                                                                                                                                                                                                                                                                                                         </t>
  </si>
  <si>
    <t>36,90</t>
  </si>
  <si>
    <t xml:space="preserve">LUMINARIA TIPO TARTARUGA A PROVA DE TEMPO, GASES, VAPOR E PO, EM ALUMINIO, COM GRADE, BASE E27, POTENCIA MAXIMA 100 W - REF Y 25/1 (NAO INCLUI LAMPADA)                                                                                                                                                                                                                                                                                                                                                   </t>
  </si>
  <si>
    <t>76,88</t>
  </si>
  <si>
    <t xml:space="preserve">LUMINARIA TIPO TARTARUGA PARA AREA EXTERNA EM ALUMINIO, COM GRADE, PARA 1 LAMPADA, BASE E27, POTENCIA MAXIMA 40/60 W (NAO INCLUI LAMPADA)                                                                                                                                                                                                                                                                                                                                                                 </t>
  </si>
  <si>
    <t>39,12</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</si>
  <si>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</si>
  <si>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</si>
  <si>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</si>
  <si>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</si>
  <si>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</si>
  <si>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</si>
  <si>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</si>
  <si>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</si>
  <si>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69,72</t>
  </si>
  <si>
    <t xml:space="preserve">LUVA DE BORRACHA ISOLANTE PARA ALTA TENSAO, RESISTENTE A OZONIO, TENSAO DE ENSAIO 2,5 KV (PAR)                                                                                                                                                                                                                                                                                                                                                                                                            </t>
  </si>
  <si>
    <t>290,33</t>
  </si>
  <si>
    <t xml:space="preserve">LUVA DE COBRE (REF 600) SEM ANEL DE SOLDA, BOLSA X BOLSA, 104 MM                                                                                                                                                                                                                                                                                                                                                                                                                                          </t>
  </si>
  <si>
    <t>210,92</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</si>
  <si>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</si>
  <si>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</si>
  <si>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</si>
  <si>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</si>
  <si>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13,91</t>
  </si>
  <si>
    <t xml:space="preserve">LUVA DE COBRE (REF 600) SEM ANEL DE SOLDA, BOLSA X BOLSA, 42 MM                                                                                                                                                                                                                                                                                                                                                                                                                                           </t>
  </si>
  <si>
    <t xml:space="preserve">LUVA DE COBRE (REF 600) SEM ANEL DE SOLDA, BOLSA X BOLSA, 54 MM                                                                                                                                                                                                                                                                                                                                                                                                                                           </t>
  </si>
  <si>
    <t xml:space="preserve">LUVA DE COBRE (REF 600) SEM ANEL DE SOLDA, BOLSA X BOLSA, 66 MM                                                                                                                                                                                                                                                                                                                                                                                                                                           </t>
  </si>
  <si>
    <t>94,47</t>
  </si>
  <si>
    <t xml:space="preserve">LUVA DE COBRE (REF 600) SEM ANEL DE SOLDA, BOLSA X BOLSA, 79 MM                                                                                                                                                                                                                                                                                                                                                                                                                                           </t>
  </si>
  <si>
    <t>144,64</t>
  </si>
  <si>
    <t xml:space="preserve">LUVA DE CORRER DEFOFO, PVC, JE, DN 100 MM                                                                                                                                                                                                                                                                                                                                                                                                                                                                 </t>
  </si>
  <si>
    <t>36,20</t>
  </si>
  <si>
    <t xml:space="preserve">LUVA DE CORRER DEFOFO, PVC, JE, DN 150 MM                                                                                                                                                                                                                                                                                                                                                                                                                                                                 </t>
  </si>
  <si>
    <t>79,90</t>
  </si>
  <si>
    <t xml:space="preserve">LUVA DE CORRER DEFOFO, PVC, JE, DN 200 MM                                                                                                                                                                                                                                                                                                                                                                                                                                                                 </t>
  </si>
  <si>
    <t>142,52</t>
  </si>
  <si>
    <t xml:space="preserve">LUVA DE CORRER DEFOFO, PVC, JE, DN 250 MM                                                                                                                                                                                                                                                                                                                                                                                                                                                                 </t>
  </si>
  <si>
    <t xml:space="preserve">LUVA DE CORRER DEFOFO, PVC, JE, DN 300 MM                                                                                                                                                                                                                                                                                                                                                                                                                                                                 </t>
  </si>
  <si>
    <t>356,30</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</si>
  <si>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</si>
  <si>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</si>
  <si>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</si>
  <si>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</si>
  <si>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</si>
  <si>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</si>
  <si>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50 MM, PARA AGUA FRIA PREDIAL                                                                                                                                                                                                                                                                                                                                                                                                                                     </t>
  </si>
  <si>
    <t xml:space="preserve">LUVA DE CORRER PARA TUBO SOLDAVEL, PVC, 60 MM, PARA AGUA FRIA PREDIAL                                                                                                                                                                                                                                                                                                                                                                                                                                     </t>
  </si>
  <si>
    <t>32,07</t>
  </si>
  <si>
    <t xml:space="preserve">LUVA DE CORRER PVC, JE, DN 100 MM, PARA REDE COLETORA DE ESGOTO (NBR 10569)                                                                                                                                                                                                                                                                                                                                                                                                                               </t>
  </si>
  <si>
    <t xml:space="preserve">LUVA DE CORRER PVC, JE, DN 150 MM, PARA REDE COLETORA DE ESGOTO (NBR 10569)                                                                                                                                                                                                                                                                                                                                                                                                                               </t>
  </si>
  <si>
    <t xml:space="preserve">LUVA DE CORRER PVC, JE, DN 200 MM, PARA REDE COLETORA DE ESGOTO (NBR 10569)                                                                                                                                                                                                                                                                                                                                                                                                                               </t>
  </si>
  <si>
    <t xml:space="preserve">LUVA DE CORRER PVC, JE, DN 250 MM, PARA REDE COLETORA DE ESGOTO (NBR 10569)                                                                                                                                                                                                                                                                                                                                                                                                                               </t>
  </si>
  <si>
    <t>137,66</t>
  </si>
  <si>
    <t xml:space="preserve">LUVA DE CORRER PVC, JE, DN 300 MM, PARA REDE COLETORA DE ESGOTO (NBR 10569)                                                                                                                                                                                                                                                                                                                                                                                                                               </t>
  </si>
  <si>
    <t>230,12</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</si>
  <si>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</si>
  <si>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</si>
  <si>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</si>
  <si>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</si>
  <si>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</si>
  <si>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14,62</t>
  </si>
  <si>
    <t xml:space="preserve">LUVA DE CORRER, PVC PBA, JE, DN 100 / DE 110 MM, PARA REDE AGUA (NBR 10351)                                                                                                                                                                                                                                                                                                                                                                                                                               </t>
  </si>
  <si>
    <t xml:space="preserve">LUVA DE CORRER, PVC PBA, JE, DN 50 / DE 60 MM, PARA REDE AGUA (NBR 10351)                                                                                                                                                                                                                                                                                                                                                                                                                                 </t>
  </si>
  <si>
    <t>10,33</t>
  </si>
  <si>
    <t xml:space="preserve">LUVA DE CORRER, PVC PBA, JE, DN 75 / DE 85 MM, PARA REDE AGUA (NBR 10351)                                                                                                                                                                                                                                                                                                                                                                                                                                 </t>
  </si>
  <si>
    <t xml:space="preserve">LUVA DE CORRER, PVC SERIE REFORCADA - R, 100 MM, PARA ESGOTO PREDIAL                                                                                                                                                                                                                                                                                                                                                                                                                                      </t>
  </si>
  <si>
    <t xml:space="preserve">LUVA DE CORRER, PVC SERIE REFORCADA - R, 150 MM, PARA ESGOTO PREDIAL                                                                                                                                                                                                                                                                                                                                                                                                                                      </t>
  </si>
  <si>
    <t>55,05</t>
  </si>
  <si>
    <t xml:space="preserve">LUVA DE CORRER, PVC SERIE REFORCADA -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</si>
  <si>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</si>
  <si>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</si>
  <si>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</si>
  <si>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</si>
  <si>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</si>
  <si>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</si>
  <si>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</si>
  <si>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</si>
  <si>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</si>
  <si>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33,94</t>
  </si>
  <si>
    <t xml:space="preserve">LUVA DE FERRO GALVANIZADO, COM ROSCA BSP, DE 2"                                                                                                                                                                                                                                                                                                                                                                                                                                                           </t>
  </si>
  <si>
    <t>18,60</t>
  </si>
  <si>
    <t xml:space="preserve">LUVA DE FERRO GALVANIZADO, COM ROSCA BSP, DE 3/4"                                                                                                                                                                                                                                                                                                                                                                                                                                                         </t>
  </si>
  <si>
    <t xml:space="preserve">LUVA DE FERRO GALVANIZADO, COM ROSCA BSP, DE 3"                                                                                                                                                                                                                                                                                                                                                                                                                                                           </t>
  </si>
  <si>
    <t>51,20</t>
  </si>
  <si>
    <t xml:space="preserve">LUVA DE FERRO GALVANIZADO, COM ROSCA BSP, DE 4"                                                                                                                                                                                                                                                                                                                                                                                                                                                           </t>
  </si>
  <si>
    <t xml:space="preserve">LUVA DE FERRO GALVANIZADO, COM ROSCA BSP, DE 5"                                                                                                                                                                                                                                                                                                                                                                                                                                                           </t>
  </si>
  <si>
    <t>147,10</t>
  </si>
  <si>
    <t xml:space="preserve">LUVA DE FERRO GALVANIZADO, COM ROSCA BSP, DE 6"                                                                                                                                                                                                                                                                                                                                                                                                                                                           </t>
  </si>
  <si>
    <t>242,62</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</si>
  <si>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</si>
  <si>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</si>
  <si>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</si>
  <si>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</si>
  <si>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</si>
  <si>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</si>
  <si>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</si>
  <si>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</si>
  <si>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</si>
  <si>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</si>
  <si>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</si>
  <si>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</si>
  <si>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</si>
  <si>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</si>
  <si>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</si>
  <si>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7,02</t>
  </si>
  <si>
    <t xml:space="preserve">LUVA DE REDUCAO DE FERRO GALVANIZADO, COM ROSCA BSP, DE 1" X 3/4"                                                                                                                                                                                                                                                                                                                                                                                                                                         </t>
  </si>
  <si>
    <t xml:space="preserve">LUVA DE REDUCAO DE FERRO GALVANIZADO, COM ROSCA BSP, DE 2 1/2" X 1 1/2"                                                                                                                                                                                                                                                                                                                                                                                                                                   </t>
  </si>
  <si>
    <t>36,24</t>
  </si>
  <si>
    <t xml:space="preserve">LUVA DE REDUCAO DE FERRO GALVANIZADO, COM ROSCA BSP, DE 2 1/2" X 2"                                                                                                                                                                                                                                                                                                                                                                                                                                       </t>
  </si>
  <si>
    <t xml:space="preserve">LUVA DE REDUCAO DE FERRO GALVANIZADO, COM ROSCA BSP, DE 2" X 1 1/2"                                                                                                                                                                                                                                                                                                                                                                                                                                       </t>
  </si>
  <si>
    <t>20,66</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</si>
  <si>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</si>
  <si>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</si>
  <si>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</si>
  <si>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</si>
  <si>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55,21</t>
  </si>
  <si>
    <t xml:space="preserve">LUVA DE REDUCAO DE FERRO GALVANIZADO, COM ROSCA BSP, DE 3" X 2 1/2"                                                                                                                                                                                                                                                                                                                                                                                                                                       </t>
  </si>
  <si>
    <t xml:space="preserve">LUVA DE REDUCAO DE FERRO GALVANIZADO, COM ROSCA BSP, DE 3" X 2"                                                                                                                                                                                                                                                                                                                                                                                                                                           </t>
  </si>
  <si>
    <t xml:space="preserve">LUVA DE REDUCAO DE FERRO GALVANIZADO, COM ROSCA BSP, DE 4" X 2 1/2"                                                                                                                                                                                                                                                                                                                                                                                                                                       </t>
  </si>
  <si>
    <t>95,34</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</si>
  <si>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</si>
  <si>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</si>
  <si>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</si>
  <si>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</si>
  <si>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</si>
  <si>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25,08</t>
  </si>
  <si>
    <t xml:space="preserve">LUVA DE REDUCAO EM ACO CARBONO, COM ENCAIXE PARA SOLDA DN SW, PRESSAO 3.000 LBS, DN 1" X 3/4"                                                                                                                                                                                                                                                                                                                                                                                                             </t>
  </si>
  <si>
    <t xml:space="preserve">LUVA DE REDUCAO EM ACO CARBONO, COM ENCAIXE PARA SOLDA DN SW, PRESSAO 3.000 LBS, DN 2 1/2" X 2"                                                                                                                                                                                                                                                                                                                                                                                                           </t>
  </si>
  <si>
    <t>101,78</t>
  </si>
  <si>
    <t xml:space="preserve">LUVA DE REDUCAO EM ACO CARBONO, COM ENCAIXE PARA SOLDA DN SW, PRESSAO 3.000 LBS, DN 2" X 1 1/2"                                                                                                                                                                                                                                                                                                                                                                                                           </t>
  </si>
  <si>
    <t>50,58</t>
  </si>
  <si>
    <t xml:space="preserve">LUVA DE REDUCAO EM ACO CARBONO, COM ENCAIXE PARA SOLDA DN SW, PRESSAO 3.000 LBS, DN 3" X 2 1/2"                                                                                                                                                                                                                                                                                                                                                                                                           </t>
  </si>
  <si>
    <t>137,63</t>
  </si>
  <si>
    <t xml:space="preserve">LUVA DE REDUCAO PARA TUBO PEX, METALICA, PARA CONEXAO COM ANEL DESLIZANTE, DN 20 X 16 MM                                                                                                                                                                                                                                                                                                                                                                                                                  </t>
  </si>
  <si>
    <t xml:space="preserve">LUVA DE REDUCAO PARA TUBO PEX, METALICA, PARA CONEXAO COM ANEL DESLIZANTE, DN 25 X 16 MM                                                                                                                                                                                                                                                                                                                                                                                                                  </t>
  </si>
  <si>
    <t>8,67</t>
  </si>
  <si>
    <t xml:space="preserve">LUVA DE REDUCAO PARA TUBO PEX, METALICA, PARA CONEXAO COM ANEL DESLIZANTE, DN 25 X 20 MM                                                                                                                                                                                                                                                                                                                                                                                                                  </t>
  </si>
  <si>
    <t xml:space="preserve">LUVA DE REDUCAO PARA TUBO PEX, METALICA, PARA CONEXAO COM ANEL DESLIZANTE, DN 32 X 25 MM                                                                                                                                                                                                                                                                                                                                                                                                                  </t>
  </si>
  <si>
    <t>15,22</t>
  </si>
  <si>
    <t xml:space="preserve">LUVA DE REDUCAO PARA TUBO PEX, PLASTICA, PARA CONEXAO COM CRIMPAGEM, DN 20 X 16 MM                                                                                                                                                                                                                                                                                                                                                                                                                        </t>
  </si>
  <si>
    <t xml:space="preserve">LUVA DE REDUCAO PARA TUBO PEX, PLASTICA, PARA CONEXAO COM CRIMPAGEM, DN 25 X 16 MM                                                                                                                                                                                                                                                                                                                                                                                                                        </t>
  </si>
  <si>
    <t xml:space="preserve">LUVA DE REDUCAO PARA TUBO PEX, PLASTICA, PARA CONEXAO COM CRIMPAGEM, DN 32 X 20 MM                                                                                                                                                                                                                                                                                                                                                                                                                        </t>
  </si>
  <si>
    <t>23,19</t>
  </si>
  <si>
    <t xml:space="preserve">LUVA DE REDUCAO PARA TUBO PEX, PLASTICA, PARA CONEXAO COM CRIMPAGEM, DN 32 X 25 MM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</si>
  <si>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</si>
  <si>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</si>
  <si>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</si>
  <si>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</si>
  <si>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</si>
  <si>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</si>
  <si>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PVC, SOLDAVEL, 50 X 25 MM, PARA AGUA FRIA PREDIAL                                                                                                                                                                                                                                                                                                                                                                                                                                        </t>
  </si>
  <si>
    <t xml:space="preserve">LUVA DE TRANSICAO DE CPVC X PVC, SOLDAVEL, 22 X 25 MM, PARA AGUA QUENTE                                                                                                                                                                                                                                                                                                                                                                                                                                   </t>
  </si>
  <si>
    <t xml:space="preserve">LUVA DE TRANSICAO, CPVC, SOLDAVEL, 42 MM X 1 1/2", PARA AGUA QUENTE                                                                                                                                                                                                                                                                                                                                                                                                                                       </t>
  </si>
  <si>
    <t>72,96</t>
  </si>
  <si>
    <t xml:space="preserve">LUVA DE TRANSICAO, CPVC, SOLDAVEL, 54 MM X 2", PARA AGUA QUENTE PREDIAL                                                                                                                                                                                                                                                                                                                                                                                                                                   </t>
  </si>
  <si>
    <t>119,01</t>
  </si>
  <si>
    <t xml:space="preserve">LUVA DE TRANSICAO, CPVC, 15 MM X 1/2", PARA AGUA QUENTE PREDIAL                                                                                                                                                                                                                                                                                                                                                                                                                                           </t>
  </si>
  <si>
    <t xml:space="preserve">LUVA DE TRANSICAO, CPVC, 22 MM X 1/2", PARA AGUA QUENTE                                                                                                                                                                                                                                                                                                                                                                                                                                                   </t>
  </si>
  <si>
    <t xml:space="preserve">LUVA DUPLA, PVC LEVE, DN 150 MM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</si>
  <si>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</si>
  <si>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</si>
  <si>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</si>
  <si>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</si>
  <si>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12,83</t>
  </si>
  <si>
    <t xml:space="preserve">LUVA EM ACO CARBONO, SOLDAVEL, PRESSAO 3.000 LBS, DN 2 1/2"                                                                                                                                                                                                                                                                                                                                                                                                                                               </t>
  </si>
  <si>
    <t>79,23</t>
  </si>
  <si>
    <t xml:space="preserve">LUVA EM ACO CARBONO, SOLDAVEL, PRESSAO 3.000 LBS, DN 2"                                                                                                                                                                                                                                                                                                                                                                                                                                                   </t>
  </si>
  <si>
    <t>39,43</t>
  </si>
  <si>
    <t xml:space="preserve">LUVA EM ACO CARBONO, SOLDAVEL, PRESSAO 3.000 LBS, DN 3/4"                                                                                                                                                                                                                                                                                                                                                                                                                                                 </t>
  </si>
  <si>
    <t xml:space="preserve">LUVA EM ACO CARBONO, SOLDAVEL, PRESSAO 3.000 LBS, DN 3"                                                                                                                                                                                                                                                                                                                                                                                                                                                   </t>
  </si>
  <si>
    <t>107,25</t>
  </si>
  <si>
    <t xml:space="preserve">LUVA EM PVC RIGIDO ROSCAVEL, DE 1 1/2", PARA ELETRODUTO                                                                                                                                                                                                                                                                                                                                                                                                                                                   </t>
  </si>
  <si>
    <t xml:space="preserve">LUVA EM PVC RIGIDO ROSCAVEL, DE 1 1/4", PARA ELETRODUTO                                                                                                                                                                                                                                                                                                                                                                                                                                                   </t>
  </si>
  <si>
    <t>1,64</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</si>
  <si>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</si>
  <si>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</si>
  <si>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</si>
  <si>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</si>
  <si>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</si>
  <si>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</si>
  <si>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</si>
  <si>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</si>
  <si>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24,27</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</si>
  <si>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</si>
  <si>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</si>
  <si>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</si>
  <si>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</si>
  <si>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</si>
  <si>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4,96</t>
  </si>
  <si>
    <t xml:space="preserve">LUVA PARA ELETRODUTO, EM ACO GALVANIZADO ELETROLITICO, DIAMETRO DE 50 MM (2")                                                                                                                                                                                                                                                                                                                                                                                                                             </t>
  </si>
  <si>
    <t xml:space="preserve">LUVA PARA ELETRODUTO, EM ACO GALVANIZADO ELETROLITICO, DIAMETRO DE 65 MM (2 1/2")                                                                                                                                                                                                                                                                                                                                                                                                                         </t>
  </si>
  <si>
    <t>10,10</t>
  </si>
  <si>
    <t xml:space="preserve">LUVA PARA ELETRODUTO, EM ACO GALVANIZADO ELETROLITICO, DIAMETRO DE 80 MM (3")                                                                                                                                                                                                                                                                                                                                                                                                                             </t>
  </si>
  <si>
    <t xml:space="preserve">LUVA PARA TUBO PEX, METALICO, PARA CONEXAO COM ANEL DESLIZANTE, DN 16 MM                                                                                                                                                                                                                                                                                                                                                                                                                                  </t>
  </si>
  <si>
    <t xml:space="preserve">LUVA PARA TUBO PEX, METALICO, PARA CONEXAO COM ANEL DESLIZANTE, DN 20 MM                                                                                                                                                                                                                                                                                                                                                                                                                                  </t>
  </si>
  <si>
    <t xml:space="preserve">LUVA PARA TUBO PEX, METALICO, PARA CONEXAO COM ANEL DESLIZANTE, DN 25 MM                                                                                                                                                                                                                                                                                                                                                                                                                                  </t>
  </si>
  <si>
    <t xml:space="preserve">LUVA PARA TUBO PEX, METALICO, PARA CONEXAO COM ANEL DESLIZANTE, DN 32 MM                                                                                                                                                                                                                                                                                                                                                                                                                                  </t>
  </si>
  <si>
    <t xml:space="preserve">LUVA PARA TUBO PEX, PLASTICA, PARA CONEXAO COM CRIMPAGEM, DN 16 MM                                                                                                                                                                                                                                                                                                                                                                                                                                        </t>
  </si>
  <si>
    <t xml:space="preserve">LUVA PARA TUBO PEX, PLASTICA, PARA CONEXAO COM CRIMPAGEM, DN 20 MM                                                                                                                                                                                                                                                                                                                                                                                                                                        </t>
  </si>
  <si>
    <t xml:space="preserve">LUVA PARA TUBO PEX, PLASTICA, PARA CONEXAO COM CRIMPAGEM, DN 25 MM                                                                                                                                                                                                                                                                                                                                                                                                                                        </t>
  </si>
  <si>
    <t>17,93</t>
  </si>
  <si>
    <t xml:space="preserve">LUVA PARA TUBO PEX, PLASTICA, PARA CONEXAO COM CRIMPAGEM, DN 32 MM                                                                                                                                                                                                                                                                                                                                                                                                                                        </t>
  </si>
  <si>
    <t>26,95</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</si>
  <si>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</si>
  <si>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</si>
  <si>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</si>
  <si>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</si>
  <si>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13,99</t>
  </si>
  <si>
    <t xml:space="preserve">LUVA PASSANTE DE COBRE (REF 601) SEM ANEL DE SOLDA, BOLSA 42 MM                                                                                                                                                                                                                                                                                                                                                                                                                                           </t>
  </si>
  <si>
    <t>21,56</t>
  </si>
  <si>
    <t xml:space="preserve">LUVA PASSANTE DE COBRE (REF 601) SEM ANEL DE SOLDA, BOLSA 54 MM                                                                                                                                                                                                                                                                                                                                                                                                                                           </t>
  </si>
  <si>
    <t xml:space="preserve">LUVA PASSANTE DE COBRE (REF 601) SEM ANEL DE SOLDA, BOLSA 66 MM                                                                                                                                                                                                                                                                                                                                                                                                                                           </t>
  </si>
  <si>
    <t xml:space="preserve">LUVA PPR, SOLDAVEL, DN 110 MM, PARA AGUA QUENTE PREDIAL                                                                                                                                                                                                                                                                                                                                                                                                                                                   </t>
  </si>
  <si>
    <t xml:space="preserve">LUVA PPR, SOLDAVEL, DN 20 MM, PARA AGUA QUENTE PREDIAL                                                                                                                                                                                                                                                                                                                                                                                                                                                    </t>
  </si>
  <si>
    <t xml:space="preserve">LUVA PPR, SOLDAVEL, DN 25 MM, PARA AGUA QUENTE PREDIAL                                                                                                                                                                                                                                                                                                                                                                                                                                                    </t>
  </si>
  <si>
    <t xml:space="preserve">LUVA PPR, SOLDAVEL, DN 32 MM, PARA AGUA QUENTE PREDIAL                                                                                                                                                                                                                                                                                                                                                                                                                                                    </t>
  </si>
  <si>
    <t xml:space="preserve">LUVA PPR, SOLDAVEL, DN 40 MM, PARA AGUA QUENTE PREDIAL                                                                                                                                                                                                                                                                                                                                                                                                                                                    </t>
  </si>
  <si>
    <t xml:space="preserve">LUVA PPR, SOLDAVEL, DN 50 MM, PARA AGUA QUENTE PREDIAL                                                                                                                                                                                                                                                                                                                                                                                                                                                    </t>
  </si>
  <si>
    <t xml:space="preserve">LUVA PPR, SOLDAVEL, DN 63 MM, PARA AGUA QUENTE PREDIAL                                                                                                                                                                                                                                                                                                                                                                                                                                                    </t>
  </si>
  <si>
    <t xml:space="preserve">LUVA PPR, SOLDAVEL, DN 75 MM, PARA AGUA QUENTE PREDIAL                                                                                                                                                                                                                                                                                                                                                                                                                                                    </t>
  </si>
  <si>
    <t>28,74</t>
  </si>
  <si>
    <t xml:space="preserve">LUVA PPR, SOLDAVEL, DN 90 MM, PARA AGUA QUENTE PREDIAL                                                                                                                                                                                                                                                                                                                                                                                                                                                    </t>
  </si>
  <si>
    <t>46,39</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</si>
  <si>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</si>
  <si>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</si>
  <si>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</si>
  <si>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</si>
  <si>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</si>
  <si>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</si>
  <si>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</si>
  <si>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8,87</t>
  </si>
  <si>
    <t xml:space="preserve">LUVA PVC SOLDAVEL, 75 MM, PARA AGUA FRIA PREDIAL                                                                                                                                                                                                                                                                                                                                                                                                                                                          </t>
  </si>
  <si>
    <t xml:space="preserve">LUVA PVC SOLDAVEL, 85 MM, PARA AGUA FRIA PREDIAL                                                                                                                                                                                                                                                                                                                                                                                                                                                          </t>
  </si>
  <si>
    <t xml:space="preserve">LUVA PVC, ROSCAVEL,  2 1/2",  AGUA FRIA PREDIAL                                                                                                                                                                                                                                                                                                                                                                                                                                                           </t>
  </si>
  <si>
    <t xml:space="preserve">LUVA PVC, ROSCAVEL, 1 1/2",  AGUA FRIA PREDIAL                                                                                                                                                                                                                                                                                                                                                                                                                                                            </t>
  </si>
  <si>
    <t xml:space="preserve">LUVA PVC, ROSCAVEL, 1 1/4", AGUA FRIA PREDIAL                                                                                                                                                                                                                                                                                                                                                                                                                                                             </t>
  </si>
  <si>
    <t xml:space="preserve">LUVA PVC, ROSCAVEL, 2",  AGUA FRIA PREDIAL                                                                                                                                                                                                                                                                                                                                                                                                                                                                </t>
  </si>
  <si>
    <t xml:space="preserve">LUVA PVC, ROSCAVEL, 3", AGUA FRIA PREDIAL                                                                                                                                                                                                                                                                                                                                                                                                                                                                 </t>
  </si>
  <si>
    <t>24,69</t>
  </si>
  <si>
    <t xml:space="preserve">LUVA RASPA DE COURO, CANO CURTO (PUNHO *7* CM)                                                                                                                                                                                                                                                                                                                                                                                                                                                            </t>
  </si>
  <si>
    <t xml:space="preserve">LUVA ROSCAVEL, PVC, 1/2", AGUA FRIA PREDIAL                                                                                                                                                                                                                                                                                                                                                                                                                                                               </t>
  </si>
  <si>
    <t xml:space="preserve">LUVA ROSCAVEL, PVC, 1", AGUA FRIA PREDIAL                                                                                                                                                                                                                                                                                                                                                                                                                                                                 </t>
  </si>
  <si>
    <t xml:space="preserve">LUVA ROSCAVEL, PVC, 3/4", AGUA FRIA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</si>
  <si>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</si>
  <si>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</si>
  <si>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</si>
  <si>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REFORCADA - R, 100 MM, PARA ESGOTO PREDIAL                                                                                                                                                                                                                                                                                                                                                                                                                                        </t>
  </si>
  <si>
    <t xml:space="preserve">LUVA SIMPLES, PVC SERIE REFORCADA - R, 150 MM, PARA ESGOTO PREDIAL                                                                                                                                                                                                                                                                                                                                                                                                                                        </t>
  </si>
  <si>
    <t xml:space="preserve">LUVA SIMPLES, PVC SERIE REFORCADA - R, 40 MM, PARA ESGOTO PREDIAL                                                                                                                                                                                                                                                                                                                                                                                                                                         </t>
  </si>
  <si>
    <t xml:space="preserve">LUVA SIMPLES, PVC SERIE REFORCADA - R, 50 MM, PARA ESGOTO PREDIAL                                                                                                                                                                                                                                                                                                                                                                                                                                         </t>
  </si>
  <si>
    <t xml:space="preserve">LUVA SIMPLES, PVC SERIE REFORCADA -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</si>
  <si>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</si>
  <si>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</si>
  <si>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</si>
  <si>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</si>
  <si>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</si>
  <si>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</si>
  <si>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</si>
  <si>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4,02</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</si>
  <si>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</si>
  <si>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</si>
  <si>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</si>
  <si>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</si>
  <si>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</si>
  <si>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</si>
  <si>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</si>
  <si>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</si>
  <si>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 PEAD PE 100,  DE 400 MM, PARA ELETROFUSAO                                                                                                                                                                                                                                                                                                                                                                                                                                                           </t>
  </si>
  <si>
    <t>1.845,66</t>
  </si>
  <si>
    <t xml:space="preserve">LUVA, PEAD PE 100,  DE 63 MM, PARA ELETROFUSAO                                                                                                                                                                                                                                                                                                                                                                                                                                                            </t>
  </si>
  <si>
    <t xml:space="preserve">LUVA, PEAD PE 100, DE 125 MM, PARA ELETROFUSAO                                                                                                                                                                                                                                                                                                                                                                                                                                                            </t>
  </si>
  <si>
    <t>42,35</t>
  </si>
  <si>
    <t xml:space="preserve">LUVA, PEAD PE 100, DE 20 MM, PARA ELETROFUSAO                                                                                                                                                                                                                                                                                                                                                                                                                                                             </t>
  </si>
  <si>
    <t xml:space="preserve">LUVA, PEAD PE 100, DE 200 MM, PARA ELETROFUSAO                                                                                                                                                                                                                                                                                                                                                                                                                                                            </t>
  </si>
  <si>
    <t>145,95</t>
  </si>
  <si>
    <t xml:space="preserve">LUVA, PEAD PE 100, DE 32 MM, PARA ELETROFUSAO                                                                                                                                                                                                                                                                                                                                                                                                                                                             </t>
  </si>
  <si>
    <t>8,79</t>
  </si>
  <si>
    <t xml:space="preserve">MACANETA ALAVANCA, RETA OU CURVA, MACICA, CROMADA, COMPRIMENTO DE 10 A 16 CM, ACABAMENTO PADRAO MEDIO - SOMENTE MACANETAS                                                                                                                                                                                                                                                                                                                                                                                 </t>
  </si>
  <si>
    <t xml:space="preserve">MACANETA ALAVANCA, RETA SIMPLES / OCA, CROMADA, COMPRIMENTO DE 10 A 16 CM, ACABAMENTO PADRAO POPULAR - SOMENTE MACANETAS                                                                                                                                                                                                                                                                                                                                                                                  </t>
  </si>
  <si>
    <t xml:space="preserve">MACANETA TIPO BOLA, CROMADA,  DIAMETRO APROXIMADO DE *2 1/2*", (SOMENTE MACANETAS)                                                                                                                                                                                                                                                                                                                                                                                                                        </t>
  </si>
  <si>
    <t xml:space="preserve">MACARICO DE SOLDA 201 PARA EXTENSAO GLP OU ACETILENO                                                                                                                                                                                                                                                                                                                                                                                                                                                      </t>
  </si>
  <si>
    <t>125,54</t>
  </si>
  <si>
    <t xml:space="preserve">MACARIQUEIRO                                                                                                                                                                                                                                                                                                                                                                                                                                                                                              </t>
  </si>
  <si>
    <t xml:space="preserve">MACARIQUEIRO (MENSALISTA)                                                                                                                                                                                                                                                                                                                                                                                                                                                                                 </t>
  </si>
  <si>
    <t>2.825,48</t>
  </si>
  <si>
    <t xml:space="preserve">MADEIRA ROLICA SEM TRATAMENTO, EUCALIPTO OU EQUIVALENTE DA REGIAO, H = 3 M, D = 12 A 15 CM (PARA ESCORAMENTO)                                                                                                                                                                                                                                                                                                                                                                                             </t>
  </si>
  <si>
    <t xml:space="preserve">MADEIRA ROLICA SEM TRATAMENTO, EUCALIPTO OU EQUIVALENTE DA REGIAO, H = 3 M, D = 16 A 19 CM (PARA ESCORAMENTO)                                                                                                                                                                                                                                                                                                                                                                                             </t>
  </si>
  <si>
    <t xml:space="preserve">MADEIRA ROLICA SEM TRATAMENTO, EUCALIPTO OU EQUIVALENTE DA REGIAO, H = 3 M, D = 20 A 24 CM (PARA ESCORAMENTO)                                                                                                                                                                                                                                                                                                                                                                                             </t>
  </si>
  <si>
    <t xml:space="preserve">MADEIRA ROLICA SEM TRATAMENTO, EUCALIPTO OU EQUIVALENTE DA REGIAO, H = 3 M, D = 8 A 11 CM (PARA ESCORAMENTO)                                                                                                                                                                                                                                                                                                                                                                                              </t>
  </si>
  <si>
    <t xml:space="preserve">MADEIRA ROLICA SEM TRATAMENTO, EUCALIPTO OU EQUIVALENTE DA REGIAO, H = 6 M, D = 12 A 15 CM (PARA ESCORAMENTO)                                                                                                                                                                                                                                                                                                                                                                                             </t>
  </si>
  <si>
    <t xml:space="preserve">MADEIRA ROLICA SEM TRATAMENTO, EUCALIPTO OU EQUIVALENTE DA REGIAO, H = 6 M, D = 8 A 11 CM (PARA ESCORAMENTO)                                                                                                                                                                                                                                                                                                                                                                                              </t>
  </si>
  <si>
    <t>1,70</t>
  </si>
  <si>
    <t xml:space="preserve">MADEIRA ROLICA TRATADA, EUCALIPTO OU EQUIVALENTE DA REGIAO, H = 12 M, D = 20 A 24 CM (PARA POSTE)                                                                                                                                                                                                                                                                                                                                                                                                         </t>
  </si>
  <si>
    <t xml:space="preserve">MADEIRA ROLICA TRATADA, EUCALIPTO OU EQUIVALENTE DA REGIAO, H = 2,2 M, D = 8 A 11 CM (PARA CERCA)                                                                                                                                                                                                                                                                                                                                                                                                         </t>
  </si>
  <si>
    <t xml:space="preserve">MADEIRA ROLICA TRATADA, EUCALIPTO OU EQUIVALENTE DA REGIAO, H = 2,20 M, D = 16 A 19 CM (PARA CERCA)                                                                                                                                                                                                                                                                                                                                                                                                       </t>
  </si>
  <si>
    <t xml:space="preserve">MADEIRA ROLICA TRATADA, EUCALIPTO OU EQUIVALENTE DA REGIAO, H = 3 M, D = 12 A 15 CM                                                                                                                                                                                                                                                                                                                                                                                                                       </t>
  </si>
  <si>
    <t>11,88</t>
  </si>
  <si>
    <t xml:space="preserve">MADEIRA ROLICA TRATADA, EUCALIPTO OU EQUIVALENTE DA REGIAO, H = 3 M, D = 4 A 7 CM (PARA CAIBRO)                                                                                                                                                                                                                                                                                                                                                                                                           </t>
  </si>
  <si>
    <t xml:space="preserve">MADEIRA ROLICA TRATADA, EUCALIPTO OU EQUIVALENTE DA REGIAO, H = 6 M, D = 16 A 19 CM                                                                                                                                                                                                                                                                                                                                                                                                                       </t>
  </si>
  <si>
    <t xml:space="preserve">MADEIRA ROLICA TRATADA, EUCALIPTO OU EQUIVALENTE DA REGIAO, H = 6,5 M, D = 25 A 29 CM                                                                                                                                                                                                                                                                                                                                                                                                                     </t>
  </si>
  <si>
    <t>59,01</t>
  </si>
  <si>
    <t xml:space="preserve">MADEIRA ROLICA TRATADA, EUCALIPTO OU EQUIVALENTE DA REGIAO, H = 6,5 M, D = 30 A 34 CM                                                                                                                                                                                                                                                                                                                                                                                                                     </t>
  </si>
  <si>
    <t>119,31</t>
  </si>
  <si>
    <t xml:space="preserve">MADEIRA SERRADA NAO APARELHADA DE PINUS, MISTA OU EQUIVALENTE DA REGIAO                                                                                                                                                                                                                                                                                                                                                                                                                                   </t>
  </si>
  <si>
    <t>1.075,38</t>
  </si>
  <si>
    <t xml:space="preserve">MANGOTE DE SEGURANCA EM RASPA DE COURO                                                                                                                                                                                                                                                                                                                                                                                                                                                                    </t>
  </si>
  <si>
    <t>22,44</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</si>
  <si>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</si>
  <si>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</si>
  <si>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</si>
  <si>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</si>
  <si>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</si>
  <si>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</si>
  <si>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</si>
  <si>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</si>
  <si>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</si>
  <si>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236,19</t>
  </si>
  <si>
    <t xml:space="preserve">MANGUEIRA DE INCENDIO, TIPO 1, DE 1 1/2", COMPRIMENTO = 20 M, TECIDO EM FIO DE POLIESTER E TUBO INTERNO EM BORRACHA SINTETICA, COM UNIOES ENGATE RAPIDO                                                                                                                                                                                                                                                                                                                                                   </t>
  </si>
  <si>
    <t>291,14</t>
  </si>
  <si>
    <t xml:space="preserve">MANGUEIRA DE INCENDIO, TIPO 1, DE 1 1/2", COMPRIMENTO = 25 M, TECIDO EM FIO DE POLIESTER E TUBO INTERNO EM BORRACHA SINTETICA, COM UNIOES ENGATE RAPIDO                                                                                                                                                                                                                                                                                                                                                   </t>
  </si>
  <si>
    <t>362,46</t>
  </si>
  <si>
    <t xml:space="preserve">MANGUEIRA DE INCENDIO, TIPO 1, DE 1 1/2", COMPRIMENTO = 30 M, TECIDO EM FIO DE POLIESTER E TUBO INTERNO EM BORRACHA SINTETICA, COM UNIOES ENGATE RAPIDO                                                                                                                                                                                                                                                                                                                                                   </t>
  </si>
  <si>
    <t>387,02</t>
  </si>
  <si>
    <t xml:space="preserve">MANGUEIRA DE INCENDIO, TIPO 2, DE 1 1/2", COMPRIMENTO = 15 M, TECIDO EM FIO DE POLIESTER E TUBO INTERNO EM BORRACHA SINTETICA, COM UNIOES ENGATE RAPIDO                                                                                                                                                                                                                                                                                                                                                   </t>
  </si>
  <si>
    <t>349,60</t>
  </si>
  <si>
    <t xml:space="preserve">MANGUEIRA DE INCENDIO, TIPO 2, DE 1 1/2", COMPRIMENTO = 20 M, TECIDO EM FIO DE POLIESTER E TUBO INTERNO EM BORRACHA SINTETICA, COM UNIOES                                                                                                                                                                                                                                                                                                                                                                 </t>
  </si>
  <si>
    <t>416,84</t>
  </si>
  <si>
    <t xml:space="preserve">MANGUEIRA DE INCENDIO, TIPO 2, DE 1 1/2", COMPRIMENTO = 25 M, TECIDO EM FIO DE POLIESTER E TUBO INTERNO EM BORRACHA SINTETICA, COM UNIOES                                                                                                                                                                                                                                                                                                                                                                 </t>
  </si>
  <si>
    <t>420,93</t>
  </si>
  <si>
    <t xml:space="preserve">MANGUEIRA DE INCENDIO, TIPO 2, DE 1 1/2", COMPRIMENTO = 30 M, TECIDO EM FIO DE POLIESTER E TUBO INTERNO EM BORRACHA SINTETICA, COM UNIOES                                                                                                                                                                                                                                                                                                                                                                 </t>
  </si>
  <si>
    <t>549,55</t>
  </si>
  <si>
    <t xml:space="preserve">MANGUEIRA DE INCENDIO, TIPO 2, DE 2 1/2", COMPRIMENTO = 15 M, TECIDO EM FIO DE POLIESTER E TUBO INTERNO EM BORRACHA SINTETICA, COM UNIOES ENGATE RAPIDO                                                                                                                                                                                                                                                                                                                                                   </t>
  </si>
  <si>
    <t>468,87</t>
  </si>
  <si>
    <t xml:space="preserve">MANGUEIRA DE INCENDIO, TIPO 2, DE 2 1/2", COMPRIMENTO = 20 M, TECIDO EM FIO DE POLIESTER E TUBO INTERNO EM BORRACHA SINTETICA, COM UNIOES                                                                                                                                                                                                                                                                                                                                                                 </t>
  </si>
  <si>
    <t>590,47</t>
  </si>
  <si>
    <t xml:space="preserve">MANGUEIRA DE INCENDIO, TIPO 2, DE 2 1/2", COMPRIMENTO = 25 M, TECIDO EM FIO DE POLIESTER E TUBO INTERNO EM BORRACHA SINTETICA, COM UNIOES ENGATE RAPIDO                                                                                                                                                                                                                                                                                                                                                   </t>
  </si>
  <si>
    <t>717,92</t>
  </si>
  <si>
    <t xml:space="preserve">MANGUEIRA DE INCENDIO, TIPO 2, DE 2 1/2", COMPRIMENTO = 30 M, TECIDO EM FIO DE POLIESTER E TUBO INTERNO EM BORRACHA SINTETICA, COM UNIOES ENGATE RAPIDO                                                                                                                                                                                                                                                                                                                                                   </t>
  </si>
  <si>
    <t>818,48</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</si>
  <si>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</si>
  <si>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</si>
  <si>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</si>
  <si>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367.288,77</t>
  </si>
  <si>
    <t xml:space="preserve">MANIPULADOR TELESCOPICO, POTENCIA DE 85 HP, CAPACIDADE DE CARGA DE 3.500 KG, ALTURA MAXIMA DE ELEVACAO DE 12,3 M                                                                                                                                                                                                                                                                                                                                                                                          </t>
  </si>
  <si>
    <t>326.538,50</t>
  </si>
  <si>
    <t xml:space="preserve">MANOMETRO COM CAIXA EM ACO PINTADO, ESCALA *10* KGF/CM2 (*10* BAR), DIAMETRO NOMINAL DE *63* MM, CONEXAO DE 1/4"                                                                                                                                                                                                                                                                                                                                                                                          </t>
  </si>
  <si>
    <t>97,71</t>
  </si>
  <si>
    <t xml:space="preserve">MANOMETRO COM CAIXA EM ACO PINTADO, ESCALA *10* KGF/CM2 (*10* BAR), DIAMETRO NOMINAL DE 100 MM, CONEXAO DE 1/2"                                                                                                                                                                                                                                                                                                                                                                                           </t>
  </si>
  <si>
    <t>155,00</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</si>
  <si>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</si>
  <si>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</si>
  <si>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</si>
  <si>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</si>
  <si>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35,60</t>
  </si>
  <si>
    <t xml:space="preserve">MANTA ASFALTICA ELASTOMERICA EM POLIESTER 3 MM, TIPO III, CLASSE B, ACABAMENTO PP (NBR 9952)                                                                                                                                                                                                                                                                                                                                                                                                              </t>
  </si>
  <si>
    <t xml:space="preserve">MANTA ASFALTICA ELASTOMERICA EM POLIESTER 4 MM, TIPO III, CLASSE B, ACABAMENTO PP (NBR 9952)                                                                                                                                                                                                                                                                                                                                                                                                              </t>
  </si>
  <si>
    <t>45,24</t>
  </si>
  <si>
    <t xml:space="preserve">MANTA ASFALTICA ELASTOMERICA EM POLIESTER 5 MM, TIPO III, CLASSE B, ACABAMENTO PP (NBR 9952)                                                                                                                                                                                                                                                                                                                                                                                                              </t>
  </si>
  <si>
    <t>65,82</t>
  </si>
  <si>
    <t xml:space="preserve">MANTA ASFALTICA ELASTOMERICA TIPO GLASS 3 MM, TIPO II, CLASSE C, ACABAMENTO PP (NBR 9952)                                                                                                                                                                                                                                                                                                                                                                                                                 </t>
  </si>
  <si>
    <t>26,00</t>
  </si>
  <si>
    <t xml:space="preserve">MANTA DE BORRACHA ANTIRRUIDO 5 MM                                                                                                                                                                                                                                                                                                                                                                                                                                                                         </t>
  </si>
  <si>
    <t xml:space="preserve">MANTA DE POLIETILENO EXPANDIDO (PEBD) ANTICHAMAS, E = 8 MM                                                                                                                                                                                                                                                                                                                                                                                                                                                </t>
  </si>
  <si>
    <t xml:space="preserve">MANTA DE POLIETILENO EXPANDIDO (PEBD), E = 5 MM                                                                                                                                                                                                                                                                                                                                                                                                                                                           </t>
  </si>
  <si>
    <t xml:space="preserve">MANTA DE POLIETILENO EXPANDIDO, COM 1 FACE METALIZADA PARA SUBCOBERTURA,  E = *5* MM                                                                                                                                                                                                                                                                                                                                                                                                                      </t>
  </si>
  <si>
    <t>16,08</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</si>
  <si>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</si>
  <si>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</si>
  <si>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</si>
  <si>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 NBR 15352)                                                                                                                                                                                                                                                                                                                                                                                                                                     </t>
  </si>
  <si>
    <t xml:space="preserve">MANTA TERMOPLASTICA, PEAD, GEOMEMBRANA LISA, E = 0,80 MM ( NBR 15352)                                                                                                                                                                                                                                                                                                                                                                                                                                     </t>
  </si>
  <si>
    <t xml:space="preserve">MANTA TERMOPLASTICA, PEAD, GEOMEMBRANA LISA, E = 1,00 MM ( NBR 15352)                                                                                                                                                                                                                                                                                                                                                                                                                                     </t>
  </si>
  <si>
    <t>18,65</t>
  </si>
  <si>
    <t xml:space="preserve">MANTA TERMOPLASTICA, PEAD, GEOMEMBRANA LISA, E = 1,50 MM ( NBR 15352)                                                                                                                                                                                                                                                                                                                                                                                                                                     </t>
  </si>
  <si>
    <t xml:space="preserve">MANTA TERMOPLASTICA, PEAD, GEOMEMBRANA LISA, E = 2,00 MM ( NBR 15352)                                                                                                                                                                                                                                                                                                                                                                                                                                     </t>
  </si>
  <si>
    <t xml:space="preserve">MANTA TERMOPLASTICA, PEAD, GEOMEMBRANA LISA, E = 2,50 MM ( NBR 15352)                                                                                                                                                                                                                                                                                                                                                                                                                                     </t>
  </si>
  <si>
    <t>46,52</t>
  </si>
  <si>
    <t xml:space="preserve">MANTA TERMOPLASTICA, PEAD, GEOMEMBRANA TEXTURIZADA EM AMBAS AS FACES, E = 0,50 MM (NBR 15352)                                                                                                                                                                                                                                                                                                                                                                                                             </t>
  </si>
  <si>
    <t xml:space="preserve">MANTA TERMOPLASTICA, PEAD, GEOMEMBRANA TEXTURIZADA EM AMBAS AS FACES, E = 0,75 MM (NBR 15352)                                                                                                                                                                                                                                                                                                                                                                                                             </t>
  </si>
  <si>
    <t xml:space="preserve">MANTA TERMOPLASTICA, PEAD, GEOMEMBRANA TEXTURIZADA EM AMBAS AS FACES, E = 0,80 MM (NBR 15352)                                                                                                                                                                                                                                                                                                                                                                                                             </t>
  </si>
  <si>
    <t xml:space="preserve">MANTA TERMOPLASTICA, PEAD, GEOMEMBRANA TEXTURIZADA EM AMBAS AS FACES, E = 1,00 MM (NBR 15352)                                                                                                                                                                                                                                                                                                                                                                                                             </t>
  </si>
  <si>
    <t xml:space="preserve">MANTA TERMOPLASTICA, PEAD, GEOMEMBRANA TEXTURIZADA EM AMBAS AS FACES, E = 1,50 MM (NBR 15352)                                                                                                                                                                                                                                                                                                                                                                                                             </t>
  </si>
  <si>
    <t>30,20</t>
  </si>
  <si>
    <t xml:space="preserve">MANTA TERMOPLASTICA, PEAD, GEOMEMBRANA TEXTURIZADA EM AMBAS AS FACES, E = 2,00 MM (NBR 15352)                                                                                                                                                                                                                                                                                                                                                                                                             </t>
  </si>
  <si>
    <t xml:space="preserve">MANTA TERMOPLASTICA, PEAD, GEOMEMBRANA TEXTURIZADA EM AMBAS AS FACES, E = 2,50 MM (NBR 15352)                                                                                                                                                                                                                                                                                                                                                                                                             </t>
  </si>
  <si>
    <t>50,90</t>
  </si>
  <si>
    <t xml:space="preserve">MAQUINA DEMARCADORA DE FAIXA DE TRAFEGO A FRIO, AUTOPROPELIDA, MOTOR DIESEL 38 HP                                                                                                                                                                                                                                                                                                                                                                                                                         </t>
  </si>
  <si>
    <t>505.925,24</t>
  </si>
  <si>
    <t xml:space="preserve">MAQUINA EXTRUSORA DE CONCRETO PARA GUIAS E SARJETAS, COM MOTOR A DIESEL DE 14 CV                                                                                                                                                                                                                                                                                                                                                                                                                          </t>
  </si>
  <si>
    <t>78.291,97</t>
  </si>
  <si>
    <t xml:space="preserve">MAQUINA MANUAL TIPO PRENSA PARA PRODUCAO DE BLOCOS E PAVIMENTOS DE CONCRETO, COM MOTOR ELETRICO TRIFASICO PARA VIBRACAO, POTENCIA TOTAL INSTALADA DE 1,5 KW                                                                                                                                                                                                                                                                                                                                               </t>
  </si>
  <si>
    <t>32.775,09</t>
  </si>
  <si>
    <t xml:space="preserve">MAQUINA PARA CORTE COM DISCO ABRASIVO DE DIAMETRO DE 18'' (450 MM), COM MOTOR ELETRICO TRIFASICO DE 10 CV                                                                                                                                                                                                                                                                                                                                                                                                 </t>
  </si>
  <si>
    <t>10.438,94</t>
  </si>
  <si>
    <t xml:space="preserve">MAQUINA TIPO PRENSA HIDRAULICA, PARA FABRICACAO DE TUBOS DE CONCRETO PARA AGUAS PLUVIAIS, DN 200 A DN 600 MM X 1000 MM DE COMPRIMENTO, COM MOTOR PRINCIPAL DE 20 CV                                                                                                                                                                                                                                                                                                                                       </t>
  </si>
  <si>
    <t>325.295,92</t>
  </si>
  <si>
    <t xml:space="preserve">MAQUINA TIPO VASO/TANQUE/JATO DE PRESSAO PORTATIL PARA JATEAMENTO, CONTROLE AUTOMATICO E REMOTO, CAMARA DE 1 SAIDA, 280 L, DIAM. *670* MM, BICO JATO CURTO VENTURI DE 5/16", MANGUEIRA DE 1" DE 10 M, COMPLETA (VALVULAS POP UP E DOSADORA, FUNDO CONICO ETC)                                                                                                                                                                                                                                             </t>
  </si>
  <si>
    <t>17.291,87</t>
  </si>
  <si>
    <t xml:space="preserve">MAQUINA TRANSFORMADORA MONOFASICA PARA SOLDA ELETRICA, TENSAO DE 220 V, FREQUENCIA DE 60 HZ, FAIXA DE CORRENTE ENTRE 80 A (+/- 10 A) E 250 A, POTENCIA ENTRE 14,00 KVA E 15,0 KVA, CICLO DE TRABALHO ENTRE 10% E 20% A 250 A                                                                                                                                                                                                                                                                              </t>
  </si>
  <si>
    <t>484,92</t>
  </si>
  <si>
    <t xml:space="preserve">MARCENEIRO                                                                                                                                                                                                                                                                                                                                                                                                                                                                                                </t>
  </si>
  <si>
    <t>16,77</t>
  </si>
  <si>
    <t xml:space="preserve">MARCENEIRO (MENSALISTA)                                                                                                                                                                                                                                                                                                                                                                                                                                                                                   </t>
  </si>
  <si>
    <t>2.991,41</t>
  </si>
  <si>
    <t xml:space="preserve">MARMORISTA / GRANITEIRO                                                                                                                                                                                                                                                                                                                                                                                                                                                                                   </t>
  </si>
  <si>
    <t xml:space="preserve">MARMORISTA / GRANITEIRO (MENSALISTA)                                                                                                                                                                                                                                                                                                                                                                                                                                                                      </t>
  </si>
  <si>
    <t>2.281,91</t>
  </si>
  <si>
    <t xml:space="preserve">MARTELO DE SOLDADOR/PICADOR DE SOLDA                                                                                                                                                                                                                                                                                                                                                                                                                                                                      </t>
  </si>
  <si>
    <t>30,50</t>
  </si>
  <si>
    <t xml:space="preserve">MARTELO DEMOLIDOR ELETRICO, COM POTENCIA DE 2.000 W, FREQUENCIA DE 1.000 IMPACTOS POR MINUTO, FORÇA DE IMPACTO ENTRE 60 E 65 J, PESO DE 30 KG                                                                                                                                                                                                                                                                                                                                                             </t>
  </si>
  <si>
    <t>5.833,00</t>
  </si>
  <si>
    <t xml:space="preserve">MARTELO DEMOLIDOR PNEUMATICO MANUAL, COM REDUCAO DE VIBRACAO, PESO DE 21 KG                                                                                                                                                                                                                                                                                                                                                                                                                               </t>
  </si>
  <si>
    <t>10.874,91</t>
  </si>
  <si>
    <t xml:space="preserve">MARTELO DEMOLIDOR PNEUMATICO MANUAL, COM REDUCAO DE VIBRACAO, PESO DE 31,5 KG                                                                                                                                                                                                                                                                                                                                                                                                                             </t>
  </si>
  <si>
    <t>12.514,24</t>
  </si>
  <si>
    <t xml:space="preserve">MARTELO DEMOLIDOR PNEUMATICO MANUAL, PADRAO, PESO DE 32 KG                                                                                                                                                                                                                                                                                                                                                                                                                                                </t>
  </si>
  <si>
    <t>11.819,51</t>
  </si>
  <si>
    <t xml:space="preserve">MARTELO DEMOLIDOR PNEUMATICO MANUAL, PESO  DE 28 KG, COM SILENCIADOR                                                                                                                                                                                                                                                                                                                                                                                                                                      </t>
  </si>
  <si>
    <t>13.298,56</t>
  </si>
  <si>
    <t xml:space="preserve">MARTELO PERFURADOR PNEUMATICO MANUAL, DE SUPERFICIE, COM AVANCO DE COLUNA, PESO DE 22 KG                                                                                                                                                                                                                                                                                                                                                                                                                  </t>
  </si>
  <si>
    <t>24.470,26</t>
  </si>
  <si>
    <t xml:space="preserve">MARTELO PERFURADOR PNEUMATICO MANUAL, HASTE 25 X 75 MM, 21 KG                                                                                                                                                                                                                                                                                                                                                                                                                                             </t>
  </si>
  <si>
    <t>13.685,60</t>
  </si>
  <si>
    <t xml:space="preserve">MARTELO PERFURADOR PNEUMATICO MANUAL, PESO DE 25 KG, COM SILENCIADOR                                                                                                                                                                                                                                                                                                                                                                                                                                      </t>
  </si>
  <si>
    <t>13.427,66</t>
  </si>
  <si>
    <t xml:space="preserve">MASCARA DE SEGURANCA PARA SOLDA COM ESCUDO DE CELERON E CARNEIRA DE PLASTICO COM REGULAGEM                                                                                                                                                                                                                                                                                                                                                                                                                </t>
  </si>
  <si>
    <t>30,29</t>
  </si>
  <si>
    <t xml:space="preserve">MASSA A OLEO PARA MADEIRA                                                                                                                                                                                                                                                                                                                                                                                                                                                                                 </t>
  </si>
  <si>
    <t>60,03</t>
  </si>
  <si>
    <t xml:space="preserve">MASSA ACRILICA                                                                                                                                                                                                                                                                                                                                                                                                                                                                                            </t>
  </si>
  <si>
    <t>122,44</t>
  </si>
  <si>
    <t xml:space="preserve">MASSA ACRILICA PARA PAREDES INTERIOR/EXTERIOR                                                                                                                                                                                                                                                                                                                                                                                                                                                             </t>
  </si>
  <si>
    <t>31,57</t>
  </si>
  <si>
    <t xml:space="preserve">MASSA CORRIDA PVA PARA PAREDES INTERNAS                                                                                                                                                                                                                                                                                                                                                                                                                                                                   </t>
  </si>
  <si>
    <t>78,80</t>
  </si>
  <si>
    <t>4,37</t>
  </si>
  <si>
    <t xml:space="preserve">MASSA DE REJUNTE EM PO PARA DRYWALL, A BASE DE GESSO, SECAGEM RAPIDA, PARA TRATAMENTO DE JUNTAS DE CHAPA DE GESSO (COM ADICAO DE AGUA)                                                                                                                                                                                                                                                                                                                                                                    </t>
  </si>
  <si>
    <t>4,22</t>
  </si>
  <si>
    <t xml:space="preserve">MASSA DE REJUNTE PRONTA PARA TRATAMENTO DE JUNTAS DE CHAPA DE GESSO PARA DRYWALL, SEM ADICAO DE AGUA                                                                                                                                                                                                                                                                                                                                                                                                      </t>
  </si>
  <si>
    <t xml:space="preserve">MASSA EPOXI BICOMPONENTE (MASSA + CATALIZADOR)                                                                                                                                                                                                                                                                                                                                                                                                                                                            </t>
  </si>
  <si>
    <t>49,37</t>
  </si>
  <si>
    <t xml:space="preserve">MASSA EPOXI BICOMPONENTE PARA REPAROS                                                                                                                                                                                                                                                                                                                                                                                                                                                                     </t>
  </si>
  <si>
    <t>96,78</t>
  </si>
  <si>
    <t xml:space="preserve">MASSA PARA TEXTURA LISA DE BASE ACRILICA, USO INTERNO E EXTERNO                                                                                                                                                                                                                                                                                                                                                                                                                                           </t>
  </si>
  <si>
    <t xml:space="preserve">MASSA PARA TEXTURA RUSTICA DE BASE ACRILICA, COR BRANCA, USO INTERNO E EXTERNO                                                                                                                                                                                                                                                                                                                                                                                                                            </t>
  </si>
  <si>
    <t>6,28</t>
  </si>
  <si>
    <t xml:space="preserve">MASSA PARA VIDRO                                                                                                                                                                                                                                                                                                                                                                                                                                                                                          </t>
  </si>
  <si>
    <t xml:space="preserve">MASSA PLASTICA PARA MARMORE/GRANITO                                                                                                                                                                                                                                                                                                                                                                                                                                                                       </t>
  </si>
  <si>
    <t>30,92</t>
  </si>
  <si>
    <t xml:space="preserve">MASTRO SIMPLES GALVANIZADO DIAMETRO NOMINAL 1 1/2", COMPRIMENTO 3 M                                                                                                                                                                                                                                                                                                                                                                                                                                       </t>
  </si>
  <si>
    <t>170,88</t>
  </si>
  <si>
    <t xml:space="preserve">MASTRO SIMPLES GALVANIZADO DIAMETRO NOMINAL 2", COMPRIMENTO 3 M                                                                                                                                                                                                                                                                                                                                                                                                                                           </t>
  </si>
  <si>
    <t>192,20</t>
  </si>
  <si>
    <t xml:space="preserve">MATERIAL FILTRANTE (PEDREGULHO) 0,6 A 25,46 MM (POSTO PEDREIRA/FORNECEDOR, SEM FRETE)                                                                                                                                                                                                                                                                                                                                                                                                                     </t>
  </si>
  <si>
    <t>1.057,96</t>
  </si>
  <si>
    <t xml:space="preserve">MATERIAL FILTRANTE (PEDREGULHO) 38 A 25,4 MM (POSTO PEDREIRA/FORNECEDOR, SEM FRETE)                                                                                                                                                                                                                                                                                                                                                                                                                       </t>
  </si>
  <si>
    <t>1.079,38</t>
  </si>
  <si>
    <t xml:space="preserve">MECANICO DE EQUIPAMENTOS PESADOS                                                                                                                                                                                                                                                                                                                                                                                                                                                                          </t>
  </si>
  <si>
    <t xml:space="preserve">MECANICO DE EQUIPAMENTOS PESADOS (MENSALISTA)                                                                                                                                                                                                                                                                                                                                                                                                                                                             </t>
  </si>
  <si>
    <t>3.316,73</t>
  </si>
  <si>
    <t xml:space="preserve">MECANICO DE REFRIGERACAO                                                                                                                                                                                                                                                                                                                                                                                                                                                                                  </t>
  </si>
  <si>
    <t xml:space="preserve">MECANICO DE REFRIGERACAO (MENSALISTA)                                                                                                                                                                                                                                                                                                                                                                                                                                                                     </t>
  </si>
  <si>
    <t>3.401,31</t>
  </si>
  <si>
    <t xml:space="preserve">MEDIDOR DE NIVEL ESTATICO E DINAMICO PARA POCO, COMPRIMENTO DE 200 M                                                                                                                                                                                                                                                                                                                                                                                                                                      </t>
  </si>
  <si>
    <t>2.025,21</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</si>
  <si>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</si>
  <si>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</si>
  <si>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CONCRETO ESTRUTURAL 14 X 19 X 19 CM, FBK 14 MPA (NBR 6136)                                                                                                                                                                                                                                                                                                                                                                                                                                  </t>
  </si>
  <si>
    <t xml:space="preserve">MEIA CANALETA CONCRETO ESTRUTURAL 14 X 19 X 19 CM, FBK 4,5 MPA (NBR 6136)                                                                                                                                                                                                                                                                                                                                                                                                                                 </t>
  </si>
  <si>
    <t xml:space="preserve">MEIO BLOCO CONCRETO ESTRUTURAL 14 X 19 X 14 CM, FBK 14 MPA (NBR 6136)                                                                                                                                                                                                                                                                                                                                                                                                                                     </t>
  </si>
  <si>
    <t xml:space="preserve">MEIO BLOCO CONCRETO ESTRUTURAL 14 X 19 X 14 CM, FBK 4,5 MPA (NBR 6136)                                                                                                                                                                                                                                                                                                                                                                                                                                    </t>
  </si>
  <si>
    <t xml:space="preserve">MEIO BLOCO CONCRETO ESTRUTURAL 14 X 19 X 19 CM, FBK 14 MPA (NBR 6136)                                                                                                                                                                                                                                                                                                                                                                                                                                     </t>
  </si>
  <si>
    <t xml:space="preserve">MEIO BLOCO CONCRETO ESTRUTURAL 14 X 19 X 19 CM, FBK 4,5 MPA (NBR 6136)                                                                                                                                                                                                                                                                                                                                                                                                                                    </t>
  </si>
  <si>
    <t xml:space="preserve">MEIO BLOCO CONCRETO ESTRUTURAL 14 X 19 X 34 CM, FBK 14 MPA (NBR 6136)                                                                                                                                                                                                                                                                                                                                                                                                                                     </t>
  </si>
  <si>
    <t xml:space="preserve">MEIO BLOCO ESTRUTURAL CERAMICO 14 X 19 X 14 CM, 4,0 MPA (NBR 15270)                                                                                                                                                                                                                                                                                                                                                                                                                                       </t>
  </si>
  <si>
    <t xml:space="preserve">MEIO BLOCO ESTRUTURAL CERAMICO 14 X 19 X 14 CM, 6,0 MPA (NBR 15270)                                                                                                                                                                                                                                                                                                                                                                                                                                       </t>
  </si>
  <si>
    <t xml:space="preserve">MEIO BLOCO ESTRUTURAL CERAMICO 14 X 19 X 19 CM, 4,0 MPA (NBR 15270)                                                                                                                                                                                                                                                                                                                                                                                                                                       </t>
  </si>
  <si>
    <t xml:space="preserve">MEIO BLOCO ESTRUTURAL CERAMICO 14 X 19 X 19 CM, 6,0 MPA (NBR 15270)                                                                                                                                                                                                                                                                                                                                                                                                                                       </t>
  </si>
  <si>
    <t xml:space="preserve">MEIO BLOCO VEDACAO CONCRETO APARENTE 14 X 19 X 19 CM  (CLASSE C - NBR 6136)                                                                                                                                                                                                                                                                                                                                                                                                                               </t>
  </si>
  <si>
    <t xml:space="preserve">MEIO BLOCO VEDACAO CONCRETO APARENTE 19 X 19 X 19 CM (CLASSE C - NBR 6136)                                                                                                                                                                                                                                                                                                                                                                                                                                </t>
  </si>
  <si>
    <t xml:space="preserve">MEIO BLOCO VEDACAO CONCRETO APARENTE 9  X 19 X 19 CM (CLASSE C - NBR 6136)                                                                                                                                                                                                                                                                                                                                                                                                                                </t>
  </si>
  <si>
    <t xml:space="preserve">MEIO BLOCO VEDACAO CONCRETO 14 X 19 X 19 CM (CLASSE C - NBR 6136)                                                                                                                                                                                                                                                                                                                                                                                                                                         </t>
  </si>
  <si>
    <t>1,38</t>
  </si>
  <si>
    <t xml:space="preserve">MEIO BLOCO VEDACAO CONCRETO 19 X 19 X 19 CM (CLASSE C - NBR 6136)                                                                                                                                                                                                                                                                                                                                                                                                                                         </t>
  </si>
  <si>
    <t xml:space="preserve">MEIO BLOCO VEDACAO CONCRETO 9 X 19 X 19 CM (CLASSE C - NBR 6136)                                                                                                                                                                                                                                                                                                                                                                                                                                          </t>
  </si>
  <si>
    <t xml:space="preserve">MEIO-FIO OU GUIA DE CONCRETO, PRE-MOLDADO, COMP 1 M, *30 X 15* CM (H X L)                                                                                                                                                                                                                                                                                                                                                                                                                                 </t>
  </si>
  <si>
    <t xml:space="preserve">MEIO-FIO OU GUIA DE CONCRETO, PRE-MOLDADO, COMP 1 M, *30 X 15/ 12* CM (H X L1/L2)                                                                                                                                                                                                                                                                                                                                                                                                                         </t>
  </si>
  <si>
    <t xml:space="preserve">MEIO-FIO OU GUIA DE CONCRETO, PRE-MOLDADO, COMP 80 CM, *45 X 18 /12* CM (H X L1/L2)                                                                                                                                                                                                                                                                                                                                                                                                                       </t>
  </si>
  <si>
    <t xml:space="preserve">MEMBRANA IMPERMEABILIZANTE A BASE DE POLIUREIA, BICOMPONENTE, APLICACAO A FRIO                                                                                                                                                                                                                                                                                                                                                                                                                            </t>
  </si>
  <si>
    <t xml:space="preserve">MEMBRANA IMPERMEABILIZANTE A BASE DE POLIURETANO                                                                                                                                                                                                                                                                                                                                                                                                                                                          </t>
  </si>
  <si>
    <t>42,00</t>
  </si>
  <si>
    <t xml:space="preserve">MEMBRANA IMPERMEABILIZANTE ACRILICA MONOCOMPONENTE                                                                                                                                                                                                                                                                                                                                                                                                                                                        </t>
  </si>
  <si>
    <t xml:space="preserve">MESA VIBRATORIA COM DIMENSOES DE 2,0 X 1,0 M, COM MOTOR ELETRICO DE 2 POLOS E POTENCIA DE 3 CV                                                                                                                                                                                                                                                                                                                                                                                                            </t>
  </si>
  <si>
    <t>11.200,00</t>
  </si>
  <si>
    <t xml:space="preserve">MESTRE DE OBRAS                                                                                                                                                                                                                                                                                                                                                                                                                                                                                           </t>
  </si>
  <si>
    <t xml:space="preserve">MESTRE DE OBRAS (MENSALISTA)                                                                                                                                                                                                                                                                                                                                                                                                                                                                              </t>
  </si>
  <si>
    <t>4.441,86</t>
  </si>
  <si>
    <t xml:space="preserve">METACAULIM DE ALTA REATIVIDADE/CAULIM CALCINADO                                                                                                                                                                                                                                                                                                                                                                                                                                                           </t>
  </si>
  <si>
    <t xml:space="preserve">MICRO-TRATOR CORTADOR DE GRAMA COM LARGURA DO CORTE DE 107 CM, COM  2 LAMINAS E DESCARTE LATERAL                                                                                                                                                                                                                                                                                                                                                                                                          </t>
  </si>
  <si>
    <t>10.613,07</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</si>
  <si>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</si>
  <si>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</si>
  <si>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</si>
  <si>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512,65</t>
  </si>
  <si>
    <t xml:space="preserve">MICTORIO COLETIVO ACO INOX (AISI 304), E = 0,8 MM, DE *100 X 50 X 35* CM (C X A X P)                                                                                                                                                                                                                                                                                                                                                                                                                      </t>
  </si>
  <si>
    <t>611,56</t>
  </si>
  <si>
    <t xml:space="preserve">MICTORIO INDIVIDUAL ACO INOX (AISI 304), E = 0,8 MM, DE *50  X 45  X 35* (C X A X P)                                                                                                                                                                                                                                                                                                                                                                                                                      </t>
  </si>
  <si>
    <t>675,91</t>
  </si>
  <si>
    <t xml:space="preserve">MICTORIO SIFONADO LOUCA BRANCA SEM COMPLEMENTOS                                                                                                                                                                                                                                                                                                                                                                                                                                                           </t>
  </si>
  <si>
    <t>255,07</t>
  </si>
  <si>
    <t xml:space="preserve">MICTORIO SIFONADO LOUCA COR SEM COMPLEMENTOS                                                                                                                                                                                                                                                                                                                                                                                                                                                              </t>
  </si>
  <si>
    <t>274,70</t>
  </si>
  <si>
    <t xml:space="preserve">MINICARREGADEIRA SOBRE RODAS, POTENCIA LIQUIDA DE *47* HP, CAPACIDADE NOMINAL DE OPERACAO DE *646* KG                                                                                                                                                                                                                                                                                                                                                                                                     </t>
  </si>
  <si>
    <t>144.877,50</t>
  </si>
  <si>
    <t xml:space="preserve">MINICARREGADEIRA SOBRE RODAS, POTENCIA LIQUIDA DE *72* HP, CAPACIDADE NOMINAL DE OPERACAO DE *1200* KG                                                                                                                                                                                                                                                                                                                                                                                                    </t>
  </si>
  <si>
    <t>223.588,48</t>
  </si>
  <si>
    <t xml:space="preserve">MINIESCAVADEIRA SOBRE ESTEIRAS, POTENCIA LIQUIDA DE *30* HP, PESO OPERACIONAL DE *3.500* KG                                                                                                                                                                                                                                                                                                                                                                                                               </t>
  </si>
  <si>
    <t>219.923,10</t>
  </si>
  <si>
    <t xml:space="preserve">MINIESCAVADEIRA SOBRE ESTEIRAS, POTENCIA LIQUIDA DE *42* HP, PESO OPERACIONAL DE *4.500* KG                                                                                                                                                                                                                                                                                                                                                                                                               </t>
  </si>
  <si>
    <t>268.306,19</t>
  </si>
  <si>
    <t xml:space="preserve">MINIESCAVADEIRA SOBRE ESTEIRAS, POTENCIA LIQUIDA DE *42* HP, PESO OPERACIONAL DE *5.300* KG                                                                                                                                                                                                                                                                                                                                                                                                               </t>
  </si>
  <si>
    <t>276.378,38</t>
  </si>
  <si>
    <t xml:space="preserve">MINUTERIA ELETRONICA COLETIVA COM POTENCIA MAXIMA RESISTIVA PARA LAMPADAS FLUORESCENTES DE *300* W ( 110 V ) / *600* W ( 110 V )                                                                                                                                                                                                                                                                                                                                                                          </t>
  </si>
  <si>
    <t>55,88</t>
  </si>
  <si>
    <t xml:space="preserve">MISTURADOR BASE PARA CHUVEIRO/BANHEIRA, 1/2 " OU 3/4 ", SOLDAVEL OU ROSCAVEL                                                                                                                                                                                                                                                                                                                                                                                                                              </t>
  </si>
  <si>
    <t>78,04</t>
  </si>
  <si>
    <t xml:space="preserve">MISTURADOR CROMADO DE MESA BICA BAIXA PARA LAVATORIO (REF 1875)                                                                                                                                                                                                                                                                                                                                                                                                                                           </t>
  </si>
  <si>
    <t>191,24</t>
  </si>
  <si>
    <t xml:space="preserve">MISTURADOR CROMADO DE PAREDE PARA LAVATORIO (REF 1178)                                                                                                                                                                                                                                                                                                                                                                                                                                                    </t>
  </si>
  <si>
    <t>309,64</t>
  </si>
  <si>
    <t xml:space="preserve">MISTURADOR DE ARGAMASSA, EIXO HORIZONTAL, CAPACIDADE DE MISTURA 160 KG, MOTOR ELETRICO TRIFASICO 220/380 V, POTENCIA 3 CV                                                                                                                                                                                                                                                                                                                                                                                 </t>
  </si>
  <si>
    <t>9.718,07</t>
  </si>
  <si>
    <t xml:space="preserve">MISTURADOR DE ARGAMASSA, EIXO HORIZONTAL, CAPACIDADE DE MISTURA 300 KG, MOTOR ELETRICO TRIFASICO 220/380 V, POTENCIA 5 CV                                                                                                                                                                                                                                                                                                                                                                                 </t>
  </si>
  <si>
    <t>10.278,50</t>
  </si>
  <si>
    <t xml:space="preserve">MISTURADOR DE ARGAMASSA, EIXO HORIZONTAL, CAPACIDADE DE MISTURA 600 KG, MOTOR ELETRICO TRIFASICO 220/380 V, POTENCIA 7,5 CV                                                                                                                                                                                                                                                                                                                                                                               </t>
  </si>
  <si>
    <t>12.230,03</t>
  </si>
  <si>
    <t xml:space="preserve">MISTURADOR DE PAREDE CROMADO PARA COZINHA BICA MOVEL COM AREJADOR (REF 1258)                                                                                                                                                                                                                                                                                                                                                                                                                              </t>
  </si>
  <si>
    <t>237,22</t>
  </si>
  <si>
    <t xml:space="preserve">MISTURADOR DUPLO HORIZONTAL DE ALTA TURBULENCIA, CAPACIDADE / VOLUME 2 X 500 LITROS, MOTORES ELETRICOS MINIMO 5 CV CADA,  PARA NATA CIMENTO, ARGAMASSA E OUTROS                                                                                                                                                                                                                                                                                                                                           </t>
  </si>
  <si>
    <t>48.644,35</t>
  </si>
  <si>
    <t xml:space="preserve">MISTURADOR MANUAL DE TINTAS PARA FURADEIRA, HASTE METALICA *60* CM, COM HELICE  (MEXEDOR DE TINTA)                                                                                                                                                                                                                                                                                                                                                                                                        </t>
  </si>
  <si>
    <t>37,10</t>
  </si>
  <si>
    <t xml:space="preserve">MISTURADOR MONOCOMANDO PARA CHUVEIRO, BASE BRUTA E ACABAMENTO CROMADO                                                                                                                                                                                                                                                                                                                                                                                                                                     </t>
  </si>
  <si>
    <t>215,76</t>
  </si>
  <si>
    <t xml:space="preserve">MOLA AEREA FECHA PORTA, PARA PORTAS COM LARGURA ACIMA DE 110 CM                                                                                                                                                                                                                                                                                                                                                                                                                                           </t>
  </si>
  <si>
    <t>160,44</t>
  </si>
  <si>
    <t xml:space="preserve">MOLA AEREA FECHA PORTA, PARA PORTAS COM LARGURA ATE 110 CM                                                                                                                                                                                                                                                                                                                                                                                                                                                </t>
  </si>
  <si>
    <t>124,08</t>
  </si>
  <si>
    <t xml:space="preserve">MOLA AEREA FECHA PORTA, PARA PORTAS COM LARGURA ATE 95 CM                                                                                                                                                                                                                                                                                                                                                                                                                                                 </t>
  </si>
  <si>
    <t>105,61</t>
  </si>
  <si>
    <t xml:space="preserve">MOLA HIDRAULICA DE PISO P/ VIDRO TEMPERADO 10MM                                                                                                                                                                                                                                                                                                                                                                                                                                                           </t>
  </si>
  <si>
    <t>1.240,26</t>
  </si>
  <si>
    <t xml:space="preserve">MONTADOR DE ELETROELETRONICOS                                                                                                                                                                                                                                                                                                                                                                                                                                                                             </t>
  </si>
  <si>
    <t xml:space="preserve">MONTADOR DE ELETROELETRONICOS (MENSALISTA)                                                                                                                                                                                                                                                                                                                                                                                                                                                                </t>
  </si>
  <si>
    <t>2.767,35</t>
  </si>
  <si>
    <t xml:space="preserve">MONTADOR DE ESTRUTURAS METALICAS                                                                                                                                                                                                                                                                                                                                                                                                                                                                          </t>
  </si>
  <si>
    <t>12,06</t>
  </si>
  <si>
    <t xml:space="preserve">MONTADOR DE ESTRUTURAS METALICAS (MENSALISTA)                                                                                                                                                                                                                                                                                                                                                                                                                                                             </t>
  </si>
  <si>
    <t>2.153,33</t>
  </si>
  <si>
    <t xml:space="preserve">MONTADOR DE MAQUINAS                                                                                                                                                                                                                                                                                                                                                                                                                                                                                      </t>
  </si>
  <si>
    <t>17,28</t>
  </si>
  <si>
    <t xml:space="preserve">MONTADOR DE MAQUINAS (MENSALISTA)                                                                                                                                                                                                                                                                                                                                                                                                                                                                         </t>
  </si>
  <si>
    <t>3.084,70</t>
  </si>
  <si>
    <t xml:space="preserve">MONTANTE EM BARRA CHATA ACO GALVANIZADO, *65 X 8* MM, ALTURA *1420* MM, PINTURA ELETROSTATICA, COR PRETA                                                                                                                                                                                                                                                                                                                                                                                                  </t>
  </si>
  <si>
    <t>216,05</t>
  </si>
  <si>
    <t xml:space="preserve">MOTOBOMBA AUTOESCORVANTE MOTOR A GASOLINA, POTENCIA 6,0HP, BOCAIS 3" X 3", HM/Q = 5 MCA / 24 M3/H A 52,5 MCA / 5,0 M3/H                                                                                                                                                                                                                                                                                                                                                                                   </t>
  </si>
  <si>
    <t>1.916,48</t>
  </si>
  <si>
    <t xml:space="preserve">MOTOBOMBA AUTOESCORVANTE MOTOR ELETRICO TRIFASICO 7,4HP BOCA DIAMETRO DE SUCCAO X RECLAQUE: 2"X2", HM/ Q = 10 M / 73,5 M3/H A 28 M / 8,2 M3 /H                                                                                                                                                                                                                                                                                                                                                            </t>
  </si>
  <si>
    <t>5.120,47</t>
  </si>
  <si>
    <t xml:space="preserve">MOTOBOMBA AUTOESCORVANTE POTENCIA 5,42 HP, BOCAIS SUCCAO X RECALQUE 2" X 2", A GASOLINA, DIAMETRO DO ROTOR 122 MM HM/Q = 6 MCA / 33,0 M3/H A 28 MCA / 8,0 M3/H                                                                                                                                                                                                                                                                                                                                            </t>
  </si>
  <si>
    <t>2.545,05</t>
  </si>
  <si>
    <t xml:space="preserve">MOTOBOMBA CENTRIFUGA, MOTOR A GASOLINA, POTENCIA 5,42 HP, BOCAIS 1 1/2" X 1", DIAMETRO ROTOR 143 MM HM/Q = 6 MCA / 16,8 M3/H A 38 MCA / 6,6 M3/H                                                                                                                                                                                                                                                                                                                                                          </t>
  </si>
  <si>
    <t>2.392,05</t>
  </si>
  <si>
    <t xml:space="preserve">MOTOBOMBA TRASH (PARA AGUA SUJA) AUTO ESCORVANTE, MOTOR GASOLINA DE 6,41 HP, DIAMETROS DE SUCCAO X RECALQUE: 3" X 3", HM/Q: 10/60 A 23/0                                                                                                                                                                                                                                                                                                                                                                  </t>
  </si>
  <si>
    <t>2.949,68</t>
  </si>
  <si>
    <t xml:space="preserve">MOTONIVELADORA POTENCIA BASICA LIQUIDA (PRIMEIRA MARCHA) 125 HP , PESO BRUTO 13843 KG, LARGURA DA LAMINA DE 3,7 M                                                                                                                                                                                                                                                                                                                                                                                         </t>
  </si>
  <si>
    <t>547.000,00</t>
  </si>
  <si>
    <t xml:space="preserve">MOTONIVELADORA POTENCIA BASICA LIQUIDA (PRIMEIRA MARCHA) 171 HP, PESO BRUTO 14768 KG, LARGURA DA LAMINA DE 3,7 M                                                                                                                                                                                                                                                                                                                                                                                          </t>
  </si>
  <si>
    <t>679.715,71</t>
  </si>
  <si>
    <t xml:space="preserve">MOTONIVELADORA POTENCIA BASICA LIQUIDA (PRIMEIRA MARCHA) 186 HP, PESO BRUTO 15785 KG, LARGURA DA LAMINA DE 4,3 M                                                                                                                                                                                                                                                                                                                                                                                          </t>
  </si>
  <si>
    <t>715.488,47</t>
  </si>
  <si>
    <t xml:space="preserve">MOTOR A DIESEL PARA VIBRADOR DE IMERSAO, DE *4,7* CV                                                                                                                                                                                                                                                                                                                                                                                                                                                      </t>
  </si>
  <si>
    <t>2.994,91</t>
  </si>
  <si>
    <t xml:space="preserve">MOTOR A GASOLINA PARA VIBRADOR DE IMERSAO, 4 TEMPOS, DE 5,5 CV                                                                                                                                                                                                                                                                                                                                                                                                                                            </t>
  </si>
  <si>
    <t>1.485,08</t>
  </si>
  <si>
    <t xml:space="preserve">MOTOR ELETRICO PARA VIBRADOR DE IMERSAO, DE 2 CV, MONOFASICO, 110/220 V                                                                                                                                                                                                                                                                                                                                                                                                                                   </t>
  </si>
  <si>
    <t>1.223,42</t>
  </si>
  <si>
    <t xml:space="preserve">MOTOR ELETRICO PARA VIBRADOR DE IMERSAO, DE 2 CV, TRIFASICO, 220/380 V                                                                                                                                                                                                                                                                                                                                                                                                                                    </t>
  </si>
  <si>
    <t>1.196,81</t>
  </si>
  <si>
    <t xml:space="preserve">MOTORISTA DE CAMINHAO                                                                                                                                                                                                                                                                                                                                                                                                                                                                                     </t>
  </si>
  <si>
    <t xml:space="preserve">MOTORISTA DE CAMINHAO (MENSALISTA)                                                                                                                                                                                                                                                                                                                                                                                                                                                                        </t>
  </si>
  <si>
    <t>2.407,46</t>
  </si>
  <si>
    <t xml:space="preserve">MOTORISTA DE CAMINHAO-BASCULANTE                                                                                                                                                                                                                                                                                                                                                                                                                                                                          </t>
  </si>
  <si>
    <t xml:space="preserve">MOTORISTA DE CAMINHAO-BASCULANTE (MENSALISTA)                                                                                                                                                                                                                                                                                                                                                                                                                                                             </t>
  </si>
  <si>
    <t>2.270,85</t>
  </si>
  <si>
    <t xml:space="preserve">MOTORISTA DE CAMINHAO-CARRETA                                                                                                                                                                                                                                                                                                                                                                                                                                                                             </t>
  </si>
  <si>
    <t>18,00</t>
  </si>
  <si>
    <t xml:space="preserve">MOTORISTA DE CAMINHAO-CARRETA (MENSALISTA)                                                                                                                                                                                                                                                                                                                                                                                                                                                                </t>
  </si>
  <si>
    <t>3.215,02</t>
  </si>
  <si>
    <t xml:space="preserve">MOTORISTA DE CARRO DE PASSEIO                                                                                                                                                                                                                                                                                                                                                                                                                                                                             </t>
  </si>
  <si>
    <t xml:space="preserve">MOTORISTA DE CARRO DE PASSEIO (MENSALISTA)                                                                                                                                                                                                                                                                                                                                                                                                                                                                </t>
  </si>
  <si>
    <t xml:space="preserve">MOTORISTA DE ONIBUS / MICRO-ONIBUS                                                                                                                                                                                                                                                                                                                                                                                                                                                                        </t>
  </si>
  <si>
    <t xml:space="preserve">MOTORISTA DE ONIBUS / MICRO-ONIBUS (MENSALISTA)                                                                                                                                                                                                                                                                                                                                                                                                                                                           </t>
  </si>
  <si>
    <t>2.208,13</t>
  </si>
  <si>
    <t xml:space="preserve">MOTORISTA OPERADOR DE CAMINHAO COM MUNCK                                                                                                                                                                                                                                                                                                                                                                                                                                                                  </t>
  </si>
  <si>
    <t xml:space="preserve">MOTORISTA OPERADOR DE CAMINHAO COM MUNCK (MENSALISTA)                                                                                                                                                                                                                                                                                                                                                                                                                                                     </t>
  </si>
  <si>
    <t xml:space="preserve">MOTOSSERRA PORTATIL COM MOTOR A GASOLINA DE *60* CC                                                                                                                                                                                                                                                                                                                                                                                                                                                       </t>
  </si>
  <si>
    <t>2.365,82</t>
  </si>
  <si>
    <t xml:space="preserve">MOURAO CONCRETO CURVO, SECAO "T", H = 2,80 M + CURVA COM 0,45 M, COM FUROS PARA FIOS                                                                                                                                                                                                                                                                                                                                                                                                                      </t>
  </si>
  <si>
    <t>44,96</t>
  </si>
  <si>
    <t xml:space="preserve">MOURAO DE CONCRETO CURVO,10 X 10 CM, H= *2,60* M + CURVA DE 0,40 M                                                                                                                                                                                                                                                                                                                                                                                                                                        </t>
  </si>
  <si>
    <t>39,31</t>
  </si>
  <si>
    <t xml:space="preserve">MOURAO DE CONCRETO RETO, *10 X 10* CM, H= 2,30 M                                                                                                                                                                                                                                                                                                                                                                                                                                                          </t>
  </si>
  <si>
    <t xml:space="preserve">MOURAO DE CONCRETO RETO, TIPO ESTICADOR, *10 X 10* CM, H= 2,50 M                                                                                                                                                                                                                                                                                                                                                                                                                                          </t>
  </si>
  <si>
    <t xml:space="preserve">MOURAO DE CONCRETO RETO, 10 X 10 CM, H= 2,00 M                                                                                                                                                                                                                                                                                                                                                                                                                                                            </t>
  </si>
  <si>
    <t>30,44</t>
  </si>
  <si>
    <t xml:space="preserve">MOURAO DE CONCRETO RETO, 10 X 10 CM, H= 3,00 M                                                                                                                                                                                                                                                                                                                                                                                                                                                            </t>
  </si>
  <si>
    <t xml:space="preserve">MUDA DE ARBUSTO FLORIFERO, CLUSIA/GARDENIA/MOREIA BRANCA/ AZALEIA OU EQUIVALENTE DA REGIAO, H= *50 A 70* CM                                                                                                                                                                                                                                                                                                                                                                                               </t>
  </si>
  <si>
    <t>47,98</t>
  </si>
  <si>
    <t xml:space="preserve">MUDA DE ARBUSTO FOLHAGEM, SANSAO-DO-CAMPO OU EQUIVALENTE DA REGIAO, H= *50 A 70* CM                                                                                                                                                                                                                                                                                                                                                                                                                       </t>
  </si>
  <si>
    <t>29,75</t>
  </si>
  <si>
    <t xml:space="preserve">MUDA DE ARBUSTO, BUXINHO, H= *50* M                                                                                                                                                                                                                                                                                                                                                                                                                                                                       </t>
  </si>
  <si>
    <t>115,17</t>
  </si>
  <si>
    <t xml:space="preserve">MUDA DE ARBUSTO, PINGO DE OURO/ VIOLETEIRA, H = *10 A 20* CM                                                                                                                                                                                                                                                                                                                                                                                                                                              </t>
  </si>
  <si>
    <t xml:space="preserve">MUDA DE ARVORE ORNAMENTAL, OITI/AROEIRA SALSA/ANGICO/IPE/JACARANDA OU EQUIVALENTE  DA REGIAO, H= *1* M                                                                                                                                                                                                                                                                                                                                                                                                    </t>
  </si>
  <si>
    <t>35,51</t>
  </si>
  <si>
    <t xml:space="preserve">MUDA DE ARVORE ORNAMENTAL, OITI/AROEIRA SALSA/ANGICO/IPE/JACARANDA OU EQUIVALENTE  DA REGIAO, H= *2* M                                                                                                                                                                                                                                                                                                                                                                                                    </t>
  </si>
  <si>
    <t>72,94</t>
  </si>
  <si>
    <t xml:space="preserve">MUDA DE PALMEIRA, ARECA, H= *1,50* CM                                                                                                                                                                                                                                                                                                                                                                                                                                                                     </t>
  </si>
  <si>
    <t>71,98</t>
  </si>
  <si>
    <t xml:space="preserve">MUDA DE RASTEIRA/FORRACAO, AMENDOIM RASTEIRO/ONZE HORAS/AZULZINHA/IMPATIENS OU EQUIVALENTE DA REGIAO                                                                                                                                                                                                                                                                                                                                                                                                      </t>
  </si>
  <si>
    <t xml:space="preserve">MUFLA TERMINAL PRIMARIA UNIPOLAR USO EXTERNO PARA CABO 25/70MM2 ISOL, 3,6/6KV EM EPR - BORRACHA DE SILICONE                                                                                                                                                                                                                                                                                                                                                                                               </t>
  </si>
  <si>
    <t>202,03</t>
  </si>
  <si>
    <t xml:space="preserve">MUFLA TERMINAL PRIMARIA UNIPOLAR USO INTERNO PARA CABO 25/70MM2 ISOL 6/10KV EM EPR- BORRACHA DE SILICONE                                                                                                                                                                                                                                                                                                                                                                                                  </t>
  </si>
  <si>
    <t>246,84</t>
  </si>
  <si>
    <t xml:space="preserve">MUFLA TERMINAL PRIMARIA UNIPOLAR USO INTERNO PARA CABO 35/120MM2 ISOLACAO 15/25KV EM EPR - BORRACHA DE SILICONE                                                                                                                                                                                                                                                                                                                                                                                           </t>
  </si>
  <si>
    <t>260,69</t>
  </si>
  <si>
    <t xml:space="preserve">MUFLA TERMINAL PRIMARIA UNIPOLAR USO INTERNO PARA CABO 35/70MM2 ISOLACAO 8,7/15KV EM EPR - BORRACHA DE SILICONE                                                                                                                                                                                                                                                                                                                                                                                           </t>
  </si>
  <si>
    <t>250,91</t>
  </si>
  <si>
    <t xml:space="preserve">MULTIEXERCITADOR COM SEIS FUNCOES, EM TUBO DE ACO CARBONO, PINTURA NO PROCESSO ELETROSTATICO - EQUIPAMENTO DE GINASTICA PARA ACADEMIA AO AR LIVRE / ACADEMIA DA TERCEIRA IDADE - ATI                                                                                                                                                                                                                                                                                                                      </t>
  </si>
  <si>
    <t>3.654,84</t>
  </si>
  <si>
    <t xml:space="preserve">NIPEL PVC, ROSCAVEL, 1 1/2",  AGUA FRIA PREDIAL                                                                                                                                                                                                                                                                                                                                                                                                                                                           </t>
  </si>
  <si>
    <t xml:space="preserve">NIPEL PVC, ROSCAVEL, 1 1/4",  AGUA FRIA PREDIAL                                                                                                                                                                                                                                                                                                                                                                                                                                                           </t>
  </si>
  <si>
    <t xml:space="preserve">NIPEL PVC, ROSCAVEL, 1/2",  AGUA FRIA PREDIAL                                                                                                                                                                                                                                                                                                                                                                                                                                                             </t>
  </si>
  <si>
    <t xml:space="preserve">NIPEL PVC, ROSCAVEL, 1",  AGUA FRIA PREDIAL                                                                                                                                                                                                                                                                                                                                                                                                                                                               </t>
  </si>
  <si>
    <t xml:space="preserve">NIPEL PVC, ROSCAVEL, 2",  AGUA FRIA PREDIAL                                                                                                                                                                                                                                                                                                                                                                                                                                                               </t>
  </si>
  <si>
    <t xml:space="preserve">NIPEL PVC, ROSCAVEL, 3/4",  AGUA FRIA PREDIAL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</si>
  <si>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</si>
  <si>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</si>
  <si>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</si>
  <si>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</si>
  <si>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6,12</t>
  </si>
  <si>
    <t xml:space="preserve">NIPLE DE FERRO GALVANIZADO, COM ROSCA BSP, DE 2 1/2"                                                                                                                                                                                                                                                                                                                                                                                                                                                      </t>
  </si>
  <si>
    <t xml:space="preserve">NIPLE DE FERRO GALVANIZADO, COM ROSCA BSP, DE 2"                                                                                                                                                                                                                                                                                                                                                                                                                                                          </t>
  </si>
  <si>
    <t>18,62</t>
  </si>
  <si>
    <t xml:space="preserve">NIPLE DE FERRO GALVANIZADO, COM ROSCA BSP, DE 3/4"                                                                                                                                                                                                                                                                                                                                                                                                                                                        </t>
  </si>
  <si>
    <t xml:space="preserve">NIPLE DE FERRO GALVANIZADO, COM ROSCA BSP, DE 3"                                                                                                                                                                                                                                                                                                                                                                                                                                                          </t>
  </si>
  <si>
    <t>46,35</t>
  </si>
  <si>
    <t xml:space="preserve">NIPLE DE FERRO GALVANIZADO, COM ROSCA BSP, DE 4"                                                                                                                                                                                                                                                                                                                                                                                                                                                          </t>
  </si>
  <si>
    <t>74,63</t>
  </si>
  <si>
    <t xml:space="preserve">NIPLE DE FERRO GALVANIZADO, COM ROSCA BSP, DE 5"                                                                                                                                                                                                                                                                                                                                                                                                                                                          </t>
  </si>
  <si>
    <t>164,74</t>
  </si>
  <si>
    <t xml:space="preserve">NIPLE DE FERRO GALVANIZADO, COM ROSCA BSP, DE 6"                                                                                                                                                                                                                                                                                                                                                                                                                                                          </t>
  </si>
  <si>
    <t>273,73</t>
  </si>
  <si>
    <t xml:space="preserve">NIPLE DE REDUCAO DE FERRO GALVANIZADO, COM ROSCA BSP, DE 1 1/2" X 1 1/4"                                                                                                                                                                                                                                                                                                                                                                                                                                  </t>
  </si>
  <si>
    <t>15,81</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</si>
  <si>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</si>
  <si>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</si>
  <si>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</si>
  <si>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</si>
  <si>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12,35</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</si>
  <si>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</si>
  <si>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</si>
  <si>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</si>
  <si>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</si>
  <si>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</si>
  <si>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</si>
  <si>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</si>
  <si>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</si>
  <si>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</si>
  <si>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</si>
  <si>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</si>
  <si>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63,66</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</si>
  <si>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</si>
  <si>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</si>
  <si>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</si>
  <si>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</si>
  <si>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</si>
  <si>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80,11</t>
  </si>
  <si>
    <t xml:space="preserve">NIPLE SEXTAVADO EM ACO CARBONO, COM ROSCA BSP, PRESSAO 3.000 LBS, DN 2"                                                                                                                                                                                                                                                                                                                                                                                                                                   </t>
  </si>
  <si>
    <t>50,43</t>
  </si>
  <si>
    <t xml:space="preserve">NIPLE SEXTAVADO EM ACO CARBONO, COM ROSCA BSP, PRESSAO 3.000 LBS, DN 3/4"                                                                                                                                                                                                                                                                                                                                                                                                                                 </t>
  </si>
  <si>
    <t xml:space="preserve">NIVELADOR                                                                                                                                                                                                                                                                                                                                                                                                                                                                                                 </t>
  </si>
  <si>
    <t xml:space="preserve">NIVELADOR (MENSALISTA)                                                                                                                                                                                                                                                                                                                                                                                                                                                                                    </t>
  </si>
  <si>
    <t>1.505,99</t>
  </si>
  <si>
    <t xml:space="preserve">NUMERO / ALGARISMO PARA PORTA, TAMANHO *40* MM, EM ZAMAC, (MODELO DE 0 A 9), FIXACAO POR PARAFUSOS                                                                                                                                                                                                                                                                                                                                                                                                        </t>
  </si>
  <si>
    <t xml:space="preserve">NUMERO / ALGARISMO PARA RESIDENCIA (FACHADA), TAMANHO *120* MM, EM ZAMAC, (MODELO DE 0 A 9), FIXACAO POR PARAFUSOS                                                                                                                                                                                                                                                                                                                                                                                        </t>
  </si>
  <si>
    <t xml:space="preserve">OCULOS DE SEGURANCA CONTRA IMPACTOS COM LENTE INCOLOR, ARMACAO NYLON, COM PROTECAO UVA E UVB                                                                                                                                                                                                                                                                                                                                                                                                              </t>
  </si>
  <si>
    <t xml:space="preserve">OLEO COMBUSTIVEL BPF A GRANEL                                                                                                                                                                                                                                                                                                                                                                                                                                                                             </t>
  </si>
  <si>
    <t xml:space="preserve">OLEO DE LINHACA                                                                                                                                                                                                                                                                                                                                                                                                                                                                                           </t>
  </si>
  <si>
    <t>16,73</t>
  </si>
  <si>
    <t xml:space="preserve">OLEO DIESEL COMBUSTIVEL COMUM                                                                                                                                                                                                                                                                                                                                                                                                                                                                             </t>
  </si>
  <si>
    <t xml:space="preserve">OLEO LUBRIFICANTE PARA MOTORES DE EQUIPAMENTOS PESADOS (CAMINHOES, TRATORES, RETROS E ETC)                                                                                                                                                                                                                                                                                                                                                                                                                </t>
  </si>
  <si>
    <t>20,00</t>
  </si>
  <si>
    <t xml:space="preserve">OLHO MAGICO / VISOR PARA PORTA DE *25 A 46* MM DE ESPESSURA, ANGULO DE VISAO APROXIMADO DE 200 GRAUS, LATAO CROMADO, COM FECHO JANELA                                                                                                                                                                                                                                                                                                                                                                     </t>
  </si>
  <si>
    <t xml:space="preserve">OPERADOR DE BATE-ESTACAS                                                                                                                                                                                                                                                                                                                                                                                                                                                                                  </t>
  </si>
  <si>
    <t xml:space="preserve">OPERADOR DE BATE-ESTACAS (MENSALISTA)                                                                                                                                                                                                                                                                                                                                                                                                                                                                     </t>
  </si>
  <si>
    <t>2.500,41</t>
  </si>
  <si>
    <t xml:space="preserve">OPERADOR DE BETONEIRA (CAMINHAO)                                                                                                                                                                                                                                                                                                                                                                                                                                                                          </t>
  </si>
  <si>
    <t xml:space="preserve">OPERADOR DE BETONEIRA (CAMINHAO) (MENSALISTA)                                                                                                                                                                                                                                                                                                                                                                                                                                                             </t>
  </si>
  <si>
    <t>2.170,67</t>
  </si>
  <si>
    <t xml:space="preserve">OPERADOR DE BETONEIRA ESTACIONARIA / MISTURADOR                                                                                                                                                                                                                                                                                                                                                                                                                                                           </t>
  </si>
  <si>
    <t xml:space="preserve">OPERADOR DE BETONEIRA ESTACIONARIA / MISTURADOR (MENSALISTA)                                                                                                                                                                                                                                                                                                                                                                                                                                              </t>
  </si>
  <si>
    <t>2.094,77</t>
  </si>
  <si>
    <t xml:space="preserve">OPERADOR DE COMPRESSOR DE AR OU COMPRESSORISTA                                                                                                                                                                                                                                                                                                                                                                                                                                                            </t>
  </si>
  <si>
    <t xml:space="preserve">OPERADOR DE COMPRESSOR DE AR OU COMPRESSORISTA (MENSALISTA)                                                                                                                                                                                                                                                                                                                                                                                                                                               </t>
  </si>
  <si>
    <t>2.226,97</t>
  </si>
  <si>
    <t xml:space="preserve">OPERADOR DE DEMARCADORA DE FAIXAS DE TRAFEGO                                                                                                                                                                                                                                                                                                                                                                                                                                                              </t>
  </si>
  <si>
    <t xml:space="preserve">OPERADOR DE DEMARCADORA DE FAIXAS DE TRAFEGO (MENSALISTA)                                                                                                                                                                                                                                                                                                                                                                                                                                                 </t>
  </si>
  <si>
    <t>2.671,59</t>
  </si>
  <si>
    <t xml:space="preserve">OPERADOR DE ESCAVADEIRA                                                                                                                                                                                                                                                                                                                                                                                                                                                                                   </t>
  </si>
  <si>
    <t xml:space="preserve">OPERADOR DE ESCAVADEIRA (MENSALISTA)                                                                                                                                                                                                                                                                                                                                                                                                                                                                      </t>
  </si>
  <si>
    <t xml:space="preserve">OPERADOR DE GUINCHO OU GUINCHEIRO                                                                                                                                                                                                                                                                                                                                                                                                                                                                         </t>
  </si>
  <si>
    <t xml:space="preserve">OPERADOR DE GUINCHO OU GUINCHEIRO (MENSALISTA)                                                                                                                                                                                                                                                                                                                                                                                                                                                            </t>
  </si>
  <si>
    <t xml:space="preserve">OPERADOR DE GUINDASTE                                                                                                                                                                                                                                                                                                                                                                                                                                                                                     </t>
  </si>
  <si>
    <t xml:space="preserve">OPERADOR DE GUINDASTE (MENSALISTA)                                                                                                                                                                                                                                                                                                                                                                                                                                                                        </t>
  </si>
  <si>
    <t xml:space="preserve">OPERADOR DE JATO ABRASIVO OU JATISTA                                                                                                                                                                                                                                                                                                                                                                                                                                                                      </t>
  </si>
  <si>
    <t xml:space="preserve">OPERADOR DE JATO ABRASIVO OU JATISTA (MENSALISTA)                                                                                                                                                                                                                                                                                                                                                                                                                                                         </t>
  </si>
  <si>
    <t>2.619,98</t>
  </si>
  <si>
    <t xml:space="preserve">OPERADOR DE MAQUINAS E TRATORES DIVERSOS (TERRAPLANAGEM)                                                                                                                                                                                                                                                                                                                                                                                                                                                  </t>
  </si>
  <si>
    <t xml:space="preserve">OPERADOR DE MAQUINAS E TRATORES DIVERSOS (TERRAPLANAGEM) (MENSALISTA)                                                                                                                                                                                                                                                                                                                                                                                                                                     </t>
  </si>
  <si>
    <t>2.225,69</t>
  </si>
  <si>
    <t xml:space="preserve">OPERADOR DE MARTELETE OU MARTELETEIRO                                                                                                                                                                                                                                                                                                                                                                                                                                                                     </t>
  </si>
  <si>
    <t>12,81</t>
  </si>
  <si>
    <t xml:space="preserve">OPERADOR DE MARTELETE OU MARTELETEIRO (MENSALISTA)                                                                                                                                                                                                                                                                                                                                                                                                                                                        </t>
  </si>
  <si>
    <t>2.286,36</t>
  </si>
  <si>
    <t xml:space="preserve">OPERADOR DE MOTO SCRAPER                                                                                                                                                                                                                                                                                                                                                                                                                                                                                  </t>
  </si>
  <si>
    <t xml:space="preserve">OPERADOR DE MOTO SCRAPER (MENSALISTA)                                                                                                                                                                                                                                                                                                                                                                                                                                                                     </t>
  </si>
  <si>
    <t>2.717,14</t>
  </si>
  <si>
    <t xml:space="preserve">OPERADOR DE MOTONIVELADORA                                                                                                                                                                                                                                                                                                                                                                                                                                                                                </t>
  </si>
  <si>
    <t xml:space="preserve">OPERADOR DE MOTONIVELADORA (MENSALISTA)                                                                                                                                                                                                                                                                                                                                                                                                                                                                   </t>
  </si>
  <si>
    <t>3.333,42</t>
  </si>
  <si>
    <t xml:space="preserve">OPERADOR DE PA CARREGADEIRA                                                                                                                                                                                                                                                                                                                                                                                                                                                                               </t>
  </si>
  <si>
    <t>14,23</t>
  </si>
  <si>
    <t xml:space="preserve">OPERADOR DE PA CARREGADEIRA (MENSALISTA)                                                                                                                                                                                                                                                                                                                                                                                                                                                                  </t>
  </si>
  <si>
    <t>2.541,15</t>
  </si>
  <si>
    <t xml:space="preserve">OPERADOR DE PAVIMENTADORA / MESA VIBROACABADORA                                                                                                                                                                                                                                                                                                                                                                                                                                                           </t>
  </si>
  <si>
    <t xml:space="preserve">OPERADOR DE PAVIMENTADORA / MESA VIBROACABADORA (MENSALISTA)                                                                                                                                                                                                                                                                                                                                                                                                                                              </t>
  </si>
  <si>
    <t>2.805,17</t>
  </si>
  <si>
    <t xml:space="preserve">OPERADOR DE ROLO COMPACTADOR                                                                                                                                                                                                                                                                                                                                                                                                                                                                              </t>
  </si>
  <si>
    <t>12,55</t>
  </si>
  <si>
    <t xml:space="preserve">OPERADOR DE ROLO COMPACTADOR (MENSALISTA)                                                                                                                                                                                                                                                                                                                                                                                                                                                                 </t>
  </si>
  <si>
    <t>2.240,62</t>
  </si>
  <si>
    <t xml:space="preserve">OPERADOR DE TRATOR - EXCLUSIVE AGROPECUARIA                                                                                                                                                                                                                                                                                                                                                                                                                                                               </t>
  </si>
  <si>
    <t xml:space="preserve">OPERADOR DE TRATOR - EXCLUSIVE AGROPECUARIA (MENSALISTA)                                                                                                                                                                                                                                                                                                                                                                                                                                                  </t>
  </si>
  <si>
    <t xml:space="preserve">OPERADOR DE USINA DE ASFALTO, DE SOLOS OU DE CONCRETO                                                                                                                                                                                                                                                                                                                                                                                                                                                     </t>
  </si>
  <si>
    <t xml:space="preserve">OPERADOR DE USINA DE ASFALTO, DE SOLOS OU DE CONCRETO (MENSALISTA)                                                                                                                                                                                                                                                                                                                                                                                                                                        </t>
  </si>
  <si>
    <t>2.408,98</t>
  </si>
  <si>
    <t xml:space="preserve">OXIGENIO, RECARGA PARA CILINDRO DE CONJUNTO OXICORTE GRANDE                                                                                                                                                                                                                                                                                                                                                                                                                                               </t>
  </si>
  <si>
    <t xml:space="preserve">PA CARREGADEIRA SOBRE RODAS, POTENCIA BRUTA *127* CV, CAPACIDADE DA CACAMBA DE 2,0 A 2,4 M3, PESO OPERACIONAL MAXIMO DE 10330 KG                                                                                                                                                                                                                                                                                                                                                                          </t>
  </si>
  <si>
    <t>325.565,66</t>
  </si>
  <si>
    <t xml:space="preserve">PA CARREGADEIRA SOBRE RODAS, POTENCIA LIQUIDA 128 HP, CAPACIDADE DA CACAMBA DE 1,7 A 2,8 M3, PESO OPERACIONAL MAXIMO DE 11632 KG                                                                                                                                                                                                                                                                                                                                                                          </t>
  </si>
  <si>
    <t>366.628,00</t>
  </si>
  <si>
    <t xml:space="preserve">PA CARREGADEIRA SOBRE RODAS, POTENCIA LIQUIDA 197 HP, CAPACIDADE DA CACAMBA DE 2,5 A 3,5 M3, PESO OPERACIONAL MAXIMO DE 18338 KG                                                                                                                                                                                                                                                                                                                                                                          </t>
  </si>
  <si>
    <t>508.390,80</t>
  </si>
  <si>
    <t xml:space="preserve">PA CARREGADEIRA SOBRE RODAS, POTENCIA LIQUIDA 213 HP, CAPACIDADE DA CACAMBA DE 1,9 A 3,5 M3, PESO OPERACIONAL MAXIMO DE 19234 KG                                                                                                                                                                                                                                                                                                                                                                          </t>
  </si>
  <si>
    <t>578.783,37</t>
  </si>
  <si>
    <t xml:space="preserve">PA CARREGADEIRA SOBRE RODAS, POTENCIA 152 HP, CAPACIDADE DA CACAMBA DE 1,53 A 2,30 M3, PESO OPERACIONAL MAXIMO DE 10216 KG                                                                                                                                                                                                                                                                                                                                                                                </t>
  </si>
  <si>
    <t>337.786,58</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</si>
  <si>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</si>
  <si>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</si>
  <si>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</si>
  <si>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</si>
  <si>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</si>
  <si>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</si>
  <si>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54,54</t>
  </si>
  <si>
    <t xml:space="preserve">PAINEL ESTRUTURAL PARA LAJE SECA REVESTIDO EM PLACA CIMENTICIA, DE 1,20 X 2,50 M, E = 40 MM                                                                                                                                                                                                                                                                                                                                                                                                               </t>
  </si>
  <si>
    <t>101,55</t>
  </si>
  <si>
    <t xml:space="preserve">PAINEL ESTRUTURAL PARA LAJE SECA REVESTIDO EM PLACA CIMENTICIA, DE 1,20 X 2,50 M, E = 55 MM                                                                                                                                                                                                                                                                                                                                                                                                               </t>
  </si>
  <si>
    <t>133,89</t>
  </si>
  <si>
    <t xml:space="preserve">PAINEL TERMOISOLANTE PARA FECHAMENTOS VERTICAIS (INCLUI PARAFUSOS DE FIXACAO) REVESTIDO EM ACO GALVALUME, LARGURA UTIL DE 1100 MM, REVESTIMENTO COM ESPESSURA DE 0,50 MM, COM PRE-PINTURA NAS DUAS FACES, NUCLEO EM POLIURETANO (PUR) COM ESPESSURA 40/50 MM                                                                                                                                                                                                                                              </t>
  </si>
  <si>
    <t>139,92</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</si>
  <si>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</si>
  <si>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</si>
  <si>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</si>
  <si>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24,51</t>
  </si>
  <si>
    <t xml:space="preserve">PAPELEIRA PLASTICA TIPO DISPENSER PARA PAPEL HIGIENICO ROLAO                                                                                                                                                                                                                                                                                                                                                                                                                                              </t>
  </si>
  <si>
    <t>39,77</t>
  </si>
  <si>
    <t xml:space="preserve">PAR DE TABELAS DE BASQUETE EM COMPENSADO NAVAL DE *1,80 X 1,20* M, COM ARO DE METAL E REDE (SEM SUPORTE DE FIXACAO)                                                                                                                                                                                                                                                                                                                                                                                       </t>
  </si>
  <si>
    <t>1.751,05</t>
  </si>
  <si>
    <t xml:space="preserve">PARA-RAIOS DE BAIXA TENSAO, TENSAO DE OPERACAO *280* V , CORRENTE MAXIMA *20* KA                                                                                                                                                                                                                                                                                                                                                                                                                          </t>
  </si>
  <si>
    <t>98,10</t>
  </si>
  <si>
    <t xml:space="preserve">PARA-RAIOS DE DISTRIBUICAO, TENSAO NOMINAL 15 KV, CORRENTE NOMINAL DE DESCARGA 5 KA                                                                                                                                                                                                                                                                                                                                                                                                                       </t>
  </si>
  <si>
    <t>289,56</t>
  </si>
  <si>
    <t xml:space="preserve">PARA-RAIOS DE DISTRIBUICAO, TENSAO NOMINAL 30 KV, CORRENTE NOMINAL DE DESCARGA 10 KA                                                                                                                                                                                                                                                                                                                                                                                                                      </t>
  </si>
  <si>
    <t>481,02</t>
  </si>
  <si>
    <t xml:space="preserve">PARA-RAIOS TIPO FRANKLIN 350 MM, EM LATAO CROMADO, DUAS DESCIDAS, PARA PROTECAO DE EDIFICACOES CONTRA DESCARGAS ATMOSFERICAS                                                                                                                                                                                                                                                                                                                                                                              </t>
  </si>
  <si>
    <t>111,54</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</si>
  <si>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</si>
  <si>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</si>
  <si>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</si>
  <si>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</si>
  <si>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</si>
  <si>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</si>
  <si>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</si>
  <si>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</si>
  <si>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</si>
  <si>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3,07</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</si>
  <si>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</si>
  <si>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</si>
  <si>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</si>
  <si>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</si>
  <si>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</si>
  <si>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</si>
  <si>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</si>
  <si>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</si>
  <si>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</si>
  <si>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</si>
  <si>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</si>
  <si>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</si>
  <si>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</si>
  <si>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</si>
  <si>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14,21</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</si>
  <si>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</si>
  <si>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</si>
  <si>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</si>
  <si>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</si>
  <si>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</si>
  <si>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</si>
  <si>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</si>
  <si>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</si>
  <si>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</si>
  <si>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</si>
  <si>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</si>
  <si>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11,00</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</si>
  <si>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</si>
  <si>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</si>
  <si>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</si>
  <si>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</si>
  <si>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</si>
  <si>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17,94</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</si>
  <si>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</si>
  <si>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</si>
  <si>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</si>
  <si>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</si>
  <si>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</si>
  <si>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</si>
  <si>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</si>
  <si>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</si>
  <si>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</si>
  <si>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</si>
  <si>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</si>
  <si>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</si>
  <si>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</si>
  <si>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1,43</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</si>
  <si>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</si>
  <si>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</si>
  <si>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</si>
  <si>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</si>
  <si>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</si>
  <si>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</si>
  <si>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</si>
  <si>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</si>
  <si>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</si>
  <si>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</si>
  <si>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</si>
  <si>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3,63</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</si>
  <si>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</si>
  <si>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</si>
  <si>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</si>
  <si>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</si>
  <si>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</si>
  <si>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78,46</t>
  </si>
  <si>
    <t xml:space="preserve">PARAFUSO, AUTO ATARRACHANTE, CABECA CHATA, FENDA SIMPLES, 1/4 (6,35 MM) X 25 MM                                                                                                                                                                                                                                                                                                                                                                                                                          </t>
  </si>
  <si>
    <t xml:space="preserve">PARAFUSO, COMUM, ASTM A307, SEXTAVADO, DIAMETRO 1/2" (12,7 MM), COMPRIMENTO 1" (25,4 MM)                                                                                                                                                                                                                                                                                                                                                                                                                  </t>
  </si>
  <si>
    <t>128,51</t>
  </si>
  <si>
    <t xml:space="preserve">PARALELEPIPEDO GRANITICO OU BASALTICO, PARA PAVIMENTACAO, SEM FRETE,  *30 A 35* PECAS POR M2                                                                                                                                                                                                                                                                                                                                                                                                              </t>
  </si>
  <si>
    <t>1.212,00</t>
  </si>
  <si>
    <t xml:space="preserve">PASTA DESENGRAXANTE PARA MAOS                                                                                                                                                                                                                                                                                                                                                                                                                                                                             </t>
  </si>
  <si>
    <t>4,48</t>
  </si>
  <si>
    <t xml:space="preserve">PASTA LUBRIFICANTE PARA TUBOS E CONEXOES COM JUNTA ELASTICA (USO EM PVC, ACO, POLIETILENO E OUTROS) ( DE *400* G)                                                                                                                                                                                                                                                                                                                                                                                         </t>
  </si>
  <si>
    <t xml:space="preserve">PASTA LUBRIFICANTE PARA TUBOS E CONEXOES COM JUNTA ELASTICA (USO EM PVC, ACO, POLIETILENO E OUTROS) (POTE DE 3.500* G)                                                                                                                                                                                                                                                                                                                                                                                    </t>
  </si>
  <si>
    <t>129,75</t>
  </si>
  <si>
    <t xml:space="preserve">PASTA PARA SOLDA DE TUBOS E CONEXOES DE COBRE (EMBALAGEM COM 250 G)                                                                                                                                                                                                                                                                                                                                                                                                                                       </t>
  </si>
  <si>
    <t xml:space="preserve">PASTA VEDA JUNTAS/ROSCA, LATA DE *500* G, PARA INSTALACOES DE GAS E OUTROS                                                                                                                                                                                                                                                                                                                                                                                                                                </t>
  </si>
  <si>
    <t xml:space="preserve">PASTILHA CERAMICA/PORCELANA, REVEST INT/EXT E  PISCINA, CORES BRANCA OU FRIAS, *2,5 X 2,5* CM                                                                                                                                                                                                                                                                                                                                                                                                             </t>
  </si>
  <si>
    <t>166,90</t>
  </si>
  <si>
    <t xml:space="preserve">PASTILHA CERAMICA/PORCELANA, REVEST INT/EXT E  PISCINA, CORES FRIAS *5 X 5* CM                                                                                                                                                                                                                                                                                                                                                                                                                            </t>
  </si>
  <si>
    <t>149,14</t>
  </si>
  <si>
    <t xml:space="preserve">PASTILHA CERAMICA/PORCELANA, REVEST INT/EXT E  PISCINA, CORES QUENTES *5 X 5* CM                                                                                                                                                                                                                                                                                                                                                                                                                          </t>
  </si>
  <si>
    <t>174,00</t>
  </si>
  <si>
    <t xml:space="preserve">PASTILHA CERAMICA/PORCELANA, REVEST INT/EXT E  PISCINA, CORES QUENTES, *2,5 X 2,5* CM                                                                                                                                                                                                                                                                                                                                                                                                                     </t>
  </si>
  <si>
    <t>270,64</t>
  </si>
  <si>
    <t xml:space="preserve">PASTILHA DE VIDRO CRISTAL, NACIONAL, REVEST INT/EXT E PISCINA, TODAS AS CORES, E MAIOR OU IGUAL A 5 MM  *2,0 X 2,0* CM                                                                                                                                                                                                                                                                                                                                                                                    </t>
  </si>
  <si>
    <t>501,15</t>
  </si>
  <si>
    <t xml:space="preserve">PASTILHA DE VIDRO PIGMENTADA *2,0 X 2,0* CM, NACIONAL, PARA REVESTIMENTO INTERNO/EXTERNO E PISCINA, BRANCA OU CORES FRIAS, ESPESSURA MAIOR OU IGUAL A 5 MM                                                                                                                                                                                                                                                                                                                                                </t>
  </si>
  <si>
    <t>317,41</t>
  </si>
  <si>
    <t xml:space="preserve">PASTILHA DE VIDRO PIGMENTADA, NACIONAL, REVEST INT/EXT E PISCINA, CORES QUENTES, ESPESSURA MAIOR OU IGUAL A 5 MM  *2,0 X 2,0* CM                                                                                                                                                                                                                                                                                                                                                                          </t>
  </si>
  <si>
    <t>558,94</t>
  </si>
  <si>
    <t xml:space="preserve">PASTILHEIRO                                                                                                                                                                                                                                                                                                                                                                                                                                                                                               </t>
  </si>
  <si>
    <t xml:space="preserve">PASTILHEIRO (MENSALISTA)                                                                                                                                                                                                                                                                                                                                                                                                                                                                                  </t>
  </si>
  <si>
    <t>3.195,61</t>
  </si>
  <si>
    <t xml:space="preserve">PATCH CORD, CATEGORIA 5 E, EXTENSAO DE 1,50 M                                                                                                                                                                                                                                                                                                                                                                                                                                                             </t>
  </si>
  <si>
    <t>8,32</t>
  </si>
  <si>
    <t xml:space="preserve">PATCH CORD, CATEGORIA 5 E, EXTENSAO DE 2,50 M                                                                                                                                                                                                                                                                                                                                                                                                                                                             </t>
  </si>
  <si>
    <t>11,54</t>
  </si>
  <si>
    <t xml:space="preserve">PATCH CORD, CATEGORIA 6, EXTENSAO DE 1,50 M                                                                                                                                                                                                                                                                                                                                                                                                                                                               </t>
  </si>
  <si>
    <t xml:space="preserve">PATCH CORD, CATEGORIA 6, EXTENSAO DE 2,50 M                                                                                                                                                                                                                                                                                                                                                                                                                                                               </t>
  </si>
  <si>
    <t>16,82</t>
  </si>
  <si>
    <t xml:space="preserve">PATCH PANEL, 24 PORTAS, CATEGORIA 5E, COM RACKS DE 19" E 1 U DE ALTURA                                                                                                                                                                                                                                                                                                                                                                                                                                    </t>
  </si>
  <si>
    <t>159,25</t>
  </si>
  <si>
    <t xml:space="preserve">PATCH PANEL, 24 PORTAS, CATEGORIA 6, COM RACKS DE 19" E 1 U DE ALTURA                                                                                                                                                                                                                                                                                                                                                                                                                                     </t>
  </si>
  <si>
    <t>277,56</t>
  </si>
  <si>
    <t xml:space="preserve">PATCH PANEL, 48 PORTAS, CATEGORIA 5E, COM RACKS DE 19" E 2 U DE ALTURA                                                                                                                                                                                                                                                                                                                                                                                                                                    </t>
  </si>
  <si>
    <t>232,99</t>
  </si>
  <si>
    <t xml:space="preserve">PATCH PANEL, 48 PORTAS, CATEGORIA 6, COM RACKS DE 19" E 2 U DE ALTURA                                                                                                                                                                                                                                                                                                                                                                                                                                     </t>
  </si>
  <si>
    <t>374,31</t>
  </si>
  <si>
    <t xml:space="preserve">PECA DE MADEIRA APARELHADA *7,5 X 7,5* CM (3 X 3 ") MACARANDUBA, ANGELIM OU EQUIVALENTE DA REGIAO                                                                                                                                                                                                                                                                                                                                                                                                         </t>
  </si>
  <si>
    <t xml:space="preserve">PECA DE MADEIRA NAO APARELHADA *7,5 X 7,5* CM (3 X 3 ") MACARANDUBA, ANGELIM OU EQUIVALENTE DA REGIAO                                                                                                                                                                                                                                                                                                                                                                                                     </t>
  </si>
  <si>
    <t xml:space="preserve">PEDRA ARDOSIA, CINZA, *40 X 40* CM, E= *1 CM                                                                                                                                                                                                                                                                                                                                                                                                                                                              </t>
  </si>
  <si>
    <t>60,02</t>
  </si>
  <si>
    <t xml:space="preserve">PEDRA ARDOSIA, CINZA, 20  X  40 CM,  E=  *1 CM                                                                                                                                                                                                                                                                                                                                                                                                                                                            </t>
  </si>
  <si>
    <t>54,16</t>
  </si>
  <si>
    <t xml:space="preserve">PEDRA ARDOSIA, CINZA, 30  X  30,  E= *1 CM                                                                                                                                                                                                                                                                                                                                                                                                                                                                </t>
  </si>
  <si>
    <t>58,03</t>
  </si>
  <si>
    <t xml:space="preserve">PEDRA BRITADA GRADUADA, CLASSIFICADA (POSTO PEDREIRA/FORNECEDOR, SEM FRETE)                                                                                                                                                                                                                                                                                                                                                                                                                               </t>
  </si>
  <si>
    <t>99,02</t>
  </si>
  <si>
    <t xml:space="preserve">PEDRA BRITADA N. 0, OU PEDRISCO (4,8 A 9,5 MM) POSTO PEDREIRA/FORNECEDOR, SEM FRETE                                                                                                                                                                                                                                                                                                                                                                                                                       </t>
  </si>
  <si>
    <t>108,28</t>
  </si>
  <si>
    <t xml:space="preserve">PEDRA BRITADA N. 1 (9,5 a 19 MM) POSTO PEDREIRA/FORNECEDOR, SEM FRETE                                                                                                                                                                                                                                                                                                                                                                                                                                     </t>
  </si>
  <si>
    <t>84,80</t>
  </si>
  <si>
    <t xml:space="preserve">PEDRA BRITADA N. 2 (19 A 38 MM) POSTO PEDREIRA/FORNECEDOR, SEM FRETE                                                                                                                                                                                                                                                                                                                                                                                                                                      </t>
  </si>
  <si>
    <t xml:space="preserve">PEDRA BRITADA N. 3 (38 A 50 MM) POSTO PEDREIRA/FORNECEDOR, SEM FRETE                                                                                                                                                                                                                                                                                                                                                                                                                                      </t>
  </si>
  <si>
    <t xml:space="preserve">PEDRA BRITADA N. 4 (50 A 76 MM) POSTO PEDREIRA/FORNECEDOR, SEM FRETE                                                                                                                                                                                                                                                                                                                                                                                                                                      </t>
  </si>
  <si>
    <t>92,51</t>
  </si>
  <si>
    <t xml:space="preserve">PEDRA BRITADA N. 5 (76 A 100 MM) POSTO PEDREIRA/FORNECEDOR, SEM FRETE                                                                                                                                                                                                                                                                                                                                                                                                                                     </t>
  </si>
  <si>
    <t>95,08</t>
  </si>
  <si>
    <t xml:space="preserve">PEDRA BRITADA OU BICA CORRIDA, NAO CLASSIFICADA (POSTO PEDREIRA/FORNECEDOR, SEM FRETE)                                                                                                                                                                                                                                                                                                                                                                                                                    </t>
  </si>
  <si>
    <t>91,74</t>
  </si>
  <si>
    <t xml:space="preserve">PEDRA DE MAO OU PEDRA RACHAO PARA ARRIMO/FUNDACAO (POSTO PEDREIRA/FORNECEDOR, SEM FRETE)                                                                                                                                                                                                                                                                                                                                                                                                                  </t>
  </si>
  <si>
    <t>88,66</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</si>
  <si>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</si>
  <si>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</si>
  <si>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188,62</t>
  </si>
  <si>
    <t xml:space="preserve">PEDRA GRANITICA, SERRADA, TIPO MIRACEMA, MADEIRA, PADUANA, RACHINHA, SANTA ISABEL OU OUTRAS SIMILARES, *11,5 X  *23 CM, E=  *1,0 A *2,0 CM                                                                                                                                                                                                                                                                                                                                                                </t>
  </si>
  <si>
    <t xml:space="preserve">PEDRA PORTUGUESA  OU PETIT PAVE, BRANCA OU PRETA                                                                                                                                                                                                                                                                                                                                                                                                                                                          </t>
  </si>
  <si>
    <t>217,63</t>
  </si>
  <si>
    <t xml:space="preserve">PEDRA QUARTZITO OU CALCARIO LAMINADO, CACO, TIPO CARIRI, ITACOLOMI, LAGOA SANTA, LUMINARIA, PIRENOPOLIS, SAO TOME OU OUTRAS SIMILARES DA REGIAO, E=  *1,5 A *2,5 CM                                                                                                                                                                                                                                                                                                                                       </t>
  </si>
  <si>
    <t>106,40</t>
  </si>
  <si>
    <t xml:space="preserve">PEDRA QUARTZITO OU CALCARIO LAMINADO, SERRADA, TIPO CARIRI, ITACOLOMI, LAGOA SANTA, LUMINARIA, PIRENOPOLIS, SAO TOME OU OUTRAS SIMILARES DA REGIAO, *20 X *40 CM, E=  *1,5 A *2,5 CM                                                                                                                                                                                                                                                                                                                      </t>
  </si>
  <si>
    <t>341,20</t>
  </si>
  <si>
    <t xml:space="preserve">PEDREGULHO OU PICARRA DE JAZIDA, AO NATURAL, PARA BASE DE PAVIMENTACAO (RETIRADO NA JAZIDA, SEM TRANSPORTE)                                                                                                                                                                                                                                                                                                                                                                                               </t>
  </si>
  <si>
    <t>82,23</t>
  </si>
  <si>
    <t xml:space="preserve">PEDREIRO                                                                                                                                                                                                                                                                                                                                                                                                                                                                                                  </t>
  </si>
  <si>
    <t xml:space="preserve">PEDREIRO (MENSALISTA)                                                                                                                                                                                                                                                                                                                                                                                                                                                                                     </t>
  </si>
  <si>
    <t xml:space="preserve">PEITORIL EM MARMORE, POLIDO, BRANCO COMUM, L= *15* CM, E=  *2,0* CM, COM PINGADEIRA                                                                                                                                                                                                                                                                                                                                                                                                                       </t>
  </si>
  <si>
    <t xml:space="preserve">PEITORIL EM MARMORE, POLIDO, BRANCO COMUM, L= *15* CM, E=  *3* CM, CORTE RETO                                                                                                                                                                                                                                                                                                                                                                                                                             </t>
  </si>
  <si>
    <t>50,78</t>
  </si>
  <si>
    <t xml:space="preserve">PEITORIL PRE-MOLDADO EM GRANILITE, MARMORITE OU GRANITINA, L = *15* CM                                                                                                                                                                                                                                                                                                                                                                                                                                    </t>
  </si>
  <si>
    <t xml:space="preserve">PEITORIL/ SOLEIRA EM MARMORE, POLIDO, BRANCO COMUM, L= *25* CM, E=  *3* CM, CORTE RETO                                                                                                                                                                                                                                                                                                                                                                                                                    </t>
  </si>
  <si>
    <t>70,29</t>
  </si>
  <si>
    <t xml:space="preserve">PELICULA REFLETIVA, GT 7 ANOS PARA SINALIZACAO VERTICAL                                                                                                                                                                                                                                                                                                                                                                                                                                                   </t>
  </si>
  <si>
    <t>30,45</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</si>
  <si>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</si>
  <si>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</si>
  <si>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</si>
  <si>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11.379,73</t>
  </si>
  <si>
    <t xml:space="preserve">PERFIL "H" DE ACO LAMINADO, "HP" 250 X 62,0                                                                                                                                                                                                                                                                                                                                                                                                                                                               </t>
  </si>
  <si>
    <t xml:space="preserve">PERFIL "H" DE ACO LAMINADO, "HP" 310 X 79,0                                                                                                                                                                                                                                                                                                                                                                                                                                                               </t>
  </si>
  <si>
    <t xml:space="preserve">PERFIL "H" DE ACO LAMINADO, "W" 200 X 35,9                                                                                                                                                                                                                                                                                                                                                                                                                                                                </t>
  </si>
  <si>
    <t>6,31</t>
  </si>
  <si>
    <t xml:space="preserve">PERFIL "I" DE ACO LAMINADO, ABAS INCLINADAS, "I" 102 X 12,7                                                                                                                                                                                                                                                                                                                                                                                                                                               </t>
  </si>
  <si>
    <t xml:space="preserve">PERFIL "I" DE ACO LAMINADO, ABAS INCLINADAS, "I" 152 X 22                                                                                                                                                                                                                                                                                                                                                                                                                                                 </t>
  </si>
  <si>
    <t xml:space="preserve">PERFIL "I" DE ACO LAMINADO, ABAS INCLINADAS, "I" 203 X 34,3                                                                                                                                                                                                                                                                                                                                                                                                                                               </t>
  </si>
  <si>
    <t xml:space="preserve">PERFIL "I" DE ACO LAMINADO, ABAS PARALELAS, "W", QUALQUER BITOLA                                                                                                                                                                                                                                                                                                                                                                                                                                          </t>
  </si>
  <si>
    <t xml:space="preserve">PERFIL "I" DE ACO LAMINADO, W 250 X 38,50                                                                                                                                                                                                                                                                                                                                                                                                                                                                 </t>
  </si>
  <si>
    <t xml:space="preserve">PERFIL "U" DE ACO LAMINADO, "U" 102 X 9,3                                                                                                                                                                                                                                                                                                                                                                                                                                                                 </t>
  </si>
  <si>
    <t xml:space="preserve">PERFIL "U" DE ACO LAMINADO, "U" 152 X 15,6                                                                                                                                                                                                                                                                                                                                                                                                                                                                </t>
  </si>
  <si>
    <t xml:space="preserve">PERFIL "U" EM CHAPA ACO DOBRADA, E = 3,04 MM, H = 20 CM, ABAS = 5 CM (4,47 KG/M)                                                                                                                                                                                                                                                                                                                                                                                                                          </t>
  </si>
  <si>
    <t xml:space="preserve">PERFIL "U" ENRIJECIDO DE ACO GALVANIZADO, DOBRADO, 150 X 60 X 20 MM, E = 3,00 MM OU 200 X 75 X 25 MM, E = 3,75 MM                                                                                                                                                                                                                                                                                                                                                                                         </t>
  </si>
  <si>
    <t xml:space="preserve">PERFIL "U" SIMPLES DE ACO GALVANIZADO DOBRADO 75 X *40* MM, E = 2,65 MM                                                                                                                                                                                                                                                                                                                                                                                                                                   </t>
  </si>
  <si>
    <t xml:space="preserve">PERFIL CANALETA, FORMATO C, EM ACO ZINCADO, PARA ESTRUTURA FORRO DRYWALL, E = 0,5 MM, *46 X 18* (L X H), COMPRIMENTO 3 M                                                                                                                                                                                                                                                                                                                                                                                  </t>
  </si>
  <si>
    <t xml:space="preserve">PERFIL CANTONEIRA L, LISA, EM ACO, 25 X 30 MM, E = 0,5 MM, PARA ESTRUTURA DRYWALL                                                                                                                                                                                                                                                                                                                                                                                                                         </t>
  </si>
  <si>
    <t>1,83</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</si>
  <si>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</si>
  <si>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</si>
  <si>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</si>
  <si>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</si>
  <si>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</si>
  <si>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</si>
  <si>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55,34</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</si>
  <si>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</si>
  <si>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</si>
  <si>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</si>
  <si>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PARA FORRO REMOVIVEL, 24 X 3750 MM (L X C)                                                                                                                                                                                                                                                                                                                                                                                                       </t>
  </si>
  <si>
    <t>2,80</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</si>
  <si>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</si>
  <si>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</si>
  <si>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</si>
  <si>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</si>
  <si>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</si>
  <si>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</si>
  <si>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</si>
  <si>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</si>
  <si>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</si>
  <si>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2,71</t>
  </si>
  <si>
    <t xml:space="preserve">PERFIL U / CANALETA DE ALUMINIO, DE ABAS IGUAIS, 1/2" (1,27 X 1,27 CM), PARA PORTA OU JANELA DE CORRER                                                                                                                                                                                                                                                                                                                                                                                                    </t>
  </si>
  <si>
    <t xml:space="preserve">PERFIL UDC ("U" DOBRADO DE CHAPA) SIMPLES DE ACO LAMINADO, GALVANIZADO, ASTM A36, 127 X 50 MM, E= 3 MM                                                                                                                                                                                                                                                                                                                                                                                                    </t>
  </si>
  <si>
    <t xml:space="preserve">PERFILADO PERFURADO DUPLO 38 X 76 MM, CHAPA 22                                                                                                                                                                                                                                                                                                                                                                                                                                                            </t>
  </si>
  <si>
    <t>8,77</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</si>
  <si>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</si>
  <si>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</si>
  <si>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</si>
  <si>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2.072.952,39</t>
  </si>
  <si>
    <t xml:space="preserve">PERFURATRIZ COM TORRE METALICA PARA EXECUCAO DE ESTACA HELICE CONTINUA, PROFUNDIDADE MAXIMA DE 32 M, DIAMETRO MAXIMO DE 1000 MM, POTENCIA INSTALADA DE 350 HP, MESA ROTATIVA COM TORQUE MAXIMO DE 263 KNM                                                                                                                                                                                                                                                                                                 </t>
  </si>
  <si>
    <t>3.223.357,61</t>
  </si>
  <si>
    <t xml:space="preserve">PERFURATRIZ HIDRAULICA COM TRADO CURTO ACOPLADO, PROFUNDIDADE MAXIMA DE 20 M, DIAMETRO MAXIMO DE 1500 MM, POTENCIA INSTALADA DE 137 HP, MESA ROTATIVA COM TORQUE MAXIMO DE 30 KNM (INCLUI MONTAGEM, NAO INCLUI CAMINHAO)                                                                                                                                                                                                                                                                                  </t>
  </si>
  <si>
    <t>789.166,88</t>
  </si>
  <si>
    <t xml:space="preserve">PERFURATRIZ MANUAL, TORQUE MAXIMO 55 KGF.M, POTENCIA 5 CV, COM DIAMETRO MAXIMO 8 1/2" (INCLUI SUPORTE/CHASSI TIPO MESA)                                                                                                                                                                                                                                                                                                                                                                                   </t>
  </si>
  <si>
    <t>39.280,78</t>
  </si>
  <si>
    <t xml:space="preserve">PERFURATRIZ MANUAL, TORQUE MAXIMO 83 N.M, POTENCIA 5 CV, COM DIAMETRO MAXIMO 4" (NAO INCLUI SUPORTE / CHASSI)                                                                                                                                                                                                                                                                                                                                                                                             </t>
  </si>
  <si>
    <t>5.660,76</t>
  </si>
  <si>
    <t xml:space="preserve">PERFURATRIZ MANUAL, TORQUE MAXIMO 83 N.M, POTENCIA 5 CV, COM DIAMETRO MAXIMO 4", PARA SOLO GRAMPEADO (INCLUI SUPORTE OU CHASSI TIPO MESA)                                                                                                                                                                                                                                                                                                                                                                 </t>
  </si>
  <si>
    <t>17.720,65</t>
  </si>
  <si>
    <t xml:space="preserve">PERFURATRIZ PNEUMATICA MANUAL DE PESO MEDIO, 18KG, COMPRIMENTO DE CURSO DE 6 M, DIAMETRO DO PISTAO DE 5,5 CM                                                                                                                                                                                                                                                                                                                                                                                              </t>
  </si>
  <si>
    <t>9.691,67</t>
  </si>
  <si>
    <t xml:space="preserve">PERFURATRIZ ROTATIVA SOBRE ESTEIRA, TORQUE MAXIMO 2500 KGM, POTENCIA 110 HP, MOTOR DIESEL  (COLETADO CAIXA)                                                                                                                                                                                                                                                                                                                                                                                               </t>
  </si>
  <si>
    <t>675.901,98</t>
  </si>
  <si>
    <t xml:space="preserve">PERFURATRIZ SOBRE ESTEIRA, TORQUE MAXIMO DE 600 KGF, POTENCIA ENTRE 50 E 60 HP, DIAMETRO MAXIMO DE 10"                                                                                                                                                                                                                                                                                                                                                                                                    </t>
  </si>
  <si>
    <t>432.930,27</t>
  </si>
  <si>
    <t xml:space="preserve">PERFURATRIZ SOBRE ESTEIRA, TORQUE MAXIMO 600 KGF, PESO MEDIO 1000 KG, POTENCIA 20 HP, DIAMETRO MAXIMO 10"                                                                                                                                                                                                                                                                                                                                                                                                 </t>
  </si>
  <si>
    <t>451.702,89</t>
  </si>
  <si>
    <t xml:space="preserve">PICAPE CABINE SIMPLES COM MOTOR 1.6 FLEX, CAMBIO MANUAL, POTENCIA 101/104 CV, 2 PORTAS                                                                                                                                                                                                                                                                                                                                                                                                                    </t>
  </si>
  <si>
    <t>47.268,53</t>
  </si>
  <si>
    <t xml:space="preserve">PIGMENTO EM PO PARA ARGAMASSAS, CIMENTOS E OUTROS                                                                                                                                                                                                                                                                                                                                                                                                                                                         </t>
  </si>
  <si>
    <t xml:space="preserve">PILAR DE MADEIRA NAO APARELHADA *10 X 10* CM, MACARANDUBA, ANGELIM OU EQUIVALENTE DA REGIAO                                                                                                                                                                                                                                                                                                                                                                                                               </t>
  </si>
  <si>
    <t xml:space="preserve">PILAR DE MADEIRA NAO APARELHADA *15 X 15* CM, MACARANDUBA, ANGELIM OU EQUIVALENTE DA REGIAO                                                                                                                                                                                                                                                                                                                                                                                                               </t>
  </si>
  <si>
    <t>81,06</t>
  </si>
  <si>
    <t xml:space="preserve">PILAR DE MADEIRA NAO APARELHADA *20 X 20* CM, MACARANDUBA, ANGELIM OU EQUIVALENTE DA REGIAO                                                                                                                                                                                                                                                                                                                                                                                                               </t>
  </si>
  <si>
    <t>132,54</t>
  </si>
  <si>
    <t xml:space="preserve">PINCEL CHATO (TRINCHA) CERDAS GRIS 1.1/2 " (38 MM)                                                                                                                                                                                                                                                                                                                                                                                                                                                        </t>
  </si>
  <si>
    <t>3,98</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</si>
  <si>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</si>
  <si>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</si>
  <si>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</si>
  <si>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28,05</t>
  </si>
  <si>
    <t xml:space="preserve">PINO DE ACO COM ROSCA 1/4 ", COMPRIMENTO DA HASTE = 30 MM E ROSCA = 20 MM (ACAO DIRETA)                                                                                                                                                                                                                                                                                                                                                                                                                   </t>
  </si>
  <si>
    <t>37,21</t>
  </si>
  <si>
    <t xml:space="preserve">PINO DE ACO LISO 1/4 ", HASTE = *36,5* MM (ACAO DIRETA)                                                                                                                                                                                                                                                                                                                                                                                                                                                   </t>
  </si>
  <si>
    <t>22,95</t>
  </si>
  <si>
    <t xml:space="preserve">PINO DE ACO LISO 1/4 ", HASTE = *53* MM (ACAO DIRETA)                                                                                                                                                                                                                                                                                                                                                                                                                                                     </t>
  </si>
  <si>
    <t xml:space="preserve">PINO GUIA, RETO, COM CHAPA DE LATAO CROMADO, 3/4", PARA PORTA / JANELA DE CORRER                                                                                                                                                                                                                                                                                                                                                                                                                          </t>
  </si>
  <si>
    <t xml:space="preserve">PINO ROSCA EXTERNA, EM ACO GALVANIZADO, PARA ISOLADOR DE 15KV, DIAMETRO 25 MM, COMPRIMENTO *290* MM                                                                                                                                                                                                                                                                                                                                                                                                       </t>
  </si>
  <si>
    <t xml:space="preserve">PINO ROSCA EXTERNA, EM ACO GALVANIZADO, PARA ISOLADOR DE 25KV, DIAMETRO 35MM, COMPRIMENTO *320* MM                                                                                                                                                                                                                                                                                                                                                                                                        </t>
  </si>
  <si>
    <t xml:space="preserve">PINTOR                                                                                                                                                                                                                                                                                                                                                                                                                                                                                                    </t>
  </si>
  <si>
    <t xml:space="preserve">PINTOR (MENSALISTA)                                                                                                                                                                                                                                                                                                                                                                                                                                                                                       </t>
  </si>
  <si>
    <t xml:space="preserve">PINTOR DE LETREIROS                                                                                                                                                                                                                                                                                                                                                                                                                                                                                       </t>
  </si>
  <si>
    <t xml:space="preserve">PINTOR DE LETREIROS (MENSALISTA)                                                                                                                                                                                                                                                                                                                                                                                                                                                                          </t>
  </si>
  <si>
    <t>3.158,60</t>
  </si>
  <si>
    <t xml:space="preserve">PINTOR PARA TINTA EPOXI                                                                                                                                                                                                                                                                                                                                                                                                                                                                                   </t>
  </si>
  <si>
    <t xml:space="preserve">PINTOR PARA TINTA EPOXI (MENSALISTA)                                                                                                                                                                                                                                                                                                                                                                                                                                                                      </t>
  </si>
  <si>
    <t>3.147,88</t>
  </si>
  <si>
    <t xml:space="preserve">PISO DE BORRACHA CANELADO EM PLACAS 50 X 50 CM, E = *3,5* MM, PARA COLA                                                                                                                                                                                                                                                                                                                                                                                                                                   </t>
  </si>
  <si>
    <t>52,82</t>
  </si>
  <si>
    <t xml:space="preserve">PISO DE BORRACHA ESPORTIVO EM PLACAS 50 X 50 CM, E = 15 MM, PARA ARGAMASSA, PRETO                                                                                                                                                                                                                                                                                                                                                                                                                         </t>
  </si>
  <si>
    <t>240,57</t>
  </si>
  <si>
    <t xml:space="preserve">PISO DE BORRACHA FRISADO OU PASTILHADO, PRETO, EM PLACAS 50 X 50 CM, E = 7 MM, PARA ARGAMASSA                                                                                                                                                                                                                                                                                                                                                                                                             </t>
  </si>
  <si>
    <t>146,12</t>
  </si>
  <si>
    <t xml:space="preserve">PISO DE BORRACHA PASTILHADO EM PLACAS 50 X 50 CM, E = *3,5* MM, PARA COLA, PRETO                                                                                                                                                                                                                                                                                                                                                                                                                          </t>
  </si>
  <si>
    <t xml:space="preserve">PISO DE BORRACHA PASTILHADO EM PLACAS 50 X 50 CM, E = 15 MM, PARA ARGAMASSA, PRETO                                                                                                                                                                                                                                                                                                                                                                                                                        </t>
  </si>
  <si>
    <t>234,18</t>
  </si>
  <si>
    <t xml:space="preserve">PISO ELEVADO COM 2 PLACAS DE ACO COM ENCHIMENTO DE CONCRETO CELULAR, INCLUSO BASE/HASTE/CRUZETAS, 60 X 60 CM, H = *28* CM, RESISTENCIA CARGA CONCENTRADA 496 KG (COM COLOCACAO)                                                                                                                                                                                                                                                                                                                           </t>
  </si>
  <si>
    <t xml:space="preserve">PISO EM CERAMICA ESMALTADA EXTRA, PEI MAIOR OU IGUAL A 4, FORMATO MAIOR QUE 2025 CM2                                                                                                                                                                                                                                                                                                                                                                                                                      </t>
  </si>
  <si>
    <t>35,67</t>
  </si>
  <si>
    <t xml:space="preserve">PISO EM CERAMICA ESMALTADA EXTRA, PEI MAIOR OU IGUAL A 4, FORMATO MENOR OU IGUAL A 2025 CM2                                                                                                                                                                                                                                                                                                                                                                                                               </t>
  </si>
  <si>
    <t>17,50</t>
  </si>
  <si>
    <t xml:space="preserve">PISO EM CERAMICA ESMALTADA, COMERCIAL (PADRAO POPULAR), PEI MAIOR OU IGUAL A 3, FORMATO MENOR OU IGUAL A  2025 CM2                                                                                                                                                                                                                                                                                                                                                                                        </t>
  </si>
  <si>
    <t xml:space="preserve">PISO EM GRANILITE, MARMORITE OU GRANITINA, AGREGADO COR PRETO, CINZA, PALHA OU BRANCO, E=  *8* MM (INCLUSO EXECUCAO)                                                                                                                                                                                                                                                                                                                                                                                      </t>
  </si>
  <si>
    <t>62,50</t>
  </si>
  <si>
    <t xml:space="preserve">PISO EM GRANITO, POLIDO, TIPO AMENDOA/ AMARELO CAPRI/ AMARELO DOURADO CARIOCA OU OUTROS EQUIVALENTES DA REGIAO, FORMATO MENOR OU IGUAL A 3025 CM2, E=  *2* CM                                                                                                                                                                                                                                                                                                                                             </t>
  </si>
  <si>
    <t>330,00</t>
  </si>
  <si>
    <t xml:space="preserve">PISO EM GRANITO, POLIDO, TIPO ANDORINHA/ QUARTZ/ CASTELO/ CORUMBA OU OUTROS EQUIVALENTES DA REGIAO, FORMATO MENOR OU IGUAL A 3025 CM2, E=  *2* CM                                                                                                                                                                                                                                                                                                                                                         </t>
  </si>
  <si>
    <t>249,05</t>
  </si>
  <si>
    <t xml:space="preserve">PISO EM GRANITO, POLIDO, TIPO MARFIM, DALLAS, CARAVELAS OU OUTROS EQUIVALENTES DA REGIAO, FORMATO MENOR OU IGUAL A 3025 CM2, E=  *2* CM                                                                                                                                                                                                                                                                                                                                                                   </t>
  </si>
  <si>
    <t xml:space="preserve">PISO EM GRANITO, POLIDO, TIPO PRETO SAO GABRIEL/ TIJUCA OU OUTROS EQUIVALENTES DA REGIAO, FORMATO MENOR OU IGUAL A 3025 CM2, E=  *2* CM                                                                                                                                                                                                                                                                                                                                                                   </t>
  </si>
  <si>
    <t>359,74</t>
  </si>
  <si>
    <t xml:space="preserve">PISO EM PORCELANATO RETIFICADO EXTRA, FORMATO MENOR OU IGUAL A 2025 CM2                                                                                                                                                                                                                                                                                                                                                                                                                                   </t>
  </si>
  <si>
    <t xml:space="preserve">PISO EM REGUA VINILICA SEMIFLEXIVEL, ENCAIXE CLICADO, E = 4 MM (SEM COLOCACAO)                                                                                                                                                                                                                                                                                                                                                                                                                            </t>
  </si>
  <si>
    <t>117,64</t>
  </si>
  <si>
    <t xml:space="preserve">PISO EPOXI AUTONIVELANTE, ESPESSURA *4* MM (INCLUSO EXECUCAO)                                                                                                                                                                                                                                                                                                                                                                                                                                             </t>
  </si>
  <si>
    <t>120,00</t>
  </si>
  <si>
    <t xml:space="preserve">PISO EPOXI MULTILAYER, ESPESSURA *2* MM (INCLUSO EXECUCAO)                                                                                                                                                                                                                                                                                                                                                                                                                                                </t>
  </si>
  <si>
    <t>69,90</t>
  </si>
  <si>
    <t xml:space="preserve">PISO FULGET (GRANITO LAVADO) EM PLACAS DE *40 X 40* CM (SEM COLOCACAO)                                                                                                                                                                                                                                                                                                                                                                                                                                    </t>
  </si>
  <si>
    <t>90,00</t>
  </si>
  <si>
    <t xml:space="preserve">PISO FULGET (GRANITO LAVADO) EM PLACAS DE *75 X 75* CM (SEM COLOCACAO)                                                                                                                                                                                                                                                                                                                                                                                                                                    </t>
  </si>
  <si>
    <t>166,00</t>
  </si>
  <si>
    <t xml:space="preserve">PISO FULGET (GRANITO LAVADO) MOLDADO IN LOCO (INCLUSO EXECUCAO)                                                                                                                                                                                                                                                                                                                                                                                                                                           </t>
  </si>
  <si>
    <t>89,00</t>
  </si>
  <si>
    <t xml:space="preserve">PISO INDUSTRIAL EM CONCRETO ARMADO DE ACABAMENTO POLIDO, ESPESSURA 12 CM (CIMENTO QUEIMADO) (INCLUSO EXECUCAO)                                                                                                                                                                                                                                                                                                                                                                                            </t>
  </si>
  <si>
    <t>98,00</t>
  </si>
  <si>
    <t xml:space="preserve">PISO KORODUR (INCLUSO EXECUCAO)                                                                                                                                                                                                                                                                                                                                                                                                                                                                           </t>
  </si>
  <si>
    <t>75,00</t>
  </si>
  <si>
    <t xml:space="preserve">PISO PODOTATIL DE CONCRETO - DIRECIONAL E ALERTA, *40 X 40 X 2,5* CM                                                                                                                                                                                                                                                                                                                                                                                                                                      </t>
  </si>
  <si>
    <t xml:space="preserve">PISO PORCELANATO, BORDA RETA, EXTRA, FORMATO MAIOR QUE 2025 CM2                                                                                                                                                                                                                                                                                                                                                                                                                                           </t>
  </si>
  <si>
    <t>56,15</t>
  </si>
  <si>
    <t xml:space="preserve">PISO TATIL ALERTA OU DIRECIONAL, DE BORRACHA, COLORIDO, 25 X 25 CM, E = 5 MM, PARA COLA                                                                                                                                                                                                                                                                                                                                                                                                                   </t>
  </si>
  <si>
    <t>160,60</t>
  </si>
  <si>
    <t xml:space="preserve">PISO TATIL DE ALERTA OU DIRECIONAL DE BORRACHA, PRETO, 25 X 25 CM, E = 5 MM, PARA COLA                                                                                                                                                                                                                                                                                                                                                                                                                    </t>
  </si>
  <si>
    <t>152,98</t>
  </si>
  <si>
    <t xml:space="preserve">PISO TATIL DE ALERTA OU DIRECIONAL, DE BORRACHA, COLORIDO, 25 X 25 CM, E = 12 MM, PARA ARGAMASSA                                                                                                                                                                                                                                                                                                                                                                                                          </t>
  </si>
  <si>
    <t>397,65</t>
  </si>
  <si>
    <t xml:space="preserve">PISO TATIL DE ALERTA OU DIRECIONAL, DE BORRACHA, PRETO, 25 X 25 CM, E = 12 MM, PARA ARGAMASSA                                                                                                                                                                                                                                                                                                                                                                                                             </t>
  </si>
  <si>
    <t>354,04</t>
  </si>
  <si>
    <t xml:space="preserve">PISO URETANO, VERSAO REVESTIMENTO AUTONIVELANTE, ESPESSURA VARIÁVEL DE 3 A 4 MM (INCLUSO EXECUCAO)                                                                                                                                                                                                                                                                                                                                                                                                        </t>
  </si>
  <si>
    <t>116,50</t>
  </si>
  <si>
    <t xml:space="preserve">PISO/ REVESTIMENTO EM GRANITO, POLIDO, TIPO ANDORINHA/ QUARTZ/ CASTELO/ CORUMBA OU OUTROS EQUIVALENTES DA REGIAO, FORMATO MAIOR OU IGUAL A 3025 CM2, E = *2* CM                                                                                                                                                                                                                                                                                                                                           </t>
  </si>
  <si>
    <t>262,89</t>
  </si>
  <si>
    <t xml:space="preserve">PISO/ REVESTIMENTO EM MARMORE, POLIDO, BRANCO COMUM, FORMATO MAIOR OU IGUAL A 3025 CM2, E = *2* CM                                                                                                                                                                                                                                                                                                                                                                                                        </t>
  </si>
  <si>
    <t>194,58</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</si>
  <si>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</si>
  <si>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</si>
  <si>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50,27</t>
  </si>
  <si>
    <t xml:space="preserve">PLACA / CHAPA DE GESSO ACARTONADO, ACABAMENTO VINILICO LISO EM UMA DAS FACES, COR BRANCA, BORDA QUADRADA, E = 9,5 MM, 625 X 625 MM (L X C), PARA FORRO REMOVIVEL                                                                                                                                                                                                                                                                                                                                          </t>
  </si>
  <si>
    <t>58,06</t>
  </si>
  <si>
    <t xml:space="preserve">PLACA CIMENTICIA LISA E = 10 MM, DE 1,20 X 3,00 M (SEM AMIANTO)                                                                                                                                                                                                                                                                                                                                                                                                                                           </t>
  </si>
  <si>
    <t>39,00</t>
  </si>
  <si>
    <t xml:space="preserve">PLACA CIMENTICIA LISA E = 6 MM, DE 1,20 X 3,00 M (SEM AMIANTO)                                                                                                                                                                                                                                                                                                                                                                                                                                            </t>
  </si>
  <si>
    <t>37,76</t>
  </si>
  <si>
    <t xml:space="preserve">PLACA DE ACO ESMALTADA PARA  IDENTIFICACAO DE RUA, *45 CM X 20* CM                                                                                                                                                                                                                                                                                                                                                                                                                                        </t>
  </si>
  <si>
    <t>108,07</t>
  </si>
  <si>
    <t xml:space="preserve">PLACA DE ACRILICO TRANSPARENTE ADESIVADA PARA SINALIZACAO DE PORTAS, BORDA POLIDA, DE *25 X 8*, E = 6 MM (NAO INCLUI ACESSORIOS PARA FIXACAO)                                                                                                                                                                                                                                                                                                                                                             </t>
  </si>
  <si>
    <t>43,79</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</si>
  <si>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</si>
  <si>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</si>
  <si>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27,37</t>
  </si>
  <si>
    <t xml:space="preserve">PLACA DE FIBRA MINERAL PARA FORRO, DE 625 X 625 MM, E = 15 MM, BORDA RETA, COM PINTURA ANTIMOFO (NAO INCLUI PERFIS)                                                                                                                                                                                                                                                                                                                                                                                       </t>
  </si>
  <si>
    <t xml:space="preserve">PLACA DE GESSO PARA FORRO, DE  *60 X 60* CM E ESPESSURA DE 12 MM (30 MM NAS BORDAS) SEM COLOCACAO                                                                                                                                                                                                                                                                                                                                                                                                         </t>
  </si>
  <si>
    <t xml:space="preserve">PLACA DE INAUGURACAO EM BRONZE *35X 50*CM                                                                                                                                                                                                                                                                                                                                                                                                                                                                 </t>
  </si>
  <si>
    <t>1.572,01</t>
  </si>
  <si>
    <t xml:space="preserve">PLACA DE INAUGURACAO METALICA, *40* CM X *60* CM                                                                                                                                                                                                                                                                                                                                                                                                                                                          </t>
  </si>
  <si>
    <t>987,42</t>
  </si>
  <si>
    <t xml:space="preserve">PLACA DE OBRA (PARA CONSTRUCAO CIVIL) EM CHAPA GALVANIZADA *N. 22*, ADESIVADA, DE *2,0 X 1,125* M                                                                                                                                                                                                                                                                                                                                                                                                         </t>
  </si>
  <si>
    <t>327,50</t>
  </si>
  <si>
    <t xml:space="preserve">PLACA DE SINALIZACAO DE SEGURANCA CONTRA INCENDIO - ALERTA, TRIANGULAR, BASE DE *30* CM, EM PVC *2* MM ANTI-CHAMAS (SIMBOLOS, CORES E PICTOGRAMAS CONFORME NBR 13434)                                                                                                                                                                                                                                                                                                                                     </t>
  </si>
  <si>
    <t>49,21</t>
  </si>
  <si>
    <t xml:space="preserve">PLACA DE SINALIZACAO DE SEGURANCA CONTRA INCENDIO, FOTOLUMINESCENTE, QUADRADA, *14 X 14* CM, EM PVC *2* MM ANTI-CHAMAS (SIMBOLOS, CORES E PICTOGRAMAS CONFORME NBR 13434)                                                                                                                                                                                                                                                                                                                                 </t>
  </si>
  <si>
    <t xml:space="preserve">PLACA DE SINALIZACAO DE SEGURANCA CONTRA INCENDIO, FOTOLUMINESCENTE, QUADRADA, *20 X 20* CM, EM PVC *2* MM ANTI-CHAMAS (SIMBOLOS, CORES E PICTOGRAMAS CONFORME NBR 13434)                                                                                                                                                                                                                                                                                                                                 </t>
  </si>
  <si>
    <t xml:space="preserve">PLACA DE SINALIZACAO DE SEGURANCA CONTRA INCENDIO, FOTOLUMINESCENTE, RETANGULAR, *12 X 40* CM, EM PVC *2* MM ANTI-CHAMAS (SIMBOLOS, CORES E PICTOGRAMAS CONFORME NBR 13434)                                                                                                                                                                                                                                                                                                                               </t>
  </si>
  <si>
    <t xml:space="preserve">PLACA DE SINALIZACAO DE SEGURANCA CONTRA INCENDIO, FOTOLUMINESCENTE, RETANGULAR, *13 X 26* CM, EM PVC *2* MM ANTI-CHAMAS (SIMBOLOS, CORES E PICTOGRAMAS CONFORME NBR 13434)                                                                                                                                                                                                                                                                                                                               </t>
  </si>
  <si>
    <t xml:space="preserve">PLACA DE SINALIZACAO DE SEGURANCA CONTRA INCENDIO, FOTOLUMINESCENTE, RETANGULAR, *20 X 40* CM, EM PVC *2* MM ANTI-CHAMAS (SIMBOLOS, CORES E PICTOGRAMAS CONFORME NBR 13434)                                                                                                                                                                                                                                                                                                                               </t>
  </si>
  <si>
    <t>46,61</t>
  </si>
  <si>
    <t xml:space="preserve">PLACA DE SINALIZACAO EM CHAPA DE ACO NUM 16 COM PINTURA REFLETIVA                                                                                                                                                                                                                                                                                                                                                                                                                                         </t>
  </si>
  <si>
    <t>756,53</t>
  </si>
  <si>
    <t xml:space="preserve">PLACA DE SINALIZACAO EM CHAPA DE ALUMINIO COM PINTURA REFLETIVA, E = 2 MM                                                                                                                                                                                                                                                                                                                                                                                                                                 </t>
  </si>
  <si>
    <t>943,20</t>
  </si>
  <si>
    <t xml:space="preserve">PLACA DE VENTILACAO PARA TELHA DE FIBROCIMENTO CANALETE 49 KALHETA                                                                                                                                                                                                                                                                                                                                                                                                                                        </t>
  </si>
  <si>
    <t>4,27</t>
  </si>
  <si>
    <t xml:space="preserve">PLACA DE VENTILACAO PARA TELHA DE FIBROCIMENTO, CANALETE 90 OU KALHETAO                                                                                                                                                                                                                                                                                                                                                                                                                                   </t>
  </si>
  <si>
    <t xml:space="preserve">PLACA NUMERACAO RESIDENCIAL EM CHAPA GALVANIZADA ESMALTADA 12 X 18 CM                                                                                                                                                                                                                                                                                                                                                                                                                                     </t>
  </si>
  <si>
    <t>49,12</t>
  </si>
  <si>
    <t xml:space="preserve">PLACA ORIENTATIVA SOBRE EXERCÍCIOS, 2,00M X 1,00M, EM TUBO DE ACO CARBONO, PINTURA NO PROCESSO ELETROSTATICO - PARA ACADEMIA AO AR LIVRE / ACADEMIA DA TERCEIRA IDADE - ATI                                                                                                                                                                                                                                                                                                                               </t>
  </si>
  <si>
    <t>1.187,61</t>
  </si>
  <si>
    <t xml:space="preserve">PLACA VINILICA SEMIFLEXIVEL PARA PISOS, E = 3,2 MM, 30 X 30 CM (SEM COLOCACAO)                                                                                                                                                                                                                                                                                                                                                                                                                            </t>
  </si>
  <si>
    <t>112,93</t>
  </si>
  <si>
    <t xml:space="preserve">PLACA VINILICA SEMIFLEXIVEL PARA REVESTIMENTO DE PISOS E PAREDES, E = 2 MM (SEM COLOCACAO)                                                                                                                                                                                                                                                                                                                                                                                                                </t>
  </si>
  <si>
    <t xml:space="preserve">PLACA/PISO DE CONCRETO POROSO/ PAVIMENTO PERMEAVEL/BLOCO DRENANTE DE CONCRETO, 40 CM X 40 CM, E = 6 CM, COR NATURAL                                                                                                                                                                                                                                                                                                                                                                                       </t>
  </si>
  <si>
    <t>43,96</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</si>
  <si>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</si>
  <si>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</si>
  <si>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</si>
  <si>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</si>
  <si>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</si>
  <si>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</si>
  <si>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</si>
  <si>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</si>
  <si>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</si>
  <si>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</si>
  <si>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57,46</t>
  </si>
  <si>
    <t xml:space="preserve">PLUG PVC P/ ESG PREDIAL  75MM                                                                                                                                                                                                                                                                                                                                                                                                                                                                             </t>
  </si>
  <si>
    <t xml:space="preserve">PLUG PVC P/ ESG PREDIAL 100MM                                                                                                                                                                                                                                                                                                                                                                                                                                                                             </t>
  </si>
  <si>
    <t xml:space="preserve">PLUG PVC P/ ESG PREDIAL 50MM                                                                                                                                                                                                                                                                                                                                                                                                                                                                              </t>
  </si>
  <si>
    <t xml:space="preserve">PLUG PVC ROSCAVEL,  1/2",  AGUA FRIA PREDIAL (NBR 5648)                                                                                                                                                                                                                                                                                                                                                                                                                                                   </t>
  </si>
  <si>
    <t xml:space="preserve">PLUG PVC,  JE, DN 100 MM, PARA REDE COLETORA ESGOTO (NBR 10569)                                                                                                                                                                                                                                                                                                                                                                                                                                           </t>
  </si>
  <si>
    <t>16,75</t>
  </si>
  <si>
    <t xml:space="preserve">PLUG PVC, JE, DN 150 MM, PARA REDE COLETORA ESGOTO (NBR 10569)                                                                                                                                                                                                                                                                                                                                                                                                                                            </t>
  </si>
  <si>
    <t>37,91</t>
  </si>
  <si>
    <t xml:space="preserve">PLUG PVC, JE, DN 200 MM, PARA REDE COLETORA ESGOTO (NBR 10569)                                                                                                                                                                                                                                                                                                                                                                                                                                            </t>
  </si>
  <si>
    <t>76,97</t>
  </si>
  <si>
    <t xml:space="preserve">PLUG PVC, JE, DN 250 MM, PARA REDE COLETORA ESGOTO (NBR 10569)                                                                                                                                                                                                                                                                                                                                                                                                                                            </t>
  </si>
  <si>
    <t>148,66</t>
  </si>
  <si>
    <t xml:space="preserve">PLUG PVC, JE, DN 350 MM, PARA REDE COLETORA ESGOTO (NBR 10569)                                                                                                                                                                                                                                                                                                                                                                                                                                            </t>
  </si>
  <si>
    <t>437,11</t>
  </si>
  <si>
    <t xml:space="preserve">PLUG PVC, ROSCAVEL 1", PARA AGUA FRIA PREDIAL                                                                                                                                                                                                                                                                                                                                                                                                                                                             </t>
  </si>
  <si>
    <t xml:space="preserve">PLUG PVC, ROSCAVEL 3/4", PARA  AGUA FRIA PREDIAL                                                                                                                                                                                                                                                                                                                                                                                                                                                          </t>
  </si>
  <si>
    <t xml:space="preserve">PLUG PVC, ROSCAVEL, 1 1/2",  AGUA FRIA PREDIAL                                                                                                                                                                                                                                                                                                                                                                                                                                                            </t>
  </si>
  <si>
    <t xml:space="preserve">PLUG PVC, ROSCAVEL, 1 1/4",  AGUA FRIA PREDIAL                                                                                                                                                                                                                                                                                                                                                                                                                                                            </t>
  </si>
  <si>
    <t xml:space="preserve">PLUG PVC, ROSCAVEL, 2",  AGUA FRIA PREDIAL                                                                                                                                                                                                                                                                                                                                                                                                                                                                </t>
  </si>
  <si>
    <t xml:space="preserve">PO DE MARMORE (POSTO PEDREIRA/FORNECEDOR, SEM FRETE)                                                                                                                                                                                                                                                                                                                                                                                                                                                      </t>
  </si>
  <si>
    <t xml:space="preserve">PO DE PEDRA (POSTO PEDREIRA/FORNECEDOR, SEM FRETE)                                                                                                                                                                                                                                                                                                                                                                                                                                                        </t>
  </si>
  <si>
    <t>80,95</t>
  </si>
  <si>
    <t xml:space="preserve">POCEIRO / ESCAVADOR DE VALAS E TUBULOES                                                                                                                                                                                                                                                                                                                                                                                                                                                                   </t>
  </si>
  <si>
    <t xml:space="preserve">POCEIRO / ESCAVADOR DE VALAS E TUBULOES (MENSALISTA)                                                                                                                                                                                                                                                                                                                                                                                                                                                      </t>
  </si>
  <si>
    <t>1.955,99</t>
  </si>
  <si>
    <t xml:space="preserve">POLIDORA DE PISO (POLITRIZ) ELETRICA, MOTOR MONOFASICO DE 4 HP, PESO DE 100 KG, DIAMETRO DO TRABALHO DE 450 MM                                                                                                                                                                                                                                                                                                                                                                                            </t>
  </si>
  <si>
    <t>5.606,14</t>
  </si>
  <si>
    <t xml:space="preserve">POLIESTIRENO EXPANDIDO/EPS (ISOPOR), PEROLAS, PARA CONCRETO LEVE                                                                                                                                                                                                                                                                                                                                                                                                                                          </t>
  </si>
  <si>
    <t>38,43</t>
  </si>
  <si>
    <t xml:space="preserve">POLIESTIRENO EXPANDIDO/EPS (ISOPOR), TIPO 2F, BLOCO                                                                                                                                                                                                                                                                                                                                                                                                                                                       </t>
  </si>
  <si>
    <t>295,65</t>
  </si>
  <si>
    <t xml:space="preserve">POLIESTIRENO EXPANDIDO/EPS (ISOPOR), TIPO 2F, PLACA, ISOLAMENTO TERMOACUSTICO, E = 10 MM, 1000 X 500 MM                                                                                                                                                                                                                                                                                                                                                                                                   </t>
  </si>
  <si>
    <t>2,50</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</si>
  <si>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</si>
  <si>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</si>
  <si>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</si>
  <si>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76,66</t>
  </si>
  <si>
    <t xml:space="preserve">PONTALETE DE MADEIRA NAO APARELHADA *7,5 X 7,5* CM (3 X 3 ") PINUS, MISTA OU EQUIVALENTE DA REGIAO                                                                                                                                                                                                                                                                                                                                                                                                        </t>
  </si>
  <si>
    <t xml:space="preserve">PONTEIRO PARA MARTELO ROMPEDOR, DIAMETRO = *28* MM, COMPRIMENTO = *520* MM, ENCAIXE SEXTAVADO                                                                                                                                                                                                                                                                                                                                                                                                             </t>
  </si>
  <si>
    <t>224,69</t>
  </si>
  <si>
    <t xml:space="preserve">PORCA OLHAL EM ACO GALVANIZADO, DIAMETRO NOMINAL DE 16 MM                                                                                                                                                                                                                                                                                                                                                                                                                                                 </t>
  </si>
  <si>
    <t xml:space="preserve">PORCA OLHAL EM ACO GALVANIZADO, ESPESSURA 16MM, ABERTURA 21MM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</si>
  <si>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</si>
  <si>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</si>
  <si>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</si>
  <si>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</si>
  <si>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</si>
  <si>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</si>
  <si>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</si>
  <si>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</si>
  <si>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</si>
  <si>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3 1/2", EM ACO ZINCADO, PRETO, PARA PORTAO E JANELA                                                                                                                                                                                                                                                                                                                                                                                                                                       </t>
  </si>
  <si>
    <t>2,17</t>
  </si>
  <si>
    <t xml:space="preserve">PORTA CORTA-FOGO PARA SAIDA DE EMERGENCIA, COM FECHADURA, VAO LUZ DE 90 X 210 CM, CLASSE P-90 (NBR 11742)                                                                                                                                                                                                                                                                                                                                                                                                 </t>
  </si>
  <si>
    <t>574,06</t>
  </si>
  <si>
    <t xml:space="preserve">PORTA DE ABRIR EM ACO COM DIVISAO HORIZONTAL  PARA VIDROS, COM FUNDO ANTICORROSIVO/PRIMER DE PROTECAO, SEM GUARNICAO/ALIZAR/VISTA, VIDROS NAO INCLUSOS, 87 X 210 CM                                                                                                                                                                                                                                                                                                                                       </t>
  </si>
  <si>
    <t>258,21</t>
  </si>
  <si>
    <t xml:space="preserve">PORTA DE ABRIR EM ACO TIPO VENEZIANA, COM FUNDO ANTICORROSIVO / PRIMER DE PROTECAO, SEM GUARNICAO/ALIZAR/VISTA, 87 X 210 CM                                                                                                                                                                                                                                                                                                                                                                               </t>
  </si>
  <si>
    <t>319,33</t>
  </si>
  <si>
    <t xml:space="preserve">PORTA DE ABRIR EM ALUMINIO COM DIVISAO HORIZONTAL  PARA VIDROS,  ACABAMENTO ANODIZADO NATURAL, VIDROS INCLUSOS, SEM GUARNICAO/ALIZAR/VISTA , 87 X 210 CM                                                                                                                                                                                                                                                                                                                                                  </t>
  </si>
  <si>
    <t>557,93</t>
  </si>
  <si>
    <t xml:space="preserve">PORTA DE ABRIR EM ALUMINIO COM LAMBRI HORIZONTAL/LAMINADA, ACABAMENTO ANODIZADO NATURAL, SEM GUARNICAO/ALIZAR/VISTA                                                                                                                                                                                                                                                                                                                                                                                       </t>
  </si>
  <si>
    <t>452,38</t>
  </si>
  <si>
    <t xml:space="preserve">PORTA DE ABRIR EM ALUMINIO TIPO VENEZIANA, ACABAMENTO ANODIZADO NATURAL, SEM GUARNICAO/ALIZAR/VISTA                                                                                                                                                                                                                                                                                                                                                                                                       </t>
  </si>
  <si>
    <t>312,42</t>
  </si>
  <si>
    <t xml:space="preserve">PORTA DE ABRIR EM ALUMINIO TIPO VENEZIANA, ACABAMENTO ANODIZADO NATURAL, SEM GUARNICAO/ALIZAR/VISTA, 87 X 210 CM                                                                                                                                                                                                                                                                                                                                                                                          </t>
  </si>
  <si>
    <t>572,10</t>
  </si>
  <si>
    <t xml:space="preserve">PORTA DE ABRIR EM GRADIL COM BARRA CHATA 3 CM X 1/4", COM REQUADRO E GUARNICAO - COMPLETO - ACABAMENTO NATURAL                                                                                                                                                                                                                                                                                                                                                                                            </t>
  </si>
  <si>
    <t>277,50</t>
  </si>
  <si>
    <t xml:space="preserve">PORTA DE CORRER EM ALUMINIO, DUAS FOLHAS MOVEIS COM VIDRO, FECHADURA E PUXADOR EMBUTIDO, ACABAMENTO ANODIZADO NATURAL, SEM GUARNICAO/ALIZAR/VISTA                                                                                                                                                                                                                                                                                                                                                         </t>
  </si>
  <si>
    <t>289,79</t>
  </si>
  <si>
    <t xml:space="preserve">PORTA DE ENROLAR MANUAL COMPLETA, ARTICULADA RAIADA LARGA, EM ACO GALVANIZADO NATURAL, CHAPA NUMERO 24 (SEM INSTALACAO)                                                                                                                                                                                                                                                                                                                                                                                   </t>
  </si>
  <si>
    <t>186,20</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</si>
  <si>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</si>
  <si>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</si>
  <si>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160,34</t>
  </si>
  <si>
    <t xml:space="preserve">PORTA DE ENROLAR MANUAL COMPLETA, PERFIL MEIA CANA VAZADA TIJOLINHO, EM ACO GALVANIZADO NATURAL, CHAPA NUMERO 24 (SEM INSTALACAO)                                                                                                                                                                                                                                                                                                                                                                         </t>
  </si>
  <si>
    <t>379,99</t>
  </si>
  <si>
    <t xml:space="preserve">PORTA DE MADEIRA QUADRICULADA PARA VIDRO, DE CORRER (EUCALIPTO OU EQUIVALENTE REGIONAL), E = *3,5* CM                                                                                                                                                                                                                                                                                                                                                                                                     </t>
  </si>
  <si>
    <t>277,19</t>
  </si>
  <si>
    <t xml:space="preserve">PORTA DE MADEIRA TIPO VENEZIANA (EUCALIPTO OU EQUIVALENTE REGIONAL), E = *3,5* CM                                                                                                                                                                                                                                                                                                                                                                                                                         </t>
  </si>
  <si>
    <t>187,11</t>
  </si>
  <si>
    <t xml:space="preserve">PORTA DE MADEIRA-DE-LEI QUADRICULADA PARA VIDRO, DE CORRER (ANGELIM OU EQUIVALENTE REGIONAL), E = *3,5* CM                                                                                                                                                                                                                                                                                                                                                                                                </t>
  </si>
  <si>
    <t>457,84</t>
  </si>
  <si>
    <t xml:space="preserve">PORTA DE MADEIRA-DE-LEI TIPO MEXICANA SEM EMENDA (ANGELIM OU EQUIVALENTE REGIONAL), E = *3,5* CM                                                                                                                                                                                                                                                                                                                                                                                                          </t>
  </si>
  <si>
    <t>380,25</t>
  </si>
  <si>
    <t xml:space="preserve">PORTA DE MADEIRA-DE-LEI TIPO VENEZIANA (ANGELIM OU EQUIVALENTE REGIONAL), E = *3,5* CM                                                                                                                                                                                                                                                                                                                                                                                                                    </t>
  </si>
  <si>
    <t>264,64</t>
  </si>
  <si>
    <t xml:space="preserve">PORTA DE MADEIRA, FOLHA LEVE (NBR 15930) DE 60 X 210 CM, E = *35* MM, NUCLEO COLMEIA, CAPA LISA EM HDF, ACABAMENTO EM PRIMER PARA PINTURA                                                                                                                                                                                                                                                                                                                                                                 </t>
  </si>
  <si>
    <t>96,80</t>
  </si>
  <si>
    <t xml:space="preserve">PORTA DE MADEIRA, FOLHA LEVE (NBR 15930) DE 70 X 210 CM, E = *35* MM, NUCLEO COLMEIA, CAPA LISA EM HDF, ACABAMENTO EM PRIMER PARA PINTURA                                                                                                                                                                                                                                                                                                                                                                 </t>
  </si>
  <si>
    <t>104,25</t>
  </si>
  <si>
    <t xml:space="preserve">PORTA DE MADEIRA, FOLHA LEVE (NBR 15930) DE 80 X 210 CM, E = *35* MM, NUCLEO COLMEIA, CAPA LISA EM HDF, ACABAMENTO EM PRIMER PARA PINTURA                                                                                                                                                                                                                                                                                                                                                                 </t>
  </si>
  <si>
    <t>110,32</t>
  </si>
  <si>
    <t xml:space="preserve">PORTA DE MADEIRA, FOLHA LEVE (NBR 15930), E = *35* MM, NUCLEO COLMEIA, CAPA LISA EM HDF, ACABAMENTO MELAMINICO EM PADRAO MADEIRA                                                                                                                                                                                                                                                                                                                                                                          </t>
  </si>
  <si>
    <t>84,98</t>
  </si>
  <si>
    <t xml:space="preserve">PORTA DE MADEIRA, FOLHA MEDIA (NBR 15930) DE 100 X 210 CM, E = 35 MM, NUCLEO SARRAFEADO, CAPA LISA EM HDF, ACABAMENTO EM LAMINADO NATURAL PARA VERNIZ                                                                                                                                                                                                                                                                                                                                                     </t>
  </si>
  <si>
    <t>220,52</t>
  </si>
  <si>
    <t xml:space="preserve">PORTA DE MADEIRA, FOLHA MEDIA (NBR 15930) DE 100 X 210 CM, E = 35 MM, NUCLEO SARRAFEADO, CAPA LISA EM HDF, ACABAMENTO EM PRIMER PARA PINTURA                                                                                                                                                                                                                                                                                                                                                              </t>
  </si>
  <si>
    <t>191,45</t>
  </si>
  <si>
    <t xml:space="preserve">PORTA DE MADEIRA, FOLHA MEDIA (NBR 15930) DE 60 X 210 CM, E = 35 MM, NUCLEO SARRAFEADO, CAPA FRISADA EM HDF, ACABAMENTO MELAMINICO EM PADRAO MADEIRA                                                                                                                                                                                                                                                                                                                                                      </t>
  </si>
  <si>
    <t>168,73</t>
  </si>
  <si>
    <t xml:space="preserve">PORTA DE MADEIRA, FOLHA MEDIA (NBR 15930) DE 60 X 210 CM, E = 35 MM, NUCLEO SARRAFEADO, CAPA LISA EM HDF, ACABAMENTO EM PRIMER PARA PINTURA                                                                                                                                                                                                                                                                                                                                                               </t>
  </si>
  <si>
    <t>179,90</t>
  </si>
  <si>
    <t xml:space="preserve">PORTA DE MADEIRA, FOLHA MEDIA (NBR 15930) DE 60 X 210 CM, E = 35 MM, NUCLEO SARRAFEADO, CAPA LISA EM HDF, ACABAMENTO LAMINADO NATURAL PARA VERNIZ                                                                                                                                                                                                                                                                                                                                                         </t>
  </si>
  <si>
    <t xml:space="preserve">PORTA DE MADEIRA, FOLHA MEDIA (NBR 15930) DE 70 X 210 CM, E = 35 MM, NUCLEO SARRAFEADO, CAPA FRISADA EM HDF, ACABAMENTO MELAMINICO EM PADRAO MADEIRA                                                                                                                                                                                                                                                                                                                                                      </t>
  </si>
  <si>
    <t>181,71</t>
  </si>
  <si>
    <t xml:space="preserve">PORTA DE MADEIRA, FOLHA MEDIA (NBR 15930) DE 70 X 210 CM, E = 35 MM, NUCLEO SARRAFEADO, CAPA LISA EM HDF, ACABAMENTO EM LAMINADO NATURAL PARA VERNIZ                                                                                                                                                                                                                                                                                                                                                      </t>
  </si>
  <si>
    <t>128,50</t>
  </si>
  <si>
    <t xml:space="preserve">PORTA DE MADEIRA, FOLHA MEDIA (NBR 15930) DE 70 X 210 CM, E = 35 MM, NUCLEO SARRAFEADO, CAPA LISA EM HDF, ACABAMENTO EM PRIMER PARA PINTURA                                                                                                                                                                                                                                                                                                                                                               </t>
  </si>
  <si>
    <t>201,05</t>
  </si>
  <si>
    <t xml:space="preserve">PORTA DE MADEIRA, FOLHA MEDIA (NBR 15930) DE 80 X 210 CM, E = 35 MM, NUCLEO SARRAFEADO, CAPA FRISADA EM HDF, ACABAMENTO MELAMINICO EM PADRAO MADEIRA                                                                                                                                                                                                                                                                                                                                                      </t>
  </si>
  <si>
    <t>220,65</t>
  </si>
  <si>
    <t xml:space="preserve">PORTA DE MADEIRA, FOLHA MEDIA (NBR 15930) DE 80 X 210 CM, E = 35 MM, NUCLEO SARRAFEADO, CAPA LISA EM HDF, ACABAMENTO EM LAMINADO NATURAL PARA VERNIZ                                                                                                                                                                                                                                                                                                                                                      </t>
  </si>
  <si>
    <t>218,83</t>
  </si>
  <si>
    <t xml:space="preserve">PORTA DE MADEIRA, FOLHA MEDIA (NBR 15930) DE 80 X 210 CM, E = 35 MM, NUCLEO SARRAFEADO, CAPA LISA EM HDF, ACABAMENTO EM PRIMER PARA PINTURA                                                                                                                                                                                                                                                                                                                                                               </t>
  </si>
  <si>
    <t>194,04</t>
  </si>
  <si>
    <t xml:space="preserve">PORTA DE MADEIRA, FOLHA MEDIA (NBR 15930) DE 90 X 210 CM, E = 35 MM, NUCLEO SARRAFEADO, CAPA LISA EM HDF, ACABAMENTO EM LAMINADO NATURAL PARA VERNIZ                                                                                                                                                                                                                                                                                                                                                      </t>
  </si>
  <si>
    <t xml:space="preserve">PORTA DE MADEIRA, FOLHA MEDIA (NBR 15930) DE 90 X 210 CM, E = 35 MM, NUCLEO SARRAFEADO, CAPA LISA EM HDF, ACABAMENTO EM PRIMER PARA PINTURA                                                                                                                                                                                                                                                                                                                                                               </t>
  </si>
  <si>
    <t>206,15</t>
  </si>
  <si>
    <t xml:space="preserve">PORTA DE MADEIRA, FOLHA MEDIA (NBR 15930), E = 35 MM, NUCLEO SARRAFEADO, CAPA FRISADA EM HDF, ACABAMENTO MELAMINICO EM PADRAO MADEIRA                                                                                                                                                                                                                                                                                                                                                                     </t>
  </si>
  <si>
    <t>117,82</t>
  </si>
  <si>
    <t xml:space="preserve">PORTA DE MADEIRA, FOLHA PESADA (NBR 15930) DE 80 X 210 CM, E = 35 MM, NUCLEO SOLIDO, CAPA LISA EM HDF, ACABAMENTO EM LAMINADO NATURAL PARA VERNIZ                                                                                                                                                                                                                                                                                                                                                         </t>
  </si>
  <si>
    <t>285,55</t>
  </si>
  <si>
    <t xml:space="preserve">PORTA DE MADEIRA, FOLHA PESADA (NBR 15930) DE 80 X 210 CM, E = 35 MM, NUCLEO SOLIDO, CAPA LISA EM HDF, ACABAMENTO EM PRIMER PARA PINTURA                                                                                                                                                                                                                                                                                                                                                                  </t>
  </si>
  <si>
    <t>202,48</t>
  </si>
  <si>
    <t xml:space="preserve">PORTA DE MADEIRA, FOLHA PESADA (NBR 15930) DE 90 X 210 CM, E = 35 MM, NUCLEO SOLIDO, CAPA LISA EM HDF, ACABAMENTO EM LAMINADO NATURAL PARA VERNIZ                                                                                                                                                                                                                                                                                                                                                         </t>
  </si>
  <si>
    <t>310,21</t>
  </si>
  <si>
    <t xml:space="preserve">PORTA DE MADEIRA, FOLHA PESADA (NBR 15930) DE 90 X 210 CM, E = 35 MM, NUCLEO SOLIDO, CAPA LISA EM HDF, ACABAMENTO EM PRIMER PARA PINTURA                                                                                                                                                                                                                                                                                                                                                                  </t>
  </si>
  <si>
    <t xml:space="preserve">PORTA DENTE PARA FRESADORA                                                                                                                                                                                                                                                                                                                                                                                                                                                                                </t>
  </si>
  <si>
    <t>388,99</t>
  </si>
  <si>
    <t xml:space="preserve">PORTA GRADE DE ENROLAR MANUAL COMPLETA, PERFIL TUBULAR TIJOLINHO 3/4 ", EM ACO GALVANIZADO NATURAL (SEM INSTALACAO)                                                                                                                                                                                                                                                                                                                                                                                       </t>
  </si>
  <si>
    <t>568,09</t>
  </si>
  <si>
    <t xml:space="preserve">PORTA TOALHA BANHO EM METAL CROMADO, TIPO BARRA                                                                                                                                                                                                                                                                                                                                                                                                                                                           </t>
  </si>
  <si>
    <t>29,16</t>
  </si>
  <si>
    <t xml:space="preserve">PORTA TOALHA ROSTO EM METAL CROMADO, TIPO ARGOLA                                                                                                                                                                                                                                                                                                                                                                                                                                                          </t>
  </si>
  <si>
    <t xml:space="preserve">PORTA VIDRO TEMPERADO INCOLOR, 2 FOLHAS DE CORRER, E = 10 MM (SEM FERRAGENS E SEM COLOCACAO)                                                                                                                                                                                                                                                                                                                                                                                                              </t>
  </si>
  <si>
    <t>127,77</t>
  </si>
  <si>
    <t xml:space="preserve">PORTAO BASCULANTE MANUAL EM ACO GALVANIZADO NATURAL, TIPO LAMBRIL COM REQUADRO/BATENTE, CHAPA NUMERO 26, INCLUI FECHADURA (SEM INSTALACAO)                                                                                                                                                                                                                                                                                                                                                                </t>
  </si>
  <si>
    <t>356,61</t>
  </si>
  <si>
    <t xml:space="preserve">PORTAO BASCULANTE, MANUAL, EM CHAPA TIPO LAMBRIL QUADRADO, COM REQUADRO, ACABAMENTO NATURAL                                                                                                                                                                                                                                                                                                                                                                                                               </t>
  </si>
  <si>
    <t xml:space="preserve">PORTAO DE ABRIR EM GRADIL DE METALON REDONDO DE 3/4"  VERTICAL, COM REQUADRO, ACABAMENTO NATURAL - COMPLETO                                                                                                                                                                                                                                                                                                                                                                                               </t>
  </si>
  <si>
    <t xml:space="preserve">PORTAO DE CORRER EM CHAPA TIPO PAINEL LAMBRIL QUADRADO, COM PORTA SOCIAL COMPLETA INCLUIDA, COM REQUADRO, ACABAMENTO NATURAL, COM TRILHOS E ROLDANAS                                                                                                                                                                                                                                                                                                                                                      </t>
  </si>
  <si>
    <t>511,15</t>
  </si>
  <si>
    <t xml:space="preserve">PORTAO DE CORRER EM GRADIL FIXO DE BARRA DE FERRO CHATA DE 3 X 1/4" NA VERTICAL, SEM REQUADRO, ACABAMENTO NATURAL, COM TRILHOS E ROLDANAS                                                                                                                                                                                                                                                                                                                                                                 </t>
  </si>
  <si>
    <t>327,85</t>
  </si>
  <si>
    <t xml:space="preserve">PORTINHOLA DE ABRIR EM ALUMINIO DE 60 X 80 CM, VENEZIANA VENTILADA 1 FOLHA, ACABAMENTO ANODIZADO NATURAL                                                                                                                                                                                                                                                                                                                                                                                                  </t>
  </si>
  <si>
    <t>155,77</t>
  </si>
  <si>
    <t xml:space="preserve">POSTE CONICO CONTINUO EM ACO GALVANIZADO, CURVO, BRACO DUPLO, ENGASTADO,  H = 9 M, DIAMETRO INFERIOR = *135* MM                                                                                                                                                                                                                                                                                                                                                                                           </t>
  </si>
  <si>
    <t>1.041,38</t>
  </si>
  <si>
    <t xml:space="preserve">POSTE CONICO CONTINUO EM ACO GALVANIZADO, CURVO, BRACO DUPLO, FLANGEADO,  H = 9 M, DIAMETRO INFERIOR = *135* MM                                                                                                                                                                                                                                                                                                                                                                                           </t>
  </si>
  <si>
    <t>1.183,59</t>
  </si>
  <si>
    <t xml:space="preserve">POSTE CONICO CONTINUO EM ACO GALVANIZADO, CURVO, BRACO SIMPLES, ENGASTADO,  H = 9 M, DIAMETRO INFERIOR = *135* MM                                                                                                                                                                                                                                                                                                                                                                                         </t>
  </si>
  <si>
    <t>1.006,63</t>
  </si>
  <si>
    <t xml:space="preserve">POSTE CONICO CONTINUO EM ACO GALVANIZADO, CURVO, BRACO SIMPLES, FLANGEADO,  H = 9 M, DIAMETRO INFERIOR = *135* MM                                                                                                                                                                                                                                                                                                                                                                                         </t>
  </si>
  <si>
    <t>1.005,17</t>
  </si>
  <si>
    <t xml:space="preserve">POSTE CONICO CONTINUO EM ACO GALVANIZADO, CURVO, BRACO SIMPLES, FLANGEADO, H = 7 M, DIAMETRO INFERIOR = *125* MM                                                                                                                                                                                                                                                                                                                                                                                          </t>
  </si>
  <si>
    <t>750,00</t>
  </si>
  <si>
    <t xml:space="preserve">POSTE CONICO CONTINUO EM ACO GALVANIZADO, RETO, ENGASTADO,  H = 7 M, DIAMETRO INFERIOR = *125* MM                                                                                                                                                                                                                                                                                                                                                                                                         </t>
  </si>
  <si>
    <t>759,52</t>
  </si>
  <si>
    <t xml:space="preserve">POSTE CONICO CONTINUO EM ACO GALVANIZADO, RETO, ENGASTADO,  H = 9 M, DIAMETRO INFERIOR = *145* MM                                                                                                                                                                                                                                                                                                                                                                                                         </t>
  </si>
  <si>
    <t>1.052,21</t>
  </si>
  <si>
    <t xml:space="preserve">POSTE CONICO CONTINUO EM ACO GALVANIZADO, RETO, FLANGEADO,  H = 3 M, DIAMETRO INFERIOR = *95* MM                                                                                                                                                                                                                                                                                                                                                                                                          </t>
  </si>
  <si>
    <t>258,97</t>
  </si>
  <si>
    <t xml:space="preserve">POSTE CONICO CONTINUO EM ACO GALVANIZADO, RETO, FLANGEADO, H = 6 M, DIAMETRO INFERIOR = *90* CM                                                                                                                                                                                                                                                                                                                                                                                                           </t>
  </si>
  <si>
    <t>615,57</t>
  </si>
  <si>
    <t xml:space="preserve">POSTE DE CONCRETO CIRCULAR, 150 KG, H = 10 M (NBR 8451)                                                                                                                                                                                                                                                                                                                                                                                                                                                   </t>
  </si>
  <si>
    <t>540,11</t>
  </si>
  <si>
    <t xml:space="preserve">POSTE DE CONCRETO CIRCULAR, 200 KG, H = 11 M (NBR 8451)                                                                                                                                                                                                                                                                                                                                                                                                                                                   </t>
  </si>
  <si>
    <t>752,13</t>
  </si>
  <si>
    <t xml:space="preserve">POSTE DE CONCRETO CIRCULAR, 200 KG, H = 9 M (NBR 8451)                                                                                                                                                                                                                                                                                                                                                                                                                                                    </t>
  </si>
  <si>
    <t>530,64</t>
  </si>
  <si>
    <t xml:space="preserve">POSTE DE CONCRETO CIRCULAR, 300 KG, H = 11 M (NBR 8451)                                                                                                                                                                                                                                                                                                                                                                                                                                                   </t>
  </si>
  <si>
    <t>754,43</t>
  </si>
  <si>
    <t xml:space="preserve">POSTE DE CONCRETO CIRCULAR, 300 KG, H = 9 M (NBR 8451)                                                                                                                                                                                                                                                                                                                                                                                                                                                    </t>
  </si>
  <si>
    <t>587,19</t>
  </si>
  <si>
    <t xml:space="preserve">POSTE DE CONCRETO CIRCULAR, 400 KG, H = 11 M (NBR 8451)                                                                                                                                                                                                                                                                                                                                                                                                                                                   </t>
  </si>
  <si>
    <t>960,05</t>
  </si>
  <si>
    <t xml:space="preserve">POSTE DE CONCRETO CIRCULAR, 400 KG, H = 14 M (NBR 8451)                                                                                                                                                                                                                                                                                                                                                                                                                                                   </t>
  </si>
  <si>
    <t>1.602,64</t>
  </si>
  <si>
    <t xml:space="preserve">POSTE DE CONCRETO CIRCULAR, 400 KG, H = 9 M (NBR 8451)                                                                                                                                                                                                                                                                                                                                                                                                                                                    </t>
  </si>
  <si>
    <t>750,85</t>
  </si>
  <si>
    <t xml:space="preserve">POSTE DE CONCRETO CIRCULAR, 600 KG, H = 10 M (NBR 8451)                                                                                                                                                                                                                                                                                                                                                                                                                                                   </t>
  </si>
  <si>
    <t>1.036,10</t>
  </si>
  <si>
    <t xml:space="preserve">POSTE DE CONCRETO DUPLO T ,TIPO B, 500 KG, H = 9 M (NBR 8451)                                                                                                                                                                                                                                                                                                                                                                                                                                             </t>
  </si>
  <si>
    <t>805,07</t>
  </si>
  <si>
    <t xml:space="preserve">POSTE DE CONCRETO DUPLO T, TIPO B, 300 KG, H = 10 M (NBR 8451)                                                                                                                                                                                                                                                                                                                                                                                                                                            </t>
  </si>
  <si>
    <t>645,66</t>
  </si>
  <si>
    <t xml:space="preserve">POSTE DE CONCRETO DUPLO T, TIPO B, 300 KG, H = 9 M (NBR 8451)                                                                                                                                                                                                                                                                                                                                                                                                                                             </t>
  </si>
  <si>
    <t>536,00</t>
  </si>
  <si>
    <t xml:space="preserve">POSTE DE CONCRETO DUPLO T, TIPO D, 200 KG, H = 9 M (NBR 8451)                                                                                                                                                                                                                                                                                                                                                                                                                                             </t>
  </si>
  <si>
    <t>436,84</t>
  </si>
  <si>
    <t xml:space="preserve">POSTE DE CONCRETO DUPLO T, 200 KG, H = 11 M (NBR 8451)                                                                                                                                                                                                                                                                                                                                                                                                                                                    </t>
  </si>
  <si>
    <t>575,66</t>
  </si>
  <si>
    <t xml:space="preserve">POSTE DE CONCRETO DUPLO T, 300 KG, H = 12 M (NBR 8451)                                                                                                                                                                                                                                                                                                                                                                                                                                                    </t>
  </si>
  <si>
    <t>855,78</t>
  </si>
  <si>
    <t xml:space="preserve">POSTE DE CONCRETO DUPLO T, 400 KG,H = 12 M (NBR 8451)                                                                                                                                                                                                                                                                                                                                                                                                                                                     </t>
  </si>
  <si>
    <t>896,19</t>
  </si>
  <si>
    <t xml:space="preserve">POSTE DECORATIVO PARA JARDIM EM ACO TUBULAR, SEM LUMINARIA, H = *2,5* M                                                                                                                                                                                                                                                                                                                                                                                                                                   </t>
  </si>
  <si>
    <t>153,29</t>
  </si>
  <si>
    <t xml:space="preserve">POSTE PADRAO SUBTERRANEO 100 A, H = 2,5 M                                                                                                                                                                                                                                                                                                                                                                                                                                                                 </t>
  </si>
  <si>
    <t>616,40</t>
  </si>
  <si>
    <t xml:space="preserve">POSTE PADRAO SUBTERRANEO 200 A, H = 2,5 M                                                                                                                                                                                                                                                                                                                                                                                                                                                                 </t>
  </si>
  <si>
    <t>1.479,36</t>
  </si>
  <si>
    <t xml:space="preserve">POZOLANA DE CLASSE C                                                                                                                                                                                                                                                                                                                                                                                                                                                                                      </t>
  </si>
  <si>
    <t>245,94</t>
  </si>
  <si>
    <t xml:space="preserve">PRANCHA DE MADEIRA APARELHADA *4 X 30* CM, MACARANDUBA, ANGELIM OU EQUIVALENTE DA REGIAO                                                                                                                                                                                                                                                                                                                                                                                                                  </t>
  </si>
  <si>
    <t>51,53</t>
  </si>
  <si>
    <t xml:space="preserve">PRANCHA DE MADEIRA NAO APARELHADA *6 X 25* CM, MACARANDUBA, ANGELIM OU EQUIVALENTE DA REGIAO                                                                                                                                                                                                                                                                                                                                                                                                              </t>
  </si>
  <si>
    <t xml:space="preserve">PRANCHA DE MADEIRA NAO APARELHADA *6 X 30* CM, MACARANDUBA, ANGELIM OU EQUIVALENTE DA REGIAO                                                                                                                                                                                                                                                                                                                                                                                                              </t>
  </si>
  <si>
    <t xml:space="preserve">PRANCHA DE MADEIRA NAO APARELHADA *6 X 40* CM, MACARANDUBA, ANGELIM OU EQUIVALENTE DA REGIAO                                                                                                                                                                                                                                                                                                                                                                                                              </t>
  </si>
  <si>
    <t>81,54</t>
  </si>
  <si>
    <t xml:space="preserve">PRANCHAO DE MADEIRA APARELHADA *7,5 X 23* CM (3 X 9 ") MACARANDUBA, ANGELIM OU EQUIVALENTE DA REGIAO                                                                                                                                                                                                                                                                                                                                                                                                      </t>
  </si>
  <si>
    <t>72,77</t>
  </si>
  <si>
    <t xml:space="preserve">PRANCHAO DE MADEIRA APARELHADA *8 X 30* CM, MACARANDUBA, ANGELIM OU EQUIVALENTE DA REGIAO                                                                                                                                                                                                                                                                                                                                                                                                                 </t>
  </si>
  <si>
    <t>85,44</t>
  </si>
  <si>
    <t xml:space="preserve">PRANCHAO DE MADEIRA NAO APARELHADA *7,5 X 23* CM (3 x 9 ") MACARANDUBA, ANGELIM OU EQUIVALENTE DA REGIAO                                                                                                                                                                                                                                                                                                                                                                                                  </t>
  </si>
  <si>
    <t>59,05</t>
  </si>
  <si>
    <t xml:space="preserve">PRANCHAO DE MADEIRA NAO APARELHADA *8 X 30* CM, MACARANDUBA, ANGELIM OU EQUIVALENTE DA REGIAO                                                                                                                                                                                                                                                                                                                                                                                                             </t>
  </si>
  <si>
    <t xml:space="preserve">PREGO DE ACO POLIDO COM CABECA DUPLA 17 X 27 (2 1/2 X 11)                                                                                                                                                                                                                                                                                                                                                                                                                                                 </t>
  </si>
  <si>
    <t xml:space="preserve">PREGO DE ACO POLIDO COM CABECA 10 X 10 (7/8 X 17)                                                                                                                                                                                                                                                                                                                                                                                                                                                         </t>
  </si>
  <si>
    <t xml:space="preserve">PREGO DE ACO POLIDO COM CABECA 10 X 11 (1 X 17)                                                                                                                                                                                                                                                                                                                                                                                                                                                           </t>
  </si>
  <si>
    <t>17,82</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</si>
  <si>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</si>
  <si>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</si>
  <si>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</si>
  <si>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</si>
  <si>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</si>
  <si>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10,80</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</si>
  <si>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</si>
  <si>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</si>
  <si>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</si>
  <si>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</si>
  <si>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</si>
  <si>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</si>
  <si>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</si>
  <si>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</si>
  <si>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</si>
  <si>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</si>
  <si>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</si>
  <si>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</si>
  <si>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PRENDEDOR / TRAVA DE PORTA, MONTAGEM PISO / PORTA, EM LATAO / ZAMAC, CROMADO                                                                                                                                                                                                                                                                                                                                                                                                                              </t>
  </si>
  <si>
    <t xml:space="preserve">PRESSAO DE PERNAS TRIPLO, EM TUBO DE ACO CARBONO, PINTURA NO PROCESSO ELETROSTATICO - EQUIPAMENTO DE GINASTICA PARA ACADEMIA AO AR LIVRE / ACADEMIA DA TERCEIRA IDADE - ATI                                                                                                                                                                                                                                                                                                                               </t>
  </si>
  <si>
    <t>2.248,18</t>
  </si>
  <si>
    <t xml:space="preserve">PRIMER EPOXI                                                                                                                                                                                                                                                                                                                                                                                                                                                                                              </t>
  </si>
  <si>
    <t>155,75</t>
  </si>
  <si>
    <t xml:space="preserve">PRIMER PARA MANTA ASFALTICA A BASE DE ASFALTO MODIFICADO DILUIDO EM SOLVENTE, APLICACAO A FRIO                                                                                                                                                                                                                                                                                                                                                                                                            </t>
  </si>
  <si>
    <t xml:space="preserve">PRIMER UNIVERSAL, FUNDO ANTICORROSIVO TIPO ZARCAO                                                                                                                                                                                                                                                                                                                                                                                                                                                         </t>
  </si>
  <si>
    <t>442,24</t>
  </si>
  <si>
    <t xml:space="preserve">PROJETOR DE ARGAMASSA, CAPACIDADE DE PROJECAO 1,5 M3/H, ALCANCE DA PROJECAO 30 ATE 60 M, MOTOR ELETRICO TRIFASICO                                                                                                                                                                                                                                                                                                                                                                                         </t>
  </si>
  <si>
    <t>63.231,61</t>
  </si>
  <si>
    <t xml:space="preserve">PROJETOR DE ARGAMASSA, CAPACIDADE DE PROJECAO 2,0 M3/H, ALCANCE DA PROJECAO ATE 50 M, MOTOR ELETRICO TRIFASICO                                                                                                                                                                                                                                                                                                                                                                                            </t>
  </si>
  <si>
    <t>83.813,19</t>
  </si>
  <si>
    <t xml:space="preserve">PROJETOR PNEUMATICO DE ARGAMASSA PARA CHAPISCO E REBOCO COM RECIPIENTE ACOPLADO, TIPO CANEQUNHA, COM VOLUME DE 1,50 L, SEM COMPRESSOR                                                                                                                                                                                                                                                                                                                                                                     </t>
  </si>
  <si>
    <t>502,79</t>
  </si>
  <si>
    <t xml:space="preserve">PROJETOR RETANGULAR FECHADO PARA LAMPADA VAPOR DE MERCURIO/SODIO 250 W A 500 W, CABECEIRAS EM ALUMINIO FUNDIDO, CORPO EM ALUMINIO ANODIZADO, PARA LAMPADA E40 FECHAMENTO EM VIDRO TEMPERADO.                                                                                                                                                                                                                                                                                                              </t>
  </si>
  <si>
    <t>52,29</t>
  </si>
  <si>
    <t xml:space="preserve">PROLONGADOR/EXTENSOR PARA ROLO DE PINTURA 3 M                                                                                                                                                                                                                                                                                                                                                                                                                                                             </t>
  </si>
  <si>
    <t>43,91</t>
  </si>
  <si>
    <t xml:space="preserve">PROLONGAMENTO PVC PARA CAIXA SIFONADA  100 MM X 200 MM (NBR 5688)                                                                                                                                                                                                                                                                                                                                                                                                                                         </t>
  </si>
  <si>
    <t>4,11</t>
  </si>
  <si>
    <t xml:space="preserve">PROLONGAMENTO PVC PARA CAIXA SIFONADA 100 MM X 100 MM (NBR 5688)                                                                                                                                                                                                                                                                                                                                                                                                                                          </t>
  </si>
  <si>
    <t xml:space="preserve">PROLONGAMENTO PVC PARA CAIXA SIFONADA, 100 MM X 150 MM (NBR 5688)                                                                                                                                                                                                                                                                                                                                                                                                                                         </t>
  </si>
  <si>
    <t xml:space="preserve">PROLONGAMENTO PVC PARA CAIXA SIFONADA, 150 MM X 150 MM (NBR 5688)                                                                                                                                                                                                                                                                                                                                                                                                                                         </t>
  </si>
  <si>
    <t xml:space="preserve">PROLONGAMENTO PVC PARA CAIXA SIFONADA, 150 MM X 200 MM (NBR 5688)                                                                                                                                                                                                                                                                                                                                                                                                                                         </t>
  </si>
  <si>
    <t>8,93</t>
  </si>
  <si>
    <t xml:space="preserve">PROTETOR AUDITIVO TIPO CONCHA COM ABAFADOR DE RUIDOS, ATENUACAO ACIMA DE 22 DB                                                                                                                                                                                                                                                                                                                                                                                                                            </t>
  </si>
  <si>
    <t>23,00</t>
  </si>
  <si>
    <t xml:space="preserve">PROTETOR AUDITIVO TIPO PLUG DE INSERCAO COM CORDAO, ATENUACAO SUPERIOR A 15 DB                                                                                                                                                                                                                                                                                                                                                                                                                            </t>
  </si>
  <si>
    <t xml:space="preserve">PROTETOR SOLAR FPS 30, EMBALAGEM 2 LITROS                                                                                                                                                                                                                                                                                                                                                                                                                                                                 </t>
  </si>
  <si>
    <t>190,74</t>
  </si>
  <si>
    <t xml:space="preserve">PROTETOR/PONTEIRA PLASTICA PARA PONTA DE VERGALHAO DE ATE 1", TIPO PROTETOR DE ESPERA                                                                                                                                                                                                                                                                                                                                                                                                                     </t>
  </si>
  <si>
    <t xml:space="preserve">PRUMO DE CENTRO EM ACO *400* G                                                                                                                                                                                                                                                                                                                                                                                                                                                                            </t>
  </si>
  <si>
    <t>25,36</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</si>
  <si>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</si>
  <si>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</si>
  <si>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</si>
  <si>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</si>
  <si>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</si>
  <si>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PULVERIZADOR DE TINTA ELETRICO / MAQUINA DE PINTURA AIRLESS, VAZAO *2* L/MIN (COLETADO CAIXA)                                                                                                                                                                                                                                                                                                                                                                                                             </t>
  </si>
  <si>
    <t>3.153,93</t>
  </si>
  <si>
    <t xml:space="preserve">PUXADOR CENTRAL, TIPO ALCA, EM ZAMAC CROMADO, COM ROSETAS, COMPRIMENTO *100* MM, PARA PORTA / JANELA EM MADEIRA OU METALICA - INCLUI PARAFUSOS                                                                                                                                                                                                                                                                                                                                                            </t>
  </si>
  <si>
    <t xml:space="preserve">PUXADOR CONCHA DE EMBUTIR PARA JANELA / PORTA DE CORRER, EM LATAO CROMADO, COM FURO CENTRAL PARA CHAVE E FUROS PARA PARAFUSOS, *40 X 100* MM  (LARGURA X ALTURA) - SEM FECHADURA                                                                                                                                                                                                                                                                                                                          </t>
  </si>
  <si>
    <t>12,07</t>
  </si>
  <si>
    <t xml:space="preserve">PUXADOR CONCHA DE EMBUTIR, EM LATAO CROMADO, PARA PORTA / JANELA DE CORRER, LISO, SEM FURO PARA CHAVE, COM FUROS PARA FIXAR PARAFUSOS, *30 X 90* MM (LARGURA X ALTURA)                                                                                                                                                                                                                                                                                                                                    </t>
  </si>
  <si>
    <t xml:space="preserve">PUXADOR TIPO PUNHO REDONDO, CENTRAL, EM LATAO CROMADO, COMPRIMENTO DE *110* MM, PARA JANELAS / PORTAS DE CORRER - INCLUI PARAFUSOS                                                                                                                                                                                                                                                                                                                                                                        </t>
  </si>
  <si>
    <t>23,25</t>
  </si>
  <si>
    <t xml:space="preserve">PUXADOR TUBULAR RETO, DUPLO, EM ALUMINIO POLIDO, DIAMETRO APROX.DE 1", COMPRIMENTO APROX. DE 400 MM, PARA PORTAS DE MADEIRA OU VIDRO                                                                                                                                                                                                                                                                                                                                                                      </t>
  </si>
  <si>
    <t xml:space="preserve">QUADRO DE DISTRIBUICAO COM BARRAMENTO TRIFASICO, DE EMBUTIR, EM CHAPA DE ACO GALVANIZADO, PARA 12 DISJUNTORES DIN, 100 A                                                                                                                                                                                                                                                                                                                                                                                  </t>
  </si>
  <si>
    <t>193,20</t>
  </si>
  <si>
    <t xml:space="preserve">QUADRO DE DISTRIBUICAO COM BARRAMENTO TRIFASICO, DE EMBUTIR, EM CHAPA DE ACO GALVANIZADO, PARA 18 DISJUNTORES DIN, 100 A, INCLUINDO BARRAMENTO                                                                                                                                                                                                                                                                                                                                                            </t>
  </si>
  <si>
    <t>270,74</t>
  </si>
  <si>
    <t xml:space="preserve">QUADRO DE DISTRIBUICAO COM BARRAMENTO TRIFASICO, DE EMBUTIR, EM CHAPA DE ACO GALVANIZADO, PARA 24 DISJUNTORES DIN, 100 A                                                                                                                                                                                                                                                                                                                                                                                  </t>
  </si>
  <si>
    <t>284,52</t>
  </si>
  <si>
    <t xml:space="preserve">QUADRO DE DISTRIBUICAO COM BARRAMENTO TRIFASICO, DE EMBUTIR, EM CHAPA DE ACO GALVANIZADO, PARA 28 DISJUNTORES DIN, 100 A                                                                                                                                                                                                                                                                                                                                                                                  </t>
  </si>
  <si>
    <t>399,60</t>
  </si>
  <si>
    <t xml:space="preserve">QUADRO DE DISTRIBUICAO COM BARRAMENTO TRIFASICO, DE EMBUTIR, EM CHAPA DE ACO GALVANIZADO, PARA 30 DISJUNTORES DIN, 150 A                                                                                                                                                                                                                                                                                                                                                                                  </t>
  </si>
  <si>
    <t>326,30</t>
  </si>
  <si>
    <t xml:space="preserve">QUADRO DE DISTRIBUICAO COM BARRAMENTO TRIFASICO, DE EMBUTIR, EM CHAPA DE ACO GALVANIZADO, PARA 30 DISJUNTORES DIN, 225 A                                                                                                                                                                                                                                                                                                                                                                                  </t>
  </si>
  <si>
    <t>688,93</t>
  </si>
  <si>
    <t xml:space="preserve">QUADRO DE DISTRIBUICAO COM BARRAMENTO TRIFASICO, DE EMBUTIR, EM CHAPA DE ACO GALVANIZADO, PARA 36 DISJUNTORES DIN, 100 A                                                                                                                                                                                                                                                                                                                                                                                  </t>
  </si>
  <si>
    <t>327,94</t>
  </si>
  <si>
    <t xml:space="preserve">QUADRO DE DISTRIBUICAO COM BARRAMENTO TRIFASICO, DE EMBUTIR, EM CHAPA DE ACO GALVANIZADO, PARA 40 DISJUNTORES DIN, 100 A                                                                                                                                                                                                                                                                                                                                                                                  </t>
  </si>
  <si>
    <t>478,79</t>
  </si>
  <si>
    <t xml:space="preserve">QUADRO DE DISTRIBUICAO COM BARRAMENTO TRIFASICO, DE EMBUTIR, EM CHAPA DE ACO GALVANIZADO, PARA 48 DISJUNTORES DIN, 100 A                                                                                                                                                                                                                                                                                                                                                                                  </t>
  </si>
  <si>
    <t>560,36</t>
  </si>
  <si>
    <t xml:space="preserve">QUADRO DE DISTRIBUICAO COM BARRAMENTO TRIFASICO, DE SOBREPOR, EM CHAPA DE ACO GALVANIZADO, PARA 12 DISJUNTORES DIN, 100 A                                                                                                                                                                                                                                                                                                                                                                                 </t>
  </si>
  <si>
    <t>200,54</t>
  </si>
  <si>
    <t xml:space="preserve">QUADRO DE DISTRIBUICAO COM BARRAMENTO TRIFASICO, DE SOBREPOR, EM CHAPA DE ACO GALVANIZADO, PARA 18 DISJUNTORES DIN, 100 A                                                                                                                                                                                                                                                                                                                                                                                 </t>
  </si>
  <si>
    <t>250,58</t>
  </si>
  <si>
    <t xml:space="preserve">QUADRO DE DISTRIBUICAO COM BARRAMENTO TRIFASICO, DE SOBREPOR, EM CHAPA DE ACO GALVANIZADO, PARA 28 DISJUNTORES DIN, 100 A                                                                                                                                                                                                                                                                                                                                                                                 </t>
  </si>
  <si>
    <t>231,71</t>
  </si>
  <si>
    <t xml:space="preserve">QUADRO DE DISTRIBUICAO COM BARRAMENTO TRIFASICO, DE SOBREPOR, EM CHAPA DE ACO GALVANIZADO, PARA 30 DISJUNTORES DIN, 100 A                                                                                                                                                                                                                                                                                                                                                                                 </t>
  </si>
  <si>
    <t>337,69</t>
  </si>
  <si>
    <t xml:space="preserve">QUADRO DE DISTRIBUICAO COM BARRAMENTO TRIFASICO, DE SOBREPOR, EM CHAPA DE ACO GALVANIZADO, PARA 36 DISJUNTORES DIN, 100 A                                                                                                                                                                                                                                                                                                                                                                                 </t>
  </si>
  <si>
    <t>417,04</t>
  </si>
  <si>
    <t xml:space="preserve">QUADRO DE DISTRIBUICAO COM BARRAMENTO TRIFASICO, DE SOBREPOR, EM CHAPA DE ACO GALVANIZADO, PARA 40 DISJUNTORES DIN, 100 A                                                                                                                                                                                                                                                                                                                                                                                 </t>
  </si>
  <si>
    <t>558,52</t>
  </si>
  <si>
    <t xml:space="preserve">QUADRO DE DISTRIBUICAO COM BARRAMENTO TRIFASICO, DE SOBREPOR, EM CHAPA DE ACO GALVANIZADO, PARA 48 DISJUNTORES DIN, 100 A                                                                                                                                                                                                                                                                                                                                                                                 </t>
  </si>
  <si>
    <t>501,30</t>
  </si>
  <si>
    <t xml:space="preserve">QUADRO DE DISTRIBUICAO, EM PVC, DE EMBUTIR, COM BARRAMENTO TERRA / NEUTRO, PARA 12 DISJUNTORES NEMA OU 16 DISJUNTORES DIN                                                                                                                                                                                                                                                                                                                                                                                 </t>
  </si>
  <si>
    <t>108,20</t>
  </si>
  <si>
    <t xml:space="preserve">QUADRO DE DISTRIBUICAO, EM PVC, DE EMBUTIR, COM BARRAMENTO TERRA / NEUTRO, PARA 18 DISJUNTORES NEMA OU 24 DISJUNTORES DIN                                                                                                                                                                                                                                                                                                                                                                                 </t>
  </si>
  <si>
    <t>200,46</t>
  </si>
  <si>
    <t xml:space="preserve">QUADRO DE DISTRIBUICAO, EM PVC, DE EMBUTIR, COM BARRAMENTO TERRA / NEUTRO, PARA 27 DISJUNTORES NEMA OU 36 DISJUNTORES DIN                                                                                                                                                                                                                                                                                                                                                                                 </t>
  </si>
  <si>
    <t>434,44</t>
  </si>
  <si>
    <t xml:space="preserve">QUADRO DE DISTRIBUICAO, EM PVC, DE EMBUTIR, COM BARRAMENTO TERRA / NEUTRO, PARA 48 DISJUNTORES DIN                                                                                                                                                                                                                                                                                                                                                                                                        </t>
  </si>
  <si>
    <t>339,64</t>
  </si>
  <si>
    <t xml:space="preserve">QUADRO DE DISTRIBUICAO, EM PVC, DE EMBUTIR, COM BARRAMENTO TERRA / NEUTRO, PARA 6 DISJUNTORES NEMA OU 8 DISJUNTORES DIN                                                                                                                                                                                                                                                                                                                                                                                   </t>
  </si>
  <si>
    <t xml:space="preserve">QUADRO DE DISTRIBUICAO, SEM BARRAMENTO, EM PVC, DE EMBUTIR, PARA 12 DISJUNTORES NEMA OU 16 DISJUNTORES DIN                                                                                                                                                                                                                                                                                                                                                                                                </t>
  </si>
  <si>
    <t>65,80</t>
  </si>
  <si>
    <t xml:space="preserve">QUADRO DE DISTRIBUICAO, SEM BARRAMENTO, EM PVC, DE EMBUTIR, PARA 18 DISJUNTORES NEMA OU 24 DISJUNTORES DIN                                                                                                                                                                                                                                                                                                                                                                                                </t>
  </si>
  <si>
    <t>103,30</t>
  </si>
  <si>
    <t xml:space="preserve">QUADRO DE DISTRIBUICAO, SEM BARRAMENTO, EM PVC, DE EMBUTIR, PARA 27 DISJUNTORES NEMA OU 36 DISJUNTORES DIN                                                                                                                                                                                                                                                                                                                                                                                                </t>
  </si>
  <si>
    <t>177,19</t>
  </si>
  <si>
    <t xml:space="preserve">QUADRO DE DISTRIBUICAO, SEM BARRAMENTO, EM PVC, DE EMBUTIR, PARA 3 DISJUNTORES NEMA OU 4 DISJUNTORES DIN                                                                                                                                                                                                                                                                                                                                                                                                  </t>
  </si>
  <si>
    <t xml:space="preserve">QUADRO DE DISTRIBUICAO, SEM BARRAMENTO, EM PVC, DE EMBUTIR, PARA 6 DISJUNTORES NEMA OU 8 DISJUNTORES DIN                                                                                                                                                                                                                                                                                                                                                                                                  </t>
  </si>
  <si>
    <t>44,13</t>
  </si>
  <si>
    <t xml:space="preserve">QUADRO DE DISTRIBUICAO, SEM BARRAMENTO, EM PVC, DE SOBREPOR,  PARA 3 DISJUNTORES NEMA OU 4 DISJUNTORES DIN                                                                                                                                                                                                                                                                                                                                                                                                </t>
  </si>
  <si>
    <t xml:space="preserve">QUADRO DE DISTRIBUICAO, SEM BARRAMENTO, EM PVC, DE SOBREPOR, PARA 12 DISJUNTORES NEMA OU 16 DISJUNTORES DIN                                                                                                                                                                                                                                                                                                                                                                                               </t>
  </si>
  <si>
    <t>93,18</t>
  </si>
  <si>
    <t xml:space="preserve">QUADRO DE DISTRIBUICAO, SEM BARRAMENTO, EM PVC, DE SOBREPOR, PARA 18 DISJUNTORES NEMA OU 24 DISJUNTORES DIN                                                                                                                                                                                                                                                                                                                                                                                               </t>
  </si>
  <si>
    <t>136,59</t>
  </si>
  <si>
    <t xml:space="preserve">QUADRO DE DISTRIBUICAO, SEM BARRAMENTO, EM PVC, DE SOBREPOR, PARA 27 DISJUNTORES NEMA OU 36 DISJUNTORES DIN                                                                                                                                                                                                                                                                                                                                                                                               </t>
  </si>
  <si>
    <t>190,54</t>
  </si>
  <si>
    <t xml:space="preserve">QUADRO DE DISTRIBUICAO, SEM BARRAMENTO, EM PVC, DE SOBREPOR, PARA 6 DISJUNTORES NEMA OU 8 DISJUNTORES DIN                                                                                                                                                                                                                                                                                                                                                                                                 </t>
  </si>
  <si>
    <t>55,46</t>
  </si>
  <si>
    <t xml:space="preserve">QUEROSENE                                                                                                                                                                                                                                                                                                                                                                                                                                                                                                 </t>
  </si>
  <si>
    <t>11,58</t>
  </si>
  <si>
    <t xml:space="preserve">RALO FOFO COM REQUADRO, QUADRADO 150 X 150 MM                                                                                                                                                                                                                                                                                                                                                                                                                                                             </t>
  </si>
  <si>
    <t xml:space="preserve">RALO FOFO COM REQUADRO, QUADRADO 200 X 200 MM                                                                                                                                                                                                                                                                                                                                                                                                                                                             </t>
  </si>
  <si>
    <t>46,48</t>
  </si>
  <si>
    <t xml:space="preserve">RALO FOFO COM REQUADRO, QUADRADO 250 X 250 MM                                                                                                                                                                                                                                                                                                                                                                                                                                                             </t>
  </si>
  <si>
    <t xml:space="preserve">RALO FOFO COM REQUADRO, QUADRADO 300 X 300 MM                                                                                                                                                                                                                                                                                                                                                                                                                                                             </t>
  </si>
  <si>
    <t>71,51</t>
  </si>
  <si>
    <t xml:space="preserve">RALO FOFO COM REQUADRO, QUADRADO 400 X 400 MM                                                                                                                                                                                                                                                                                                                                                                                                                                                             </t>
  </si>
  <si>
    <t>112,63</t>
  </si>
  <si>
    <t xml:space="preserve">RALO FOFO SEMIESFERICO, 100 MM, PARA LAJES/ CALHAS                                                                                                                                                                                                                                                                                                                                                                                                                                                        </t>
  </si>
  <si>
    <t>12,29</t>
  </si>
  <si>
    <t xml:space="preserve">RALO FOFO SEMIESFERICO, 150 MM, PARA LAJES/ CALHAS                                                                                                                                                                                                                                                                                                                                                                                                                                                        </t>
  </si>
  <si>
    <t xml:space="preserve">RALO FOFO SEMIESFERICO, 200 MM, PARA LAJES/ CALHAS                                                                                                                                                                                                                                                                                                                                                                                                                                                        </t>
  </si>
  <si>
    <t>66,37</t>
  </si>
  <si>
    <t xml:space="preserve">RALO FOFO SEMIESFERICO, 75 MM, PARA LAJES/ CALHAS                                                                                                                                                                                                                                                                                                                                                                                                                                                         </t>
  </si>
  <si>
    <t xml:space="preserve">RALO SECO PVC CONICO, 100 X 40 MM,  COM GRELHA REDONDA BRANCA                                                                                                                                                                                                                                                                                                                                                                                                                                             </t>
  </si>
  <si>
    <t xml:space="preserve">RALO SECO PVC CONICO, 100 X 40 MM, COM GRELHA QUADRADA                                                                                                                                                                                                                                                                                                                                                                                                                                                    </t>
  </si>
  <si>
    <t xml:space="preserve">RALO SECO PVC QUADRADO, 100 X 100 X 53 MM, SAIDA 40 MM, COM GRELHA BRANCA                                                                                                                                                                                                                                                                                                                                                                                                                                 </t>
  </si>
  <si>
    <t xml:space="preserve">RALO SIFONADO PVC CILINDRICO, 100 X 40 MM,  COM GRELHA REDONDA BRANCA                                                                                                                                                                                                                                                                                                                                                                                                                                     </t>
  </si>
  <si>
    <t xml:space="preserve">RALO SIFONADO PVC REDONDO CONICO, 100 X 40 MM, COM GRELHA  BRANCA REDONDA                                                                                                                                                                                                                                                                                                                                                                                                                                 </t>
  </si>
  <si>
    <t xml:space="preserve">RALO SIFONADO PVC, QUADRADO, 100 X 100 X 53 MM, SAIDA 40 MM, COM GRELHA BRANCA                                                                                                                                                                                                                                                                                                                                                                                                                            </t>
  </si>
  <si>
    <t>7,96</t>
  </si>
  <si>
    <t xml:space="preserve">RASTELEIRO                                                                                                                                                                                                                                                                                                                                                                                                                                                                                                </t>
  </si>
  <si>
    <t xml:space="preserve">RASTELEIRO (MENSALISTA)                                                                                                                                                                                                                                                                                                                                                                                                                                                                                   </t>
  </si>
  <si>
    <t xml:space="preserve">REATOR ELETRONICO BIVOLT PARA 1 LAMPADA FLUORESCENTE DE 18/20 W                                                                                                                                                                                                                                                                                                                                                                                                                                           </t>
  </si>
  <si>
    <t xml:space="preserve">REATOR ELETRONICO BIVOLT PARA 1 LAMPADA FLUORESCENTE DE 36/40 W                                                                                                                                                                                                                                                                                                                                                                                                                                           </t>
  </si>
  <si>
    <t>17,35</t>
  </si>
  <si>
    <t xml:space="preserve">REATOR ELETRONICO BIVOLT PARA 2 LAMPADAS FLUORESCENTES DE 14 W                                                                                                                                                                                                                                                                                                                                                                                                                                            </t>
  </si>
  <si>
    <t>34,56</t>
  </si>
  <si>
    <t xml:space="preserve">REATOR ELETRONICO BIVOLT PARA 2 LAMPADAS FLUORESCENTES DE 18/20 W                                                                                                                                                                                                                                                                                                                                                                                                                                         </t>
  </si>
  <si>
    <t>18,24</t>
  </si>
  <si>
    <t xml:space="preserve">REATOR ELETRONICO BIVOLT PARA 2 LAMPADAS FLUORESCENTES DE 36/40 W                                                                                                                                                                                                                                                                                                                                                                                                                                         </t>
  </si>
  <si>
    <t xml:space="preserve">REATOR INTERNO/INTEGRADO PARA LAMPADA VAPOR METALICO 400 W, ALTO FATOR DE POTENCIA                                                                                                                                                                                                                                                                                                                                                                                                                        </t>
  </si>
  <si>
    <t>152,05</t>
  </si>
  <si>
    <t xml:space="preserve">REATOR P/ LAMPADA VAPOR DE SODIO 250W USO EXT                                                                                                                                                                                                                                                                                                                                                                                                                                                             </t>
  </si>
  <si>
    <t>118,54</t>
  </si>
  <si>
    <t xml:space="preserve">REATOR P/ 1 LAMPADA VAPOR DE MERCURIO 125W USO EXT                                                                                                                                                                                                                                                                                                                                                                                                                                                        </t>
  </si>
  <si>
    <t>54,33</t>
  </si>
  <si>
    <t xml:space="preserve">REATOR P/ 1 LAMPADA VAPOR DE MERCURIO 250W USO EXT                                                                                                                                                                                                                                                                                                                                                                                                                                                        </t>
  </si>
  <si>
    <t>64,79</t>
  </si>
  <si>
    <t xml:space="preserve">REATOR P/ 1 LAMPADA VAPOR DE MERCURIO 400W USO EXT                                                                                                                                                                                                                                                                                                                                                                                                                                                        </t>
  </si>
  <si>
    <t>74,64</t>
  </si>
  <si>
    <t xml:space="preserve">REBITE DE ALUMINIO VAZADO DE REPUXO, 3,2 X 8 MM (1KG = 1025 UNIDADES)                                                                                                                                                                                                                                                                                                                                                                                                                                     </t>
  </si>
  <si>
    <t xml:space="preserve">REBOLO ABRASIVO RETO DE USO GERAL GRAO 36, DE 6 X 1 " (DIAMETRO X ALTURA)                                                                                                                                                                                                                                                                                                                                                                                                                                 </t>
  </si>
  <si>
    <t>79,82</t>
  </si>
  <si>
    <t xml:space="preserve">REBOLO ABRASIVO RETO DE USO GERAL GRAO 36, DE 6 X 3/4 " (DIAMETRO X ALTURA)                                                                                                                                                                                                                                                                                                                                                                                                                               </t>
  </si>
  <si>
    <t xml:space="preserve">RECICLADORA DE ASFALTO A FRIO SOBRE RODAS, LARG. FRESAGEM 2,00 M, POT. 315 KW/422 HP                                                                                                                                                                                                                                                                                                                                                                                                                      </t>
  </si>
  <si>
    <t>3.929.074,69</t>
  </si>
  <si>
    <t xml:space="preserve">REDUCAO EXCENTRICA PVC NBR 10569 P/REDE COLET ESG PB JE 150 X 100MM                                                                                                                                                                                                                                                                                                                                                                                                                                       </t>
  </si>
  <si>
    <t>54,76</t>
  </si>
  <si>
    <t xml:space="preserve">REDUCAO EXCENTRICA PVC NBR 10569 P/REDE COLET ESG PB JE 200 X 150MM                                                                                                                                                                                                                                                                                                                                                                                                                                       </t>
  </si>
  <si>
    <t>105,34</t>
  </si>
  <si>
    <t xml:space="preserve">REDUCAO EXCENTRICA PVC NBR 10569 P/REDE COLET ESG PB JE 250 X 200MM                                                                                                                                                                                                                                                                                                                                                                                                                                       </t>
  </si>
  <si>
    <t>198,70</t>
  </si>
  <si>
    <t xml:space="preserve">REDUCAO EXCENTRICA PVC P/ ESG PREDIAL DN 100 X 50MM                                                                                                                                                                                                                                                                                                                                                                                                                                                       </t>
  </si>
  <si>
    <t xml:space="preserve">REDUCAO EXCENTRICA PVC P/ ESG PREDIAL DN 100 X 75MM                                                                                                                                                                                                                                                                                                                                                                                                                                                       </t>
  </si>
  <si>
    <t xml:space="preserve">REDUCAO EXCENTRICA PVC P/ ESG PREDIAL DN 75 X 50MM                                                                                                                                                                                                                                                                                                                                                                                                                                                        </t>
  </si>
  <si>
    <t xml:space="preserve">REDUCAO EXCENTRICA PVC, SERIE R, DN 100 X 75 MM, PARA ESGOTO PREDIAL                                                                                                                                                                                                                                                                                                                                                                                                                                      </t>
  </si>
  <si>
    <t>12,14</t>
  </si>
  <si>
    <t xml:space="preserve">REDUCAO EXCENTRICA PVC, SERIE R, DN 150 X 100 MM, PARA ESGOTO PREDIAL                                                                                                                                                                                                                                                                                                                                                                                                                                     </t>
  </si>
  <si>
    <t>33,18</t>
  </si>
  <si>
    <t xml:space="preserve">REDUCAO EXCENTRICA PVC, SERIE R, DN 75 X 50 MM, PARA ESGOTO PREDIAL                                                                                                                                                                                                                                                                                                                                                                                                                                       </t>
  </si>
  <si>
    <t xml:space="preserve">REDUCAO FIXA TIPO STORZ, ENGATE RAPIDO 2.1/2" X 1.1/2", EM LATAO, PARA INSTALACAO PREDIAL COMBATE A INCENDIO PREDIAL                                                                                                                                                                                                                                                                                                                                                                                      </t>
  </si>
  <si>
    <t>71,42</t>
  </si>
  <si>
    <t xml:space="preserve">REDUCAO PVC PBA, JE, BB, DN 75 X 50 / DE 85 X 60 MM, PARA REDE DE AGUA                                                                                                                                                                                                                                                                                                                                                                                                                                    </t>
  </si>
  <si>
    <t>44,45</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</si>
  <si>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</si>
  <si>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</si>
  <si>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</si>
  <si>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13,23</t>
  </si>
  <si>
    <t xml:space="preserve">REDUTOR TIPO THINNER PARA ACABAMENTO                                                                                                                                                                                                                                                                                                                                                                                                                                                                      </t>
  </si>
  <si>
    <t xml:space="preserve">REFLETOR REDONDO EM ALUMINIO ANODIZADO PARA LAMPADA VAPOR DE MERCURIO/SODIO, CORPO EM ALUMINIO COM PINTURA EPOXI, PARA LAMPADA E-27 DE 300 W, COM SUPORTE REDONDO E ALCA REGULAVEL PARA FIXACAO.                                                                                                                                                                                                                                                                                                          </t>
  </si>
  <si>
    <t>68,57</t>
  </si>
  <si>
    <t xml:space="preserve">REGISTRO DE ESFERA DE PASSEIO, PVC PARA POLIETILENO, 20 MM                                                                                                                                                                                                                                                                                                                                                                                                                                                </t>
  </si>
  <si>
    <t>13,86</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</si>
  <si>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</si>
  <si>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</si>
  <si>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</si>
  <si>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</si>
  <si>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</si>
  <si>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</si>
  <si>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61,20</t>
  </si>
  <si>
    <t xml:space="preserve">REGISTRO DE ESFERA, PVC, COM VOLANTE, VS, ROSCAVEL, DN 1/2", COM CORPO DIVIDIDO                                                                                                                                                                                                                                                                                                                                                                                                                           </t>
  </si>
  <si>
    <t>23,44</t>
  </si>
  <si>
    <t xml:space="preserve">REGISTRO DE ESFERA, PVC, COM VOLANTE, VS, ROSCAVEL, DN 1", COM CORPO DIVIDIDO                                                                                                                                                                                                                                                                                                                                                                                                                             </t>
  </si>
  <si>
    <t>45,83</t>
  </si>
  <si>
    <t xml:space="preserve">REGISTRO DE ESFERA, PVC, COM VOLANTE, VS, ROSCAVEL, DN 2", COM CORPO DIVIDIDO                                                                                                                                                                                                                                                                                                                                                                                                                             </t>
  </si>
  <si>
    <t>98,35</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</si>
  <si>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</si>
  <si>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</si>
  <si>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</si>
  <si>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</si>
  <si>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45,23</t>
  </si>
  <si>
    <t xml:space="preserve">REGISTRO DE ESFERA, PVC, COM VOLANTE, VS, SOLDAVEL, DN 40 MM, COM CORPO DIVIDIDO                                                                                                                                                                                                                                                                                                                                                                                                                          </t>
  </si>
  <si>
    <t>60,49</t>
  </si>
  <si>
    <t xml:space="preserve">REGISTRO DE ESFERA, PVC, COM VOLANTE, VS, SOLDAVEL, DN 50 MM, COM CORPO DIVIDIDO                                                                                                                                                                                                                                                                                                                                                                                                                          </t>
  </si>
  <si>
    <t>62,47</t>
  </si>
  <si>
    <t xml:space="preserve">REGISTRO DE ESFERA, PVC, COM VOLANTE, VS, SOLDAVEL, DN 60 MM, COM CORPO DIVIDIDO                                                                                                                                                                                                                                                                                                                                                                                                                          </t>
  </si>
  <si>
    <t>114,41</t>
  </si>
  <si>
    <t xml:space="preserve">REGISTRO DE PRESSAO PVC, ROSCAVEL, VOLANTE SIMPLES, DE 1/2"                                                                                                                                                                                                                                                                                                                                                                                                                                               </t>
  </si>
  <si>
    <t xml:space="preserve">REGISTRO DE PRESSAO PVC, ROSCAVEL, VOLANTE SIMPLES, DE 3/4"                                                                                                                                                                                                                                                                                                                                                                                                                                               </t>
  </si>
  <si>
    <t xml:space="preserve">REGISTRO DE PRESSAO PVC, SOLDAVEL, VOLANTE SIMPLES, DE 20 MM                                                                                                                                                                                                                                                                                                                                                                                                                                              </t>
  </si>
  <si>
    <t>15,10</t>
  </si>
  <si>
    <t xml:space="preserve">REGISTRO DE PRESSAO PVC, SOLDAVEL, VOLANTE SIMPLES, DE 25 MM                                                                                                                                                                                                                                                                                                                                                                                                                                              </t>
  </si>
  <si>
    <t xml:space="preserve">REGISTRO GAVETA BRUTO EM LATAO FORJADO, BITOLA 1 " (REF 1509)                                                                                                                                                                                                                                                                                                                                                                                                                                             </t>
  </si>
  <si>
    <t>41,99</t>
  </si>
  <si>
    <t xml:space="preserve">REGISTRO GAVETA BRUTO EM LATAO FORJADO, BITOLA 1 1/2 " (REF 1509)                                                                                                                                                                                                                                                                                                                                                                                                                                         </t>
  </si>
  <si>
    <t>72,25</t>
  </si>
  <si>
    <t xml:space="preserve">REGISTRO GAVETA BRUTO EM LATAO FORJADO, BITOLA 1 1/4 " (REF 1509)                                                                                                                                                                                                                                                                                                                                                                                                                                         </t>
  </si>
  <si>
    <t>57,23</t>
  </si>
  <si>
    <t xml:space="preserve">REGISTRO GAVETA BRUTO EM LATAO FORJADO, BITOLA 1/2 " (REF 1509)                                                                                                                                                                                                                                                                                                                                                                                                                                           </t>
  </si>
  <si>
    <t xml:space="preserve">REGISTRO GAVETA BRUTO EM LATAO FORJADO, BITOLA 2 " (REF 1509)                                                                                                                                                                                                                                                                                                                                                                                                                                             </t>
  </si>
  <si>
    <t>100,63</t>
  </si>
  <si>
    <t xml:space="preserve">REGISTRO GAVETA BRUTO EM LATAO FORJADO, BITOLA 2 1/2 " (REF 1509)                                                                                                                                                                                                                                                                                                                                                                                                                                         </t>
  </si>
  <si>
    <t>208,71</t>
  </si>
  <si>
    <t xml:space="preserve">REGISTRO GAVETA BRUTO EM LATAO FORJADO, BITOLA 3 " (REF 1509)                                                                                                                                                                                                                                                                                                                                                                                                                                             </t>
  </si>
  <si>
    <t>252,68</t>
  </si>
  <si>
    <t xml:space="preserve">REGISTRO GAVETA BRUTO EM LATAO FORJADO, BITOLA 3/4 " (REF 1509)                                                                                                                                                                                                                                                                                                                                                                                                                                           </t>
  </si>
  <si>
    <t xml:space="preserve">REGISTRO GAVETA BRUTO EM LATAO FORJADO, BITOLA 4 " (REF 1509)                                                                                                                                                                                                                                                                                                                                                                                                                                             </t>
  </si>
  <si>
    <t>526,49</t>
  </si>
  <si>
    <t xml:space="preserve">REGISTRO GAVETA COM ACABAMENTO E CANOPLA CROMADOS, SIMPLES, BITOLA 1 " (REF 1509)                                                                                                                                                                                                                                                                                                                                                                                                                         </t>
  </si>
  <si>
    <t>79,44</t>
  </si>
  <si>
    <t xml:space="preserve">REGISTRO GAVETA COM ACABAMENTO E CANOPLA CROMADOS, SIMPLES, BITOLA 1 1/2 " (REF 1509)                                                                                                                                                                                                                                                                                                                                                                                                                     </t>
  </si>
  <si>
    <t>115,53</t>
  </si>
  <si>
    <t xml:space="preserve">REGISTRO GAVETA COM ACABAMENTO E CANOPLA CROMADOS, SIMPLES, BITOLA 1 1/4 " (REF 1509)                                                                                                                                                                                                                                                                                                                                                                                                                     </t>
  </si>
  <si>
    <t>110,46</t>
  </si>
  <si>
    <t xml:space="preserve">REGISTRO GAVETA COM ACABAMENTO E CANOPLA CROMADOS, SIMPLES, BITOLA 1/2 " (REF 1509)                                                                                                                                                                                                                                                                                                                                                                                                                       </t>
  </si>
  <si>
    <t>57,53</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</si>
  <si>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</si>
  <si>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</si>
  <si>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</si>
  <si>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100,00</t>
  </si>
  <si>
    <t xml:space="preserve">REGISTRO PRESSAO BRUTO EM LATAO FORJADO, BITOLA 1/2 " (REF 1400)                                                                                                                                                                                                                                                                                                                                                                                                                                          </t>
  </si>
  <si>
    <t>17,87</t>
  </si>
  <si>
    <t xml:space="preserve">REGISTRO PRESSAO BRUTO EM LATAO FORJADO, BITOLA 3/4 " (REF 1400)                                                                                                                                                                                                                                                                                                                                                                                                                                          </t>
  </si>
  <si>
    <t xml:space="preserve">REGISTRO PRESSAO COM ACABAMENTO E CANOPLA CROMADA, SIMPLES, BITOLA 1/2 " (REF 1416)                                                                                                                                                                                                                                                                                                                                                                                                                       </t>
  </si>
  <si>
    <t>59,21</t>
  </si>
  <si>
    <t xml:space="preserve">REGISTRO PRESSAO COM ACABAMENTO E CANOPLA CROMADA, SIMPLES, BITOLA 3/4 " (REF 1416)                                                                                                                                                                                                                                                                                                                                                                                                                       </t>
  </si>
  <si>
    <t>61,21</t>
  </si>
  <si>
    <t xml:space="preserve">REGUA DE ALUMINIO PARA PEDREIRO 2 X 1 "                                                                                                                                                                                                                                                                                                                                                                                                                                                                   </t>
  </si>
  <si>
    <t xml:space="preserve">REGUA VIBRADORA DUPLA PARA CONCRETO A GASOLINA 5,5 HP, PESO DE 60 KG, COMPRIMENTO 4 M                                                                                                                                                                                                                                                                                                                                                                                                                     </t>
  </si>
  <si>
    <t>5.112,80</t>
  </si>
  <si>
    <t xml:space="preserve">REGUA VIBRATORIA DE CONCRETO TRELICADA, EQUIPADA COM MOTOR A GASOLINA DE 9 HP                                                                                                                                                                                                                                                                                                                                                                                                                             </t>
  </si>
  <si>
    <t>11.073,25</t>
  </si>
  <si>
    <t xml:space="preserve">REJEITO DE MINERIO DE FERRO PARA PAVIMENTACAO (POSTO PEDREIRA/FORNECEDOR, SEM FRETE)                                                                                                                                                                                                                                                                                                                                                                                                                      </t>
  </si>
  <si>
    <t xml:space="preserve">REJUNTE BRANCO, CIMENTICIO                                                                                                                                                                                                                                                                                                                                                                                                                                                                                </t>
  </si>
  <si>
    <t xml:space="preserve">REJUNTE COLORIDO, CIMENTICIO                                                                                                                                                                                                                                                                                                                                                                                                                                                                              </t>
  </si>
  <si>
    <t xml:space="preserve">REJUNTE EPOXI BRANCO                                                                                                                                                                                                                                                                                                                                                                                                                                                                                      </t>
  </si>
  <si>
    <t xml:space="preserve">REJUNTE EPOXI COR                                                                                                                                                                                                                                                                                                                                                                                                                                                                                         </t>
  </si>
  <si>
    <t>44,22</t>
  </si>
  <si>
    <t xml:space="preserve">RELE FOTOELETRICO INTERNO E EXTERNO BIVOLT 1000 W, DE CONECTOR, SEM BASE                                                                                                                                                                                                                                                                                                                                                                                                                                  </t>
  </si>
  <si>
    <t xml:space="preserve">RELE TERMICO BIMETAL PARA USO EM MOTORES TRIFASICOS, TENSAO 380 V, POTENCIA ATE 15 CV, CORRENTE NOMINAL MAXIMA 22 A                                                                                                                                                                                                                                                                                                                                                                                       </t>
  </si>
  <si>
    <t xml:space="preserve">REMOVEDOR DE TINTA OLEO/ESMALTE VERNIZ                                                                                                                                                                                                                                                                                                                                                                                                                                                                    </t>
  </si>
  <si>
    <t>29,60</t>
  </si>
  <si>
    <t xml:space="preserve">RESINA ACRILICA BASE AGUA - COR BRANCA                                                                                                                                                                                                                                                                                                                                                                                                                                                                    </t>
  </si>
  <si>
    <t>23,45</t>
  </si>
  <si>
    <t xml:space="preserve">RESPIRADOR DESCARTAVEL SEM VALVULA DE EXALACAO, PFF 1                                                                                                                                                                                                                                                                                                                                                                                                                                                     </t>
  </si>
  <si>
    <t xml:space="preserve">RETARDO PARA CORDEL DETONANTE                                                                                                                                                                                                                                                                                                                                                                                                                                                                             </t>
  </si>
  <si>
    <t>66,45</t>
  </si>
  <si>
    <t xml:space="preserve">RETROESCAVADEIRA SOBRE RODAS COM CARREGADEIRA, TRACAO 4 X 2, POTENCIA LIQUIDA 79 HP, PESO OPERACIONAL MINIMO DE 6570 KG, CAPACIDADE DA CARREGADEIRA DE 1,00 M3 E DA  RETROESCAVADEIRA MINIMA DE 0,20 M3, PROFUNDIDADE DE ESCAVACAO MAXIMA DE 4,37 M                                                                                                                                                                                                                                                       </t>
  </si>
  <si>
    <t>218.963,41</t>
  </si>
  <si>
    <t xml:space="preserve">RETROESCAVADEIRA SOBRE RODAS COM CARREGADEIRA, TRACAO 4 X 4, POTENCIA LIQUIDA 72 HP, PESO OPERACIONAL MINIMO DE 7140 KG, CAPACIDADE MINIMA DA CARREGADEIRA DE 0,79 M3 E DA RETROESCAVADEIRA MINIMA DE 0,18 M3, PROFUNDIDADE DE ESCAVACAO MAXIMA DE 4,50 M                                                                                                                                                                                                                                                 </t>
  </si>
  <si>
    <t>237.500,00</t>
  </si>
  <si>
    <t xml:space="preserve">RETROESCAVADEIRA SOBRE RODAS COM CARREGADEIRA, TRACAO 4 X 4, POTENCIA LIQUIDA 88 HP, PESO OPERACIONAL MINIMO DE 6674 KG, CAPACIDADE DA CARREGADEIRA DE 1,00 M3 E DA  RETROESCAVADEIRA MINIMA DE 0,26 M3, PROFUNDIDADE DE ESCAVACAO MAXIMA DE 4,37 M                                                                                                                                                                                                                                                       </t>
  </si>
  <si>
    <t>246.189,00</t>
  </si>
  <si>
    <t xml:space="preserve">REVESTIMENTO DE PAREDE EM GRANILITE, MARMORITE OU GRANITINA - ESP = 5 MM (INCLUSO EXECUCAO)                                                                                                                                                                                                                                                                                                                                                                                                               </t>
  </si>
  <si>
    <t>147,82</t>
  </si>
  <si>
    <t xml:space="preserve">REVESTIMENTO DE PAREDE EM GRANILITE, MARMORITE OU GRANITINA COLORIDO - ESP = 5 MM (INCLUSO EXECUCAO)                                                                                                                                                                                                                                                                                                                                                                                                      </t>
  </si>
  <si>
    <t>92,39</t>
  </si>
  <si>
    <t xml:space="preserve">REVESTIMENTO EM CERAMICA ESMALTADA COMERCIAL, PEI MENOR OU IGUAL A 3, FORMATO MENOR OU IGUAL A 2025 CM2                                                                                                                                                                                                                                                                                                                                                                                                   </t>
  </si>
  <si>
    <t xml:space="preserve">REVESTIMENTO EM CERAMICA ESMALTADA EXTRA, PEI MAIOR OU IGUAL 4, FORMATO MAIOR A 2025 CM2                                                                                                                                                                                                                                                                                                                                                                                                                  </t>
  </si>
  <si>
    <t>44,56</t>
  </si>
  <si>
    <t xml:space="preserve">REVESTIMENTO EM CERAMICA ESMALTADA EXTRA, PEI MENOR OU IGUAL A 3, FORMATO MENOR OU IGUAL A 2025 CM2                                                                                                                                                                                                                                                                                                                                                                                                       </t>
  </si>
  <si>
    <t>29,28</t>
  </si>
  <si>
    <t xml:space="preserve">REVESTIMENTO EPOXI DE ALTA RESISTENCIA QUIMICA, ISENTO DE SOLVENTES, BICOMPONENTE                                                                                                                                                                                                                                                                                                                                                                                                                         </t>
  </si>
  <si>
    <t>68,11</t>
  </si>
  <si>
    <t xml:space="preserve">REVESTIMENTO PARA ESCADA EM GRANILITE, MARMORITE OU GRANITINA ESP = 8 MM (INCLUSO EXECUCAO)                                                                                                                                                                                                                                                                                                                                                                                                               </t>
  </si>
  <si>
    <t xml:space="preserve">RIPA DE MADEIRA APARELHADA *1,5 X 5* CM, MACARANDUBA, ANGELIM OU EQUIVALENTE DA REGIAO                                                                                                                                                                                                                                                                                                                                                                                                                    </t>
  </si>
  <si>
    <t xml:space="preserve">RIPA DE MADEIRA NAO APARELHADA *1 X 3* CM, MACARANDUBA, ANGELIM OU EQUIVALENTE DA REGIAO                                                                                                                                                                                                                                                                                                                                                                                                                  </t>
  </si>
  <si>
    <t xml:space="preserve">RIPA DE MADEIRA NAO APARELHADA *1,5 X 5* CM, MACARANDUBA, ANGELIM OU EQUIVALENTE DA REGIAO                                                                                                                                                                                                                                                                                                                                                                                                                </t>
  </si>
  <si>
    <t xml:space="preserve">RIPA DE MADEIRA NAO APARELHADA *2 X 7* CM, PINUS, MISTA OU EQUIVALENTE DA REGIAO                                                                                                                                                                                                                                                                                                                                                                                                                          </t>
  </si>
  <si>
    <t xml:space="preserve">ROCADEIRA COSTAL COM MOTOR A GASOLINA DE *32* CC                                                                                                                                                                                                                                                                                                                                                                                                                                                          </t>
  </si>
  <si>
    <t>2.414,45</t>
  </si>
  <si>
    <t xml:space="preserve">ROCADEIRA DESLOCAVEL, LARGURA DE TRABALHO DE 1,3 M                                                                                                                                                                                                                                                                                                                                                                                                                                                        </t>
  </si>
  <si>
    <t>6.561,96</t>
  </si>
  <si>
    <t xml:space="preserve">RODAFORRO EM PVC, PARA FORRO DE PVC, COMPRIMENTO 6 M                                                                                                                                                                                                                                                                                                                                                                                                                                                      </t>
  </si>
  <si>
    <t xml:space="preserve">RODAPE ARDOSIA, CINZA, 10 CM, E= *1CM                                                                                                                                                                                                                                                                                                                                                                                                                                                                     </t>
  </si>
  <si>
    <t>23,38</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</si>
  <si>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</si>
  <si>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</si>
  <si>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</si>
  <si>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</si>
  <si>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</si>
  <si>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</si>
  <si>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</si>
  <si>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PARA TRILHO (TIPO NAPOLEAO),  EM LATAO, COM ROLAMENTO EM ACO, 6 MM, PARA JANELA DE CORRER                                                                                                                                                                                                                                                                                                                                                                                                         </t>
  </si>
  <si>
    <t xml:space="preserve">RODO PARA CHAO 40 CM COM CABO                                                                                                                                                                                                                                                                                                                                                                                                                                                                             </t>
  </si>
  <si>
    <t xml:space="preserve">ROLDANA CONCOVA DUPLA, EM CHAPA DE ACO, ROLAMENTO INTERNO BLINDADO DE ACO REVESTIDO EM NYLON, PARA PORTA DE CORRER                                                                                                                                                                                                                                                                                                                                                                                        </t>
  </si>
  <si>
    <t xml:space="preserve">ROLDANA DUPLA, EM ZAMAC COM CHAPA DE LATAO, ROLAMENTOS EM ACO, PARA PORTA E JANELA DE CORRER                                                                                                                                                                                                                                                                                                                                                                                                              </t>
  </si>
  <si>
    <t>25,83</t>
  </si>
  <si>
    <t xml:space="preserve">ROLDANA PLASTICA COM PREGO, TAMANHO 30 X 30 MM, PARA INSTALACAO ELETRICA APARENTE                                                                                                                                                                                                                                                                                                                                                                                                                         </t>
  </si>
  <si>
    <t xml:space="preserve">ROLO COMPACTADOR DE PNEUS, ESTATICO, PRESSAO VARIAVEL, POTENCIA 110 HP, PESO SEM/COM LASTRO 10,8/27 T, LARGURA DE ROLAGEM 2,30 M                                                                                                                                                                                                                                                                                                                                                                          </t>
  </si>
  <si>
    <t>478.796,97</t>
  </si>
  <si>
    <t xml:space="preserve">ROLO COMPACTADOR DE PNEUS, ESTATICO, PRESSAO VARIAVEL, POTENCIA 111 HP, PESO SEM/COM LASTRO 9,5/26,0 T, LARGURA DE ROLAGEM 1,90 M                                                                                                                                                                                                                                                                                                                                                                         </t>
  </si>
  <si>
    <t>451.050,00</t>
  </si>
  <si>
    <t xml:space="preserve">ROLO COMPACTADOR PE DE CARNEIRO VIBRATORIO, POTENCIA 125 HP, PESO OPERACIONAL SEM/COM LASTRO 11,95/13,30 T, IMPACTO DINAMICO 38,5/22,5 T, LARGURA DE TRABALHO 2,15 M                                                                                                                                                                                                                                                                                                                                      </t>
  </si>
  <si>
    <t>400.072,96</t>
  </si>
  <si>
    <t xml:space="preserve">ROLO COMPACTADOR PE DE CARNEIRO VIBRATORIO, POTENCIA 80 HP, PESO OPERACIONAL SEM/COM LASTRO 7,4/8,8 T, LARGURA DE TRABALHO 1,68 M                                                                                                                                                                                                                                                                                                                                                                         </t>
  </si>
  <si>
    <t>300.064,21</t>
  </si>
  <si>
    <t xml:space="preserve">ROLO COMPACTADOR VIBRATORIO DE UM CILINDRO LISO DE ACO, POTENCIA 125 HP, PESO SEM/COM LASTRO 10,75/12,92 T, IMPACTO DINAMICO 31,5/18,5 T, LARGURA TRABALHO 2,15 M                                                                                                                                                                                                                                                                                                                                         </t>
  </si>
  <si>
    <t>387.167,33</t>
  </si>
  <si>
    <t xml:space="preserve">ROLO COMPACTADOR VIBRATORIO DE UM CILINDRO, ACO LISO, POTENCIA 80 HP, PESO OPERACIONAL MAXIMO 8,1 T, IMPACTO DINAMICO 16,15/9,5 T, LARGURA TRABALHO 1,68 M                                                                                                                                                                                                                                                                                                                                                </t>
  </si>
  <si>
    <t>288.607,45</t>
  </si>
  <si>
    <t xml:space="preserve">ROLO COMPACTADOR VIBRATORIO PE DE CARNEIRO, COM CONTROLE REMOTO POR RADIO, POTENCIA  12,5 KW, PESO OPERACIONAL DE 1,675 T, LARGURA DE TRABALHO 0,85 M                                                                                                                                                                                                                                                                                                                                                     </t>
  </si>
  <si>
    <t>394.346,56</t>
  </si>
  <si>
    <t xml:space="preserve">ROLO COMPACTADOR VIBRATORIO REBOCAVEL, CILINDRO DE ACO LISO, POTENCIA DE TRACAO DE 65 CV, PESO DE 4,7 T, IMPACTO DINAMICO TOTAL DE 18,3 T, LARGURA DO ROLO 1,67 M                                                                                                                                                                                                                                                                                                                                         </t>
  </si>
  <si>
    <t>87.117,10</t>
  </si>
  <si>
    <t xml:space="preserve">ROLO COMPACTADOR VIBRATORIO TANDEM, ACO LISO, POTENCIA 125 HP, PESO SEM/COM LASTRO 10,20/11,65 T, LARGURA DE TRABALHO 1,73 M                                                                                                                                                                                                                                                                                                                                                                              </t>
  </si>
  <si>
    <t>431.719,30</t>
  </si>
  <si>
    <t xml:space="preserve">ROLO COMPACTADOR VIBRATORIO TANDEM, ACO LISO, POTENCIA 58 CV, PESO SEM/COM LASTRO 6,5/9,4 T, LARGURA DE TRABALHO 1,20 M                                                                                                                                                                                                                                                                                                                                                                                   </t>
  </si>
  <si>
    <t>354.396,43</t>
  </si>
  <si>
    <t xml:space="preserve">ROLO DE ESPUMA POLIESTER 23 CM (SEM CABO)                                                                                                                                                                                                                                                                                                                                                                                                                                                                 </t>
  </si>
  <si>
    <t xml:space="preserve">ROLO DE LA DE CARNEIRO 23 CM (SEM CABO)                                                                                                                                                                                                                                                                                                                                                                                                                                                                   </t>
  </si>
  <si>
    <t>27,28</t>
  </si>
  <si>
    <t xml:space="preserve">ROMPEDOR ELETRICO PESO 26 KG, POTENCIA OPERACIONAL DE 2,5 KW                                                                                                                                                                                                                                                                                                                                                                                                                                              </t>
  </si>
  <si>
    <t>15.156,26</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</si>
  <si>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</si>
  <si>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</si>
  <si>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</si>
  <si>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1.377,27</t>
  </si>
  <si>
    <t xml:space="preserve">ROTACAO VERTICAL DUPLO, EM TUBO DE ACO CARBONO, PINTURA NO PROCESSO ELETROSTATICO - EQUIPAMENTO DE GINASTICA PARA ACADEMIA AO AR LIVRE / ACADEMIA DA TERCEIRA IDADE - ATI                                                                                                                                                                                                                                                                                                                                 </t>
  </si>
  <si>
    <t>1.047,09</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</si>
  <si>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</si>
  <si>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</si>
  <si>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</si>
  <si>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</si>
  <si>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</si>
  <si>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</si>
  <si>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25,63</t>
  </si>
  <si>
    <t xml:space="preserve">RUFO PARA TELHA ESTRUTURAL DE FIBROCIMENTO 2 ABAS, COMPRIMENTO DE 1031 MM (SEM AMIANTO)                                                                                                                                                                                                                                                                                                                                                                                                                   </t>
  </si>
  <si>
    <t xml:space="preserve">RUFO PARA TELHA ONDULADA DE FIBROCIMENTO, E = 6 MM, ABA *260* MM, COMPRIMENTO 1100 MM (SEM AMIANTO)                                                                                                                                                                                                                                                                                                                                                                                                       </t>
  </si>
  <si>
    <t>14,82</t>
  </si>
  <si>
    <t xml:space="preserve">SABAO EM PO                                                                                                                                                                                                                                                                                                                                                                                                                                                                                               </t>
  </si>
  <si>
    <t xml:space="preserve">SABONETEIRA DE PAREDE EM METAL CROMADO                                                                                                                                                                                                                                                                                                                                                                                                                                                                    </t>
  </si>
  <si>
    <t xml:space="preserve">SABONETEIRA PLASTICA TIPO DISPENSER PARA SABONETE LIQUIDO COM RESERVATORIO 800 A 1500 ML                                                                                                                                                                                                                                                                                                                                                                                                                  </t>
  </si>
  <si>
    <t>38,20</t>
  </si>
  <si>
    <t xml:space="preserve">SACO DE RAFIA PARA ENTULHO, NOVO, LISO (SEM CLICHE), *60 x 90* CM                                                                                                                                                                                                                                                                                                                                                                                                                                         </t>
  </si>
  <si>
    <t xml:space="preserve">SAIBRO PARA ARGAMASSA (COLETADO NO COMERCIO)                                                                                                                                                                                                                                                                                                                                                                                                                                                              </t>
  </si>
  <si>
    <t xml:space="preserve">SAPATA DE PVC ADITIVADO NERVURADO D = 6"                                                                                                                                                                                                                                                                                                                                                                                                                                                                  </t>
  </si>
  <si>
    <t>175,12</t>
  </si>
  <si>
    <t xml:space="preserve">SAPATA DE PVC ADITIVADO NERVURADO D = 8"                                                                                                                                                                                                                                                                                                                                                                                                                                                                  </t>
  </si>
  <si>
    <t>230,47</t>
  </si>
  <si>
    <t xml:space="preserve">SAPATILHA EM ACO GALVANIZADO PARA CABOS COM DIAMETRO NOMINAL ATE 5/8"                                                                                                                                                                                                                                                                                                                                                                                                                                     </t>
  </si>
  <si>
    <t xml:space="preserve">SARRAFO DE MADEIRA APARELHADA *2 X 10* CM, MACARANDUBA, ANGELIM OU EQUIVALENTE DA REGIAO                                                                                                                                                                                                                                                                                                                                                                                                                  </t>
  </si>
  <si>
    <t>7,78</t>
  </si>
  <si>
    <t xml:space="preserve">SARRAFO DE MADEIRA NAO APARELHADA *2,5 X 10 CM, MACARANDUBA, ANGELIM OU EQUIVALENTE DA REGIAO                                                                                                                                                                                                                                                                                                                                                                                                             </t>
  </si>
  <si>
    <t xml:space="preserve">SARRAFO DE MADEIRA NAO APARELHADA *2,5 X 15* CM, MACARANDUBA, ANGELIM OU EQUIVALENTE DA REGIAO                                                                                                                                                                                                                                                                                                                                                                                                            </t>
  </si>
  <si>
    <t>13,95</t>
  </si>
  <si>
    <t xml:space="preserve">SARRAFO DE MADEIRA NAO APARELHADA *2,5 X 7* CM, MACARANDUBA, ANGELIM OU EQUIVALENTE DA REGIAO                                                                                                                                                                                                                                                                                                                                                                                                             </t>
  </si>
  <si>
    <t xml:space="preserve">SARRAFO DE MADEIRA NAO APARELHADA *2,5 X 7,5* CM (1 X 3 ") PINUS, MISTA OU EQUIVALENTE DA REGIAO                                                                                                                                                                                                                                                                                                                                                                                                          </t>
  </si>
  <si>
    <t xml:space="preserve">SARRAFO DE MADEIRA NAO APARELHADA 2,5 X 5 CM (1 X 2 ") PINUS, MISTA OU EQUIVALENTE DA REGIAO                                                                                                                                                                                                                                                                                                                                                                                                              </t>
  </si>
  <si>
    <t>0,92</t>
  </si>
  <si>
    <t xml:space="preserve">SARRAFO DE MADEIRA NAO APARELHADA 2,5 X 5 CM, MACARANDUBA, ANGELIM OU EQUIVALENTE DA REGIAO                                                                                                                                                                                                                                                                                                                                                                                                               </t>
  </si>
  <si>
    <t xml:space="preserve">SEGURO - HORISTA (COLETADO CAIXA)                                                                                                                                                                                                                                                                                                                                                                                                                                                                         </t>
  </si>
  <si>
    <t xml:space="preserve">SEGURO - MENSALISTA (COLETADO CAIXA)                                                                                                                                                                                                                                                                                                                                                                                                                                                                      </t>
  </si>
  <si>
    <t xml:space="preserve">SEIXO ROLADO PARA APLICACAO EM CONCRETO (POSTO PEDREIRA/FORNECEDOR, SEM FRETE)                                                                                                                                                                                                                                                                                                                                                                                                                            </t>
  </si>
  <si>
    <t xml:space="preserve">SELADOR ACRILICO PAREDES INTERNAS/EXTERNAS                                                                                                                                                                                                                                                                                                                                                                                                                                                                </t>
  </si>
  <si>
    <t>7,75</t>
  </si>
  <si>
    <t xml:space="preserve">SELADOR HORIZONTAL PARA FITA DE ACO 1 "                                                                                                                                                                                                                                                                                                                                                                                                                                                                   </t>
  </si>
  <si>
    <t>514,95</t>
  </si>
  <si>
    <t xml:space="preserve">SELADOR PVA PAREDES INTERNAS                                                                                                                                                                                                                                                                                                                                                                                                                                                                              </t>
  </si>
  <si>
    <t xml:space="preserve">SELANTE A BASE DE ALCATRAO E POLIURETANO PARA JUNTAS HORIZONTAIS                                                                                                                                                                                                                                                                                                                                                                                                                                          </t>
  </si>
  <si>
    <t>51,32</t>
  </si>
  <si>
    <t xml:space="preserve">SELANTE A BASE DE RESINAS ACRILICAS PARA TRINCAS                                                                                                                                                                                                                                                                                                                                                                                                                                                          </t>
  </si>
  <si>
    <t xml:space="preserve">SELANTE ACRILICO PARA TRATAMENTO / ACABAMENTO SUPERFICIAL DE CONCRETO ESTAMPADO, APARENTE, PEDRAS E OUTROS                                                                                                                                                                                                                                                                                                                                                                                                </t>
  </si>
  <si>
    <t>19,38</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</si>
  <si>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</si>
  <si>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</si>
  <si>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</si>
  <si>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110,01</t>
  </si>
  <si>
    <t xml:space="preserve">SELANTE TIPO VEDA CALHA PARA METAL E FIBROCIMENTO                                                                                                                                                                                                                                                                                                                                                                                                                                                         </t>
  </si>
  <si>
    <t xml:space="preserve">SELIM COMPACTO EM PVC, SEM TRAVA,  DN 150 X 100 MM, PARA REDE COLETORA ESGOTO (NBR 10569)                                                                                                                                                                                                                                                                                                                                                                                                                 </t>
  </si>
  <si>
    <t xml:space="preserve">SELIM COMPACTO EM PVC, SEM TRAVA,  DN 200 X 100 MM, PARA REDE COLETORA ESGOTO (NBR 10569)                                                                                                                                                                                                                                                                                                                                                                                                                 </t>
  </si>
  <si>
    <t xml:space="preserve">SELIM COMPACTO EM PVC, SEM TRAVAS,  DN 300 X 100 MM, PARA REDE COLETORA ESGOTO (NBR 10569)                                                                                                                                                                                                                                                                                                                                                                                                                </t>
  </si>
  <si>
    <t xml:space="preserve">SELIM PVC, COM TRAVA, JE, 90 GRAUS,  DN 125 X 100 MM OU 150 X 100 MM, PARA REDE COLETORA ESGOTO (NBR 10569)                                                                                                                                                                                                                                                                                                                                                                                               </t>
  </si>
  <si>
    <t xml:space="preserve">SELIM PVC, SOLDAVEL, SEM TRAVA, JE, 90 GRAUS,  DN 200 X 100 MM, PARA REDE COLETORA ESGOTO (NBR 10569)                                                                                                                                                                                                                                                                                                                                                                                                     </t>
  </si>
  <si>
    <t>44,35</t>
  </si>
  <si>
    <t xml:space="preserve">SEMIRREBOQUE COM DOIS EIXOS EM TANDEM TIPO BASCULANTE COM CACAMBA METALICA 14 M3  (INCLUI MONTAGEM, NAO INCLUI CAVALO MECANICO)                                                                                                                                                                                                                                                                                                                                                                           </t>
  </si>
  <si>
    <t>118.650,34</t>
  </si>
  <si>
    <t xml:space="preserve">SEMIRREBOQUE COM TRES EIXOS EM TANDEM TIPO BASCULANTE COM CACAMBA METALICA 18 M3 (INCLUI MONTAGEM, NAO INCLUI CAVALO MECANICO)                                                                                                                                                                                                                                                                                                                                                                            </t>
  </si>
  <si>
    <t>139.510,48</t>
  </si>
  <si>
    <t xml:space="preserve">SEMIRREBOQUE COM TRES EIXOS, PARA TRANSPORTE DE CARGA SECA, DIMENSOES APROXIMADAS 2,60 X 12,50 X 0,50 M (NAO INCLUI CAVALO MECANICO)                                                                                                                                                                                                                                                                                                                                                                      </t>
  </si>
  <si>
    <t>107.888,11</t>
  </si>
  <si>
    <t xml:space="preserve">SENSOR DE PRESENCA BIVOLT COM FOTOCELULA PARA QUALQUER TIPO DE LAMPADA, POTENCIA MAXIMA *1000* W, USO EXTERNO                                                                                                                                                                                                                                                                                                                                                                                             </t>
  </si>
  <si>
    <t>33,63</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</si>
  <si>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</si>
  <si>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</si>
  <si>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</si>
  <si>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26,40</t>
  </si>
  <si>
    <t xml:space="preserve">SENSOR DE PRESENCA BIVOLT DE TETO SEM FOTOCELULA PARA QUALQUER TIPO DE LAMPADA POTENCIA MAXIMA *900* W, USO INTERNO                                                                                                                                                                                                                                                                                                                                                                                       </t>
  </si>
  <si>
    <t>24,55</t>
  </si>
  <si>
    <t xml:space="preserve">SERRA CIRCULAR DE BANCADA COM MOTOR ELETRICO, POTENCIA DE *1600* W, PARA DISCO DE DIAMETRO DE 10" (250 MM)                                                                                                                                                                                                                                                                                                                                                                                                </t>
  </si>
  <si>
    <t>891,40</t>
  </si>
  <si>
    <t xml:space="preserve">SERRA CIRCULAR DE BANCADA, MODELO PICA-PAU, DIAMETRO DE 350 MM. CARACTERISTICAS DO MOTOR: TRIFASICO, POTENCIA DE 5 HP, FREQUENCIA DE 60 HZ                                                                                                                                                                                                                                                                                                                                                                </t>
  </si>
  <si>
    <t>3.591,38</t>
  </si>
  <si>
    <t xml:space="preserve">SERRALHEIRO                                                                                                                                                                                                                                                                                                                                                                                                                                                                                               </t>
  </si>
  <si>
    <t xml:space="preserve">SERRALHEIRO (MENSALISTA)                                                                                                                                                                                                                                                                                                                                                                                                                                                                                  </t>
  </si>
  <si>
    <t xml:space="preserve">SERVENTE DE OBRAS                                                                                                                                                                                                                                                                                                                                                                                                                                                                                         </t>
  </si>
  <si>
    <t xml:space="preserve">SERVENTE DE OBRAS (MENSALISTA)                                                                                                                                                                                                                                                                                                                                                                                                                                                                            </t>
  </si>
  <si>
    <t>1.905,53</t>
  </si>
  <si>
    <t xml:space="preserve">SERVICO DE BOMBEAMENTO DE CONCRETO COM CONSUMO MINIMO DE 40 M3                                                                                                                                                                                                                                                                                                                                                                                                                                            </t>
  </si>
  <si>
    <t xml:space="preserve">SIFAO EM METAL CROMADO PARA PIA AMERICANA, 1.1/2 X 1.1/2 "                                                                                                                                                                                                                                                                                                                                                                                                                                                </t>
  </si>
  <si>
    <t>128,38</t>
  </si>
  <si>
    <t xml:space="preserve">SIFAO EM METAL CROMADO PARA PIA AMERICANA, 1.1/2 X 2 "                                                                                                                                                                                                                                                                                                                                                                                                                                                    </t>
  </si>
  <si>
    <t>129,95</t>
  </si>
  <si>
    <t xml:space="preserve">SIFAO EM METAL CROMADO PARA PIA OU LAVATORIO, 1 X 1.1/2 "                                                                                                                                                                                                                                                                                                                                                                                                                                                 </t>
  </si>
  <si>
    <t>102,15</t>
  </si>
  <si>
    <t xml:space="preserve">SIFAO EM METAL CROMADO PARA TANQUE, 1.1/4 X 1.1/2 "                                                                                                                                                                                                                                                                                                                                                                                                                                                       </t>
  </si>
  <si>
    <t>108,18</t>
  </si>
  <si>
    <t xml:space="preserve">SIFAO PLASTICO EXTENSIVEL UNIVERSAL, TIPO COPO                                                                                                                                                                                                                                                                                                                                                                                                                                                            </t>
  </si>
  <si>
    <t xml:space="preserve">SIFAO PLASTICO FLEXIVEL SAIDA VERTICAL PARA COLUNA LAVATORIO, 1 X 1.1/2 "                                                                                                                                                                                                                                                                                                                                                                                                                                 </t>
  </si>
  <si>
    <t xml:space="preserve">SIFAO PLASTICO TIPO COPO PARA PIA AMERICANA 1.1/2 X 1.1/2 "                                                                                                                                                                                                                                                                                                                                                                                                                                               </t>
  </si>
  <si>
    <t xml:space="preserve">SIFAO PLASTICO TIPO COPO PARA PIA OU LAVATORIO, 1 X 1.1/2 "                                                                                                                                                                                                                                                                                                                                                                                                                                               </t>
  </si>
  <si>
    <t>11,68</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</si>
  <si>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</si>
  <si>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</si>
  <si>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</si>
  <si>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</si>
  <si>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2.720,40</t>
  </si>
  <si>
    <t xml:space="preserve">SIMULADOR DE CAVALGADA TRIPLO, EM TUBO DE ACO CARBONO, PINTURA NO PROCESSO ELETROSTATICO - EQUIPAMENTO DE GINASTICA PARA ACADEMIA AO AR LIVRE / ACADEMIA DA TERCEIRA IDADE - ATI                                                                                                                                                                                                                                                                                                                          </t>
  </si>
  <si>
    <t>2.939,79</t>
  </si>
  <si>
    <t xml:space="preserve">SIMULADOR DE REMO INDIVIDUAL, EM TUBO DE ACO CARBONO, PINTURA NO PROCESSO ELETROSTATICO - EQUIPAMENTO DE GINASTICA PARA ACADEMIA AO AR LIVRE / ACADEMIA DA TERCEIRA IDADE - ATI                                                                                                                                                                                                                                                                                                                           </t>
  </si>
  <si>
    <t>1.465,96</t>
  </si>
  <si>
    <t xml:space="preserve">SINALIZADOR NOTURNO SIMPLES PARA PARA-RAIOS, SEM RELE FOTOELETRICO                                                                                                                                                                                                                                                                                                                                                                                                                                        </t>
  </si>
  <si>
    <t>60,26</t>
  </si>
  <si>
    <t xml:space="preserve">SISAL EM FIBRA                                                                                                                                                                                                                                                                                                                                                                                                                                                                                            </t>
  </si>
  <si>
    <t xml:space="preserve">SISTEMA DE FORMAS MANUSEAVEIS DE ALUMINIO, PARA BLOCO RESID. COM PAREDES DE CONCRETO MOLDADAS IN LOCO, BLOCO COM 4 PAV. E 4 UNIDADES POR PAV., UNIDADE HABITACIONALCOM 48 M2 E 2 QUARTOS; TELHA DE FIBROCIMENTO (COLETADO CAIXA)                                                                                                                                                                                                                                                                          </t>
  </si>
  <si>
    <t>1.325,85</t>
  </si>
  <si>
    <t xml:space="preserve">SISTEMA DE FORMAS MANUSEAVEIS DE ALUMINIO, PARA EDIF. RESID. UNIFAMILIAR COM PAREDES DE CONCRETO MOLDADAS IN LOCO, UNIDADE HABITACIONAL TERREA COM 38 M2, COM SALA, CIRCULACAO, 2 QUARTOS, BANHEIRO, COZINHA E TANQUE EXTERNO (SEM COBERTURA) (COLETADO CAIXA)                                                                                                                                                                                                                                            </t>
  </si>
  <si>
    <t>1.126,16</t>
  </si>
  <si>
    <t xml:space="preserve">SODA CAUSTICA EM ESCAMAS                                                                                                                                                                                                                                                                                                                                                                                                                                                                                  </t>
  </si>
  <si>
    <t xml:space="preserve">SOLDA EM BARRA DE ESTANHO-CHUMBO 50/50                                                                                                                                                                                                                                                                                                                                                                                                                                                                    </t>
  </si>
  <si>
    <t>84,33</t>
  </si>
  <si>
    <t xml:space="preserve">SOLDA EM VARETA FOSCOPER, D = *2,5* MM  X COMPRIMENTO 500 MM                                                                                                                                                                                                                                                                                                                                                                                                                                              </t>
  </si>
  <si>
    <t xml:space="preserve">SOLDA ESTANHO/COBRE PARA CONEXOES DE COBRE, FIO 2,5 MM, CARRETEL 500 GR (SEM CHUMBO)                                                                                                                                                                                                                                                                                                                                                                                                                      </t>
  </si>
  <si>
    <t>165,45</t>
  </si>
  <si>
    <t xml:space="preserve">SOLDADOR                                                                                                                                                                                                                                                                                                                                                                                                                                                                                                  </t>
  </si>
  <si>
    <t xml:space="preserve">SOLDADOR (MENSALISTA)                                                                                                                                                                                                                                                                                                                                                                                                                                                                                     </t>
  </si>
  <si>
    <t xml:space="preserve">SOLDADOR ELETRICO (PARA SOLDA A SER TESTADA COM RAIOS "X")                                                                                                                                                                                                                                                                                                                                                                                                                                                </t>
  </si>
  <si>
    <t xml:space="preserve">SOLDADOR ELETRICO (PARA SOLDA A SER TESTADA COM RAIOS "X") (MENSALISTA)                                                                                                                                                                                                                                                                                                                                                                                                                                   </t>
  </si>
  <si>
    <t>3.267,25</t>
  </si>
  <si>
    <t xml:space="preserve">SOLEIRA EM GRANITO, POLIDO, TIPO ANDORINHA/ QUARTZ/ CASTELO/ CORUMBA OU OUTROS EQUIVALENTES DA REGIAO, L= *15* CM, E=  *2,0* CM                                                                                                                                                                                                                                                                                                                                                                           </t>
  </si>
  <si>
    <t>69,52</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</si>
  <si>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</si>
  <si>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</si>
  <si>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</si>
  <si>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</si>
  <si>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LIMPADORA PARA PVC, FRASCO COM 1000 CM3                                                                                                                                                                                                                                                                                                                                                                                                                                                           </t>
  </si>
  <si>
    <t>49,34</t>
  </si>
  <si>
    <t xml:space="preserve">SOLUCAO LIMPADORA PARA PVC, FRASCO COM 200 CM3                                                                                                                                                                                                                                                                                                                                                                                                                                                            </t>
  </si>
  <si>
    <t xml:space="preserve">SOLVENTE DILUENTE A BASE DE AGUARRAS                                                                                                                                                                                                                                                                                                                                                                                                                                                                      </t>
  </si>
  <si>
    <t xml:space="preserve">SOLVENTE PARA COLA (PARA LAMINADO MELAMINICO) A BASE DE RESINA SINTETICA                                                                                                                                                                                                                                                                                                                                                                                                                                  </t>
  </si>
  <si>
    <t>39,28</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</si>
  <si>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</si>
  <si>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</si>
  <si>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</si>
  <si>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</si>
  <si>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</si>
  <si>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68 GRAUS CELSIUS (BULBO VERMELHO), ACABAMENTO CROMADO, 1/2" - 15 MM                                                                                                                                                                                                                                                                                                                                                                                                              </t>
  </si>
  <si>
    <t xml:space="preserve">SPRINKLER TIPO PENDENTE, 68 GRAUS CELSIUS (BULBO VERMELHO), ACABAMENTO CROMADO, 3/4" - 20 MM                                                                                                                                                                                                                                                                                                                                                                                                              </t>
  </si>
  <si>
    <t xml:space="preserve">SPRINKLER TIPO PENDENTE, 68 GRAUS CELSIUS (BULBO VERMELHO), ACABAMENTO NATURAL, 1/2" - 15 MM                                                                                                                                                                                                                                                                                                                                                                                                              </t>
  </si>
  <si>
    <t xml:space="preserve">SPRINKLER TIPO PENDENTE, 68 GRAUS CELSIUS (BULBO VERMELHO), ACABAMENTO NATURAL, 3/4" - 20 MM                                                                                                                                                                                                                                                                                                                                                                                                              </t>
  </si>
  <si>
    <t xml:space="preserve">SPRINKLER TIPO PENDENTE, 79 GRAUS CELSIUS (BULBO AMARELO), ACABAMENTO CROMADO, 3/4" - 20 MM                                                                                                                                                                                                                                                                                                                                                                                                               </t>
  </si>
  <si>
    <t>37,66</t>
  </si>
  <si>
    <t xml:space="preserve">SPRINKLER TIPO PENDENTE, 79 GRAUS CELSIUS (BULBO AMARELO), ACABAMENTO NATURAL, 3/4" - 20 MM                                                                                                                                                                                                                                                                                                                                                                                                               </t>
  </si>
  <si>
    <t xml:space="preserve">SPRINKLER TIPO PENDENTE, 79 GRAUS CELSIUS (BULBO AMARELO,) ACABAMENTO NATURAL OU CROMADO, 1/2" - 15 MM                                                                                                                                                                                                                                                                                                                                                                                                    </t>
  </si>
  <si>
    <t>29,03</t>
  </si>
  <si>
    <t xml:space="preserve">SUMIDOURO CONCRETO PRE MOLDADO, COMPLETO, PARA 10 CONTRIBUINTES                                                                                                                                                                                                                                                                                                                                                                                                                                           </t>
  </si>
  <si>
    <t>990,04</t>
  </si>
  <si>
    <t xml:space="preserve">SUMIDOURO CONCRETO PRE MOLDADO, COMPLETO, PARA 100 CONTRIBUINTES                                                                                                                                                                                                                                                                                                                                                                                                                                          </t>
  </si>
  <si>
    <t>5.189,19</t>
  </si>
  <si>
    <t xml:space="preserve">SUMIDOURO CONCRETO PRE MOLDADO, COMPLETO, PARA 150 CONTRIBUINTES                                                                                                                                                                                                                                                                                                                                                                                                                                          </t>
  </si>
  <si>
    <t>6.770,99</t>
  </si>
  <si>
    <t xml:space="preserve">SUMIDOURO CONCRETO PRE MOLDADO, COMPLETO, PARA 200 CONTRIBUINTES                                                                                                                                                                                                                                                                                                                                                                                                                                          </t>
  </si>
  <si>
    <t>7.112,38</t>
  </si>
  <si>
    <t xml:space="preserve">SUMIDOURO CONCRETO PRE MOLDADO, COMPLETO, PARA 5 CONTRIBUINTES                                                                                                                                                                                                                                                                                                                                                                                                                                            </t>
  </si>
  <si>
    <t>719,77</t>
  </si>
  <si>
    <t xml:space="preserve">SUMIDOURO CONCRETO PRE MOLDADO, COMPLETO, PARA 50 CONTRIBUINTES                                                                                                                                                                                                                                                                                                                                                                                                                                           </t>
  </si>
  <si>
    <t>3.510,67</t>
  </si>
  <si>
    <t xml:space="preserve">SUMIDOURO CONCRETO PRE MOLDADO, COMPLETO, PARA 75 CONTRIBUINTES                                                                                                                                                                                                                                                                                                                                                                                                                                           </t>
  </si>
  <si>
    <t>4.813,66</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</si>
  <si>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</si>
  <si>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</si>
  <si>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</si>
  <si>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DE PVC PARA CALHA PLUVIAL, DIAMETRO ENTRE 119 E 170 MM, PARA DRENAGEM PREDIAL                                                                                                                                                                                                                                                                                                                                                                                                                     </t>
  </si>
  <si>
    <t xml:space="preserve">SUPORTE EM ACO GALVANIZADO PARA TRANSFORMADOR PARA POSTE DUPLO T 185 X 95 MM, CHAPA DE 5/16"                                                                                                                                                                                                                                                                                                                                                                                                              </t>
  </si>
  <si>
    <t>105,50</t>
  </si>
  <si>
    <t xml:space="preserve">SUPORTE GUIA SIMPLES COM ROLDANA EM POLIPROPILENO PARA CHUMBAR, H = 20 CM                                                                                                                                                                                                                                                                                                                                                                                                                                 </t>
  </si>
  <si>
    <t>5,53</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</si>
  <si>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</si>
  <si>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</si>
  <si>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</si>
  <si>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</si>
  <si>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PREDIAL                                                                                                                                                                                                                                                                                                                                                                                                </t>
  </si>
  <si>
    <t xml:space="preserve">SUPORTE PARA CALHA DE 150 MM EM FERRO GALVANIZADO                                                                                                                                                                                                                                                                                                                                                                                                                                                         </t>
  </si>
  <si>
    <t xml:space="preserve">SUPORTE PARA TUBO DIAMETRO NOMINAL 2", COM ROSCA MECANICA                                                                                                                                                                                                                                                                                                                                                                                                                                                 </t>
  </si>
  <si>
    <t>13,71</t>
  </si>
  <si>
    <t xml:space="preserve">SURF DUPLO, EM TUBO DE ACO CARBONO, PINTURA NO PROCESSO ELETROSTATICO - EQUIPAMENTO DE GINASTICA PARA ACADEMIA AO AR LIVRE / ACADEMIA DA TERCEIRA IDADE - ATI                                                                                                                                                                                                                                                                                                                                             </t>
  </si>
  <si>
    <t>1.534,45</t>
  </si>
  <si>
    <t xml:space="preserve">TABUA DE  MADEIRA PARA PISO, CUMARU/IPE CHAMPANHE OU EQUIVALENTE DA REGIAO, ENCAIXE MACHO/FEMEA, *10 X 2* CM                                                                                                                                                                                                                                                                                                                                                                                              </t>
  </si>
  <si>
    <t>165,60</t>
  </si>
  <si>
    <t xml:space="preserve">TABUA DE  MADEIRA PARA PISO, CUMARU/IPE CHAMPANHE OU EQUIVALENTE DA REGIAO, ENCAIXE MACHO/FEMEA, *15 X 2* CM                                                                                                                                                                                                                                                                                                                                                                                              </t>
  </si>
  <si>
    <t>178,73</t>
  </si>
  <si>
    <t xml:space="preserve">TABUA DE  MADEIRA PARA PISO, IPE (CERNE) OU EQUIVALENTE DA REGIAO, ENCAIXE MACHO/FEMEA, *20 X 2* CM                                                                                                                                                                                                                                                                                                                                                                                                       </t>
  </si>
  <si>
    <t>221,85</t>
  </si>
  <si>
    <t xml:space="preserve">TABUA DE MADEIRA APARELHADA *2,5 X 15* CM, MACARANDUBA, ANGELIM OU EQUIVALENTE DA REGIAO                                                                                                                                                                                                                                                                                                                                                                                                                  </t>
  </si>
  <si>
    <t>100,90</t>
  </si>
  <si>
    <t xml:space="preserve">TABUA DE MADEIRA APARELHADA *2,5 X 25* CM, MACARANDUBA, ANGELIM OU EQUIVALENTE DA REGIAO                                                                                                                                                                                                                                                                                                                                                                                                                  </t>
  </si>
  <si>
    <t xml:space="preserve">TABUA DE MADEIRA APARELHADA *2,5 X 30* CM, MACARANDUBA, ANGELIM OU EQUIVALENTE DA REGIAO                                                                                                                                                                                                                                                                                                                                                                                                                  </t>
  </si>
  <si>
    <t xml:space="preserve">TABUA DE MADEIRA NAO APARELHADA *2,5 X 10 CM (1 X 4 ") PINUS, MISTA OU EQUIVALENTE DA REGIAO                                                                                                                                                                                                                                                                                                                                                                                                              </t>
  </si>
  <si>
    <t xml:space="preserve">TABUA DE MADEIRA NAO APARELHADA *2,5 X 15 CM (1 X 6 ") PINUS, MISTA OU EQUIVALENTE DA REGIAO                                                                                                                                                                                                                                                                                                                                                                                                              </t>
  </si>
  <si>
    <t xml:space="preserve">TABUA DE MADEIRA NAO APARELHADA *2,5 X 20* CM, CEDRINHO OU EQUIVALENTE DA REGIAO                                                                                                                                                                                                                                                                                                                                                                                                                          </t>
  </si>
  <si>
    <t xml:space="preserve">TABUA DE MADEIRA NAO APARELHADA *2,5 X 23* CM (1 x 9 ") PINUS, MISTA OU EQUIVALENTE DA REGIAO                                                                                                                                                                                                                                                                                                                                                                                                             </t>
  </si>
  <si>
    <t xml:space="preserve">TABUA DE MADEIRA NAO APARELHADA *2,5 X 30 CM (1 X 12 ") PINUS, MISTA OU EQUIVALENTE DA REGIAO                                                                                                                                                                                                                                                                                                                                                                                                             </t>
  </si>
  <si>
    <t>24,03</t>
  </si>
  <si>
    <t xml:space="preserve">TABUA DE MADEIRA NAO APARELHADA *2,5 X 30* CM, CEDRINHO OU EQUIVALENTE DA REGIAO                                                                                                                                                                                                                                                                                                                                                                                                                          </t>
  </si>
  <si>
    <t xml:space="preserve">TACO DE MADEIRA PARA PISO, IPE (CERNE) OU EQUIVALENTE DA REGIAO, 7 X 42 CM, E = 2 CM                                                                                                                                                                                                                                                                                                                                                                                                                      </t>
  </si>
  <si>
    <t>103,73</t>
  </si>
  <si>
    <t xml:space="preserve">TALABARTE DE SEGURANCA, 2 MOSQUETOES TRAVA DUPLA *53* MM DE ABERTURA, COM ABSORVEDOR DE ENERGIA                                                                                                                                                                                                                                                                                                                                                                                                           </t>
  </si>
  <si>
    <t>150,06</t>
  </si>
  <si>
    <t xml:space="preserve">TALHA ELETRICA 3 T, VELOCIDADE  2,1 M / MIN, POTENCIA 1,3 KW                                                                                                                                                                                                                                                                                                                                                                                                                                              </t>
  </si>
  <si>
    <t>9.754,19</t>
  </si>
  <si>
    <t xml:space="preserve">TALHA MANUAL DE CORRENTE, CAPACIDADE DE 1 T COM ELEVACAO DE 3 M                                                                                                                                                                                                                                                                                                                                                                                                                                           </t>
  </si>
  <si>
    <t>705,75</t>
  </si>
  <si>
    <t xml:space="preserve">TALHA MANUAL DE CORRENTE, CAPACIDADE DE 2 T COM ELEVACAO DE 3 M                                                                                                                                                                                                                                                                                                                                                                                                                                           </t>
  </si>
  <si>
    <t>1.029,35</t>
  </si>
  <si>
    <t xml:space="preserve">TALHADEIRA COM PUNHO DE PROTECAO *20 X 250* MM                                                                                                                                                                                                                                                                                                                                                                                                                                                            </t>
  </si>
  <si>
    <t>31,09</t>
  </si>
  <si>
    <t xml:space="preserve">TAMPA CEGA EM PVC PARA CONDULETE 4 X 2"                                                                                                                                                                                                                                                                                                                                                                                                                                                                   </t>
  </si>
  <si>
    <t xml:space="preserve">TAMPA DE CONCRETO PARA PV OU CAIXA DE INSPECAO, DIMENSOES 600 X 600 X 50 MM                                                                                                                                                                                                                                                                                                                                                                                                                               </t>
  </si>
  <si>
    <t>39,34</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</si>
  <si>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</si>
  <si>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</si>
  <si>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</si>
  <si>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</si>
  <si>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FEMEA, METALICO, PARA TUBO PEX, DN 1/2"                                                                                                                                                                                                                                                                                                                                                                                                                                               </t>
  </si>
  <si>
    <t xml:space="preserve">TAMPAO / CAP, ROSCA FEMEA, METALICO, PARA TUBO PEX, DN 3/4"                                                                                                                                                                                                                                                                                                                                                                                                                                               </t>
  </si>
  <si>
    <t xml:space="preserve">TAMPAO / CAP, ROSCA MACHO, PARA TUBO PEX, DN 1/2"                                                                                                                                                                                                                                                                                                                                                                                                                                                         </t>
  </si>
  <si>
    <t xml:space="preserve">TAMPAO / CAP, ROSCA MACHO, PARA TUBO PEX, DN 1"                                                                                                                                                                                                                                                                                                                                                                                                                                                           </t>
  </si>
  <si>
    <t xml:space="preserve">TAMPAO / CAP, ROSCA MACHO, PARA TUBO PEX, DN 3/4"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</si>
  <si>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</si>
  <si>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</si>
  <si>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</si>
  <si>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</si>
  <si>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10,82</t>
  </si>
  <si>
    <t xml:space="preserve">TAMPAO COM CORRENTE, EM LATAO, ENGATE RAPIDO 1 1/2", PARA INSTALACAO PREDIAL DE COMBATE A INCENDIO                                                                                                                                                                                                                                                                                                                                                                                                        </t>
  </si>
  <si>
    <t>39,04</t>
  </si>
  <si>
    <t xml:space="preserve">TAMPAO COM CORRENTE, EM LATAO, ENGATE RAPIDO 2 1/2", PARA INSTALACAO PREDIAL DE COMBATE A INCENDIO                                                                                                                                                                                                                                                                                                                                                                                                        </t>
  </si>
  <si>
    <t>52,38</t>
  </si>
  <si>
    <t xml:space="preserve">TAMPAO COMPLETO PARA TIL, EM PVC, OCRE, DN 100 MM, PARA REDE COLETORA DE ESGOTO                                                                                                                                                                                                                                                                                                                                                                                                                           </t>
  </si>
  <si>
    <t xml:space="preserve">TAMPAO COMPLETO PARA TIL, EM PVC, OCRE, DN 150 MM, PARA REDE COLETORA DE ESGOTO                                                                                                                                                                                                                                                                                                                                                                                                                           </t>
  </si>
  <si>
    <t xml:space="preserve">TAMPAO COMPLETO PARA TIL, EM PVC, OCRE, DN 200 MM, PARA REDE COLETORA DE ESGOTO                                                                                                                                                                                                                                                                                                                                                                                                                           </t>
  </si>
  <si>
    <t>97,61</t>
  </si>
  <si>
    <t xml:space="preserve">TAMPAO COMPLETO PARA TIL, EM PVC, OCRE, DN 250 MM, PARA REDE COLETORA DE ESGOTO                                                                                                                                                                                                                                                                                                                                                                                                                           </t>
  </si>
  <si>
    <t>120,89</t>
  </si>
  <si>
    <t xml:space="preserve">TAMPAO FOFO ARTICULADO P/ REGISTRO, CLASSE A15 CARGA MAX 1,5 T, *200 X 200* MM                                                                                                                                                                                                                                                                                                                                                                                                                            </t>
  </si>
  <si>
    <t>50,06</t>
  </si>
  <si>
    <t xml:space="preserve">TAMPAO FOFO ARTICULADO P/ REGISTRO, CLASSE A15 CARGA MAXIMA 1,5 T, *400 X 400* MM                                                                                                                                                                                                                                                                                                                                                                                                                         </t>
  </si>
  <si>
    <t>125,15</t>
  </si>
  <si>
    <t xml:space="preserve">TAMPAO FOFO ARTICULADO, CLASSE B125 CARGA MAX 12,5 T, REDONDO TAMPA 600 MM, REDE PLUVIAL/ESGOTO                                                                                                                                                                                                                                                                                                                                                                                                           </t>
  </si>
  <si>
    <t>317,35</t>
  </si>
  <si>
    <t xml:space="preserve">TAMPAO FOFO ARTICULADO, CLASSE D400 CARGA MAX 40 T, REDONDO TAMPA *600 MM, REDE PLUVIAL/ESGOTO                                                                                                                                                                                                                                                                                                                                                                                                            </t>
  </si>
  <si>
    <t>388,86</t>
  </si>
  <si>
    <t xml:space="preserve">TAMPAO FOFO SIMPLES COM BASE, CLASSE A15 CARGA MAX 1,5 T, *400 X 600* MM, REDE TELEFONE                                                                                                                                                                                                                                                                                                                                                                                                                   </t>
  </si>
  <si>
    <t>162,25</t>
  </si>
  <si>
    <t xml:space="preserve">TAMPAO FOFO SIMPLES COM BASE, CLASSE A15 CARGA MAX 1,5 T, 300 X 300 MM, REDE PLUVIAL/ESGOTO                                                                                                                                                                                                                                                                                                                                                                                                               </t>
  </si>
  <si>
    <t xml:space="preserve">TAMPAO FOFO SIMPLES COM BASE, CLASSE A15 CARGA MAX 1,5 T, 300 X 400 MM                                                                                                                                                                                                                                                                                                                                                                                                                                    </t>
  </si>
  <si>
    <t>177,89</t>
  </si>
  <si>
    <t xml:space="preserve">TAMPAO FOFO SIMPLES COM BASE, CLASSE A15 CARGA MAX 1,5 T, 400 X 400 MM, REDE PLUVIAL/ESGOTO/ELETRICA                                                                                                                                                                                                                                                                                                                                                                                                      </t>
  </si>
  <si>
    <t>116,21</t>
  </si>
  <si>
    <t xml:space="preserve">TAMPAO FOFO SIMPLES COM BASE, CLASSE A15 CARGA MAX 1,5 T, 400 X 500 MM, COM INSCRICAO INCENDIO                                                                                                                                                                                                                                                                                                                                                                                                            </t>
  </si>
  <si>
    <t>196,66</t>
  </si>
  <si>
    <t xml:space="preserve">TAMPAO FOFO SIMPLES COM BASE, CLASSE B125 CARGA MAX 12,5 T, REDONDO TAMPA 500 MM, REDE PLUVIAL/ESGOTO                                                                                                                                                                                                                                                                                                                                                                                                     </t>
  </si>
  <si>
    <t>250,30</t>
  </si>
  <si>
    <t xml:space="preserve">TAMPAO FOFO SIMPLES COM BASE, CLASSE B125 CARGA MAX 12,5 T, REDONDO TAMPA 600 MM, REDE PLUVIAL/ESGOTO                                                                                                                                                                                                                                                                                                                                                                                                     </t>
  </si>
  <si>
    <t>288,30</t>
  </si>
  <si>
    <t xml:space="preserve">TAMPAO FOFO SIMPLES COM BASE, CLASSE D400 CARGA MAX 40 T, REDONDO TAMPA 500 MM, REDE PLUVIAL/ESGOTO                                                                                                                                                                                                                                                                                                                                                                                                       </t>
  </si>
  <si>
    <t>343,72</t>
  </si>
  <si>
    <t xml:space="preserve">TAMPAO FOFO SIMPLES COM BASE, CLASSE D400 CARGA MAX 40 T, REDONDO TAMPA 600 MM, REDE PLUVIAL/ESGOTO                                                                                                                                                                                                                                                                                                                                                                                                       </t>
  </si>
  <si>
    <t>381,71</t>
  </si>
  <si>
    <t xml:space="preserve">TAMPAO FOFO SIMPLES COM BASE, CLASSE D400 CARGA MAX 40 T, REDONDO TAMPA 900 MM, REDE PLUVIAL/ESGOTO                                                                                                                                                                                                                                                                                                                                                                                                       </t>
  </si>
  <si>
    <t>1.216,22</t>
  </si>
  <si>
    <t xml:space="preserve">TAMPAO FOFO SIMPLES, CLASSE A15 CARGA MAX 1,5 T, *550 X 1100* MM, REDE TELEFONE                                                                                                                                                                                                                                                                                                                                                                                                                           </t>
  </si>
  <si>
    <t>411,66</t>
  </si>
  <si>
    <t xml:space="preserve">TAMPAO PARA TELHA ESTRUTURAL DE FIBROCIMENTO 1 ABA, DE 370 X 155 X 76 MM (SEM AMIANTO)                                                                                                                                                                                                                                                                                                                                                                                                                    </t>
  </si>
  <si>
    <t xml:space="preserve">TAMPAO PARA TELHA ESTRUTURAL DE FIBROCIMENTO 2 ABAS, DE 787 X 215 X 60 MM (SEM AMIANTO)                                                                                                                                                                                                                                                                                                                                                                                                                   </t>
  </si>
  <si>
    <t>10,34</t>
  </si>
  <si>
    <t xml:space="preserve">TANQUE ACO INOXIDAVEL (ACO 304) COM ESFREGADOR E VALVULA, DE *50 X 40 X 22* CM                                                                                                                                                                                                                                                                                                                                                                                                                            </t>
  </si>
  <si>
    <t>367,05</t>
  </si>
  <si>
    <t xml:space="preserve">TANQUE DE ACO CARBONO NAO REVESTIDO, PARA TRANSPORTE DE AGUA COM CAPACIDADE DE 10 M3, COM BOMBA CENTRIFUGA POR TOMADA DE FORCA, VAZAO MAXIMA *75* M3/H (INCLUI MONTAGEM, NAO INCLUI CAMINHAO)                                                                                                                                                                                                                                                                                                             </t>
  </si>
  <si>
    <t>48.000,00</t>
  </si>
  <si>
    <t xml:space="preserve">TANQUE DE ACO PARA TRANSPORTE DE AGUA COM CAPACIDADE DE 14 M3 (INCLUI MONTAGEM, NAO INCLUI CAMINHAO)                                                                                                                                                                                                                                                                                                                                                                                                      </t>
  </si>
  <si>
    <t>59.076,92</t>
  </si>
  <si>
    <t xml:space="preserve">TANQUE DE ACO PARA TRANSPORTE DE AGUA COM CAPACIDADE DE 4 M3 (INCLUI MONTAGEM, NAO INCLUI CAMINHAO)                                                                                                                                                                                                                                                                                                                                                                                                       </t>
  </si>
  <si>
    <t>33.712,37</t>
  </si>
  <si>
    <t xml:space="preserve">TANQUE DE ACO PARA TRANSPORTE DE AGUA COM CAPACIDADE DE 6 M3 (INCLUI MONTAGEM, NAO INCLUI CAMINHAO)                                                                                                                                                                                                                                                                                                                                                                                                       </t>
  </si>
  <si>
    <t>40.053,51</t>
  </si>
  <si>
    <t xml:space="preserve">TANQUE DE ACO PARA TRANSPORTE DE AGUA COM CAPACIDADE DE 8 M3 (INCLUI MONTAGEM, NAO INCLUI CAMINHAO)                                                                                                                                                                                                                                                                                                                                                                                                       </t>
  </si>
  <si>
    <t>31.866,22</t>
  </si>
  <si>
    <t xml:space="preserve">TANQUE DE ASFALTO ESTACIONARIO COM MACARICO, CAPACIDADE 20.000 L                                                                                                                                                                                                                                                                                                                                                                                                                                          </t>
  </si>
  <si>
    <t>66.742,47</t>
  </si>
  <si>
    <t xml:space="preserve">TANQUE DE ASFALTO ESTACIONARIO COM SERPENTINA, CAPACIDADE 20.000 L                                                                                                                                                                                                                                                                                                                                                                                                                                        </t>
  </si>
  <si>
    <t>69.953,17</t>
  </si>
  <si>
    <t xml:space="preserve">TANQUE DE ASFALTO ESTACIONARIO COM SERPENTINA, CAPACIDADE 30.000 L                                                                                                                                                                                                                                                                                                                                                                                                                                        </t>
  </si>
  <si>
    <t>82.113,71</t>
  </si>
  <si>
    <t xml:space="preserve">TANQUE DUPLO EM MARMORE SINTETICO COM CUBA LISA E ESFREGADOR, *110 X 60* CM                                                                                                                                                                                                                                                                                                                                                                                                                               </t>
  </si>
  <si>
    <t>188,95</t>
  </si>
  <si>
    <t xml:space="preserve">TANQUE LOUCA BRANCA COM COLUNA *30* L                                                                                                                                                                                                                                                                                                                                                                                                                                                                     </t>
  </si>
  <si>
    <t>489,88</t>
  </si>
  <si>
    <t xml:space="preserve">TANQUE LOUCA BRANCA SUSPENSO *20* L                                                                                                                                                                                                                                                                                                                                                                                                                                                                       </t>
  </si>
  <si>
    <t>303,84</t>
  </si>
  <si>
    <t xml:space="preserve">TANQUE SIMPLES EM MARMORE SINTETICO COM COLUNA, CAPACIDADE *22* L, *60 X 46* CM                                                                                                                                                                                                                                                                                                                                                                                                                           </t>
  </si>
  <si>
    <t>231,52</t>
  </si>
  <si>
    <t xml:space="preserve">TANQUE SIMPLES EM MARMORE SINTETICO DE FIXAR NA PAREDE, CAPACIDADE *22* L, *60 X 46* CM                                                                                                                                                                                                                                                                                                                                                                                                                   </t>
  </si>
  <si>
    <t>122,99</t>
  </si>
  <si>
    <t xml:space="preserve">TANQUE SIMPLES EM MARMORE SINTETICO SUSPENSO, CAPACIDADE *38* L, *60 X 60* CM                                                                                                                                                                                                                                                                                                                                                                                                                             </t>
  </si>
  <si>
    <t xml:space="preserve">TAQUEADOR OU TAQUEIRO                                                                                                                                                                                                                                                                                                                                                                                                                                                                                     </t>
  </si>
  <si>
    <t xml:space="preserve">TAQUEADOR OU TAQUEIRO (MENSALISTA)                                                                                                                                                                                                                                                                                                                                                                                                                                                                        </t>
  </si>
  <si>
    <t>3.591,36</t>
  </si>
  <si>
    <t xml:space="preserve">TARIFA "A" ENTRE  0 E 20M3 FORNECIMENTO D'AGUA                                                                                                                                                                                                                                                                                                                                                                                                                                                            </t>
  </si>
  <si>
    <t xml:space="preserve">TARJETA TIPO LIVRE / OCUPADO, CROMADA, PARA PORTA DE BANHEIRO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</si>
  <si>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</si>
  <si>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</si>
  <si>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</si>
  <si>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</si>
  <si>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</si>
  <si>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</si>
  <si>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34,83</t>
  </si>
  <si>
    <t xml:space="preserve">TE CPVC, SOLDAVEL, 90 GRAUS, 73 MM, PARA AGUA QUENTE PREDIAL                                                                                                                                                                                                                                                                                                                                                                                                                                              </t>
  </si>
  <si>
    <t xml:space="preserve">TE CPVC, SOLDAVEL, 90 GRAUS, 89 MM, PARA AGUA QUENTE PREDIAL                                                                                                                                                                                                                                                                                                                                                                                                                                              </t>
  </si>
  <si>
    <t>102,33</t>
  </si>
  <si>
    <t xml:space="preserve">TE DE COBRE (REF 611) SEM ANEL DE SOLDA, BOLSA X BOLSA X BOLSA, 104 MM                                                                                                                                                                                                                                                                                                                                                                                                                                    </t>
  </si>
  <si>
    <t>794,47</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</si>
  <si>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</si>
  <si>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</si>
  <si>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</si>
  <si>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</si>
  <si>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</si>
  <si>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41,28</t>
  </si>
  <si>
    <t xml:space="preserve">TE DE COBRE (REF 611) SEM ANEL DE SOLDA, BOLSA X BOLSA X BOLSA, 54 MM                                                                                                                                                                                                                                                                                                                                                                                                                                     </t>
  </si>
  <si>
    <t>81,58</t>
  </si>
  <si>
    <t xml:space="preserve">TE DE COBRE (REF 611) SEM ANEL DE SOLDA, BOLSA X BOLSA X BOLSA, 66 MM                                                                                                                                                                                                                                                                                                                                                                                                                                     </t>
  </si>
  <si>
    <t>232,24</t>
  </si>
  <si>
    <t xml:space="preserve">TE DE COBRE (REF 611) SEM ANEL DE SOLDA, BOLSA X BOLSA X BOLSA, 79 MM                                                                                                                                                                                                                                                                                                                                                                                                                                     </t>
  </si>
  <si>
    <t>363,36</t>
  </si>
  <si>
    <t xml:space="preserve">TE DE FERRO GALVANIZADO, DE 1 1/2"                                                                                                                                                                                                                                                                                                                                                                                                                                                                        </t>
  </si>
  <si>
    <t xml:space="preserve">TE DE FERRO GALVANIZADO, DE 1 1/4"                                                                                                                                                                                                                                                                                                                                                                                                                                                                        </t>
  </si>
  <si>
    <t xml:space="preserve">TE DE FERRO GALVANIZADO, DE 1/2"                                                                                                                                                                                                                                                                                                                                                                                                                                                                          </t>
  </si>
  <si>
    <t xml:space="preserve">TE DE FERRO GALVANIZADO, DE 1"                                                                                                                                                                                                                                                                                                                                                                                                                                                                            </t>
  </si>
  <si>
    <t>11,44</t>
  </si>
  <si>
    <t xml:space="preserve">TE DE FERRO GALVANIZADO, DE 2 1/2"                                                                                                                                                                                                                                                                                                                                                                                                                                                                        </t>
  </si>
  <si>
    <t>66,72</t>
  </si>
  <si>
    <t xml:space="preserve">TE DE FERRO GALVANIZADO, DE 2"                                                                                                                                                                                                                                                                                                                                                                                                                                                                            </t>
  </si>
  <si>
    <t xml:space="preserve">TE DE FERRO GALVANIZADO, DE 3/4"                                                                                                                                                                                                                                                                                                                                                                                                                                                                          </t>
  </si>
  <si>
    <t xml:space="preserve">TE DE FERRO GALVANIZADO, DE 3"                                                                                                                                                                                                                                                                                                                                                                                                                                                                            </t>
  </si>
  <si>
    <t>89,36</t>
  </si>
  <si>
    <t xml:space="preserve">TE DE FERRO GALVANIZADO, DE 4"                                                                                                                                                                                                                                                                                                                                                                                                                                                                            </t>
  </si>
  <si>
    <t>164,75</t>
  </si>
  <si>
    <t xml:space="preserve">TE DE FERRO GALVANIZADO, DE 5"                                                                                                                                                                                                                                                                                                                                                                                                                                                                            </t>
  </si>
  <si>
    <t>235,34</t>
  </si>
  <si>
    <t xml:space="preserve">TE DE FERRO GALVANIZADO, DE 6"                                                                                                                                                                                                                                                                                                                                                                                                                                                                            </t>
  </si>
  <si>
    <t>551,61</t>
  </si>
  <si>
    <t xml:space="preserve">TE DE INSPECAO, PVC,  100 X 75 MM, SERIE NORMAL PARA ESGOTO PREDIAL                                                                                                                                                                                                                                                                                                                                                                                                                                       </t>
  </si>
  <si>
    <t xml:space="preserve">TE DE INSPECAO, PVC, SERIE R, 100 X 75 MM, PARA ESGOTO PREDIAL                                                                                                                                                                                                                                                                                                                                                                                                                                            </t>
  </si>
  <si>
    <t xml:space="preserve">TE DE INSPECAO, PVC, SERIE R, 150 X 100 MM, PARA ESGOTO PREDIAL                                                                                                                                                                                                                                                                                                                                                                                                                                           </t>
  </si>
  <si>
    <t>163,39</t>
  </si>
  <si>
    <t xml:space="preserve">TE DE INSPECAO, PVC, SERIE R, 75 X 75 MM, PARA ESGOTO PREDIAL                                                                                                                                                                                                                                                                                                                                                                                                                                             </t>
  </si>
  <si>
    <t xml:space="preserve">TE DE REDUCAO COM ROSCA, PVC, 90 GRAUS, 1 X 3/4", PARA AGUA FRIA PREDIAL                                                                                                                                                                                                                                                                                                                                                                                                                                  </t>
  </si>
  <si>
    <t xml:space="preserve">TE DE REDUCAO COM ROSCA, PVC, 90 GRAUS, 3/4 X 1/2", PARA AGUA FRIA PREDIAL                                                                                                                                                                                                                                                                                                                                                                                                                                </t>
  </si>
  <si>
    <t xml:space="preserve">TE DE REDUCAO DE FERRO GALVANIZADO, COM ROSCA BSP, DE 1 1/2" X 1"                                                                                                                                                                                                                                                                                                                                                                                                                                         </t>
  </si>
  <si>
    <t>26,06</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</si>
  <si>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</si>
  <si>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</si>
  <si>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</si>
  <si>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</si>
  <si>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</si>
  <si>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</si>
  <si>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</si>
  <si>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</si>
  <si>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74,21</t>
  </si>
  <si>
    <t xml:space="preserve">TE DE REDUCAO DE FERRO GALVANIZADO, COM ROSCA BSP, DE 2" X 1 1/2"                                                                                                                                                                                                                                                                                                                                                                                                                                         </t>
  </si>
  <si>
    <t>38,90</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</si>
  <si>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</si>
  <si>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</si>
  <si>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</si>
  <si>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</si>
  <si>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</si>
  <si>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</si>
  <si>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</si>
  <si>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</si>
  <si>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</si>
  <si>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196,41</t>
  </si>
  <si>
    <t xml:space="preserve">TE DE REDUCAO DE FERRO GALVANIZADO, COM ROSCA BSP, DE 4" X 3"                                                                                                                                                                                                                                                                                                                                                                                                                                             </t>
  </si>
  <si>
    <t xml:space="preserve">TE DE REDUCAO METALICO, PARA CONEXAO COM ANEL DESLIZANTE EM TUBO PEX, DN 16 X 20 X 16 MM                                                                                                                                                                                                                                                                                                                                                                                                                  </t>
  </si>
  <si>
    <t xml:space="preserve">TE DE REDUCAO METALICO, PARA CONEXAO COM ANEL DESLIZANTE EM TUBO PEX, DN 16 X 25 X 16 MM                                                                                                                                                                                                                                                                                                                                                                                                                  </t>
  </si>
  <si>
    <t xml:space="preserve">TE DE REDUCAO METALICO, PARA CONEXAO COM ANEL DESLIZANTE EM TUBO PEX, DN 20 X 16 X 16 MM                                                                                                                                                                                                                                                                                                                                                                                                                  </t>
  </si>
  <si>
    <t>12,84</t>
  </si>
  <si>
    <t xml:space="preserve">TE DE REDUCAO METALICO, PARA CONEXAO COM ANEL DESLIZANTE EM TUBO PEX, DN 20 X 16 X 20 MM                                                                                                                                                                                                                                                                                                                                                                                                                  </t>
  </si>
  <si>
    <t xml:space="preserve">TE DE REDUCAO METALICO, PARA CONEXAO COM ANEL DESLIZANTE EM TUBO PEX, DN 20 X 20 X 16 MM                                                                                                                                                                                                                                                                                                                                                                                                                  </t>
  </si>
  <si>
    <t>13,94</t>
  </si>
  <si>
    <t xml:space="preserve">TE DE REDUCAO METALICO, PARA CONEXAO COM ANEL DESLIZANTE EM TUBO PEX, DN 20 X 25 X 20 MM                                                                                                                                                                                                                                                                                                                                                                                                                  </t>
  </si>
  <si>
    <t xml:space="preserve">TE DE REDUCAO METALICO, PARA CONEXAO COM ANEL DESLIZANTE EM TUBO PEX, DN 25 X 16 X 16 MM                                                                                                                                                                                                                                                                                                                                                                                                                  </t>
  </si>
  <si>
    <t xml:space="preserve">TE DE REDUCAO METALICO, PARA CONEXAO COM ANEL DESLIZANTE EM TUBO PEX, DN 25 X 16 X 20 MM                                                                                                                                                                                                                                                                                                                                                                                                                  </t>
  </si>
  <si>
    <t xml:space="preserve">TE DE REDUCAO METALICO, PARA CONEXAO COM ANEL DESLIZANTE EM TUBO PEX, DN 25 X 16 X 25 MM                                                                                                                                                                                                                                                                                                                                                                                                                  </t>
  </si>
  <si>
    <t xml:space="preserve">TE DE REDUCAO METALICO, PARA CONEXAO COM ANEL DESLIZANTE EM TUBO PEX, DN 25 X 20 X 20 MM                                                                                                                                                                                                                                                                                                                                                                                                                  </t>
  </si>
  <si>
    <t xml:space="preserve">TE DE REDUCAO METALICO, PARA CONEXAO COM ANEL DESLIZANTE EM TUBO PEX, DN 25 X 20 X 25 MM                                                                                                                                                                                                                                                                                                                                                                                                                  </t>
  </si>
  <si>
    <t xml:space="preserve">TE DE REDUCAO METALICO, PARA CONEXAO COM ANEL DESLIZANTE EM TUBO PEX, DN 25 X 32 X 25 MM                                                                                                                                                                                                                                                                                                                                                                                                                  </t>
  </si>
  <si>
    <t>37,08</t>
  </si>
  <si>
    <t xml:space="preserve">TE DE REDUCAO METALICO, PARA CONEXAO COM ANEL DESLIZANTE EM TUBO PEX, DN 32 X 20 X 32 MM                                                                                                                                                                                                                                                                                                                                                                                                                  </t>
  </si>
  <si>
    <t>29,82</t>
  </si>
  <si>
    <t xml:space="preserve">TE DE REDUCAO METALICO, PARA CONEXAO COM ANEL DESLIZANTE EM TUBO PEX, DN 32 X 25 X 25 MM                                                                                                                                                                                                                                                                                                                                                                                                                  </t>
  </si>
  <si>
    <t xml:space="preserve">TE DE REDUCAO METALICO, PARA CONEXAO COM ANEL DESLIZANTE EM TUBO PEX, DN 32 X 25 X 32 MM                                                                                                                                                                                                                                                                                                                                                                                                                  </t>
  </si>
  <si>
    <t xml:space="preserve">TE DE REDUCAO, CPVC, 22 X 15 MM, PARA AGUA QUENTE PREDIAL                                                                                                                                                                                                                                                                                                                                                                                                                                                 </t>
  </si>
  <si>
    <t xml:space="preserve">TE DE REDUCAO, CPVC, 28 X 22 MM, PARA AGUA QUENTE PREDIAL                                                                                                                                                                                                                                                                                                                                                                                                                                                 </t>
  </si>
  <si>
    <t xml:space="preserve">TE DE REDUCAO, CPVC, 35 X 28 MM, PARA AGUA QUENTE PREDIAL                                                                                                                                                                                                                                                                                                                                                                                                                                                 </t>
  </si>
  <si>
    <t>13,81</t>
  </si>
  <si>
    <t xml:space="preserve">TE DE REDUCAO, CPVC, 42 X 35 MM, PARA AGUA QUENTE PREDIAL                                                                                                                                                                                                                                                                                                                                                                                                                                                 </t>
  </si>
  <si>
    <t xml:space="preserve">TE DE REDUCAO, PVC LEVE, CURTO, 90 GRAUS, COM BOLSA PARA ANEL, 150 X 100 MM, PARA ESGOTO                                                                                                                                                                                                                                                                                                                                                                                                                  </t>
  </si>
  <si>
    <t xml:space="preserve">TE DE REDUCAO, PVC PBA, BBB, JE, DN 100 X 50 / DE 110 X 60 MM, PARA REDE AGUA (NBR 10351)                                                                                                                                                                                                                                                                                                                                                                                                                 </t>
  </si>
  <si>
    <t xml:space="preserve">TE DE REDUCAO, PVC PBA, BBB, JE, DN 100 X 75 / DE 110 X 85 MM, PARA REDE AGUA (NBR 10351)                                                                                                                                                                                                                                                                                                                                                                                                                 </t>
  </si>
  <si>
    <t xml:space="preserve">TE DE REDUCAO, PVC PBA, BBB, JE, DN 75 X 50 / DE 85 X 60 MM, PARA REDE AGUA (NBR 10351)                                                                                                                                                                                                                                                                                                                                                                                                                   </t>
  </si>
  <si>
    <t xml:space="preserve">TE DE REDUCAO, PVC, BBB, JE, 90 GRAUS, DN 200 X 150 MM, PARA TUBO CORRUGADO E/OU LISO, REDE COLETORA ESGOTO (NBR 10569)                                                                                                                                                                                                                                                                                                                                                                                   </t>
  </si>
  <si>
    <t>296,59</t>
  </si>
  <si>
    <t xml:space="preserve">TE DE REDUCAO, PVC, BBB, JE, 90 GRAUS, DN 250 X 150 MM, PARA TUBO CORRUGADO E/OU LISO, REDE COLETORA ESGOTO (NBR 10569)                                                                                                                                                                                                                                                                                                                                                                                   </t>
  </si>
  <si>
    <t>329,27</t>
  </si>
  <si>
    <t xml:space="preserve">TE DE REDUCAO, PVC, SOLDAVEL, 90 GRAUS, 110 MM X 60 MM, PARA AGUA FRIA PREDIAL                                                                                                                                                                                                                                                                                                                                                                                                                            </t>
  </si>
  <si>
    <t>115,85</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</si>
  <si>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</si>
  <si>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</si>
  <si>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</si>
  <si>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</si>
  <si>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</si>
  <si>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</si>
  <si>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</si>
  <si>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13,24</t>
  </si>
  <si>
    <t xml:space="preserve">TE DE REDUCAO, PVC, SOLDAVEL, 90 GRAUS, 75 MM X 50 MM, PARA AGUA FRIA PREDIAL                                                                                                                                                                                                                                                                                                                                                                                                                             </t>
  </si>
  <si>
    <t>36,76</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</si>
  <si>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</si>
  <si>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</si>
  <si>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</si>
  <si>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</si>
  <si>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</si>
  <si>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132,51</t>
  </si>
  <si>
    <t xml:space="preserve">TE DE SERVICO, PEAD PE 100, DE 125 X 32 MM, PARA ELETROFUSAO                                                                                                                                                                                                                                                                                                                                                                                                                                              </t>
  </si>
  <si>
    <t xml:space="preserve">TE DE SERVICO, PEAD PE 100, DE 125 X 63 MM, PARA ELETROFUSAO                                                                                                                                                                                                                                                                                                                                                                                                                                              </t>
  </si>
  <si>
    <t>204,26</t>
  </si>
  <si>
    <t xml:space="preserve">TE DE SERVICO, PEAD PE 100, DE 200 X 20 MM, PARA ELETROFUSAO                                                                                                                                                                                                                                                                                                                                                                                                                                              </t>
  </si>
  <si>
    <t>222,67</t>
  </si>
  <si>
    <t xml:space="preserve">TE DE SERVICO, PEAD PE 100, DE 200 X 32 MM, PARA ELETROFUSAO                                                                                                                                                                                                                                                                                                                                                                                                                                              </t>
  </si>
  <si>
    <t>226,16</t>
  </si>
  <si>
    <t xml:space="preserve">TE DE SERVICO, PEAD PE 100, DE 200 X 63 MM, PARA ELETROFUSAO                                                                                                                                                                                                                                                                                                                                                                                                                                              </t>
  </si>
  <si>
    <t xml:space="preserve">TE DE SERVICO, PEAD PE 100, DE 63 X 20 MM, PARA ELETROFUSAO                                                                                                                                                                                                                                                                                                                                                                                                                                               </t>
  </si>
  <si>
    <t>105,18</t>
  </si>
  <si>
    <t xml:space="preserve">TE DE SERVICO, PEAD PE 100, DE 63 X 32 MM, PARA ELETROFUSAO                                                                                                                                                                                                                                                                                                                                                                                                                                               </t>
  </si>
  <si>
    <t xml:space="preserve">TE DE SERVICO, PEAD PE 100, DE 63 X 63 MM, PARA ELETROFUSAO                                                                                                                                                                                                                                                                                                                                                                                                                                               </t>
  </si>
  <si>
    <t>126,68</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</si>
  <si>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</si>
  <si>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</si>
  <si>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</si>
  <si>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28,86</t>
  </si>
  <si>
    <t xml:space="preserve">TE DUPLA CURVA BRONZE/LATAO (REF 764) SEM ANEL DE SOLDA, ROSCA F X BOLSA X ROSCA F, 3/4" X 22 X 3/4"                                                                                                                                                                                                                                                                                                                                                                                                      </t>
  </si>
  <si>
    <t>42,30</t>
  </si>
  <si>
    <t xml:space="preserve">TE METALICO, PARA CONEXAO COM ANEL DESLIZANTE EM TUBO PEX, DN 16 MM                                                                                                                                                                                                                                                                                                                                                                                                                                       </t>
  </si>
  <si>
    <t xml:space="preserve">TE METALICO, PARA CONEXAO COM ANEL DESLIZANTE EM TUBO PEX, DN 20 MM                                                                                                                                                                                                                                                                                                                                                                                                                                       </t>
  </si>
  <si>
    <t>14,12</t>
  </si>
  <si>
    <t xml:space="preserve">TE METALICO, PARA CONEXAO COM ANEL DESLIZANTE EM TUBO PEX, DN 25 MM                                                                                                                                                                                                                                                                                                                                                                                                                                       </t>
  </si>
  <si>
    <t>24,96</t>
  </si>
  <si>
    <t xml:space="preserve">TE METALICO, PARA CONEXAO COM ANEL DESLIZANTE EM TUBO PEX, DN 32 MM                                                                                                                                                                                                                                                                                                                                                                                                                                       </t>
  </si>
  <si>
    <t>33,58</t>
  </si>
  <si>
    <t xml:space="preserve">TE MISTURADOR COM INSERTO METALICO, FEMEA, PPR, DN 25 MM X 3/4", PARA AGUA QUENTE E FRIA PREDIAL                                                                                                                                                                                                                                                                                                                                                                                                          </t>
  </si>
  <si>
    <t xml:space="preserve">TE MISTURADOR DE TRANSICAO, CPVC, COM ROSCA, 22 MM X 3/4", PARA AGUA QUENTE                                                                                                                                                                                                                                                                                                                                                                                                                               </t>
  </si>
  <si>
    <t xml:space="preserve">TE MISTURADOR METALICO, PARA CONEXAO COM ANEL DESLIZANTE EM TUBO PEX, DN 16 MM X 1/2"                                                                                                                                                                                                                                                                                                                                                                                                                     </t>
  </si>
  <si>
    <t>41,64</t>
  </si>
  <si>
    <t xml:space="preserve">TE MISTURADOR METALICO, PARA CONEXAO COM ANEL DESLIZANTE EM TUBO PEX, DN 20 MM X 3/4"                                                                                                                                                                                                                                                                                                                                                                                                                     </t>
  </si>
  <si>
    <t>52,93</t>
  </si>
  <si>
    <t xml:space="preserve">TE MISTURADOR, CPVC, SOLDAVEL, 15 MM, PARA AGUA QUENTE                                                                                                                                                                                                                                                                                                                                                                                                                                                    </t>
  </si>
  <si>
    <t xml:space="preserve">TE MISTURADOR, CPVC, SOLDAVEL, 22 MM, PARA AGUA QUENTE                                                                                                                                                                                                                                                                                                                                                                                                                                                    </t>
  </si>
  <si>
    <t xml:space="preserve">TE MISTURADOR, PPR, F M M, DN 20 X 20 MM, PARA AGUA QUENTE PREDIAL                                                                                                                                                                                                                                                                                                                                                                                                                                        </t>
  </si>
  <si>
    <t xml:space="preserve">TE MISTURADOR, PPR, F M M, DN 25 X 25 MM, PARA AGUA QUENTE PREDIAL                                                                                                                                                                                                                                                                                                                                                                                                                                        </t>
  </si>
  <si>
    <t xml:space="preserve">TE NORMAL, PPR, SOLDAVEL, 90 GRAUS, DN 110 X 110 X 110 MM, PARA AGUA QUENTE PREDIAL                                                                                                                                                                                                                                                                                                                                                                                                                       </t>
  </si>
  <si>
    <t>112,21</t>
  </si>
  <si>
    <t xml:space="preserve">TE NORMAL, PPR, SOLDAVEL, 90 GRAUS, DN 20 X 20 X 20 MM, PARA AGUA QUENTE PREDIAL                                                                                                                                                                                                                                                                                                                                                                                                                          </t>
  </si>
  <si>
    <t xml:space="preserve">TE NORMAL, PPR, SOLDAVEL, 90 GRAUS, DN 25 X 25 X 25 MM, PARA AGUA QUENTE PREDIAL                                                                                                                                                                                                                                                                                                                                                                                                                          </t>
  </si>
  <si>
    <t xml:space="preserve">TE NORMAL, PPR, SOLDAVEL, 90 GRAUS, DN 32 X 32 X 32 MM, PARA AGUA QUENTE PREDIAL                                                                                                                                                                                                                                                                                                                                                                                                                          </t>
  </si>
  <si>
    <t xml:space="preserve">TE NORMAL, PPR, SOLDAVEL, 90 GRAUS, DN 40 X 40 X 40 MM, PARA AGUA QUENTE PREDIAL                                                                                                                                                                                                                                                                                                                                                                                                                          </t>
  </si>
  <si>
    <t>9,30</t>
  </si>
  <si>
    <t xml:space="preserve">TE NORMAL, PPR, SOLDAVEL, 90 GRAUS, DN 50 X 50 X 50 MM, PARA AGUA QUENTE PREDIAL                                                                                                                                                                                                                                                                                                                                                                                                                          </t>
  </si>
  <si>
    <t xml:space="preserve">TE NORMAL, PPR, SOLDAVEL, 90 GRAUS, DN 63 X 63 X 63 MM, PARA AGUA QUENTE PREDIAL                                                                                                                                                                                                                                                                                                                                                                                                                          </t>
  </si>
  <si>
    <t>22,01</t>
  </si>
  <si>
    <t xml:space="preserve">TE NORMAL, PPR, SOLDAVEL, 90 GRAUS, DN 75 X 75 X 75 MM, PARA AGUA QUENTE PREDIAL                                                                                                                                                                                                                                                                                                                                                                                                                          </t>
  </si>
  <si>
    <t>45,97</t>
  </si>
  <si>
    <t xml:space="preserve">TE NORMAL, PPR,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</si>
  <si>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</si>
  <si>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</si>
  <si>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</si>
  <si>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18,42</t>
  </si>
  <si>
    <t xml:space="preserve">TE PVC, ROSCAVEL, 90 GRAUS, 1 1/4", AGUA FRIA PREDIAL                                                                                                                                                                                                                                                                                                                                                                                                                                                     </t>
  </si>
  <si>
    <t>16,38</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</si>
  <si>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</si>
  <si>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</si>
  <si>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</si>
  <si>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</si>
  <si>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</si>
  <si>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</si>
  <si>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</si>
  <si>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</si>
  <si>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</si>
  <si>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</si>
  <si>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</si>
  <si>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</si>
  <si>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22,09</t>
  </si>
  <si>
    <t xml:space="preserve">TE RANHURADO EM FERRO FUNDIDO, DN 65 (2 1/2")                                                                                                                                                                                                                                                                                                                                                                                                                                                             </t>
  </si>
  <si>
    <t>32,22</t>
  </si>
  <si>
    <t xml:space="preserve">TE RANHURADO EM FERRO FUNDIDO, DN 80 (3")                                                                                                                                                                                                                                                                                                                                                                                                                                                                 </t>
  </si>
  <si>
    <t>34,30</t>
  </si>
  <si>
    <t xml:space="preserve">TE REDUCAO PVC, ROSCAVEL, 90 GRAUS,  1.1/2" X 3/4",  AGUA FRIA PREDIAL                                                                                                                                                                                                                                                                                                                                                                                                                                    </t>
  </si>
  <si>
    <t xml:space="preserve">TE ROSCA FEMEA, METALICO, PARA CONEXAO COM ANEL DESLIZANTE EM TUBO PEX, DN 16 MM X 1/2"                                                                                                                                                                                                                                                                                                                                                                                                                   </t>
  </si>
  <si>
    <t xml:space="preserve">TE ROSCA FEMEA, METALICO, PARA CONEXAO COM ANEL DESLIZANTE EM TUBO PEX, DN 20 MM X 1/2"                                                                                                                                                                                                                                                                                                                                                                                                                   </t>
  </si>
  <si>
    <t xml:space="preserve">TE ROSCA FEMEA, METALICO, PARA CONEXAO COM ANEL DESLIZANTE EM TUBO PEX, DN 20 MM X 3/4"                                                                                                                                                                                                                                                                                                                                                                                                                   </t>
  </si>
  <si>
    <t xml:space="preserve">TE ROSCA FEMEA, METALICO, PARA CONEXAO COM ANEL DESLIZANTE EM TUBO PEX, DN 25 MM X 1/2"                                                                                                                                                                                                                                                                                                                                                                                                                   </t>
  </si>
  <si>
    <t xml:space="preserve">TE ROSCA FEMEA, METALICO, PARA CONEXAO COM ANEL DESLIZANTE EM TUBO PEX, DN 25 MM X 3/4"                                                                                                                                                                                                                                                                                                                                                                                                                   </t>
  </si>
  <si>
    <t>24,26</t>
  </si>
  <si>
    <t xml:space="preserve">TE ROSCA MACHO, METALICO, PARA CONEXAO COM ANEL DESLIZANTE EM TUBO PEX, DN 16 MM X 1/2"                                                                                                                                                                                                                                                                                                                                                                                                                   </t>
  </si>
  <si>
    <t>13,10</t>
  </si>
  <si>
    <t xml:space="preserve">TE ROSCA MACHO, METALICO, PARA CONEXAO COM ANEL DESLIZANTE EM TUBO PEX, DN 20 MM X 1/2"                                                                                                                                                                                                                                                                                                                                                                                                                   </t>
  </si>
  <si>
    <t xml:space="preserve">TE ROSCA MACHO, METALICO, PARA CONEXAO COM ANEL DESLIZANTE EM TUBO PEX, DN 20 MM X 3/4"                                                                                                                                                                                                                                                                                                                                                                                                                   </t>
  </si>
  <si>
    <t xml:space="preserve">TE ROSCA MACHO, METALICO, PARA CONEXAO COM ANEL DESLIZANTE EM TUBO PEX, DN 25 MM X 3/4"                                                                                                                                                                                                                                                                                                                                                                                                                   </t>
  </si>
  <si>
    <t xml:space="preserve">TE ROSCA MACHO, METALICO, PARA CONEXAO COM ANEL DESLIZANTE EM TUBO PEX, DN 32 MM X 1"                                                                                                                                                                                                                                                                                                                                                                                                                     </t>
  </si>
  <si>
    <t>40,84</t>
  </si>
  <si>
    <t xml:space="preserve">TE ROSCA MACHO, METALICO, PARA CONEXAO COM ANEL DESLIZANTE EM TUBO PEX, DN 32 MM X 3/4"                                                                                                                                                                                                                                                                                                                                                                                                                   </t>
  </si>
  <si>
    <t>40,58</t>
  </si>
  <si>
    <t xml:space="preserve">TE SANITARIO, PVC, DN 100 X 100 MM, SERIE NORMAL, PARA ESGOTO PREDIAL                                                                                                                                                                                                                                                                                                                                                                                                                                     </t>
  </si>
  <si>
    <t xml:space="preserve">TE SANITARIO, PVC, DN 100 X 50 MM, SERIE NORMAL, PARA ESGOTO PREDIAL                                                                                                                                                                                                                                                                                                                                                                                                                                      </t>
  </si>
  <si>
    <t xml:space="preserve">TE SANITARIO, PVC, DN 100 X 75 MM, SERIE NORMAL PARA ESGOTO PREDIAL                                                                                                                                                                                                                                                                                                                                                                                                                                       </t>
  </si>
  <si>
    <t xml:space="preserve">TE SANITARIO, PVC, DN 40 X 40 MM, SERIE NORMAL, PARA ESGOTO PREDIAL                                                                                                                                                                                                                                                                                                                                                                                                                                       </t>
  </si>
  <si>
    <t xml:space="preserve">TE SANITARIO, PVC, DN 50 X 50 MM, SERIE NORMAL, PARA ESGOTO PREDIAL                                                                                                                                                                                                                                                                                                                                                                                                                                       </t>
  </si>
  <si>
    <t xml:space="preserve">TE SANITARIO, PVC, DN 75 X 50 MM, SERIE NORMAL PARA ESGOTO PREDIAL                                                                                                                                                                                                                                                                                                                                                                                                                                        </t>
  </si>
  <si>
    <t xml:space="preserve">TE SANITARIO, PVC, DN 75 X 75 MM, SERIE NORMAL PARA ESGOTO PREDIAL                                                                                                                                                                                                                                                                                                                                                                                                                                        </t>
  </si>
  <si>
    <t xml:space="preserve">TE SOLDAVEL, PVC, 90 GRAUS, 110 MM, PARA AGUA FRIA PREDIAL (NBR 5648)                                                                                                                                                                                                                                                                                                                                                                                                                                     </t>
  </si>
  <si>
    <t>124,06</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</si>
  <si>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</si>
  <si>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</si>
  <si>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</si>
  <si>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</si>
  <si>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</si>
  <si>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</si>
  <si>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44,60</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</si>
  <si>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</si>
  <si>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</si>
  <si>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</si>
  <si>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</si>
  <si>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37,11</t>
  </si>
  <si>
    <t xml:space="preserve">TE 45 GRAUS DE FERRO GALVANIZADO, COM ROSCA BSP, DE 1/2"                                                                                                                                                                                                                                                                                                                                                                                                                                                  </t>
  </si>
  <si>
    <t>11,46</t>
  </si>
  <si>
    <t xml:space="preserve">TE 45 GRAUS DE FERRO GALVANIZADO, COM ROSCA BSP, DE 1"                                                                                                                                                                                                                                                                                                                                                                                                                                                    </t>
  </si>
  <si>
    <t xml:space="preserve">TE 45 GRAUS DE FERRO GALVANIZADO, COM ROSCA BSP, DE 2 1/2"                                                                                                                                                                                                                                                                                                                                                                                                                                                </t>
  </si>
  <si>
    <t>136,70</t>
  </si>
  <si>
    <t xml:space="preserve">TE 45 GRAUS DE FERRO GALVANIZADO, COM ROSCA BSP, DE 2"                                                                                                                                                                                                                                                                                                                                                                                                                                                    </t>
  </si>
  <si>
    <t>73,37</t>
  </si>
  <si>
    <t xml:space="preserve">TE 45 GRAUS DE FERRO GALVANIZADO, COM ROSCA BSP, DE 3/4"                                                                                                                                                                                                                                                                                                                                                                                                                                                  </t>
  </si>
  <si>
    <t xml:space="preserve">TE 45 GRAUS DE FERRO GALVANIZADO, COM ROSCA BSP, DE 3"                                                                                                                                                                                                                                                                                                                                                                                                                                                    </t>
  </si>
  <si>
    <t>216,08</t>
  </si>
  <si>
    <t xml:space="preserve">TE 45 GRAUS DE FERRO GALVANIZADO, COM ROSCA BSP, DE 4"                                                                                                                                                                                                                                                                                                                                                                                                                                                    </t>
  </si>
  <si>
    <t>346,39</t>
  </si>
  <si>
    <t xml:space="preserve">TE 90 GRAUS EM ACO CARBONO, SOLDAVEL, PRESSAO 3.000 LBS, DN 1 1/2"                                                                                                                                                                                                                                                                                                                                                                                                                                        </t>
  </si>
  <si>
    <t>71,19</t>
  </si>
  <si>
    <t xml:space="preserve">TE 90 GRAUS EM ACO CARBONO, SOLDAVEL, PRESSAO 3.000 LBS, DN 1 1/4"                                                                                                                                                                                                                                                                                                                                                                                                                                        </t>
  </si>
  <si>
    <t>54,64</t>
  </si>
  <si>
    <t xml:space="preserve">TE 90 GRAUS EM ACO CARBONO, SOLDAVEL, PRESSAO 3.000 LBS, DN 1/2"                                                                                                                                                                                                                                                                                                                                                                                                                                          </t>
  </si>
  <si>
    <t xml:space="preserve">TE 90 GRAUS EM ACO CARBONO, SOLDAVEL, PRESSAO 3.000 LBS, DN 1"                                                                                                                                                                                                                                                                                                                                                                                                                                            </t>
  </si>
  <si>
    <t xml:space="preserve">TE 90 GRAUS EM ACO CARBONO, SOLDAVEL, PRESSAO 3.000 LBS, DN 2 1/2"                                                                                                                                                                                                                                                                                                                                                                                                                                        </t>
  </si>
  <si>
    <t>228,41</t>
  </si>
  <si>
    <t xml:space="preserve">TE 90 GRAUS EM ACO CARBONO, SOLDAVEL, PRESSAO 3.000 LBS, DN 2"                                                                                                                                                                                                                                                                                                                                                                                                                                            </t>
  </si>
  <si>
    <t>116,97</t>
  </si>
  <si>
    <t xml:space="preserve">TE 90 GRAUS EM ACO CARBONO, SOLDAVEL, PRESSAO 3.000 LBS, DN 3/4"                                                                                                                                                                                                                                                                                                                                                                                                                                          </t>
  </si>
  <si>
    <t>22,64</t>
  </si>
  <si>
    <t xml:space="preserve">TE 90 GRAUS EM ACO CARBONO, SOLDAVEL, PRESSAO 3.000 LBS, DN 3"                                                                                                                                                                                                                                                                                                                                                                                                                                            </t>
  </si>
  <si>
    <t>373,68</t>
  </si>
  <si>
    <t xml:space="preserve">TE, PLASTICO, DN 16 MM, PARA CONEXAO COM CRIMPAGEM EM TUBO PEX                                                                                                                                                                                                                                                                                                                                                                                                                                            </t>
  </si>
  <si>
    <t xml:space="preserve">TE, PLASTICO, DN 20 MM, PARA CONEXAO COM CRIMPAGEM EM TUBO PEX                                                                                                                                                                                                                                                                                                                                                                                                                                            </t>
  </si>
  <si>
    <t>18,96</t>
  </si>
  <si>
    <t xml:space="preserve">TE, PLASTICO, DN 25 MM, PARA CONEXAO COM CRIMPAGEM EM TUBO PEX                                                                                                                                                                                                                                                                                                                                                                                                                                            </t>
  </si>
  <si>
    <t>32,19</t>
  </si>
  <si>
    <t xml:space="preserve">TE, PLASTICO, DN 32 MM, PARA CONEXAO COM CRIMPAGEM EM TUBO PEX                                                                                                                                                                                                                                                                                                                                                                                                                                            </t>
  </si>
  <si>
    <t>48,19</t>
  </si>
  <si>
    <t xml:space="preserve">TE, PVC LEVE, CURTO, 90 GRAUS, 150 MM, PARA ESGOTO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</si>
  <si>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</si>
  <si>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</si>
  <si>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</si>
  <si>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37,65</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</si>
  <si>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</si>
  <si>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</si>
  <si>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</si>
  <si>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</si>
  <si>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</si>
  <si>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20,04</t>
  </si>
  <si>
    <t xml:space="preserve">TE, PVC, 90 GRAUS, BBB, JE, DN 100 MM, PARA REDE COLETORA ESGOTO (NBR 10569)                                                                                                                                                                                                                                                                                                                                                                                                                              </t>
  </si>
  <si>
    <t>31,95</t>
  </si>
  <si>
    <t xml:space="preserve">TE, PVC, 90 GRAUS, BBB, JE, DN 100 MM, PARA TUBO CORRUGADO E/OU LISO, REDE COLETORA ESGOTO (NBR 10569                                                                                                                                                                                                                                                                                                                                                                                                     </t>
  </si>
  <si>
    <t>86,76</t>
  </si>
  <si>
    <t xml:space="preserve">TE, PVC, 90 GRAUS, BBB, JE, DN 150 MM, PARA REDE COLETORA ESGOTO (NBR 10569)                                                                                                                                                                                                                                                                                                                                                                                                                              </t>
  </si>
  <si>
    <t>70,90</t>
  </si>
  <si>
    <t xml:space="preserve">TE, PVC, 90 GRAUS, BBB, JE, DN 150 MM, PARA TUBO CORRUGADO E/OU LISO, REDE COLETORA ESGOTO (NBR 10569)                                                                                                                                                                                                                                                                                                                                                                                                    </t>
  </si>
  <si>
    <t>227,73</t>
  </si>
  <si>
    <t xml:space="preserve">TE, PVC, 90 GRAUS, BBB, JE, DN 200 MM, PARA REDE COLETORA ESGOTO (NBR 10569)                                                                                                                                                                                                                                                                                                                                                                                                                              </t>
  </si>
  <si>
    <t>101,54</t>
  </si>
  <si>
    <t xml:space="preserve">TE, PVC, 90 GRAUS, BBB, JE, DN 200 MM, PARA TUBO CORRUGADO E/OU LISO, REDE COLETORA ESGOTO (NBR 10569)                                                                                                                                                                                                                                                                                                                                                                                                    </t>
  </si>
  <si>
    <t>340,59</t>
  </si>
  <si>
    <t xml:space="preserve">TE, PVC, 90 GRAUS, BBB, JE, DN 250 MM, PARA TUBO CORRUGADO E/OU LISO, REDE COLETORA ESGOTO (NBR 10569)                                                                                                                                                                                                                                                                                                                                                                                                    </t>
  </si>
  <si>
    <t>979,02</t>
  </si>
  <si>
    <t xml:space="preserve">TE, PVC, 90 GRAUS, BBB, JE, DN 300 MM, PARA TUBO CORRUGADO E/OU LISO, REDE COLETORA ESGOTO (NBR 10569)                                                                                                                                                                                                                                                                                                                                                                                                    </t>
  </si>
  <si>
    <t>1.218,56</t>
  </si>
  <si>
    <t xml:space="preserve">TE, PVC, 90 GRAUS, BBP, JE, DN 100 MM, PARA REDE COLETORA ESGOTO (NBR 10569)                                                                                                                                                                                                                                                                                                                                                                                                                              </t>
  </si>
  <si>
    <t xml:space="preserve">TECNICO DE EDIFICACOES                                                                                                                                                                                                                                                                                                                                                                                                                                                                                    </t>
  </si>
  <si>
    <t xml:space="preserve">TECNICO DE EDIFICACOES (MENSALISTA)                                                                                                                                                                                                                                                                                                                                                                                                                                                                       </t>
  </si>
  <si>
    <t>2.791,73</t>
  </si>
  <si>
    <t xml:space="preserve">TECNICO EM LABORATORIO E CAMPO DE CONSTRUCAO CIVIL                                                                                                                                                                                                                                                                                                                                                                                                                                                        </t>
  </si>
  <si>
    <t>49,10</t>
  </si>
  <si>
    <t xml:space="preserve">TECNICO EM LABORATORIO E CAMPO DE CONSTRUCAO CIVIL (MENSALISTA)                                                                                                                                                                                                                                                                                                                                                                                                                                           </t>
  </si>
  <si>
    <t>8.757,47</t>
  </si>
  <si>
    <t xml:space="preserve">TECNICO EM SEGURANCA DO TRABALHO                                                                                                                                                                                                                                                                                                                                                                                                                                                                          </t>
  </si>
  <si>
    <t>40,97</t>
  </si>
  <si>
    <t xml:space="preserve">TECNICO EM SEGURANCA DO TRABALHO (MENSALISTA)                                                                                                                                                                                                                                                                                                                                                                                                                                                             </t>
  </si>
  <si>
    <t>7.308,94</t>
  </si>
  <si>
    <t xml:space="preserve">TECNICO EM SONDAGEM                                                                                                                                                                                                                                                                                                                                                                                                                                                                                       </t>
  </si>
  <si>
    <t>21,71</t>
  </si>
  <si>
    <t xml:space="preserve">TECNICO EM SONDAGEM (MENSALISTA)                                                                                                                                                                                                                                                                                                                                                                                                                                                                          </t>
  </si>
  <si>
    <t>3.874,33</t>
  </si>
  <si>
    <t xml:space="preserve">TELA ARAME GALVANIZADO REVESTIDO COM POLIMERO, MALHA HEXAGONAL DUPLA TORCAO, 8 X 10 CM (ZN/AL REVESTIDO COM POLIMERO), FIO *2,4* MM                                                                                                                                                                                                                                                                                                                                                                       </t>
  </si>
  <si>
    <t>61,49</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</si>
  <si>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</si>
  <si>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</si>
  <si>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</si>
  <si>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</si>
  <si>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</si>
  <si>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</si>
  <si>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</si>
  <si>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</si>
  <si>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</si>
  <si>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</si>
  <si>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</si>
  <si>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</si>
  <si>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</si>
  <si>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</si>
  <si>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</si>
  <si>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</si>
  <si>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</si>
  <si>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</si>
  <si>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</si>
  <si>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11,91</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</si>
  <si>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</si>
  <si>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</si>
  <si>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</si>
  <si>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31,62</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</si>
  <si>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</si>
  <si>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</si>
  <si>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</si>
  <si>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</si>
  <si>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</si>
  <si>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</si>
  <si>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</si>
  <si>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999,44</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</si>
  <si>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</si>
  <si>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</si>
  <si>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</si>
  <si>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</si>
  <si>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</si>
  <si>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</si>
  <si>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886,92</t>
  </si>
  <si>
    <t xml:space="preserve">TELHA DE BARRO / CERAMICA, TIPO ROMANA, AMERICANA, PORTUGUESA, FRANCESA, COMPRIMENTO DE *41* CM,  RENDIMENTO DE *16* TELHAS/M2                                                                                                                                                                                                                                                                                                                                                                            </t>
  </si>
  <si>
    <t xml:space="preserve">TELHA DE CONCRETO TIPO CLASSICA, COR CINZA, COMPRIMENTO DE *42* CM, RENDIMENTO DE *10* TELHAS/M2 (COLETADO CAIXA)                                                                                                                                                                                                                                                                                                                                                                                         </t>
  </si>
  <si>
    <t xml:space="preserve">TELHA DE FIBRA DE VIDRO ONDULADA INCOLOR, E = 0,6 MM, DE *0,50 X 2,44* M                                                                                                                                                                                                                                                                                                                                                                                                                                  </t>
  </si>
  <si>
    <t>27,87</t>
  </si>
  <si>
    <t xml:space="preserve">TELHA DE FIBROCIMENTO E = 6 MM, DE 3,00 X 1,06 M (SEM AMIANTO)                                                                                                                                                                                                                                                                                                                                                                                                                                            </t>
  </si>
  <si>
    <t>87,08</t>
  </si>
  <si>
    <t xml:space="preserve">TELHA DE FIBROCIMENTO E = 6 MM, DE 4,10 X 1,06 M (SEM AMIANTO)                                                                                                                                                                                                                                                                                                                                                                                                                                            </t>
  </si>
  <si>
    <t>116,82</t>
  </si>
  <si>
    <t xml:space="preserve">TELHA DE FIBROCIMENTO E = 6 MM, DE 4,60 X 1,06 M (SEM AMIANTO)                                                                                                                                                                                                                                                                                                                                                                                                                                            </t>
  </si>
  <si>
    <t>134,83</t>
  </si>
  <si>
    <t xml:space="preserve">TELHA DE FIBROCIMENTO E = 8 MM, DE 3,00 X 1,06 M (SEM AMIANTO)                                                                                                                                                                                                                                                                                                                                                                                                                                            </t>
  </si>
  <si>
    <t>110,27</t>
  </si>
  <si>
    <t xml:space="preserve">TELHA DE FIBROCIMENTO E = 8 MM, DE 4,10 X 1,06 M (SEM AMIANTO)                                                                                                                                                                                                                                                                                                                                                                                                                                            </t>
  </si>
  <si>
    <t>150,37</t>
  </si>
  <si>
    <t xml:space="preserve">TELHA DE FIBROCIMENTO E = 8 MM, DE 4,60 X 1,06 M (SEM AMIANTO)                                                                                                                                                                                                                                                                                                                                                                                                                                            </t>
  </si>
  <si>
    <t>168,41</t>
  </si>
  <si>
    <t xml:space="preserve">TELHA DE FIBROCIMENTO E= 8 MM, DE *3,70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</si>
  <si>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</si>
  <si>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</si>
  <si>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</si>
  <si>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11,92</t>
  </si>
  <si>
    <t xml:space="preserve">TELHA DE FIBROCIMENTO ONDULADA E = 6 MM, DE 1,53 X 1,10 M (SEM AMIANTO)                                                                                                                                                                                                                                                                                                                                                                                                                                   </t>
  </si>
  <si>
    <t xml:space="preserve">TELHA DE FIBROCIMENTO ONDULADA E = 6 MM, DE 1,83 X 1,10 M (SEM AMIANTO)                                                                                                                                                                                                                                                                                                                                                                                                                                   </t>
  </si>
  <si>
    <t>34,00</t>
  </si>
  <si>
    <t xml:space="preserve">TELHA DE FIBROCIMENTO ONDULADA E = 6 MM, DE 2,44 X 1,10 M (SEM AMIANTO)                                                                                                                                                                                                                                                                                                                                                                                                                                   </t>
  </si>
  <si>
    <t xml:space="preserve">TELHA DE FIBROCIMENTO ONDULADA E = 6 MM, DE 3,66 X 1,10 M (SEM AMIANTO)                                                                                                                                                                                                                                                                                                                                                                                                                                   </t>
  </si>
  <si>
    <t>67,98</t>
  </si>
  <si>
    <t xml:space="preserve">TELHA DE FIBROCIMENTO ONDULADA E = 8 MM, DE 1,53 X 1,10 M (SEM AMIANTO)                                                                                                                                                                                                                                                                                                                                                                                                                                   </t>
  </si>
  <si>
    <t>37,39</t>
  </si>
  <si>
    <t xml:space="preserve">TELHA DE FIBROCIMENTO ONDULADA E = 8 MM, DE 1,83 X 1,10 M (SEM AMIANTO)                                                                                                                                                                                                                                                                                                                                                                                                                                   </t>
  </si>
  <si>
    <t>44,63</t>
  </si>
  <si>
    <t xml:space="preserve">TELHA DE FIBROCIMENTO ONDULADA E = 8 MM, DE 2,44 X 1,10 M (SEM AMIANTO)                                                                                                                                                                                                                                                                                                                                                                                                                                   </t>
  </si>
  <si>
    <t>62,69</t>
  </si>
  <si>
    <t xml:space="preserve">TELHA DE FIBROCIMENTO ONDULADA E = 8 MM, DE 3,66 X 1,10 M (SEM AMIANTO)                                                                                                                                                                                                                                                                                                                                                                                                                                   </t>
  </si>
  <si>
    <t>23,34</t>
  </si>
  <si>
    <t>93,97</t>
  </si>
  <si>
    <t xml:space="preserve">TELHA DE VIDRO TIPO FRANCESA, *39 X 23* CM                                                                                                                                                                                                                                                                                                                                                                                                                                                                </t>
  </si>
  <si>
    <t xml:space="preserve">TELHA ESTRUTURAL DE FIBROCIMENTO 1 ABA, DE 0,52 X 2,00 M (SEM AMIANTO)                                                                                                                                                                                                                                                                                                                                                                                                                                    </t>
  </si>
  <si>
    <t>58,11</t>
  </si>
  <si>
    <t xml:space="preserve">TELHA ESTRUTURAL DE FIBROCIMENTO 1 ABA, DE 0,52 X 2,50 M (SEM AMIANTO)                                                                                                                                                                                                                                                                                                                                                                                                                                    </t>
  </si>
  <si>
    <t xml:space="preserve">TELHA ESTRUTURAL DE FIBROCIMENTO 1 ABA, DE 0,52 X 3,60 M (SEM AMIANTO)                                                                                                                                                                                                                                                                                                                                                                                                                                    </t>
  </si>
  <si>
    <t>97,68</t>
  </si>
  <si>
    <t xml:space="preserve">TELHA ESTRUTURAL DE FIBROCIMENTO 1 ABA, DE 0,52 X 4,00 M (SEM AMIANTO)                                                                                                                                                                                                                                                                                                                                                                                                                                    </t>
  </si>
  <si>
    <t>107,89</t>
  </si>
  <si>
    <t xml:space="preserve">TELHA ESTRUTURAL DE FIBROCIMENTO 1 ABA, DE 0,52 X 4,50 M (SEM AMIANTO)                                                                                                                                                                                                                                                                                                                                                                                                                                    </t>
  </si>
  <si>
    <t>52,46</t>
  </si>
  <si>
    <t>122,76</t>
  </si>
  <si>
    <t xml:space="preserve">TELHA ESTRUTURAL DE FIBROCIMENTO 1 ABA, DE 0,52 X 5,00 M (SEM AMIANTO)                                                                                                                                                                                                                                                                                                                                                                                                                                    </t>
  </si>
  <si>
    <t>136,41</t>
  </si>
  <si>
    <t xml:space="preserve">TELHA ESTRUTURAL DE FIBROCIMENTO 1 ABA, DE 0,52 X 5,50 M (SEM AMIANTO)                                                                                                                                                                                                                                                                                                                                                                                                                                    </t>
  </si>
  <si>
    <t>150,11</t>
  </si>
  <si>
    <t xml:space="preserve">TELHA ESTRUTURAL DE FIBROCIMENTO 1 ABA, DE 0,52 X 6,00 M (SEM AMIANTO)                                                                                                                                                                                                                                                                                                                                                                                                                                    </t>
  </si>
  <si>
    <t xml:space="preserve">TELHA ESTRUTURAL DE FIBROCIMENTO 1 ABA, DE 0,52 X 6,50 M (SEM AMIANTO)                                                                                                                                                                                                                                                                                                                                                                                                                                    </t>
  </si>
  <si>
    <t>177,36</t>
  </si>
  <si>
    <t xml:space="preserve">TELHA ESTRUTURAL DE FIBROCIMENTO 1 ABA, DE 0,52 X 7,20 M (SEM AMIANTO)                                                                                                                                                                                                                                                                                                                                                                                                                                    </t>
  </si>
  <si>
    <t>196,38</t>
  </si>
  <si>
    <t xml:space="preserve">TELHA ESTRUTURAL DE FIBROCIMENTO 2 ABAS, DE 1,00 X 3,00 M (SEM AMIANTO)                                                                                                                                                                                                                                                                                                                                                                                                                                   </t>
  </si>
  <si>
    <t>129,87</t>
  </si>
  <si>
    <t xml:space="preserve">TELHA ESTRUTURAL DE FIBROCIMENTO 2 ABAS, DE 1,00 X 4,60 M (SEM AMIANTO)                                                                                                                                                                                                                                                                                                                                                                                                                                   </t>
  </si>
  <si>
    <t>206,95</t>
  </si>
  <si>
    <t xml:space="preserve">TELHA ESTRUTURAL DE FIBROCIMENTO 2 ABAS, DE 1,00 X 6,00 M (SEM AMIANTO)                                                                                                                                                                                                                                                                                                                                                                                                                                   </t>
  </si>
  <si>
    <t>271,79</t>
  </si>
  <si>
    <t xml:space="preserve">TELHA ESTRUTURAL DE FIBROCIMENTO 2 ABAS, DE 1,00 X 7,40 M (SEM AMIANTO)                                                                                                                                                                                                                                                                                                                                                                                                                                   </t>
  </si>
  <si>
    <t>334,14</t>
  </si>
  <si>
    <t xml:space="preserve">TELHA ESTRUTURAL DE FIBROCIMENTO 2 ABAS, DE 1,00 X 8,20 M (SEM AMIANTO)                                                                                                                                                                                                                                                                                                                                                                                                                                   </t>
  </si>
  <si>
    <t>371,91</t>
  </si>
  <si>
    <t xml:space="preserve">TELHA ESTRUTURAL DE FIBROCIMENTO 2 ABAS, DE 1,00 X 9,20 M (SEM AMIANTO)                                                                                                                                                                                                                                                                                                                                                                                                                                   </t>
  </si>
  <si>
    <t>416,36</t>
  </si>
  <si>
    <t xml:space="preserve">TELHA GALVALUME COM ISOLAMENTO TERMOACUSTICO EM ESPUMA RIGIDA DE POLIURETANO (PU) INJETADO, ESPESSURA DE 30 MM, DENSIDADE DE 35 KG/M3, COM DUAS FACES TRAPEZOIDAIS, ACABAMENTO NATURAL (NAO INCLUI ACESSORIOS DE FIXACAO) (COLETADO CAIXA)                                                                                                                                                                                                                                                                </t>
  </si>
  <si>
    <t>139,50</t>
  </si>
  <si>
    <t xml:space="preserve">TELHA ONDULADA EM ACO ZINCADO, ALTURA DE 17 MM, ESPESSURA DE 0,50 MM, LARGURA UTIL DE APROXIMADAMENTE 985 MM, SEM PINTURA                                                                                                                                                                                                                                                                                                                                                                                 </t>
  </si>
  <si>
    <t xml:space="preserve">TELHA TERMOISOLANTE REVESTIDA EM ACO GALVALUME, COM FACE SUPERIOR EM TELHA TRAPEZOIDAL E FACE INFERIOR EM CHAPA PLANA (NÃO INCLUI ACESSORIOS DE FIXACAO), REVESTIMENTO COM ESPESSURA DE 0,50 MM COM PRE-PINTURA DE COR BRANCA NAS DUAS FACES, NUCLEO EM POLIISOCIANURATO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</si>
  <si>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</si>
  <si>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92,36</t>
  </si>
  <si>
    <t xml:space="preserve">TELHA TERMOISOLANTE REVESTIDA EM ACO GALVANIZADO, FACE SUPERIOR EM TELHA TRAPEZOIDAL E FACE INFERIOR EM CHAPA PLANA (SEM ACESSORIOS DE FIXACAO), REVESTIMENTO COM ESPESSURA DE 0,50 MM COM PRE-PINTURA NAS DUAS FACES, NUCLEO EM POLIESTIRENO (EPS) DE 50 MM                                                                                                                                                                                                                                              </t>
  </si>
  <si>
    <t>95,38</t>
  </si>
  <si>
    <t xml:space="preserve">TELHA TERMOISOLANTE REVESTIDA EM ACO GALVANIZADO, FACES SUPERIOR E INFERIOR EM TELHA TRAPEZOIDAL (SEM ACESSORIOS DE FIXACAO), REVESTIMENTO COM ESPESSURA DE 0,50 MM COM PRE-PINTURA NAS DUAS FACES, NUCLEO EM POLIESTIRENO (EPS) DE 50 MM                                                                                                                                                                                                                                                                 </t>
  </si>
  <si>
    <t>98,49</t>
  </si>
  <si>
    <t xml:space="preserve">TELHA TRAPEZOIDAL EM ACO ZINCADO, SEM PINTURA, ALTURA DE APROXIMADAMENTE 40 MM, ESPESSURA DE 0,50 MM E LARGURA UTIL DE 980 MM                                                                                                                                                                                                                                                                                                                                                                             </t>
  </si>
  <si>
    <t>30,06</t>
  </si>
  <si>
    <t xml:space="preserve">TELHA TRAPEZOIDAL EM ALUMINIO, ALTURA DE *38* MM E ESPESSURA DE 0,5 MM (LARGURA TOTAL DE 1056 MM E COMPRIMENTO DE 5000 MM)                                                                                                                                                                                                                                                                                                                                                                                </t>
  </si>
  <si>
    <t>669,53</t>
  </si>
  <si>
    <t xml:space="preserve">TELHA TRAPEZOIDAL EM ALUMINIO, ALTURA DE *38* MM E ESPESSURA DE 0,7 MM (LARGURA TOTAL DE 1056 MM E COMPRIMENTO DE 5000 MM)                                                                                                                                                                                                                                                                                                                                                                                </t>
  </si>
  <si>
    <t>845,84</t>
  </si>
  <si>
    <t xml:space="preserve">TELHA VIDRO TIPO CANAL OU COLONIAL, C = 46 A 50 CM                                                                                                                                                                                                                                                                                                                                                                                                                                                        </t>
  </si>
  <si>
    <t xml:space="preserve">TELHADOR                                                                                                                                                                                                                                                                                                                                                                                                                                                                                                  </t>
  </si>
  <si>
    <t xml:space="preserve">TELHADOR  (MENSALISTA)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</si>
  <si>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</si>
  <si>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</si>
  <si>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</si>
  <si>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</si>
  <si>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</si>
  <si>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</si>
  <si>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</si>
  <si>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</si>
  <si>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</si>
  <si>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</si>
  <si>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</si>
  <si>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AEREO EM ACO GALVANIZADO DN 5/16", COMPRIMENTO DE 350MM, COM BASE DE FIXACAO HORIZONTAL                                                                                                                                                                                                                                                                                                                                                                                                          </t>
  </si>
  <si>
    <t>11,75</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</si>
  <si>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</si>
  <si>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</si>
  <si>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</si>
  <si>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</si>
  <si>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</si>
  <si>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</si>
  <si>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</si>
  <si>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</si>
  <si>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</si>
  <si>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</si>
  <si>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</si>
  <si>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</si>
  <si>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</si>
  <si>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</si>
  <si>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</si>
  <si>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</si>
  <si>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</si>
  <si>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</si>
  <si>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</si>
  <si>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66,02</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</si>
  <si>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</si>
  <si>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</si>
  <si>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</si>
  <si>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661,01</t>
  </si>
  <si>
    <t xml:space="preserve">TERMOFUSORA PARA TUBOS E CONEXOES EM PPR COM DIAMETROS DE 75 A 110 MM, POTENCIA DE *1100* W, TENSAO 220 V                                                                                                                                                                                                                                                                                                                                                                                                 </t>
  </si>
  <si>
    <t>927,73</t>
  </si>
  <si>
    <t xml:space="preserve">TERRA VEGETAL (ENSACADA)                                                                                                                                                                                                                                                                                                                                                                                                                                                                                  </t>
  </si>
  <si>
    <t xml:space="preserve">TERRA VEGETAL (GRANEL)                                                                                                                                                                                                                                                                                                                                                                                                                                                                                    </t>
  </si>
  <si>
    <t>107,14</t>
  </si>
  <si>
    <t xml:space="preserve">TESTEIRA ANTIDERRAPANTE PARA PISO VINILICO *5 X 2,5* CM, E = 2 MM                                                                                                                                                                                                                                                                                                                                                                                                                                         </t>
  </si>
  <si>
    <t xml:space="preserve">TIJOLO CERAMICO LAMINADO 5,5 X 11 X 23 CM                                                                                                                                                                                                                                                                                                                                                                                                                                                                 </t>
  </si>
  <si>
    <t xml:space="preserve">TIJOLO CERAMICO MACICO *5 X 10 X 20* CM                                                                                                                                                                                                                                                                                                                                                                                                                                                                   </t>
  </si>
  <si>
    <t xml:space="preserve">TIJOLO CERAMICO MACICO APARENTE *6 X 12 X 24* CM                                                                                                                                                                                                                                                                                                                                                                                                                                                          </t>
  </si>
  <si>
    <t xml:space="preserve">TIJOLO CERAMICO MACICO APARENTE 2 FUROS, *6,5 X 10 X 20* CM                                                                                                                                                                                                                                                                                                                                                                                                                                               </t>
  </si>
  <si>
    <t xml:space="preserve">TIJOLO CERAMICO REFRATARIO 2,5 X 11,4 X 22,9 CM                                                                                                                                                                                                                                                                                                                                                                                                                                                           </t>
  </si>
  <si>
    <t xml:space="preserve">TIJOLO CERAMICO REFRATARIO 6,3 X 11,4 X 22,9 CM                                                                                                                                                                                                                                                                                                                                                                                                                                                           </t>
  </si>
  <si>
    <t xml:space="preserve">TIL PARA LIGACAO PREDIAL, EM PVC, JE, BBB, DN 100 X 100 MM, PARA REDE COLETORA ESGOTO (NBR 10569)                                                                                                                                                                                                                                                                                                                                                                                                         </t>
  </si>
  <si>
    <t>28,19</t>
  </si>
  <si>
    <t xml:space="preserve">TIL TUBO QUEDA, EM PVC, JE, BBB, DN 100 X 100 MM, PARA REDE COLETORA DE ESGOTO (NBR 10569)                                                                                                                                                                                                                                                                                                                                                                                                                </t>
  </si>
  <si>
    <t>231,93</t>
  </si>
  <si>
    <t xml:space="preserve">TINTA / REVESTIMENTO A BASE DE RESINA EPOXI COM ALCATRAO, BICOMPONENTE                                                                                                                                                                                                                                                                                                                                                                                                                                    </t>
  </si>
  <si>
    <t xml:space="preserve">TINTA A BASE DE RESINA ACRILICA EMULSIONADA EM AGUA, PARA SINALIZACAO HORIZONTAL VIARIA (NBR 13699)                                                                                                                                                                                                                                                                                                                                                                                                       </t>
  </si>
  <si>
    <t xml:space="preserve">TINTA A BASE DE RESINA ACRILICA, PARA SINALIZACAO HORIZONTAL VIARIA (NBR 11862)                                                                                                                                                                                                                                                                                                                                                                                                                           </t>
  </si>
  <si>
    <t xml:space="preserve">TINTA A OLEO BRILHANTE PARA MADEIRA E METAIS                                                                                                                                                                                                                                                                                                                                                                                                                                                              </t>
  </si>
  <si>
    <t xml:space="preserve">TINTA ACRILICA PARA CERAMICA                                                                                                                                                                                                                                                                                                                                                                                                                                                                              </t>
  </si>
  <si>
    <t xml:space="preserve">TINTA ACRILICA PREMIUM PARA PISO                                                                                                                                                                                                                                                                                                                                                                                                                                                                          </t>
  </si>
  <si>
    <t>48,63</t>
  </si>
  <si>
    <t xml:space="preserve">TINTA ACRILICA PREMIUM, COR BRANCO  FOSCO                                                                                                                                                                                                                                                                                                                                                                                                                                                                 </t>
  </si>
  <si>
    <t>72,88</t>
  </si>
  <si>
    <t xml:space="preserve">TINTA ACRILICA PREMIUM, COR BRANCO FOSCO                                                                                                                                                                                                                                                                                                                                                                                                                                                                  </t>
  </si>
  <si>
    <t>20,24</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</si>
  <si>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</si>
  <si>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</si>
  <si>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BRANCA                                                                                                                                                                                                                                                                                                                                                                                                                                                     </t>
  </si>
  <si>
    <t>72,04</t>
  </si>
  <si>
    <t xml:space="preserve">TINTA BORRACHA CLORADA, ACABAMENTO SEMIBRILHO, CORES VIVAS                                                                                                                                                                                                                                                                                                                                                                                                                                                </t>
  </si>
  <si>
    <t xml:space="preserve">TINTA BORRACHA, CLORADA, ACABAMENTO SEMIBRILHO, PRETA                                                                                                                                                                                                                                                                                                                                                                                                                                                     </t>
  </si>
  <si>
    <t>72,69</t>
  </si>
  <si>
    <t xml:space="preserve">TINTA EPOXI PREMIUM, BRANCA                                                                                                                                                                                                                                                                                                                                                                                                                                                                               </t>
  </si>
  <si>
    <t xml:space="preserve">TINTA ESMALTE SINTETICO GRAFITE COM PROTECAO PARA METAIS FERROSOS                                                                                                                                                                                                                                                                                                                                                                                                                                         </t>
  </si>
  <si>
    <t xml:space="preserve">TINTA ESMALTE SINTETICO PREMIUM ACETINADO                                                                                                                                                                                                                                                                                                                                                                                                                                                                 </t>
  </si>
  <si>
    <t xml:space="preserve">TINTA ESMALTE SINTETICO PREMIUM BRILHANTE                                                                                                                                                                                                                                                                                                                                                                                                                                                                 </t>
  </si>
  <si>
    <t xml:space="preserve">TINTA ESMALTE SINTETICO PREMIUM FOSCO                                                                                                                                                                                                                                                                                                                                                                                                                                                                     </t>
  </si>
  <si>
    <t>28,30</t>
  </si>
  <si>
    <t xml:space="preserve">TINTA LATEX ACRILICA ECONOMICA, COR BRANCA                                                                                                                                                                                                                                                                                                                                                                                                                                                                </t>
  </si>
  <si>
    <t xml:space="preserve">TINTA LATEX ACRILICA STANDARD, COR BRANCA                                                                                                                                                                                                                                                                                                                                                                                                                                                                 </t>
  </si>
  <si>
    <t>49,79</t>
  </si>
  <si>
    <t xml:space="preserve">TINTA LATEX PVA PREMIUM,  COR BRANCA                                                                                                                                                                                                                                                                                                                                                                                                                                                                      </t>
  </si>
  <si>
    <t xml:space="preserve">TINTA LATEX PVA PREMIUM, COR BRANCA                                                                                                                                                                                                                                                                                                                                                                                                                                                                       </t>
  </si>
  <si>
    <t xml:space="preserve">TINTA LATEX PVA STANDARD, COR BRANCA                                                                                                                                                                                                                                                                                                                                                                                                                                                                      </t>
  </si>
  <si>
    <t xml:space="preserve">TINTA MINERAL IMPERMEAVEL EM PO, BRANCA                                                                                                                                                                                                                                                                                                                                                                                                                                                                   </t>
  </si>
  <si>
    <t xml:space="preserve">TINTA PROTETORA SUPERFICIE METALICA ALUMINIO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</si>
  <si>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</si>
  <si>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</si>
  <si>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</si>
  <si>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</si>
  <si>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</si>
  <si>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39,44</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</si>
  <si>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</si>
  <si>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</si>
  <si>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</si>
  <si>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</si>
  <si>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</si>
  <si>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29,78</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</si>
  <si>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</si>
  <si>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</si>
  <si>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</si>
  <si>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</si>
  <si>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12,96</t>
  </si>
  <si>
    <t xml:space="preserve">TOMADA 2P+T 20A 250V, CONJUNTO MONTADO PARA EMBUTIR 4" X 2" (PLACA + SUPORTE + MODULO)                                                                                                                                                                                                                                                                                                                                                                                                                    </t>
  </si>
  <si>
    <t xml:space="preserve">TOMADA 2P+T 20A, 250V  (APENAS MODULO)                                                                                                                                                                                                                                                                                                                                                                                                                                                                    </t>
  </si>
  <si>
    <t>9,25</t>
  </si>
  <si>
    <t xml:space="preserve">TOMADAS (2 MODULOS) 2P+T 10A, 250V, CONJUNTO MONTADO PARA EMBUTIR 4" X 2" (PLACA + SUPORTE + MODULOS)                                                                                                                                                                                                                                                                                                                                                                                                     </t>
  </si>
  <si>
    <t xml:space="preserve">TOPOGRAFO                                                                                                                                                                                                                                                                                                                                                                                                                                                                                                 </t>
  </si>
  <si>
    <t xml:space="preserve">TOPOGRAFO (MENSALISTA)                                                                                                                                                                                                                                                                                                                                                                                                                                                                                    </t>
  </si>
  <si>
    <t xml:space="preserve">TORNEIRA CROMADA COM BICO PARA JARDIM/TANQUE 1/2 " OU 3/4 " (REF 1153)                                                                                                                                                                                                                                                                                                                                                                                                                                    </t>
  </si>
  <si>
    <t>53,34</t>
  </si>
  <si>
    <t xml:space="preserve">TORNEIRA CROMADA CURTA SEM BICO PARA TANQUE, PADRAO POPULAR, 1/2 " OU 3/4 " (REF 1140)                                                                                                                                                                                                                                                                                                                                                                                                                    </t>
  </si>
  <si>
    <t>14,90</t>
  </si>
  <si>
    <t xml:space="preserve">TORNEIRA CROMADA CURTA SEM BICO PARA USO GERAL  1/2 " OU 3/4 " (REF 1152)                                                                                                                                                                                                                                                                                                                                                                                                                                 </t>
  </si>
  <si>
    <t xml:space="preserve">TORNEIRA CROMADA DE MESA PARA COZINHA BICA MOVEL COM AREJADOR 1/2 " OU 3/4 " (REF 1167)                                                                                                                                                                                                                                                                                                                                                                                                                   </t>
  </si>
  <si>
    <t>90,53</t>
  </si>
  <si>
    <t xml:space="preserve">TORNEIRA CROMADA DE MESA PARA LAVATORIO COM SENSOR DE PRESENCA                                                                                                                                                                                                                                                                                                                                                                                                                                            </t>
  </si>
  <si>
    <t>582,28</t>
  </si>
  <si>
    <t xml:space="preserve">TORNEIRA CROMADA DE MESA PARA LAVATORIO TEMPORIZADA PRESSAO BICA BAIXA                                                                                                                                                                                                                                                                                                                                                                                                                                    </t>
  </si>
  <si>
    <t>149,92</t>
  </si>
  <si>
    <t xml:space="preserve">TORNEIRA CROMADA DE MESA PARA LAVATORIO, BICA ALTA (REF 1195)                                                                                                                                                                                                                                                                                                                                                                                                                                             </t>
  </si>
  <si>
    <t xml:space="preserve">TORNEIRA CROMADA DE MESA PARA LAVATORIO, PADRAO POPULAR, 1/2 " OU 3/4 " (REF 1193)                                                                                                                                                                                                                                                                                                                                                                                                                        </t>
  </si>
  <si>
    <t>44,90</t>
  </si>
  <si>
    <t xml:space="preserve">TORNEIRA CROMADA DE PAREDE LONGA PARA LAVATORIO (REF 1178)                                                                                                                                                                                                                                                                                                                                                                                                                                                </t>
  </si>
  <si>
    <t xml:space="preserve">TORNEIRA CROMADA DE PAREDE PARA COZINHA BICA MOVEL COM AREJADOR 1/2 " OU 3/4 " (REF 1168)                                                                                                                                                                                                                                                                                                                                                                                                                 </t>
  </si>
  <si>
    <t>86,43</t>
  </si>
  <si>
    <t xml:space="preserve">TORNEIRA CROMADA DE PAREDE PARA COZINHA COM AREJADOR 1/2 " OU 3/4 " (REF 1157)                                                                                                                                                                                                                                                                                                                                                                                                                            </t>
  </si>
  <si>
    <t>90,25</t>
  </si>
  <si>
    <t xml:space="preserve">TORNEIRA CROMADA DE PAREDE PARA COZINHA COM AREJADOR, PADRAO POPULAR, 1/2 " OU 3/4 " (REF 1159)                                                                                                                                                                                                                                                                                                                                                                                                           </t>
  </si>
  <si>
    <t>46,11</t>
  </si>
  <si>
    <t xml:space="preserve">TORNEIRA CROMADA DE PAREDE PARA COZINHA SEM AREJADOR, PADRAO POPULAR, 1/2 " OU 3/4 " (REF 1158)                                                                                                                                                                                                                                                                                                                                                                                                           </t>
  </si>
  <si>
    <t>37,18</t>
  </si>
  <si>
    <t xml:space="preserve">TORNEIRA CROMADA SEM BICO PARA TANQUE 1/2 " OU 3/4 " (REF 1143)                                                                                                                                                                                                                                                                                                                                                                                                                                           </t>
  </si>
  <si>
    <t>32,80</t>
  </si>
  <si>
    <t xml:space="preserve">TORNEIRA CROMADA SEM BICO PARA TANQUE, PADRAO POPULAR, 1/2 " OU 3/4 " (REF 1126)                                                                                                                                                                                                                                                                                                                                                                                                                          </t>
  </si>
  <si>
    <t xml:space="preserve">TORNEIRA DE BOIA CONVENCIONAL PARA CAIXA D'AGUA, 1.1/2", COM HASTE E TORNEIRA METALICOS E BALAO PLASTICO                                                                                                                                                                                                                                                                                                                                                                                                  </t>
  </si>
  <si>
    <t>127,17</t>
  </si>
  <si>
    <t xml:space="preserve">TORNEIRA DE BOIA CONVENCIONAL PARA CAIXA D'AGUA, 1.1/4", COM HASTE E TORNEIRA METALICOS E BALAO PLASTICO                                                                                                                                                                                                                                                                                                                                                                                                  </t>
  </si>
  <si>
    <t>135,83</t>
  </si>
  <si>
    <t xml:space="preserve">TORNEIRA DE BOIA CONVENCIONAL PARA CAIXA D'AGUA, 1/2", COM HASTE E TORNEIRA METALICOS E BALAO PLASTICO                                                                                                                                                                                                                                                                                                                                                                                                    </t>
  </si>
  <si>
    <t xml:space="preserve">TORNEIRA DE BOIA CONVENCIONAL PARA CAIXA D'AGUA, 1", COM HASTE E TORNEIRA METALICOS E BALAO PLASTICO                                                                                                                                                                                                                                                                                                                                                                                                      </t>
  </si>
  <si>
    <t xml:space="preserve">TORNEIRA DE BOIA CONVENCIONAL PARA CAIXA D'AGUA, 2", COM HASTE E TORNEIRA METALICOS E BALAO PLASTICO                                                                                                                                                                                                                                                                                                                                                                                                      </t>
  </si>
  <si>
    <t>225,47</t>
  </si>
  <si>
    <t xml:space="preserve">TORNEIRA DE BOIA CONVENCIONAL PARA CAIXA D'AGUA, 3/4", COM HASTE E TORNEIRA METALICOS E BALAO PLASTICO                                                                                                                                                                                                                                                                                                                                                                                                    </t>
  </si>
  <si>
    <t xml:space="preserve">TORNEIRA DE BOIA VAZAO TOTAL PARA CAIXA D'AGUA, 1/2", COM HASTE E TORNEIRA METALICOS E BALAO PLASTICO                                                                                                                                                                                                                                                                                                                                                                                                     </t>
  </si>
  <si>
    <t>62,53</t>
  </si>
  <si>
    <t xml:space="preserve">TORNEIRA DE BOIA VAZAO TOTAL PARA CAIXA D'AGUA, 1", COM HASTE E TORNEIRA METALICOS E BALAO PLASTICO                                                                                                                                                                                                                                                                                                                                                                                                       </t>
  </si>
  <si>
    <t>85,15</t>
  </si>
  <si>
    <t xml:space="preserve">TORNEIRA DE BOIA VAZAO TOTAL PARA CAIXA D'AGUA, 3/4", COM HASTE E TORNEIRA METALICOS E BALAO PLASTICO                                                                                                                                                                                                                                                                                                                                                                                                     </t>
  </si>
  <si>
    <t>64,50</t>
  </si>
  <si>
    <t xml:space="preserve">TORNEIRA ELETRICA DE PAREDE, BICA ALTA, PARA COZINHA, 5500 W (110/220 V)                                                                                                                                                                                                                                                                                                                                                                                                                                  </t>
  </si>
  <si>
    <t>113,62</t>
  </si>
  <si>
    <t xml:space="preserve">TORNEIRA METAL AMARELO COM BICO PARA JARDIM, PADRAO POPULAR, 1/2 " OU 3/4 " (REF 1128)                                                                                                                                                                                                                                                                                                                                                                                                                    </t>
  </si>
  <si>
    <t xml:space="preserve">TORNEIRA METAL AMARELO CURTA SEM BICO PARA TANQUE, PADRAO POPULAR, 1/2 " OU 3/4 " (REF 1120)                                                                                                                                                                                                                                                                                                                                                                                                              </t>
  </si>
  <si>
    <t xml:space="preserve">TORNEIRA METALICA DE BOIA CONVENCIONAL PARA CAIXA D'AGUA, 1/2 ", COM HASTE, TORNEIRA E BALAO METALICOS                                                                                                                                                                                                                                                                                                                                                                                                    </t>
  </si>
  <si>
    <t>54,17</t>
  </si>
  <si>
    <t xml:space="preserve">TORNEIRA METALICA DE BOIA CONVENCIONAL PARA CAIXA D'AGUA, 3/4 ", COM HASTE, TORNEIRA E BALAO METALICOS                                                                                                                                                                                                                                                                                                                                                                                                    </t>
  </si>
  <si>
    <t>56,44</t>
  </si>
  <si>
    <t xml:space="preserve">TORNEIRA PLASTICA DE BOIA CONVENCIONAL PARA CAIXA DE AGUA,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</si>
  <si>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</si>
  <si>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</si>
  <si>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</si>
  <si>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</si>
  <si>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52.757,24</t>
  </si>
  <si>
    <t xml:space="preserve">TRANSFORMADOR TRIFASICO DE DISTRIBUICAO, POTENCIA DE 112,5 KVA, TENSAO NOMINAL DE 15 KV, TENSAO SECUNDARIA DE 220/127V, EM OLEO ISOLANTE TIPO MINERAL                                                                                                                                                                                                                                                                                                                                                     </t>
  </si>
  <si>
    <t>8.155,14</t>
  </si>
  <si>
    <t xml:space="preserve">TRANSFORMADOR TRIFASICO DE DISTRIBUICAO, POTENCIA DE 15 KVA, TENSAO NOMINAL DE 15 KV, TENSAO SECUNDARIA DE 220/127V, EM OLEO ISOLANTE TIPO MINERAL                                                                                                                                                                                                                                                                                                                                                        </t>
  </si>
  <si>
    <t>3.740,89</t>
  </si>
  <si>
    <t xml:space="preserve">TRANSFORMADOR TRIFASICO DE DISTRIBUICAO, POTENCIA DE 150 KVA, TENSAO NOMINAL DE 15 KV, TENSAO SECUNDARIA DE 220/127V, EM OLEO ISOLANTE TIPO MINERAL                                                                                                                                                                                                                                                                                                                                                       </t>
  </si>
  <si>
    <t>10.285,57</t>
  </si>
  <si>
    <t xml:space="preserve">TRANSFORMADOR TRIFASICO DE DISTRIBUICAO, POTENCIA DE 1500 KVA, TENSAO NOMINAL DE 15 KV, TENSAO SECUNDARIA DE 220/127V, EM OLEO ISOLANTE TIPO MINERAL                                                                                                                                                                                                                                                                                                                                                      </t>
  </si>
  <si>
    <t>66.709,69</t>
  </si>
  <si>
    <t xml:space="preserve">TRANSFORMADOR TRIFASICO DE DISTRIBUICAO, POTENCIA DE 225 KVA, TENSAO NOMINAL DE 15 KV, TENSAO SECUNDARIA DE 220/127V, EM OLEO ISOLANTE TIPO MINERAL                                                                                                                                                                                                                                                                                                                                                       </t>
  </si>
  <si>
    <t>14.429,14</t>
  </si>
  <si>
    <t xml:space="preserve">TRANSFORMADOR TRIFASICO DE DISTRIBUICAO, POTENCIA DE 30 KVA, TENSAO NOMINAL DE 15 KV, TENSAO SECUNDARIA DE 220/127V, EM OLEO ISOLANTE TIPO MINERAL                                                                                                                                                                                                                                                                                                                                                        </t>
  </si>
  <si>
    <t>4.569,23</t>
  </si>
  <si>
    <t xml:space="preserve">TRANSFORMADOR TRIFASICO DE DISTRIBUICAO, POTENCIA DE 300 KVA, TENSAO NOMINAL DE 15 KV, TENSAO SECUNDARIA DE 220/127V, EM OLEO ISOLANTE TIPO MINERAL                                                                                                                                                                                                                                                                                                                                                       </t>
  </si>
  <si>
    <t>16.834,00</t>
  </si>
  <si>
    <t xml:space="preserve">TRANSFORMADOR TRIFASICO DE DISTRIBUICAO, POTENCIA DE 45 KVA, TENSAO NOMINAL DE 15 KV, TENSAO SECUNDARIA DE 220/127V, EM OLEO ISOLANTE TIPO MINERAL                                                                                                                                                                                                                                                                                                                                                        </t>
  </si>
  <si>
    <t>5.103,64</t>
  </si>
  <si>
    <t xml:space="preserve">TRANSFORMADOR TRIFASICO DE DISTRIBUICAO, POTENCIA DE 500 KVA, TENSAO NOMINAL DE 15 KV, TENSAO SECUNDARIA DE 220/127V, EM OLEO ISOLANTE TIPO MINERAL                                                                                                                                                                                                                                                                                                                                                       </t>
  </si>
  <si>
    <t>27.470,42</t>
  </si>
  <si>
    <t xml:space="preserve">TRANSFORMADOR TRIFASICO DE DISTRIBUICAO, POTENCIA DE 75 KVA, TENSAO NOMINAL DE 15 KV, TENSAO SECUNDARIA DE 220/127V, EM OLEO ISOLANTE TIPO MINERAL                                                                                                                                                                                                                                                                                                                                                        </t>
  </si>
  <si>
    <t>6.600,00</t>
  </si>
  <si>
    <t xml:space="preserve">TRANSFORMADOR TRIFASICO DE DISTRIBUICAO, POTENCIA DE 750 KVA, TENSAO NOMINAL DE 15 KV, TENSAO SECUNDARIA DE 220/127V, EM OLEO ISOLANTE TIPO MINERAL                                                                                                                                                                                                                                                                                                                                                       </t>
  </si>
  <si>
    <t>37.680,38</t>
  </si>
  <si>
    <t xml:space="preserve">TRANSPORTE - HORISTA (COLETADO CAIXA)                                                                                                                                                                                                                                                                                                                                                                                                                                                                     </t>
  </si>
  <si>
    <t xml:space="preserve">TRANSPORTE - MENSALISTA (COLETADO CAIXA)                                                                                                                                                                                                                                                                                                                                                                                                                                                                  </t>
  </si>
  <si>
    <t>257,26</t>
  </si>
  <si>
    <t xml:space="preserve">TRATOR DE ESTEIRAS, POTENCIA BRUTA DE 133 HP, PESO OPERACIONAL DE 14 T, COM LAMINA COM CAPACIDADE DE 3,00 M3                                                                                                                                                                                                                                                                                                                                                                                              </t>
  </si>
  <si>
    <t>588.379,18</t>
  </si>
  <si>
    <t xml:space="preserve">TRATOR DE ESTEIRAS, POTENCIA BRUTA DE 347 HP, PESO OPERACIONAL DE 38,5 T, COM ESCARIFICADOR E LAMINA COM CAPACIDADE DE 4,70M3                                                                                                                                                                                                                                                                                                                                                                             </t>
  </si>
  <si>
    <t>2.423.915,21</t>
  </si>
  <si>
    <t xml:space="preserve">TRATOR DE ESTEIRAS, POTENCIA DE 100 HP, PESO OPERACIONAL DE 9,4 T, COM LAMINA COM CAPACIDADE DE 2,19 M3                                                                                                                                                                                                                                                                                                                                                                                                   </t>
  </si>
  <si>
    <t>570.813,80</t>
  </si>
  <si>
    <t xml:space="preserve">TRATOR DE ESTEIRAS, POTENCIA DE 150 HP, PESO OPERACIONAL DE 16,7 T, COM RODA MOTRIZ ELEVADA E LAMINA COM CONTATO DE 3,18M3                                                                                                                                                                                                                                                                                                                                                                                </t>
  </si>
  <si>
    <t>740.000,00</t>
  </si>
  <si>
    <t xml:space="preserve">TRATOR DE ESTEIRAS, POTENCIA DE 170 HP, PESO OPERACIONAL DE 19 T, COM LAMINA COM CAPACIDADE DE 5,2 M3                                                                                                                                                                                                                                                                                                                                                                                                     </t>
  </si>
  <si>
    <t>735.473,93</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</si>
  <si>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</si>
  <si>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</si>
  <si>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1.090.130,85</t>
  </si>
  <si>
    <t xml:space="preserve">TRATOR DE ESTEIRAS, POTENCIA 125 HP, PESO OPERACIONAL DE 12,9 T, COM LAMINA COM CAPACIDADE DE 2,7 M3                                                                                                                                                                                                                                                                                                                                                                                                      </t>
  </si>
  <si>
    <t>597.431,15</t>
  </si>
  <si>
    <t xml:space="preserve">TRATOR DE PNEUS COM POTENCIA DE 105 CV, TRACAO 4 X 4, PESO COM LASTRO DE 5775 KG                                                                                                                                                                                                                                                                                                                                                                                                                          </t>
  </si>
  <si>
    <t>160.149,52</t>
  </si>
  <si>
    <t xml:space="preserve">TRATOR DE PNEUS COM POTENCIA DE 122 CV, TRACAO 4 X 4, PESO COM LASTRO DE 4510 KG                                                                                                                                                                                                                                                                                                                                                                                                                          </t>
  </si>
  <si>
    <t>185.570,08</t>
  </si>
  <si>
    <t xml:space="preserve">TRATOR DE PNEUS COM POTENCIA DE 15 CV, PESO COM LASTRO DE 1160 KG                                                                                                                                                                                                                                                                                                                                                                                                                                         </t>
  </si>
  <si>
    <t>54.654,19</t>
  </si>
  <si>
    <t xml:space="preserve">TRATOR DE PNEUS COM POTENCIA DE 50 CV, TRACAO 4 X 2, PESO COM LASTRO DE 2714 KG                                                                                                                                                                                                                                                                                                                                                                                                                           </t>
  </si>
  <si>
    <t>88.630,04</t>
  </si>
  <si>
    <t xml:space="preserve">TRATOR DE PNEUS COM POTENCIA DE 85 CV, TRACAO 4 X 4, PESO COM LASTRO DE 4675 KG                                                                                                                                                                                                                                                                                                                                                                                                                           </t>
  </si>
  <si>
    <t>136.000,00</t>
  </si>
  <si>
    <t xml:space="preserve">TRATOR DE PNEUS COM POTENCIA DE 85 CV, TURBO,  PESO COM LASTRO DE 4900 KG                                                                                                                                                                                                                                                                                                                                                                                                                                 </t>
  </si>
  <si>
    <t>131.011,20</t>
  </si>
  <si>
    <t xml:space="preserve">TRATOR DE PNEUS COM POTENCIA DE 95 CV, TRACAO 4 X 4, PESO MAXIMO DE 5225 KG                                                                                                                                                                                                                                                                                                                                                                                                                               </t>
  </si>
  <si>
    <t>146.168,21</t>
  </si>
  <si>
    <t xml:space="preserve">TRAVA-QUEDAS EM ACO PARA CORDA DE 12 MM, EXTENSOR DE 25 X 300 MM, COM MOSQUETAO TIPO GANCHO TRAVA DUPLA                                                                                                                                                                                                                                                                                                                                                                                                   </t>
  </si>
  <si>
    <t>131,83</t>
  </si>
  <si>
    <t xml:space="preserve">TRELICA NERVURADA (ESPACADOR), ALTURA = 120,0 MM, DIAMETRO DOS BANZOS INFERIORES E SUPERIOR = 6,0 MM, DIAMETRO DA DIAGONAL = 4,2 MM                                                                                                                                                                                                                                                                                                                                                                       </t>
  </si>
  <si>
    <t xml:space="preserve">TRILHO EM ALUMINIO "U", COM ABAULADO PARA ROLDANA DE PORTA DE CORRER, *40 X 40* MM                                                                                                                                                                                                                                                                                                                                                                                                                        </t>
  </si>
  <si>
    <t xml:space="preserve">TRILHO QUADRADO, EM ALUMINIO (VERGALHAO MACICO), 1/4", (*6 X 6* CM), PARA RODIZIOS                                                                                                                                                                                                                                                                                                                                                                                                                        </t>
  </si>
  <si>
    <t xml:space="preserve">TRINCO / FECHO TIPO AVIAO, EM ZAMAC CROMADO, *60* MM, PARA JANELAS - INCLUI PARAFUSOS                                                                                                                                                                                                                                                                                                                                                                                                                     </t>
  </si>
  <si>
    <t xml:space="preserve">TROLEY MANUAL CAPACIDADE 1 T                                                                                                                                                                                                                                                                                                                                                                                                                                                                              </t>
  </si>
  <si>
    <t>569,85</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</si>
  <si>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</si>
  <si>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</si>
  <si>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</si>
  <si>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12,68</t>
  </si>
  <si>
    <t xml:space="preserve">TUBO ACO CARBONO COM COSTURA, NBR 5580, CLASSE L, DN = 40 MM, E = 3,0 MM, 3,34 KG/M                                                                                                                                                                                                                                                                                                                                                                                                                       </t>
  </si>
  <si>
    <t>20,83</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</si>
  <si>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</si>
  <si>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</si>
  <si>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</si>
  <si>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24,30</t>
  </si>
  <si>
    <t xml:space="preserve">TUBO ACO CARBONO COM COSTURA, NBR 5580, CLASSE M, DN = 80 MM, E = 4,05 MM, *8,47* KG/M                                                                                                                                                                                                                                                                                                                                                                                                                    </t>
  </si>
  <si>
    <t>52,06</t>
  </si>
  <si>
    <t xml:space="preserve">TUBO ACO CARBONO SEM COSTURA 1 1/2", E= *3,68 MM, SCHEDULE 40, 4,05 KG/M                                                                                                                                                                                                                                                                                                                                                                                                                                  </t>
  </si>
  <si>
    <t>42,39</t>
  </si>
  <si>
    <t xml:space="preserve">TUBO ACO CARBONO SEM COSTURA 1/2", E= *2,77 MM, SCHEDULE 40, *1,27 KG/M                                                                                                                                                                                                                                                                                                                                                                                                                                   </t>
  </si>
  <si>
    <t>18,90</t>
  </si>
  <si>
    <t xml:space="preserve">TUBO ACO CARBONO SEM COSTURA 1/2", E= *3,73 MM, SCHEDULE 80, *1,62 KG/M                                                                                                                                                                                                                                                                                                                                                                                                                                   </t>
  </si>
  <si>
    <t>25,09</t>
  </si>
  <si>
    <t xml:space="preserve">TUBO ACO CARBONO SEM COSTURA 14", E= *11,13 MM, SCHEDULE 40, *94,55 KG/M                                                                                                                                                                                                                                                                                                                                                                                                                                  </t>
  </si>
  <si>
    <t>898,92</t>
  </si>
  <si>
    <t xml:space="preserve">TUBO ACO CARBONO SEM COSTURA 2 1/2", E = 5,16 MM, SCHEDULE 40 (8,62 KG/M)                                                                                                                                                                                                                                                                                                                                                                                                                                 </t>
  </si>
  <si>
    <t>84,28</t>
  </si>
  <si>
    <t xml:space="preserve">TUBO ACO CARBONO SEM COSTURA 2", E= *3,91* MM, SCHEDULE 40, *5,43* KG/M                                                                                                                                                                                                                                                                                                                                                                                                                                   </t>
  </si>
  <si>
    <t>52,02</t>
  </si>
  <si>
    <t xml:space="preserve">TUBO ACO CARBONO SEM COSTURA 20", E= *12,70 MM, SCHEDULE 30, *154,97 KG/M                                                                                                                                                                                                                                                                                                                                                                                                                                 </t>
  </si>
  <si>
    <t>1.724,85</t>
  </si>
  <si>
    <t xml:space="preserve">TUBO ACO CARBONO SEM COSTURA 20", E= *6,35 MM,  SCHEDULE 10, *78,46 KG/M                                                                                                                                                                                                                                                                                                                                                                                                                                  </t>
  </si>
  <si>
    <t>955,82</t>
  </si>
  <si>
    <t xml:space="preserve">TUBO ACO CARBONO SEM COSTURA 3/4", E= *2,87 MM, SCHEDULE 40, *1,69 KG/M                                                                                                                                                                                                                                                                                                                                                                                                                                   </t>
  </si>
  <si>
    <t>25,79</t>
  </si>
  <si>
    <t xml:space="preserve">TUBO ACO CARBONO SEM COSTURA 3/4", E= *3,91 MM, SCHEDULE 80, *2,19 KG/M.                                                                                                                                                                                                                                                                                                                                                                                                                                  </t>
  </si>
  <si>
    <t xml:space="preserve">TUBO ACO CARBONO SEM COSTURA 4", E= *6,02 MM, SCHEDULE 40, *16,06 KG/M                                                                                                                                                                                                                                                                                                                                                                                                                                    </t>
  </si>
  <si>
    <t>154,39</t>
  </si>
  <si>
    <t xml:space="preserve">TUBO ACO CARBONO SEM COSTURA 4", E= *8,56 MM, SCHEDULE 80, *22,31 KG/M                                                                                                                                                                                                                                                                                                                                                                                                                                    </t>
  </si>
  <si>
    <t>220,72</t>
  </si>
  <si>
    <t xml:space="preserve">TUBO ACO CARBONO SEM COSTURA 6", E= *10,97 MM, SCHEDULE 80, *42,56 KG/M                                                                                                                                                                                                                                                                                                                                                                                                                                   </t>
  </si>
  <si>
    <t>416,15</t>
  </si>
  <si>
    <t xml:space="preserve">TUBO ACO CARBONO SEM COSTURA 6", E= 7,11 MM,  SCHEDULE 40, *28,26 KG/M                                                                                                                                                                                                                                                                                                                                                                                                                                    </t>
  </si>
  <si>
    <t>272,62</t>
  </si>
  <si>
    <t xml:space="preserve">TUBO ACO CARBONO SEM COSTURA 8", E= *12,70 MM, SCHEDULE 80, *64,64 KG/M                                                                                                                                                                                                                                                                                                                                                                                                                                   </t>
  </si>
  <si>
    <t>546,90</t>
  </si>
  <si>
    <t xml:space="preserve">TUBO ACO CARBONO SEM COSTURA 8", E= *6,35 MM,  SCHEDULE 20, *33,27 KG/M                                                                                                                                                                                                                                                                                                                                                                                                                                   </t>
  </si>
  <si>
    <t>316,31</t>
  </si>
  <si>
    <t xml:space="preserve">TUBO ACO CARBONO SEM COSTURA 8", E= *7,04 MM, SCHEDULE 30, *36,75 KG/M                                                                                                                                                                                                                                                                                                                                                                                                                                    </t>
  </si>
  <si>
    <t>345,06</t>
  </si>
  <si>
    <t xml:space="preserve">TUBO ACO CARBONO SEM COSTURA 8", E= *8,18 MM, SCHEDULE 40, *42,55 KG/M                                                                                                                                                                                                                                                                                                                                                                                                                                    </t>
  </si>
  <si>
    <t>410,48</t>
  </si>
  <si>
    <t xml:space="preserve">TUBO ACO GALVANIZADO COM COSTURA, CLASSE LEVE, DN 100 MM ( 4"),  E = 3,75 MM,  *10,55* KG/M (NBR 5580)                                                                                                                                                                                                                                                                                                                                                                                                    </t>
  </si>
  <si>
    <t>100,28</t>
  </si>
  <si>
    <t xml:space="preserve">TUBO ACO GALVANIZADO COM COSTURA, CLASSE LEVE, DN 15 MM ( 1/2"),  E = 2,25 MM,  *1,2* KG/M (NBR 5580)                                                                                                                                                                                                                                                                                                                                                                                                     </t>
  </si>
  <si>
    <t>11,71</t>
  </si>
  <si>
    <t xml:space="preserve">TUBO ACO GALVANIZADO COM COSTURA, CLASSE LEVE, DN 20 MM ( 3/4"),  E = 2,25 MM,  *1,3* KG/M (NBR 5580)                                                                                                                                                                                                                                                                                                                                                                                                     </t>
  </si>
  <si>
    <t>15,25</t>
  </si>
  <si>
    <t xml:space="preserve">TUBO ACO GALVANIZADO COM COSTURA, CLASSE LEVE, DN 25 MM ( 1"),  E = 2,65 MM,  *2,11* KG/M (NBR 5580)                                                                                                                                                                                                                                                                                                                                                                                                      </t>
  </si>
  <si>
    <t>20,48</t>
  </si>
  <si>
    <t xml:space="preserve">TUBO ACO GALVANIZADO COM COSTURA, CLASSE LEVE, DN 32 MM ( 1 1/4"),  E = 2,65 MM,  *2,71* KG/M (NBR 5580)                                                                                                                                                                                                                                                                                                                                                                                                  </t>
  </si>
  <si>
    <t xml:space="preserve">TUBO ACO GALVANIZADO COM COSTURA, CLASSE LEVE, DN 40 MM ( 1 1/2"),  E = 3,00 MM,  *3,48* KG/M (NBR 5580)                                                                                                                                                                                                                                                                                                                                                                                                  </t>
  </si>
  <si>
    <t>32,98</t>
  </si>
  <si>
    <t xml:space="preserve">TUBO ACO GALVANIZADO COM COSTURA, CLASSE LEVE, DN 50 MM ( 2"),  E = 3,00 MM,  *4,40* KG/M (NBR 5580)                                                                                                                                                                                                                                                                                                                                                                                                      </t>
  </si>
  <si>
    <t>43,04</t>
  </si>
  <si>
    <t xml:space="preserve">TUBO ACO GALVANIZADO COM COSTURA, CLASSE LEVE, DN 65 MM ( 2 1/2"),  E = 3,35 MM, * 6,23* KG/M (NBR 5580)                                                                                                                                                                                                                                                                                                                                                                                                  </t>
  </si>
  <si>
    <t>60,23</t>
  </si>
  <si>
    <t xml:space="preserve">TUBO ACO GALVANIZADO COM COSTURA, CLASSE LEVE, DN 80 MM ( 3"),  E = 3,35 MM, *7,32* KG/M (NBR 5580)                                                                                                                                                                                                                                                                                                                                                                                                       </t>
  </si>
  <si>
    <t>69,19</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</si>
  <si>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</si>
  <si>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</si>
  <si>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</si>
  <si>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</si>
  <si>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22,54</t>
  </si>
  <si>
    <t xml:space="preserve">TUBO ACO GALVANIZADO COM COSTURA, CLASSE MEDIA, DN 2.1/2", E = *3,65* MM, PESO *6,51* KG/M (NBR 5580)                                                                                                                                                                                                                                                                                                                                                                                                     </t>
  </si>
  <si>
    <t>59,09</t>
  </si>
  <si>
    <t xml:space="preserve">TUBO ACO GALVANIZADO COM COSTURA, CLASSE MEDIA, DN 2", E = *3,65* MM, PESO *5,10* KG/M (NBR 5580)                                                                                                                                                                                                                                                                                                                                                                                                         </t>
  </si>
  <si>
    <t>47,61</t>
  </si>
  <si>
    <t xml:space="preserve">TUBO ACO GALVANIZADO COM COSTURA, CLASSE MEDIA, DN 3/4", E = *2,65* MM, PESO *1,58* KG/M (NBR 5580)                                                                                                                                                                                                                                                                                                                                                                                                       </t>
  </si>
  <si>
    <t xml:space="preserve">TUBO ACO GALVANIZADO COM COSTURA, CLASSE MEDIA, DN 3", E = *4,05* MM, PESO *8,47* KG/M (NBR 5580)                                                                                                                                                                                                                                                                                                                                                                                                         </t>
  </si>
  <si>
    <t>79,51</t>
  </si>
  <si>
    <t xml:space="preserve">TUBO ACO GALVANIZADO COM COSTURA, CLASSE MEDIA, DN 4", E = 4,50* MM, PESO 12,10* KG/M (NBR 5580)                                                                                                                                                                                                                                                                                                                                                                                                          </t>
  </si>
  <si>
    <t>109,50</t>
  </si>
  <si>
    <t xml:space="preserve">TUBO ACO GALVANIZADO COM COSTURA, CLASSE MEDIA, DN 5", E = *5,40* MM, PESO *17,80* KG/M (NBR 5580)                                                                                                                                                                                                                                                                                                                                                                                                        </t>
  </si>
  <si>
    <t>163,95</t>
  </si>
  <si>
    <t xml:space="preserve">TUBO ACO GALVANIZADO COM COSTURA, CLASSE MEDIA, DN 6", E = 4,85* MM, PESO 19,68* KG/M (NBR 5580)                                                                                                                                                                                                                                                                                                                                                                                                          </t>
  </si>
  <si>
    <t>177,81</t>
  </si>
  <si>
    <t xml:space="preserve">TUBO ACO INDUSTRIAL DN 2" (50,8 MM) E=1,50MM, PESO= 1,8237 KG/M                                                                                                                                                                                                                                                                                                                                                                                                                                           </t>
  </si>
  <si>
    <t>12,89</t>
  </si>
  <si>
    <t xml:space="preserve">TUBO COLETOR DE ESGOTO PVC, JEI, DN 100 MM (NBR  7362)                                                                                                                                                                                                                                                                                                                                                                                                                                                    </t>
  </si>
  <si>
    <t xml:space="preserve">TUBO COLETOR DE ESGOTO PVC, JEI, DN 200 MM (NBR 7362)                                                                                                                                                                                                                                                                                                                                                                                                                                                     </t>
  </si>
  <si>
    <t>55,84</t>
  </si>
  <si>
    <t xml:space="preserve">TUBO COLETOR DE ESGOTO PVC, JEI, DN 250 MM (NBR 7362)                                                                                                                                                                                                                                                                                                                                                                                                                                                     </t>
  </si>
  <si>
    <t>95,22</t>
  </si>
  <si>
    <t xml:space="preserve">TUBO COLETOR DE ESGOTO PVC, JEI, DN 300 MM (NBR 7362)                                                                                                                                                                                                                                                                                                                                                                                                                                                     </t>
  </si>
  <si>
    <t>153,80</t>
  </si>
  <si>
    <t xml:space="preserve">TUBO COLETOR DE ESGOTO PVC, JEI, DN 350 MM (NBR 7362)                                                                                                                                                                                                                                                                                                                                                                                                                                                     </t>
  </si>
  <si>
    <t>190,48</t>
  </si>
  <si>
    <t xml:space="preserve">TUBO COLETOR DE ESGOTO PVC, JEI, DN 400 MM (NBR 7362)                                                                                                                                                                                                                                                                                                                                                                                                                                                     </t>
  </si>
  <si>
    <t>246,71</t>
  </si>
  <si>
    <t xml:space="preserve">TUBO COLETOR DE ESGOTO, PVC, JEI, DN 150 MM  (NBR 7362)                                                                                                                                                                                                                                                                                                                                                                                                                                                   </t>
  </si>
  <si>
    <t xml:space="preserve">TUBO CONCRETO ARMADO, CLASSE EA-2, PB JE, DN 1000 MM, PARA ESGOTO SANITARIO (NBR 8890)                                                                                                                                                                                                                                                                                                                                                                                                                    </t>
  </si>
  <si>
    <t>463,15</t>
  </si>
  <si>
    <t xml:space="preserve">TUBO CONCRETO ARMADO, CLASSE EA-2, PB JE, DN 300 MM, PARA ESGOTO SANITARIO (NBR 8890)                                                                                                                                                                                                                                                                                                                                                                                                                     </t>
  </si>
  <si>
    <t>94,33</t>
  </si>
  <si>
    <t xml:space="preserve">TUBO CONCRETO ARMADO, CLASSE EA-2, PB JE, DN 400 MM, PARA ESGOTO SANITARIO (NBR 8890)                                                                                                                                                                                                                                                                                                                                                                                                                     </t>
  </si>
  <si>
    <t>128,71</t>
  </si>
  <si>
    <t xml:space="preserve">TUBO CONCRETO ARMADO, CLASSE EA-2, PB JE, DN 500 MM, PARA ESGOTO SANITARIO (NBR 8890)                                                                                                                                                                                                                                                                                                                                                                                                                     </t>
  </si>
  <si>
    <t>162,43</t>
  </si>
  <si>
    <t xml:space="preserve">TUBO CONCRETO ARMADO, CLASSE EA-2, PB JE, DN 600 MM, PARA ESGOTO SANITARIO (NBR 8890)                                                                                                                                                                                                                                                                                                                                                                                                                     </t>
  </si>
  <si>
    <t>218,66</t>
  </si>
  <si>
    <t xml:space="preserve">TUBO CONCRETO ARMADO, CLASSE EA-2, PB JE, DN 700 MM, PARA ESGOTO SANITARIO (NBR 8890)                                                                                                                                                                                                                                                                                                                                                                                                                     </t>
  </si>
  <si>
    <t>252,06</t>
  </si>
  <si>
    <t xml:space="preserve">TUBO CONCRETO ARMADO, CLASSE EA-2, PB JE, DN 800 MM, PARA ESGOTO SANITARIO (NBR 8890)                                                                                                                                                                                                                                                                                                                                                                                                                     </t>
  </si>
  <si>
    <t>313,91</t>
  </si>
  <si>
    <t xml:space="preserve">TUBO CONCRETO ARMADO, CLASSE EA-2, PB JE, DN 900 MM, PARA ESGOTO SANITARIO (NBR 8890)                                                                                                                                                                                                                                                                                                                                                                                                                     </t>
  </si>
  <si>
    <t>426,58</t>
  </si>
  <si>
    <t xml:space="preserve">TUBO CONCRETO ARMADO, CLASSE EA-3, PB JE, DN 1000 MM, PARA ESGOTO SANITARIO (NBR 8890)                                                                                                                                                                                                                                                                                                                                                                                                                    </t>
  </si>
  <si>
    <t>584,68</t>
  </si>
  <si>
    <t xml:space="preserve">TUBO CONCRETO ARMADO, CLASSE EA-3, PB JE, DN 400 MM, PARA ESGOTO SANITARIO (NBR 8890)                                                                                                                                                                                                                                                                                                                                                                                                                     </t>
  </si>
  <si>
    <t>156,80</t>
  </si>
  <si>
    <t xml:space="preserve">TUBO CONCRETO ARMADO, CLASSE EA-3, PB JE, DN 500 MM, PARA ESGOTO SANITARIO (NBR 8890)                                                                                                                                                                                                                                                                                                                                                                                                                     </t>
  </si>
  <si>
    <t>204,07</t>
  </si>
  <si>
    <t xml:space="preserve">TUBO CONCRETO ARMADO, CLASSE EA-3, PB JE, DN 600 MM, PARA ESGOTO SANITARIO (NBR 8890)                                                                                                                                                                                                                                                                                                                                                                                                                     </t>
  </si>
  <si>
    <t>269,50</t>
  </si>
  <si>
    <t xml:space="preserve">TUBO CONCRETO ARMADO, CLASSE EA-3, PB JE, DN 700 MM, PARA ESGOTO SANITARIO (NBR 8890)                                                                                                                                                                                                                                                                                                                                                                                                                     </t>
  </si>
  <si>
    <t>300,51</t>
  </si>
  <si>
    <t xml:space="preserve">TUBO CONCRETO ARMADO, CLASSE EA-3, PB JE, DN 800 MM, PARA ESGOTO SANITARIO (NBR 8890)                                                                                                                                                                                                                                                                                                                                                                                                                     </t>
  </si>
  <si>
    <t>369,73</t>
  </si>
  <si>
    <t xml:space="preserve">TUBO CONCRETO ARMADO, CLASSE EA-3, PB JE, DN 900 MM, PARA ESGOTO SANITARIO (NBR 8890)                                                                                                                                                                                                                                                                                                                                                                                                                     </t>
  </si>
  <si>
    <t>534,51</t>
  </si>
  <si>
    <t xml:space="preserve">TUBO CONCRETO ARMADO, CLASSE PA-1, PB, DN 1000 MM, PARA AGUAS PLUVIAIS (NBR 8890)                                                                                                                                                                                                                                                                                                                                                                                                                         </t>
  </si>
  <si>
    <t>271,01</t>
  </si>
  <si>
    <t xml:space="preserve">TUBO CONCRETO ARMADO, CLASSE PA-1, PB, DN 1100 MM, PARA AGUAS PLUVIAIS (NBR 8890)                                                                                                                                                                                                                                                                                                                                                                                                                         </t>
  </si>
  <si>
    <t>316,35</t>
  </si>
  <si>
    <t xml:space="preserve">TUBO CONCRETO ARMADO, CLASSE PA-1, PB, DN 1200 MM, PARA AGUAS PLUVIAIS (NBR 8890)                                                                                                                                                                                                                                                                                                                                                                                                                         </t>
  </si>
  <si>
    <t>384,06</t>
  </si>
  <si>
    <t xml:space="preserve">TUBO CONCRETO ARMADO, CLASSE PA-1, PB, DN 1500 MM, PARA AGUAS PLUVIAIS (NBR 8890)                                                                                                                                                                                                                                                                                                                                                                                                                         </t>
  </si>
  <si>
    <t>571,26</t>
  </si>
  <si>
    <t xml:space="preserve">TUBO CONCRETO ARMADO, CLASSE PA-1, PB, DN 2000 MM, PARA AGUAS PLUVIAIS (NBR 8890)                                                                                                                                                                                                                                                                                                                                                                                                                         </t>
  </si>
  <si>
    <t>1.244,58</t>
  </si>
  <si>
    <t xml:space="preserve">TUBO CONCRETO ARMADO, CLASSE PA-1, PB, DN 300 MM, PARA AGUAS PLUVIAIS (NBR 8890)                                                                                                                                                                                                                                                                                                                                                                                                                          </t>
  </si>
  <si>
    <t>67,19</t>
  </si>
  <si>
    <t xml:space="preserve">TUBO CONCRETO ARMADO, CLASSE PA-1, PB, DN 400 MM, PARA AGUAS PLUVIAIS (NBR 8890)                                                                                                                                                                                                                                                                                                                                                                                                                          </t>
  </si>
  <si>
    <t>71,01</t>
  </si>
  <si>
    <t xml:space="preserve">TUBO CONCRETO ARMADO, CLASSE PA-1, PB, DN 500 MM, PARA AGUAS PLUVIAIS (NBR 8890)                                                                                                                                                                                                                                                                                                                                                                                                                          </t>
  </si>
  <si>
    <t>93,76</t>
  </si>
  <si>
    <t xml:space="preserve">TUBO CONCRETO ARMADO, CLASSE PA-1, PB, DN 600 MM, PARA AGUAS PLUVIAIS (NBR 8890)                                                                                                                                                                                                                                                                                                                                                                                                                          </t>
  </si>
  <si>
    <t xml:space="preserve">TUBO CONCRETO ARMADO, CLASSE PA-1, PB, DN 700 MM, PARA AGUAS PLUVIAIS (NBR 8890)                                                                                                                                                                                                                                                                                                                                                                                                                          </t>
  </si>
  <si>
    <t>174,11</t>
  </si>
  <si>
    <t xml:space="preserve">TUBO CONCRETO ARMADO, CLASSE PA-1, PB, DN 800 MM, PARA AGUAS PLUVIAIS (NBR 8890)                                                                                                                                                                                                                                                                                                                                                                                                                          </t>
  </si>
  <si>
    <t>197,43</t>
  </si>
  <si>
    <t xml:space="preserve">TUBO CONCRETO ARMADO, CLASSE PA-1, PB, DN 900 MM, PARA AGUAS PLUVIAIS (NBR 8890)                                                                                                                                                                                                                                                                                                                                                                                                                          </t>
  </si>
  <si>
    <t>243,75</t>
  </si>
  <si>
    <t xml:space="preserve">TUBO CONCRETO ARMADO, CLASSE PA-2, PB, DN 1000 MM, PARA AGUAS PLUVIAIS (NBR 8890)                                                                                                                                                                                                                                                                                                                                                                                                                         </t>
  </si>
  <si>
    <t>299,28</t>
  </si>
  <si>
    <t xml:space="preserve">TUBO CONCRETO ARMADO, CLASSE PA-2, PB, DN 1100 MM, PARA AGUAS PLUVIAIS (NBR 8890)                                                                                                                                                                                                                                                                                                                                                                                                                         </t>
  </si>
  <si>
    <t>322,04</t>
  </si>
  <si>
    <t xml:space="preserve">TUBO CONCRETO ARMADO, CLASSE PA-2, PB, DN 1200 MM, PARA AGUAS PLUVIAIS (NBR 8890)                                                                                                                                                                                                                                                                                                                                                                                                                         </t>
  </si>
  <si>
    <t>435,27</t>
  </si>
  <si>
    <t xml:space="preserve">TUBO CONCRETO ARMADO, CLASSE PA-2, PB, DN 1500 MM, PARA AGUAS PLUVIAIS (NBR 8890)                                                                                                                                                                                                                                                                                                                                                                                                                         </t>
  </si>
  <si>
    <t>670,73</t>
  </si>
  <si>
    <t xml:space="preserve">TUBO CONCRETO ARMADO, CLASSE PA-2, PB, DN 2000 MM, PARA AGUAS PLUVIAIS (NBR 8890)                                                                                                                                                                                                                                                                                                                                                                                                                         </t>
  </si>
  <si>
    <t>1.456,61</t>
  </si>
  <si>
    <t xml:space="preserve">TUBO CONCRETO ARMADO, CLASSE PA-2, PB, DN 300 MM, PARA AGUAS PLUVIAIS (NBR 8890)                                                                                                                                                                                                                                                                                                                                                                                                                          </t>
  </si>
  <si>
    <t>70,66</t>
  </si>
  <si>
    <t xml:space="preserve">TUBO CONCRETO ARMADO, CLASSE PA-2, PB, DN 400 MM, PARA AGUAS PLUVIAIS (NBR 8890)                                                                                                                                                                                                                                                                                                                                                                                                                          </t>
  </si>
  <si>
    <t>75,10</t>
  </si>
  <si>
    <t xml:space="preserve">TUBO CONCRETO ARMADO, CLASSE PA-2, PB, DN 500 MM, PARA AGUAS PLUVIAIS (NBR 8890)                                                                                                                                                                                                                                                                                                                                                                                                                          </t>
  </si>
  <si>
    <t xml:space="preserve">TUBO CONCRETO ARMADO, CLASSE PA-2, PB, DN 600 MM, PARA AGUAS PLUVIAIS (NBR 8890)                                                                                                                                                                                                                                                                                                                                                                                                                          </t>
  </si>
  <si>
    <t>119,03</t>
  </si>
  <si>
    <t xml:space="preserve">TUBO CONCRETO ARMADO, CLASSE PA-2, PB, DN 700 MM, PARA AGUAS PLUVIAIS (NBR 8890)                                                                                                                                                                                                                                                                                                                                                                                                                          </t>
  </si>
  <si>
    <t>183,55</t>
  </si>
  <si>
    <t xml:space="preserve">TUBO CONCRETO ARMADO, CLASSE PA-2, PB, DN 800 MM, PARA AGUAS PLUVIAIS (NBR 8890)                                                                                                                                                                                                                                                                                                                                                                                                                          </t>
  </si>
  <si>
    <t>204,55</t>
  </si>
  <si>
    <t xml:space="preserve">TUBO CONCRETO ARMADO, CLASSE PA-2, PB, DN 900 MM, PARA AGUAS PLUVIAIS (NBR 8890)                                                                                                                                                                                                                                                                                                                                                                                                                          </t>
  </si>
  <si>
    <t>307,25</t>
  </si>
  <si>
    <t xml:space="preserve">TUBO CONCRETO ARMADO, CLASSE PA-3, PB, DN 1000 MM, PARA AGUAS PLUVIAIS (NBR 8890)                                                                                                                                                                                                                                                                                                                                                                                                                         </t>
  </si>
  <si>
    <t>402,84</t>
  </si>
  <si>
    <t xml:space="preserve">TUBO CONCRETO ARMADO, CLASSE PA-3, PB, DN 1100 MM, PARA AGUAS PLUVIAIS (NBR 8890)                                                                                                                                                                                                                                                                                                                                                                                                                         </t>
  </si>
  <si>
    <t>423,32</t>
  </si>
  <si>
    <t xml:space="preserve">TUBO CONCRETO ARMADO, CLASSE PA-3, PB, DN 1200 MM, PARA AGUAS PLUVIAIS (NBR 8890)                                                                                                                                                                                                                                                                                                                                                                                                                         </t>
  </si>
  <si>
    <t>550,07</t>
  </si>
  <si>
    <t xml:space="preserve">TUBO CONCRETO ARMADO, CLASSE PA-3, PB, DN 1500 MM, PARA AGUAS PLUVIAIS (NBR 8890)                                                                                                                                                                                                                                                                                                                                                                                                                         </t>
  </si>
  <si>
    <t>807,39</t>
  </si>
  <si>
    <t xml:space="preserve">TUBO CONCRETO ARMADO, CLASSE PA-3, PB, DN 400 MM, PARA AGUAS PLUVIAIS (NBR 8890)                                                                                                                                                                                                                                                                                                                                                                                                                          </t>
  </si>
  <si>
    <t>85,34</t>
  </si>
  <si>
    <t xml:space="preserve">TUBO CONCRETO ARMADO, CLASSE PA-3, PB, DN 500 MM, PARA AGUAS PLUVIAIS (NBR 8890)                                                                                                                                                                                                                                                                                                                                                                                                                          </t>
  </si>
  <si>
    <t>110,38</t>
  </si>
  <si>
    <t xml:space="preserve">TUBO CONCRETO ARMADO, CLASSE PA-3, PB, DN 600 MM, PARA AGUAS PLUVIAIS (NBR 8890)                                                                                                                                                                                                                                                                                                                                                                                                                          </t>
  </si>
  <si>
    <t>148,05</t>
  </si>
  <si>
    <t xml:space="preserve">TUBO CONCRETO ARMADO, CLASSE PA-3, PB, DN 700 MM, PARA AGUAS PLUVIAIS (NBR 8890)                                                                                                                                                                                                                                                                                                                                                                                                                          </t>
  </si>
  <si>
    <t>216,79</t>
  </si>
  <si>
    <t xml:space="preserve">TUBO CONCRETO ARMADO, CLASSE PA-3, PB, DN 800 MM, PARA AGUAS PLUVIAIS (NBR 8890)                                                                                                                                                                                                                                                                                                                                                                                                                          </t>
  </si>
  <si>
    <t>279,85</t>
  </si>
  <si>
    <t xml:space="preserve">TUBO CONCRETO ARMADO, CLASSE PA-3, PB, DN 900 MM, PARA AGUAS PLUVIAIS (NBR 8890)                                                                                                                                                                                                                                                                                                                                                                                                                          </t>
  </si>
  <si>
    <t>382,93</t>
  </si>
  <si>
    <t xml:space="preserve">TUBO CORRUGADO PEAD, PAREDE DUPLA, INTERNA LISA, JEI, DN/DI *1000* MM, PARA SANEAMENTO                                                                                                                                                                                                                                                                                                                                                                                                                    </t>
  </si>
  <si>
    <t>983,49</t>
  </si>
  <si>
    <t xml:space="preserve">TUBO CORRUGADO PEAD, PAREDE DUPLA, INTERNA LISA, JEI, DN/DI *400* MM, PARA SANEAMENTO                                                                                                                                                                                                                                                                                                                                                                                                                     </t>
  </si>
  <si>
    <t>280,40</t>
  </si>
  <si>
    <t xml:space="preserve">TUBO CORRUGADO PEAD, PAREDE DUPLA, INTERNA LISA, JEI, DN/DI *800* MM, PARA SANEAMENTO                                                                                                                                                                                                                                                                                                                                                                                                                     </t>
  </si>
  <si>
    <t>739,93</t>
  </si>
  <si>
    <t xml:space="preserve">TUBO CORRUGADO PEAD, PAREDE DUPLA, INTERNA LISA, JEI, DN/DI 1200 MM, PARA SANEAMENTO                                                                                                                                                                                                                                                                                                                                                                                                                      </t>
  </si>
  <si>
    <t>1.543,58</t>
  </si>
  <si>
    <t xml:space="preserve">TUBO CORRUGADO PEAD, PAREDE DUPLA, INTERNA LISA, JEI, DN/DI 250 MM, PARA SANEAMENTO                                                                                                                                                                                                                                                                                                                                                                                                                       </t>
  </si>
  <si>
    <t xml:space="preserve">TUBO CORRUGADO PEAD, PAREDE DUPLA, INTERNA LISA, JEI, DN/DI 300 MM, PARA SANEAMENTO                                                                                                                                                                                                                                                                                                                                                                                                                       </t>
  </si>
  <si>
    <t>127,19</t>
  </si>
  <si>
    <t xml:space="preserve">TUBO CORRUGADO PEAD, PAREDE DUPLA, INTERNA LISA, JEI, DN/DI 600 MM, PARA SANEAMENTO                                                                                                                                                                                                                                                                                                                                                                                                                       </t>
  </si>
  <si>
    <t>524,33</t>
  </si>
  <si>
    <t xml:space="preserve">TUBO CPVC SOLDAVEL, 35 MM, AGUA QUENTE PREDIAL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</si>
  <si>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</si>
  <si>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</si>
  <si>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</si>
  <si>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</si>
  <si>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</si>
  <si>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35,26</t>
  </si>
  <si>
    <t xml:space="preserve">TUBO CPVC, SOLDAVEL, 73 MM, AGUA QUENTE PREDIAL (NBR 15884)                                                                                                                                                                                                                                                                                                                                                                                                                                               </t>
  </si>
  <si>
    <t xml:space="preserve">TUBO CPVC, SOLDAVEL, 89 MM, AGUA QUENTE PREDIAL (NBR 15884)                                                                                                                                                                                                                                                                                                                                                                                                                                               </t>
  </si>
  <si>
    <t>85,82</t>
  </si>
  <si>
    <t xml:space="preserve">TUBO DE BORRACHA ELASTOMERICA FLEXIVEL, PRETA, PARA ISOLAMENTO TERMICO DE TUBULACAO, DN 1 1/8" (28 MM), E= 32 MM, COEFICIENTE DE CONDUTIVIDADE TERMICA 0,036W/mK, VAPOR DE AGUA MAIOR OU IGUAL A 10.000                                                                                                                                                                                                                                                                                                   </t>
  </si>
  <si>
    <t>66,53</t>
  </si>
  <si>
    <t xml:space="preserve">TUBO DE BORRACHA ELASTOMERICA FLEXIVEL, PRETA, PARA ISOLAMENTO TERMICO DE TUBULACAO, DN 1 3/8" (35 MM), E= 32 MM, COEFICIENTE DE CONDUTIVIDADE TERMICA 0,036W/mK, VAPOR DE AGUA MAIOR OU IGUAL A 10.000                                                                                                                                                                                                                                                                                                   </t>
  </si>
  <si>
    <t>78,92</t>
  </si>
  <si>
    <t xml:space="preserve">TUBO DE BORRACHA ELASTOMERICA FLEXIVEL, PRETA, PARA ISOLAMENTO TERMICO DE TUBULACAO, DN 1 5/8" (42 MM), E= 32 MM, COEFICIENTE DE CONDUTIVIDADE TERMICA 0,036W/mK, VAPOR DE AGUA MAIOR OU IGUAL A 10.000                                                                                                                                                                                                                                                                                                   </t>
  </si>
  <si>
    <t>90,06</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</si>
  <si>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</si>
  <si>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</si>
  <si>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</si>
  <si>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62,28</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</si>
  <si>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</si>
  <si>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</si>
  <si>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109,31</t>
  </si>
  <si>
    <t xml:space="preserve">TUBO DE BORRACHA ELASTOMERICA FLEXIVEL, PRETA, PARA ISOLAMENTO TERMICO DE TUBULACAO, DN 3/4" (18 MM), E= 32 MM, COEFICIENTE DE CONDUTIVIDADE TERMICA 0,036W/mK, VAPOR DE AGUA MAIOR OU IGUAL A 10.000                                                                                                                                                                                                                                                                                                     </t>
  </si>
  <si>
    <t>59,81</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</si>
  <si>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</si>
  <si>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</si>
  <si>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</si>
  <si>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48,07</t>
  </si>
  <si>
    <t xml:space="preserve">TUBO DE COBRE CLASSE "A", DN = 1 " (28 MM), PARA INSTALACOES DE MEDIA PRESSAO PARA GASES COMBUSTIVEIS E MEDICINAIS                                                                                                                                                                                                                                                                                                                                                                                        </t>
  </si>
  <si>
    <t xml:space="preserve">TUBO DE COBRE CLASSE "A", DN = 1 1/2 " (42 MM), PARA INSTALACOES DE MEDIA PRESSAO PARA GASES COMBUSTIVEIS E MEDICINAIS                                                                                                                                                                                                                                                                                                                                                                                    </t>
  </si>
  <si>
    <t>101,34</t>
  </si>
  <si>
    <t xml:space="preserve">TUBO DE COBRE CLASSE "A", DN = 1 1/4 " (35 MM), PARA INSTALACOES DE MEDIA PRESSAO PARA GASES COMBUSTIVEIS E MEDICINAIS                                                                                                                                                                                                                                                                                                                                                                                    </t>
  </si>
  <si>
    <t>84,23</t>
  </si>
  <si>
    <t xml:space="preserve">TUBO DE COBRE CLASSE "A", DN = 1/2 " (15 MM), PARA INSTALACOES DE MEDIA PRESSAO PARA GASES COMBUSTIVEIS E MEDICINAIS                                                                                                                                                                                                                                                                                                                                                                                      </t>
  </si>
  <si>
    <t xml:space="preserve">TUBO DE COBRE CLASSE "A", DN = 2 1/2 " (66 MM), PARA INSTALACOES DE MEDIA PRESSAO PARA GASES COMBUSTIVEIS E MEDICINAIS                                                                                                                                                                                                                                                                                                                                                                                    </t>
  </si>
  <si>
    <t>186,54</t>
  </si>
  <si>
    <t xml:space="preserve">TUBO DE COBRE CLASSE "A", DN = 3 " (79 MM), PARA INSTALACOES DE MEDIA PRESSAO PARA GASES COMBUSTIVEIS E MEDICINAIS                                                                                                                                                                                                                                                                                                                                                                                        </t>
  </si>
  <si>
    <t>274,83</t>
  </si>
  <si>
    <t xml:space="preserve">TUBO DE COBRE CLASSE "A", DN = 3/4 " (22 MM), PARA INSTALACOES DE MEDIA PRESSAO PARA GASES COMBUSTIVEIS E MEDICINAIS                                                                                                                                                                                                                                                                                                                                                                                      </t>
  </si>
  <si>
    <t xml:space="preserve">TUBO DE COBRE CLASSE "A", DN = 4 " (104 MM), PARA INSTALACOES DE MEDIA PRESSAO PARA GASES COMBUSTIVEIS E MEDICINAIS                                                                                                                                                                                                                                                                                                                                                                                       </t>
  </si>
  <si>
    <t>416,71</t>
  </si>
  <si>
    <t xml:space="preserve">TUBO DE COBRE CLASSE "E", DN = 104 MM, PARA INSTALACAO HIDRAULICA PREDIAL                                                                                                                                                                                                                                                                                                                                                                                                                                 </t>
  </si>
  <si>
    <t>329,96</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</si>
  <si>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</si>
  <si>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</si>
  <si>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</si>
  <si>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</si>
  <si>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55,48</t>
  </si>
  <si>
    <t xml:space="preserve">TUBO DE COBRE CLASSE "E", DN = 42 MM, PARA INSTALACAO HIDRAULICA PREDIAL                                                                                                                                                                                                                                                                                                                                                                                                                                  </t>
  </si>
  <si>
    <t xml:space="preserve">TUBO DE COBRE CLASSE "E", DN = 54 MM, PARA INSTALACAO HIDRAULICA PREDIAL                                                                                                                                                                                                                                                                                                                                                                                                                                  </t>
  </si>
  <si>
    <t>108,65</t>
  </si>
  <si>
    <t xml:space="preserve">TUBO DE COBRE CLASSE "E", DN = 66 MM, PARA INSTALACAO HIDRAULICA PREDIAL                                                                                                                                                                                                                                                                                                                                                                                                                                  </t>
  </si>
  <si>
    <t>153,07</t>
  </si>
  <si>
    <t xml:space="preserve">TUBO DE COBRE CLASSE "E", DN = 79 MM, PARA INSTALACAO HIDRAULICA PREDIAL                                                                                                                                                                                                                                                                                                                                                                                                                                  </t>
  </si>
  <si>
    <t>223,77</t>
  </si>
  <si>
    <t xml:space="preserve">TUBO DE COBRE CLASSE "I", DN = 1 " (28 MM), PARA INSTALACOES INDUSTRIAIS DE ALTA PRESSAO E VAPOR                                                                                                                                                                                                                                                                                                                                                                                                          </t>
  </si>
  <si>
    <t xml:space="preserve">TUBO DE COBRE CLASSE "I", DN = 1 1/2 " (42 MM), PARA INSTALACOES INDUSTRIAIS DE ALTA PRESSAO E VAPOR                                                                                                                                                                                                                                                                                                                                                                                                      </t>
  </si>
  <si>
    <t>129,17</t>
  </si>
  <si>
    <t xml:space="preserve">TUBO DE COBRE CLASSE "I", DN = 1 1/4 " (35 MM), PARA INSTALACOES INDUSTRIAIS DE ALTA PRESSAO E VAPOR                                                                                                                                                                                                                                                                                                                                                                                                      </t>
  </si>
  <si>
    <t>106,30</t>
  </si>
  <si>
    <t xml:space="preserve">TUBO DE COBRE CLASSE "I", DN = 1/2 " (15 MM), PARA INSTALACOES INDUSTRIAIS DE ALTA PRESSAO E VAPOR                                                                                                                                                                                                                                                                                                                                                                                                        </t>
  </si>
  <si>
    <t xml:space="preserve">TUBO DE COBRE CLASSE "I", DN = 2 " (54 MM), PARA INSTALACOES INDUSTRIAIS DE ALTA PRESSAO E VAPOR                                                                                                                                                                                                                                                                                                                                                                                                          </t>
  </si>
  <si>
    <t>178,88</t>
  </si>
  <si>
    <t xml:space="preserve">TUBO DE COBRE CLASSE "I", DN = 2 1/2 " (66 MM), PARA INSTALACOES INDUSTRIAIS DE ALTA PRESSAO E VAPOR                                                                                                                                                                                                                                                                                                                                                                                                      </t>
  </si>
  <si>
    <t>232,09</t>
  </si>
  <si>
    <t xml:space="preserve">TUBO DE COBRE CLASSE "I", DN = 3 " (79 MM), PARA INSTALACOES INDUSTRIAIS DE ALTA PRESSAO E VAPOR                                                                                                                                                                                                                                                                                                                                                                                                          </t>
  </si>
  <si>
    <t>343,75</t>
  </si>
  <si>
    <t xml:space="preserve">TUBO DE COBRE CLASSE "I", DN = 3/4 " (22 MM), PARA INSTALACOES INDUSTRIAIS DE ALTA PRESSAO E VAPOR                                                                                                                                                                                                                                                                                                                                                                                                        </t>
  </si>
  <si>
    <t>53,05</t>
  </si>
  <si>
    <t xml:space="preserve">TUBO DE COBRE CLASSE "I", DN = 4" (104 MM), PARA INSTALACOES INDUSTRIAIS DE ALTA PRESSAO E VAPOR                                                                                                                                                                                                                                                                                                                                                                                                          </t>
  </si>
  <si>
    <t>505,98</t>
  </si>
  <si>
    <t xml:space="preserve">TUBO DE COBRE FLEXIVEL, D = 1/2 ", E = 0,79 MM, PARA AR-CONDICIONADO/ INSTALACOES GAS RESIDENCIAIS E COMERCIAIS                                                                                                                                                                                                                                                                                                                                                                                           </t>
  </si>
  <si>
    <t>23,05</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</si>
  <si>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</si>
  <si>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</si>
  <si>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</si>
  <si>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34,68</t>
  </si>
  <si>
    <t xml:space="preserve">TUBO DE COBRE FLEXIVEL, D = 3/8 ", E = 0,79 MM, PARA AR-CONDICIONADO/ INSTALACOES GAS RESIDENCIAIS E COMERCIAIS                                                                                                                                                                                                                                                                                                                                                                                           </t>
  </si>
  <si>
    <t>17,00</t>
  </si>
  <si>
    <t xml:space="preserve">TUBO DE COBRE FLEXIVEL, D = 5/16 ", E = 0,79 MM, PARA AR-CONDICIONADO/ INSTALACOES GAS RESIDENCIAIS E COMERCIAIS                                                                                                                                                                                                                                                                                                                                                                                          </t>
  </si>
  <si>
    <t>13,59</t>
  </si>
  <si>
    <t xml:space="preserve">TUBO DE COBRE FLEXIVEL, D = 5/8 ", E = 0,79 MM, PARA AR-CONDICIONADO/ INSTALACOES GAS RESIDENCIAIS E COMERCIAIS                                                                                                                                                                                                                                                                                                                                                                                           </t>
  </si>
  <si>
    <t>28,68</t>
  </si>
  <si>
    <t xml:space="preserve">TUBO DE COBRE, CLASSE "A", DN = 2" (54 MM), PARA INSTALACOES DE MEDIA PRESSAO PARA GASES COMBUSTIVEIS E MEDICINAIS                                                                                                                                                                                                                                                                                                                                                                                        </t>
  </si>
  <si>
    <t>144,20</t>
  </si>
  <si>
    <t xml:space="preserve">TUBO DE CONCRETO SIMPLES POROSO, MACHO/FEMEA, DN 200 MM                                                                                                                                                                                                                                                                                                                                                                                                                                                   </t>
  </si>
  <si>
    <t>26,28</t>
  </si>
  <si>
    <t xml:space="preserve">TUBO DE CONCRETO SIMPLES POROSO, MACHO/FEMEA, DN 300 MM                                                                                                                                                                                                                                                                                                                                                                                                                                                   </t>
  </si>
  <si>
    <t xml:space="preserve">TUBO DE CONCRETO SIMPLES, CLASSE ES, PB JE, DN 400 MM, PARA ESGOTO SANITARIO (NBR 8890)                                                                                                                                                                                                                                                                                                                                                                                                                   </t>
  </si>
  <si>
    <t>76,62</t>
  </si>
  <si>
    <t xml:space="preserve">TUBO DE CONCRETO SIMPLES, CLASSE ES, PB JE, DN 500 MM, PARA ESGOTO SANITARIO (NBR 8890)                                                                                                                                                                                                                                                                                                                                                                                                                   </t>
  </si>
  <si>
    <t>115,22</t>
  </si>
  <si>
    <t xml:space="preserve">TUBO DE CONCRETO SIMPLES, CLASSE ES, PB JE, DN 600 MM, PARA ESGOTO SANITARIO (NBR 8890)                                                                                                                                                                                                                                                                                                                                                                                                                   </t>
  </si>
  <si>
    <t>142,06</t>
  </si>
  <si>
    <t xml:space="preserve">TUBO DE CONCRETO SIMPLES, CLASSE- PS1, MACHO/FEMEA, DN 200 MM, PARA AGUAS PLUVIAIS (NBR 8890)                                                                                                                                                                                                                                                                                                                                                                                                             </t>
  </si>
  <si>
    <t xml:space="preserve">TUBO DE CONCRETO SIMPLES, CLASSE- PS1, MACHO/FEMEA, DN 300 MM, PARA AGUAS PLUVIAIS (NBR 8890)                                                                                                                                                                                                                                                                                                                                                                                                             </t>
  </si>
  <si>
    <t>28,63</t>
  </si>
  <si>
    <t xml:space="preserve">TUBO DE CONCRETO SIMPLES, CLASSE- PS1, MACHO/FEMEA, DN 400 MM, PARA AGUAS PLUVIAIS (NBR 8890)                                                                                                                                                                                                                                                                                                                                                                                                             </t>
  </si>
  <si>
    <t>43,85</t>
  </si>
  <si>
    <t xml:space="preserve">TUBO DE CONCRETO SIMPLES, CLASSE- PS1, MACHO/FEMEA, DN 500 MM, PARA AGUAS PLUVIAIS (NBR 8890)                                                                                                                                                                                                                                                                                                                                                                                                             </t>
  </si>
  <si>
    <t>58,16</t>
  </si>
  <si>
    <t xml:space="preserve">TUBO DE CONCRETO SIMPLES, CLASSE- PS1, MACHO/FEMEA, DN 600 MM, PARA AGUAS PLUVIAIS (NBR 8890)                                                                                                                                                                                                                                                                                                                                                                                                             </t>
  </si>
  <si>
    <t>72,99</t>
  </si>
  <si>
    <t xml:space="preserve">TUBO DE CONCRETO SIMPLES, CLASSE- PS1, PB, DN 200 MM, PARA AGUAS PLUVIAIS (NBR 8890)                                                                                                                                                                                                                                                                                                                                                                                                                      </t>
  </si>
  <si>
    <t xml:space="preserve">TUBO DE CONCRETO SIMPLES, CLASSE- PS1, PB, DN 300 MM, PARA AGUAS PLUVIAIS (NBR 8890)                                                                                                                                                                                                                                                                                                                                                                                                                      </t>
  </si>
  <si>
    <t>33,00</t>
  </si>
  <si>
    <t xml:space="preserve">TUBO DE CONCRETO SIMPLES, CLASSE- PS1, PB, DN 400 MM, PARA AGUAS PLUVIAIS (NBR 8890)                                                                                                                                                                                                                                                                                                                                                                                                                      </t>
  </si>
  <si>
    <t>43,62</t>
  </si>
  <si>
    <t xml:space="preserve">TUBO DE CONCRETO SIMPLES, CLASSE- PS1, PB, DN 500 MM, PARA AGUAS PLUVIAIS (NBR 8890)                                                                                                                                                                                                                                                                                                                                                                                                                      </t>
  </si>
  <si>
    <t xml:space="preserve">TUBO DE CONCRETO SIMPLES, CLASSE- PS1, PB, DN 600 MM, PARA AGUAS PLUVIAIS (NBR 8890)                                                                                                                                                                                                                                                                                                                                                                                                                      </t>
  </si>
  <si>
    <t>80,54</t>
  </si>
  <si>
    <t xml:space="preserve">TUBO DE CONCRETO SIMPLES, CLASSE- PS2, PB, DN 200 MM, PARA AGUAS PLUVIAIS (NBR 8890)                                                                                                                                                                                                                                                                                                                                                                                                                      </t>
  </si>
  <si>
    <t>30,76</t>
  </si>
  <si>
    <t xml:space="preserve">TUBO DE CONCRETO SIMPLES, CLASSE- PS2, PB, DN 300 MM, PARA AGUAS PLUVIAIS (NBR 8890)                                                                                                                                                                                                                                                                                                                                                                                                                      </t>
  </si>
  <si>
    <t>35,79</t>
  </si>
  <si>
    <t xml:space="preserve">TUBO DE CONCRETO SIMPLES, CLASSE- PS2, PB, DN 400 MM, PARA AGUAS PLUVIAIS (NBR 8890)                                                                                                                                                                                                                                                                                                                                                                                                                      </t>
  </si>
  <si>
    <t xml:space="preserve">TUBO DE CONCRETO SIMPLES, CLASSE- PS2, PB, DN 500 MM, PARA AGUAS PLUVIAIS (NBR 8890)                                                                                                                                                                                                                                                                                                                                                                                                                      </t>
  </si>
  <si>
    <t>68,23</t>
  </si>
  <si>
    <t xml:space="preserve">TUBO DE CONCRETO SIMPLES, CLASSE- PS2, PB, DN 600 MM, PARA AGUAS PLUVIAIS (NBR 8890)                                                                                                                                                                                                                                                                                                                                                                                                                      </t>
  </si>
  <si>
    <t>88,06</t>
  </si>
  <si>
    <t xml:space="preserve">TUBO DE DESCARGA PVC, PARA LIGACAO CAIXA DE DESCARGA - EMBUTIR, 40 MM X 150 CM                                                                                                                                                                                                                                                                                                                                                                                                                            </t>
  </si>
  <si>
    <t xml:space="preserve">TUBO DE DESCIDA EXTERNO DE PVC PARA CAIXA DE DESCARGA EXTERNA ALTA - 40 MM X 1,60 M                                                                                                                                                                                                                                                                                                                                                                                                                       </t>
  </si>
  <si>
    <t>8,63</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</si>
  <si>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</si>
  <si>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</si>
  <si>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</si>
  <si>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</si>
  <si>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</si>
  <si>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2,82</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</si>
  <si>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</si>
  <si>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</si>
  <si>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</si>
  <si>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</si>
  <si>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</si>
  <si>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</si>
  <si>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</si>
  <si>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</si>
  <si>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(NBR 15561)                                                                                                                                                                                                                                                                                                                                                             </t>
  </si>
  <si>
    <t>3.537,60</t>
  </si>
  <si>
    <t xml:space="preserve">TUBO DE POLIETILENO DE ALTA DENSIDADE, PEAD, PE-80, DE = 110 MM X 10,0 MM PAREDE, ( SDR 11 - PN 12,5 ) PARA REDE DE AGUA OU ESGOTO (NBR 15561)                                                                                                                                                                                                                                                                                                                                                            </t>
  </si>
  <si>
    <t xml:space="preserve">TUBO DE POLIETILENO DE ALTA DENSIDADE, PEAD, PE-80, DE = 1200 MM X 37,2 MM PAREDE ( SDR 32,25 - PN 04 ) PARA REDE DE AGUA OU ESGOTO (NBR 15561)                                                                                                                                                                                                                                                                                                                                                           </t>
  </si>
  <si>
    <t>6.204,41</t>
  </si>
  <si>
    <t xml:space="preserve">TUBO DE POLIETILENO DE ALTA DENSIDADE, PEAD, PE-80, DE = 1400 MM X 42,9 MM PAREDE, (SDR 32,25 - PN 04 ) PARA REDE DE AGUA OU ESGOTO (NBR 15561)                                                                                                                                                                                                                                                                                                                                                           </t>
  </si>
  <si>
    <t>8.466,16</t>
  </si>
  <si>
    <t xml:space="preserve">TUBO DE POLIETILENO DE ALTA DENSIDADE, PEAD, PE-80, DE = 160 MM X 14,6 MM PAREDE, (SDR 11 - PN 12,5 ) PARA REDE DE AGUA OU ESGOTO (NBR 15561)                                                                                                                                                                                                                                                                                                                                                             </t>
  </si>
  <si>
    <t>186,10</t>
  </si>
  <si>
    <t xml:space="preserve">TUBO DE POLIETILENO DE ALTA DENSIDADE, PEAD, PE-80, DE = 1600 MM X 49,0 MM PAREDE, ( SDR 32,25 - PN 04 ) PARA REDE DE AGUA OU ESGOTO (NBR 15561)                                                                                                                                                                                                                                                                                                                                                          </t>
  </si>
  <si>
    <t>8.031,16</t>
  </si>
  <si>
    <t xml:space="preserve">TUBO DE POLIETILENO DE ALTA DENSIDADE, PEAD, PE-80, DE = 900 MM X 34,7 MM PAREDE, ( SDR 26 - PN 05 ) PARA REDE DE AGUA OU ESGOTO (NBR 15561)                                                                                                                                                                                                                                                                                                                                                              </t>
  </si>
  <si>
    <t>3.208,58</t>
  </si>
  <si>
    <t xml:space="preserve">TUBO DE POLIETILENO DE ALTA DENSIDADE, PEAD, PE-80, DE= 200 MM X 18,2 MM PAREDE, ( SDR 11 - PN 12,5 ) PARA REDE DE AGUA OU ESGOTO (NBR 15561)                                                                                                                                                                                                                                                                                                                                                             </t>
  </si>
  <si>
    <t>290,11</t>
  </si>
  <si>
    <t xml:space="preserve">TUBO DE POLIETILENO DE ALTA DENSIDADE, PEAD, PE-80, DE= 315 MM X 28,7 MM PAREDE, ( SDR 11 - PN 12,5 ) PARA REDE DE AGUA OU ESGOTO (NBR 15561)                                                                                                                                                                                                                                                                                                                                                             </t>
  </si>
  <si>
    <t>710,86</t>
  </si>
  <si>
    <t xml:space="preserve">TUBO DE POLIETILENO DE ALTA DENSIDADE, PEAD, PE-80, DE= 400 MM X 36,4 MM PAREDE, ( SDR 11 - PN 12,5 ) PARA REDE DE AGUA OU ESGOTO (NBR 15561)                                                                                                                                                                                                                                                                                                                                                             </t>
  </si>
  <si>
    <t>1.144,94</t>
  </si>
  <si>
    <t xml:space="preserve">TUBO DE POLIETILENO DE ALTA DENSIDADE, PEAD, PE-80, DE= 50 MM X 4,6 MM PAREDE, (SDR 11 - PN 12,5) PARA REDE DE AGUA OU ESGOTO (NBR 15561)                                                                                                                                                                                                                                                                                                                                                                 </t>
  </si>
  <si>
    <t>18,47</t>
  </si>
  <si>
    <t xml:space="preserve">TUBO DE POLIETILENO DE ALTA DENSIDADE, PEAD, PE-80, DE= 500 MM X 45,5 MM PAREDE, ( SDR 11 - PN 12,5 ) PARA REDE DE AGUA OU ESGOTO (NBR 15561)                                                                                                                                                                                                                                                                                                                                                             </t>
  </si>
  <si>
    <t>2.010,09</t>
  </si>
  <si>
    <t xml:space="preserve">TUBO DE POLIETILENO DE ALTA DENSIDADE, PEAD, PE-80, DE= 630 MM X 57,3 MM PAREDE (SDR 11 - PN 12,5 ) PARA REDE DE AGUA OU ESGOTO (NBR 15561)                                                                                                                                                                                                                                                                                                                                                               </t>
  </si>
  <si>
    <t>2.989,56</t>
  </si>
  <si>
    <t xml:space="preserve">TUBO DE POLIETILENO DE ALTA DENSIDADE, PEAD, PE-80, DE= 730 MM X 34,1 MM PAREDE, ( SDR 21 - PN 06 ) PARA REDE DE AGUA OU ESGOTO (NBR 15561)                                                                                                                                                                                                                                                                                                                                                               </t>
  </si>
  <si>
    <t>1.499,19</t>
  </si>
  <si>
    <t xml:space="preserve">TUBO DE POLIETILENO DE ALTA DENSIDADE, PEAD, PE-80, DE= 75 MM X 6,9 MM PAREDE, ( SRD 11 - PN 12,5 ) PARA REDE DE AGUA OU ESGOTO (NBR 15561)                                                                                                                                                                                                                                                                                                                                                               </t>
  </si>
  <si>
    <t xml:space="preserve">TUBO DE POLIETILENO DE ALTA DENSIDADE, PEAD, PE-80, DE= 800 MM X 30,8 MM PAREDE, ( SDR 26 - PN 05 ) PARA REDE DE AGUA OU ESGOTO (NBR 15561)                                                                                                                                                                                                                                                                                                                                                               </t>
  </si>
  <si>
    <t>1.955,94</t>
  </si>
  <si>
    <t xml:space="preserve">TUBO DE PVC, PBL, TIPO LEVE, DN = 125 MM,  PARA VENTILACAO                                                                                                                                                                                                                                                                                                                                                                                                                                                </t>
  </si>
  <si>
    <t xml:space="preserve">TUBO DE PVC, PBL, TIPO LEVE, DN = 250 MM,  PARA VENTILACAO                                                                                                                                                                                                                                                                                                                                                                                                                                                </t>
  </si>
  <si>
    <t>51,89</t>
  </si>
  <si>
    <t xml:space="preserve">TUBO DE PVC, PBL, TIPO LEVE, DN = 300 MM,  PARA VENTILACAO                                                                                                                                                                                                                                                                                                                                                                                                                                                </t>
  </si>
  <si>
    <t>67,59</t>
  </si>
  <si>
    <t xml:space="preserve">TUBO DE PVC, PBL, TIPO LEVE, DN = 400 MM,  PARA VENTILACAO                                                                                                                                                                                                                                                                                                                                                                                                                                                </t>
  </si>
  <si>
    <t>161,32</t>
  </si>
  <si>
    <t xml:space="preserve">TUBO DE REVESTIMENTO, EM ACO, CORPO SCHEDULE 40, PONTEIRA SCHEDULE 80, ROSQUEAVEL E SEGMENTADO PARA PERFURACAO,  DIAMETRO 6'' (200 MM) (COLETADO CAIXA)                                                                                                                                                                                                                                                                                                                                                   </t>
  </si>
  <si>
    <t>363,28</t>
  </si>
  <si>
    <t xml:space="preserve">TUBO DE REVESTIMENTO, EM ACO, CORPO SCHEDULE 40, PONTEIRA SCHEDULE 80, ROSQUEAVEL E SEGMENTADO PARA PERFURACAO, DIAMETRO 10'' (310 MM)  (COLETADO CAIXA)                                                                                                                                                                                                                                                                                                                                                  </t>
  </si>
  <si>
    <t>895,23</t>
  </si>
  <si>
    <t xml:space="preserve">TUBO DE REVESTIMENTO, EM ACO, CORPO SCHEDULE 40, PONTEIRA SCHEDULE 80, ROSQUEAVEL E SEGMENTADO PARA PERFURACAO, DIAMETRO 14'' (400 MM)  (COLETADO CAIXA)                                                                                                                                                                                                                                                                                                                                                  </t>
  </si>
  <si>
    <t>1.642,20</t>
  </si>
  <si>
    <t xml:space="preserve">TUBO DE REVESTIMENTO, EM ACO, CORPO SCHEDULE 40, PONTEIRA SCHEDULE 80, ROSQUEAVEL E SEGMENTADO PARA PERFURACAO, DIAMETRO 16'' (450 MM)  (COLETADO CAIXA)                                                                                                                                                                                                                                                                                                                                                  </t>
  </si>
  <si>
    <t>2.804,37</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</si>
  <si>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</si>
  <si>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</si>
  <si>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16,54</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</si>
  <si>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</si>
  <si>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</si>
  <si>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t>
  </si>
  <si>
    <t xml:space="preserve">TUBO MONOCAMADA PEX, DN 20 MM                                                                                                                                                                                                                                                                                                                                                                                                                                                                             </t>
  </si>
  <si>
    <t xml:space="preserve">TUBO MONOCAMADA PEX, DN 25 MM                                                                                                                                                                                                                                                                                                                                                                                                                                                                             </t>
  </si>
  <si>
    <t xml:space="preserve">TUBO MONOCAMADA PEX, DN 32 MM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</si>
  <si>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</si>
  <si>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</si>
  <si>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</si>
  <si>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</si>
  <si>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</si>
  <si>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</si>
  <si>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</si>
  <si>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109,41</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</si>
  <si>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</si>
  <si>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</si>
  <si>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</si>
  <si>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</si>
  <si>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</si>
  <si>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</si>
  <si>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61,89</t>
  </si>
  <si>
    <t xml:space="preserve">TUBO PPR, CLASSE PN 25, DN 110 MM, PARA AGUA QUENTE E FRIA PREDIAL                                                                                                                                                                                                                                                                                                                                                                                                                                        </t>
  </si>
  <si>
    <t>124,55</t>
  </si>
  <si>
    <t xml:space="preserve">TUBO PPR, CLASSE PN 25, DN 20 MM, PARA AGUA QUENTE E FRIA PREDIAL                                                                                                                                                                                                                                                                                                                                                                                                                                         </t>
  </si>
  <si>
    <t xml:space="preserve">TUBO PPR, CLASSE PN 25, DN 25 MM, PARA AGUA QUENTE E FRIA PREDIAL                                                                                                                                                                                                                                                                                                                                                                                                                                         </t>
  </si>
  <si>
    <t xml:space="preserve">TUBO PPR, CLASSE PN 25, DN 32 MM, PARA AGUA QUENTE E FRIA PREDIAL                                                                                                                                                                                                                                                                                                                                                                                                                                         </t>
  </si>
  <si>
    <t>12,02</t>
  </si>
  <si>
    <t xml:space="preserve">TUBO PPR, CLASSE PN 25, DN 40 MM, PARA AGUA QUENTE E FRIA PREDIAL                                                                                                                                                                                                                                                                                                                                                                                                                                         </t>
  </si>
  <si>
    <t xml:space="preserve">TUBO PPR, CLASSE PN 25, DN 50 MM, PARA AGUA QUENTE E FRIA PREDIAL                                                                                                                                                                                                                                                                                                                                                                                                                                         </t>
  </si>
  <si>
    <t xml:space="preserve">TUBO PPR, CLASSE PN 25, DN 63 MM, PARA AGUA QUENTE E FRIA PREDIAL                                                                                                                                                                                                                                                                                                                                                                                                                                         </t>
  </si>
  <si>
    <t>32,11</t>
  </si>
  <si>
    <t xml:space="preserve">TUBO PPR, CLASSE PN 25, DN 75 MM, PARA AGUA QUENTE E FRIA PREDIAL                                                                                                                                                                                                                                                                                                                                                                                                                                         </t>
  </si>
  <si>
    <t>61,93</t>
  </si>
  <si>
    <t xml:space="preserve">TUBO PPR, CLASSE PN 25, DN 90 MM, PARA AGUA QUENTE E FRIA PREDIAL                                                                                                                                                                                                                                                                                                                                                                                                                                         </t>
  </si>
  <si>
    <t>91,68</t>
  </si>
  <si>
    <t xml:space="preserve">TUBO PVC  SERIE NORMAL, DN 100 MM, PARA ESGOTO  PREDIAL (NBR 5688)                                                                                                                                                                                                                                                                                                                                                                                                                                        </t>
  </si>
  <si>
    <t xml:space="preserve">TUBO PVC  SERIE NORMAL, DN 150 MM, PARA ESGOTO  PREDIAL (NBR 5688)                                                                                                                                                                                                                                                                                                                                                                                                                                        </t>
  </si>
  <si>
    <t>24,71</t>
  </si>
  <si>
    <t xml:space="preserve">TUBO PVC  SERIE NORMAL, DN 40 MM, PARA ESGOTO  PREDIAL (NBR 5688)                                                                                                                                                                                                                                                                                                                                                                                                                                         </t>
  </si>
  <si>
    <t>3,48</t>
  </si>
  <si>
    <t xml:space="preserve">TUBO PVC CORRUGADO, PAREDE DUPLA, JE, DN 150 MM, REDE COLETORA ESGOTO                                                                                                                                                                                                                                                                                                                                                                                                                                     </t>
  </si>
  <si>
    <t xml:space="preserve">TUBO PVC CORRUGADO, PAREDE DUPLA, JE, DN 200 MM, REDE COLETORA ESGOTO                                                                                                                                                                                                                                                                                                                                                                                                                                     </t>
  </si>
  <si>
    <t>47,19</t>
  </si>
  <si>
    <t xml:space="preserve">TUBO PVC CORRUGADO, PAREDE DUPLA, JE, DN 250 MM, REDE COLETORA ESGOTO                                                                                                                                                                                                                                                                                                                                                                                                                                     </t>
  </si>
  <si>
    <t>78,07</t>
  </si>
  <si>
    <t xml:space="preserve">TUBO PVC CORRUGADO, PAREDE DUPLA, JE, DN 300 MM, REDE COLETORA ESGOTO                                                                                                                                                                                                                                                                                                                                                                                                                                     </t>
  </si>
  <si>
    <t xml:space="preserve">TUBO PVC CORRUGADO, PAREDE DUPLA, JE, DN 350 MM, REDE COLETORA ESGOTO                                                                                                                                                                                                                                                                                                                                                                                                                                     </t>
  </si>
  <si>
    <t>153,51</t>
  </si>
  <si>
    <t xml:space="preserve">TUBO PVC CORRUGADO, PAREDE DUPLA, JE, DN 400 MM, REDE COLETORA ESGOTO                                                                                                                                                                                                                                                                                                                                                                                                                                     </t>
  </si>
  <si>
    <t>178,00</t>
  </si>
  <si>
    <t xml:space="preserve">TUBO PVC DE REVESTIMENTO GEOMECANICO NERVURADO REFORCADO, DN = 150 MM, COMPRIMENTO = 2 M                                                                                                                                                                                                                                                                                                                                                                                                                  </t>
  </si>
  <si>
    <t>95,50</t>
  </si>
  <si>
    <t xml:space="preserve">TUBO PVC DE REVESTIMENTO GEOMECANICO NERVURADO REFORCADO, DN = 200 MM, COMPRIMENTO = 2 M                                                                                                                                                                                                                                                                                                                                                                                                                  </t>
  </si>
  <si>
    <t>169,83</t>
  </si>
  <si>
    <t xml:space="preserve">TUBO PVC DE REVESTIMENTO GEOMECANICO NERVURADO STANDARD, DN = 154 MM, COMPRIMENTO = 2 M                                                                                                                                                                                                                                                                                                                                                                                                                   </t>
  </si>
  <si>
    <t xml:space="preserve">TUBO PVC DE REVESTIMENTO GEOMECANICO NERVURADO STANDARD, DN = 206 MM, COMPRIMENTO = 2 M                                                                                                                                                                                                                                                                                                                                                                                                                   </t>
  </si>
  <si>
    <t>129,03</t>
  </si>
  <si>
    <t xml:space="preserve">TUBO PVC DE REVESTIMENTO GEOMECANICO NERVURADO STANDARD, DN = 250 MM, COMPRIMENTO = 2 M                                                                                                                                                                                                                                                                                                                                                                                                                   </t>
  </si>
  <si>
    <t>215,81</t>
  </si>
  <si>
    <t xml:space="preserve">TUBO PVC DEFOFO, JEI, 1 MPA, DN 100 MM, PARA REDE DE AGUA (NBR 7665)                                                                                                                                                                                                                                                                                                                                                                                                                                      </t>
  </si>
  <si>
    <t>32,33</t>
  </si>
  <si>
    <t xml:space="preserve">TUBO PVC DEFOFO, JEI, 1 MPA, DN 150 MM, PARA REDE DE  AGUA (NBR 7665)                                                                                                                                                                                                                                                                                                                                                                                                                                     </t>
  </si>
  <si>
    <t xml:space="preserve">TUBO PVC DEFOFO, JEI, 1 MPA, DN 200 MM, PARA REDE DE AGUA (NBR 7665)                                                                                                                                                                                                                                                                                                                                                                                                                                      </t>
  </si>
  <si>
    <t>147,46</t>
  </si>
  <si>
    <t xml:space="preserve">TUBO PVC DEFOFO, JEI, 1 MPA, DN 250 MM, PARA REDE DE AGUA (NBR 7665)                                                                                                                                                                                                                                                                                                                                                                                                                                      </t>
  </si>
  <si>
    <t>224,48</t>
  </si>
  <si>
    <t xml:space="preserve">TUBO PVC DEFOFO, JEI, 1 MPA, DN 300 MM, PARA REDE DE AGUA (NBR 7665)                                                                                                                                                                                                                                                                                                                                                                                                                                      </t>
  </si>
  <si>
    <t>318,77</t>
  </si>
  <si>
    <t xml:space="preserve">TUBO PVC PBA JEI, CLASSE 12, DN 100 MM, PARA REDE DE AGUA (NBR 5647)                                                                                                                                                                                                                                                                                                                                                                                                                                      </t>
  </si>
  <si>
    <t>38,75</t>
  </si>
  <si>
    <t xml:space="preserve">TUBO PVC PBA JEI, CLASSE 12, DN 50 MM, PARA REDE DE AGUA (NBR 5647)                                                                                                                                                                                                                                                                                                                                                                                                                                       </t>
  </si>
  <si>
    <t>11,48</t>
  </si>
  <si>
    <t xml:space="preserve">TUBO PVC PBA JEI, CLASSE 12, DN 75 MM, PARA REDE DE AGUA (NBR 5647)                                                                                                                                                                                                                                                                                                                                                                                                                                       </t>
  </si>
  <si>
    <t>23,84</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</si>
  <si>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</si>
  <si>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</si>
  <si>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</si>
  <si>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</si>
  <si>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</si>
  <si>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17,41</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</si>
  <si>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</si>
  <si>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</si>
  <si>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</si>
  <si>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</si>
  <si>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FLEXIVEL, CORRUGADO, PERFURADO, DN 110 MM, PARA DRENAGEM, SISTEMA IRRIGACAO                                                                                                                                                                                                                                                                                                                                                                                                                     </t>
  </si>
  <si>
    <t xml:space="preserve">TUBO PVC, FLEXIVEL, CORRUGADO, PERFURADO, DN 65 MM, PARA DRENAGEM, SISTEMA IRRIGACAO                                                                                                                                                                                                                                                                                                                                                                                                                      </t>
  </si>
  <si>
    <t xml:space="preserve">TUBO PVC, RIGIDO, CORRUGADO, PERFURADO, DN 150 MM, PARA DRENAGEM, SISTEMA IRRIGACAO                                                                                                                                                                                                                                                                                                                                                                                                                       </t>
  </si>
  <si>
    <t xml:space="preserve">TUBO PVC, ROSCAVEL,  2 1/2", AGUA FRIA PREDIAL                                                                                                                                                                                                                                                                                                                                                                                                                                                            </t>
  </si>
  <si>
    <t>53,50</t>
  </si>
  <si>
    <t xml:space="preserve">TUBO PVC, ROSCAVEL,  2", PARA AGUA FRIA PREDIAL                                                                                                                                                                                                                                                                                                                                                                                                                                                           </t>
  </si>
  <si>
    <t>34,35</t>
  </si>
  <si>
    <t xml:space="preserve">TUBO PVC, ROSCAVEL, 1 1/2",  AGUA FRIA PREDIAL                                                                                                                                                                                                                                                                                                                                                                                                                                                            </t>
  </si>
  <si>
    <t>24,23</t>
  </si>
  <si>
    <t xml:space="preserve">TUBO PVC, ROSCAVEL, 1 1/4", AGUA FRIA PREDIAL                                                                                                                                                                                                                                                                                                                                                                                                                                                             </t>
  </si>
  <si>
    <t>19,48</t>
  </si>
  <si>
    <t xml:space="preserve">TUBO PVC, ROSCAVEL, 1/2", AGUA FRIA PREDIAL                                                                                                                                                                                                                                                                                                                                                                                                                                                               </t>
  </si>
  <si>
    <t xml:space="preserve">TUBO PVC, ROSCAVEL, 1", AGUA FRIA PREDIAL                                                                                                                                                                                                                                                                                                                                                                                                                                                                 </t>
  </si>
  <si>
    <t xml:space="preserve">TUBO PVC, ROSCAVEL, 3", AGUA FRIA PREDIAL                                                                                                                                                                                                                                                                                                                                                                                                                                                                 </t>
  </si>
  <si>
    <t xml:space="preserve">TUBO PVC, ROSCAVEL, 4",  AGUA FRIA PREDIAL                                                                                                                                                                                                                                                                                                                                                                                                                                                                </t>
  </si>
  <si>
    <t>83,54</t>
  </si>
  <si>
    <t xml:space="preserve">TUBO PVC, ROSCAVEL, 5",  AGUA FRIA PREDIAL                                                                                                                                                                                                                                                                                                                                                                                                                                                                </t>
  </si>
  <si>
    <t>120,14</t>
  </si>
  <si>
    <t xml:space="preserve">TUBO PVC, ROSCAVEL, 6",  AGUA FRIA PREDIAL                                                                                                                                                                                                                                                                                                                                                                                                                                                                </t>
  </si>
  <si>
    <t>125,95</t>
  </si>
  <si>
    <t xml:space="preserve">TUBO PVC, SERIE R, DN 100 MM, PARA ESGOTO OU AGUAS PLUVIAIS PREDIAL (NBR 5688)                                                                                                                                                                                                                                                                                                                                                                                                                            </t>
  </si>
  <si>
    <t xml:space="preserve">TUBO PVC, SERIE R, DN 150 MM, PARA ESGOTO OU AGUAS PLUVIAIS PREDIAL (NBR 5688)                                                                                                                                                                                                                                                                                                                                                                                                                            </t>
  </si>
  <si>
    <t>48,45</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</si>
  <si>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</si>
  <si>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</si>
  <si>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</si>
  <si>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DN 110 MM, AGUA FRIA (NBR-5648)                                                                                                                                                                                                                                                                                                                                                                                                                                                       </t>
  </si>
  <si>
    <t xml:space="preserve">TUBO PVC, SOLDAVEL, DN 20 MM, AGUA FRIA (NBR-5648)                                                                                                                                                                                                                                                                                                                                                                                                                                                        </t>
  </si>
  <si>
    <t xml:space="preserve">TUBO PVC, SOLDAVEL, DN 25 MM, AGUA FRIA (NBR-5648)                                                                                                                                                                                                                                                                                                                                                                                                                                                        </t>
  </si>
  <si>
    <t xml:space="preserve">TUBO PVC, SOLDAVEL, DN 32 MM, AGUA FRIA (NBR-5648)                                                                                                                                                                                                                                                                                                                                                                                                                                                        </t>
  </si>
  <si>
    <t xml:space="preserve">TUBO PVC, SOLDAVEL, DN 40 MM, AGUA FRIA (NBR-5648)                                                                                                                                                                                                                                                                                                                                                                                                                                                        </t>
  </si>
  <si>
    <t xml:space="preserve">TUBO PVC, SOLDAVEL, DN 50 MM, PARA AGUA FRIA (NBR-5648)                                                                                                                                                                                                                                                                                                                                                                                                                                                   </t>
  </si>
  <si>
    <t>10,30</t>
  </si>
  <si>
    <t xml:space="preserve">TUBO PVC, SOLDAVEL, DN 60 MM, AGUA FRIA (NBR-5648)                                                                                                                                                                                                                                                                                                                                                                                                                                                        </t>
  </si>
  <si>
    <t>17,37</t>
  </si>
  <si>
    <t xml:space="preserve">TUBO PVC, SOLDAVEL, DN 75 MM, AGUA FRIA (NBR-5648)                                                                                                                                                                                                                                                                                                                                                                                                                                                        </t>
  </si>
  <si>
    <t>29,10</t>
  </si>
  <si>
    <t xml:space="preserve">TUBO PVC, SOLDAVEL, DN 85 MM, AGUA FRIA (NBR-5648)                                                                                                                                                                                                                                                                                                                                                                                                                                                        </t>
  </si>
  <si>
    <t xml:space="preserve">TUBO 26" EM CHAPA PRETA, E= 3/16", 147 KG/6 M                                                                                                                                                                                                                                                                                                                                                                                                                                                             </t>
  </si>
  <si>
    <t>1.535,49</t>
  </si>
  <si>
    <t xml:space="preserve">TUBO 30" EM CHAPA PRETA, E= 1/4", 175 KG/6 M                                                                                                                                                                                                                                                                                                                                                                                                                                                              </t>
  </si>
  <si>
    <t>1.957,39</t>
  </si>
  <si>
    <t xml:space="preserve">TUBO 30" EM CHAPA PRETA, E= 3/8", 177 KG/6 M                                                                                                                                                                                                                                                                                                                                                                                                                                                              </t>
  </si>
  <si>
    <t>1.979,76</t>
  </si>
  <si>
    <t xml:space="preserve">UNIAO COM ASSENTO CONICO DE BRONZE, DIAMETRO 1/2"                                                                                                                                                                                                                                                                                                                                                                                                                                                         </t>
  </si>
  <si>
    <t xml:space="preserve">UNIAO COM ASSENTO CONICO DE BRONZE, DIAMETRO 1"                                                                                                                                                                                                                                                                                                                                                                                                                                                           </t>
  </si>
  <si>
    <t>33,05</t>
  </si>
  <si>
    <t xml:space="preserve">UNIAO COM ASSENTO CONICO DE BRONZE, DIAMETRO 2 1/2"                                                                                                                                                                                                                                                                                                                                                                                                                                                       </t>
  </si>
  <si>
    <t xml:space="preserve">UNIAO COM ASSENTO CONICO DE BRONZE, DIAMETRO 2'                                                                                                                                                                                                                                                                                                                                                                                                                                                           </t>
  </si>
  <si>
    <t>88,05</t>
  </si>
  <si>
    <t xml:space="preserve">UNIAO COM ASSENTO CONICO DE BRONZE, DIAMETRO 3/4"                                                                                                                                                                                                                                                                                                                                                                                                                                                         </t>
  </si>
  <si>
    <t>29,49</t>
  </si>
  <si>
    <t xml:space="preserve">UNIAO COM ASSENTO CONICO DE BRONZE, DIAMETRO 3"                                                                                                                                                                                                                                                                                                                                                                                                                                                           </t>
  </si>
  <si>
    <t>221,82</t>
  </si>
  <si>
    <t xml:space="preserve">UNIAO COM ASSENTO CONICO DE BRONZE, DIAMETRO 4"                                                                                                                                                                                                                                                                                                                                                                                                                                                           </t>
  </si>
  <si>
    <t>377,50</t>
  </si>
  <si>
    <t xml:space="preserve">UNIAO COM ASSENTO CONICO DE FERRO LONGO (MACHO-FEMEA), DIAMETRO 1 1/2"                                                                                                                                                                                                                                                                                                                                                                                                                                    </t>
  </si>
  <si>
    <t xml:space="preserve">UNIAO COM ASSENTO CONICO DE FERRO LONGO (MACHO-FEMEA), DIAMETRO 1/2"                                                                                                                                                                                                                                                                                                                                                                                                                                      </t>
  </si>
  <si>
    <t xml:space="preserve">UNIAO COM ASSENTO CONICO DE FERRO LONGO (MACHO-FEMEA), DIAMETRO 1"                                                                                                                                                                                                                                                                                                                                                                                                                                        </t>
  </si>
  <si>
    <t>49,42</t>
  </si>
  <si>
    <t xml:space="preserve">UNIAO COM ASSENTO CONICO DE FERRO LONGO (MACHO-FEMEA), DIAMETRO 2 1/2"                                                                                                                                                                                                                                                                                                                                                                                                                                    </t>
  </si>
  <si>
    <t>152,96</t>
  </si>
  <si>
    <t xml:space="preserve">UNIAO COM ASSENTO CONICO DE FERRO LONGO (MACHO-FEMEA), DIAMETRO 2"                                                                                                                                                                                                                                                                                                                                                                                                                                        </t>
  </si>
  <si>
    <t>123,53</t>
  </si>
  <si>
    <t xml:space="preserve">UNIAO COM ASSENTO CONICO DE FERRO LONGO (MACHO-FEMEA), DIAMETRO 3/4"                                                                                                                                                                                                                                                                                                                                                                                                                                      </t>
  </si>
  <si>
    <t>39,65</t>
  </si>
  <si>
    <t xml:space="preserve">UNIAO COM ASSENTO CONICO DE FERRO LONGO (MACHO-FEMEA), DIAMETRO 3'                                                                                                                                                                                                                                                                                                                                                                                                                                        </t>
  </si>
  <si>
    <t>223,56</t>
  </si>
  <si>
    <t xml:space="preserve">UNIAO COM ASSENTO CONICO DE FERRO LONGO (MACHO-FEMEA), DIAMETRO 4"                                                                                                                                                                                                                                                                                                                                                                                                                                        </t>
  </si>
  <si>
    <t>282,41</t>
  </si>
  <si>
    <t xml:space="preserve">UNIAO COM FLANGE PPR, DN 40 MM, PARA AGUA QUENTE PREDIAL                                                                                                                                                                                                                                                                                                                                                                                                                                                  </t>
  </si>
  <si>
    <t xml:space="preserve">UNIAO DE FERRO GALVANIZADO, COM ASSENTO CONICO DE BRONZE, DE 1 1/2"                                                                                                                                                                                                                                                                                                                                                                                                                                       </t>
  </si>
  <si>
    <t xml:space="preserve">UNIAO DE FERRO GALVANIZADO, COM ASSENTO CONICO DE BRONZE, DE 1 1/4"                                                                                                                                                                                                                                                                                                                                                                                                                                       </t>
  </si>
  <si>
    <t>49,18</t>
  </si>
  <si>
    <t xml:space="preserve">UNIAO DE FERRO GALVANIZADO, COM ROSCA BSP, COM ASSENTO PLANO, DE 1 1/2"                                                                                                                                                                                                                                                                                                                                                                                                                                   </t>
  </si>
  <si>
    <t>36,69</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</si>
  <si>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</si>
  <si>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</si>
  <si>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</si>
  <si>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</si>
  <si>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89,26</t>
  </si>
  <si>
    <t xml:space="preserve">UNIAO DE FERRO GALVANIZADO, COM ROSCA BSP, COM ASSENTO PLANO, DE 2"                                                                                                                                                                                                                                                                                                                                                                                                                                       </t>
  </si>
  <si>
    <t>53,95</t>
  </si>
  <si>
    <t xml:space="preserve">UNIAO DE FERRO GALVANIZADO, COM ROSCA BSP, COM ASSENTO PLANO, DE 3/4"                                                                                                                                                                                                                                                                                                                                                                                                                                     </t>
  </si>
  <si>
    <t xml:space="preserve">UNIAO DE FERRO GALVANIZADO, COM ROSCA BSP, COM ASSENTO PLANO, DE 3"                                                                                                                                                                                                                                                                                                                                                                                                                                       </t>
  </si>
  <si>
    <t>138,28</t>
  </si>
  <si>
    <t xml:space="preserve">UNIAO DE FERRO GALVANIZADO, COM ROSCA BSP, COM ASSENTO PLANO, DE 4"                                                                                                                                                                                                                                                                                                                                                                                                                                       </t>
  </si>
  <si>
    <t>194,13</t>
  </si>
  <si>
    <t xml:space="preserve">UNIAO DE REDUCAO METALICA, PARA CONEXAO COM ANEL DESLIZANTE EM TUBO PEX, DN 20 X 16 MM                                                                                                                                                                                                                                                                                                                                                                                                                    </t>
  </si>
  <si>
    <t xml:space="preserve">UNIAO DE REDUCAO METALICA, PARA CONEXAO COM ANEL DESLIZANTE EM TUBO PEX, DN 25 X 16 MM                                                                                                                                                                                                                                                                                                                                                                                                                    </t>
  </si>
  <si>
    <t xml:space="preserve">UNIAO DE REDUCAO METALICA, PARA CONEXAO COM ANEL DESLIZANTE EM TUBO PEX, DN 25 X 20 MM                                                                                                                                                                                                                                                                                                                                                                                                                    </t>
  </si>
  <si>
    <t xml:space="preserve">UNIAO DE REDUCAO METALICA, PARA CONEXAO COM ANEL DESLIZANTE EM TUBO PEX, DN 32 X 25 MM                                                                                                                                                                                                                                                                                                                                                                                                                    </t>
  </si>
  <si>
    <t xml:space="preserve">UNIAO DUPLA PPR DN 20 MM, PARA AGUA QUENTE PREDIAL                                                                                                                                                                                                                                                                                                                                                                                                                                                        </t>
  </si>
  <si>
    <t>22,35</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</si>
  <si>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</si>
  <si>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</si>
  <si>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</si>
  <si>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METALICA, PARA CONEXAO COM ANEL DESLIZANTE EM TUBO PEX, DN 16 MM                                                                                                                                                                                                                                                                                                                                                                                                                                    </t>
  </si>
  <si>
    <t>5,67</t>
  </si>
  <si>
    <t xml:space="preserve">UNIAO METALICA, PARA CONEXAO COM ANEL DESLIZANTE EM TUBO PEX, DN 20 MM                                                                                                                                                                                                                                                                                                                                                                                                                                    </t>
  </si>
  <si>
    <t xml:space="preserve">UNIAO METALICA, PARA CONEXAO COM ANEL DESLIZANTE EM TUBO PEX, DN 25 MM                                                                                                                                                                                                                                                                                                                                                                                                                                    </t>
  </si>
  <si>
    <t>14,27</t>
  </si>
  <si>
    <t xml:space="preserve">UNIAO METALICA, PARA CONEXAO COM ANEL DESLIZANTE EM TUBO PEX, DN 32 MM                                                                                                                                                                                                                                                                                                                                                                                                                                    </t>
  </si>
  <si>
    <t>24,29</t>
  </si>
  <si>
    <t xml:space="preserve">UNIAO PVC, ROSCAVEL 1/2",  AGUA FRIA PREDIAL                                                                                                                                                                                                                                                                                                                                                                                                                                                              </t>
  </si>
  <si>
    <t xml:space="preserve">UNIAO PVC, ROSCAVEL 2",  AGUA FRIA PREDIAL                                                                                                                                                                                                                                                                                                                                                                                                                                                                </t>
  </si>
  <si>
    <t>63,46</t>
  </si>
  <si>
    <t xml:space="preserve">UNIAO PVC, ROSCAVEL, 1 1/2",  AGUA FRIA PREDIAL                                                                                                                                                                                                                                                                                                                                                                                                                                                           </t>
  </si>
  <si>
    <t xml:space="preserve">UNIAO PVC, ROSCAVEL, 1 1/4",  AGUA FRIA PREDIAL                                                                                                                                                                                                                                                                                                                                                                                                                                                           </t>
  </si>
  <si>
    <t>25,38</t>
  </si>
  <si>
    <t xml:space="preserve">UNIAO PVC, ROSCAVEL, 1",  AGUA FRIA PREDIAL                                                                                                                                                                                                                                                                                                                                                                                                                                                               </t>
  </si>
  <si>
    <t>15,40</t>
  </si>
  <si>
    <t xml:space="preserve">UNIAO PVC, ROSCAVEL, 2 1/2",  AGUA FRIA PREDIAL                                                                                                                                                                                                                                                                                                                                                                                                                                                           </t>
  </si>
  <si>
    <t>130,48</t>
  </si>
  <si>
    <t xml:space="preserve">UNIAO PVC, ROSCAVEL, 3/4",  AGUA FRIA PREDIAL                                                                                                                                                                                                                                                                                                                                                                                                                                                             </t>
  </si>
  <si>
    <t xml:space="preserve">UNIAO PVC, ROSCAVEL, 3",  AGUA FRIA PREDIAL                                                                                                                                                                                                                                                                                                                                                                                                                                                               </t>
  </si>
  <si>
    <t>165,24</t>
  </si>
  <si>
    <t xml:space="preserve">UNIAO PVC, SOLDAVEL, 110 MM,  PARA AGUA FRIA PREDIAL                                                                                                                                                                                                                                                                                                                                                                                                                                                      </t>
  </si>
  <si>
    <t>329,47</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</si>
  <si>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</si>
  <si>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</si>
  <si>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</si>
  <si>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</si>
  <si>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21,08</t>
  </si>
  <si>
    <t xml:space="preserve">UNIAO PVC, SOLDAVEL, 50 MM,  PARA AGUA FRIA PREDIAL                                                                                                                                                                                                                                                                                                                                                                                                                                                       </t>
  </si>
  <si>
    <t xml:space="preserve">UNIAO PVC, SOLDAVEL, 60 MM,  PARA AGUA FRIA PREDIAL                                                                                                                                                                                                                                                                                                                                                                                                                                                       </t>
  </si>
  <si>
    <t xml:space="preserve">UNIAO PVC, SOLDAVEL, 75 MM,  PARA AGUA FRIA PREDIAL                                                                                                                                                                                                                                                                                                                                                                                                                                                       </t>
  </si>
  <si>
    <t>115,94</t>
  </si>
  <si>
    <t xml:space="preserve">UNIAO PVC, SOLDAVEL, 85 MM,  PARA AGUA FRIA PREDIAL                                                                                                                                                                                                                                                                                                                                                                                                                                                       </t>
  </si>
  <si>
    <t xml:space="preserve">UNIAO TIPO STORZ, COM EMPATACAO INTERNA TIPO ANEL DE EXPANSAO, ENGATE RAPIDO 1 1/2", PARA MANGUEIRA DE COMBATE A INCENDIO PREDIAL                                                                                                                                                                                                                                                                                                                                                                         </t>
  </si>
  <si>
    <t>61,24</t>
  </si>
  <si>
    <t xml:space="preserve">UNIAO TIPO STORZ, COM EMPATACAO INTERNA TIPO ANEL DE EXPANSAO, ENGATE RAPIDO 2 1/2", PARA MANGUEIRA DE COMBATE A INCENDIO PREDIAL                                                                                                                                                                                                                                                                                                                                                                         </t>
  </si>
  <si>
    <t>87,61</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</si>
  <si>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</si>
  <si>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</si>
  <si>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</si>
  <si>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</si>
  <si>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</si>
  <si>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</si>
  <si>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57,35</t>
  </si>
  <si>
    <t xml:space="preserve">UNIAO, CPVC, SOLDAVEL, 73 MM, PARA AGUA QUENTE PREDIAL                                                                                                                                                                                                                                                                                                                                                                                                                                                    </t>
  </si>
  <si>
    <t>83,24</t>
  </si>
  <si>
    <t xml:space="preserve">UNIAO, CPVC, SOLDAVEL, 89 MM, PARA AGUA QUENTE PREDIAL                                                                                                                                                                                                                                                                                                                                                                                                                                                    </t>
  </si>
  <si>
    <t>122,73</t>
  </si>
  <si>
    <t xml:space="preserve">USINA DE ASFALTO A FRIO, CAPACIDADE DE 30 A 40 T/H, ELETRICA, POTENCIA DE 30 CV                                                                                                                                                                                                                                                                                                                                                                                                                           </t>
  </si>
  <si>
    <t>79.853,28</t>
  </si>
  <si>
    <t xml:space="preserve">USINA DE ASFALTO A FRIO, CAPACIDADE DE 40 A 60 T/H, ELETRICA, POTENCIA DE 30 CV                                                                                                                                                                                                                                                                                                                                                                                                                           </t>
  </si>
  <si>
    <t>99.456,21</t>
  </si>
  <si>
    <t xml:space="preserve">USINA DE ASFALTO A QUENTE, FIXA, TIPO CONTRA FLUXO, CAPACIDADE DE 100 A 140 T/H, POTENCIA DE 280 KW, COM MISTURADOR EXTERNO ROTATIVO                                                                                                                                                                                                                                                                                                                                                                      </t>
  </si>
  <si>
    <t>1.934.621,64</t>
  </si>
  <si>
    <t xml:space="preserve">USINA DE ASFALTO, GRAVIMETRICA, CAPACIDADE DE 150 T/H, POTENCIA DE 400 KW                                                                                                                                                                                                                                                                                                                                                                                                                                 </t>
  </si>
  <si>
    <t>5.093.790,50</t>
  </si>
  <si>
    <t xml:space="preserve">USINA DE CONCRETO FIXA, CAPACIDADE NOMINAL DE 40 M3/H, SEM SILO                                                                                                                                                                                                                                                                                                                                                                                                                                           </t>
  </si>
  <si>
    <t>392.649,25</t>
  </si>
  <si>
    <t xml:space="preserve">USINA DE CONCRETO FIXA, CAPACIDADE NOMINAL DE 60 M3/H, SEM SILO                                                                                                                                                                                                                                                                                                                                                                                                                                           </t>
  </si>
  <si>
    <t>527.982,35</t>
  </si>
  <si>
    <t xml:space="preserve">USINA DE CONCRETO FIXA, CAPACIDADE NOMINAL DE 80 M3/H, SEM SILO                                                                                                                                                                                                                                                                                                                                                                                                                                           </t>
  </si>
  <si>
    <t>647.029,46</t>
  </si>
  <si>
    <t xml:space="preserve">USINA DE CONCRETO FIXA, CAPACIDADE NOMINAL DE 90 A 120 M3/H, SEM SILO                                                                                                                                                                                                                                                                                                                                                                                                                                     </t>
  </si>
  <si>
    <t>700.000,00</t>
  </si>
  <si>
    <t xml:space="preserve">USINA DE LAMA ASFALTICA, PROD 30 A 50 T/H, SILO DE AGREGADO 7 M3, RESERVATORIOS PARA EMULSAO E AGUA DE 2,3 M3 CADA, MISTURADOR TIPO PUGG-MILL A SER MONTADO SOBRE CAMINHAO                                                                                                                                                                                                                                                                                                                                </t>
  </si>
  <si>
    <t>424.438,89</t>
  </si>
  <si>
    <t xml:space="preserve">USINA DE MISTURAS ASFALTICAS A QUENTE, MOVEL, TIPO CONTRA FLUXO, CAPACIDADE DE 40 A 80 T/H                                                                                                                                                                                                                                                                                                                                                                                                                </t>
  </si>
  <si>
    <t>1.575.000,00</t>
  </si>
  <si>
    <t xml:space="preserve">USINA MISTURADORA DE SOLOS,  DOSADORES TRIPLOS, CALHA VIBRATORIA CAPACIDADE DE 200 A 500 T/H, POTENCIA DE 75 KW                                                                                                                                                                                                                                                                                                                                                                                           </t>
  </si>
  <si>
    <t>812.459,49</t>
  </si>
  <si>
    <t xml:space="preserve">VALVULA DE DESCARGA EM METAL CROMADO PARA MICTORIO COM ACIONAMENTO POR PRESSAO E FECHAMENTO AUTOMATICO                                                                                                                                                                                                                                                                                                                                                                                                    </t>
  </si>
  <si>
    <t>141,99</t>
  </si>
  <si>
    <t xml:space="preserve">VALVULA DE DESCARGA METALICA, BASE 1 1/2 " E ACABAMENTO METALICO CROMADO                                                                                                                                                                                                                                                                                                                                                                                                                                  </t>
  </si>
  <si>
    <t>164,95</t>
  </si>
  <si>
    <t xml:space="preserve">VALVULA DE DESCARGA METALICA, BASE 1 1/4 " E ACABAMENTO METALICO CROMADO                                                                                                                                                                                                                                                                                                                                                                                                                                  </t>
  </si>
  <si>
    <t xml:space="preserve">VALVULA DE ESFERA BRUTA EM BRONZE, BITOLA 1 " (REF 1552-B)                                                                                                                                                                                                                                                                                                                                                                                                                                                </t>
  </si>
  <si>
    <t>58,91</t>
  </si>
  <si>
    <t xml:space="preserve">VALVULA DE ESFERA BRUTA EM BRONZE, BITOLA 1 1/2 " (REF 1552-B)                                                                                                                                                                                                                                                                                                                                                                                                                                            </t>
  </si>
  <si>
    <t>105,81</t>
  </si>
  <si>
    <t xml:space="preserve">VALVULA DE ESFERA BRUTA EM BRONZE, BITOLA 1 1/4 " (REF 1552-B)                                                                                                                                                                                                                                                                                                                                                                                                                                            </t>
  </si>
  <si>
    <t xml:space="preserve">VALVULA DE ESFERA BRUTA EM BRONZE, BITOLA 1/2 " (REF 1552-B)                                                                                                                                                                                                                                                                                                                                                                                                                                              </t>
  </si>
  <si>
    <t xml:space="preserve">VALVULA DE ESFERA BRUTA EM BRONZE, BITOLA 2 " (REF 1552-B)                                                                                                                                                                                                                                                                                                                                                                                                                                                </t>
  </si>
  <si>
    <t>163,16</t>
  </si>
  <si>
    <t xml:space="preserve">VALVULA DE ESFERA BRUTA EM BRONZE, BITOLA 3/4 " (REF 1552-B)                                                                                                                                                                                                                                                                                                                                                                                                                                              </t>
  </si>
  <si>
    <t>43,64</t>
  </si>
  <si>
    <t xml:space="preserve">VALVULA DE RETENCAO DE BRONZE, PE COM CRIVOS, EXTREMIDADE COM ROSCA, DE 1 1/2", PARA FUNDO DE POCO                                                                                                                                                                                                                                                                                                                                                                                                        </t>
  </si>
  <si>
    <t>51,58</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</si>
  <si>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</si>
  <si>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</si>
  <si>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</si>
  <si>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139,64</t>
  </si>
  <si>
    <t xml:space="preserve">VALVULA DE RETENCAO DE BRONZE, PE COM CRIVOS, EXTREMIDADE COM ROSCA, DE 2", PARA FUNDO DE POCO                                                                                                                                                                                                                                                                                                                                                                                                            </t>
  </si>
  <si>
    <t>78,14</t>
  </si>
  <si>
    <t xml:space="preserve">VALVULA DE RETENCAO DE BRONZE, PE COM CRIVOS, EXTREMIDADE COM ROSCA, DE 3/4", PARA FUNDO DE POCO                                                                                                                                                                                                                                                                                                                                                                                                          </t>
  </si>
  <si>
    <t xml:space="preserve">VALVULA DE RETENCAO DE BRONZE, PE COM CRIVOS, EXTREMIDADE COM ROSCA, DE 3", PARA FUNDO DE POCO                                                                                                                                                                                                                                                                                                                                                                                                            </t>
  </si>
  <si>
    <t>191,43</t>
  </si>
  <si>
    <t xml:space="preserve">VALVULA DE RETENCAO DE BRONZE, PE COM CRIVOS, EXTREMIDADE COM ROSCA, DE 4", PARA FUNDO DE POCO                                                                                                                                                                                                                                                                                                                                                                                                            </t>
  </si>
  <si>
    <t>336,91</t>
  </si>
  <si>
    <t xml:space="preserve">VALVULA DE RETENCAO HORIZONTAL, DE BRONZE (PN-25), 1 1/2", 400 PSI, TAMPA DE PORCA DE UNIAO, EXTREMIDADES COM ROSCA                                                                                                                                                                                                                                                                                                                                                                                       </t>
  </si>
  <si>
    <t>100,09</t>
  </si>
  <si>
    <t xml:space="preserve">VALVULA DE RETENCAO HORIZONTAL, DE BRONZE (PN-25), 1 1/4", 400 PSI, TAMPA DE PORCA DE UNIAO, EXTREMIDADES COM ROSCA                                                                                                                                                                                                                                                                                                                                                                                       </t>
  </si>
  <si>
    <t xml:space="preserve">VALVULA DE RETENCAO HORIZONTAL, DE BRONZE (PN-25), 1/2", 400 PSI, TAMPA DE PORCA DE UNIAO, EXTREMIDADES COM ROSCA                                                                                                                                                                                                                                                                                                                                                                                         </t>
  </si>
  <si>
    <t>36,32</t>
  </si>
  <si>
    <t xml:space="preserve">VALVULA DE RETENCAO HORIZONTAL, DE BRONZE (PN-25), 1", 400 PSI, TAMPA DE PORCA DE UNIAO, EXTREMIDADES COM ROSCA                                                                                                                                                                                                                                                                                                                                                                                           </t>
  </si>
  <si>
    <t>59,82</t>
  </si>
  <si>
    <t xml:space="preserve">VALVULA DE RETENCAO HORIZONTAL, DE BRONZE (PN-25), 2 1/2", 400 PSI, TAMPA DE PORCA DE UNIAO, EXTREMIDADES COM ROSCA                                                                                                                                                                                                                                                                                                                                                                                       </t>
  </si>
  <si>
    <t>200,53</t>
  </si>
  <si>
    <t xml:space="preserve">VALVULA DE RETENCAO HORIZONTAL, DE BRONZE (PN-25), 2", 400 PSI, TAMPA DE PORCA DE UNIAO, EXTREMIDADES COM ROSCA                                                                                                                                                                                                                                                                                                                                                                                           </t>
  </si>
  <si>
    <t>140,23</t>
  </si>
  <si>
    <t xml:space="preserve">VALVULA DE RETENCAO HORIZONTAL, DE BRONZE (PN-25), 3/4", 400 PSI, TAMPA DE PORCA DE UNIAO, EXTREMIDADES COM ROSCA                                                                                                                                                                                                                                                                                                                                                                                         </t>
  </si>
  <si>
    <t>44,01</t>
  </si>
  <si>
    <t xml:space="preserve">VALVULA DE RETENCAO HORIZONTAL, DE BRONZE (PN-25), 3", 400 PSI, TAMPA DE PORCA DE UNIAO, EXTREMIDADES COM ROSCA                                                                                                                                                                                                                                                                                                                                                                                           </t>
  </si>
  <si>
    <t>276,98</t>
  </si>
  <si>
    <t xml:space="preserve">VALVULA DE RETENCAO HORIZONTAL, DE BRONZE (PN-25), 4", 400 PSI, TAMPA DE PORCA DE UNIAO, EXTREMIDADES COM ROSCA                                                                                                                                                                                                                                                                                                                                                                                           </t>
  </si>
  <si>
    <t>429,59</t>
  </si>
  <si>
    <t xml:space="preserve">VALVULA DE RETENCAO VERTICAL, DE BRONZE (PN-16), 1 1/2", 200 PSI, EXTREMIDADES COM ROSCA                                                                                                                                                                                                                                                                                                                                                                                                                  </t>
  </si>
  <si>
    <t>53,28</t>
  </si>
  <si>
    <t xml:space="preserve">VALVULA DE RETENCAO VERTICAL, DE BRONZE (PN-16), 1 1/4", 200 PSI, EXTREMIDADES COM ROSCA                                                                                                                                                                                                                                                                                                                                                                                                                  </t>
  </si>
  <si>
    <t>46,25</t>
  </si>
  <si>
    <t xml:space="preserve">VALVULA DE RETENCAO VERTICAL, DE BRONZE (PN-16), 1/2", 200 PSI, EXTREMIDADES COM ROSCA                                                                                                                                                                                                                                                                                                                                                                                                                    </t>
  </si>
  <si>
    <t xml:space="preserve">VALVULA DE RETENCAO VERTICAL, DE BRONZE (PN-16), 1", 200 PSI, EXTREMIDADES COM ROSCA                                                                                                                                                                                                                                                                                                                                                                                                                      </t>
  </si>
  <si>
    <t>30,83</t>
  </si>
  <si>
    <t xml:space="preserve">VALVULA DE RETENCAO VERTICAL, DE BRONZE (PN-16), 2 1/2", 200 PSI, EXTREMIDADES COM ROSCA                                                                                                                                                                                                                                                                                                                                                                                                                  </t>
  </si>
  <si>
    <t>124,41</t>
  </si>
  <si>
    <t xml:space="preserve">VALVULA DE RETENCAO VERTICAL, DE BRONZE (PN-16), 2", 200 PSI, EXTREMIDADES COM ROSCA                                                                                                                                                                                                                                                                                                                                                                                                                      </t>
  </si>
  <si>
    <t xml:space="preserve">VALVULA DE RETENCAO VERTICAL, DE BRONZE (PN-16), 3/4", 200 PSI, EXTREMIDADES COM ROSCA                                                                                                                                                                                                                                                                                                                                                                                                                    </t>
  </si>
  <si>
    <t>28,21</t>
  </si>
  <si>
    <t xml:space="preserve">VALVULA DE RETENCAO VERTICAL, DE BRONZE (PN-16), 3", 200 PSI, EXTREMIDADES COM ROSCA                                                                                                                                                                                                                                                                                                                                                                                                                      </t>
  </si>
  <si>
    <t>169,89</t>
  </si>
  <si>
    <t xml:space="preserve">VALVULA DE RETENCAO VERTICAL, DE BRONZE (PN-16), 4", 200 PSI, EXTREMIDADES COM ROSCA                                                                                                                                                                                                                                                                                                                                                                                                                      </t>
  </si>
  <si>
    <t>294,86</t>
  </si>
  <si>
    <t xml:space="preserve">VALVULA EM METAL CROMADO PARA LAVATORIO, 1 " SEM LADRAO                                                                                                                                                                                                                                                                                                                                                                                                                                                   </t>
  </si>
  <si>
    <t xml:space="preserve">VALVULA EM METAL CROMADO PARA PIA AMERICANA 3.1/2 X 1.1/2 "                                                                                                                                                                                                                                                                                                                                                                                                                                               </t>
  </si>
  <si>
    <t xml:space="preserve">VALVULA EM METAL CROMADO PARA TANQUE, 1.1/2 " SEM LADRAO                                                                                                                                                                                                                                                                                                                                                                                                                                                  </t>
  </si>
  <si>
    <t>20,29</t>
  </si>
  <si>
    <t xml:space="preserve">VALVULA EM PLASTICO BRANCO COM SAIDA LISA PARA TANQUE 1.1/4 "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</si>
  <si>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</si>
  <si>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</si>
  <si>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</si>
  <si>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</si>
  <si>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</si>
  <si>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 PERFIL PARA CREMONA, EM FERRO CROMADO, COMPRIMENTO DE 120 CM                                                                                                                                                                                                                                                                                                                                                                                                                                       </t>
  </si>
  <si>
    <t>14,24</t>
  </si>
  <si>
    <t xml:space="preserve">VARA / PERFIL PARA CREMONA, EM FERRO CROMADO, COMPRIMENTO DE 150 CM                                                                                                                                                                                                                                                                                                                                                                                                                                       </t>
  </si>
  <si>
    <t xml:space="preserve">VARA/ PERFIL PARA CREMONA, EM LATAO CROMADO, COMPRIMENTO DE 120 CM                                                                                                                                                                                                                                                                                                                                                                                                                                        </t>
  </si>
  <si>
    <t xml:space="preserve">VARIADOR DE LUMINOSIDADE ROTATIVO (DIMMER) 127 V, 300 W (APENAS MODULO)                                                                                                                                                                                                                                                                                                                                                                                                                                   </t>
  </si>
  <si>
    <t>44,27</t>
  </si>
  <si>
    <t xml:space="preserve">VARIADOR DE LUMINOSIDADE ROTATIVO (DIMMER) 127V, 300W, CONJUNTO MONTADO PARA EMBUTIR 4" X 2" (PLACA + SUPORTE + MODULO)                                                                                                                                                                                                                                                                                                                                                                                   </t>
  </si>
  <si>
    <t>56,94</t>
  </si>
  <si>
    <t xml:space="preserve">VARIADOR DE LUMINOSIDADE ROTATIVO (DIMMER) 220 V, 600 W (APENAS MODULO)                                                                                                                                                                                                                                                                                                                                                                                                                                   </t>
  </si>
  <si>
    <t>70,75</t>
  </si>
  <si>
    <t xml:space="preserve">VARIADOR DE LUMINOSIDADE ROTATIVO (DIMMER) 220V, 600W, CONJUNTO MONTADO PARA EMBUTIR 4" X 2" (PLACA + SUPORTE + MODULO)                                                                                                                                                                                                                                                                                                                                                                                   </t>
  </si>
  <si>
    <t>74,39</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</si>
  <si>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</si>
  <si>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</si>
  <si>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47,42</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</si>
  <si>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</si>
  <si>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</si>
  <si>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VASO SANITARIO SIFONADO INFANTIL LOUCA BRANCA                                                                                                                                                                                                                                                                                                                                                                                                                                                             </t>
  </si>
  <si>
    <t>252,71</t>
  </si>
  <si>
    <t xml:space="preserve">VASSOURA MECANICA REBOCAVEL COM ESCOVA CILINDRICA LARGURA UTIL DE VARRIMENTO = 2,44M                                                                                                                                                                                                                                                                                                                                                                                                                      </t>
  </si>
  <si>
    <t>35.400,40</t>
  </si>
  <si>
    <t xml:space="preserve">VASSOURA 40 CM COM CABO                                                                                                                                                                                                                                                                                                                                                                                                                                                                                   </t>
  </si>
  <si>
    <t xml:space="preserve">VEDACAO DE CALHA, EM BORRACHA COR PRETA, MEDIDA ENTRE 119 E 170 MM, PARA DRENAGEM PLUVIAL PREDIAL                                                                                                                                                                                                                                                                                                                                                                                                         </t>
  </si>
  <si>
    <t xml:space="preserve">VEDACAO PVC, 100 MM, PARA SAIDA VASO SANITARIO                                                                                                                                                                                                                                                                                                                                                                                                                                                            </t>
  </si>
  <si>
    <t xml:space="preserve">VERGALHAO ZINCADO ROSCA TOTAL, 1/4 " (6,3 MM)                                                                                                                                                                                                                                                                                                                                                                                                                                                             </t>
  </si>
  <si>
    <t xml:space="preserve">VERNIZ POLIURETANO BRILHANTE PARA MADEIRA, COM FILTRO SOLAR, USO INTERNO E EXTERNO                                                                                                                                                                                                                                                                                                                                                                                                                        </t>
  </si>
  <si>
    <t>29,13</t>
  </si>
  <si>
    <t xml:space="preserve">VERNIZ POLIURETANO BRILHANTE PARA MADEIRA, SEM FILTRO SOLAR, USO INTERNO E EXTERNO                                                                                                                                                                                                                                                                                                                                                                                                                        </t>
  </si>
  <si>
    <t xml:space="preserve">VERNIZ SINTETICO BRILHANTE PARA MADEIRA TIPO COPAL, USO INTERNO                                                                                                                                                                                                                                                                                                                                                                                                                                           </t>
  </si>
  <si>
    <t>25,62</t>
  </si>
  <si>
    <t xml:space="preserve">VERNIZ SINTETICO BRILHANTE PARA MADEIRA, COM FILTRO SOLAR, USO INTERNO E EXTERNO (BASE SOLVENTE)                                                                                                                                                                                                                                                                                                                                                                                                          </t>
  </si>
  <si>
    <t xml:space="preserve">VEU DE VIDRO/VEU DE SUPERFICIE 30 A 35 G/M2                                                                                                                                                                                                                                                                                                                                                                                                                                                               </t>
  </si>
  <si>
    <t>22,69</t>
  </si>
  <si>
    <t xml:space="preserve">VEU POLIESTER                                                                                                                                                                                                                                                                                                                                                                                                                                                                                             </t>
  </si>
  <si>
    <t xml:space="preserve">VIBRADOR DE IMERSAO, COM PONTEIRA DE *35* MM, MANGOTE DE 5 M, SEM MOTOR                                                                                                                                                                                                                                                                                                                                                                                                                                   </t>
  </si>
  <si>
    <t>975,91</t>
  </si>
  <si>
    <t xml:space="preserve">VIBRADOR DE IMERSAO, COM PONTEIRA DE *45* MM, MANGOTE DE 5 M, SEM MOTOR.                                                                                                                                                                                                                                                                                                                                                                                                                                  </t>
  </si>
  <si>
    <t>1.060,77</t>
  </si>
  <si>
    <t xml:space="preserve">VIBRADOR DE IMERSAO, COM PONTEIRA DE *60* MM, MANGOTE DE 5 M, SEM MOTOR.                                                                                                                                                                                                                                                                                                                                                                                                                                  </t>
  </si>
  <si>
    <t>1.189,93</t>
  </si>
  <si>
    <t xml:space="preserve">VIBRADOR DE IMERSAO, DIAMETRO DA PONTEIRA DE *35* MM, COM MOTOR 4 TEMPOS A GASOLINA DE 5,5 HP (5,5 CV)                                                                                                                                                                                                                                                                                                                                                                                                    </t>
  </si>
  <si>
    <t>2.560,00</t>
  </si>
  <si>
    <t xml:space="preserve">VIBRADOR DE IMERSAO, DIAMETRO DA PONTEIRA DE *45* MM, COM MOTOR ELETRICO TRIFASICO DE 2 HP (2 CV)                                                                                                                                                                                                                                                                                                                                                                                                         </t>
  </si>
  <si>
    <t>2.296,54</t>
  </si>
  <si>
    <t xml:space="preserve">VIBRADOR DE IMERSAO, DIAMETRO DA PONTEIRA DE *45* MM, COM MOTOR 4 TEMPOS A GASOLINA DE 5,5 HP (5,5 CV)                                                                                                                                                                                                                                                                                                                                                                                                    </t>
  </si>
  <si>
    <t>2.797,46</t>
  </si>
  <si>
    <t xml:space="preserve">VIBROACABADORA DE ASFALTO SOBRE ESTEIRAS, LARG. PAVIM. MAX. 8,00 M, POT. 100 KW/ 134 HP, CAP. 600 T/ H                                                                                                                                                                                                                                                                                                                                                                                                    </t>
  </si>
  <si>
    <t>3.153.650,08</t>
  </si>
  <si>
    <t xml:space="preserve">VIBROACABADORA DE ASFALTO SOBRE ESTEIRAS, LARG. PAVIM. 2,13 M A 4,55 M, POT. 74 KW/ 100 HP, CAP. 400 T/ H                                                                                                                                                                                                                                                                                                                                                                                                 </t>
  </si>
  <si>
    <t>1.327.650,08</t>
  </si>
  <si>
    <t xml:space="preserve">VIBROACABADORA DE ASFALTO SOBRE ESTEIRAS, LARG. PAVIM. 2,60 M A 5,75 M, POT. 110 HP, CAP. 450 T/ H                                                                                                                                                                                                                                                                                                                                                                                                        </t>
  </si>
  <si>
    <t>1.337.270,83</t>
  </si>
  <si>
    <t xml:space="preserve">VIBROACABADORA DE ASFALTO SOBRE ESTEIRAS, LARG. PAVIMENT. 1,90 A 5,3 M, POT. 78 KW/105 HP, CAP. 450 T/H                                                                                                                                                                                                                                                                                                                                                                                                   </t>
  </si>
  <si>
    <t>1.620.118,00</t>
  </si>
  <si>
    <t xml:space="preserve">VIBROACABADORA DE ASFALTO SOBRE RODAS, LARGURA DE PAVIMENTACAO DE 1,70 A 4,20 M, POTENCIA 78 KW/105 HP, CAPACIDADE 300 T/H                                                                                                                                                                                                                                                                                                                                                                                </t>
  </si>
  <si>
    <t>1.435.401,38</t>
  </si>
  <si>
    <t xml:space="preserve">VIDRACEIRO                                                                                                                                                                                                                                                                                                                                                                                                                                                                                                </t>
  </si>
  <si>
    <t xml:space="preserve">VIDRACEIRO (MENSALISTA)                                                                                                                                                                                                                                                                                                                                                                                                                                                                                   </t>
  </si>
  <si>
    <t>2.661,98</t>
  </si>
  <si>
    <t xml:space="preserve">VIDRO COMUM LAMINADO LISO INCOLOR DUPLO, ESPESSURA TOTAL 8 MM (CADA CAMADA DE 4 MM) - COLOCADO                                                                                                                                                                                                                                                                                                                                                                                                            </t>
  </si>
  <si>
    <t>510,56</t>
  </si>
  <si>
    <t xml:space="preserve">VIDRO COMUM LAMINADO, LISO, INCOLOR, DUPLO, ESPESSURA TOTAL 6 MM (CADA CAMADA E= 3 MM) - COLOCADO                                                                                                                                                                                                                                                                                                                                                                                                         </t>
  </si>
  <si>
    <t>444,44</t>
  </si>
  <si>
    <t xml:space="preserve">VIDRO COMUM LAMINADO, LISO, INCOLOR, TRIPLO, ESPESSURA TOTAL 12 MM (CADA CAMADA E=  4 MM) - COLOCADO                                                                                                                                                                                                                                                                                                                                                                                                      </t>
  </si>
  <si>
    <t>1.155,55</t>
  </si>
  <si>
    <t xml:space="preserve">VIDRO COMUM LAMINADO, LISO, INCOLOR, TRIPLO, ESPESSURA TOTAL 15 MM (CADA CAMADA E = 5 MM) - COLOCADO                                                                                                                                                                                                                                                                                                                                                                                                      </t>
  </si>
  <si>
    <t>1.351,11</t>
  </si>
  <si>
    <t xml:space="preserve">VIDRO CRISTAL COLORIDO, 10 MM, PINTADO NA COR BRANCA                                                                                                                                                                                                                                                                                                                                                                                                                                                      </t>
  </si>
  <si>
    <t>398,22</t>
  </si>
  <si>
    <t xml:space="preserve">VIDRO CRISTAL COLORIDO, 4 MM, PINTADO NA COR BRANCA                                                                                                                                                                                                                                                                                                                                                                                                                                                       </t>
  </si>
  <si>
    <t>124,44</t>
  </si>
  <si>
    <t xml:space="preserve">VIDRO CRISTAL COLORIDO, 6 MM, PINTADO NA COR BRANCA                                                                                                                                                                                                                                                                                                                                                                                                                                                       </t>
  </si>
  <si>
    <t>176,86</t>
  </si>
  <si>
    <t xml:space="preserve">VIDRO CRISTAL COLORIDO, 8 MM, PINTADO NA COR BRANCA                                                                                                                                                                                                                                                                                                                                                                                                                                                       </t>
  </si>
  <si>
    <t>287,11</t>
  </si>
  <si>
    <t xml:space="preserve">VIDRO LISO FUME E = 4MM - SEM COLOCACAO                                                                                                                                                                                                                                                                                                                                                                                                                                                                   </t>
  </si>
  <si>
    <t>142,22</t>
  </si>
  <si>
    <t xml:space="preserve">VIDRO LISO FUME E = 6MM - SEM COLOCACAO                                                                                                                                                                                                                                                                                                                                                                                                                                                                   </t>
  </si>
  <si>
    <t>213,33</t>
  </si>
  <si>
    <t xml:space="preserve">VIDRO LISO FUME, E = 5 MM - SEM COLOCACAO                                                                                                                                                                                                                                                                                                                                                                                                                                                                 </t>
  </si>
  <si>
    <t xml:space="preserve">VIDRO LISO INCOLOR 10 MM - SEM COLOCACAO                                                                                                                                                                                                                                                                                                                                                                                                                                                                  </t>
  </si>
  <si>
    <t>266,66</t>
  </si>
  <si>
    <t xml:space="preserve">VIDRO LISO INCOLOR 2 A 3 MM - SEM COLOCACAO                                                                                                                                                                                                                                                                                                                                                                                                                                                               </t>
  </si>
  <si>
    <t xml:space="preserve">VIDRO LISO INCOLOR 4MM - SEM COLOCACAO                                                                                                                                                                                                                                                                                                                                                                                                                                                                    </t>
  </si>
  <si>
    <t>106,66</t>
  </si>
  <si>
    <t xml:space="preserve">VIDRO LISO INCOLOR 5MM - SEM COLOCACAO                                                                                                                                                                                                                                                                                                                                                                                                                                                                    </t>
  </si>
  <si>
    <t xml:space="preserve">VIDRO LISO INCOLOR 6 MM - SEM COLOCACAO                                                                                                                                                                                                                                                                                                                                                                                                                                                                   </t>
  </si>
  <si>
    <t>151,11</t>
  </si>
  <si>
    <t xml:space="preserve">VIDRO LISO INCOLOR 8MM  -  SEM COLOCACAO                                                                                                                                                                                                                                                                                                                                                                                                                                                                  </t>
  </si>
  <si>
    <t>220,44</t>
  </si>
  <si>
    <t xml:space="preserve">VIDRO MARTELADO OU CANELADO, 4 MM - SEM COLOCACAO                                                                                                                                                                                                                                                                                                                                                                                                                                                         </t>
  </si>
  <si>
    <t>88,88</t>
  </si>
  <si>
    <t xml:space="preserve">VIDRO PLANO ARAMADO E = 6 MM - SEM COLOCACAO                                                                                                                                                                                                                                                                                                                                                                                                                                                              </t>
  </si>
  <si>
    <t xml:space="preserve">VIDRO PLANO ARMADO E = 7MM - SEM COLOCACAO                                                                                                                                                                                                                                                                                                                                                                                                                                                                </t>
  </si>
  <si>
    <t>275,55</t>
  </si>
  <si>
    <t xml:space="preserve">VIDRO TEMPERADO INCOLOR E = 10 MM, SEM COLOCACAO                                                                                                                                                                                                                                                                                                                                                                                                                                                          </t>
  </si>
  <si>
    <t>124,62</t>
  </si>
  <si>
    <t xml:space="preserve">VIDRO TEMPERADO INCOLOR E = 6 MM, SEM COLOCACAO                                                                                                                                                                                                                                                                                                                                                                                                                                                           </t>
  </si>
  <si>
    <t>73,53</t>
  </si>
  <si>
    <t xml:space="preserve">VIDRO TEMPERADO INCOLOR E = 8 MM, SEM COLOCACAO                                                                                                                                                                                                                                                                                                                                                                                                                                                           </t>
  </si>
  <si>
    <t>95,99</t>
  </si>
  <si>
    <t xml:space="preserve">VIDRO TEMPERADO INCOLOR PARA PORTA DE ABRIR, E = 10 MM (SEM FERRAGENS E SEM COLOCACAO)                                                                                                                                                                                                                                                                                                                                                                                                                    </t>
  </si>
  <si>
    <t>134,79</t>
  </si>
  <si>
    <t xml:space="preserve">VIDRO TEMPERADO VERDE E = 10 MM, SEM COLOCACAO                                                                                                                                                                                                                                                                                                                                                                                                                                                            </t>
  </si>
  <si>
    <t>157,06</t>
  </si>
  <si>
    <t xml:space="preserve">VIDRO TEMPERADO VERDE E = 6 MM, SEM COLOCACAO                                                                                                                                                                                                                                                                                                                                                                                                                                                             </t>
  </si>
  <si>
    <t xml:space="preserve">VIDRO TEMPERADO VERDE E = 8 MM, SEM COLOCACAO                                                                                                                                                                                                                                                                                                                                                                                                                                                             </t>
  </si>
  <si>
    <t>119,88</t>
  </si>
  <si>
    <t xml:space="preserve">VIGA DE ESCORAMAENTO H20, DE MADEIRA, PESO DE 5,00 A 5,20 KG/M, COM EXTREMIDADES PLASTICAS                                                                                                                                                                                                                                                                                                                                                                                                                </t>
  </si>
  <si>
    <t>45,00</t>
  </si>
  <si>
    <t xml:space="preserve">VIGA DE MADEIRA APARELHADA *6 X 12* CM, MACARANDUBA, ANGELIM OU EQUIVALENTE DA REGIAO                                                                                                                                                                                                                                                                                                                                                                                                                     </t>
  </si>
  <si>
    <t xml:space="preserve">VIGA DE MADEIRA APARELHADA *6 X 16* CM, MACARANDUBA, ANGELIM OU EQUIVALENTE DA REGIAO                                                                                                                                                                                                                                                                                                                                                                                                                     </t>
  </si>
  <si>
    <t xml:space="preserve">VIGA DE MADEIRA NAO APARELHADA *6 X 16* CM, MACARANDUBA, ANGELIM OU EQUIVALENTE DA REGIAO                                                                                                                                                                                                                                                                                                                                                                                                                 </t>
  </si>
  <si>
    <t xml:space="preserve">VIGA DE MADEIRA NAO APARELHADA *6 X 20* CM, MACARANDUBA, ANGELIM OU EQUIVALENTE DA REGIAO                                                                                                                                                                                                                                                                                                                                                                                                                 </t>
  </si>
  <si>
    <t>35,32</t>
  </si>
  <si>
    <t xml:space="preserve">VIGA DE MADEIRA NAO APARELHADA *7,5 X 15 CM (3 X 6 ") PINUS, MISTA OU EQUIVALENTE DA REGIAO                                                                                                                                                                                                                                                                                                                                                                                                               </t>
  </si>
  <si>
    <t>20,65</t>
  </si>
  <si>
    <t xml:space="preserve">VIGA DE MADEIRA NAO APARELHADA 6 X 12 CM, MACARANDUBA, ANGELIM OU EQUIVALENTE DA REGIAO                                                                                                                                                                                                                                                                                                                                                                                                                   </t>
  </si>
  <si>
    <t xml:space="preserve">VIGA DE MADEIRA NAO APARELHADA 8 X 16 CM, MACARANDUBA, ANGELIM OU EQUIVALENTE DA REGIAO                                                                                                                                                                                                                                                                                                                                                                                                                   </t>
  </si>
  <si>
    <t>36,39</t>
  </si>
  <si>
    <t xml:space="preserve">VIGIA DIURNO                                                                                                                                                                                                                                                                                                                                                                                                                                                                                              </t>
  </si>
  <si>
    <t xml:space="preserve">VIGIA DIURNO (MENSALISTA)                                                                                                                                                                                                                                                                                                                                                                                                                                                                                 </t>
  </si>
  <si>
    <t>1.986,60</t>
  </si>
  <si>
    <t xml:space="preserve">VIGIA NOTURNO, HORA EFETIVAMENTE TRABALHADA DE 22 H AS 5 H (COM ADICIONAL NOTURNO)                                                                                                                                                                                                                                                                                                                                                                                                                        </t>
  </si>
  <si>
    <t>15,26</t>
  </si>
  <si>
    <t xml:space="preserve">VIGOTA DE MADEIRA NAO APARELHADA *5 X 10* CM, MACARANDUBA, ANGELIM OU EQUIVALENTE DA REGIAO                                                                                                                                                                                                                                                                                                                                                                                                               </t>
  </si>
  <si>
    <t>17,66</t>
  </si>
  <si>
    <t xml:space="preserve">WASH PRIMER PARA TINTA AUTOMOTIVA                                                                                                                                                                                                                                                                                                                                                                                                                                                                         </t>
  </si>
  <si>
    <t>126,15</t>
  </si>
  <si>
    <t>SISTEMA DE CUSTOS REFERENCIAIS DE OBRAS - SICRO - Distrito Federal - Janeiro/2020</t>
  </si>
  <si>
    <t>VEÍCULO FERROVIÁRIO PARA CAPINA QUÍMICA - 115 KW</t>
  </si>
  <si>
    <t>MÁQUINA DE ALÍVIO DE TENSÕES EM TRILHOS RAIL KNOCKER 48 BATIDAS/MIN - 4,8 KW</t>
  </si>
  <si>
    <t>BATELÃO AUTOPROPELIDO COM CAPACIDADE DE 300 M³ - 224 KW</t>
  </si>
  <si>
    <t>BATELÃO AUTOPROPELIDO COM CAPACIDADE DE 500 M³ - 373 KW</t>
  </si>
  <si>
    <t>E9664-P</t>
  </si>
  <si>
    <t>GUINDASTE MÓVEL SOBRE ESTEIRAS COM CAPACIDADE DE 80 T - 212 KW</t>
  </si>
  <si>
    <t>VAGÃO PLATAFORMA COM CAPACIDADE DE 100 T</t>
  </si>
  <si>
    <t>TANQUE ESPARGIDOR DE ASFALTO COM CAPACIDADE DE 6.000 L - 7 KW</t>
  </si>
  <si>
    <t>EQUIPAMENTO DEMARCADOR DE FAIXAS A FRIO MONTADO SOBRE CHASSI COM CAPACIDADE DE 800 L - 28 KW</t>
  </si>
  <si>
    <t>CAMINHÃO DEMARCADOR DE FAIXAS COM SISTEMA DE PINTURA A QUENTE - 5 KW/46 KW/136 KW</t>
  </si>
  <si>
    <t>EQUIPAMENTO DEMARCADOR DE FAIXAS A QUENTE MONTADO SOBRE CHASSI COM CAPACIDADE DE 500 L - 5,0 KW</t>
  </si>
  <si>
    <t>USINA MÓVEL PARA MICRORREVESTIMENTO COM CAVALO MECÂNICO COM CAPACIDADE DE 12 M³ - 95,6 KW/240 KW</t>
  </si>
  <si>
    <t>USINA DE MICRORREVESTIMENTO ASFÁLTICO REBOCÁVEL COM CAPACIDADE DE 12 M³ - 95,6 KW</t>
  </si>
  <si>
    <t>USINA MÓVEL DE LAMA ASFÁLTICA MONTADA SOBRE CHASSI COM CAPACIDADE DE 5 M³ - 40 KW/188 KW</t>
  </si>
  <si>
    <t>USINA DE LAMA ASFÁLTICA MONTADA SOBRE CHASSI COM CAPACIDADE DE 5 M³ - 40 KW</t>
  </si>
  <si>
    <t>TANQUE PARA HIDROSSEMEADURA COM CAPACIDADE DE 7.000 L - 25 KW</t>
  </si>
  <si>
    <t>E9664-I</t>
  </si>
  <si>
    <t>BLOCO DE CONCRETO DE 19 X 19 X 39 CM</t>
  </si>
  <si>
    <t>M0537</t>
  </si>
  <si>
    <t>SAPATA AJUSTÁVEL PARA ANDAIME - BASE QUADRADA DE 15 X 15 CM</t>
  </si>
  <si>
    <t>M0538</t>
  </si>
  <si>
    <t>ESCADA METÁLICA TIPO MARINHEIRO PARA ANDAIME</t>
  </si>
  <si>
    <t>M0539</t>
  </si>
  <si>
    <t>QUADRO TUBULAR CONTRAVENTADO COM ACESSÓRIOS PARA ANDAIME COM ACESSÓRIOS - H = 100 CM E L = 100 CM</t>
  </si>
  <si>
    <t>M0540</t>
  </si>
  <si>
    <t>QUADRO TUBULAR CONTRAVENTADO COM ACESSÓRIOS PARA ANDAIME COM ACESSÓRIOS - H = 100 CM E L = 150 CM</t>
  </si>
  <si>
    <t>M0541</t>
  </si>
  <si>
    <t>QUADRO TUBULAR CONTRAVENTADO COM ACESSÓRIOS PARA ANDAIME COM ACESSÓRIOS - H = 100 CM E L = 200 CM</t>
  </si>
  <si>
    <t>M0542</t>
  </si>
  <si>
    <t>DIAGONAL TUBULAR PARA ANDAIME - L = 141 CM</t>
  </si>
  <si>
    <t>M0543</t>
  </si>
  <si>
    <t>DIAGONAL TUBULAR PARA ANDAIME - L = 212 CM</t>
  </si>
  <si>
    <t>M0544</t>
  </si>
  <si>
    <t>DIAGONAL TUBULAR PARA ANDAIME - L = 283 CM</t>
  </si>
  <si>
    <t>M0545</t>
  </si>
  <si>
    <t>PLATAFORMA METÁLICA DE PISO PARA ANDAIME - C = 100 E L = 33 CM</t>
  </si>
  <si>
    <t>M0546</t>
  </si>
  <si>
    <t>PLATAFORMA METÁLICA DE PISO PARA ANDAIME - C = 150 E L = 37 CM</t>
  </si>
  <si>
    <t>M0547</t>
  </si>
  <si>
    <t>PLATAFORMA METÁLICA DE PISO PARA ANDAIME - C = 200 E L = 33 CM</t>
  </si>
  <si>
    <t>M0548</t>
  </si>
  <si>
    <t>QUADRO TUBULAR TIPO GUARDA-CORPO COM ACESSÓRIOS PARA ANDAIME - H = 120 CM E L = 100 CM</t>
  </si>
  <si>
    <t>M0549</t>
  </si>
  <si>
    <t>QUADRO TUBULAR TIPO GUARDA-CORPO COM ACESSÓRIOS PARA ANDAIME - H = 120 CM E L = 150 CM</t>
  </si>
  <si>
    <t>M0550</t>
  </si>
  <si>
    <t>QUADRO TUBULAR TIPO GUARDA-CORPO COM ACESSÓRIOS PARA ANDAIME - H = 120 CM E L = 200 CM</t>
  </si>
  <si>
    <t>ANCORAGEM FIXA PARA ESTAIS TSR PARA 85 CORDOALHAS - D = 15,7 MM</t>
  </si>
  <si>
    <t>M3275</t>
  </si>
  <si>
    <t>ANCORAGEM REGULÁVEL PARA ESTAIS TSR PARA 85 CORDOALHAS - D = 15,7 MM</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</si>
  <si>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</si>
  <si>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</si>
  <si>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</si>
  <si>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</si>
  <si>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</si>
  <si>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</si>
  <si>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</si>
  <si>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</si>
  <si>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</si>
  <si>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</si>
  <si>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</si>
  <si>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</si>
  <si>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</si>
  <si>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</si>
  <si>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</si>
  <si>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</si>
  <si>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</si>
  <si>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</si>
  <si>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</si>
  <si>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 MM (1 5/8")</t>
  </si>
  <si>
    <t>M3528</t>
  </si>
  <si>
    <t>TERMINAL SOQUETE FECHADO EM AÇO GALVANIZADO COMPATÍVEL COM CABO DE AÇO DE D = 42 MM</t>
  </si>
  <si>
    <t>M3529</t>
  </si>
  <si>
    <t>MANILHA RETA EM AÇO FORJADO COM PORCA E CUPILHA - D = 57,2 MM (2 1/4")</t>
  </si>
  <si>
    <t>M3530</t>
  </si>
  <si>
    <t>TUBO MECÂNICO EM AÇO-CARBONO</t>
  </si>
  <si>
    <t>MATERIAL ASFÁLTICO REMOVIDO</t>
  </si>
  <si>
    <t>CUSTO EQUIVALENTE DA CONSTRUÇÃO CIVIL PARA CONSTRUÇÃO DO ESTALEIRO PADRÃO</t>
  </si>
  <si>
    <t>BICO DE CORTE A PLASMA - 65A</t>
  </si>
  <si>
    <t>DILUENTE PARA TINTA EPÓXI DE DOIS OU TRÊS COMPONENTES</t>
  </si>
  <si>
    <t>TAPUME ESTRUTURADO EM PERFÍS DE MADEIRA E FECHAMENTO EM TELHA METÁLICA COM PINTURA EXTERNA.</t>
  </si>
  <si>
    <t>REF: Estudo para orçamento "Plataforma Flutuante"</t>
  </si>
  <si>
    <t>REF: 3806410 SICRO JANEIRO 2020 e Estudo para orçamento "Plataforma acesso pilares"</t>
  </si>
  <si>
    <t>REF: 3806410 SICRO JANEIRO 2020</t>
  </si>
  <si>
    <t>18 meses de interdição</t>
  </si>
  <si>
    <t>ADM LOCAL C/BDI</t>
  </si>
  <si>
    <t>REF: TABELA CONSULTORIA DNIT DEZEMBRO 2019</t>
  </si>
  <si>
    <t>ANP - 01/01/2020</t>
  </si>
  <si>
    <t>01 - A estimativa teve como referência cotações de mercado de empresas especializadas e o Preço praticado pelo SICRO e SINAPI (Canteiro de obra);
02 - O valor estimado informado já inclui todos os impostos, tributos, benefícios e custos administrativos;                                                                                                                                                         03 - O BDI praticado na planilha é de 18,20% para os serviços no geral e de 10,89% para os serviços de Pavimentação em DERMASFALT, fornecimento de matérias para os estais/tirantes, aparelhos de apoio e Juntas de Dilatação, conforme demostrado na estimativa de Preços:
04 - Os custos apresentados na planilha do canteiro de obra tem como referência a tabela SINAPI de janeiro de 2020 para os itens de construções provisórias e ligações provisórias, e custo SICRO para os demais itens, conforme solicitado pelo Departamento Técnico da Diretoria de Edificações;
05 - Os encargos sociais, são os praticados pela tabela SICRO de janeiro de 2020 NÃO DESONERADA e SINAPI janeiro de 2020 NÃO DESONERADA.                                                                                                                                              06 - Os Custos de projetos tiveram como referência as práticas do Instituto de Engenharia de São Paulo - IESP e os índices de M.O elencados no Caderno de especificações de estrutura.                                                                                                                                                                                                                                                                                                      07 - Nas composições que apresentarem custo de insumos referente a transporte zerados deverão ser desprezados, uma vez que a obra será realizada no centro da Capital, dessa forma, esses custos não deverão fazer parte da planilha;                                                                                                                                                                     08 - Foi realizado cotação para os materiais mais representativos na classificação ABC, mesmo aqueles que constam nas tabelas de referências;
9 - Foi considerado adicional noturno para mão de obra na substituição das juntas de dilatação.
10 - Todas as cotações com data superior a Janeiro de 2020 foram retroagidas para a data base do orçamento.
11 - A estimativa Nº 25/20 sem desoneração referente a Execução de Contenção da ponte JK, foi desenvolvida e fornecida pela Diretoria de Urbanização e incluída nesta Capa de acordo com o solicitado no despacho 43651122 processo SEI nº 00112-00014823/2018-10.</t>
  </si>
  <si>
    <t xml:space="preserve">Cálculo do reajustamento para adequação de preços </t>
  </si>
  <si>
    <t>ICC COLUNA-18=160981 TOTAL BRASÍLIA</t>
  </si>
  <si>
    <t>MÃO-DE-OBRA</t>
  </si>
  <si>
    <t>MAT EQUIP SERV</t>
  </si>
  <si>
    <t>TOTAL</t>
  </si>
  <si>
    <t>TOTAL EDIFICAÇÃO</t>
  </si>
  <si>
    <t>COL-20 161007</t>
  </si>
  <si>
    <t>COL-19 160991</t>
  </si>
  <si>
    <t>var.%acumul.material</t>
  </si>
  <si>
    <t>var.%acumul.total</t>
  </si>
  <si>
    <t>COL-18 160981</t>
  </si>
  <si>
    <t>COL-35 159428</t>
  </si>
  <si>
    <t>JUN-18</t>
  </si>
  <si>
    <t>JUL-18</t>
  </si>
  <si>
    <t>AGO-18</t>
  </si>
  <si>
    <t>SET-18</t>
  </si>
  <si>
    <t>OUT-18</t>
  </si>
  <si>
    <t>NOV-18</t>
  </si>
  <si>
    <t>DEZ-18</t>
  </si>
  <si>
    <t>JAN-19</t>
  </si>
  <si>
    <t>FEV-19</t>
  </si>
  <si>
    <t>MAR-19</t>
  </si>
  <si>
    <t>ABR-19</t>
  </si>
  <si>
    <t>MAI-19</t>
  </si>
  <si>
    <t>JUN-19</t>
  </si>
  <si>
    <t>JUL-19</t>
  </si>
  <si>
    <t>AGO-19</t>
  </si>
  <si>
    <t>SET-19</t>
  </si>
  <si>
    <t>OUT-19</t>
  </si>
  <si>
    <t>NOV-19</t>
  </si>
  <si>
    <t>DEZ-19</t>
  </si>
  <si>
    <t>JAN-20</t>
  </si>
  <si>
    <t>FEV-20</t>
  </si>
  <si>
    <t>MAR-20</t>
  </si>
  <si>
    <t>ABR-20</t>
  </si>
  <si>
    <t>MAI-20</t>
  </si>
  <si>
    <t>JUN-20</t>
  </si>
  <si>
    <t>JUL-20</t>
  </si>
  <si>
    <t>AGO-20</t>
  </si>
  <si>
    <t>SET-20</t>
  </si>
  <si>
    <t>MÃO DE OBRA</t>
  </si>
  <si>
    <t>EDIFICAÇÃO</t>
  </si>
  <si>
    <t>multiplicador</t>
  </si>
  <si>
    <t>Variação acumulada</t>
  </si>
  <si>
    <r>
      <t xml:space="preserve">i </t>
    </r>
    <r>
      <rPr>
        <sz val="6"/>
        <color indexed="8"/>
        <rFont val="Arial"/>
        <family val="2"/>
      </rPr>
      <t>0</t>
    </r>
    <r>
      <rPr>
        <sz val="12"/>
        <color indexed="8"/>
        <rFont val="Arial"/>
        <family val="2"/>
      </rPr>
      <t xml:space="preserve">  /  i</t>
    </r>
    <r>
      <rPr>
        <sz val="6"/>
        <color indexed="8"/>
        <rFont val="Arial"/>
        <family val="2"/>
      </rPr>
      <t xml:space="preserve"> 1</t>
    </r>
  </si>
  <si>
    <t>Número do índice</t>
  </si>
  <si>
    <t>COL. 20 161007</t>
  </si>
  <si>
    <t>COL. 19 160991</t>
  </si>
  <si>
    <t>COL. 18 160981</t>
  </si>
  <si>
    <t>COL. 35 159428</t>
  </si>
  <si>
    <t>JAN 20 A FEV 20</t>
  </si>
  <si>
    <t>JAN 20 A MAR 20</t>
  </si>
  <si>
    <t>JAN 20 A ABR 20</t>
  </si>
  <si>
    <t>JAN 20 A MAI 20</t>
  </si>
  <si>
    <t>JAN 20 A JUN 20</t>
  </si>
  <si>
    <t>EQUINAUTIC</t>
  </si>
  <si>
    <t>site@equinautic.com.br</t>
  </si>
  <si>
    <t>(51) 3268-6675</t>
  </si>
  <si>
    <t>93.144.970/0001-41</t>
  </si>
  <si>
    <t>JUL 19 A JAN 20</t>
  </si>
  <si>
    <t>OUT-20</t>
  </si>
  <si>
    <t>NOV-20</t>
  </si>
  <si>
    <t>DEZ-20</t>
  </si>
  <si>
    <t>JAN-21</t>
  </si>
  <si>
    <t>FEV-21</t>
  </si>
  <si>
    <t>MAR-21</t>
  </si>
  <si>
    <t>ABR-21</t>
  </si>
  <si>
    <t>JAN 20 A ABR 21</t>
  </si>
  <si>
    <t>JUN 19 A JAN 20</t>
  </si>
  <si>
    <t>SICRO JANEIRO 2020 - CÓD. M3272</t>
  </si>
  <si>
    <t>SICRO JANEIRO 2020 - CÓD. M3276</t>
  </si>
  <si>
    <t>SICRO JANEIRO 2020 - CÓD. M1781</t>
  </si>
  <si>
    <t>SICRO JANEIRO 2020 - CÓD. M1774</t>
  </si>
  <si>
    <t>SICRO JANEIRO 2020 - CÓD. M3192</t>
  </si>
  <si>
    <t>SICRO JANEIRO 2020 - CÓD. M3183</t>
  </si>
  <si>
    <t>SICRO JANEIRO 2020 - CÓD. M2613</t>
  </si>
  <si>
    <t>SICRO JANEIRO 2020 - CÓD. M2607</t>
  </si>
  <si>
    <t>SICRO JANEIRO 2020 - CÓD. M2743</t>
  </si>
  <si>
    <t>SICRO JANEIRO 2020 - CÓD. M2608</t>
  </si>
  <si>
    <t>SICRO JANEIRO 2020 - CÓD. M2614</t>
  </si>
  <si>
    <t>SICRO JANEIRO 2020 - CÓD. M2744</t>
  </si>
  <si>
    <t>SICRO JANEIRO 2020 - CÓD. M2641</t>
  </si>
  <si>
    <t>SICRO JANEIRO 2020 - CÓD. M2745</t>
  </si>
  <si>
    <t>SICRO JANEIRO 2020 - CÓD. M2751</t>
  </si>
  <si>
    <t>SICRO JANEIRO 2020 - CÓD. M2646</t>
  </si>
  <si>
    <t>02.01.303.4</t>
  </si>
  <si>
    <t>CARREFOUR</t>
  </si>
  <si>
    <t>45.543.915/0846-95</t>
  </si>
  <si>
    <t>atendimento@carrefour.com.br</t>
  </si>
  <si>
    <t>3004-2222</t>
  </si>
  <si>
    <t>MAGAZINE LUIZA</t>
  </si>
  <si>
    <t>0800 773 3838</t>
  </si>
  <si>
    <t>47.960.950/1088-36</t>
  </si>
  <si>
    <t>www.magazineluiza.com.br</t>
  </si>
  <si>
    <t>LOJA DA MATA</t>
  </si>
  <si>
    <t>vendas1@damatasolar.com.br</t>
  </si>
  <si>
    <t>(11) 94051-0574</t>
  </si>
  <si>
    <t>SICRO JANEIRO 2020 - CÓD. M3519</t>
  </si>
  <si>
    <t>SICRO JANEIRO 2020 - CÓD. M3920</t>
  </si>
  <si>
    <t>TUBO EM AÇO CARBONO SEM COSTURA Ø 1 1/2", E= 3,68MM, SCHEDULE 40, COMPRIMENTO DE 150MM, PARA ENCAMISAMENTO DOS PARAFUSOS DE FIXAÇÃO</t>
  </si>
  <si>
    <t>EXECUÇÃO DE ESCRITÓRIO EM CANTEIRO DE OBRA EM CHAPA DE MADEIRA COMPENSADA, NÃO INCLUSO MOBILIÁRIO E EQUIPAMENTOS. AF_02/2016 - ESCRITÓRIO CONSTRUTOR</t>
  </si>
  <si>
    <t>EXECUÇÃO DE ALMOXARIFADO EM CANTEIRO DE OBRA EM CHAPA DE MADEIRA COMPENSADA, INCLUSO PRATELEIRAS. AF_02/2016 - ALMOXARIFADO E DEPÓSITO DE CIMENTO</t>
  </si>
  <si>
    <t>ARGILA OU BARRO PARA ATERRO/REATERRO (RETIRADO NA JAZIDA, SEM TRANSPORTE)</t>
  </si>
  <si>
    <t xml:space="preserve">m3 </t>
  </si>
  <si>
    <t>74010/001</t>
  </si>
  <si>
    <t>CARGA E DESCARGA MECANICA DE SOLO UTILIZANDO CAMINHAO BASCULANTE 6,0M3 /16T E PA CARREGADEIRA SOBRE PNEUS 128 HP, CAPACIDADE DA CAÇAMBA 1,7 A 2,8 M3, PESO OPERACIONAL 11632 KG</t>
  </si>
  <si>
    <t>m3</t>
  </si>
  <si>
    <t xml:space="preserve"> TRANSPORTE COM CAMINHÃO BASCULANTE DE 10 M3, EM VIA URBANA PAVIMENTADA, DMT ATÉ 30 KM (UNIDADE: TXKM). AF_12/2016</t>
  </si>
  <si>
    <t>t*km</t>
  </si>
  <si>
    <t>PEDRA DE MAO OU PEDRA RACHAO PARA ARRIMO  /FUNDACAO (POSTO PEDREIRA /FORNECEDOR, SEM FRETE)</t>
  </si>
  <si>
    <t xml:space="preserve">m2 </t>
  </si>
  <si>
    <t>MURO DE GABIÃO, ENCHIMENTO COM PEDRA DE MÃO TIPO RACHÃO, DE GRAVIDADE, COM GAIOLAS DE COMPRIMENTO IGUAL A 2 M, PARA MUROS COM ALTURA MENOR OU IGUAL A 4 M FORNECIMENTO E EXECUÇÃO. AF_12/2015</t>
  </si>
  <si>
    <t>CONCRETO USINADO BOMBEAVEL, CLASSE DE RESISTENCIA C30, COM BRITA 0 E 1, SLUMP = 100 +/- 20 MM, INCLUI SERVICO DE BOMBEAMENTO (NBR 8953)</t>
  </si>
  <si>
    <t>1600436M</t>
  </si>
  <si>
    <t>t</t>
  </si>
  <si>
    <t xml:space="preserve"> m </t>
  </si>
  <si>
    <t>94273M</t>
  </si>
  <si>
    <t>ASSENTAMENTO DE GUIA (MEIO-FIO) TIPO CORDÃO, EM TRECHO RETO, CONFECCIONADA EM CONCRETO PRÉ-FABRICADO, DIMENSÕES 100X12X7X20 CM (COMPRIMENTO X BASE INFERIOR X BASE SUPERIOR X ALTURA), PARA VIAS URBANAS (USO VIÁRIO) (FORNECIMENTO E INSTALAÇÃO)</t>
  </si>
  <si>
    <t xml:space="preserve"> EXECUÇÃO DE PASSEIO (CALÇADA) OU PISO DE CONCRETO COM CONCRETO MOLDADO IN LOCO, USINADO, ACABAMENTO CONVENCIONAL, NÃO ARMADO. AF_07/2016</t>
  </si>
  <si>
    <t>m2</t>
  </si>
  <si>
    <t>74209/001</t>
  </si>
  <si>
    <t>5914640 / SICRO</t>
  </si>
  <si>
    <t>Transporte com cavalo mecânico de 30 t - rodovia pavimentada</t>
  </si>
  <si>
    <t xml:space="preserve">ENCARREGADO GERAL DE OBRAS COM ENCARGOS COMPLEMENTARES </t>
  </si>
  <si>
    <t>COMPACTACAO MECANICA A 95% DO PROCTOR NORMAL - PAVIMENTACAO URBANA</t>
  </si>
  <si>
    <t>COMPACTACAO MECANICA A 100% DO PROCTOR NORMAL - PAVIMENTACAO URBANA</t>
  </si>
  <si>
    <t>6496 ART_1</t>
  </si>
  <si>
    <t>Pagamento de Anotação de Responsabilidade Técnica - ART - Lei n° 6.496, de 7 de dezembro de 1977 - Tabela AA - Obra ou Serviço - Contrato até de R$8.000,00 Conforme CREA-DF</t>
  </si>
  <si>
    <t>un</t>
  </si>
  <si>
    <t>74022/030</t>
  </si>
  <si>
    <t>Ensaio de resistência a compressão simples - concreto</t>
  </si>
  <si>
    <t>74022/058</t>
  </si>
  <si>
    <t>Ensaio de abatimento do tronco de cone</t>
  </si>
  <si>
    <t>m²</t>
  </si>
  <si>
    <t>74221/001</t>
  </si>
  <si>
    <t>m</t>
  </si>
  <si>
    <t>SLU-1</t>
  </si>
  <si>
    <t xml:space="preserve">DISPOSIÇÃO FINAL DE RESÍDUOS SEGREGADOS DE CONSTRUÇÃO CIVIL </t>
  </si>
  <si>
    <t>SLU-2</t>
  </si>
  <si>
    <t>DISPOSIÇÃO FINAL DE RESÍDUOS DE PODAS E GALHADAS</t>
  </si>
  <si>
    <t>02.02.330.5</t>
  </si>
  <si>
    <t>600 dias corridos</t>
  </si>
  <si>
    <t>03.02.780.10</t>
  </si>
  <si>
    <t>03.02.780.11</t>
  </si>
  <si>
    <t>03.02.780.12</t>
  </si>
  <si>
    <t>CCU - 10.018</t>
  </si>
  <si>
    <t>ENCARREGADO DE OBRAS DE ARTES ESPECIAIS (3X)</t>
  </si>
  <si>
    <t>3 encarregados a partir do 3º mês de obra</t>
  </si>
  <si>
    <t>CCU - 10.019</t>
  </si>
  <si>
    <t>ENGENHEIRO DE OBRA (2X)</t>
  </si>
  <si>
    <t>10.01.250.1</t>
  </si>
  <si>
    <t>10.01.208.1</t>
  </si>
  <si>
    <t>10.03.150.1</t>
  </si>
  <si>
    <t>02.01.313.1</t>
  </si>
  <si>
    <t>DIAS 01 A 30</t>
  </si>
  <si>
    <t>DIAS 31 A 60</t>
  </si>
  <si>
    <t>DIAS 61 A 90</t>
  </si>
  <si>
    <t>DIAS 91 A 120</t>
  </si>
  <si>
    <t>DIAS 121 A 150</t>
  </si>
  <si>
    <t>DIAS 151 A 180</t>
  </si>
  <si>
    <t>DIAS 181 A 210</t>
  </si>
  <si>
    <t>DIAS 211 A 240</t>
  </si>
  <si>
    <t>DIAS 241 A 270</t>
  </si>
  <si>
    <t>DIAS 271 A 300</t>
  </si>
  <si>
    <t>DIAS 301 A 330</t>
  </si>
  <si>
    <t>DIAS 331 A 360</t>
  </si>
  <si>
    <t>DIAS 361 A 390</t>
  </si>
  <si>
    <t>DIAS 391 A 420</t>
  </si>
  <si>
    <t>DIAS 421 A 450</t>
  </si>
  <si>
    <t>DIAS 451 A 480</t>
  </si>
  <si>
    <t>DIAS 481 A 510</t>
  </si>
  <si>
    <t>DIAS 511 A 540</t>
  </si>
  <si>
    <t>DIAS 541 A 570</t>
  </si>
  <si>
    <t>DIAS 571 A 600</t>
  </si>
  <si>
    <t xml:space="preserve">10. 01.111              </t>
  </si>
  <si>
    <t xml:space="preserve">MESTRE  </t>
  </si>
  <si>
    <t>10.01.111.1</t>
  </si>
  <si>
    <t>CCU - 10.020</t>
  </si>
  <si>
    <t>2 mestres a partir do 4º mês de obra</t>
  </si>
  <si>
    <t>MESTRE DE OBRAS (2X)</t>
  </si>
</sst>
</file>

<file path=xl/styles.xml><?xml version="1.0" encoding="utf-8"?>
<styleSheet xmlns="http://schemas.openxmlformats.org/spreadsheetml/2006/main">
  <numFmts count="27">
    <numFmt numFmtId="44" formatCode="_-&quot;R$&quot;* #,##0.00_-;\-&quot;R$&quot;* #,##0.00_-;_-&quot;R$&quot;* &quot;-&quot;??_-;_-@_-"/>
    <numFmt numFmtId="43" formatCode="_-* #,##0.00_-;\-* #,##0.00_-;_-* &quot;-&quot;??_-;_-@_-"/>
    <numFmt numFmtId="164" formatCode="_-&quot;R$&quot;\ * #,##0.00_-;\-&quot;R$&quot;\ * #,##0.00_-;_-&quot;R$&quot;\ * &quot;-&quot;??_-;_-@_-"/>
    <numFmt numFmtId="165" formatCode="_(* #,##0.00_);_(* \(#,##0.00\);_(* &quot;-&quot;??_);_(@_)"/>
    <numFmt numFmtId="166" formatCode="_(&quot;R$&quot;* #,##0.00_);_(&quot;R$&quot;* \(#,##0.00\);_(&quot;R$&quot;* &quot;-&quot;??_);_(@_)"/>
    <numFmt numFmtId="167" formatCode="_(&quot;R$ &quot;* #,##0.00_);_(&quot;R$ &quot;* \(#,##0.00\);_(&quot;R$ &quot;* &quot;-&quot;??_);_(@_)"/>
    <numFmt numFmtId="168" formatCode="\$#,##0.00\ ;\(\$#,##0.00\)"/>
    <numFmt numFmtId="169" formatCode="\$#,##0\ ;\(\$#,##0\)"/>
    <numFmt numFmtId="170" formatCode="#,##0.00;[Red]#,##0.00"/>
    <numFmt numFmtId="171" formatCode="#,##0.000000000"/>
    <numFmt numFmtId="172" formatCode="0.0000%"/>
    <numFmt numFmtId="173" formatCode="#,##0.000"/>
    <numFmt numFmtId="174" formatCode="#,##0.000000;\-#,##0.000000"/>
    <numFmt numFmtId="175" formatCode="#,##0.000000"/>
    <numFmt numFmtId="176" formatCode="#,##0.00_ ;\-#,##0.00\ "/>
    <numFmt numFmtId="177" formatCode="#,##0.000000_ ;\-#,##0.000000\ "/>
    <numFmt numFmtId="178" formatCode="#,##0.0000000"/>
    <numFmt numFmtId="179" formatCode="#,##0.0000"/>
    <numFmt numFmtId="180" formatCode="0.000"/>
    <numFmt numFmtId="181" formatCode="#,##0.00000"/>
    <numFmt numFmtId="182" formatCode="0.000%"/>
    <numFmt numFmtId="183" formatCode="_-* #,##0.00\ [$€]_-;\-* #,##0.00\ [$€]_-;_-* &quot;-&quot;??\ [$€]_-;_-@_-"/>
    <numFmt numFmtId="184" formatCode="#,##0.00\ ;&quot; (&quot;#,##0.00\);&quot; -&quot;#\ ;@\ "/>
    <numFmt numFmtId="185" formatCode="00"/>
    <numFmt numFmtId="186" formatCode="_(* #,##0_);_(* \(#,##0\);_(* &quot;-&quot;_);_(@_)"/>
    <numFmt numFmtId="187" formatCode="_-* #,##0.00_-;\-* #,##0.00_-;_-* \-??_-;_-@_-"/>
    <numFmt numFmtId="188" formatCode="_-* #,##0.000000000_-;\-* #,##0.000000000_-;_-* &quot;-&quot;??_-;_-@_-"/>
  </numFmts>
  <fonts count="137">
    <font>
      <sz val="11"/>
      <color theme="1"/>
      <name val="Calibri"/>
      <family val="2"/>
      <scheme val="minor"/>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0"/>
      <color theme="1"/>
      <name val="Arial"/>
      <family val="2"/>
    </font>
    <font>
      <sz val="12"/>
      <color indexed="24"/>
      <name val="Arial"/>
      <family val="2"/>
    </font>
    <font>
      <sz val="10"/>
      <name val="Arial"/>
      <family val="2"/>
    </font>
    <font>
      <b/>
      <sz val="8"/>
      <name val="Arial"/>
      <family val="2"/>
    </font>
    <font>
      <sz val="8"/>
      <name val="Arial"/>
      <family val="2"/>
    </font>
    <font>
      <sz val="10"/>
      <name val="Arial"/>
      <family val="2"/>
    </font>
    <font>
      <b/>
      <sz val="10"/>
      <name val="Arial"/>
      <family val="2"/>
    </font>
    <font>
      <sz val="11"/>
      <color indexed="8"/>
      <name val="Calibri"/>
      <family val="2"/>
    </font>
    <font>
      <sz val="11"/>
      <color indexed="9"/>
      <name val="Calibri"/>
      <family val="2"/>
    </font>
    <font>
      <sz val="11"/>
      <color indexed="17"/>
      <name val="Calibri"/>
      <family val="2"/>
    </font>
    <font>
      <sz val="18"/>
      <color indexed="24"/>
      <name val="Arial"/>
      <family val="2"/>
    </font>
    <font>
      <sz val="8"/>
      <color indexed="24"/>
      <name val="Arial"/>
      <family val="2"/>
    </font>
    <font>
      <b/>
      <sz val="11"/>
      <color indexed="52"/>
      <name val="Calibri"/>
      <family val="2"/>
    </font>
    <font>
      <b/>
      <sz val="11"/>
      <color indexed="9"/>
      <name val="Calibri"/>
      <family val="2"/>
    </font>
    <font>
      <sz val="11"/>
      <color indexed="52"/>
      <name val="Calibri"/>
      <family val="2"/>
    </font>
    <font>
      <sz val="12"/>
      <name val="Times New Roman"/>
      <family val="1"/>
    </font>
    <font>
      <sz val="11"/>
      <color indexed="62"/>
      <name val="Calibri"/>
      <family val="2"/>
    </font>
    <font>
      <sz val="11"/>
      <color indexed="20"/>
      <name val="Calibri"/>
      <family val="2"/>
    </font>
    <font>
      <sz val="11"/>
      <color indexed="60"/>
      <name val="Calibri"/>
      <family val="2"/>
    </font>
    <font>
      <sz val="10"/>
      <color rgb="FF000000"/>
      <name val="Arial"/>
      <family val="2"/>
    </font>
    <font>
      <sz val="11"/>
      <color rgb="FF000000"/>
      <name val="Calibri"/>
      <family val="2"/>
      <scheme val="minor"/>
    </font>
    <font>
      <sz val="10"/>
      <name val="Lucida Sans Unicode"/>
      <family val="2"/>
    </font>
    <font>
      <sz val="7.5"/>
      <name val="MS Sans Serif"/>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8"/>
      <color indexed="56"/>
      <name val="Cambria"/>
      <family val="2"/>
    </font>
    <font>
      <b/>
      <sz val="13"/>
      <color indexed="56"/>
      <name val="Calibri"/>
      <family val="2"/>
    </font>
    <font>
      <b/>
      <sz val="11"/>
      <color indexed="56"/>
      <name val="Calibri"/>
      <family val="2"/>
    </font>
    <font>
      <b/>
      <sz val="11"/>
      <color indexed="8"/>
      <name val="Calibri"/>
      <family val="2"/>
    </font>
    <font>
      <b/>
      <sz val="16"/>
      <color rgb="FF92D050"/>
      <name val="Calibri"/>
      <family val="2"/>
      <scheme val="minor"/>
    </font>
    <font>
      <b/>
      <sz val="16"/>
      <color indexed="10"/>
      <name val="Calibri"/>
      <family val="2"/>
    </font>
    <font>
      <b/>
      <sz val="16"/>
      <color indexed="50"/>
      <name val="Calibri"/>
      <family val="2"/>
    </font>
    <font>
      <sz val="8"/>
      <name val="Times New Roman"/>
      <family val="1"/>
    </font>
    <font>
      <b/>
      <sz val="12"/>
      <name val="Calibri"/>
      <family val="2"/>
      <scheme val="minor"/>
    </font>
    <font>
      <b/>
      <u/>
      <sz val="15"/>
      <name val="Calibri"/>
      <family val="2"/>
      <scheme val="minor"/>
    </font>
    <font>
      <b/>
      <u/>
      <sz val="15"/>
      <name val="Calibri"/>
      <family val="2"/>
    </font>
    <font>
      <b/>
      <sz val="14"/>
      <name val="Times New Roman"/>
      <family val="1"/>
    </font>
    <font>
      <b/>
      <sz val="12"/>
      <name val="Times New Roman"/>
      <family val="1"/>
    </font>
    <font>
      <b/>
      <sz val="10"/>
      <name val="Calibri"/>
      <family val="2"/>
      <scheme val="minor"/>
    </font>
    <font>
      <sz val="10"/>
      <name val="Calibri"/>
      <family val="2"/>
      <scheme val="minor"/>
    </font>
    <font>
      <b/>
      <sz val="10"/>
      <name val="Times New Roman"/>
      <family val="1"/>
    </font>
    <font>
      <sz val="13"/>
      <name val="Arial"/>
      <family val="2"/>
    </font>
    <font>
      <b/>
      <i/>
      <sz val="13"/>
      <name val="Calibri"/>
      <family val="2"/>
      <scheme val="minor"/>
    </font>
    <font>
      <b/>
      <i/>
      <sz val="13"/>
      <name val="Calibri"/>
      <family val="2"/>
    </font>
    <font>
      <sz val="11"/>
      <name val="Calibri"/>
      <family val="2"/>
      <scheme val="minor"/>
    </font>
    <font>
      <sz val="12"/>
      <name val="Calibri"/>
      <family val="2"/>
    </font>
    <font>
      <b/>
      <sz val="11"/>
      <color rgb="FFFF0000"/>
      <name val="Calibri"/>
      <family val="2"/>
      <scheme val="minor"/>
    </font>
    <font>
      <sz val="9"/>
      <color indexed="81"/>
      <name val="Tahoma"/>
      <family val="2"/>
    </font>
    <font>
      <b/>
      <u/>
      <sz val="9"/>
      <color indexed="81"/>
      <name val="Tahoma"/>
      <family val="2"/>
    </font>
    <font>
      <sz val="9"/>
      <color indexed="10"/>
      <name val="Tahoma"/>
      <family val="2"/>
    </font>
    <font>
      <b/>
      <sz val="9"/>
      <color indexed="81"/>
      <name val="Tahoma"/>
      <family val="2"/>
    </font>
    <font>
      <i/>
      <sz val="9"/>
      <color indexed="81"/>
      <name val="Tahoma"/>
      <family val="2"/>
    </font>
    <font>
      <sz val="12"/>
      <name val="Calibri"/>
      <family val="2"/>
      <scheme val="minor"/>
    </font>
    <font>
      <b/>
      <sz val="14"/>
      <name val="Calibri"/>
      <family val="2"/>
      <scheme val="minor"/>
    </font>
    <font>
      <sz val="8"/>
      <name val="Calibri"/>
      <family val="2"/>
      <scheme val="minor"/>
    </font>
    <font>
      <b/>
      <sz val="10"/>
      <name val="Calibri"/>
      <family val="2"/>
    </font>
    <font>
      <b/>
      <sz val="10"/>
      <color rgb="FF000000"/>
      <name val="Arial"/>
      <family val="2"/>
    </font>
    <font>
      <sz val="12"/>
      <name val="Arial"/>
      <family val="2"/>
    </font>
    <font>
      <b/>
      <sz val="8"/>
      <name val="Calibri"/>
      <family val="2"/>
      <scheme val="minor"/>
    </font>
    <font>
      <sz val="10"/>
      <color rgb="FFFF0000"/>
      <name val="Arial"/>
      <family val="2"/>
    </font>
    <font>
      <sz val="9"/>
      <name val="Arial"/>
      <family val="2"/>
    </font>
    <font>
      <b/>
      <sz val="8"/>
      <color indexed="8"/>
      <name val="Arial"/>
      <family val="2"/>
    </font>
    <font>
      <b/>
      <sz val="9"/>
      <name val="Arial"/>
      <family val="2"/>
    </font>
    <font>
      <sz val="8"/>
      <color indexed="10"/>
      <name val="Arial"/>
      <family val="2"/>
    </font>
    <font>
      <u/>
      <sz val="11"/>
      <color theme="10"/>
      <name val="Calibri"/>
      <family val="2"/>
    </font>
    <font>
      <sz val="10"/>
      <name val="Arial"/>
      <family val="2"/>
    </font>
    <font>
      <b/>
      <sz val="12"/>
      <name val="Arial"/>
      <family val="2"/>
    </font>
    <font>
      <sz val="10"/>
      <name val="Arial"/>
      <family val="2"/>
    </font>
    <font>
      <sz val="10"/>
      <name val="Courier New"/>
      <family val="3"/>
    </font>
    <font>
      <sz val="11"/>
      <color theme="1"/>
      <name val="Arial"/>
      <family val="2"/>
    </font>
    <font>
      <b/>
      <sz val="11"/>
      <color theme="1"/>
      <name val="Arial"/>
      <family val="2"/>
    </font>
    <font>
      <sz val="8"/>
      <color theme="1"/>
      <name val="Arial"/>
      <family val="2"/>
    </font>
    <font>
      <sz val="11"/>
      <name val="Arial"/>
      <family val="2"/>
    </font>
    <font>
      <sz val="9"/>
      <color theme="0"/>
      <name val="Arial"/>
      <family val="2"/>
    </font>
    <font>
      <b/>
      <sz val="10"/>
      <color theme="1"/>
      <name val="Arial"/>
      <family val="2"/>
    </font>
    <font>
      <sz val="28"/>
      <color theme="1"/>
      <name val="Arial"/>
      <family val="2"/>
    </font>
    <font>
      <u/>
      <sz val="9"/>
      <color theme="1"/>
      <name val="Arial"/>
      <family val="2"/>
    </font>
    <font>
      <sz val="9"/>
      <color theme="1"/>
      <name val="Arial"/>
      <family val="2"/>
    </font>
    <font>
      <b/>
      <sz val="9"/>
      <color theme="1"/>
      <name val="Arial"/>
      <family val="2"/>
    </font>
    <font>
      <sz val="11"/>
      <color rgb="FF000000"/>
      <name val="Calibri"/>
      <family val="2"/>
    </font>
    <font>
      <b/>
      <sz val="14"/>
      <name val="Courier New"/>
      <family val="3"/>
    </font>
    <font>
      <sz val="11"/>
      <name val="Courier New"/>
      <family val="3"/>
    </font>
    <font>
      <b/>
      <sz val="8"/>
      <color rgb="FFFF0000"/>
      <name val="Arial"/>
      <family val="2"/>
    </font>
    <font>
      <sz val="9"/>
      <color indexed="81"/>
      <name val="Segoe UI"/>
      <family val="2"/>
    </font>
    <font>
      <b/>
      <sz val="9"/>
      <color indexed="81"/>
      <name val="Segoe UI"/>
      <family val="2"/>
    </font>
    <font>
      <b/>
      <sz val="10"/>
      <color rgb="FF000000"/>
      <name val="Calibri"/>
      <family val="2"/>
    </font>
    <font>
      <b/>
      <sz val="14"/>
      <color theme="1"/>
      <name val="Calibri"/>
      <family val="2"/>
      <scheme val="minor"/>
    </font>
    <font>
      <b/>
      <sz val="11"/>
      <color rgb="FFFF0000"/>
      <name val="Arial"/>
      <family val="2"/>
    </font>
    <font>
      <sz val="11"/>
      <color rgb="FFFF0000"/>
      <name val="Arial"/>
      <family val="2"/>
    </font>
    <font>
      <b/>
      <sz val="6"/>
      <color theme="4"/>
      <name val="Arial"/>
      <family val="2"/>
    </font>
    <font>
      <sz val="11"/>
      <color theme="4"/>
      <name val="Arial"/>
      <family val="2"/>
    </font>
    <font>
      <b/>
      <sz val="7"/>
      <color theme="4"/>
      <name val="Arial"/>
      <family val="2"/>
    </font>
    <font>
      <sz val="8"/>
      <color theme="4"/>
      <name val="Arial"/>
      <family val="2"/>
    </font>
    <font>
      <sz val="12"/>
      <color indexed="24"/>
      <name val="Arial"/>
      <family val="2"/>
    </font>
    <font>
      <sz val="7"/>
      <color theme="1"/>
      <name val="Arial"/>
      <family val="2"/>
    </font>
    <font>
      <sz val="12"/>
      <color theme="1"/>
      <name val="Arial"/>
      <family val="2"/>
    </font>
    <font>
      <sz val="6"/>
      <color indexed="8"/>
      <name val="Arial"/>
      <family val="2"/>
    </font>
    <font>
      <sz val="12"/>
      <color indexed="8"/>
      <name val="Arial"/>
      <family val="2"/>
    </font>
    <font>
      <sz val="11"/>
      <color indexed="16"/>
      <name val="Calibri"/>
      <family val="2"/>
    </font>
    <font>
      <b/>
      <sz val="11"/>
      <color indexed="53"/>
      <name val="Calibri"/>
      <family val="2"/>
    </font>
    <font>
      <b/>
      <sz val="11"/>
      <color indexed="10"/>
      <name val="Calibri"/>
      <family val="2"/>
    </font>
    <font>
      <b/>
      <sz val="15"/>
      <color indexed="62"/>
      <name val="Calibri"/>
      <family val="2"/>
    </font>
    <font>
      <b/>
      <sz val="13"/>
      <color indexed="62"/>
      <name val="Calibri"/>
      <family val="2"/>
    </font>
    <font>
      <b/>
      <sz val="11"/>
      <color indexed="62"/>
      <name val="Calibri"/>
      <family val="2"/>
    </font>
    <font>
      <u/>
      <sz val="10"/>
      <color indexed="12"/>
      <name val="Arial"/>
      <family val="2"/>
    </font>
    <font>
      <sz val="10"/>
      <name val="Courier"/>
      <family val="3"/>
    </font>
    <font>
      <b/>
      <sz val="10"/>
      <name val="Bookman Old Style"/>
      <family val="1"/>
    </font>
    <font>
      <sz val="11"/>
      <color indexed="53"/>
      <name val="Calibri"/>
      <family val="2"/>
    </font>
    <font>
      <sz val="11"/>
      <color indexed="19"/>
      <name val="Calibri"/>
      <family val="2"/>
    </font>
    <font>
      <sz val="10"/>
      <name val="MS Sans Serif"/>
      <family val="2"/>
    </font>
    <font>
      <sz val="10"/>
      <name val="Times New Roman"/>
      <family val="1"/>
    </font>
    <font>
      <b/>
      <sz val="18"/>
      <color indexed="62"/>
      <name val="Cambria"/>
      <family val="2"/>
    </font>
    <font>
      <b/>
      <sz val="18"/>
      <color theme="3"/>
      <name val="Cambria"/>
      <family val="2"/>
    </font>
    <font>
      <i/>
      <sz val="10"/>
      <name val="Arial"/>
      <family val="2"/>
    </font>
    <font>
      <sz val="8"/>
      <color indexed="8"/>
      <name val="Calibri"/>
      <family val="2"/>
    </font>
    <font>
      <b/>
      <sz val="15"/>
      <color rgb="FF92D050"/>
      <name val="Calibri"/>
      <family val="2"/>
      <scheme val="minor"/>
    </font>
  </fonts>
  <fills count="8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rgb="FFFFFF00"/>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45"/>
        <bgColor indexed="45"/>
      </patternFill>
    </fill>
    <fill>
      <patternFill patternType="solid">
        <fgColor indexed="9"/>
        <bgColor indexed="9"/>
      </patternFill>
    </fill>
    <fill>
      <patternFill patternType="solid">
        <fgColor indexed="9"/>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56"/>
      </patternFill>
    </fill>
    <fill>
      <patternFill patternType="solid">
        <fgColor indexed="54"/>
      </patternFill>
    </fill>
    <fill>
      <patternFill patternType="solid">
        <fgColor indexed="43"/>
        <bgColor indexed="43"/>
      </patternFill>
    </fill>
    <fill>
      <patternFill patternType="solid">
        <fgColor indexed="9"/>
        <bgColor indexed="64"/>
      </patternFill>
    </fill>
  </fills>
  <borders count="157">
    <border>
      <left/>
      <right/>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64"/>
      </top>
      <bottom/>
      <diagonal/>
    </border>
    <border>
      <left/>
      <right/>
      <top style="thin">
        <color indexed="62"/>
      </top>
      <bottom style="double">
        <color indexed="62"/>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9"/>
      </left>
      <right/>
      <top/>
      <bottom/>
      <diagonal/>
    </border>
    <border>
      <left style="hair">
        <color indexed="64"/>
      </left>
      <right style="hair">
        <color rgb="FF000000"/>
      </right>
      <top style="hair">
        <color indexed="64"/>
      </top>
      <bottom style="hair">
        <color rgb="FF000000"/>
      </bottom>
      <diagonal/>
    </border>
    <border>
      <left style="hair">
        <color rgb="FF000000"/>
      </left>
      <right/>
      <top style="hair">
        <color indexed="64"/>
      </top>
      <bottom style="hair">
        <color rgb="FF000000"/>
      </bottom>
      <diagonal/>
    </border>
    <border>
      <left/>
      <right/>
      <top style="hair">
        <color indexed="64"/>
      </top>
      <bottom style="hair">
        <color rgb="FF000000"/>
      </bottom>
      <diagonal/>
    </border>
    <border>
      <left/>
      <right style="hair">
        <color rgb="FF000000"/>
      </right>
      <top style="hair">
        <color indexed="64"/>
      </top>
      <bottom style="hair">
        <color rgb="FF000000"/>
      </bottom>
      <diagonal/>
    </border>
    <border>
      <left style="hair">
        <color indexed="64"/>
      </left>
      <right style="hair">
        <color rgb="FF000000"/>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hair">
        <color rgb="FF000000"/>
      </right>
      <top/>
      <bottom style="hair">
        <color rgb="FF000000"/>
      </bottom>
      <diagonal/>
    </border>
    <border>
      <left/>
      <right style="hair">
        <color indexed="64"/>
      </right>
      <top/>
      <bottom style="hair">
        <color rgb="FF000000"/>
      </bottom>
      <diagonal/>
    </border>
    <border>
      <left style="hair">
        <color indexed="64"/>
      </left>
      <right/>
      <top style="hair">
        <color rgb="FF000000"/>
      </top>
      <bottom style="hair">
        <color rgb="FF000000"/>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hair">
        <color rgb="FF000000"/>
      </right>
      <top/>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bottom style="hair">
        <color indexed="64"/>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style="hair">
        <color indexed="64"/>
      </right>
      <top/>
      <bottom style="hair">
        <color indexed="64"/>
      </bottom>
      <diagonal/>
    </border>
    <border>
      <left/>
      <right style="hair">
        <color rgb="FF000000"/>
      </right>
      <top style="hair">
        <color indexed="64"/>
      </top>
      <bottom style="hair">
        <color indexed="64"/>
      </bottom>
      <diagonal/>
    </border>
    <border>
      <left style="hair">
        <color rgb="FF000000"/>
      </left>
      <right style="hair">
        <color rgb="FF000000"/>
      </right>
      <top style="hair">
        <color rgb="FF000000"/>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medium">
        <color indexed="64"/>
      </right>
      <top/>
      <bottom style="medium">
        <color indexed="64"/>
      </bottom>
      <diagonal/>
    </border>
    <border>
      <left style="hair">
        <color rgb="FF000000"/>
      </left>
      <right style="hair">
        <color indexed="64"/>
      </right>
      <top/>
      <bottom style="hair">
        <color indexed="64"/>
      </bottom>
      <diagonal/>
    </border>
    <border>
      <left style="hair">
        <color rgb="FF000000"/>
      </left>
      <right/>
      <top style="hair">
        <color indexed="64"/>
      </top>
      <bottom style="hair">
        <color indexed="64"/>
      </bottom>
      <diagonal/>
    </border>
    <border>
      <left style="hair">
        <color indexed="64"/>
      </left>
      <right/>
      <top/>
      <bottom style="hair">
        <color rgb="FF000000"/>
      </bottom>
      <diagonal/>
    </border>
    <border>
      <left/>
      <right/>
      <top/>
      <bottom style="hair">
        <color rgb="FF000000"/>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hair">
        <color indexed="64"/>
      </left>
      <right/>
      <top style="medium">
        <color indexed="64"/>
      </top>
      <bottom/>
      <diagonal/>
    </border>
    <border>
      <left style="hair">
        <color indexed="64"/>
      </left>
      <right style="medium">
        <color indexed="64"/>
      </right>
      <top style="medium">
        <color indexed="64"/>
      </top>
      <bottom/>
      <diagonal/>
    </border>
    <border>
      <left/>
      <right/>
      <top/>
      <bottom style="hair">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style="thin">
        <color indexed="64"/>
      </bottom>
      <diagonal/>
    </border>
    <border>
      <left/>
      <right/>
      <top style="thin">
        <color indexed="64"/>
      </top>
      <bottom style="hair">
        <color indexed="64"/>
      </bottom>
      <diagonal/>
    </border>
    <border>
      <left/>
      <right style="medium">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right/>
      <top style="medium">
        <color indexed="64"/>
      </top>
      <bottom/>
      <diagonal/>
    </border>
    <border>
      <left/>
      <right/>
      <top style="hair">
        <color indexed="64"/>
      </top>
      <bottom style="medium">
        <color indexed="64"/>
      </bottom>
      <diagonal/>
    </border>
    <border>
      <left style="medium">
        <color indexed="64"/>
      </left>
      <right style="hair">
        <color indexed="64"/>
      </right>
      <top style="thin">
        <color indexed="64"/>
      </top>
      <bottom/>
      <diagonal/>
    </border>
    <border>
      <left/>
      <right style="medium">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style="medium">
        <color indexed="64"/>
      </bottom>
      <diagonal/>
    </border>
    <border>
      <left style="medium">
        <color indexed="64"/>
      </left>
      <right/>
      <top style="thin">
        <color indexed="64"/>
      </top>
      <bottom/>
      <diagonal/>
    </border>
    <border>
      <left style="medium">
        <color indexed="64"/>
      </left>
      <right/>
      <top style="hair">
        <color indexed="64"/>
      </top>
      <bottom/>
      <diagonal/>
    </border>
    <border>
      <left style="medium">
        <color indexed="64"/>
      </left>
      <right/>
      <top style="hair">
        <color indexed="64"/>
      </top>
      <bottom style="thin">
        <color indexed="64"/>
      </bottom>
      <diagonal/>
    </border>
    <border>
      <left/>
      <right style="medium">
        <color indexed="64"/>
      </right>
      <top/>
      <bottom style="hair">
        <color indexed="64"/>
      </bottom>
      <diagonal/>
    </border>
    <border>
      <left/>
      <right style="hair">
        <color indexed="64"/>
      </right>
      <top style="thin">
        <color indexed="64"/>
      </top>
      <bottom/>
      <diagonal/>
    </border>
    <border>
      <left/>
      <right style="hair">
        <color indexed="64"/>
      </right>
      <top/>
      <bottom style="thin">
        <color indexed="64"/>
      </bottom>
      <diagonal/>
    </border>
    <border>
      <left/>
      <right style="hair">
        <color indexed="64"/>
      </right>
      <top style="hair">
        <color indexed="64"/>
      </top>
      <bottom style="medium">
        <color indexed="64"/>
      </bottom>
      <diagonal/>
    </border>
    <border>
      <left style="hair">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hair">
        <color indexed="64"/>
      </left>
      <right style="medium">
        <color indexed="64"/>
      </right>
      <top/>
      <bottom/>
      <diagonal/>
    </border>
    <border>
      <left style="hair">
        <color indexed="64"/>
      </left>
      <right style="medium">
        <color indexed="64"/>
      </right>
      <top style="thin">
        <color indexed="64"/>
      </top>
      <bottom/>
      <diagonal/>
    </border>
    <border>
      <left style="hair">
        <color indexed="64"/>
      </left>
      <right style="medium">
        <color indexed="64"/>
      </right>
      <top style="hair">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double">
        <color indexed="10"/>
      </bottom>
      <diagonal/>
    </border>
    <border>
      <left/>
      <right/>
      <top/>
      <bottom style="thick">
        <color indexed="54"/>
      </bottom>
      <diagonal/>
    </border>
    <border>
      <left/>
      <right/>
      <top/>
      <bottom style="medium">
        <color indexed="44"/>
      </bottom>
      <diagonal/>
    </border>
    <border>
      <left/>
      <right/>
      <top/>
      <bottom style="thin">
        <color indexed="49"/>
      </bottom>
      <diagonal/>
    </border>
    <border>
      <left/>
      <right/>
      <top/>
      <bottom style="thin">
        <color indexed="62"/>
      </bottom>
      <diagonal/>
    </border>
    <border>
      <left/>
      <right/>
      <top/>
      <bottom style="thick">
        <color indexed="56"/>
      </bottom>
      <diagonal/>
    </border>
    <border>
      <left/>
      <right/>
      <top/>
      <bottom style="thick">
        <color indexed="27"/>
      </bottom>
      <diagonal/>
    </border>
    <border>
      <left/>
      <right/>
      <top/>
      <bottom style="medium">
        <color indexed="27"/>
      </bottom>
      <diagonal/>
    </border>
    <border>
      <left style="thin">
        <color indexed="64"/>
      </left>
      <right style="thin">
        <color indexed="64"/>
      </right>
      <top/>
      <bottom style="thin">
        <color indexed="64"/>
      </bottom>
      <diagonal/>
    </border>
  </borders>
  <cellStyleXfs count="2956">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3" fillId="20" borderId="0" applyNumberFormat="0" applyBorder="0" applyAlignment="0" applyProtection="0"/>
    <xf numFmtId="0" fontId="4" fillId="21" borderId="4" applyNumberFormat="0" applyAlignment="0" applyProtection="0"/>
    <xf numFmtId="0" fontId="5" fillId="22" borderId="5" applyNumberFormat="0" applyAlignment="0" applyProtection="0"/>
    <xf numFmtId="0" fontId="6" fillId="0" borderId="6" applyNumberFormat="0" applyFill="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7" fillId="29" borderId="4" applyNumberFormat="0" applyAlignment="0" applyProtection="0"/>
    <xf numFmtId="0" fontId="8" fillId="30" borderId="0" applyNumberFormat="0" applyBorder="0" applyAlignment="0" applyProtection="0"/>
    <xf numFmtId="0" fontId="9" fillId="31" borderId="0" applyNumberFormat="0" applyBorder="0" applyAlignment="0" applyProtection="0"/>
    <xf numFmtId="0" fontId="1" fillId="32" borderId="7" applyNumberFormat="0" applyFont="0" applyAlignment="0" applyProtection="0"/>
    <xf numFmtId="0" fontId="10" fillId="21" borderId="8"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9" applyNumberFormat="0" applyFill="0" applyAlignment="0" applyProtection="0"/>
    <xf numFmtId="0" fontId="15" fillId="0" borderId="10" applyNumberFormat="0" applyFill="0" applyAlignment="0" applyProtection="0"/>
    <xf numFmtId="0" fontId="16" fillId="0" borderId="11" applyNumberFormat="0" applyFill="0" applyAlignment="0" applyProtection="0"/>
    <xf numFmtId="0" fontId="16" fillId="0" borderId="0" applyNumberFormat="0" applyFill="0" applyBorder="0" applyAlignment="0" applyProtection="0"/>
    <xf numFmtId="0" fontId="17" fillId="0" borderId="12" applyNumberFormat="0" applyFill="0" applyAlignment="0" applyProtection="0"/>
    <xf numFmtId="4" fontId="19" fillId="0" borderId="0">
      <alignment vertical="center" wrapText="1"/>
      <protection locked="0"/>
    </xf>
    <xf numFmtId="0" fontId="20" fillId="0" borderId="0"/>
    <xf numFmtId="0" fontId="20" fillId="0" borderId="0"/>
    <xf numFmtId="165" fontId="20" fillId="0" borderId="0" applyFont="0" applyFill="0" applyBorder="0" applyAlignment="0" applyProtection="0"/>
    <xf numFmtId="0" fontId="23" fillId="0" borderId="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1" fillId="2"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8" fillId="2" borderId="0" applyNumberFormat="0" applyBorder="0" applyAlignment="0" applyProtection="0"/>
    <xf numFmtId="0" fontId="25" fillId="34"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1" fillId="3"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8" fillId="3" borderId="0" applyNumberFormat="0" applyBorder="0" applyAlignment="0" applyProtection="0"/>
    <xf numFmtId="0" fontId="25" fillId="35"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1" fillId="4"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8" fillId="4" borderId="0" applyNumberFormat="0" applyBorder="0" applyAlignment="0" applyProtection="0"/>
    <xf numFmtId="0" fontId="25" fillId="36"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1" fillId="5"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8" fillId="5" borderId="0" applyNumberFormat="0" applyBorder="0" applyAlignment="0" applyProtection="0"/>
    <xf numFmtId="0" fontId="25" fillId="37"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1" fillId="6"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8" fillId="6" borderId="0" applyNumberFormat="0" applyBorder="0" applyAlignment="0" applyProtection="0"/>
    <xf numFmtId="0" fontId="25" fillId="38"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1" fillId="7"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8" fillId="7" borderId="0" applyNumberFormat="0" applyBorder="0" applyAlignment="0" applyProtection="0"/>
    <xf numFmtId="0" fontId="25" fillId="39"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1" fillId="8"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8" fillId="8" borderId="0" applyNumberFormat="0" applyBorder="0" applyAlignment="0" applyProtection="0"/>
    <xf numFmtId="0" fontId="25" fillId="40"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1" fillId="9"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8" fillId="9" borderId="0" applyNumberFormat="0" applyBorder="0" applyAlignment="0" applyProtection="0"/>
    <xf numFmtId="0" fontId="25" fillId="41"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1" fillId="10"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8" fillId="10" borderId="0" applyNumberFormat="0" applyBorder="0" applyAlignment="0" applyProtection="0"/>
    <xf numFmtId="0" fontId="25" fillId="42"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1" fillId="11"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8" fillId="11" borderId="0" applyNumberFormat="0" applyBorder="0" applyAlignment="0" applyProtection="0"/>
    <xf numFmtId="0" fontId="25" fillId="37"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1" fillId="12"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8" fillId="12" borderId="0" applyNumberFormat="0" applyBorder="0" applyAlignment="0" applyProtection="0"/>
    <xf numFmtId="0" fontId="25" fillId="40"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1" fillId="1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18" fillId="13" borderId="0" applyNumberFormat="0" applyBorder="0" applyAlignment="0" applyProtection="0"/>
    <xf numFmtId="0" fontId="25" fillId="43"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 fillId="1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 fillId="15"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 fillId="16"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 fillId="17"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 fillId="18"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 fillId="19"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6" fillId="47"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3" fillId="20"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7" fillId="36" borderId="0" applyNumberFormat="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4" fillId="21" borderId="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0" fillId="48" borderId="14"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5" fillId="22" borderId="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1" fillId="49" borderId="15" applyNumberFormat="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6" fillId="0" borderId="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0" fontId="32" fillId="0" borderId="16" applyNumberFormat="0" applyFill="0" applyAlignment="0" applyProtection="0"/>
    <xf numFmtId="165" fontId="20" fillId="0" borderId="0" applyFont="0" applyFill="0" applyBorder="0" applyAlignment="0" applyProtection="0"/>
    <xf numFmtId="0" fontId="19" fillId="0" borderId="0" applyFont="0" applyFill="0" applyBorder="0" applyAlignment="0" applyProtection="0"/>
    <xf numFmtId="4" fontId="33" fillId="0" borderId="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 fillId="23"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0"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 fillId="24"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1"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 fillId="25"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52"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 fillId="26"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 fillId="27"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46"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 fillId="28"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26" fillId="53" borderId="0" applyNumberFormat="0" applyBorder="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7" fillId="29" borderId="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0" fontId="34" fillId="39" borderId="14" applyNumberFormat="0" applyAlignment="0" applyProtection="0"/>
    <xf numFmtId="2" fontId="19" fillId="0" borderId="0" applyFont="0" applyFill="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8" fillId="30"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0" fontId="35" fillId="35" borderId="0" applyNumberFormat="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6" fontId="20" fillId="0" borderId="0" applyFont="0" applyFill="0" applyBorder="0" applyAlignment="0" applyProtection="0"/>
    <xf numFmtId="167" fontId="20" fillId="0" borderId="0" applyFont="0" applyFill="0" applyBorder="0" applyAlignment="0" applyProtection="0"/>
    <xf numFmtId="168" fontId="19" fillId="0" borderId="0" applyFont="0" applyFill="0" applyBorder="0" applyAlignment="0" applyProtection="0"/>
    <xf numFmtId="168" fontId="19" fillId="0" borderId="0" applyFont="0" applyFill="0" applyBorder="0" applyAlignment="0" applyProtection="0"/>
    <xf numFmtId="169" fontId="19" fillId="0" borderId="0" applyFont="0" applyFill="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9" fillId="31"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36" fillId="54" borderId="0" applyNumberFormat="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37" fillId="0" borderId="0"/>
    <xf numFmtId="0" fontId="37" fillId="0" borderId="0"/>
    <xf numFmtId="0" fontId="37" fillId="0" borderId="0"/>
    <xf numFmtId="0" fontId="37" fillId="0" borderId="0"/>
    <xf numFmtId="0" fontId="20"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39" fillId="0" borderId="0"/>
    <xf numFmtId="0" fontId="39" fillId="0" borderId="0"/>
    <xf numFmtId="0" fontId="39" fillId="0" borderId="0"/>
    <xf numFmtId="0" fontId="39" fillId="0" borderId="0"/>
    <xf numFmtId="0" fontId="39" fillId="0" borderId="0"/>
    <xf numFmtId="0" fontId="38" fillId="0" borderId="0"/>
    <xf numFmtId="0" fontId="25" fillId="0" borderId="0"/>
    <xf numFmtId="0" fontId="25" fillId="0" borderId="0"/>
    <xf numFmtId="0" fontId="25" fillId="0" borderId="0"/>
    <xf numFmtId="0" fontId="25" fillId="0" borderId="0"/>
    <xf numFmtId="0" fontId="39"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9" fillId="0" borderId="0"/>
    <xf numFmtId="0" fontId="39" fillId="0" borderId="0"/>
    <xf numFmtId="0" fontId="39" fillId="0" borderId="0"/>
    <xf numFmtId="0" fontId="39" fillId="0" borderId="0"/>
    <xf numFmtId="0" fontId="39" fillId="0" borderId="0"/>
    <xf numFmtId="0" fontId="38" fillId="0" borderId="0"/>
    <xf numFmtId="0" fontId="39" fillId="0" borderId="0"/>
    <xf numFmtId="0" fontId="39" fillId="0" borderId="0"/>
    <xf numFmtId="0" fontId="39" fillId="0" borderId="0"/>
    <xf numFmtId="0" fontId="20"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7" fillId="0" borderId="0"/>
    <xf numFmtId="0" fontId="37" fillId="0" borderId="0"/>
    <xf numFmtId="0" fontId="38" fillId="0" borderId="0"/>
    <xf numFmtId="0" fontId="38" fillId="0" borderId="0"/>
    <xf numFmtId="0" fontId="38" fillId="0" borderId="0"/>
    <xf numFmtId="0" fontId="38"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3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38" fillId="0" borderId="0"/>
    <xf numFmtId="0" fontId="40" fillId="0" borderId="0" applyBorder="0" applyAlignment="0">
      <alignment horizontal="left"/>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1"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8" fillId="0" borderId="0"/>
    <xf numFmtId="0" fontId="20" fillId="0" borderId="0"/>
    <xf numFmtId="4" fontId="19" fillId="0" borderId="0">
      <alignment vertical="center" wrapText="1"/>
      <protection locked="0"/>
    </xf>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 fontId="19" fillId="0" borderId="0">
      <alignment vertical="center" wrapText="1"/>
      <protection locked="0"/>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0"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25" fillId="55" borderId="1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41"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0" fontId="41" fillId="32" borderId="7" applyNumberFormat="0" applyFont="0" applyAlignment="0" applyProtection="0"/>
    <xf numFmtId="0" fontId="20" fillId="55" borderId="17" applyNumberFormat="0" applyFont="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9" fontId="20" fillId="0" borderId="0" applyFont="0" applyFill="0" applyBorder="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10" fillId="21" borderId="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0" fontId="42" fillId="48" borderId="18" applyNumberFormat="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4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3" fontId="1"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4" fontId="19" fillId="0" borderId="0" applyFont="0" applyFill="0" applyBorder="0" applyAlignment="0" applyProtection="0"/>
    <xf numFmtId="4" fontId="19"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11"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12"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4" fillId="0" borderId="0" applyNumberFormat="0" applyFill="0" applyBorder="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14" fillId="0" borderId="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5" fillId="0" borderId="19" applyNumberFormat="0" applyFill="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15" fillId="0" borderId="1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7" fillId="0" borderId="20" applyNumberFormat="0" applyFill="0" applyAlignment="0" applyProtection="0"/>
    <xf numFmtId="0" fontId="46" fillId="0" borderId="0" applyNumberFormat="0" applyFill="0" applyBorder="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16" fillId="0" borderId="1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21" applyNumberFormat="0" applyFill="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16"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9" fillId="0" borderId="22" applyNumberFormat="0" applyFon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165" fontId="20" fillId="0" borderId="0" applyFont="0" applyFill="0" applyBorder="0" applyAlignment="0" applyProtection="0"/>
    <xf numFmtId="3" fontId="19" fillId="0" borderId="0" applyFont="0" applyFill="0" applyBorder="0" applyAlignment="0" applyProtection="0"/>
    <xf numFmtId="9" fontId="1" fillId="0" borderId="0" applyFont="0" applyFill="0" applyBorder="0" applyAlignment="0" applyProtection="0"/>
    <xf numFmtId="0" fontId="53" fillId="0" borderId="0"/>
    <xf numFmtId="166" fontId="20" fillId="0" borderId="0" applyFont="0" applyFill="0" applyBorder="0" applyAlignment="0" applyProtection="0"/>
    <xf numFmtId="0" fontId="25" fillId="0" borderId="0"/>
    <xf numFmtId="0" fontId="20" fillId="0" borderId="0"/>
    <xf numFmtId="0" fontId="20" fillId="0" borderId="0"/>
    <xf numFmtId="9" fontId="1" fillId="0" borderId="0" applyFont="0" applyFill="0" applyBorder="0" applyAlignment="0" applyProtection="0"/>
    <xf numFmtId="43"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0" fontId="20" fillId="0" borderId="0"/>
    <xf numFmtId="0" fontId="20" fillId="0" borderId="0"/>
    <xf numFmtId="0" fontId="20" fillId="0" borderId="0"/>
    <xf numFmtId="0" fontId="20" fillId="0" borderId="0"/>
    <xf numFmtId="4" fontId="19" fillId="0" borderId="0">
      <alignment vertical="center" wrapText="1"/>
      <protection locked="0"/>
    </xf>
    <xf numFmtId="9" fontId="1" fillId="0" borderId="0" applyFont="0" applyFill="0" applyBorder="0" applyAlignment="0" applyProtection="0"/>
    <xf numFmtId="9" fontId="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20" fillId="0" borderId="0" applyFont="0" applyFill="0" applyBorder="0" applyAlignment="0" applyProtection="0"/>
    <xf numFmtId="164" fontId="1" fillId="0" borderId="0" applyFont="0" applyFill="0" applyBorder="0" applyAlignment="0" applyProtection="0"/>
    <xf numFmtId="0" fontId="86" fillId="0" borderId="0"/>
    <xf numFmtId="164" fontId="25" fillId="0" borderId="0" applyFont="0" applyFill="0" applyBorder="0" applyAlignment="0" applyProtection="0"/>
    <xf numFmtId="0" fontId="85" fillId="0" borderId="0" applyNumberFormat="0" applyFill="0" applyBorder="0" applyAlignment="0" applyProtection="0">
      <alignment vertical="top"/>
      <protection locked="0"/>
    </xf>
    <xf numFmtId="167" fontId="20" fillId="0" borderId="0" applyFont="0" applyFill="0" applyBorder="0" applyAlignment="0" applyProtection="0"/>
    <xf numFmtId="43" fontId="1" fillId="0" borderId="0" applyFont="0" applyFill="0" applyBorder="0" applyAlignment="0" applyProtection="0"/>
    <xf numFmtId="0" fontId="88" fillId="0" borderId="0"/>
    <xf numFmtId="43" fontId="2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0" fillId="0" borderId="0" applyFont="0" applyFill="0" applyBorder="0" applyAlignment="0" applyProtection="0"/>
    <xf numFmtId="164" fontId="20" fillId="0" borderId="0" applyFont="0" applyFill="0" applyBorder="0" applyAlignment="0" applyProtection="0"/>
    <xf numFmtId="164"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41"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5"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4" fontId="1" fillId="0" borderId="0" applyFont="0" applyFill="0" applyBorder="0" applyAlignment="0" applyProtection="0"/>
    <xf numFmtId="0" fontId="20" fillId="0" borderId="0"/>
    <xf numFmtId="164" fontId="25" fillId="0" borderId="0" applyFont="0" applyFill="0" applyBorder="0" applyAlignment="0" applyProtection="0"/>
    <xf numFmtId="167" fontId="20"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38" fillId="0" borderId="0"/>
    <xf numFmtId="0" fontId="1" fillId="0" borderId="0"/>
    <xf numFmtId="4" fontId="19" fillId="0" borderId="0">
      <alignment vertical="center" wrapText="1"/>
      <protection locked="0"/>
    </xf>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 fontId="1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00" fillId="0" borderId="0"/>
    <xf numFmtId="4" fontId="19" fillId="0" borderId="0">
      <alignment vertical="center" wrapText="1"/>
      <protection locked="0"/>
    </xf>
    <xf numFmtId="0" fontId="25" fillId="34" borderId="0" applyNumberFormat="0" applyBorder="0" applyAlignment="0" applyProtection="0"/>
    <xf numFmtId="0" fontId="25" fillId="35" borderId="0" applyNumberFormat="0" applyBorder="0" applyAlignment="0" applyProtection="0"/>
    <xf numFmtId="0" fontId="25" fillId="36" borderId="0" applyNumberFormat="0" applyBorder="0" applyAlignment="0" applyProtection="0"/>
    <xf numFmtId="0" fontId="25" fillId="37" borderId="0" applyNumberFormat="0" applyBorder="0" applyAlignment="0" applyProtection="0"/>
    <xf numFmtId="0" fontId="25" fillId="38" borderId="0" applyNumberFormat="0" applyBorder="0" applyAlignment="0" applyProtection="0"/>
    <xf numFmtId="0" fontId="25" fillId="39"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55" borderId="0" applyNumberFormat="0" applyBorder="0" applyAlignment="0" applyProtection="0"/>
    <xf numFmtId="0" fontId="25" fillId="39" borderId="0" applyNumberFormat="0" applyBorder="0" applyAlignment="0" applyProtection="0"/>
    <xf numFmtId="0" fontId="25" fillId="55" borderId="0" applyNumberFormat="0" applyBorder="0" applyAlignment="0" applyProtection="0"/>
    <xf numFmtId="0" fontId="25" fillId="40" borderId="0" applyNumberFormat="0" applyBorder="0" applyAlignment="0" applyProtection="0"/>
    <xf numFmtId="0" fontId="25" fillId="41" borderId="0" applyNumberFormat="0" applyBorder="0" applyAlignment="0" applyProtection="0"/>
    <xf numFmtId="0" fontId="25" fillId="42" borderId="0" applyNumberFormat="0" applyBorder="0" applyAlignment="0" applyProtection="0"/>
    <xf numFmtId="0" fontId="25" fillId="37" borderId="0" applyNumberFormat="0" applyBorder="0" applyAlignment="0" applyProtection="0"/>
    <xf numFmtId="0" fontId="25" fillId="40" borderId="0" applyNumberFormat="0" applyBorder="0" applyAlignment="0" applyProtection="0"/>
    <xf numFmtId="0" fontId="25" fillId="43" borderId="0" applyNumberFormat="0" applyBorder="0" applyAlignment="0" applyProtection="0"/>
    <xf numFmtId="0" fontId="25" fillId="38" borderId="0" applyNumberFormat="0" applyBorder="0" applyAlignment="0" applyProtection="0"/>
    <xf numFmtId="0" fontId="25" fillId="54" borderId="0" applyNumberFormat="0" applyBorder="0" applyAlignment="0" applyProtection="0"/>
    <xf numFmtId="0" fontId="25" fillId="35" borderId="0" applyNumberFormat="0" applyBorder="0" applyAlignment="0" applyProtection="0"/>
    <xf numFmtId="0" fontId="25" fillId="38" borderId="0" applyNumberFormat="0" applyBorder="0" applyAlignment="0" applyProtection="0"/>
    <xf numFmtId="0" fontId="25" fillId="55" borderId="0" applyNumberFormat="0" applyBorder="0" applyAlignment="0" applyProtection="0"/>
    <xf numFmtId="0" fontId="26" fillId="44" borderId="0" applyNumberFormat="0" applyBorder="0" applyAlignment="0" applyProtection="0"/>
    <xf numFmtId="0" fontId="26" fillId="41" borderId="0" applyNumberFormat="0" applyBorder="0" applyAlignment="0" applyProtection="0"/>
    <xf numFmtId="0" fontId="26" fillId="42" borderId="0" applyNumberFormat="0" applyBorder="0" applyAlignment="0" applyProtection="0"/>
    <xf numFmtId="0" fontId="26" fillId="45" borderId="0" applyNumberFormat="0" applyBorder="0" applyAlignment="0" applyProtection="0"/>
    <xf numFmtId="0" fontId="26" fillId="46" borderId="0" applyNumberFormat="0" applyBorder="0" applyAlignment="0" applyProtection="0"/>
    <xf numFmtId="0" fontId="26" fillId="47" borderId="0" applyNumberFormat="0" applyBorder="0" applyAlignment="0" applyProtection="0"/>
    <xf numFmtId="0" fontId="26" fillId="38" borderId="0" applyNumberFormat="0" applyBorder="0" applyAlignment="0" applyProtection="0"/>
    <xf numFmtId="0" fontId="26" fillId="53" borderId="0" applyNumberFormat="0" applyBorder="0" applyAlignment="0" applyProtection="0"/>
    <xf numFmtId="0" fontId="26" fillId="43" borderId="0" applyNumberFormat="0" applyBorder="0" applyAlignment="0" applyProtection="0"/>
    <xf numFmtId="0" fontId="26" fillId="35" borderId="0" applyNumberFormat="0" applyBorder="0" applyAlignment="0" applyProtection="0"/>
    <xf numFmtId="0" fontId="26" fillId="38" borderId="0" applyNumberFormat="0" applyBorder="0" applyAlignment="0" applyProtection="0"/>
    <xf numFmtId="0" fontId="26" fillId="41" borderId="0" applyNumberFormat="0" applyBorder="0" applyAlignment="0" applyProtection="0"/>
    <xf numFmtId="0" fontId="26" fillId="62" borderId="0" applyNumberFormat="0" applyBorder="0" applyAlignment="0" applyProtection="0"/>
    <xf numFmtId="0" fontId="25" fillId="63" borderId="0" applyNumberFormat="0" applyBorder="0" applyAlignment="0" applyProtection="0"/>
    <xf numFmtId="0" fontId="25" fillId="63" borderId="0" applyNumberFormat="0" applyBorder="0" applyAlignment="0" applyProtection="0"/>
    <xf numFmtId="0" fontId="26" fillId="64" borderId="0" applyNumberFormat="0" applyBorder="0" applyAlignment="0" applyProtection="0"/>
    <xf numFmtId="0" fontId="26" fillId="65" borderId="0" applyNumberFormat="0" applyBorder="0" applyAlignment="0" applyProtection="0"/>
    <xf numFmtId="0" fontId="25" fillId="66" borderId="0" applyNumberFormat="0" applyBorder="0" applyAlignment="0" applyProtection="0"/>
    <xf numFmtId="0" fontId="25" fillId="67" borderId="0" applyNumberFormat="0" applyBorder="0" applyAlignment="0" applyProtection="0"/>
    <xf numFmtId="0" fontId="26" fillId="68" borderId="0" applyNumberFormat="0" applyBorder="0" applyAlignment="0" applyProtection="0"/>
    <xf numFmtId="0" fontId="26" fillId="68" borderId="0" applyNumberFormat="0" applyBorder="0" applyAlignment="0" applyProtection="0"/>
    <xf numFmtId="0" fontId="25" fillId="66" borderId="0" applyNumberFormat="0" applyBorder="0" applyAlignment="0" applyProtection="0"/>
    <xf numFmtId="0" fontId="25" fillId="69" borderId="0" applyNumberFormat="0" applyBorder="0" applyAlignment="0" applyProtection="0"/>
    <xf numFmtId="0" fontId="26" fillId="67" borderId="0" applyNumberFormat="0" applyBorder="0" applyAlignment="0" applyProtection="0"/>
    <xf numFmtId="0" fontId="26" fillId="62" borderId="0" applyNumberFormat="0" applyBorder="0" applyAlignment="0" applyProtection="0"/>
    <xf numFmtId="0" fontId="25" fillId="63" borderId="0" applyNumberFormat="0" applyBorder="0" applyAlignment="0" applyProtection="0"/>
    <xf numFmtId="0" fontId="25" fillId="67" borderId="0" applyNumberFormat="0" applyBorder="0" applyAlignment="0" applyProtection="0"/>
    <xf numFmtId="0" fontId="26" fillId="67" borderId="0" applyNumberFormat="0" applyBorder="0" applyAlignment="0" applyProtection="0"/>
    <xf numFmtId="0" fontId="26" fillId="70" borderId="0" applyNumberFormat="0" applyBorder="0" applyAlignment="0" applyProtection="0"/>
    <xf numFmtId="0" fontId="25" fillId="71" borderId="0" applyNumberFormat="0" applyBorder="0" applyAlignment="0" applyProtection="0"/>
    <xf numFmtId="0" fontId="25" fillId="63" borderId="0" applyNumberFormat="0" applyBorder="0" applyAlignment="0" applyProtection="0"/>
    <xf numFmtId="0" fontId="26" fillId="64" borderId="0" applyNumberFormat="0" applyBorder="0" applyAlignment="0" applyProtection="0"/>
    <xf numFmtId="0" fontId="26" fillId="72" borderId="0" applyNumberFormat="0" applyBorder="0" applyAlignment="0" applyProtection="0"/>
    <xf numFmtId="0" fontId="25" fillId="66" borderId="0" applyNumberFormat="0" applyBorder="0" applyAlignment="0" applyProtection="0"/>
    <xf numFmtId="0" fontId="25" fillId="73" borderId="0" applyNumberFormat="0" applyBorder="0" applyAlignment="0" applyProtection="0"/>
    <xf numFmtId="0" fontId="26" fillId="73" borderId="0" applyNumberFormat="0" applyBorder="0" applyAlignment="0" applyProtection="0"/>
    <xf numFmtId="0" fontId="119" fillId="74" borderId="0" applyNumberFormat="0" applyBorder="0" applyAlignment="0" applyProtection="0"/>
    <xf numFmtId="0" fontId="27" fillId="38" borderId="0" applyNumberFormat="0" applyBorder="0" applyAlignment="0" applyProtection="0"/>
    <xf numFmtId="0" fontId="120" fillId="75" borderId="14" applyNumberFormat="0" applyAlignment="0" applyProtection="0"/>
    <xf numFmtId="0" fontId="121" fillId="76" borderId="14" applyNumberFormat="0" applyAlignment="0" applyProtection="0"/>
    <xf numFmtId="0" fontId="43" fillId="0" borderId="148" applyNumberFormat="0" applyFill="0" applyAlignment="0" applyProtection="0"/>
    <xf numFmtId="0" fontId="31" fillId="68" borderId="15" applyNumberFormat="0" applyAlignment="0" applyProtection="0"/>
    <xf numFmtId="0" fontId="49" fillId="77" borderId="0" applyNumberFormat="0" applyBorder="0" applyAlignment="0" applyProtection="0"/>
    <xf numFmtId="0" fontId="49" fillId="78" borderId="0" applyNumberFormat="0" applyBorder="0" applyAlignment="0" applyProtection="0"/>
    <xf numFmtId="0" fontId="49" fillId="79" borderId="0" applyNumberFormat="0" applyBorder="0" applyAlignment="0" applyProtection="0"/>
    <xf numFmtId="0" fontId="26" fillId="80" borderId="0" applyNumberFormat="0" applyBorder="0" applyAlignment="0" applyProtection="0"/>
    <xf numFmtId="0" fontId="26" fillId="53" borderId="0" applyNumberFormat="0" applyBorder="0" applyAlignment="0" applyProtection="0"/>
    <xf numFmtId="0" fontId="26" fillId="43" borderId="0" applyNumberFormat="0" applyBorder="0" applyAlignment="0" applyProtection="0"/>
    <xf numFmtId="0" fontId="26" fillId="81" borderId="0" applyNumberFormat="0" applyBorder="0" applyAlignment="0" applyProtection="0"/>
    <xf numFmtId="0" fontId="26" fillId="51" borderId="0" applyNumberFormat="0" applyBorder="0" applyAlignment="0" applyProtection="0"/>
    <xf numFmtId="0" fontId="34" fillId="54" borderId="14" applyNumberFormat="0" applyAlignment="0" applyProtection="0"/>
    <xf numFmtId="183" fontId="20" fillId="0" borderId="0" applyFont="0" applyFill="0" applyBorder="0" applyAlignment="0" applyProtection="0"/>
    <xf numFmtId="183" fontId="20" fillId="0" borderId="0" applyFont="0" applyFill="0" applyBorder="0" applyAlignment="0" applyProtection="0"/>
    <xf numFmtId="184" fontId="20" fillId="0" borderId="0" applyFill="0" applyBorder="0" applyAlignment="0" applyProtection="0"/>
    <xf numFmtId="0" fontId="44" fillId="0" borderId="0" applyNumberFormat="0" applyFill="0" applyBorder="0" applyAlignment="0" applyProtection="0"/>
    <xf numFmtId="0" fontId="27" fillId="69" borderId="0" applyNumberFormat="0" applyBorder="0" applyAlignment="0" applyProtection="0"/>
    <xf numFmtId="4" fontId="19" fillId="0" borderId="0" applyNumberFormat="0" applyFont="0" applyFill="0" applyBorder="0" applyAlignment="0" applyProtection="0">
      <alignment vertical="center" wrapText="1"/>
      <protection locked="0"/>
    </xf>
    <xf numFmtId="0" fontId="122" fillId="0" borderId="149" applyNumberFormat="0" applyFill="0" applyAlignment="0" applyProtection="0"/>
    <xf numFmtId="0" fontId="123" fillId="0" borderId="20" applyNumberFormat="0" applyFill="0" applyAlignment="0" applyProtection="0"/>
    <xf numFmtId="0" fontId="124" fillId="0" borderId="150" applyNumberFormat="0" applyFill="0" applyAlignment="0" applyProtection="0"/>
    <xf numFmtId="0" fontId="124" fillId="0" borderId="0" applyNumberFormat="0" applyFill="0" applyBorder="0" applyAlignment="0" applyProtection="0"/>
    <xf numFmtId="0" fontId="125" fillId="0" borderId="0" applyNumberFormat="0" applyFill="0" applyBorder="0" applyAlignment="0" applyProtection="0">
      <alignment vertical="top"/>
      <protection locked="0"/>
    </xf>
    <xf numFmtId="0" fontId="35" fillId="37" borderId="0" applyNumberFormat="0" applyBorder="0" applyAlignment="0" applyProtection="0"/>
    <xf numFmtId="0" fontId="126" fillId="0" borderId="0"/>
    <xf numFmtId="0" fontId="34" fillId="73" borderId="14" applyNumberFormat="0" applyAlignment="0" applyProtection="0"/>
    <xf numFmtId="185" fontId="127" fillId="0" borderId="0"/>
    <xf numFmtId="0" fontId="128" fillId="0" borderId="16" applyNumberFormat="0" applyFill="0" applyAlignment="0" applyProtection="0"/>
    <xf numFmtId="0" fontId="129" fillId="54" borderId="0" applyNumberFormat="0" applyBorder="0" applyAlignment="0" applyProtection="0"/>
    <xf numFmtId="0" fontId="36" fillId="82" borderId="0" applyNumberFormat="0" applyBorder="0" applyAlignment="0" applyProtection="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1" fillId="0" borderId="0"/>
    <xf numFmtId="0" fontId="1" fillId="0" borderId="0"/>
    <xf numFmtId="0" fontId="1" fillId="0" borderId="0"/>
    <xf numFmtId="0" fontId="38" fillId="0" borderId="0"/>
    <xf numFmtId="0" fontId="38" fillId="0" borderId="0"/>
    <xf numFmtId="0" fontId="20" fillId="0" borderId="0"/>
    <xf numFmtId="0" fontId="20" fillId="0" borderId="0"/>
    <xf numFmtId="0" fontId="20" fillId="0" borderId="0"/>
    <xf numFmtId="0" fontId="25" fillId="0" borderId="0"/>
    <xf numFmtId="0" fontId="38" fillId="0" borderId="0"/>
    <xf numFmtId="0" fontId="20" fillId="0" borderId="0"/>
    <xf numFmtId="0" fontId="1" fillId="0" borderId="0"/>
    <xf numFmtId="0" fontId="1" fillId="0" borderId="0"/>
    <xf numFmtId="0" fontId="1" fillId="0" borderId="0"/>
    <xf numFmtId="0" fontId="1" fillId="0" borderId="0"/>
    <xf numFmtId="0" fontId="1" fillId="0" borderId="0"/>
    <xf numFmtId="0" fontId="20" fillId="0" borderId="0"/>
    <xf numFmtId="0" fontId="20"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40" fillId="0" borderId="0" applyBorder="0" applyAlignment="0">
      <alignment horizontal="left"/>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0"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4" fontId="19" fillId="0" borderId="0">
      <alignment vertical="center" wrapText="1"/>
      <protection locked="0"/>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0" borderId="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5" fillId="32" borderId="7" applyNumberFormat="0" applyFont="0" applyAlignment="0" applyProtection="0"/>
    <xf numFmtId="0" fontId="20" fillId="55" borderId="17" applyNumberFormat="0" applyFont="0" applyAlignment="0" applyProtection="0"/>
    <xf numFmtId="0" fontId="20" fillId="66" borderId="17" applyNumberFormat="0" applyFont="0" applyAlignment="0" applyProtection="0"/>
    <xf numFmtId="0" fontId="20" fillId="66" borderId="17" applyNumberFormat="0" applyFont="0" applyAlignment="0" applyProtection="0"/>
    <xf numFmtId="0" fontId="42" fillId="75" borderId="18" applyNumberFormat="0" applyAlignment="0" applyProtection="0"/>
    <xf numFmtId="10" fontId="24" fillId="0" borderId="143">
      <alignment horizontal="center"/>
    </xf>
    <xf numFmtId="9" fontId="20"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10" fontId="19" fillId="0" borderId="0" applyFont="0" applyFill="0" applyBorder="0" applyAlignment="0" applyProtection="0"/>
    <xf numFmtId="9" fontId="130"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0" fillId="0" borderId="0" applyFont="0" applyFill="0" applyBorder="0" applyAlignment="0" applyProtection="0"/>
    <xf numFmtId="0" fontId="42" fillId="76" borderId="18" applyNumberFormat="0" applyAlignment="0" applyProtection="0"/>
    <xf numFmtId="186" fontId="131" fillId="0" borderId="0" applyFont="0" applyFill="0" applyBorder="0" applyAlignment="0" applyProtection="0"/>
    <xf numFmtId="187" fontId="20" fillId="0" borderId="0" applyFill="0" applyBorder="0" applyAlignment="0" applyProtection="0"/>
    <xf numFmtId="165" fontId="25"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0" fontId="132" fillId="0" borderId="0" applyNumberFormat="0" applyFill="0" applyBorder="0" applyAlignment="0" applyProtection="0"/>
    <xf numFmtId="0" fontId="46"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22" fillId="0" borderId="151" applyNumberFormat="0" applyFill="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32" fillId="0" borderId="0" applyNumberFormat="0" applyFill="0" applyBorder="0" applyAlignment="0" applyProtection="0"/>
    <xf numFmtId="0" fontId="122" fillId="0" borderId="151" applyNumberFormat="0" applyFill="0" applyAlignment="0" applyProtection="0"/>
    <xf numFmtId="0" fontId="132" fillId="0" borderId="0" applyNumberFormat="0" applyFill="0" applyBorder="0" applyAlignment="0" applyProtection="0"/>
    <xf numFmtId="0" fontId="46" fillId="0" borderId="0" applyNumberFormat="0" applyFill="0" applyBorder="0" applyAlignment="0" applyProtection="0"/>
    <xf numFmtId="0" fontId="45" fillId="0" borderId="152" applyNumberFormat="0" applyFill="0" applyAlignment="0" applyProtection="0"/>
    <xf numFmtId="0" fontId="122" fillId="0" borderId="153" applyNumberFormat="0" applyFill="0" applyAlignment="0" applyProtection="0"/>
    <xf numFmtId="0" fontId="123" fillId="0" borderId="154" applyNumberFormat="0" applyFill="0" applyAlignment="0" applyProtection="0"/>
    <xf numFmtId="0" fontId="124" fillId="0" borderId="155" applyNumberFormat="0" applyFill="0" applyAlignment="0" applyProtection="0"/>
    <xf numFmtId="0" fontId="124" fillId="0" borderId="0" applyNumberFormat="0" applyFill="0" applyBorder="0" applyAlignment="0" applyProtection="0"/>
    <xf numFmtId="0" fontId="133" fillId="0" borderId="0" applyNumberFormat="0" applyFill="0" applyBorder="0" applyAlignment="0" applyProtection="0"/>
    <xf numFmtId="0" fontId="132" fillId="0" borderId="0" applyNumberFormat="0" applyFill="0" applyBorder="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9" fillId="0" borderId="22" applyNumberFormat="0" applyFon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17" fillId="0" borderId="12" applyNumberFormat="0" applyFill="0" applyAlignment="0" applyProtection="0"/>
    <xf numFmtId="0" fontId="43" fillId="0" borderId="0" applyNumberFormat="0" applyFill="0" applyBorder="0" applyAlignment="0" applyProtection="0"/>
    <xf numFmtId="0" fontId="1" fillId="0" borderId="0"/>
    <xf numFmtId="0" fontId="20" fillId="0" borderId="0"/>
    <xf numFmtId="4" fontId="19" fillId="0" borderId="0">
      <alignment vertical="center" wrapText="1"/>
      <protection locked="0"/>
    </xf>
  </cellStyleXfs>
  <cellXfs count="810">
    <xf numFmtId="0" fontId="0" fillId="0" borderId="0" xfId="0"/>
    <xf numFmtId="4" fontId="0" fillId="0" borderId="0" xfId="0" applyNumberFormat="1" applyAlignment="1">
      <alignment wrapText="1"/>
    </xf>
    <xf numFmtId="14" fontId="21" fillId="0" borderId="3" xfId="43" applyNumberFormat="1" applyFont="1" applyFill="1" applyBorder="1" applyAlignment="1" applyProtection="1">
      <alignment horizontal="center" vertical="center" wrapText="1"/>
    </xf>
    <xf numFmtId="4" fontId="21" fillId="0" borderId="3" xfId="43" applyNumberFormat="1" applyFont="1" applyFill="1" applyBorder="1" applyAlignment="1" applyProtection="1">
      <alignment horizontal="center" vertical="center" wrapText="1"/>
    </xf>
    <xf numFmtId="0" fontId="21" fillId="0" borderId="3" xfId="43" applyNumberFormat="1" applyFont="1" applyFill="1" applyBorder="1" applyAlignment="1" applyProtection="1">
      <alignment horizontal="left" vertical="center" wrapText="1"/>
    </xf>
    <xf numFmtId="49" fontId="21" fillId="0" borderId="2" xfId="42" applyNumberFormat="1" applyFont="1" applyFill="1" applyBorder="1" applyAlignment="1" applyProtection="1">
      <alignment horizontal="center" vertical="center" wrapText="1"/>
    </xf>
    <xf numFmtId="49" fontId="21" fillId="0" borderId="1" xfId="42" applyNumberFormat="1" applyFont="1" applyFill="1" applyBorder="1" applyAlignment="1" applyProtection="1">
      <alignment horizontal="center" vertical="center" wrapText="1"/>
    </xf>
    <xf numFmtId="0" fontId="0" fillId="0" borderId="0" xfId="0" applyProtection="1"/>
    <xf numFmtId="0" fontId="0" fillId="0" borderId="24" xfId="0" applyBorder="1" applyProtection="1"/>
    <xf numFmtId="0" fontId="0" fillId="0" borderId="25" xfId="0" applyBorder="1" applyProtection="1"/>
    <xf numFmtId="0" fontId="0" fillId="0" borderId="26" xfId="0" applyBorder="1" applyProtection="1"/>
    <xf numFmtId="0" fontId="0" fillId="0" borderId="27" xfId="0" applyBorder="1" applyProtection="1"/>
    <xf numFmtId="0" fontId="0" fillId="0" borderId="24" xfId="0" applyFont="1" applyBorder="1" applyProtection="1"/>
    <xf numFmtId="0" fontId="0" fillId="0" borderId="25" xfId="0" applyFont="1" applyBorder="1" applyProtection="1"/>
    <xf numFmtId="0" fontId="0" fillId="0" borderId="26" xfId="0" applyFont="1" applyBorder="1" applyProtection="1"/>
    <xf numFmtId="0" fontId="0" fillId="0" borderId="28" xfId="0" applyBorder="1" applyProtection="1"/>
    <xf numFmtId="0" fontId="0" fillId="0" borderId="27" xfId="0" applyFont="1" applyBorder="1" applyProtection="1"/>
    <xf numFmtId="0" fontId="0" fillId="0" borderId="0" xfId="0" applyFont="1" applyBorder="1" applyProtection="1"/>
    <xf numFmtId="0" fontId="0" fillId="0" borderId="28" xfId="0" applyFont="1" applyBorder="1" applyProtection="1"/>
    <xf numFmtId="0" fontId="57" fillId="0" borderId="28" xfId="0" applyFont="1" applyBorder="1" applyAlignment="1" applyProtection="1">
      <alignment horizontal="center"/>
    </xf>
    <xf numFmtId="0" fontId="0" fillId="0" borderId="0" xfId="0" applyBorder="1" applyProtection="1"/>
    <xf numFmtId="0" fontId="58" fillId="0" borderId="0" xfId="0" applyFont="1" applyBorder="1" applyAlignment="1" applyProtection="1">
      <alignment horizontal="left"/>
    </xf>
    <xf numFmtId="0" fontId="20" fillId="0" borderId="27" xfId="0" applyFont="1" applyBorder="1" applyProtection="1"/>
    <xf numFmtId="0" fontId="61" fillId="0" borderId="28" xfId="0" applyFont="1" applyBorder="1" applyAlignment="1" applyProtection="1">
      <alignment horizontal="left"/>
    </xf>
    <xf numFmtId="0" fontId="20" fillId="0" borderId="0" xfId="0" applyFont="1" applyProtection="1"/>
    <xf numFmtId="0" fontId="59" fillId="0" borderId="27" xfId="0" applyFont="1" applyBorder="1" applyAlignment="1" applyProtection="1">
      <alignment horizontal="left" vertical="center"/>
    </xf>
    <xf numFmtId="0" fontId="61" fillId="0" borderId="28" xfId="0" applyFont="1" applyBorder="1" applyAlignment="1" applyProtection="1">
      <alignment horizontal="center" wrapText="1"/>
    </xf>
    <xf numFmtId="0" fontId="20" fillId="0" borderId="28" xfId="0" applyFont="1" applyBorder="1" applyProtection="1"/>
    <xf numFmtId="0" fontId="20" fillId="0" borderId="27" xfId="0" applyFont="1" applyFill="1" applyBorder="1" applyProtection="1"/>
    <xf numFmtId="0" fontId="20" fillId="0" borderId="28" xfId="0" applyFont="1" applyFill="1" applyBorder="1" applyProtection="1"/>
    <xf numFmtId="0" fontId="20" fillId="0" borderId="0" xfId="0" applyFont="1" applyFill="1" applyProtection="1"/>
    <xf numFmtId="0" fontId="20" fillId="0" borderId="0" xfId="0" applyFont="1" applyBorder="1" applyProtection="1"/>
    <xf numFmtId="0" fontId="62" fillId="0" borderId="27" xfId="0" applyFont="1" applyBorder="1" applyProtection="1"/>
    <xf numFmtId="0" fontId="62" fillId="0" borderId="28" xfId="0" applyFont="1" applyBorder="1" applyProtection="1"/>
    <xf numFmtId="0" fontId="62" fillId="0" borderId="0" xfId="0" applyFont="1" applyProtection="1"/>
    <xf numFmtId="166" fontId="54" fillId="0" borderId="31" xfId="1665" applyFont="1" applyFill="1" applyBorder="1" applyAlignment="1" applyProtection="1">
      <alignment vertical="center"/>
    </xf>
    <xf numFmtId="166" fontId="20" fillId="0" borderId="0" xfId="1665" applyFont="1" applyBorder="1" applyProtection="1"/>
    <xf numFmtId="0" fontId="59" fillId="0" borderId="32" xfId="0" applyFont="1" applyBorder="1" applyAlignment="1" applyProtection="1">
      <alignment horizontal="left" vertical="top"/>
    </xf>
    <xf numFmtId="0" fontId="20" fillId="0" borderId="29" xfId="0" applyFont="1" applyBorder="1" applyProtection="1"/>
    <xf numFmtId="0" fontId="20" fillId="0" borderId="30" xfId="0" applyFont="1" applyBorder="1" applyProtection="1"/>
    <xf numFmtId="0" fontId="20" fillId="0" borderId="31" xfId="0" applyFont="1" applyBorder="1" applyProtection="1"/>
    <xf numFmtId="170" fontId="0" fillId="0" borderId="0" xfId="0" applyNumberFormat="1" applyProtection="1"/>
    <xf numFmtId="170" fontId="0" fillId="0" borderId="0" xfId="0" applyNumberFormat="1" applyFill="1" applyProtection="1"/>
    <xf numFmtId="4" fontId="0" fillId="0" borderId="0" xfId="0" applyNumberFormat="1" applyAlignment="1" applyProtection="1">
      <alignment vertical="top" wrapText="1"/>
    </xf>
    <xf numFmtId="170" fontId="67" fillId="0" borderId="0" xfId="0" applyNumberFormat="1" applyFont="1" applyProtection="1"/>
    <xf numFmtId="4" fontId="0" fillId="0" borderId="0" xfId="0" applyNumberFormat="1" applyProtection="1"/>
    <xf numFmtId="0" fontId="60" fillId="0" borderId="0" xfId="0" applyFont="1" applyFill="1"/>
    <xf numFmtId="2" fontId="59" fillId="0" borderId="0" xfId="0" applyNumberFormat="1" applyFont="1" applyFill="1" applyAlignment="1">
      <alignment horizontal="right" vertical="top"/>
    </xf>
    <xf numFmtId="0" fontId="75" fillId="0" borderId="0" xfId="0" applyFont="1" applyFill="1"/>
    <xf numFmtId="0" fontId="59" fillId="0" borderId="0" xfId="0" applyFont="1" applyFill="1" applyBorder="1" applyAlignment="1">
      <alignment vertical="top"/>
    </xf>
    <xf numFmtId="0" fontId="59" fillId="0" borderId="0" xfId="0" applyFont="1" applyFill="1" applyBorder="1" applyAlignment="1">
      <alignment vertical="top" wrapText="1"/>
    </xf>
    <xf numFmtId="0" fontId="59" fillId="0" borderId="0" xfId="0" applyFont="1" applyFill="1" applyBorder="1" applyAlignment="1">
      <alignment horizontal="left" vertical="top"/>
    </xf>
    <xf numFmtId="0" fontId="76" fillId="0" borderId="0" xfId="0" applyFont="1" applyFill="1" applyBorder="1" applyAlignment="1">
      <alignment vertical="top"/>
    </xf>
    <xf numFmtId="0" fontId="60" fillId="0" borderId="0" xfId="0" applyFont="1" applyFill="1" applyBorder="1" applyAlignment="1">
      <alignment vertical="top" wrapText="1"/>
    </xf>
    <xf numFmtId="0" fontId="60" fillId="0" borderId="0" xfId="0" applyFont="1" applyFill="1" applyAlignment="1">
      <alignment vertical="top"/>
    </xf>
    <xf numFmtId="2" fontId="21" fillId="0" borderId="3" xfId="43" applyNumberFormat="1" applyFont="1" applyFill="1" applyBorder="1" applyAlignment="1" applyProtection="1">
      <alignment horizontal="center" vertical="center" wrapText="1"/>
    </xf>
    <xf numFmtId="0" fontId="37" fillId="0" borderId="0" xfId="902" applyFont="1"/>
    <xf numFmtId="4" fontId="37" fillId="0" borderId="0" xfId="902" applyNumberFormat="1" applyFont="1"/>
    <xf numFmtId="0" fontId="20" fillId="0" borderId="0" xfId="0" applyFont="1" applyFill="1"/>
    <xf numFmtId="2" fontId="24" fillId="0" borderId="0" xfId="0" applyNumberFormat="1" applyFont="1" applyFill="1" applyAlignment="1">
      <alignment horizontal="right" vertical="top"/>
    </xf>
    <xf numFmtId="0" fontId="22" fillId="0" borderId="0" xfId="0" applyFont="1" applyFill="1"/>
    <xf numFmtId="0" fontId="20" fillId="0" borderId="0" xfId="0" applyFont="1" applyFill="1" applyAlignment="1">
      <alignment horizontal="center" vertical="top"/>
    </xf>
    <xf numFmtId="0" fontId="60" fillId="0" borderId="0" xfId="0" applyFont="1" applyFill="1" applyBorder="1" applyAlignment="1">
      <alignment vertical="top"/>
    </xf>
    <xf numFmtId="14" fontId="60" fillId="0" borderId="0" xfId="0" applyNumberFormat="1" applyFont="1" applyFill="1" applyAlignment="1">
      <alignment horizontal="left" vertical="top"/>
    </xf>
    <xf numFmtId="4" fontId="0" fillId="0" borderId="0" xfId="0" applyNumberFormat="1" applyAlignment="1">
      <alignment vertical="top" wrapText="1"/>
    </xf>
    <xf numFmtId="166" fontId="65" fillId="0" borderId="28" xfId="1665" applyFont="1" applyFill="1" applyBorder="1" applyAlignment="1" applyProtection="1">
      <alignment vertical="center"/>
    </xf>
    <xf numFmtId="165" fontId="20" fillId="0" borderId="0" xfId="0" applyNumberFormat="1" applyFont="1" applyFill="1" applyProtection="1"/>
    <xf numFmtId="0" fontId="62" fillId="0" borderId="27" xfId="0" applyFont="1" applyFill="1" applyBorder="1" applyProtection="1"/>
    <xf numFmtId="0" fontId="62" fillId="0" borderId="28" xfId="0" applyFont="1" applyFill="1" applyBorder="1" applyProtection="1"/>
    <xf numFmtId="0" fontId="62" fillId="0" borderId="0" xfId="0" applyFont="1" applyFill="1" applyProtection="1"/>
    <xf numFmtId="4" fontId="78" fillId="0" borderId="0" xfId="42" applyFont="1" applyFill="1">
      <alignment vertical="center" wrapText="1"/>
      <protection locked="0"/>
    </xf>
    <xf numFmtId="0" fontId="59" fillId="0" borderId="0" xfId="0" applyFont="1" applyFill="1" applyBorder="1" applyAlignment="1">
      <alignment horizontal="left" vertical="top" wrapText="1"/>
    </xf>
    <xf numFmtId="49" fontId="60" fillId="0" borderId="0" xfId="0" applyNumberFormat="1" applyFont="1" applyFill="1" applyBorder="1" applyAlignment="1">
      <alignment horizontal="left" vertical="top"/>
    </xf>
    <xf numFmtId="0" fontId="60" fillId="0" borderId="0" xfId="0" applyFont="1" applyFill="1" applyBorder="1" applyAlignment="1">
      <alignment horizontal="left" vertical="top"/>
    </xf>
    <xf numFmtId="164" fontId="21" fillId="0" borderId="3" xfId="1956" applyFont="1" applyFill="1" applyBorder="1" applyAlignment="1" applyProtection="1">
      <alignment horizontal="center" vertical="center" wrapText="1"/>
    </xf>
    <xf numFmtId="49" fontId="24" fillId="56" borderId="0" xfId="42" applyNumberFormat="1" applyFont="1" applyFill="1" applyBorder="1" applyAlignment="1" applyProtection="1">
      <alignment horizontal="center" vertical="center" wrapText="1"/>
    </xf>
    <xf numFmtId="0" fontId="73" fillId="0" borderId="0" xfId="0" applyFont="1" applyFill="1" applyAlignment="1">
      <alignment vertical="top"/>
    </xf>
    <xf numFmtId="0" fontId="79" fillId="0" borderId="0" xfId="0" applyFont="1" applyFill="1" applyBorder="1" applyAlignment="1">
      <alignment vertical="top" wrapText="1"/>
    </xf>
    <xf numFmtId="0" fontId="37" fillId="0" borderId="0" xfId="0" applyFont="1"/>
    <xf numFmtId="0" fontId="80" fillId="0" borderId="0" xfId="0" applyFont="1" applyAlignment="1">
      <alignment vertical="top"/>
    </xf>
    <xf numFmtId="0" fontId="77" fillId="57" borderId="40" xfId="0" applyFont="1" applyFill="1" applyBorder="1" applyAlignment="1">
      <alignment horizontal="left" vertical="top" wrapText="1"/>
    </xf>
    <xf numFmtId="0" fontId="77" fillId="57" borderId="44" xfId="0" applyFont="1" applyFill="1" applyBorder="1" applyAlignment="1">
      <alignment horizontal="left" vertical="top" wrapText="1"/>
    </xf>
    <xf numFmtId="0" fontId="77" fillId="57" borderId="44" xfId="0" applyFont="1" applyFill="1" applyBorder="1" applyAlignment="1">
      <alignment horizontal="center" vertical="top" wrapText="1"/>
    </xf>
    <xf numFmtId="171" fontId="77" fillId="57" borderId="44" xfId="0" applyNumberFormat="1" applyFont="1" applyFill="1" applyBorder="1" applyAlignment="1">
      <alignment horizontal="right" vertical="top" wrapText="1"/>
    </xf>
    <xf numFmtId="4" fontId="77" fillId="57" borderId="44" xfId="0" applyNumberFormat="1" applyFont="1" applyFill="1" applyBorder="1" applyAlignment="1">
      <alignment horizontal="right" vertical="top" wrapText="1"/>
    </xf>
    <xf numFmtId="4" fontId="77" fillId="57" borderId="45" xfId="0" applyNumberFormat="1" applyFont="1" applyFill="1" applyBorder="1" applyAlignment="1">
      <alignment horizontal="right" vertical="top" wrapText="1"/>
    </xf>
    <xf numFmtId="166" fontId="0" fillId="0" borderId="0" xfId="0" applyNumberFormat="1" applyProtection="1"/>
    <xf numFmtId="0" fontId="37" fillId="0" borderId="0" xfId="0" applyFont="1" applyFill="1"/>
    <xf numFmtId="0" fontId="77" fillId="0" borderId="40" xfId="0" applyFont="1" applyFill="1" applyBorder="1" applyAlignment="1">
      <alignment horizontal="left" vertical="top" wrapText="1"/>
    </xf>
    <xf numFmtId="4" fontId="77" fillId="0" borderId="45" xfId="0" applyNumberFormat="1" applyFont="1" applyFill="1" applyBorder="1" applyAlignment="1">
      <alignment horizontal="right" vertical="top"/>
    </xf>
    <xf numFmtId="167" fontId="22" fillId="0" borderId="0" xfId="750" applyNumberFormat="1" applyFont="1" applyFill="1" applyBorder="1" applyAlignment="1">
      <alignment vertical="top"/>
    </xf>
    <xf numFmtId="0" fontId="22" fillId="0" borderId="0" xfId="43" applyFont="1" applyFill="1" applyBorder="1" applyAlignment="1">
      <alignment vertical="top"/>
    </xf>
    <xf numFmtId="0" fontId="20" fillId="0" borderId="0" xfId="43" applyFont="1" applyFill="1" applyBorder="1" applyAlignment="1">
      <alignment vertical="top"/>
    </xf>
    <xf numFmtId="0" fontId="22" fillId="0" borderId="0" xfId="43" applyFont="1" applyFill="1" applyBorder="1"/>
    <xf numFmtId="2" fontId="22" fillId="0" borderId="0" xfId="43" applyNumberFormat="1" applyFont="1" applyFill="1" applyBorder="1" applyAlignment="1">
      <alignment horizontal="center" vertical="top"/>
    </xf>
    <xf numFmtId="0" fontId="20" fillId="0" borderId="0" xfId="43" applyFont="1" applyFill="1" applyBorder="1" applyAlignment="1">
      <alignment horizontal="right" vertical="top" wrapText="1"/>
    </xf>
    <xf numFmtId="0" fontId="20" fillId="0" borderId="0" xfId="43" applyFont="1" applyFill="1" applyBorder="1" applyAlignment="1">
      <alignment horizontal="left" vertical="top" wrapText="1"/>
    </xf>
    <xf numFmtId="4" fontId="41" fillId="0" borderId="0" xfId="43" applyNumberFormat="1" applyFont="1" applyFill="1" applyBorder="1" applyAlignment="1" applyProtection="1">
      <alignment horizontal="center" vertical="top" wrapText="1"/>
    </xf>
    <xf numFmtId="4" fontId="41" fillId="0" borderId="0" xfId="43" applyNumberFormat="1" applyFont="1" applyFill="1" applyBorder="1" applyAlignment="1" applyProtection="1">
      <alignment horizontal="right" vertical="top" wrapText="1"/>
    </xf>
    <xf numFmtId="170" fontId="41" fillId="0" borderId="0" xfId="43" applyNumberFormat="1" applyFont="1" applyFill="1" applyBorder="1" applyAlignment="1" applyProtection="1">
      <alignment horizontal="right" vertical="top" wrapText="1"/>
    </xf>
    <xf numFmtId="4" fontId="20" fillId="0" borderId="0" xfId="43" applyNumberFormat="1" applyFont="1" applyFill="1" applyBorder="1" applyAlignment="1">
      <alignment horizontal="right" vertical="top" wrapText="1"/>
    </xf>
    <xf numFmtId="4" fontId="20" fillId="0" borderId="0" xfId="43" applyNumberFormat="1" applyFont="1" applyFill="1" applyBorder="1" applyAlignment="1">
      <alignment vertical="top"/>
    </xf>
    <xf numFmtId="0" fontId="22" fillId="0" borderId="0" xfId="43" applyFont="1" applyFill="1" applyBorder="1" applyAlignment="1">
      <alignment horizontal="right" vertical="top"/>
    </xf>
    <xf numFmtId="0" fontId="24" fillId="0" borderId="0" xfId="43" applyFont="1" applyFill="1" applyBorder="1"/>
    <xf numFmtId="4" fontId="24" fillId="0" borderId="0" xfId="43" applyNumberFormat="1" applyFont="1" applyFill="1" applyBorder="1" applyAlignment="1">
      <alignment vertical="top"/>
    </xf>
    <xf numFmtId="10" fontId="24" fillId="0" borderId="0" xfId="1183" applyNumberFormat="1" applyFont="1" applyFill="1" applyBorder="1" applyAlignment="1">
      <alignment vertical="top"/>
    </xf>
    <xf numFmtId="172" fontId="22" fillId="0" borderId="0" xfId="43" applyNumberFormat="1" applyFont="1" applyFill="1" applyBorder="1" applyAlignment="1">
      <alignment vertical="top"/>
    </xf>
    <xf numFmtId="0" fontId="22" fillId="0" borderId="0" xfId="43" applyFont="1" applyBorder="1"/>
    <xf numFmtId="0" fontId="22" fillId="0" borderId="0" xfId="43" applyFont="1" applyBorder="1" applyAlignment="1">
      <alignment horizontal="right" vertical="top"/>
    </xf>
    <xf numFmtId="0" fontId="22" fillId="0" borderId="0" xfId="43" applyFont="1" applyBorder="1" applyAlignment="1">
      <alignment vertical="top"/>
    </xf>
    <xf numFmtId="0" fontId="20" fillId="0" borderId="0" xfId="43" applyFont="1" applyBorder="1" applyAlignment="1">
      <alignment vertical="top"/>
    </xf>
    <xf numFmtId="4" fontId="20" fillId="0" borderId="0" xfId="43" applyNumberFormat="1" applyFont="1" applyBorder="1" applyAlignment="1">
      <alignment vertical="top"/>
    </xf>
    <xf numFmtId="167" fontId="22" fillId="0" borderId="0" xfId="750" applyNumberFormat="1" applyFont="1" applyBorder="1" applyAlignment="1">
      <alignment vertical="top"/>
    </xf>
    <xf numFmtId="2" fontId="22" fillId="0" borderId="0" xfId="43" applyNumberFormat="1" applyFont="1" applyBorder="1" applyAlignment="1">
      <alignment horizontal="center" vertical="top"/>
    </xf>
    <xf numFmtId="0" fontId="22" fillId="0" borderId="0" xfId="1057" applyFont="1" applyFill="1" applyAlignment="1">
      <alignment horizontal="justify" vertical="top"/>
    </xf>
    <xf numFmtId="0" fontId="22" fillId="0" borderId="0" xfId="893" applyFont="1" applyFill="1"/>
    <xf numFmtId="0" fontId="22" fillId="0" borderId="0" xfId="1057" applyFont="1" applyFill="1" applyAlignment="1">
      <alignment vertical="top"/>
    </xf>
    <xf numFmtId="4" fontId="22" fillId="0" borderId="0" xfId="1057" applyNumberFormat="1" applyFont="1" applyFill="1" applyAlignment="1">
      <alignment vertical="top"/>
    </xf>
    <xf numFmtId="39" fontId="22" fillId="0" borderId="0" xfId="1057" applyNumberFormat="1" applyFont="1" applyFill="1" applyAlignment="1">
      <alignment vertical="top"/>
    </xf>
    <xf numFmtId="10" fontId="22" fillId="0" borderId="0" xfId="1188" applyNumberFormat="1" applyFont="1" applyFill="1" applyAlignment="1">
      <alignment vertical="top"/>
    </xf>
    <xf numFmtId="0" fontId="22" fillId="0" borderId="53" xfId="1057" applyFont="1" applyFill="1" applyBorder="1" applyAlignment="1">
      <alignment vertical="top"/>
    </xf>
    <xf numFmtId="0" fontId="21" fillId="0" borderId="3" xfId="1057" applyFont="1" applyFill="1" applyBorder="1" applyAlignment="1">
      <alignment horizontal="justify" vertical="top"/>
    </xf>
    <xf numFmtId="0" fontId="22" fillId="0" borderId="54" xfId="1057" applyFont="1" applyFill="1" applyBorder="1" applyAlignment="1">
      <alignment vertical="top"/>
    </xf>
    <xf numFmtId="0" fontId="21" fillId="0" borderId="55" xfId="1057" applyFont="1" applyFill="1" applyBorder="1" applyAlignment="1">
      <alignment horizontal="justify" vertical="top"/>
    </xf>
    <xf numFmtId="4" fontId="22" fillId="0" borderId="0" xfId="1057" applyNumberFormat="1" applyFont="1" applyFill="1" applyBorder="1" applyAlignment="1">
      <alignment vertical="top"/>
    </xf>
    <xf numFmtId="165" fontId="84" fillId="0" borderId="0" xfId="1401" applyFont="1" applyFill="1" applyAlignment="1">
      <alignment vertical="top"/>
    </xf>
    <xf numFmtId="0" fontId="22" fillId="0" borderId="0" xfId="1057" applyFont="1" applyFill="1" applyBorder="1" applyAlignment="1">
      <alignment vertical="top"/>
    </xf>
    <xf numFmtId="4" fontId="83" fillId="56" borderId="0" xfId="0" applyNumberFormat="1" applyFont="1" applyFill="1" applyBorder="1" applyAlignment="1" applyProtection="1">
      <alignment vertical="center"/>
    </xf>
    <xf numFmtId="4" fontId="83" fillId="56" borderId="0" xfId="0" applyNumberFormat="1" applyFont="1" applyFill="1" applyBorder="1" applyAlignment="1" applyProtection="1">
      <alignment horizontal="center" vertical="center" wrapText="1"/>
    </xf>
    <xf numFmtId="0" fontId="81" fillId="56" borderId="0" xfId="0" applyFont="1" applyFill="1" applyAlignment="1">
      <alignment vertical="center"/>
    </xf>
    <xf numFmtId="49" fontId="59" fillId="0" borderId="0" xfId="0" applyNumberFormat="1" applyFont="1" applyFill="1" applyBorder="1" applyAlignment="1">
      <alignment horizontal="left" vertical="top"/>
    </xf>
    <xf numFmtId="174" fontId="22" fillId="0" borderId="0" xfId="1057" applyNumberFormat="1" applyFont="1" applyFill="1" applyAlignment="1">
      <alignment vertical="top"/>
    </xf>
    <xf numFmtId="4" fontId="77" fillId="0" borderId="45" xfId="902" applyNumberFormat="1" applyFont="1" applyFill="1" applyBorder="1" applyAlignment="1">
      <alignment horizontal="right" vertical="top"/>
    </xf>
    <xf numFmtId="49" fontId="60" fillId="0" borderId="0" xfId="0" applyNumberFormat="1" applyFont="1" applyFill="1" applyBorder="1" applyAlignment="1" applyProtection="1">
      <alignment horizontal="left" vertical="top"/>
    </xf>
    <xf numFmtId="0" fontId="59" fillId="0" borderId="24" xfId="0" applyFont="1" applyBorder="1" applyAlignment="1" applyProtection="1">
      <alignment horizontal="left" vertical="center"/>
    </xf>
    <xf numFmtId="0" fontId="59" fillId="0" borderId="27" xfId="0" applyFont="1" applyBorder="1" applyAlignment="1" applyProtection="1">
      <alignment horizontal="left" vertical="center" wrapText="1"/>
    </xf>
    <xf numFmtId="0" fontId="59" fillId="0" borderId="27" xfId="0" applyFont="1" applyFill="1" applyBorder="1" applyAlignment="1" applyProtection="1">
      <alignment horizontal="left" vertical="center"/>
    </xf>
    <xf numFmtId="0" fontId="59" fillId="0" borderId="27" xfId="0" applyFont="1" applyBorder="1" applyAlignment="1" applyProtection="1">
      <alignment vertical="center"/>
    </xf>
    <xf numFmtId="0" fontId="59" fillId="0" borderId="29" xfId="0" applyFont="1" applyBorder="1" applyAlignment="1" applyProtection="1">
      <alignment horizontal="left" vertical="center"/>
    </xf>
    <xf numFmtId="0" fontId="24" fillId="0" borderId="0" xfId="0" applyFont="1" applyBorder="1" applyAlignment="1" applyProtection="1">
      <alignment vertical="center"/>
    </xf>
    <xf numFmtId="0" fontId="24" fillId="0" borderId="0" xfId="0" applyFont="1" applyBorder="1" applyAlignment="1" applyProtection="1">
      <alignment horizontal="left" vertical="center"/>
    </xf>
    <xf numFmtId="0" fontId="20" fillId="0" borderId="0" xfId="0" applyFont="1" applyBorder="1" applyAlignment="1" applyProtection="1">
      <alignment vertical="center"/>
    </xf>
    <xf numFmtId="0" fontId="59" fillId="0" borderId="30" xfId="0" applyFont="1" applyFill="1" applyBorder="1" applyAlignment="1">
      <alignment horizontal="center" vertical="top" wrapText="1"/>
    </xf>
    <xf numFmtId="0" fontId="77" fillId="0" borderId="36" xfId="0" applyFont="1" applyFill="1" applyBorder="1" applyAlignment="1">
      <alignment horizontal="left" vertical="top" wrapText="1"/>
    </xf>
    <xf numFmtId="0" fontId="37" fillId="0" borderId="48" xfId="0" applyFont="1" applyFill="1" applyBorder="1" applyAlignment="1">
      <alignment horizontal="left" vertical="top" wrapText="1"/>
    </xf>
    <xf numFmtId="0" fontId="37" fillId="0" borderId="48" xfId="0" applyFont="1" applyFill="1" applyBorder="1" applyAlignment="1">
      <alignment horizontal="center" vertical="top" wrapText="1"/>
    </xf>
    <xf numFmtId="4" fontId="37" fillId="0" borderId="48" xfId="0" applyNumberFormat="1" applyFont="1" applyFill="1" applyBorder="1" applyAlignment="1">
      <alignment horizontal="right" vertical="top" wrapText="1"/>
    </xf>
    <xf numFmtId="4" fontId="77" fillId="0" borderId="48" xfId="0" applyNumberFormat="1" applyFont="1" applyFill="1" applyBorder="1" applyAlignment="1">
      <alignment horizontal="right" vertical="top" wrapText="1"/>
    </xf>
    <xf numFmtId="0" fontId="77" fillId="0" borderId="37" xfId="0" applyFont="1" applyFill="1" applyBorder="1" applyAlignment="1">
      <alignment vertical="top" wrapText="1"/>
    </xf>
    <xf numFmtId="0" fontId="77" fillId="0" borderId="38" xfId="0" applyFont="1" applyFill="1" applyBorder="1" applyAlignment="1">
      <alignment vertical="top" wrapText="1"/>
    </xf>
    <xf numFmtId="0" fontId="77" fillId="0" borderId="39" xfId="0" applyFont="1" applyFill="1" applyBorder="1" applyAlignment="1">
      <alignment vertical="top" wrapText="1"/>
    </xf>
    <xf numFmtId="0" fontId="77" fillId="0" borderId="41" xfId="0" applyFont="1" applyFill="1" applyBorder="1" applyAlignment="1">
      <alignment vertical="top" wrapText="1"/>
    </xf>
    <xf numFmtId="0" fontId="77" fillId="0" borderId="42" xfId="0" applyFont="1" applyFill="1" applyBorder="1" applyAlignment="1">
      <alignment vertical="top" wrapText="1"/>
    </xf>
    <xf numFmtId="0" fontId="77" fillId="0" borderId="43" xfId="0" applyFont="1" applyFill="1" applyBorder="1" applyAlignment="1">
      <alignment vertical="top" wrapText="1"/>
    </xf>
    <xf numFmtId="49" fontId="21" fillId="33" borderId="13" xfId="42" applyNumberFormat="1" applyFont="1" applyFill="1" applyBorder="1" applyAlignment="1" applyProtection="1">
      <alignment horizontal="center" vertical="center" wrapText="1"/>
    </xf>
    <xf numFmtId="0" fontId="21" fillId="33" borderId="13" xfId="42" applyNumberFormat="1" applyFont="1" applyFill="1" applyBorder="1" applyAlignment="1" applyProtection="1">
      <alignment horizontal="center" vertical="center" wrapText="1"/>
    </xf>
    <xf numFmtId="0" fontId="59" fillId="0" borderId="0" xfId="0" applyFont="1" applyFill="1" applyBorder="1" applyAlignment="1">
      <alignment horizontal="left" vertical="top" wrapText="1"/>
    </xf>
    <xf numFmtId="0" fontId="60" fillId="0" borderId="0" xfId="0" applyFont="1" applyFill="1" applyBorder="1" applyAlignment="1">
      <alignment horizontal="left" vertical="top"/>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6" xfId="0" applyFont="1" applyBorder="1" applyAlignment="1">
      <alignment vertical="top" wrapText="1"/>
    </xf>
    <xf numFmtId="49" fontId="21" fillId="0" borderId="1" xfId="43" applyNumberFormat="1" applyFont="1" applyFill="1" applyBorder="1" applyAlignment="1" applyProtection="1">
      <alignment vertical="center" wrapText="1"/>
    </xf>
    <xf numFmtId="4" fontId="78" fillId="0" borderId="0" xfId="42" applyFont="1" applyFill="1" applyAlignment="1">
      <alignment vertical="center" wrapText="1"/>
      <protection locked="0"/>
    </xf>
    <xf numFmtId="4" fontId="22" fillId="0" borderId="0" xfId="42" applyFont="1" applyFill="1">
      <alignment vertical="center" wrapText="1"/>
      <protection locked="0"/>
    </xf>
    <xf numFmtId="4" fontId="22" fillId="0" borderId="0" xfId="43" applyNumberFormat="1" applyFont="1" applyFill="1" applyAlignment="1" applyProtection="1">
      <alignment vertical="center" wrapText="1"/>
      <protection locked="0"/>
    </xf>
    <xf numFmtId="49" fontId="21" fillId="0" borderId="57" xfId="43" applyNumberFormat="1" applyFont="1" applyFill="1" applyBorder="1" applyAlignment="1" applyProtection="1">
      <alignment vertical="center" wrapText="1"/>
    </xf>
    <xf numFmtId="49" fontId="21" fillId="0" borderId="58" xfId="43" applyNumberFormat="1" applyFont="1" applyFill="1" applyBorder="1" applyAlignment="1" applyProtection="1">
      <alignment vertical="center" wrapText="1"/>
    </xf>
    <xf numFmtId="49" fontId="21" fillId="0" borderId="59" xfId="43" applyNumberFormat="1" applyFont="1" applyFill="1" applyBorder="1" applyAlignment="1" applyProtection="1">
      <alignment vertical="center" wrapText="1"/>
    </xf>
    <xf numFmtId="49" fontId="21" fillId="0" borderId="56" xfId="43" applyNumberFormat="1" applyFont="1" applyFill="1" applyBorder="1" applyAlignment="1" applyProtection="1">
      <alignment vertical="center" wrapText="1"/>
    </xf>
    <xf numFmtId="49" fontId="21" fillId="0" borderId="60" xfId="43" applyNumberFormat="1" applyFont="1" applyFill="1" applyBorder="1" applyAlignment="1" applyProtection="1">
      <alignment vertical="center" wrapText="1"/>
    </xf>
    <xf numFmtId="0" fontId="21" fillId="0" borderId="49" xfId="43" applyNumberFormat="1" applyFont="1" applyFill="1" applyBorder="1" applyAlignment="1" applyProtection="1">
      <alignment vertical="top" wrapText="1"/>
    </xf>
    <xf numFmtId="0" fontId="65" fillId="0" borderId="50" xfId="0" applyFont="1" applyBorder="1" applyAlignment="1"/>
    <xf numFmtId="0" fontId="65" fillId="0" borderId="51" xfId="0" applyFont="1" applyBorder="1" applyAlignment="1"/>
    <xf numFmtId="49" fontId="78" fillId="0" borderId="0" xfId="42" applyNumberFormat="1" applyFont="1" applyFill="1">
      <alignment vertical="center" wrapText="1"/>
      <protection locked="0"/>
    </xf>
    <xf numFmtId="4" fontId="87" fillId="0" borderId="0" xfId="42" applyFont="1" applyFill="1">
      <alignment vertical="center" wrapText="1"/>
      <protection locked="0"/>
    </xf>
    <xf numFmtId="4" fontId="78" fillId="0" borderId="0" xfId="42" applyFont="1" applyFill="1" applyAlignment="1">
      <alignment horizontal="center" vertical="center" wrapText="1"/>
      <protection locked="0"/>
    </xf>
    <xf numFmtId="4" fontId="22" fillId="0" borderId="0" xfId="42" applyFont="1" applyFill="1" applyAlignment="1">
      <alignment horizontal="center" vertical="center" wrapText="1"/>
      <protection locked="0"/>
    </xf>
    <xf numFmtId="4" fontId="22" fillId="0" borderId="0" xfId="43" applyNumberFormat="1" applyFont="1" applyFill="1" applyAlignment="1" applyProtection="1">
      <alignment horizontal="center" vertical="center" wrapText="1"/>
      <protection locked="0"/>
    </xf>
    <xf numFmtId="0" fontId="79" fillId="0" borderId="0" xfId="0" applyFont="1" applyFill="1" applyBorder="1" applyAlignment="1">
      <alignment horizontal="center" vertical="center" wrapText="1"/>
    </xf>
    <xf numFmtId="0" fontId="73" fillId="0" borderId="0" xfId="0" applyFont="1" applyFill="1" applyAlignment="1">
      <alignment horizontal="center" vertical="center"/>
    </xf>
    <xf numFmtId="0" fontId="60" fillId="0" borderId="0" xfId="0" applyFont="1" applyFill="1" applyAlignment="1">
      <alignment horizontal="center" vertical="center"/>
    </xf>
    <xf numFmtId="2" fontId="59" fillId="0" borderId="0" xfId="0" applyNumberFormat="1" applyFont="1" applyFill="1" applyAlignment="1">
      <alignment horizontal="center" vertical="center"/>
    </xf>
    <xf numFmtId="0" fontId="75" fillId="0" borderId="0" xfId="0" applyFont="1" applyFill="1" applyAlignment="1">
      <alignment horizontal="center" vertical="center"/>
    </xf>
    <xf numFmtId="49" fontId="21" fillId="57" borderId="3" xfId="43" applyNumberFormat="1" applyFont="1" applyFill="1" applyBorder="1" applyAlignment="1" applyProtection="1">
      <alignment vertical="top" wrapText="1"/>
    </xf>
    <xf numFmtId="4" fontId="21" fillId="57" borderId="3" xfId="44" applyNumberFormat="1" applyFont="1" applyFill="1" applyBorder="1" applyAlignment="1" applyProtection="1">
      <alignment horizontal="justify" vertical="top"/>
      <protection locked="0"/>
    </xf>
    <xf numFmtId="164" fontId="21" fillId="57" borderId="3" xfId="1956" applyFont="1" applyFill="1" applyBorder="1" applyAlignment="1" applyProtection="1">
      <alignment horizontal="center" vertical="top" wrapText="1"/>
    </xf>
    <xf numFmtId="0" fontId="21" fillId="57" borderId="3" xfId="43" applyNumberFormat="1" applyFont="1" applyFill="1" applyBorder="1" applyAlignment="1" applyProtection="1">
      <alignment horizontal="center" vertical="top" wrapText="1"/>
    </xf>
    <xf numFmtId="2" fontId="21" fillId="57" borderId="3" xfId="43" applyNumberFormat="1" applyFont="1" applyFill="1" applyBorder="1" applyAlignment="1" applyProtection="1">
      <alignment horizontal="center" vertical="top" wrapText="1"/>
    </xf>
    <xf numFmtId="0" fontId="37" fillId="0" borderId="0" xfId="0" applyFont="1" applyAlignment="1">
      <alignment vertical="top"/>
    </xf>
    <xf numFmtId="0" fontId="37" fillId="0" borderId="0" xfId="902" applyFont="1" applyAlignment="1">
      <alignment vertical="top"/>
    </xf>
    <xf numFmtId="0" fontId="59" fillId="0" borderId="0" xfId="0" applyFont="1" applyFill="1" applyBorder="1" applyAlignment="1">
      <alignment horizontal="left" vertical="top" wrapText="1"/>
    </xf>
    <xf numFmtId="49" fontId="60" fillId="0" borderId="0" xfId="0" applyNumberFormat="1" applyFont="1" applyFill="1" applyBorder="1" applyAlignment="1">
      <alignment horizontal="left" vertical="top"/>
    </xf>
    <xf numFmtId="0" fontId="77" fillId="0" borderId="52" xfId="902" applyFont="1" applyFill="1" applyBorder="1" applyAlignment="1">
      <alignment horizontal="right" vertical="top"/>
    </xf>
    <xf numFmtId="0" fontId="77" fillId="0" borderId="47" xfId="0" applyFont="1" applyFill="1" applyBorder="1" applyAlignment="1">
      <alignment vertical="top"/>
    </xf>
    <xf numFmtId="0" fontId="77" fillId="0" borderId="48" xfId="0" applyFont="1" applyFill="1" applyBorder="1" applyAlignment="1">
      <alignment vertical="top"/>
    </xf>
    <xf numFmtId="0" fontId="77" fillId="0" borderId="48" xfId="902" applyFont="1" applyFill="1" applyBorder="1" applyAlignment="1">
      <alignment vertical="top"/>
    </xf>
    <xf numFmtId="0" fontId="77" fillId="0" borderId="61" xfId="0" applyFont="1" applyFill="1" applyBorder="1" applyAlignment="1">
      <alignment horizontal="right" vertical="top"/>
    </xf>
    <xf numFmtId="0" fontId="77" fillId="0" borderId="0" xfId="902" applyFont="1" applyFill="1" applyBorder="1" applyAlignment="1">
      <alignment vertical="top"/>
    </xf>
    <xf numFmtId="0" fontId="77" fillId="0" borderId="0" xfId="0" applyFont="1" applyFill="1" applyBorder="1" applyAlignment="1">
      <alignment vertical="top"/>
    </xf>
    <xf numFmtId="0" fontId="37" fillId="0" borderId="40" xfId="0" applyFont="1" applyFill="1" applyBorder="1" applyAlignment="1">
      <alignment vertical="top" wrapText="1"/>
    </xf>
    <xf numFmtId="14" fontId="60" fillId="0" borderId="0" xfId="0" applyNumberFormat="1" applyFont="1" applyFill="1" applyBorder="1" applyAlignment="1">
      <alignment horizontal="left" vertical="top"/>
    </xf>
    <xf numFmtId="0" fontId="80" fillId="0" borderId="0" xfId="0" applyFont="1" applyFill="1" applyAlignment="1">
      <alignment vertical="top"/>
    </xf>
    <xf numFmtId="0" fontId="74" fillId="0" borderId="0" xfId="0" applyFont="1" applyFill="1" applyAlignment="1">
      <alignment vertical="center"/>
    </xf>
    <xf numFmtId="0" fontId="73" fillId="0" borderId="0" xfId="0" applyFont="1" applyFill="1" applyBorder="1" applyAlignment="1">
      <alignment vertical="top"/>
    </xf>
    <xf numFmtId="0" fontId="20" fillId="0" borderId="0" xfId="0" applyFont="1" applyFill="1" applyBorder="1"/>
    <xf numFmtId="2" fontId="24" fillId="0" borderId="0" xfId="0" applyNumberFormat="1" applyFont="1" applyFill="1" applyBorder="1" applyAlignment="1">
      <alignment horizontal="right" vertical="top"/>
    </xf>
    <xf numFmtId="0" fontId="22" fillId="0" borderId="0" xfId="0" applyFont="1" applyFill="1" applyBorder="1"/>
    <xf numFmtId="0" fontId="20" fillId="0" borderId="0" xfId="0" applyFont="1" applyFill="1" applyBorder="1" applyAlignment="1">
      <alignment horizontal="center" vertical="top"/>
    </xf>
    <xf numFmtId="0" fontId="75" fillId="0" borderId="0" xfId="0" applyFont="1" applyFill="1" applyBorder="1"/>
    <xf numFmtId="0" fontId="60" fillId="0" borderId="0" xfId="0" applyFont="1" applyFill="1" applyBorder="1"/>
    <xf numFmtId="0" fontId="89" fillId="0" borderId="0" xfId="1962" applyFont="1" applyAlignment="1">
      <alignment horizontal="left" vertical="top" wrapText="1"/>
    </xf>
    <xf numFmtId="0" fontId="88" fillId="0" borderId="0" xfId="1962" applyAlignment="1">
      <alignment vertical="top" wrapText="1"/>
    </xf>
    <xf numFmtId="0" fontId="89" fillId="0" borderId="0" xfId="1962" applyFont="1" applyAlignment="1">
      <alignment horizontal="right" vertical="top" wrapText="1"/>
    </xf>
    <xf numFmtId="0" fontId="88" fillId="0" borderId="0" xfId="1962" applyAlignment="1">
      <alignment horizontal="right" vertical="top" wrapText="1"/>
    </xf>
    <xf numFmtId="0" fontId="75" fillId="0" borderId="0" xfId="0" applyFont="1" applyFill="1" applyAlignment="1">
      <alignment vertical="top"/>
    </xf>
    <xf numFmtId="0" fontId="77" fillId="0" borderId="41" xfId="0" applyFont="1" applyFill="1" applyBorder="1" applyAlignment="1">
      <alignment vertical="top"/>
    </xf>
    <xf numFmtId="14" fontId="60" fillId="0" borderId="28" xfId="0" applyNumberFormat="1" applyFont="1" applyFill="1" applyBorder="1" applyAlignment="1">
      <alignment vertical="center"/>
    </xf>
    <xf numFmtId="0" fontId="60" fillId="0" borderId="0" xfId="0" applyNumberFormat="1" applyFont="1" applyFill="1" applyBorder="1" applyAlignment="1">
      <alignment vertical="top" wrapText="1"/>
    </xf>
    <xf numFmtId="0" fontId="74" fillId="0" borderId="0" xfId="0" applyFont="1" applyFill="1" applyBorder="1" applyAlignment="1">
      <alignment vertical="center"/>
    </xf>
    <xf numFmtId="0" fontId="22" fillId="0" borderId="0" xfId="0" applyFont="1" applyFill="1" applyAlignment="1">
      <alignment vertical="top"/>
    </xf>
    <xf numFmtId="0" fontId="59" fillId="0" borderId="0" xfId="0" applyFont="1" applyFill="1" applyBorder="1" applyAlignment="1">
      <alignment horizontal="left" vertical="top" wrapText="1"/>
    </xf>
    <xf numFmtId="0" fontId="60" fillId="0" borderId="0" xfId="0" applyFont="1" applyFill="1" applyBorder="1" applyAlignment="1">
      <alignment horizontal="left" vertical="top"/>
    </xf>
    <xf numFmtId="49" fontId="60" fillId="0" borderId="0" xfId="0" applyNumberFormat="1" applyFont="1" applyFill="1" applyBorder="1" applyAlignment="1">
      <alignment horizontal="left" vertical="top"/>
    </xf>
    <xf numFmtId="0" fontId="37" fillId="0" borderId="0" xfId="902" applyFont="1" applyFill="1"/>
    <xf numFmtId="0" fontId="77" fillId="0" borderId="40" xfId="902" applyFont="1" applyFill="1" applyBorder="1" applyAlignment="1">
      <alignment horizontal="left" vertical="top" wrapText="1"/>
    </xf>
    <xf numFmtId="0" fontId="37" fillId="58" borderId="0" xfId="0" applyFont="1" applyFill="1" applyAlignment="1">
      <alignment vertical="top"/>
    </xf>
    <xf numFmtId="0" fontId="77" fillId="0" borderId="37" xfId="902" applyFont="1" applyFill="1" applyBorder="1" applyAlignment="1">
      <alignment vertical="top" wrapText="1"/>
    </xf>
    <xf numFmtId="0" fontId="77" fillId="0" borderId="38" xfId="902" applyFont="1" applyFill="1" applyBorder="1" applyAlignment="1">
      <alignment vertical="top" wrapText="1"/>
    </xf>
    <xf numFmtId="0" fontId="77" fillId="0" borderId="39" xfId="902" applyFont="1" applyFill="1" applyBorder="1" applyAlignment="1">
      <alignment vertical="top" wrapText="1"/>
    </xf>
    <xf numFmtId="0" fontId="77" fillId="0" borderId="41" xfId="902" applyFont="1" applyFill="1" applyBorder="1" applyAlignment="1">
      <alignment vertical="top" wrapText="1"/>
    </xf>
    <xf numFmtId="0" fontId="77" fillId="0" borderId="42" xfId="902" applyFont="1" applyFill="1" applyBorder="1" applyAlignment="1">
      <alignment vertical="top" wrapText="1"/>
    </xf>
    <xf numFmtId="0" fontId="77" fillId="0" borderId="43" xfId="902" applyFont="1" applyFill="1" applyBorder="1" applyAlignment="1">
      <alignment vertical="top" wrapText="1"/>
    </xf>
    <xf numFmtId="0" fontId="37" fillId="0" borderId="0" xfId="0" applyFont="1" applyFill="1" applyAlignment="1">
      <alignment vertical="top"/>
    </xf>
    <xf numFmtId="0" fontId="37" fillId="0" borderId="0" xfId="902" applyFont="1" applyFill="1" applyAlignment="1">
      <alignment vertical="top"/>
    </xf>
    <xf numFmtId="164" fontId="20" fillId="0" borderId="0" xfId="0" applyNumberFormat="1" applyFont="1" applyProtection="1"/>
    <xf numFmtId="166" fontId="20" fillId="0" borderId="0" xfId="0" applyNumberFormat="1" applyFont="1" applyProtection="1"/>
    <xf numFmtId="164" fontId="0" fillId="0" borderId="0" xfId="1956" applyFont="1" applyProtection="1"/>
    <xf numFmtId="164" fontId="0" fillId="0" borderId="0" xfId="0" applyNumberFormat="1" applyProtection="1"/>
    <xf numFmtId="164" fontId="60" fillId="0" borderId="0" xfId="0" applyNumberFormat="1" applyFont="1" applyFill="1" applyAlignment="1">
      <alignment vertical="top"/>
    </xf>
    <xf numFmtId="164" fontId="73" fillId="0" borderId="0" xfId="1956" applyFont="1" applyFill="1" applyBorder="1" applyAlignment="1">
      <alignment vertical="top"/>
    </xf>
    <xf numFmtId="164" fontId="20" fillId="0" borderId="0" xfId="1956" applyFont="1" applyFill="1" applyBorder="1"/>
    <xf numFmtId="164" fontId="60" fillId="0" borderId="0" xfId="1956" applyFont="1" applyFill="1" applyBorder="1"/>
    <xf numFmtId="164" fontId="22" fillId="0" borderId="0" xfId="1956" applyFont="1" applyFill="1" applyBorder="1" applyAlignment="1">
      <alignment vertical="top"/>
    </xf>
    <xf numFmtId="164" fontId="60" fillId="0" borderId="0" xfId="1956" applyFont="1" applyFill="1" applyBorder="1" applyAlignment="1">
      <alignment vertical="top"/>
    </xf>
    <xf numFmtId="164" fontId="22" fillId="0" borderId="0" xfId="1956" applyFont="1" applyBorder="1" applyAlignment="1">
      <alignment vertical="top"/>
    </xf>
    <xf numFmtId="49" fontId="60" fillId="0" borderId="0" xfId="0" applyNumberFormat="1" applyFont="1" applyFill="1" applyBorder="1" applyAlignment="1">
      <alignment horizontal="left" vertical="top"/>
    </xf>
    <xf numFmtId="49" fontId="22" fillId="0" borderId="47" xfId="42" applyNumberFormat="1" applyFont="1" applyFill="1" applyBorder="1" applyAlignment="1">
      <alignment horizontal="center" vertical="center" wrapText="1"/>
      <protection locked="0"/>
    </xf>
    <xf numFmtId="49" fontId="22" fillId="0" borderId="48" xfId="42" applyNumberFormat="1" applyFont="1" applyFill="1" applyBorder="1" applyAlignment="1">
      <alignment horizontal="center" vertical="center" wrapText="1"/>
      <protection locked="0"/>
    </xf>
    <xf numFmtId="0" fontId="88" fillId="0" borderId="0" xfId="1962" applyAlignment="1"/>
    <xf numFmtId="0" fontId="89" fillId="0" borderId="0" xfId="0" applyFont="1" applyAlignment="1"/>
    <xf numFmtId="0" fontId="0" fillId="0" borderId="0" xfId="0" applyAlignment="1"/>
    <xf numFmtId="0" fontId="89" fillId="0" borderId="0" xfId="0" applyFont="1" applyAlignment="1">
      <alignment horizontal="left"/>
    </xf>
    <xf numFmtId="0" fontId="88" fillId="0" borderId="0" xfId="1962" applyAlignment="1">
      <alignment wrapText="1"/>
    </xf>
    <xf numFmtId="0" fontId="88" fillId="0" borderId="0" xfId="1962" applyFill="1" applyAlignment="1">
      <alignment vertical="top" wrapText="1"/>
    </xf>
    <xf numFmtId="0" fontId="0" fillId="0" borderId="0" xfId="0" applyAlignment="1">
      <alignment wrapText="1"/>
    </xf>
    <xf numFmtId="0" fontId="0" fillId="0" borderId="0" xfId="0" applyNumberFormat="1" applyAlignment="1">
      <alignment horizontal="right" wrapText="1"/>
    </xf>
    <xf numFmtId="4" fontId="0" fillId="0" borderId="0" xfId="0" applyNumberFormat="1" applyAlignment="1">
      <alignment horizontal="right" wrapText="1"/>
    </xf>
    <xf numFmtId="0" fontId="89" fillId="0" borderId="0" xfId="0" applyFont="1" applyAlignment="1">
      <alignment horizontal="left" wrapText="1"/>
    </xf>
    <xf numFmtId="0" fontId="89" fillId="0" borderId="0" xfId="0" applyNumberFormat="1" applyFont="1" applyAlignment="1">
      <alignment horizontal="left" wrapText="1"/>
    </xf>
    <xf numFmtId="0" fontId="89" fillId="0" borderId="0" xfId="0" applyNumberFormat="1" applyFont="1" applyAlignment="1">
      <alignment horizontal="right" wrapText="1"/>
    </xf>
    <xf numFmtId="4" fontId="89" fillId="0" borderId="0" xfId="0" applyNumberFormat="1" applyFont="1" applyAlignment="1">
      <alignment horizontal="right" wrapText="1"/>
    </xf>
    <xf numFmtId="0" fontId="20" fillId="0" borderId="3" xfId="43" applyFont="1" applyFill="1" applyBorder="1" applyAlignment="1">
      <alignment horizontal="right" vertical="top" wrapText="1"/>
    </xf>
    <xf numFmtId="0" fontId="20" fillId="0" borderId="3" xfId="43" applyFont="1" applyFill="1" applyBorder="1" applyAlignment="1">
      <alignment horizontal="left" vertical="top" wrapText="1"/>
    </xf>
    <xf numFmtId="4" fontId="41" fillId="0" borderId="3" xfId="43" applyNumberFormat="1" applyFont="1" applyFill="1" applyBorder="1" applyAlignment="1" applyProtection="1">
      <alignment horizontal="center" vertical="top" wrapText="1"/>
    </xf>
    <xf numFmtId="4" fontId="41" fillId="0" borderId="3" xfId="43" applyNumberFormat="1" applyFont="1" applyFill="1" applyBorder="1" applyAlignment="1" applyProtection="1">
      <alignment horizontal="right" vertical="top" wrapText="1"/>
    </xf>
    <xf numFmtId="170" fontId="41" fillId="0" borderId="3" xfId="43" applyNumberFormat="1" applyFont="1" applyFill="1" applyBorder="1" applyAlignment="1" applyProtection="1">
      <alignment horizontal="right" vertical="top" wrapText="1"/>
    </xf>
    <xf numFmtId="4" fontId="20" fillId="0" borderId="3" xfId="43" applyNumberFormat="1" applyFont="1" applyFill="1" applyBorder="1" applyAlignment="1">
      <alignment vertical="top"/>
    </xf>
    <xf numFmtId="172" fontId="20" fillId="0" borderId="3" xfId="1663" applyNumberFormat="1" applyFont="1" applyFill="1" applyBorder="1" applyAlignment="1">
      <alignment vertical="top"/>
    </xf>
    <xf numFmtId="2" fontId="20" fillId="0" borderId="0" xfId="0" applyNumberFormat="1" applyFont="1" applyFill="1" applyBorder="1"/>
    <xf numFmtId="2" fontId="20" fillId="0" borderId="0" xfId="0" applyNumberFormat="1" applyFont="1" applyFill="1" applyBorder="1" applyAlignment="1">
      <alignment horizontal="center" vertical="top"/>
    </xf>
    <xf numFmtId="166" fontId="0" fillId="0" borderId="0" xfId="0" applyNumberFormat="1" applyAlignment="1" applyProtection="1">
      <alignment horizontal="center"/>
    </xf>
    <xf numFmtId="10" fontId="0" fillId="0" borderId="0" xfId="1663" applyNumberFormat="1" applyFont="1" applyAlignment="1" applyProtection="1">
      <alignment horizontal="center"/>
    </xf>
    <xf numFmtId="44" fontId="0" fillId="0" borderId="0" xfId="0" applyNumberFormat="1" applyProtection="1"/>
    <xf numFmtId="0" fontId="90" fillId="56" borderId="0" xfId="0" applyFont="1" applyFill="1"/>
    <xf numFmtId="0" fontId="90" fillId="0" borderId="0" xfId="0" applyFont="1"/>
    <xf numFmtId="0" fontId="92" fillId="0" borderId="0" xfId="0" applyFont="1"/>
    <xf numFmtId="0" fontId="91" fillId="56" borderId="0" xfId="0" applyFont="1" applyFill="1" applyBorder="1" applyAlignment="1">
      <alignment vertical="center"/>
    </xf>
    <xf numFmtId="0" fontId="94" fillId="56" borderId="0" xfId="0" applyFont="1" applyFill="1" applyBorder="1" applyAlignment="1" applyProtection="1">
      <alignment horizontal="center" vertical="center"/>
      <protection locked="0"/>
    </xf>
    <xf numFmtId="0" fontId="95" fillId="57" borderId="66" xfId="0" applyFont="1" applyFill="1" applyBorder="1" applyAlignment="1">
      <alignment horizontal="center" vertical="center"/>
    </xf>
    <xf numFmtId="0" fontId="95" fillId="57" borderId="68" xfId="0" applyFont="1" applyFill="1" applyBorder="1" applyAlignment="1">
      <alignment horizontal="center" vertical="center"/>
    </xf>
    <xf numFmtId="10" fontId="18" fillId="0" borderId="72" xfId="1663" applyNumberFormat="1" applyFont="1" applyFill="1" applyBorder="1" applyAlignment="1">
      <alignment horizontal="center" vertical="center"/>
    </xf>
    <xf numFmtId="10" fontId="95" fillId="0" borderId="78" xfId="0" applyNumberFormat="1" applyFont="1" applyFill="1" applyBorder="1" applyAlignment="1">
      <alignment horizontal="center" vertical="center"/>
    </xf>
    <xf numFmtId="10" fontId="18" fillId="0" borderId="79" xfId="1663" applyNumberFormat="1" applyFont="1" applyFill="1" applyBorder="1" applyAlignment="1">
      <alignment horizontal="center" vertical="center"/>
    </xf>
    <xf numFmtId="10" fontId="18" fillId="0" borderId="80" xfId="1663" applyNumberFormat="1" applyFont="1" applyFill="1" applyBorder="1" applyAlignment="1">
      <alignment horizontal="center" vertical="center"/>
    </xf>
    <xf numFmtId="0" fontId="18" fillId="0" borderId="65" xfId="0" applyFont="1" applyFill="1" applyBorder="1" applyAlignment="1">
      <alignment horizontal="center" vertical="center"/>
    </xf>
    <xf numFmtId="10" fontId="95" fillId="57" borderId="84" xfId="1663" applyNumberFormat="1" applyFont="1" applyFill="1" applyBorder="1" applyAlignment="1">
      <alignment horizontal="center" vertical="center"/>
    </xf>
    <xf numFmtId="0" fontId="90" fillId="56" borderId="0" xfId="0" applyFont="1" applyFill="1" applyAlignment="1">
      <alignment vertical="center"/>
    </xf>
    <xf numFmtId="0" fontId="97" fillId="56" borderId="0" xfId="0" applyFont="1" applyFill="1" applyBorder="1" applyAlignment="1">
      <alignment horizontal="center"/>
    </xf>
    <xf numFmtId="0" fontId="98" fillId="56" borderId="0" xfId="0" applyFont="1" applyFill="1" applyBorder="1" applyAlignment="1">
      <alignment horizontal="center" vertical="top"/>
    </xf>
    <xf numFmtId="0" fontId="90" fillId="56" borderId="0" xfId="0" applyFont="1" applyFill="1" applyBorder="1" applyAlignment="1">
      <alignment vertical="center"/>
    </xf>
    <xf numFmtId="0" fontId="98" fillId="56" borderId="0" xfId="0" applyFont="1" applyFill="1" applyBorder="1" applyAlignment="1">
      <alignment horizontal="center" vertical="center"/>
    </xf>
    <xf numFmtId="0" fontId="90" fillId="56" borderId="0" xfId="0" applyFont="1" applyFill="1" applyAlignment="1">
      <alignment horizontal="left"/>
    </xf>
    <xf numFmtId="0" fontId="98" fillId="56" borderId="0" xfId="0" applyFont="1" applyFill="1" applyBorder="1" applyAlignment="1">
      <alignment horizontal="left" vertical="center"/>
    </xf>
    <xf numFmtId="0" fontId="90" fillId="0" borderId="0" xfId="0" applyFont="1" applyAlignment="1">
      <alignment horizontal="left"/>
    </xf>
    <xf numFmtId="0" fontId="98" fillId="0" borderId="0" xfId="0" applyFont="1"/>
    <xf numFmtId="0" fontId="99" fillId="0" borderId="0" xfId="0" applyFont="1" applyBorder="1" applyAlignment="1">
      <alignment horizontal="center" vertical="center"/>
    </xf>
    <xf numFmtId="0" fontId="88" fillId="0" borderId="0" xfId="1962" applyAlignment="1">
      <alignment vertical="top"/>
    </xf>
    <xf numFmtId="0" fontId="37" fillId="58" borderId="0" xfId="0" applyFont="1" applyFill="1"/>
    <xf numFmtId="0" fontId="80" fillId="58" borderId="0" xfId="0" applyFont="1" applyFill="1" applyAlignment="1">
      <alignment vertical="top"/>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6" xfId="0" applyFont="1" applyBorder="1" applyAlignment="1">
      <alignment vertical="top" wrapText="1"/>
    </xf>
    <xf numFmtId="49" fontId="22" fillId="0" borderId="47" xfId="42" applyNumberFormat="1" applyFont="1" applyFill="1" applyBorder="1" applyAlignment="1">
      <alignment horizontal="center" vertical="center" wrapText="1"/>
      <protection locked="0"/>
    </xf>
    <xf numFmtId="0" fontId="20" fillId="0" borderId="0" xfId="0" applyFont="1" applyAlignment="1">
      <alignment vertical="top"/>
    </xf>
    <xf numFmtId="0" fontId="20" fillId="0" borderId="0" xfId="0" applyFont="1"/>
    <xf numFmtId="0" fontId="20" fillId="0" borderId="0" xfId="0" applyFont="1" applyFill="1" applyAlignment="1">
      <alignment vertical="top"/>
    </xf>
    <xf numFmtId="4" fontId="65" fillId="0" borderId="0" xfId="0" applyNumberFormat="1" applyFont="1" applyAlignment="1">
      <alignment vertical="top" wrapText="1"/>
    </xf>
    <xf numFmtId="0" fontId="37" fillId="0" borderId="0" xfId="0" applyFont="1" applyFill="1" applyBorder="1"/>
    <xf numFmtId="0" fontId="77" fillId="0" borderId="0" xfId="0" applyFont="1" applyBorder="1"/>
    <xf numFmtId="49" fontId="22" fillId="0" borderId="48" xfId="42" applyNumberFormat="1" applyFont="1" applyFill="1" applyBorder="1" applyAlignment="1">
      <alignment horizontal="center" vertical="center" wrapText="1"/>
      <protection locked="0"/>
    </xf>
    <xf numFmtId="0" fontId="77" fillId="0" borderId="41" xfId="902" applyFont="1" applyFill="1" applyBorder="1" applyAlignment="1">
      <alignment vertical="top"/>
    </xf>
    <xf numFmtId="0" fontId="89" fillId="0" borderId="0" xfId="0" applyNumberFormat="1" applyFont="1" applyFill="1" applyAlignment="1">
      <alignment horizontal="left" wrapText="1"/>
    </xf>
    <xf numFmtId="0" fontId="89" fillId="0" borderId="0" xfId="0" applyFont="1" applyFill="1" applyAlignment="1">
      <alignment horizontal="left" wrapText="1"/>
    </xf>
    <xf numFmtId="0" fontId="89" fillId="0" borderId="0" xfId="0" applyNumberFormat="1" applyFont="1" applyFill="1" applyAlignment="1">
      <alignment horizontal="right" wrapText="1"/>
    </xf>
    <xf numFmtId="0" fontId="89" fillId="0" borderId="0" xfId="1962" applyFont="1" applyFill="1" applyAlignment="1">
      <alignment horizontal="left" vertical="top" wrapText="1"/>
    </xf>
    <xf numFmtId="0" fontId="88" fillId="0" borderId="0" xfId="1962" applyFill="1" applyAlignment="1">
      <alignment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6" xfId="0" applyFont="1" applyBorder="1" applyAlignment="1">
      <alignment vertical="top" wrapText="1"/>
    </xf>
    <xf numFmtId="0" fontId="20" fillId="0" borderId="0" xfId="1962" applyFont="1" applyAlignment="1">
      <alignment vertical="top" wrapText="1"/>
    </xf>
    <xf numFmtId="0" fontId="20" fillId="0" borderId="0" xfId="1962" applyFont="1" applyAlignment="1">
      <alignment wrapText="1"/>
    </xf>
    <xf numFmtId="176" fontId="22" fillId="0" borderId="0" xfId="1057" applyNumberFormat="1" applyFont="1" applyFill="1" applyAlignment="1">
      <alignment vertical="top"/>
    </xf>
    <xf numFmtId="177" fontId="22" fillId="0" borderId="0" xfId="1057" applyNumberFormat="1" applyFont="1" applyFill="1" applyAlignment="1">
      <alignment vertical="top"/>
    </xf>
    <xf numFmtId="0" fontId="22" fillId="0" borderId="0" xfId="43" applyFont="1" applyFill="1" applyBorder="1" applyAlignment="1">
      <alignment horizontal="left" vertical="top"/>
    </xf>
    <xf numFmtId="0" fontId="37" fillId="0" borderId="40" xfId="0" applyFont="1" applyFill="1" applyBorder="1" applyAlignment="1">
      <alignment horizontal="left" vertical="top" wrapText="1"/>
    </xf>
    <xf numFmtId="4" fontId="0" fillId="0" borderId="0" xfId="0" applyNumberFormat="1" applyFill="1" applyAlignment="1">
      <alignment vertical="top" wrapText="1"/>
    </xf>
    <xf numFmtId="0" fontId="59" fillId="0" borderId="0" xfId="0" applyFont="1" applyFill="1" applyBorder="1" applyAlignment="1">
      <alignment horizontal="left" vertical="top" wrapText="1"/>
    </xf>
    <xf numFmtId="0" fontId="60" fillId="0" borderId="0" xfId="0" applyFont="1" applyFill="1" applyBorder="1" applyAlignment="1">
      <alignment horizontal="left" vertical="top"/>
    </xf>
    <xf numFmtId="49" fontId="17" fillId="33" borderId="3" xfId="0" applyNumberFormat="1" applyFont="1" applyFill="1" applyBorder="1" applyAlignment="1">
      <alignment vertical="top" wrapText="1"/>
    </xf>
    <xf numFmtId="49" fontId="17" fillId="33" borderId="3" xfId="0" applyNumberFormat="1" applyFont="1" applyFill="1" applyBorder="1" applyAlignment="1">
      <alignment horizontal="center" vertical="top" wrapText="1"/>
    </xf>
    <xf numFmtId="0" fontId="77" fillId="0" borderId="0" xfId="0" applyFont="1" applyFill="1" applyBorder="1" applyAlignment="1">
      <alignment horizontal="right" vertical="top"/>
    </xf>
    <xf numFmtId="0" fontId="77" fillId="0" borderId="0" xfId="902" applyFont="1" applyFill="1" applyBorder="1" applyAlignment="1">
      <alignment horizontal="right" vertical="top"/>
    </xf>
    <xf numFmtId="0" fontId="77" fillId="0" borderId="85" xfId="0" applyFont="1" applyFill="1" applyBorder="1" applyAlignment="1">
      <alignment horizontal="right" vertical="top"/>
    </xf>
    <xf numFmtId="0" fontId="77" fillId="0" borderId="86" xfId="902" applyFont="1" applyFill="1" applyBorder="1" applyAlignment="1">
      <alignment horizontal="right" vertical="top"/>
    </xf>
    <xf numFmtId="4" fontId="37" fillId="0" borderId="2" xfId="0" applyNumberFormat="1" applyFont="1" applyFill="1" applyBorder="1" applyAlignment="1">
      <alignment horizontal="right" vertical="top" wrapText="1"/>
    </xf>
    <xf numFmtId="4" fontId="77" fillId="0" borderId="2" xfId="0" applyNumberFormat="1" applyFont="1" applyFill="1" applyBorder="1" applyAlignment="1">
      <alignment horizontal="right" vertical="top" wrapText="1"/>
    </xf>
    <xf numFmtId="4" fontId="77" fillId="0" borderId="0" xfId="0" applyNumberFormat="1" applyFont="1" applyFill="1" applyBorder="1" applyAlignment="1">
      <alignment horizontal="right" vertical="top"/>
    </xf>
    <xf numFmtId="0" fontId="77" fillId="0" borderId="47" xfId="0" applyFont="1" applyFill="1" applyBorder="1" applyAlignment="1">
      <alignment horizontal="right" vertical="top"/>
    </xf>
    <xf numFmtId="4" fontId="77" fillId="0" borderId="63" xfId="0" applyNumberFormat="1" applyFont="1" applyFill="1" applyBorder="1" applyAlignment="1">
      <alignment horizontal="right" vertical="top"/>
    </xf>
    <xf numFmtId="0" fontId="77" fillId="0" borderId="47" xfId="902" applyFont="1" applyFill="1" applyBorder="1" applyAlignment="1">
      <alignment horizontal="right" vertical="top"/>
    </xf>
    <xf numFmtId="4" fontId="77" fillId="0" borderId="63" xfId="902" applyNumberFormat="1" applyFont="1" applyFill="1" applyBorder="1" applyAlignment="1">
      <alignment horizontal="right" vertical="top"/>
    </xf>
    <xf numFmtId="0" fontId="77" fillId="0" borderId="48" xfId="0" applyFont="1" applyFill="1" applyBorder="1" applyAlignment="1">
      <alignment horizontal="right" vertical="top"/>
    </xf>
    <xf numFmtId="10" fontId="77" fillId="0" borderId="42" xfId="1663" applyNumberFormat="1" applyFont="1" applyFill="1" applyBorder="1" applyAlignment="1">
      <alignment vertical="top" wrapText="1"/>
    </xf>
    <xf numFmtId="10" fontId="37" fillId="0" borderId="48" xfId="1663" applyNumberFormat="1" applyFont="1" applyFill="1" applyBorder="1" applyAlignment="1">
      <alignment horizontal="right" vertical="top" wrapText="1"/>
    </xf>
    <xf numFmtId="10" fontId="77" fillId="0" borderId="0" xfId="1663" applyNumberFormat="1" applyFont="1" applyFill="1" applyBorder="1" applyAlignment="1">
      <alignment horizontal="right" vertical="top"/>
    </xf>
    <xf numFmtId="0" fontId="59" fillId="0" borderId="0" xfId="0" applyFont="1" applyFill="1" applyBorder="1" applyAlignment="1">
      <alignment horizontal="left" vertical="top" wrapText="1"/>
    </xf>
    <xf numFmtId="0" fontId="37" fillId="0" borderId="87" xfId="0" applyFont="1" applyBorder="1" applyAlignment="1">
      <alignment vertical="top" wrapText="1"/>
    </xf>
    <xf numFmtId="0" fontId="37" fillId="0" borderId="88" xfId="0" applyFont="1" applyBorder="1" applyAlignment="1">
      <alignment vertical="top" wrapText="1"/>
    </xf>
    <xf numFmtId="0" fontId="37" fillId="0" borderId="40" xfId="0" applyFont="1" applyBorder="1" applyAlignment="1">
      <alignment vertical="top" wrapText="1"/>
    </xf>
    <xf numFmtId="0" fontId="65" fillId="0" borderId="50" xfId="0" applyFont="1" applyFill="1" applyBorder="1" applyAlignment="1"/>
    <xf numFmtId="164" fontId="88" fillId="0" borderId="0" xfId="1956" applyFont="1" applyAlignment="1"/>
    <xf numFmtId="0" fontId="20" fillId="0" borderId="0" xfId="1962" applyFont="1" applyAlignment="1"/>
    <xf numFmtId="0" fontId="88" fillId="0" borderId="0" xfId="1962" applyFill="1" applyAlignment="1"/>
    <xf numFmtId="49" fontId="17" fillId="33" borderId="3" xfId="0" applyNumberFormat="1" applyFont="1" applyFill="1" applyBorder="1" applyAlignment="1">
      <alignment horizontal="left" vertical="top" wrapText="1"/>
    </xf>
    <xf numFmtId="0" fontId="77" fillId="0" borderId="48" xfId="902" applyFont="1" applyFill="1" applyBorder="1" applyAlignment="1">
      <alignment horizontal="left" vertical="top"/>
    </xf>
    <xf numFmtId="0" fontId="77" fillId="0" borderId="0" xfId="902" applyFont="1" applyFill="1" applyBorder="1" applyAlignment="1">
      <alignment horizontal="left" vertical="top"/>
    </xf>
    <xf numFmtId="0" fontId="37" fillId="0" borderId="0" xfId="902" applyFont="1" applyAlignment="1">
      <alignment horizontal="left" vertical="top"/>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6"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77" fillId="0" borderId="37" xfId="0" applyFont="1" applyFill="1" applyBorder="1" applyAlignment="1">
      <alignment vertical="top"/>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49" fontId="21" fillId="0" borderId="58" xfId="43" applyNumberFormat="1" applyFont="1" applyFill="1" applyBorder="1" applyAlignment="1" applyProtection="1">
      <alignment vertical="center"/>
    </xf>
    <xf numFmtId="179" fontId="0" fillId="0" borderId="0" xfId="0" applyNumberFormat="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10" fontId="83" fillId="0" borderId="89" xfId="1187" applyNumberFormat="1" applyFont="1" applyFill="1" applyBorder="1" applyAlignment="1">
      <alignment vertical="center" wrapText="1"/>
    </xf>
    <xf numFmtId="4" fontId="82" fillId="33" borderId="92" xfId="1057" applyNumberFormat="1" applyFont="1" applyFill="1" applyBorder="1" applyAlignment="1">
      <alignment horizontal="center" vertical="center" wrapText="1"/>
    </xf>
    <xf numFmtId="4" fontId="82" fillId="33" borderId="93" xfId="1057" applyNumberFormat="1" applyFont="1" applyFill="1" applyBorder="1" applyAlignment="1">
      <alignment horizontal="center" vertical="center" wrapText="1"/>
    </xf>
    <xf numFmtId="10" fontId="20" fillId="0" borderId="0" xfId="1187" applyNumberFormat="1" applyFont="1" applyFill="1" applyBorder="1" applyAlignment="1">
      <alignment vertical="center"/>
    </xf>
    <xf numFmtId="0" fontId="20" fillId="33" borderId="0" xfId="1057" applyNumberFormat="1" applyFont="1" applyFill="1" applyBorder="1" applyAlignment="1">
      <alignment vertical="top"/>
    </xf>
    <xf numFmtId="0" fontId="20" fillId="0" borderId="0" xfId="1057" applyNumberFormat="1" applyFont="1" applyFill="1" applyBorder="1" applyAlignment="1">
      <alignment vertical="top"/>
    </xf>
    <xf numFmtId="173" fontId="20" fillId="0" borderId="0" xfId="1057" applyNumberFormat="1" applyFont="1" applyFill="1" applyBorder="1" applyAlignment="1">
      <alignment vertical="center" wrapText="1"/>
    </xf>
    <xf numFmtId="0" fontId="20" fillId="33" borderId="50" xfId="1057" applyNumberFormat="1" applyFont="1" applyFill="1" applyBorder="1" applyAlignment="1">
      <alignment vertical="top"/>
    </xf>
    <xf numFmtId="10" fontId="20" fillId="0" borderId="50" xfId="1187" applyNumberFormat="1" applyFont="1" applyFill="1" applyBorder="1" applyAlignment="1">
      <alignment vertical="center"/>
    </xf>
    <xf numFmtId="173" fontId="20" fillId="0" borderId="50" xfId="1057" applyNumberFormat="1" applyFont="1" applyFill="1" applyBorder="1" applyAlignment="1">
      <alignment vertical="center" wrapText="1"/>
    </xf>
    <xf numFmtId="0" fontId="20" fillId="0" borderId="50" xfId="1057" applyNumberFormat="1" applyFont="1" applyFill="1" applyBorder="1" applyAlignment="1">
      <alignment vertical="top"/>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6"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6"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6"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6"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49" fontId="60" fillId="0" borderId="0" xfId="0" applyNumberFormat="1" applyFont="1" applyFill="1" applyBorder="1" applyAlignment="1">
      <alignment horizontal="left" vertical="top" wrapText="1"/>
    </xf>
    <xf numFmtId="0" fontId="82" fillId="33" borderId="95" xfId="1057" applyFont="1" applyFill="1" applyBorder="1" applyAlignment="1">
      <alignment horizontal="center" vertical="center" wrapText="1"/>
    </xf>
    <xf numFmtId="0" fontId="82" fillId="33" borderId="96" xfId="1057" applyFont="1" applyFill="1" applyBorder="1" applyAlignment="1">
      <alignment horizontal="left" vertical="center" wrapText="1"/>
    </xf>
    <xf numFmtId="0" fontId="82" fillId="33" borderId="96" xfId="1057" applyFont="1" applyFill="1" applyBorder="1" applyAlignment="1">
      <alignment horizontal="center" vertical="center" wrapText="1"/>
    </xf>
    <xf numFmtId="10" fontId="20" fillId="0" borderId="99" xfId="1187" applyNumberFormat="1" applyFont="1" applyFill="1" applyBorder="1" applyAlignment="1">
      <alignment vertical="center"/>
    </xf>
    <xf numFmtId="10" fontId="20" fillId="0" borderId="25" xfId="1187" applyNumberFormat="1" applyFont="1" applyFill="1" applyBorder="1" applyAlignment="1">
      <alignment vertical="center"/>
    </xf>
    <xf numFmtId="173" fontId="20" fillId="0" borderId="102" xfId="1057" applyNumberFormat="1" applyFont="1" applyFill="1" applyBorder="1" applyAlignment="1">
      <alignment vertical="center" wrapText="1"/>
    </xf>
    <xf numFmtId="173" fontId="20" fillId="0" borderId="30" xfId="1057" applyNumberFormat="1" applyFont="1" applyFill="1" applyBorder="1" applyAlignment="1">
      <alignment vertical="center" wrapText="1"/>
    </xf>
    <xf numFmtId="0" fontId="21" fillId="0" borderId="51" xfId="1057" applyFont="1" applyFill="1" applyBorder="1" applyAlignment="1">
      <alignment horizontal="justify" vertical="top" wrapText="1"/>
    </xf>
    <xf numFmtId="0" fontId="21" fillId="0" borderId="97" xfId="1057" applyFont="1" applyFill="1" applyBorder="1" applyAlignment="1">
      <alignment horizontal="justify" vertical="top" wrapText="1"/>
    </xf>
    <xf numFmtId="10" fontId="83" fillId="0" borderId="48" xfId="1187" applyNumberFormat="1" applyFont="1" applyFill="1" applyBorder="1" applyAlignment="1">
      <alignment vertical="center" wrapText="1"/>
    </xf>
    <xf numFmtId="10" fontId="83" fillId="0" borderId="103" xfId="1187" applyNumberFormat="1" applyFont="1" applyFill="1" applyBorder="1" applyAlignment="1">
      <alignment vertical="center" wrapText="1"/>
    </xf>
    <xf numFmtId="10" fontId="20" fillId="0" borderId="104" xfId="1187" applyNumberFormat="1" applyFont="1" applyFill="1" applyBorder="1" applyAlignment="1">
      <alignment vertical="center"/>
    </xf>
    <xf numFmtId="0" fontId="20" fillId="0" borderId="104" xfId="1057" applyNumberFormat="1" applyFont="1" applyFill="1" applyBorder="1" applyAlignment="1">
      <alignment vertical="top"/>
    </xf>
    <xf numFmtId="173" fontId="20" fillId="0" borderId="104" xfId="1057" applyNumberFormat="1" applyFont="1" applyFill="1" applyBorder="1" applyAlignment="1">
      <alignment vertical="center" wrapText="1"/>
    </xf>
    <xf numFmtId="10" fontId="83" fillId="0" borderId="97" xfId="1187" applyNumberFormat="1" applyFont="1" applyFill="1" applyBorder="1" applyAlignment="1">
      <alignment vertical="center" wrapText="1"/>
    </xf>
    <xf numFmtId="4" fontId="83" fillId="0" borderId="3" xfId="1057" applyNumberFormat="1" applyFont="1" applyFill="1" applyBorder="1" applyAlignment="1">
      <alignment vertical="center"/>
    </xf>
    <xf numFmtId="10" fontId="83" fillId="0" borderId="3" xfId="1187" applyNumberFormat="1" applyFont="1" applyFill="1" applyBorder="1" applyAlignment="1">
      <alignment vertical="center" wrapText="1"/>
    </xf>
    <xf numFmtId="0" fontId="82" fillId="33" borderId="105" xfId="1057" applyFont="1" applyFill="1" applyBorder="1" applyAlignment="1">
      <alignment horizontal="center" vertical="center" wrapText="1"/>
    </xf>
    <xf numFmtId="0" fontId="22" fillId="0" borderId="107" xfId="1057" applyFont="1" applyFill="1" applyBorder="1" applyAlignment="1">
      <alignment horizontal="left" vertical="top" wrapText="1"/>
    </xf>
    <xf numFmtId="0" fontId="22" fillId="0" borderId="108" xfId="1057" applyFont="1" applyFill="1" applyBorder="1" applyAlignment="1">
      <alignment vertical="top"/>
    </xf>
    <xf numFmtId="0" fontId="22" fillId="0" borderId="109" xfId="1057" applyFont="1" applyFill="1" applyBorder="1" applyAlignment="1">
      <alignment vertical="top"/>
    </xf>
    <xf numFmtId="0" fontId="82" fillId="33" borderId="110" xfId="1057" applyFont="1" applyFill="1" applyBorder="1" applyAlignment="1">
      <alignment horizontal="center" vertical="center" wrapText="1"/>
    </xf>
    <xf numFmtId="10" fontId="83" fillId="0" borderId="94" xfId="1187" applyNumberFormat="1" applyFont="1" applyFill="1" applyBorder="1" applyAlignment="1">
      <alignment vertical="center" wrapText="1"/>
    </xf>
    <xf numFmtId="4" fontId="83" fillId="0" borderId="111" xfId="1057" applyNumberFormat="1" applyFont="1" applyFill="1" applyBorder="1" applyAlignment="1">
      <alignment vertical="center"/>
    </xf>
    <xf numFmtId="10" fontId="83" fillId="0" borderId="51" xfId="1187" applyNumberFormat="1" applyFont="1" applyFill="1" applyBorder="1" applyAlignment="1">
      <alignment vertical="center" wrapText="1"/>
    </xf>
    <xf numFmtId="10" fontId="20" fillId="0" borderId="113" xfId="1187" applyNumberFormat="1" applyFont="1" applyFill="1" applyBorder="1" applyAlignment="1">
      <alignment vertical="center"/>
    </xf>
    <xf numFmtId="173" fontId="20" fillId="0" borderId="70" xfId="1057" applyNumberFormat="1" applyFont="1" applyFill="1" applyBorder="1" applyAlignment="1">
      <alignment vertical="center" wrapText="1"/>
    </xf>
    <xf numFmtId="0" fontId="20" fillId="33" borderId="104" xfId="1057" applyNumberFormat="1" applyFont="1" applyFill="1" applyBorder="1" applyAlignment="1">
      <alignment vertical="top"/>
    </xf>
    <xf numFmtId="0" fontId="22" fillId="0" borderId="116" xfId="1057" applyFont="1" applyFill="1" applyBorder="1" applyAlignment="1">
      <alignment horizontal="left" vertical="top" wrapText="1"/>
    </xf>
    <xf numFmtId="10" fontId="83" fillId="0" borderId="117" xfId="1187" applyNumberFormat="1" applyFont="1" applyFill="1" applyBorder="1" applyAlignment="1">
      <alignment vertical="center" wrapText="1"/>
    </xf>
    <xf numFmtId="4" fontId="83" fillId="0" borderId="55" xfId="1057" applyNumberFormat="1" applyFont="1" applyFill="1" applyBorder="1" applyAlignment="1">
      <alignment vertical="center"/>
    </xf>
    <xf numFmtId="4" fontId="83" fillId="0" borderId="118" xfId="1057" applyNumberFormat="1" applyFont="1" applyFill="1" applyBorder="1" applyAlignment="1">
      <alignment vertical="center"/>
    </xf>
    <xf numFmtId="10" fontId="83" fillId="0" borderId="122" xfId="1187" applyNumberFormat="1" applyFont="1" applyFill="1" applyBorder="1" applyAlignment="1">
      <alignment vertical="center" wrapText="1"/>
    </xf>
    <xf numFmtId="10" fontId="20" fillId="0" borderId="3" xfId="1663" applyNumberFormat="1" applyFont="1" applyFill="1" applyBorder="1" applyAlignment="1">
      <alignment horizontal="right" vertical="top" wrapText="1"/>
    </xf>
    <xf numFmtId="0" fontId="37" fillId="0" borderId="44" xfId="0" applyFont="1" applyFill="1" applyBorder="1" applyAlignment="1">
      <alignment horizontal="left" vertical="top" wrapText="1"/>
    </xf>
    <xf numFmtId="0" fontId="37" fillId="0" borderId="44" xfId="0" applyFont="1" applyFill="1" applyBorder="1" applyAlignment="1">
      <alignment horizontal="center" vertical="top" wrapText="1"/>
    </xf>
    <xf numFmtId="4" fontId="37" fillId="0" borderId="44" xfId="0" applyNumberFormat="1" applyFont="1" applyFill="1" applyBorder="1" applyAlignment="1">
      <alignment horizontal="right" vertical="top" wrapText="1"/>
    </xf>
    <xf numFmtId="0" fontId="37" fillId="0" borderId="40" xfId="902" applyFont="1" applyFill="1" applyBorder="1" applyAlignment="1">
      <alignment horizontal="left" vertical="top" wrapText="1"/>
    </xf>
    <xf numFmtId="0" fontId="37" fillId="0" borderId="88" xfId="0" applyFont="1" applyFill="1" applyBorder="1" applyAlignment="1">
      <alignment horizontal="left" vertical="top" wrapText="1"/>
    </xf>
    <xf numFmtId="0" fontId="37" fillId="0" borderId="88" xfId="0" applyFont="1" applyFill="1" applyBorder="1" applyAlignment="1">
      <alignment horizontal="center" vertical="top" wrapText="1"/>
    </xf>
    <xf numFmtId="4" fontId="37" fillId="0" borderId="88" xfId="0" applyNumberFormat="1" applyFont="1" applyFill="1" applyBorder="1" applyAlignment="1">
      <alignment horizontal="right" vertical="top" wrapText="1"/>
    </xf>
    <xf numFmtId="43" fontId="37" fillId="0" borderId="88" xfId="1961" applyFont="1" applyFill="1" applyBorder="1" applyAlignment="1">
      <alignment horizontal="right" vertical="top" wrapText="1"/>
    </xf>
    <xf numFmtId="10" fontId="37" fillId="0" borderId="88" xfId="1663" applyNumberFormat="1" applyFont="1" applyFill="1" applyBorder="1" applyAlignment="1">
      <alignment horizontal="right" vertical="top" wrapText="1"/>
    </xf>
    <xf numFmtId="4" fontId="77" fillId="0" borderId="88" xfId="0" applyNumberFormat="1" applyFont="1" applyFill="1" applyBorder="1" applyAlignment="1">
      <alignment horizontal="right" vertical="top" wrapText="1"/>
    </xf>
    <xf numFmtId="4" fontId="37" fillId="0" borderId="88" xfId="902" applyNumberFormat="1" applyFont="1" applyFill="1" applyBorder="1" applyAlignment="1">
      <alignment horizontal="right" vertical="top" wrapText="1"/>
    </xf>
    <xf numFmtId="171" fontId="37" fillId="0" borderId="44" xfId="0" applyNumberFormat="1" applyFont="1" applyFill="1" applyBorder="1" applyAlignment="1">
      <alignment horizontal="right" vertical="top" wrapText="1"/>
    </xf>
    <xf numFmtId="4" fontId="37" fillId="0" borderId="45" xfId="0" applyNumberFormat="1" applyFont="1" applyFill="1" applyBorder="1" applyAlignment="1">
      <alignment horizontal="right" vertical="top" wrapText="1"/>
    </xf>
    <xf numFmtId="0" fontId="37" fillId="0" borderId="40" xfId="0" applyNumberFormat="1" applyFont="1" applyFill="1" applyBorder="1" applyAlignment="1">
      <alignment horizontal="righ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6"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102" fillId="0" borderId="0" xfId="1962" applyFont="1" applyFill="1" applyAlignment="1">
      <alignment horizontal="left" vertical="top"/>
    </xf>
    <xf numFmtId="0" fontId="102" fillId="0" borderId="0" xfId="1962" applyFont="1" applyFill="1" applyAlignment="1">
      <alignment horizontal="center" vertical="top"/>
    </xf>
    <xf numFmtId="0" fontId="20" fillId="0" borderId="0" xfId="1962" applyFont="1" applyFill="1" applyAlignment="1"/>
    <xf numFmtId="0" fontId="20" fillId="0" borderId="0" xfId="1962" applyFont="1" applyFill="1" applyAlignment="1">
      <alignment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49" fontId="103" fillId="0" borderId="58" xfId="43" applyNumberFormat="1" applyFont="1" applyFill="1" applyBorder="1" applyAlignment="1" applyProtection="1">
      <alignment vertical="center"/>
    </xf>
    <xf numFmtId="49" fontId="103" fillId="0" borderId="59" xfId="43" applyNumberFormat="1" applyFont="1" applyFill="1" applyBorder="1" applyAlignment="1" applyProtection="1">
      <alignment vertical="center"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101" fillId="0" borderId="0" xfId="1962" applyFont="1" applyFill="1" applyAlignment="1">
      <alignment horizontal="center" vertical="top"/>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6" xfId="0" applyFont="1" applyBorder="1" applyAlignment="1">
      <alignment vertical="top" wrapText="1"/>
    </xf>
    <xf numFmtId="0" fontId="89" fillId="59" borderId="0" xfId="0" applyNumberFormat="1" applyFont="1" applyFill="1" applyAlignment="1">
      <alignment horizontal="left" wrapText="1"/>
    </xf>
    <xf numFmtId="0" fontId="89" fillId="59" borderId="0" xfId="0" applyFont="1" applyFill="1" applyAlignment="1">
      <alignment horizontal="left" wrapText="1"/>
    </xf>
    <xf numFmtId="0" fontId="89" fillId="59" borderId="0" xfId="0" applyNumberFormat="1" applyFont="1" applyFill="1" applyAlignment="1">
      <alignment horizontal="right" wrapText="1"/>
    </xf>
    <xf numFmtId="0" fontId="89" fillId="59" borderId="0" xfId="1962" applyFont="1" applyFill="1" applyAlignment="1">
      <alignment horizontal="left" vertical="top" wrapText="1"/>
    </xf>
    <xf numFmtId="0" fontId="88" fillId="59" borderId="0" xfId="1962" applyFill="1" applyAlignment="1"/>
    <xf numFmtId="0" fontId="88" fillId="59" borderId="0" xfId="1962" applyFill="1" applyAlignment="1">
      <alignment wrapText="1"/>
    </xf>
    <xf numFmtId="0" fontId="22" fillId="0" borderId="0" xfId="1057" applyFont="1" applyFill="1" applyBorder="1" applyAlignment="1">
      <alignment horizontal="justify" vertical="top"/>
    </xf>
    <xf numFmtId="176" fontId="22" fillId="0" borderId="0" xfId="1057" applyNumberFormat="1" applyFont="1" applyFill="1" applyBorder="1" applyAlignment="1">
      <alignment vertical="top"/>
    </xf>
    <xf numFmtId="165" fontId="84" fillId="0" borderId="0" xfId="1401" applyFont="1" applyFill="1" applyBorder="1" applyAlignment="1">
      <alignment vertical="top"/>
    </xf>
    <xf numFmtId="10" fontId="83" fillId="0" borderId="63" xfId="1187" applyNumberFormat="1" applyFont="1" applyFill="1" applyBorder="1" applyAlignment="1">
      <alignment vertical="center" wrapText="1"/>
    </xf>
    <xf numFmtId="10" fontId="20" fillId="0" borderId="123" xfId="1187" applyNumberFormat="1" applyFont="1" applyFill="1" applyBorder="1" applyAlignment="1">
      <alignment vertical="center"/>
    </xf>
    <xf numFmtId="0" fontId="20" fillId="0" borderId="59" xfId="1057" applyNumberFormat="1" applyFont="1" applyFill="1" applyBorder="1" applyAlignment="1">
      <alignment vertical="top"/>
    </xf>
    <xf numFmtId="173" fontId="20" fillId="0" borderId="124" xfId="1057" applyNumberFormat="1" applyFont="1" applyFill="1" applyBorder="1" applyAlignment="1">
      <alignment vertical="center" wrapText="1"/>
    </xf>
    <xf numFmtId="10" fontId="20" fillId="0" borderId="59" xfId="1187" applyNumberFormat="1" applyFont="1" applyFill="1" applyBorder="1" applyAlignment="1">
      <alignment vertical="center"/>
    </xf>
    <xf numFmtId="173" fontId="20" fillId="0" borderId="59" xfId="1057" applyNumberFormat="1" applyFont="1" applyFill="1" applyBorder="1" applyAlignment="1">
      <alignment vertical="center" wrapText="1"/>
    </xf>
    <xf numFmtId="0" fontId="20" fillId="33" borderId="59" xfId="1057" applyNumberFormat="1" applyFont="1" applyFill="1" applyBorder="1" applyAlignment="1">
      <alignment vertical="top"/>
    </xf>
    <xf numFmtId="10" fontId="83" fillId="0" borderId="60" xfId="1187" applyNumberFormat="1" applyFont="1" applyFill="1" applyBorder="1" applyAlignment="1">
      <alignment vertical="center" wrapText="1"/>
    </xf>
    <xf numFmtId="4" fontId="83" fillId="0" borderId="125" xfId="1057" applyNumberFormat="1" applyFont="1" applyFill="1" applyBorder="1" applyAlignment="1">
      <alignment vertical="center"/>
    </xf>
    <xf numFmtId="173" fontId="20" fillId="0" borderId="126" xfId="1057" applyNumberFormat="1" applyFont="1" applyFill="1" applyBorder="1" applyAlignment="1">
      <alignment vertical="center" wrapText="1"/>
    </xf>
    <xf numFmtId="182" fontId="22" fillId="0" borderId="0" xfId="1663" applyNumberFormat="1" applyFont="1" applyFill="1" applyAlignment="1">
      <alignment vertical="top"/>
    </xf>
    <xf numFmtId="182" fontId="22" fillId="0" borderId="127" xfId="1663" applyNumberFormat="1" applyFont="1" applyFill="1" applyBorder="1" applyAlignment="1">
      <alignment horizontal="center" vertical="top"/>
    </xf>
    <xf numFmtId="182" fontId="22" fillId="0" borderId="128" xfId="1663" applyNumberFormat="1" applyFont="1" applyFill="1" applyBorder="1" applyAlignment="1">
      <alignment horizontal="center" vertical="top"/>
    </xf>
    <xf numFmtId="182" fontId="22" fillId="0" borderId="129" xfId="1663" applyNumberFormat="1" applyFont="1" applyFill="1" applyBorder="1" applyAlignment="1">
      <alignment horizontal="center" vertical="top"/>
    </xf>
    <xf numFmtId="10" fontId="22" fillId="0" borderId="130" xfId="1663" applyNumberFormat="1" applyFont="1" applyFill="1" applyBorder="1" applyAlignment="1">
      <alignment horizontal="center" vertical="top"/>
    </xf>
    <xf numFmtId="10" fontId="20" fillId="0" borderId="132" xfId="1187" applyNumberFormat="1" applyFont="1" applyFill="1" applyBorder="1" applyAlignment="1">
      <alignment vertical="center"/>
    </xf>
    <xf numFmtId="10" fontId="20" fillId="0" borderId="133" xfId="1187" applyNumberFormat="1" applyFont="1" applyFill="1" applyBorder="1" applyAlignment="1">
      <alignment vertical="center"/>
    </xf>
    <xf numFmtId="0" fontId="20" fillId="0" borderId="132" xfId="1057" applyNumberFormat="1" applyFont="1" applyFill="1" applyBorder="1" applyAlignment="1">
      <alignment vertical="top"/>
    </xf>
    <xf numFmtId="173" fontId="20" fillId="0" borderId="132" xfId="1057" applyNumberFormat="1" applyFont="1" applyFill="1" applyBorder="1" applyAlignment="1">
      <alignment vertical="center" wrapText="1"/>
    </xf>
    <xf numFmtId="4" fontId="83" fillId="0" borderId="134" xfId="1057" applyNumberFormat="1" applyFont="1" applyFill="1" applyBorder="1" applyAlignment="1">
      <alignment vertical="center"/>
    </xf>
    <xf numFmtId="0" fontId="20" fillId="33" borderId="132" xfId="1057" applyNumberFormat="1" applyFont="1" applyFill="1" applyBorder="1" applyAlignment="1">
      <alignment vertical="top"/>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10" fontId="37" fillId="0" borderId="44" xfId="1663" applyNumberFormat="1" applyFont="1" applyFill="1" applyBorder="1" applyAlignment="1">
      <alignment horizontal="right" vertical="top" wrapText="1"/>
    </xf>
    <xf numFmtId="0" fontId="80" fillId="0" borderId="0" xfId="0" applyFont="1" applyFill="1" applyAlignment="1">
      <alignment horizontal="center" vertical="center"/>
    </xf>
    <xf numFmtId="0" fontId="37" fillId="0" borderId="0" xfId="0" applyFont="1" applyFill="1" applyAlignment="1">
      <alignment horizontal="center" vertical="center"/>
    </xf>
    <xf numFmtId="0" fontId="37" fillId="0" borderId="40" xfId="0" applyFont="1" applyFill="1" applyBorder="1" applyAlignment="1">
      <alignment horizontal="right" vertical="top" wrapText="1"/>
    </xf>
    <xf numFmtId="0" fontId="80" fillId="0" borderId="0" xfId="0" applyFont="1" applyFill="1" applyAlignment="1">
      <alignment horizontal="right" vertical="center"/>
    </xf>
    <xf numFmtId="2" fontId="37" fillId="0" borderId="0" xfId="0" applyNumberFormat="1" applyFont="1" applyFill="1" applyAlignment="1">
      <alignment horizontal="center" vertical="center"/>
    </xf>
    <xf numFmtId="43" fontId="37" fillId="0" borderId="44" xfId="1961" applyFont="1" applyFill="1" applyBorder="1" applyAlignment="1">
      <alignment horizontal="right" vertical="top" wrapText="1"/>
    </xf>
    <xf numFmtId="4" fontId="77" fillId="0" borderId="45" xfId="0" applyNumberFormat="1" applyFont="1" applyFill="1" applyBorder="1" applyAlignment="1">
      <alignment horizontal="right" vertical="top" wrapText="1"/>
    </xf>
    <xf numFmtId="0" fontId="37" fillId="0" borderId="0" xfId="0" applyFont="1" applyFill="1" applyAlignment="1">
      <alignment vertical="center"/>
    </xf>
    <xf numFmtId="4" fontId="37" fillId="0" borderId="44" xfId="902" applyNumberFormat="1" applyFont="1" applyFill="1" applyBorder="1" applyAlignment="1">
      <alignment horizontal="right" vertical="top" wrapText="1"/>
    </xf>
    <xf numFmtId="4" fontId="37" fillId="0" borderId="62" xfId="0" applyNumberFormat="1" applyFont="1" applyFill="1" applyBorder="1" applyAlignment="1">
      <alignment horizontal="right" vertical="top" wrapText="1"/>
    </xf>
    <xf numFmtId="43" fontId="37" fillId="0" borderId="0" xfId="902" applyNumberFormat="1" applyFont="1" applyFill="1"/>
    <xf numFmtId="0" fontId="37" fillId="0" borderId="40" xfId="0" applyNumberFormat="1" applyFont="1" applyFill="1" applyBorder="1" applyAlignment="1">
      <alignment horizontal="left" vertical="top" wrapText="1"/>
    </xf>
    <xf numFmtId="179" fontId="37" fillId="0" borderId="44" xfId="0" applyNumberFormat="1" applyFont="1" applyFill="1" applyBorder="1" applyAlignment="1">
      <alignment horizontal="right" vertical="top" wrapText="1"/>
    </xf>
    <xf numFmtId="175" fontId="37" fillId="0" borderId="44" xfId="0" applyNumberFormat="1" applyFont="1" applyFill="1" applyBorder="1" applyAlignment="1">
      <alignment horizontal="right" vertical="top" wrapText="1"/>
    </xf>
    <xf numFmtId="0" fontId="37" fillId="0" borderId="0" xfId="0" applyFont="1" applyFill="1" applyAlignment="1">
      <alignment horizontal="right" vertical="top"/>
    </xf>
    <xf numFmtId="0" fontId="20" fillId="0" borderId="0" xfId="0" applyFont="1" applyFill="1" applyAlignment="1">
      <alignment horizontal="right" vertical="top"/>
    </xf>
    <xf numFmtId="4" fontId="37" fillId="0" borderId="0" xfId="0" applyNumberFormat="1" applyFont="1" applyFill="1"/>
    <xf numFmtId="178" fontId="37" fillId="0" borderId="44" xfId="0" applyNumberFormat="1" applyFont="1" applyFill="1" applyBorder="1" applyAlignment="1">
      <alignment horizontal="right" vertical="top" wrapText="1"/>
    </xf>
    <xf numFmtId="0" fontId="80" fillId="0" borderId="0" xfId="0" applyFont="1" applyFill="1"/>
    <xf numFmtId="0" fontId="37" fillId="0" borderId="0" xfId="0" applyFont="1" applyFill="1" applyBorder="1" applyAlignment="1">
      <alignment horizontal="center"/>
    </xf>
    <xf numFmtId="181" fontId="37" fillId="0" borderId="44" xfId="0" applyNumberFormat="1" applyFont="1" applyFill="1" applyBorder="1" applyAlignment="1">
      <alignment horizontal="right" vertical="top" wrapText="1"/>
    </xf>
    <xf numFmtId="0" fontId="60" fillId="0" borderId="0" xfId="0" applyFont="1" applyFill="1" applyBorder="1" applyAlignment="1">
      <alignment horizontal="left" vertical="top" wrapText="1"/>
    </xf>
    <xf numFmtId="9" fontId="20" fillId="0" borderId="0" xfId="1663" applyFont="1" applyFill="1" applyProtection="1"/>
    <xf numFmtId="4" fontId="89" fillId="0" borderId="0" xfId="1962" applyNumberFormat="1" applyFont="1" applyFill="1" applyAlignment="1">
      <alignment horizontal="right" vertical="top" wrapText="1"/>
    </xf>
    <xf numFmtId="2" fontId="89" fillId="0" borderId="0" xfId="1962" applyNumberFormat="1" applyFont="1" applyFill="1" applyAlignment="1">
      <alignment horizontal="right" vertical="top" wrapText="1"/>
    </xf>
    <xf numFmtId="0" fontId="89" fillId="0" borderId="0" xfId="1962" applyFont="1" applyFill="1" applyAlignment="1">
      <alignment horizontal="right" vertical="top" wrapText="1"/>
    </xf>
    <xf numFmtId="180" fontId="89" fillId="0" borderId="0" xfId="1962" applyNumberFormat="1" applyFont="1" applyFill="1" applyAlignment="1">
      <alignment horizontal="right" vertical="top" wrapText="1"/>
    </xf>
    <xf numFmtId="0" fontId="89" fillId="0" borderId="0" xfId="1962" applyFont="1" applyFill="1" applyAlignment="1">
      <alignment horizontal="left" vertical="top"/>
    </xf>
    <xf numFmtId="0" fontId="1" fillId="0" borderId="0" xfId="2270"/>
    <xf numFmtId="0" fontId="90" fillId="0" borderId="127" xfId="2272" applyFont="1" applyBorder="1"/>
    <xf numFmtId="0" fontId="108" fillId="60" borderId="135" xfId="2272" applyFont="1" applyFill="1" applyBorder="1" applyAlignment="1">
      <alignment vertical="center"/>
    </xf>
    <xf numFmtId="0" fontId="109" fillId="60" borderId="135" xfId="2272" applyFont="1" applyFill="1" applyBorder="1" applyAlignment="1">
      <alignment vertical="center"/>
    </xf>
    <xf numFmtId="0" fontId="109" fillId="60" borderId="136" xfId="2272" applyFont="1" applyFill="1" applyBorder="1" applyAlignment="1">
      <alignment vertical="center"/>
    </xf>
    <xf numFmtId="0" fontId="109" fillId="60" borderId="127" xfId="2272" applyFont="1" applyFill="1" applyBorder="1"/>
    <xf numFmtId="0" fontId="109" fillId="60" borderId="129" xfId="2272" applyFont="1" applyFill="1" applyBorder="1"/>
    <xf numFmtId="0" fontId="109" fillId="60" borderId="137" xfId="2272" applyFont="1" applyFill="1" applyBorder="1"/>
    <xf numFmtId="0" fontId="90" fillId="0" borderId="138" xfId="2272" applyFont="1" applyBorder="1"/>
    <xf numFmtId="0" fontId="110" fillId="0" borderId="137" xfId="2272" applyFont="1" applyBorder="1" applyAlignment="1">
      <alignment vertical="center"/>
    </xf>
    <xf numFmtId="0" fontId="110" fillId="0" borderId="127" xfId="2272" applyFont="1" applyBorder="1" applyAlignment="1">
      <alignment vertical="center"/>
    </xf>
    <xf numFmtId="0" fontId="111" fillId="0" borderId="139" xfId="2272" applyFont="1" applyBorder="1" applyAlignment="1">
      <alignment vertical="center"/>
    </xf>
    <xf numFmtId="0" fontId="90" fillId="0" borderId="65" xfId="2272" applyFont="1" applyBorder="1"/>
    <xf numFmtId="0" fontId="110" fillId="0" borderId="140" xfId="2272" applyFont="1" applyBorder="1" applyAlignment="1">
      <alignment vertical="center"/>
    </xf>
    <xf numFmtId="0" fontId="110" fillId="0" borderId="141" xfId="2272" applyFont="1" applyBorder="1" applyAlignment="1">
      <alignment vertical="center"/>
    </xf>
    <xf numFmtId="0" fontId="90" fillId="0" borderId="119" xfId="2272" applyFont="1" applyBorder="1"/>
    <xf numFmtId="0" fontId="112" fillId="0" borderId="142" xfId="2272" applyFont="1" applyBorder="1" applyAlignment="1">
      <alignment vertical="center"/>
    </xf>
    <xf numFmtId="0" fontId="112" fillId="0" borderId="71" xfId="2272" applyFont="1" applyBorder="1" applyAlignment="1">
      <alignment vertical="center"/>
    </xf>
    <xf numFmtId="0" fontId="92" fillId="61" borderId="24" xfId="2272" applyFont="1" applyFill="1" applyBorder="1" applyAlignment="1">
      <alignment horizontal="center" vertical="center"/>
    </xf>
    <xf numFmtId="0" fontId="92" fillId="61" borderId="71" xfId="2272" applyFont="1" applyFill="1" applyBorder="1" applyAlignment="1">
      <alignment horizontal="center" vertical="center"/>
    </xf>
    <xf numFmtId="0" fontId="112" fillId="0" borderId="79" xfId="2272" applyFont="1" applyBorder="1" applyAlignment="1">
      <alignment vertical="center"/>
    </xf>
    <xf numFmtId="49" fontId="113" fillId="0" borderId="127" xfId="2272" applyNumberFormat="1" applyFont="1" applyBorder="1" applyAlignment="1">
      <alignment horizontal="right"/>
    </xf>
    <xf numFmtId="180" fontId="90" fillId="0" borderId="128" xfId="2272" applyNumberFormat="1" applyFont="1" applyBorder="1"/>
    <xf numFmtId="0" fontId="90" fillId="0" borderId="128" xfId="2272" applyFont="1" applyBorder="1"/>
    <xf numFmtId="0" fontId="90" fillId="0" borderId="129" xfId="2272" applyFont="1" applyBorder="1"/>
    <xf numFmtId="4" fontId="19" fillId="0" borderId="0" xfId="2353">
      <alignment vertical="center" wrapText="1"/>
      <protection locked="0"/>
    </xf>
    <xf numFmtId="49" fontId="113" fillId="0" borderId="65" xfId="2272" applyNumberFormat="1" applyFont="1" applyBorder="1" applyAlignment="1">
      <alignment horizontal="right"/>
    </xf>
    <xf numFmtId="180" fontId="90" fillId="0" borderId="13" xfId="2272" applyNumberFormat="1" applyFont="1" applyBorder="1"/>
    <xf numFmtId="0" fontId="90" fillId="0" borderId="13" xfId="2272" applyFont="1" applyBorder="1"/>
    <xf numFmtId="0" fontId="90" fillId="0" borderId="140" xfId="2272" applyFont="1" applyBorder="1"/>
    <xf numFmtId="4" fontId="114" fillId="0" borderId="0" xfId="2273" applyFont="1">
      <alignment vertical="center" wrapText="1"/>
      <protection locked="0"/>
    </xf>
    <xf numFmtId="4" fontId="19" fillId="0" borderId="0" xfId="2273">
      <alignment vertical="center" wrapText="1"/>
      <protection locked="0"/>
    </xf>
    <xf numFmtId="0" fontId="90" fillId="0" borderId="0" xfId="2272" applyFont="1"/>
    <xf numFmtId="0" fontId="115" fillId="0" borderId="106" xfId="2272" applyFont="1" applyFill="1" applyBorder="1" applyAlignment="1">
      <alignment horizontal="center" vertical="center"/>
    </xf>
    <xf numFmtId="0" fontId="90" fillId="0" borderId="104" xfId="2272" applyFont="1" applyFill="1" applyBorder="1" applyAlignment="1">
      <alignment vertical="center" wrapText="1"/>
    </xf>
    <xf numFmtId="0" fontId="90" fillId="0" borderId="106" xfId="2272" applyFont="1" applyFill="1" applyBorder="1" applyAlignment="1">
      <alignment vertical="center"/>
    </xf>
    <xf numFmtId="0" fontId="90" fillId="0" borderId="104" xfId="2272" applyFont="1" applyFill="1" applyBorder="1" applyAlignment="1">
      <alignment vertical="center"/>
    </xf>
    <xf numFmtId="0" fontId="90" fillId="0" borderId="106" xfId="2272" applyFont="1" applyFill="1" applyBorder="1" applyAlignment="1">
      <alignment horizontal="center" vertical="center"/>
    </xf>
    <xf numFmtId="0" fontId="116" fillId="0" borderId="106" xfId="2272" applyFont="1" applyFill="1" applyBorder="1" applyAlignment="1">
      <alignment horizontal="center" vertical="center"/>
    </xf>
    <xf numFmtId="9" fontId="1" fillId="0" borderId="0" xfId="1663"/>
    <xf numFmtId="0" fontId="109" fillId="0" borderId="106" xfId="2272" applyFont="1" applyFill="1" applyBorder="1" applyAlignment="1">
      <alignment horizontal="center" vertical="center"/>
    </xf>
    <xf numFmtId="0" fontId="109" fillId="0" borderId="104" xfId="2272" applyFont="1" applyFill="1" applyBorder="1" applyAlignment="1">
      <alignment vertical="center"/>
    </xf>
    <xf numFmtId="0" fontId="17" fillId="0" borderId="0" xfId="2270" applyFont="1" applyFill="1" applyBorder="1" applyAlignment="1">
      <alignment horizontal="center" vertical="center"/>
    </xf>
    <xf numFmtId="175" fontId="1" fillId="0" borderId="0" xfId="2270" applyNumberFormat="1"/>
    <xf numFmtId="188" fontId="90" fillId="0" borderId="104" xfId="1961" applyNumberFormat="1" applyFont="1" applyFill="1" applyBorder="1" applyAlignment="1">
      <alignment vertical="center"/>
    </xf>
    <xf numFmtId="180" fontId="90" fillId="0" borderId="13" xfId="2272" applyNumberFormat="1" applyFont="1" applyFill="1" applyBorder="1"/>
    <xf numFmtId="0" fontId="90" fillId="0" borderId="13" xfId="2272" applyFont="1" applyFill="1" applyBorder="1"/>
    <xf numFmtId="49" fontId="113" fillId="0" borderId="74" xfId="2272" applyNumberFormat="1" applyFont="1" applyBorder="1" applyAlignment="1">
      <alignment horizontal="right"/>
    </xf>
    <xf numFmtId="180" fontId="90" fillId="0" borderId="156" xfId="2272" applyNumberFormat="1" applyFont="1" applyFill="1" applyBorder="1"/>
    <xf numFmtId="0" fontId="90" fillId="0" borderId="156" xfId="2272" applyFont="1" applyFill="1" applyBorder="1"/>
    <xf numFmtId="0" fontId="90" fillId="0" borderId="156" xfId="2272" applyFont="1" applyBorder="1"/>
    <xf numFmtId="49" fontId="113" fillId="0" borderId="130" xfId="2272" applyNumberFormat="1" applyFont="1" applyBorder="1" applyAlignment="1">
      <alignment horizontal="right"/>
    </xf>
    <xf numFmtId="180" fontId="90" fillId="0" borderId="131" xfId="2272" applyNumberFormat="1" applyFont="1" applyFill="1" applyBorder="1"/>
    <xf numFmtId="0" fontId="90" fillId="0" borderId="131" xfId="2272" applyFont="1" applyFill="1" applyBorder="1"/>
    <xf numFmtId="0" fontId="90" fillId="0" borderId="131" xfId="2272" applyFont="1" applyBorder="1"/>
    <xf numFmtId="0" fontId="60" fillId="0" borderId="0" xfId="0" applyFont="1" applyFill="1" applyBorder="1" applyAlignment="1">
      <alignment horizontal="left" vertical="top" wrapText="1"/>
    </xf>
    <xf numFmtId="0" fontId="1" fillId="0" borderId="0" xfId="799"/>
    <xf numFmtId="0" fontId="1" fillId="0" borderId="0" xfId="799" applyAlignment="1">
      <alignment vertical="center"/>
    </xf>
    <xf numFmtId="0" fontId="1" fillId="0" borderId="0" xfId="799" applyAlignment="1">
      <alignment vertical="center" wrapText="1"/>
    </xf>
    <xf numFmtId="0" fontId="1" fillId="0" borderId="0" xfId="799" applyAlignment="1">
      <alignment horizontal="center" vertical="center"/>
    </xf>
    <xf numFmtId="0" fontId="1" fillId="83" borderId="0" xfId="799" applyFill="1" applyAlignment="1">
      <alignment vertical="center"/>
    </xf>
    <xf numFmtId="0" fontId="1" fillId="83" borderId="0" xfId="799" applyFill="1" applyAlignment="1">
      <alignment vertical="center" wrapText="1"/>
    </xf>
    <xf numFmtId="0" fontId="1" fillId="83" borderId="0" xfId="799" applyFill="1" applyAlignment="1">
      <alignment horizontal="center" vertical="center"/>
    </xf>
    <xf numFmtId="0" fontId="24" fillId="0" borderId="0" xfId="799" applyFont="1" applyFill="1" applyBorder="1" applyAlignment="1">
      <alignment horizontal="center" vertical="top"/>
    </xf>
    <xf numFmtId="0" fontId="1" fillId="0" borderId="0" xfId="799" applyFont="1" applyFill="1" applyBorder="1" applyAlignment="1">
      <alignment vertical="center"/>
    </xf>
    <xf numFmtId="0" fontId="1" fillId="0" borderId="0" xfId="799" applyFont="1" applyFill="1" applyBorder="1" applyAlignment="1">
      <alignment vertical="center" wrapText="1"/>
    </xf>
    <xf numFmtId="0" fontId="1" fillId="0" borderId="0" xfId="799" applyFont="1" applyFill="1" applyBorder="1" applyAlignment="1">
      <alignment horizontal="center" vertical="center"/>
    </xf>
    <xf numFmtId="4" fontId="24" fillId="0" borderId="0" xfId="799" applyNumberFormat="1" applyFont="1" applyFill="1" applyBorder="1" applyAlignment="1">
      <alignment vertical="center"/>
    </xf>
    <xf numFmtId="0" fontId="24" fillId="0" borderId="0" xfId="799" applyFont="1" applyFill="1" applyBorder="1" applyAlignment="1">
      <alignment horizontal="center" vertical="center" wrapText="1"/>
    </xf>
    <xf numFmtId="0" fontId="24" fillId="0" borderId="0" xfId="799" applyFont="1" applyFill="1" applyBorder="1" applyAlignment="1">
      <alignment horizontal="center" vertical="center"/>
    </xf>
    <xf numFmtId="4" fontId="1" fillId="0" borderId="0" xfId="799" applyNumberFormat="1" applyFont="1" applyFill="1" applyBorder="1" applyAlignment="1">
      <alignment vertical="center"/>
    </xf>
    <xf numFmtId="0" fontId="24" fillId="0" borderId="0" xfId="799" applyFont="1" applyFill="1" applyBorder="1" applyAlignment="1">
      <alignment vertical="center" wrapText="1"/>
    </xf>
    <xf numFmtId="0" fontId="24" fillId="0" borderId="0" xfId="799" applyFont="1" applyAlignment="1">
      <alignment vertical="center"/>
    </xf>
    <xf numFmtId="4" fontId="20" fillId="0" borderId="0" xfId="799" applyNumberFormat="1" applyFont="1" applyFill="1" applyBorder="1" applyAlignment="1">
      <alignment vertical="center"/>
    </xf>
    <xf numFmtId="0" fontId="20" fillId="0" borderId="0" xfId="799" applyFont="1" applyFill="1" applyBorder="1" applyAlignment="1">
      <alignment horizontal="center" vertical="center"/>
    </xf>
    <xf numFmtId="0" fontId="134" fillId="0" borderId="0" xfId="799" applyFont="1" applyAlignment="1">
      <alignment vertical="center"/>
    </xf>
    <xf numFmtId="0" fontId="24" fillId="0" borderId="0" xfId="799" applyFont="1" applyFill="1" applyBorder="1" applyAlignment="1">
      <alignment vertical="center"/>
    </xf>
    <xf numFmtId="14" fontId="1" fillId="0" borderId="0" xfId="799" applyNumberFormat="1" applyFont="1" applyFill="1" applyBorder="1" applyAlignment="1">
      <alignment vertical="center"/>
    </xf>
    <xf numFmtId="0" fontId="1" fillId="0" borderId="0" xfId="799" applyBorder="1"/>
    <xf numFmtId="14" fontId="1" fillId="0" borderId="0" xfId="799" applyNumberFormat="1" applyFont="1" applyFill="1" applyBorder="1" applyAlignment="1">
      <alignment horizontal="left" vertical="center"/>
    </xf>
    <xf numFmtId="0" fontId="1" fillId="0" borderId="0" xfId="799" applyFont="1" applyFill="1" applyBorder="1" applyAlignment="1">
      <alignment horizontal="right" vertical="center"/>
    </xf>
    <xf numFmtId="0" fontId="1" fillId="0" borderId="0" xfId="799" applyFont="1" applyFill="1" applyBorder="1" applyAlignment="1">
      <alignment horizontal="left" vertical="center"/>
    </xf>
    <xf numFmtId="0" fontId="135" fillId="0" borderId="0" xfId="799" applyFont="1" applyFill="1" applyBorder="1" applyAlignment="1">
      <alignment horizontal="center" vertical="center"/>
    </xf>
    <xf numFmtId="0" fontId="73" fillId="0" borderId="0" xfId="0" applyFont="1" applyAlignment="1">
      <alignment vertical="top"/>
    </xf>
    <xf numFmtId="0" fontId="1" fillId="0" borderId="0" xfId="799" applyBorder="1" applyAlignment="1">
      <alignment vertical="center"/>
    </xf>
    <xf numFmtId="14" fontId="60" fillId="0" borderId="0" xfId="0" applyNumberFormat="1" applyFont="1" applyFill="1" applyBorder="1" applyAlignment="1">
      <alignment horizontal="left" vertical="center"/>
    </xf>
    <xf numFmtId="0" fontId="21" fillId="33" borderId="0" xfId="43" applyNumberFormat="1" applyFont="1" applyFill="1" applyBorder="1" applyAlignment="1">
      <alignment horizontal="center" vertical="top" wrapText="1"/>
    </xf>
    <xf numFmtId="0" fontId="82" fillId="33" borderId="0" xfId="43" applyNumberFormat="1" applyFont="1" applyFill="1" applyBorder="1" applyAlignment="1" applyProtection="1">
      <alignment horizontal="center" vertical="top" wrapText="1"/>
    </xf>
    <xf numFmtId="0" fontId="60" fillId="0" borderId="0" xfId="0" applyFont="1" applyFill="1" applyBorder="1" applyAlignment="1">
      <alignment horizontal="left" vertical="top" wrapText="1"/>
    </xf>
    <xf numFmtId="176" fontId="22" fillId="0" borderId="0" xfId="1057" applyNumberFormat="1" applyFont="1" applyFill="1" applyBorder="1" applyAlignment="1">
      <alignment horizontal="justify" vertical="top"/>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60" fillId="0" borderId="0" xfId="0" applyFont="1" applyFill="1" applyBorder="1" applyAlignment="1" applyProtection="1">
      <alignment horizontal="left" vertical="center" wrapText="1"/>
    </xf>
    <xf numFmtId="0" fontId="0" fillId="0" borderId="28" xfId="0" applyFont="1" applyFill="1" applyBorder="1" applyAlignment="1" applyProtection="1">
      <alignment vertical="center"/>
    </xf>
    <xf numFmtId="49" fontId="60" fillId="0" borderId="0" xfId="0" applyNumberFormat="1" applyFont="1" applyFill="1" applyBorder="1" applyAlignment="1" applyProtection="1">
      <alignment horizontal="left" vertical="center"/>
    </xf>
    <xf numFmtId="49" fontId="60" fillId="0" borderId="28" xfId="0" applyNumberFormat="1" applyFont="1" applyFill="1" applyBorder="1" applyAlignment="1" applyProtection="1">
      <alignment horizontal="left" vertical="center"/>
    </xf>
    <xf numFmtId="0" fontId="50" fillId="0" borderId="0" xfId="0" applyFont="1" applyFill="1" applyAlignment="1" applyProtection="1">
      <alignment horizontal="center" vertical="center" wrapText="1"/>
    </xf>
    <xf numFmtId="0" fontId="50" fillId="0" borderId="0" xfId="0" applyFont="1" applyFill="1" applyAlignment="1" applyProtection="1">
      <alignment horizontal="center" vertical="center"/>
    </xf>
    <xf numFmtId="0" fontId="54" fillId="0" borderId="27" xfId="1664" applyFont="1" applyFill="1" applyBorder="1" applyAlignment="1" applyProtection="1">
      <alignment horizontal="center"/>
    </xf>
    <xf numFmtId="0" fontId="54" fillId="0" borderId="0" xfId="1664" applyFont="1" applyFill="1" applyBorder="1" applyAlignment="1" applyProtection="1">
      <alignment horizontal="center"/>
    </xf>
    <xf numFmtId="0" fontId="54" fillId="0" borderId="28" xfId="1664" applyFont="1" applyFill="1" applyBorder="1" applyAlignment="1" applyProtection="1">
      <alignment horizontal="center"/>
    </xf>
    <xf numFmtId="0" fontId="54" fillId="0" borderId="27" xfId="1664" applyFont="1" applyFill="1" applyBorder="1" applyAlignment="1" applyProtection="1">
      <alignment horizontal="center" wrapText="1"/>
    </xf>
    <xf numFmtId="0" fontId="54" fillId="0" borderId="0" xfId="1664" applyFont="1" applyFill="1" applyBorder="1" applyAlignment="1" applyProtection="1">
      <alignment horizontal="center" wrapText="1"/>
    </xf>
    <xf numFmtId="0" fontId="54" fillId="0" borderId="28" xfId="1664" applyFont="1" applyFill="1" applyBorder="1" applyAlignment="1" applyProtection="1">
      <alignment horizontal="center" wrapText="1"/>
    </xf>
    <xf numFmtId="0" fontId="55" fillId="0" borderId="29" xfId="0" applyFont="1" applyBorder="1" applyAlignment="1" applyProtection="1">
      <alignment horizontal="center"/>
    </xf>
    <xf numFmtId="0" fontId="55" fillId="0" borderId="30" xfId="0" applyFont="1" applyBorder="1" applyAlignment="1" applyProtection="1">
      <alignment horizontal="center"/>
    </xf>
    <xf numFmtId="0" fontId="55" fillId="0" borderId="31" xfId="0" applyFont="1" applyBorder="1" applyAlignment="1" applyProtection="1">
      <alignment horizontal="center"/>
    </xf>
    <xf numFmtId="49" fontId="60" fillId="0" borderId="25" xfId="0" applyNumberFormat="1" applyFont="1" applyFill="1" applyBorder="1" applyAlignment="1" applyProtection="1">
      <alignment horizontal="left" vertical="center"/>
    </xf>
    <xf numFmtId="49" fontId="60" fillId="0" borderId="26" xfId="0" applyNumberFormat="1" applyFont="1" applyFill="1" applyBorder="1" applyAlignment="1" applyProtection="1">
      <alignment horizontal="left" vertical="center"/>
    </xf>
    <xf numFmtId="49" fontId="60" fillId="0" borderId="0" xfId="0" applyNumberFormat="1" applyFont="1" applyFill="1" applyBorder="1" applyAlignment="1" applyProtection="1">
      <alignment horizontal="left" vertical="center" wrapText="1"/>
    </xf>
    <xf numFmtId="49" fontId="60" fillId="0" borderId="28" xfId="0" applyNumberFormat="1" applyFont="1" applyFill="1" applyBorder="1" applyAlignment="1" applyProtection="1">
      <alignment horizontal="left" vertical="center" wrapText="1"/>
    </xf>
    <xf numFmtId="0" fontId="0" fillId="0" borderId="28" xfId="0" applyBorder="1"/>
    <xf numFmtId="0" fontId="60" fillId="0" borderId="0" xfId="0" applyNumberFormat="1" applyFont="1" applyFill="1" applyBorder="1" applyAlignment="1">
      <alignment horizontal="center" vertical="top" wrapText="1"/>
    </xf>
    <xf numFmtId="17" fontId="60" fillId="0" borderId="0" xfId="0" applyNumberFormat="1" applyFont="1" applyFill="1" applyBorder="1" applyAlignment="1" applyProtection="1">
      <alignment horizontal="left" vertical="center"/>
    </xf>
    <xf numFmtId="17" fontId="60" fillId="0" borderId="28" xfId="0" applyNumberFormat="1" applyFont="1" applyFill="1" applyBorder="1" applyAlignment="1" applyProtection="1">
      <alignment horizontal="left" vertical="center"/>
    </xf>
    <xf numFmtId="0" fontId="60" fillId="0" borderId="0" xfId="0" applyFont="1" applyFill="1" applyBorder="1" applyAlignment="1" applyProtection="1">
      <alignment horizontal="left" vertical="center"/>
    </xf>
    <xf numFmtId="0" fontId="60" fillId="0" borderId="28" xfId="0" applyFont="1" applyFill="1" applyBorder="1" applyAlignment="1" applyProtection="1">
      <alignment horizontal="left" vertical="center"/>
    </xf>
    <xf numFmtId="0" fontId="60" fillId="0" borderId="33" xfId="0" applyFont="1" applyBorder="1" applyAlignment="1" applyProtection="1">
      <alignment horizontal="justify" vertical="center" wrapText="1"/>
    </xf>
    <xf numFmtId="0" fontId="60" fillId="0" borderId="34" xfId="0" applyFont="1" applyBorder="1" applyAlignment="1" applyProtection="1">
      <alignment horizontal="justify" vertical="center" wrapText="1"/>
    </xf>
    <xf numFmtId="0" fontId="60" fillId="0" borderId="0" xfId="0" applyFont="1" applyFill="1" applyBorder="1" applyAlignment="1" applyProtection="1">
      <alignment horizontal="justify" vertical="center" wrapText="1"/>
    </xf>
    <xf numFmtId="0" fontId="60" fillId="0" borderId="28" xfId="0" applyFont="1" applyFill="1" applyBorder="1" applyAlignment="1" applyProtection="1">
      <alignment horizontal="justify" vertical="center" wrapText="1"/>
    </xf>
    <xf numFmtId="0" fontId="60" fillId="0" borderId="30" xfId="0" applyFont="1" applyFill="1" applyBorder="1" applyAlignment="1" applyProtection="1">
      <alignment horizontal="left" vertical="center"/>
    </xf>
    <xf numFmtId="0" fontId="60" fillId="0" borderId="31" xfId="0" applyFont="1" applyFill="1" applyBorder="1" applyAlignment="1" applyProtection="1">
      <alignment horizontal="left" vertical="center"/>
    </xf>
    <xf numFmtId="0" fontId="63" fillId="0" borderId="24" xfId="0" applyFont="1" applyBorder="1" applyAlignment="1" applyProtection="1">
      <alignment horizontal="left" vertical="center"/>
    </xf>
    <xf numFmtId="0" fontId="63" fillId="0" borderId="25" xfId="0" applyFont="1" applyBorder="1" applyAlignment="1" applyProtection="1">
      <alignment horizontal="left" vertical="center"/>
    </xf>
    <xf numFmtId="0" fontId="63" fillId="0" borderId="26" xfId="0" applyFont="1" applyBorder="1" applyAlignment="1" applyProtection="1">
      <alignment horizontal="left" vertical="center"/>
    </xf>
    <xf numFmtId="0" fontId="60" fillId="0" borderId="27" xfId="0" applyFont="1" applyFill="1" applyBorder="1" applyAlignment="1" applyProtection="1">
      <alignment horizontal="left" vertical="center"/>
    </xf>
    <xf numFmtId="0" fontId="54" fillId="0" borderId="29" xfId="0" applyFont="1" applyFill="1" applyBorder="1" applyAlignment="1" applyProtection="1">
      <alignment horizontal="left" vertical="center"/>
    </xf>
    <xf numFmtId="0" fontId="54" fillId="0" borderId="30" xfId="0" applyFont="1" applyFill="1" applyBorder="1" applyAlignment="1" applyProtection="1">
      <alignment horizontal="left" vertical="center"/>
    </xf>
    <xf numFmtId="0" fontId="79" fillId="0" borderId="0" xfId="0" applyFont="1" applyFill="1" applyBorder="1" applyAlignment="1">
      <alignment horizontal="center" vertical="top" wrapText="1"/>
    </xf>
    <xf numFmtId="0" fontId="59" fillId="0" borderId="0" xfId="0" applyFont="1" applyFill="1" applyBorder="1" applyAlignment="1">
      <alignment horizontal="left" vertical="top" wrapText="1"/>
    </xf>
    <xf numFmtId="0" fontId="60" fillId="0" borderId="0" xfId="0" applyFont="1" applyFill="1" applyBorder="1" applyAlignment="1">
      <alignment horizontal="left" vertical="top"/>
    </xf>
    <xf numFmtId="0" fontId="59" fillId="0" borderId="35" xfId="0" applyFont="1" applyFill="1" applyBorder="1" applyAlignment="1">
      <alignment horizontal="left" vertical="top" wrapText="1"/>
    </xf>
    <xf numFmtId="0" fontId="74" fillId="0" borderId="0" xfId="0" applyFont="1" applyFill="1" applyAlignment="1">
      <alignment horizontal="center"/>
    </xf>
    <xf numFmtId="0" fontId="60" fillId="0" borderId="0" xfId="0" applyFont="1" applyFill="1" applyBorder="1" applyAlignment="1">
      <alignment horizontal="left" vertical="top" wrapText="1"/>
    </xf>
    <xf numFmtId="49" fontId="60" fillId="0" borderId="0" xfId="0" applyNumberFormat="1" applyFont="1" applyFill="1" applyBorder="1" applyAlignment="1">
      <alignment horizontal="left" vertical="top" wrapText="1"/>
    </xf>
    <xf numFmtId="0" fontId="37" fillId="0" borderId="41" xfId="0" applyFont="1" applyBorder="1" applyAlignment="1">
      <alignment vertical="top" wrapText="1"/>
    </xf>
    <xf numFmtId="0" fontId="37" fillId="0" borderId="42" xfId="0" applyFont="1" applyBorder="1" applyAlignment="1">
      <alignment vertical="top" wrapText="1"/>
    </xf>
    <xf numFmtId="0" fontId="37" fillId="0" borderId="43" xfId="0" applyFont="1" applyBorder="1" applyAlignment="1">
      <alignment vertical="top" wrapText="1"/>
    </xf>
    <xf numFmtId="0" fontId="37" fillId="0" borderId="41" xfId="0" applyFont="1" applyFill="1" applyBorder="1" applyAlignment="1">
      <alignment vertical="top" wrapText="1"/>
    </xf>
    <xf numFmtId="0" fontId="37" fillId="0" borderId="42" xfId="0" applyFont="1" applyFill="1" applyBorder="1" applyAlignment="1">
      <alignment vertical="top" wrapText="1"/>
    </xf>
    <xf numFmtId="0" fontId="37" fillId="0" borderId="43" xfId="0" applyFont="1" applyFill="1" applyBorder="1" applyAlignment="1">
      <alignment vertical="top" wrapText="1"/>
    </xf>
    <xf numFmtId="0" fontId="74" fillId="0" borderId="0" xfId="0" applyFont="1" applyFill="1" applyAlignment="1">
      <alignment horizontal="center" vertical="center"/>
    </xf>
    <xf numFmtId="0" fontId="37" fillId="0" borderId="0" xfId="0" applyFont="1" applyFill="1" applyAlignment="1">
      <alignment horizontal="center"/>
    </xf>
    <xf numFmtId="0" fontId="37" fillId="0" borderId="46" xfId="0" applyFont="1" applyBorder="1" applyAlignment="1">
      <alignment vertical="top" wrapText="1"/>
    </xf>
    <xf numFmtId="0" fontId="101" fillId="33" borderId="0" xfId="1962" applyFont="1" applyFill="1" applyAlignment="1">
      <alignment horizontal="center" vertical="top"/>
    </xf>
    <xf numFmtId="2" fontId="21" fillId="57" borderId="47" xfId="43" applyNumberFormat="1" applyFont="1" applyFill="1" applyBorder="1" applyAlignment="1" applyProtection="1">
      <alignment horizontal="center" vertical="top" wrapText="1"/>
    </xf>
    <xf numFmtId="2" fontId="21" fillId="57" borderId="48" xfId="43" applyNumberFormat="1" applyFont="1" applyFill="1" applyBorder="1" applyAlignment="1" applyProtection="1">
      <alignment horizontal="center" vertical="top" wrapText="1"/>
    </xf>
    <xf numFmtId="2" fontId="21" fillId="57" borderId="63" xfId="43" applyNumberFormat="1" applyFont="1" applyFill="1" applyBorder="1" applyAlignment="1" applyProtection="1">
      <alignment horizontal="center" vertical="top" wrapText="1"/>
    </xf>
    <xf numFmtId="2" fontId="21" fillId="0" borderId="47" xfId="43" applyNumberFormat="1" applyFont="1" applyFill="1" applyBorder="1" applyAlignment="1" applyProtection="1">
      <alignment horizontal="center" vertical="center" wrapText="1"/>
    </xf>
    <xf numFmtId="2" fontId="21" fillId="0" borderId="48" xfId="43" applyNumberFormat="1" applyFont="1" applyFill="1" applyBorder="1" applyAlignment="1" applyProtection="1">
      <alignment horizontal="center" vertical="center" wrapText="1"/>
    </xf>
    <xf numFmtId="2" fontId="21" fillId="0" borderId="63" xfId="43" applyNumberFormat="1" applyFont="1" applyFill="1" applyBorder="1" applyAlignment="1" applyProtection="1">
      <alignment horizontal="center" vertical="center" wrapText="1"/>
    </xf>
    <xf numFmtId="164" fontId="21" fillId="0" borderId="47" xfId="1956" applyFont="1" applyFill="1" applyBorder="1" applyAlignment="1" applyProtection="1">
      <alignment horizontal="center" vertical="center" wrapText="1"/>
    </xf>
    <xf numFmtId="164" fontId="21" fillId="0" borderId="48" xfId="1956" applyFont="1" applyFill="1" applyBorder="1" applyAlignment="1" applyProtection="1">
      <alignment horizontal="center" vertical="center" wrapText="1"/>
    </xf>
    <xf numFmtId="164" fontId="21" fillId="0" borderId="63" xfId="1956" applyFont="1" applyFill="1" applyBorder="1" applyAlignment="1" applyProtection="1">
      <alignment horizontal="center" vertical="center" wrapText="1"/>
    </xf>
    <xf numFmtId="4" fontId="21" fillId="0" borderId="47" xfId="43" applyNumberFormat="1" applyFont="1" applyFill="1" applyBorder="1" applyAlignment="1" applyProtection="1">
      <alignment horizontal="center" vertical="center" wrapText="1"/>
    </xf>
    <xf numFmtId="4" fontId="21" fillId="0" borderId="48" xfId="43" applyNumberFormat="1" applyFont="1" applyFill="1" applyBorder="1" applyAlignment="1" applyProtection="1">
      <alignment horizontal="center" vertical="center" wrapText="1"/>
    </xf>
    <xf numFmtId="4" fontId="21" fillId="0" borderId="63" xfId="43" applyNumberFormat="1" applyFont="1" applyFill="1" applyBorder="1" applyAlignment="1" applyProtection="1">
      <alignment horizontal="center" vertical="center" wrapText="1"/>
    </xf>
    <xf numFmtId="14" fontId="21" fillId="0" borderId="47" xfId="43" applyNumberFormat="1" applyFont="1" applyFill="1" applyBorder="1" applyAlignment="1" applyProtection="1">
      <alignment horizontal="center" vertical="center" wrapText="1"/>
    </xf>
    <xf numFmtId="14" fontId="21" fillId="0" borderId="48" xfId="43" applyNumberFormat="1" applyFont="1" applyFill="1" applyBorder="1" applyAlignment="1" applyProtection="1">
      <alignment horizontal="center" vertical="center" wrapText="1"/>
    </xf>
    <xf numFmtId="14" fontId="21" fillId="0" borderId="63" xfId="43" applyNumberFormat="1" applyFont="1" applyFill="1" applyBorder="1" applyAlignment="1" applyProtection="1">
      <alignment horizontal="center" vertical="center" wrapText="1"/>
    </xf>
    <xf numFmtId="49" fontId="21" fillId="0" borderId="58" xfId="43" applyNumberFormat="1" applyFont="1" applyFill="1" applyBorder="1" applyAlignment="1" applyProtection="1">
      <alignment horizontal="left" vertical="center" wrapText="1"/>
    </xf>
    <xf numFmtId="49" fontId="21" fillId="0" borderId="59" xfId="43" applyNumberFormat="1" applyFont="1" applyFill="1" applyBorder="1" applyAlignment="1" applyProtection="1">
      <alignment horizontal="left" vertical="center" wrapText="1"/>
    </xf>
    <xf numFmtId="4" fontId="78" fillId="0" borderId="0" xfId="42" applyFont="1" applyFill="1" applyAlignment="1">
      <alignment horizontal="center" vertical="center" wrapText="1"/>
      <protection locked="0"/>
    </xf>
    <xf numFmtId="0" fontId="17" fillId="33" borderId="144" xfId="2270" applyFont="1" applyFill="1" applyBorder="1" applyAlignment="1">
      <alignment horizontal="center" vertical="center"/>
    </xf>
    <xf numFmtId="0" fontId="17" fillId="33" borderId="145" xfId="2270" applyFont="1" applyFill="1" applyBorder="1" applyAlignment="1">
      <alignment horizontal="center" vertical="center"/>
    </xf>
    <xf numFmtId="0" fontId="17" fillId="0" borderId="146" xfId="2270" applyFont="1" applyFill="1" applyBorder="1" applyAlignment="1">
      <alignment horizontal="center" vertical="center"/>
    </xf>
    <xf numFmtId="0" fontId="17" fillId="0" borderId="147" xfId="2270" applyFont="1" applyFill="1" applyBorder="1" applyAlignment="1">
      <alignment horizontal="center" vertical="center"/>
    </xf>
    <xf numFmtId="0" fontId="107" fillId="0" borderId="0" xfId="2270" applyFont="1" applyAlignment="1">
      <alignment horizontal="center"/>
    </xf>
    <xf numFmtId="0" fontId="1" fillId="0" borderId="0" xfId="2270" applyFont="1" applyAlignment="1">
      <alignment horizontal="center" vertical="center" wrapText="1"/>
    </xf>
    <xf numFmtId="0" fontId="21" fillId="0" borderId="112" xfId="1057" applyFont="1" applyFill="1" applyBorder="1" applyAlignment="1">
      <alignment horizontal="center" vertical="center" wrapText="1"/>
    </xf>
    <xf numFmtId="0" fontId="21" fillId="0" borderId="91" xfId="1057" applyFont="1" applyFill="1" applyBorder="1" applyAlignment="1">
      <alignment horizontal="center" vertical="center" wrapText="1"/>
    </xf>
    <xf numFmtId="0" fontId="21" fillId="0" borderId="114" xfId="1057" applyFont="1" applyFill="1" applyBorder="1" applyAlignment="1">
      <alignment horizontal="center" vertical="center" wrapText="1"/>
    </xf>
    <xf numFmtId="0" fontId="21" fillId="0" borderId="97" xfId="1057" applyFont="1" applyFill="1" applyBorder="1" applyAlignment="1">
      <alignment horizontal="left" vertical="center" wrapText="1"/>
    </xf>
    <xf numFmtId="0" fontId="21" fillId="0" borderId="3" xfId="1057" applyFont="1" applyFill="1" applyBorder="1" applyAlignment="1">
      <alignment horizontal="left" vertical="center" wrapText="1"/>
    </xf>
    <xf numFmtId="0" fontId="21" fillId="0" borderId="100" xfId="1057" applyFont="1" applyFill="1" applyBorder="1" applyAlignment="1">
      <alignment horizontal="left" vertical="center" wrapText="1"/>
    </xf>
    <xf numFmtId="39" fontId="24" fillId="0" borderId="98" xfId="1401" applyNumberFormat="1" applyFont="1" applyFill="1" applyBorder="1" applyAlignment="1">
      <alignment horizontal="center" vertical="center"/>
    </xf>
    <xf numFmtId="39" fontId="24" fillId="0" borderId="47" xfId="1401" applyNumberFormat="1" applyFont="1" applyFill="1" applyBorder="1" applyAlignment="1">
      <alignment horizontal="center" vertical="center"/>
    </xf>
    <xf numFmtId="39" fontId="24" fillId="0" borderId="101" xfId="1401" applyNumberFormat="1" applyFont="1" applyFill="1" applyBorder="1" applyAlignment="1">
      <alignment horizontal="center" vertical="center"/>
    </xf>
    <xf numFmtId="0" fontId="76" fillId="0" borderId="0" xfId="0" applyFont="1" applyFill="1" applyBorder="1" applyAlignment="1">
      <alignment horizontal="left" vertical="top" wrapText="1"/>
    </xf>
    <xf numFmtId="0" fontId="21" fillId="0" borderId="49" xfId="1057" applyFont="1" applyFill="1" applyBorder="1" applyAlignment="1">
      <alignment horizontal="left" vertical="center" wrapText="1"/>
    </xf>
    <xf numFmtId="39" fontId="24" fillId="0" borderId="1" xfId="1401" applyNumberFormat="1" applyFont="1" applyFill="1" applyBorder="1" applyAlignment="1">
      <alignment horizontal="center" vertical="center"/>
    </xf>
    <xf numFmtId="0" fontId="21" fillId="0" borderId="119" xfId="1057" applyFont="1" applyFill="1" applyBorder="1" applyAlignment="1">
      <alignment horizontal="center" vertical="center" wrapText="1"/>
    </xf>
    <xf numFmtId="0" fontId="21" fillId="0" borderId="106" xfId="1057" applyFont="1" applyFill="1" applyBorder="1" applyAlignment="1">
      <alignment horizontal="center" vertical="center" wrapText="1"/>
    </xf>
    <xf numFmtId="0" fontId="21" fillId="0" borderId="69" xfId="1057" applyFont="1" applyFill="1" applyBorder="1" applyAlignment="1">
      <alignment horizontal="center" vertical="center" wrapText="1"/>
    </xf>
    <xf numFmtId="0" fontId="21" fillId="0" borderId="97" xfId="1057" applyFont="1" applyFill="1" applyBorder="1" applyAlignment="1">
      <alignment horizontal="left" vertical="center"/>
    </xf>
    <xf numFmtId="0" fontId="21" fillId="0" borderId="3" xfId="1057" applyFont="1" applyFill="1" applyBorder="1" applyAlignment="1">
      <alignment horizontal="left" vertical="center"/>
    </xf>
    <xf numFmtId="0" fontId="21" fillId="0" borderId="100" xfId="1057" applyFont="1" applyFill="1" applyBorder="1" applyAlignment="1">
      <alignment horizontal="left" vertical="center"/>
    </xf>
    <xf numFmtId="0" fontId="21" fillId="0" borderId="90" xfId="1057" applyFont="1" applyFill="1" applyBorder="1" applyAlignment="1">
      <alignment horizontal="center" vertical="center" wrapText="1"/>
    </xf>
    <xf numFmtId="0" fontId="21" fillId="0" borderId="115" xfId="1057" applyFont="1" applyFill="1" applyBorder="1" applyAlignment="1">
      <alignment horizontal="center" vertical="center" wrapText="1"/>
    </xf>
    <xf numFmtId="39" fontId="24" fillId="0" borderId="56" xfId="1401" applyNumberFormat="1" applyFont="1" applyFill="1" applyBorder="1" applyAlignment="1">
      <alignment horizontal="center" vertical="center"/>
    </xf>
    <xf numFmtId="0" fontId="21" fillId="0" borderId="51" xfId="1057" applyFont="1" applyFill="1" applyBorder="1" applyAlignment="1">
      <alignment horizontal="left" vertical="center" wrapText="1"/>
    </xf>
    <xf numFmtId="39" fontId="24" fillId="0" borderId="98" xfId="1401" applyNumberFormat="1" applyFont="1" applyFill="1" applyBorder="1" applyAlignment="1">
      <alignment horizontal="center" vertical="center" wrapText="1"/>
    </xf>
    <xf numFmtId="39" fontId="24" fillId="0" borderId="47" xfId="1401" applyNumberFormat="1" applyFont="1" applyFill="1" applyBorder="1" applyAlignment="1">
      <alignment horizontal="center" vertical="center" wrapText="1"/>
    </xf>
    <xf numFmtId="39" fontId="24" fillId="0" borderId="64" xfId="1401" applyNumberFormat="1" applyFont="1" applyFill="1" applyBorder="1" applyAlignment="1">
      <alignment horizontal="center" vertical="center" wrapText="1"/>
    </xf>
    <xf numFmtId="0" fontId="21" fillId="0" borderId="51" xfId="1057" applyFont="1" applyFill="1" applyBorder="1" applyAlignment="1">
      <alignment horizontal="left" vertical="center"/>
    </xf>
    <xf numFmtId="0" fontId="21" fillId="0" borderId="49" xfId="1057" applyFont="1" applyFill="1" applyBorder="1" applyAlignment="1">
      <alignment horizontal="left" vertical="center"/>
    </xf>
    <xf numFmtId="0" fontId="21" fillId="0" borderId="120" xfId="1057" applyFont="1" applyFill="1" applyBorder="1" applyAlignment="1">
      <alignment horizontal="center" vertical="center" wrapText="1"/>
    </xf>
    <xf numFmtId="0" fontId="21" fillId="0" borderId="121" xfId="1057" applyFont="1" applyFill="1" applyBorder="1" applyAlignment="1">
      <alignment horizontal="center" vertical="center" wrapText="1"/>
    </xf>
    <xf numFmtId="39" fontId="24" fillId="0" borderId="94" xfId="1401" applyNumberFormat="1" applyFont="1" applyFill="1" applyBorder="1" applyAlignment="1">
      <alignment horizontal="center" vertical="center" wrapText="1"/>
    </xf>
    <xf numFmtId="39" fontId="24" fillId="0" borderId="48" xfId="1401" applyNumberFormat="1" applyFont="1" applyFill="1" applyBorder="1" applyAlignment="1">
      <alignment horizontal="center" vertical="center" wrapText="1"/>
    </xf>
    <xf numFmtId="39" fontId="24" fillId="0" borderId="111" xfId="1401" applyNumberFormat="1" applyFont="1" applyFill="1" applyBorder="1" applyAlignment="1">
      <alignment horizontal="center" vertical="center" wrapText="1"/>
    </xf>
    <xf numFmtId="39" fontId="24" fillId="0" borderId="97" xfId="1401" applyNumberFormat="1" applyFont="1" applyFill="1" applyBorder="1" applyAlignment="1">
      <alignment horizontal="center" vertical="center"/>
    </xf>
    <xf numFmtId="39" fontId="24" fillId="0" borderId="3" xfId="1401" applyNumberFormat="1" applyFont="1" applyFill="1" applyBorder="1" applyAlignment="1">
      <alignment horizontal="center" vertical="center"/>
    </xf>
    <xf numFmtId="39" fontId="24" fillId="0" borderId="100" xfId="1401" applyNumberFormat="1" applyFont="1" applyFill="1" applyBorder="1" applyAlignment="1">
      <alignment horizontal="center" vertical="center"/>
    </xf>
    <xf numFmtId="0" fontId="74" fillId="0" borderId="0" xfId="0" applyFont="1" applyFill="1" applyBorder="1" applyAlignment="1">
      <alignment horizontal="center" vertical="center"/>
    </xf>
    <xf numFmtId="0" fontId="18" fillId="0" borderId="71" xfId="0" applyFont="1" applyFill="1" applyBorder="1" applyAlignment="1">
      <alignment horizontal="center" vertical="center"/>
    </xf>
    <xf numFmtId="0" fontId="18" fillId="0" borderId="73" xfId="0" applyFont="1" applyFill="1" applyBorder="1" applyAlignment="1">
      <alignment horizontal="center" vertical="center"/>
    </xf>
    <xf numFmtId="0" fontId="18" fillId="0" borderId="74" xfId="0" applyFont="1" applyFill="1" applyBorder="1" applyAlignment="1">
      <alignment horizontal="center" vertical="center"/>
    </xf>
    <xf numFmtId="0" fontId="18" fillId="0" borderId="24" xfId="0" applyFont="1" applyFill="1" applyBorder="1" applyAlignment="1">
      <alignment horizontal="left" vertical="center"/>
    </xf>
    <xf numFmtId="0" fontId="18" fillId="0" borderId="25" xfId="0" applyFont="1" applyFill="1" applyBorder="1" applyAlignment="1">
      <alignment horizontal="left" vertical="center"/>
    </xf>
    <xf numFmtId="0" fontId="18" fillId="0" borderId="26" xfId="0" applyFont="1" applyFill="1" applyBorder="1" applyAlignment="1">
      <alignment horizontal="left" vertical="center"/>
    </xf>
    <xf numFmtId="0" fontId="18" fillId="0" borderId="27" xfId="0" applyFont="1" applyFill="1" applyBorder="1" applyAlignment="1">
      <alignment horizontal="left" vertical="center"/>
    </xf>
    <xf numFmtId="0" fontId="18" fillId="0" borderId="0" xfId="0" applyFont="1" applyFill="1" applyBorder="1" applyAlignment="1">
      <alignment horizontal="left" vertical="center"/>
    </xf>
    <xf numFmtId="0" fontId="18" fillId="0" borderId="28" xfId="0" applyFont="1" applyFill="1" applyBorder="1" applyAlignment="1">
      <alignment horizontal="left" vertical="center"/>
    </xf>
    <xf numFmtId="0" fontId="18" fillId="0" borderId="29" xfId="0" applyFont="1" applyFill="1" applyBorder="1" applyAlignment="1">
      <alignment horizontal="left" vertical="center"/>
    </xf>
    <xf numFmtId="0" fontId="18" fillId="0" borderId="30" xfId="0" applyFont="1" applyFill="1" applyBorder="1" applyAlignment="1">
      <alignment horizontal="left" vertical="center"/>
    </xf>
    <xf numFmtId="0" fontId="18" fillId="0" borderId="31" xfId="0" applyFont="1" applyFill="1" applyBorder="1" applyAlignment="1">
      <alignment horizontal="left" vertical="center"/>
    </xf>
    <xf numFmtId="0" fontId="91" fillId="56" borderId="0" xfId="0" applyFont="1" applyFill="1" applyBorder="1" applyAlignment="1">
      <alignment horizontal="center" vertical="center"/>
    </xf>
    <xf numFmtId="0" fontId="93" fillId="56" borderId="0" xfId="0" applyFont="1" applyFill="1" applyBorder="1" applyAlignment="1" applyProtection="1">
      <alignment horizontal="center" vertical="center"/>
      <protection locked="0"/>
    </xf>
    <xf numFmtId="0" fontId="95" fillId="57" borderId="67" xfId="0" applyFont="1" applyFill="1" applyBorder="1" applyAlignment="1">
      <alignment horizontal="center" vertical="center"/>
    </xf>
    <xf numFmtId="0" fontId="18" fillId="0" borderId="69" xfId="0" applyFont="1" applyFill="1" applyBorder="1" applyAlignment="1">
      <alignment horizontal="center" vertical="center"/>
    </xf>
    <xf numFmtId="0" fontId="18" fillId="0" borderId="30" xfId="0" applyFont="1" applyFill="1" applyBorder="1" applyAlignment="1">
      <alignment horizontal="center" vertical="center"/>
    </xf>
    <xf numFmtId="0" fontId="18" fillId="0" borderId="70" xfId="0" applyFont="1" applyFill="1" applyBorder="1" applyAlignment="1">
      <alignment horizontal="center" vertical="center"/>
    </xf>
    <xf numFmtId="0" fontId="95" fillId="0" borderId="75" xfId="0" applyFont="1" applyFill="1" applyBorder="1" applyAlignment="1">
      <alignment horizontal="right" vertical="center"/>
    </xf>
    <xf numFmtId="0" fontId="95" fillId="0" borderId="76" xfId="0" applyFont="1" applyFill="1" applyBorder="1" applyAlignment="1">
      <alignment horizontal="right" vertical="center"/>
    </xf>
    <xf numFmtId="0" fontId="95" fillId="0" borderId="77" xfId="0" applyFont="1" applyFill="1" applyBorder="1" applyAlignment="1">
      <alignment horizontal="right" vertical="center"/>
    </xf>
    <xf numFmtId="0" fontId="90" fillId="56" borderId="0" xfId="0" applyFont="1" applyFill="1" applyBorder="1" applyAlignment="1">
      <alignment horizontal="left" vertical="center"/>
    </xf>
    <xf numFmtId="0" fontId="18" fillId="0" borderId="32" xfId="0" applyFont="1" applyFill="1" applyBorder="1" applyAlignment="1">
      <alignment horizontal="left" vertical="center"/>
    </xf>
    <xf numFmtId="0" fontId="18" fillId="0" borderId="33" xfId="0" applyFont="1" applyFill="1" applyBorder="1" applyAlignment="1">
      <alignment horizontal="left" vertical="center"/>
    </xf>
    <xf numFmtId="0" fontId="18" fillId="0" borderId="34" xfId="0" applyFont="1" applyFill="1" applyBorder="1" applyAlignment="1">
      <alignment horizontal="left" vertical="center"/>
    </xf>
    <xf numFmtId="0" fontId="95" fillId="57" borderId="81" xfId="0" applyFont="1" applyFill="1" applyBorder="1" applyAlignment="1">
      <alignment horizontal="right" vertical="center"/>
    </xf>
    <xf numFmtId="0" fontId="95" fillId="57" borderId="82" xfId="0" applyFont="1" applyFill="1" applyBorder="1" applyAlignment="1">
      <alignment horizontal="right" vertical="center"/>
    </xf>
    <xf numFmtId="0" fontId="95" fillId="57" borderId="83" xfId="0" applyFont="1" applyFill="1" applyBorder="1" applyAlignment="1">
      <alignment horizontal="right" vertical="center"/>
    </xf>
    <xf numFmtId="0" fontId="95" fillId="56" borderId="0" xfId="0" applyFont="1" applyFill="1" applyBorder="1" applyAlignment="1">
      <alignment horizontal="center" vertical="center"/>
    </xf>
    <xf numFmtId="0" fontId="90" fillId="56" borderId="0" xfId="0" applyFont="1" applyFill="1" applyBorder="1" applyAlignment="1">
      <alignment horizontal="right" vertical="center"/>
    </xf>
    <xf numFmtId="0" fontId="96" fillId="56" borderId="0" xfId="0" applyFont="1" applyFill="1" applyBorder="1" applyAlignment="1">
      <alignment horizontal="right" vertical="center"/>
    </xf>
    <xf numFmtId="0" fontId="96" fillId="56" borderId="0" xfId="0" applyFont="1" applyFill="1" applyBorder="1" applyAlignment="1">
      <alignment vertical="center"/>
    </xf>
    <xf numFmtId="0" fontId="90" fillId="56" borderId="0" xfId="0" applyFont="1" applyFill="1" applyBorder="1" applyAlignment="1">
      <alignment horizontal="center" vertical="center"/>
    </xf>
    <xf numFmtId="0" fontId="96" fillId="56" borderId="0" xfId="0" applyFont="1" applyFill="1" applyBorder="1" applyAlignment="1">
      <alignment horizontal="left" vertical="center"/>
    </xf>
    <xf numFmtId="0" fontId="98" fillId="56" borderId="0" xfId="0" applyFont="1" applyFill="1" applyBorder="1" applyAlignment="1">
      <alignment horizontal="left" vertical="center"/>
    </xf>
    <xf numFmtId="0" fontId="98" fillId="56" borderId="0" xfId="0" applyFont="1" applyFill="1" applyBorder="1" applyAlignment="1">
      <alignment horizontal="left" vertical="center" wrapText="1"/>
    </xf>
    <xf numFmtId="0" fontId="18" fillId="56" borderId="0" xfId="0" applyFont="1" applyFill="1" applyBorder="1" applyAlignment="1">
      <alignment horizontal="left" vertical="center"/>
    </xf>
    <xf numFmtId="0" fontId="93" fillId="56" borderId="0" xfId="0" applyFont="1" applyFill="1" applyBorder="1" applyAlignment="1" applyProtection="1">
      <alignment horizontal="center" vertical="center" wrapText="1"/>
      <protection locked="0"/>
    </xf>
    <xf numFmtId="0" fontId="24" fillId="0" borderId="0" xfId="799" applyFont="1" applyFill="1" applyBorder="1" applyAlignment="1">
      <alignment horizontal="center" vertical="center"/>
    </xf>
    <xf numFmtId="0" fontId="24" fillId="0" borderId="0" xfId="799" applyFont="1" applyFill="1" applyBorder="1" applyAlignment="1">
      <alignment horizontal="center" vertical="center" wrapText="1"/>
    </xf>
    <xf numFmtId="0" fontId="24" fillId="0" borderId="0" xfId="799" applyFont="1" applyFill="1" applyBorder="1" applyAlignment="1">
      <alignment horizontal="left" vertical="top" wrapText="1"/>
    </xf>
    <xf numFmtId="0" fontId="49" fillId="83" borderId="0" xfId="953" applyFont="1" applyFill="1" applyBorder="1" applyAlignment="1">
      <alignment horizontal="center" vertical="top"/>
    </xf>
    <xf numFmtId="0" fontId="136" fillId="0" borderId="0" xfId="0" applyFont="1" applyFill="1" applyBorder="1" applyAlignment="1">
      <alignment horizontal="center" vertical="center" wrapText="1"/>
    </xf>
    <xf numFmtId="0" fontId="17" fillId="0" borderId="0" xfId="799" applyFont="1" applyFill="1" applyBorder="1" applyAlignment="1">
      <alignment horizontal="center" vertical="center"/>
    </xf>
    <xf numFmtId="0" fontId="25" fillId="0" borderId="0" xfId="953" applyFont="1" applyFill="1" applyBorder="1" applyAlignment="1">
      <alignment horizontal="center" vertical="top"/>
    </xf>
  </cellXfs>
  <cellStyles count="2956">
    <cellStyle name="20% - Accent1" xfId="2354"/>
    <cellStyle name="20% - Accent2" xfId="2355"/>
    <cellStyle name="20% - Accent3" xfId="2356"/>
    <cellStyle name="20% - Accent4" xfId="2357"/>
    <cellStyle name="20% - Accent5" xfId="2358"/>
    <cellStyle name="20% - Accent6" xfId="2359"/>
    <cellStyle name="20% - Ênfase1" xfId="1" builtinId="30" customBuiltin="1"/>
    <cellStyle name="20% - Ênfase1 10" xfId="47"/>
    <cellStyle name="20% - Ênfase1 10 2" xfId="48"/>
    <cellStyle name="20% - Ênfase1 11" xfId="49"/>
    <cellStyle name="20% - Ênfase1 11 2" xfId="50"/>
    <cellStyle name="20% - Ênfase1 12" xfId="51"/>
    <cellStyle name="20% - Ênfase1 12 2" xfId="52"/>
    <cellStyle name="20% - Ênfase1 13" xfId="53"/>
    <cellStyle name="20% - Ênfase1 13 2" xfId="54"/>
    <cellStyle name="20% - Ênfase1 14" xfId="2360"/>
    <cellStyle name="20% - Ênfase1 14 2" xfId="55"/>
    <cellStyle name="20% - Ênfase1 15 2" xfId="56"/>
    <cellStyle name="20% - Ênfase1 16 2" xfId="57"/>
    <cellStyle name="20% - Ênfase1 17 2" xfId="58"/>
    <cellStyle name="20% - Ênfase1 2" xfId="59"/>
    <cellStyle name="20% - Ênfase1 2 2" xfId="60"/>
    <cellStyle name="20% - Ênfase1 3" xfId="61"/>
    <cellStyle name="20% - Ênfase1 3 2" xfId="62"/>
    <cellStyle name="20% - Ênfase1 4" xfId="63"/>
    <cellStyle name="20% - Ênfase1 4 2" xfId="64"/>
    <cellStyle name="20% - Ênfase1 5" xfId="65"/>
    <cellStyle name="20% - Ênfase1 5 2" xfId="66"/>
    <cellStyle name="20% - Ênfase1 6" xfId="67"/>
    <cellStyle name="20% - Ênfase1 6 2" xfId="68"/>
    <cellStyle name="20% - Ênfase1 7" xfId="69"/>
    <cellStyle name="20% - Ênfase1 7 2" xfId="70"/>
    <cellStyle name="20% - Ênfase1 8" xfId="71"/>
    <cellStyle name="20% - Ênfase1 8 2" xfId="72"/>
    <cellStyle name="20% - Ênfase1 9" xfId="73"/>
    <cellStyle name="20% - Ênfase1 9 2" xfId="74"/>
    <cellStyle name="20% - Ênfase2" xfId="2" builtinId="34" customBuiltin="1"/>
    <cellStyle name="20% - Ênfase2 10" xfId="75"/>
    <cellStyle name="20% - Ênfase2 10 2" xfId="76"/>
    <cellStyle name="20% - Ênfase2 11" xfId="77"/>
    <cellStyle name="20% - Ênfase2 11 2" xfId="78"/>
    <cellStyle name="20% - Ênfase2 12" xfId="79"/>
    <cellStyle name="20% - Ênfase2 12 2" xfId="80"/>
    <cellStyle name="20% - Ênfase2 13" xfId="81"/>
    <cellStyle name="20% - Ênfase2 13 2" xfId="82"/>
    <cellStyle name="20% - Ênfase2 14" xfId="2361"/>
    <cellStyle name="20% - Ênfase2 14 2" xfId="83"/>
    <cellStyle name="20% - Ênfase2 15 2" xfId="84"/>
    <cellStyle name="20% - Ênfase2 16 2" xfId="85"/>
    <cellStyle name="20% - Ênfase2 17 2" xfId="86"/>
    <cellStyle name="20% - Ênfase2 2" xfId="87"/>
    <cellStyle name="20% - Ênfase2 2 2" xfId="88"/>
    <cellStyle name="20% - Ênfase2 3" xfId="89"/>
    <cellStyle name="20% - Ênfase2 3 2" xfId="90"/>
    <cellStyle name="20% - Ênfase2 4" xfId="91"/>
    <cellStyle name="20% - Ênfase2 4 2" xfId="92"/>
    <cellStyle name="20% - Ênfase2 5" xfId="93"/>
    <cellStyle name="20% - Ênfase2 5 2" xfId="94"/>
    <cellStyle name="20% - Ênfase2 6" xfId="95"/>
    <cellStyle name="20% - Ênfase2 6 2" xfId="96"/>
    <cellStyle name="20% - Ênfase2 7" xfId="97"/>
    <cellStyle name="20% - Ênfase2 7 2" xfId="98"/>
    <cellStyle name="20% - Ênfase2 8" xfId="99"/>
    <cellStyle name="20% - Ênfase2 8 2" xfId="100"/>
    <cellStyle name="20% - Ênfase2 9" xfId="101"/>
    <cellStyle name="20% - Ênfase2 9 2" xfId="102"/>
    <cellStyle name="20% - Ênfase3" xfId="3" builtinId="38" customBuiltin="1"/>
    <cellStyle name="20% - Ênfase3 10" xfId="103"/>
    <cellStyle name="20% - Ênfase3 10 2" xfId="104"/>
    <cellStyle name="20% - Ênfase3 11" xfId="105"/>
    <cellStyle name="20% - Ênfase3 11 2" xfId="106"/>
    <cellStyle name="20% - Ênfase3 12" xfId="107"/>
    <cellStyle name="20% - Ênfase3 12 2" xfId="108"/>
    <cellStyle name="20% - Ênfase3 13" xfId="109"/>
    <cellStyle name="20% - Ênfase3 13 2" xfId="110"/>
    <cellStyle name="20% - Ênfase3 14" xfId="2362"/>
    <cellStyle name="20% - Ênfase3 14 2" xfId="111"/>
    <cellStyle name="20% - Ênfase3 15 2" xfId="112"/>
    <cellStyle name="20% - Ênfase3 16 2" xfId="113"/>
    <cellStyle name="20% - Ênfase3 17 2" xfId="114"/>
    <cellStyle name="20% - Ênfase3 2" xfId="115"/>
    <cellStyle name="20% - Ênfase3 2 2" xfId="116"/>
    <cellStyle name="20% - Ênfase3 3" xfId="117"/>
    <cellStyle name="20% - Ênfase3 3 2" xfId="118"/>
    <cellStyle name="20% - Ênfase3 4" xfId="119"/>
    <cellStyle name="20% - Ênfase3 4 2" xfId="120"/>
    <cellStyle name="20% - Ênfase3 5" xfId="121"/>
    <cellStyle name="20% - Ênfase3 5 2" xfId="122"/>
    <cellStyle name="20% - Ênfase3 6" xfId="123"/>
    <cellStyle name="20% - Ênfase3 6 2" xfId="124"/>
    <cellStyle name="20% - Ênfase3 7" xfId="125"/>
    <cellStyle name="20% - Ênfase3 7 2" xfId="126"/>
    <cellStyle name="20% - Ênfase3 8" xfId="127"/>
    <cellStyle name="20% - Ênfase3 8 2" xfId="128"/>
    <cellStyle name="20% - Ênfase3 9" xfId="129"/>
    <cellStyle name="20% - Ênfase3 9 2" xfId="130"/>
    <cellStyle name="20% - Ênfase4" xfId="4" builtinId="42" customBuiltin="1"/>
    <cellStyle name="20% - Ênfase4 10" xfId="131"/>
    <cellStyle name="20% - Ênfase4 10 2" xfId="132"/>
    <cellStyle name="20% - Ênfase4 11" xfId="133"/>
    <cellStyle name="20% - Ênfase4 11 2" xfId="134"/>
    <cellStyle name="20% - Ênfase4 12" xfId="135"/>
    <cellStyle name="20% - Ênfase4 12 2" xfId="136"/>
    <cellStyle name="20% - Ênfase4 13" xfId="137"/>
    <cellStyle name="20% - Ênfase4 13 2" xfId="138"/>
    <cellStyle name="20% - Ênfase4 14" xfId="2363"/>
    <cellStyle name="20% - Ênfase4 14 2" xfId="139"/>
    <cellStyle name="20% - Ênfase4 15 2" xfId="140"/>
    <cellStyle name="20% - Ênfase4 16 2" xfId="141"/>
    <cellStyle name="20% - Ênfase4 17 2" xfId="142"/>
    <cellStyle name="20% - Ênfase4 2" xfId="143"/>
    <cellStyle name="20% - Ênfase4 2 2" xfId="144"/>
    <cellStyle name="20% - Ênfase4 3" xfId="145"/>
    <cellStyle name="20% - Ênfase4 3 2" xfId="146"/>
    <cellStyle name="20% - Ênfase4 4" xfId="147"/>
    <cellStyle name="20% - Ênfase4 4 2" xfId="148"/>
    <cellStyle name="20% - Ênfase4 5" xfId="149"/>
    <cellStyle name="20% - Ênfase4 5 2" xfId="150"/>
    <cellStyle name="20% - Ênfase4 6" xfId="151"/>
    <cellStyle name="20% - Ênfase4 6 2" xfId="152"/>
    <cellStyle name="20% - Ênfase4 7" xfId="153"/>
    <cellStyle name="20% - Ênfase4 7 2" xfId="154"/>
    <cellStyle name="20% - Ênfase4 8" xfId="155"/>
    <cellStyle name="20% - Ênfase4 8 2" xfId="156"/>
    <cellStyle name="20% - Ênfase4 9" xfId="157"/>
    <cellStyle name="20% - Ênfase4 9 2" xfId="158"/>
    <cellStyle name="20% - Ênfase5" xfId="5" builtinId="46" customBuiltin="1"/>
    <cellStyle name="20% - Ênfase5 10" xfId="159"/>
    <cellStyle name="20% - Ênfase5 10 2" xfId="160"/>
    <cellStyle name="20% - Ênfase5 11" xfId="161"/>
    <cellStyle name="20% - Ênfase5 11 2" xfId="162"/>
    <cellStyle name="20% - Ênfase5 12" xfId="163"/>
    <cellStyle name="20% - Ênfase5 12 2" xfId="164"/>
    <cellStyle name="20% - Ênfase5 13" xfId="165"/>
    <cellStyle name="20% - Ênfase5 13 2" xfId="166"/>
    <cellStyle name="20% - Ênfase5 14 2" xfId="167"/>
    <cellStyle name="20% - Ênfase5 15 2" xfId="168"/>
    <cellStyle name="20% - Ênfase5 16 2" xfId="169"/>
    <cellStyle name="20% - Ênfase5 17 2" xfId="170"/>
    <cellStyle name="20% - Ênfase5 2" xfId="171"/>
    <cellStyle name="20% - Ênfase5 2 2" xfId="172"/>
    <cellStyle name="20% - Ênfase5 3" xfId="173"/>
    <cellStyle name="20% - Ênfase5 3 2" xfId="174"/>
    <cellStyle name="20% - Ênfase5 4" xfId="175"/>
    <cellStyle name="20% - Ênfase5 4 2" xfId="176"/>
    <cellStyle name="20% - Ênfase5 5" xfId="177"/>
    <cellStyle name="20% - Ênfase5 5 2" xfId="178"/>
    <cellStyle name="20% - Ênfase5 6" xfId="179"/>
    <cellStyle name="20% - Ênfase5 6 2" xfId="180"/>
    <cellStyle name="20% - Ênfase5 7" xfId="181"/>
    <cellStyle name="20% - Ênfase5 7 2" xfId="182"/>
    <cellStyle name="20% - Ênfase5 8" xfId="183"/>
    <cellStyle name="20% - Ênfase5 8 2" xfId="184"/>
    <cellStyle name="20% - Ênfase5 9" xfId="185"/>
    <cellStyle name="20% - Ênfase5 9 2" xfId="186"/>
    <cellStyle name="20% - Ênfase6" xfId="6" builtinId="50" customBuiltin="1"/>
    <cellStyle name="20% - Ênfase6 10" xfId="187"/>
    <cellStyle name="20% - Ênfase6 10 2" xfId="188"/>
    <cellStyle name="20% - Ênfase6 11" xfId="189"/>
    <cellStyle name="20% - Ênfase6 11 2" xfId="190"/>
    <cellStyle name="20% - Ênfase6 12" xfId="191"/>
    <cellStyle name="20% - Ênfase6 12 2" xfId="192"/>
    <cellStyle name="20% - Ênfase6 13" xfId="193"/>
    <cellStyle name="20% - Ênfase6 13 2" xfId="194"/>
    <cellStyle name="20% - Ênfase6 14" xfId="2364"/>
    <cellStyle name="20% - Ênfase6 14 2" xfId="195"/>
    <cellStyle name="20% - Ênfase6 15 2" xfId="196"/>
    <cellStyle name="20% - Ênfase6 16 2" xfId="197"/>
    <cellStyle name="20% - Ênfase6 17 2" xfId="198"/>
    <cellStyle name="20% - Ênfase6 2" xfId="199"/>
    <cellStyle name="20% - Ênfase6 2 2" xfId="200"/>
    <cellStyle name="20% - Ênfase6 3" xfId="201"/>
    <cellStyle name="20% - Ênfase6 3 2" xfId="202"/>
    <cellStyle name="20% - Ênfase6 4" xfId="203"/>
    <cellStyle name="20% - Ênfase6 4 2" xfId="204"/>
    <cellStyle name="20% - Ênfase6 5" xfId="205"/>
    <cellStyle name="20% - Ênfase6 5 2" xfId="206"/>
    <cellStyle name="20% - Ênfase6 6" xfId="207"/>
    <cellStyle name="20% - Ênfase6 6 2" xfId="208"/>
    <cellStyle name="20% - Ênfase6 7" xfId="209"/>
    <cellStyle name="20% - Ênfase6 7 2" xfId="210"/>
    <cellStyle name="20% - Ênfase6 8" xfId="211"/>
    <cellStyle name="20% - Ênfase6 8 2" xfId="212"/>
    <cellStyle name="20% - Ênfase6 9" xfId="213"/>
    <cellStyle name="20% - Ênfase6 9 2" xfId="214"/>
    <cellStyle name="40% - Accent1" xfId="2365"/>
    <cellStyle name="40% - Accent2" xfId="2366"/>
    <cellStyle name="40% - Accent3" xfId="2367"/>
    <cellStyle name="40% - Accent4" xfId="2368"/>
    <cellStyle name="40% - Accent5" xfId="2369"/>
    <cellStyle name="40% - Accent6" xfId="2370"/>
    <cellStyle name="40% - Ênfase1" xfId="7" builtinId="31" customBuiltin="1"/>
    <cellStyle name="40% - Ênfase1 10" xfId="215"/>
    <cellStyle name="40% - Ênfase1 10 2" xfId="216"/>
    <cellStyle name="40% - Ênfase1 11" xfId="217"/>
    <cellStyle name="40% - Ênfase1 11 2" xfId="218"/>
    <cellStyle name="40% - Ênfase1 12" xfId="219"/>
    <cellStyle name="40% - Ênfase1 12 2" xfId="220"/>
    <cellStyle name="40% - Ênfase1 13" xfId="221"/>
    <cellStyle name="40% - Ênfase1 13 2" xfId="222"/>
    <cellStyle name="40% - Ênfase1 14" xfId="2371"/>
    <cellStyle name="40% - Ênfase1 14 2" xfId="223"/>
    <cellStyle name="40% - Ênfase1 15 2" xfId="224"/>
    <cellStyle name="40% - Ênfase1 16 2" xfId="225"/>
    <cellStyle name="40% - Ênfase1 17 2" xfId="226"/>
    <cellStyle name="40% - Ênfase1 2" xfId="227"/>
    <cellStyle name="40% - Ênfase1 2 2" xfId="228"/>
    <cellStyle name="40% - Ênfase1 3" xfId="229"/>
    <cellStyle name="40% - Ênfase1 3 2" xfId="230"/>
    <cellStyle name="40% - Ênfase1 4" xfId="231"/>
    <cellStyle name="40% - Ênfase1 4 2" xfId="232"/>
    <cellStyle name="40% - Ênfase1 5" xfId="233"/>
    <cellStyle name="40% - Ênfase1 5 2" xfId="234"/>
    <cellStyle name="40% - Ênfase1 6" xfId="235"/>
    <cellStyle name="40% - Ênfase1 6 2" xfId="236"/>
    <cellStyle name="40% - Ênfase1 7" xfId="237"/>
    <cellStyle name="40% - Ênfase1 7 2" xfId="238"/>
    <cellStyle name="40% - Ênfase1 8" xfId="239"/>
    <cellStyle name="40% - Ênfase1 8 2" xfId="240"/>
    <cellStyle name="40% - Ênfase1 9" xfId="241"/>
    <cellStyle name="40% - Ênfase1 9 2" xfId="242"/>
    <cellStyle name="40% - Ênfase2" xfId="8" builtinId="35" customBuiltin="1"/>
    <cellStyle name="40% - Ênfase2 10" xfId="243"/>
    <cellStyle name="40% - Ênfase2 10 2" xfId="244"/>
    <cellStyle name="40% - Ênfase2 11" xfId="245"/>
    <cellStyle name="40% - Ênfase2 11 2" xfId="246"/>
    <cellStyle name="40% - Ênfase2 12" xfId="247"/>
    <cellStyle name="40% - Ênfase2 12 2" xfId="248"/>
    <cellStyle name="40% - Ênfase2 13" xfId="249"/>
    <cellStyle name="40% - Ênfase2 13 2" xfId="250"/>
    <cellStyle name="40% - Ênfase2 14 2" xfId="251"/>
    <cellStyle name="40% - Ênfase2 15 2" xfId="252"/>
    <cellStyle name="40% - Ênfase2 16 2" xfId="253"/>
    <cellStyle name="40% - Ênfase2 17 2" xfId="254"/>
    <cellStyle name="40% - Ênfase2 2" xfId="255"/>
    <cellStyle name="40% - Ênfase2 2 2" xfId="256"/>
    <cellStyle name="40% - Ênfase2 3" xfId="257"/>
    <cellStyle name="40% - Ênfase2 3 2" xfId="258"/>
    <cellStyle name="40% - Ênfase2 4" xfId="259"/>
    <cellStyle name="40% - Ênfase2 4 2" xfId="260"/>
    <cellStyle name="40% - Ênfase2 5" xfId="261"/>
    <cellStyle name="40% - Ênfase2 5 2" xfId="262"/>
    <cellStyle name="40% - Ênfase2 6" xfId="263"/>
    <cellStyle name="40% - Ênfase2 6 2" xfId="264"/>
    <cellStyle name="40% - Ênfase2 7" xfId="265"/>
    <cellStyle name="40% - Ênfase2 7 2" xfId="266"/>
    <cellStyle name="40% - Ênfase2 8" xfId="267"/>
    <cellStyle name="40% - Ênfase2 8 2" xfId="268"/>
    <cellStyle name="40% - Ênfase2 9" xfId="269"/>
    <cellStyle name="40% - Ênfase2 9 2" xfId="270"/>
    <cellStyle name="40% - Ênfase3" xfId="9" builtinId="39" customBuiltin="1"/>
    <cellStyle name="40% - Ênfase3 10" xfId="271"/>
    <cellStyle name="40% - Ênfase3 10 2" xfId="272"/>
    <cellStyle name="40% - Ênfase3 11" xfId="273"/>
    <cellStyle name="40% - Ênfase3 11 2" xfId="274"/>
    <cellStyle name="40% - Ênfase3 12" xfId="275"/>
    <cellStyle name="40% - Ênfase3 12 2" xfId="276"/>
    <cellStyle name="40% - Ênfase3 13" xfId="277"/>
    <cellStyle name="40% - Ênfase3 13 2" xfId="278"/>
    <cellStyle name="40% - Ênfase3 14" xfId="2372"/>
    <cellStyle name="40% - Ênfase3 14 2" xfId="279"/>
    <cellStyle name="40% - Ênfase3 15 2" xfId="280"/>
    <cellStyle name="40% - Ênfase3 16 2" xfId="281"/>
    <cellStyle name="40% - Ênfase3 17 2" xfId="282"/>
    <cellStyle name="40% - Ênfase3 2" xfId="283"/>
    <cellStyle name="40% - Ênfase3 2 2" xfId="284"/>
    <cellStyle name="40% - Ênfase3 3" xfId="285"/>
    <cellStyle name="40% - Ênfase3 3 2" xfId="286"/>
    <cellStyle name="40% - Ênfase3 4" xfId="287"/>
    <cellStyle name="40% - Ênfase3 4 2" xfId="288"/>
    <cellStyle name="40% - Ênfase3 5" xfId="289"/>
    <cellStyle name="40% - Ênfase3 5 2" xfId="290"/>
    <cellStyle name="40% - Ênfase3 6" xfId="291"/>
    <cellStyle name="40% - Ênfase3 6 2" xfId="292"/>
    <cellStyle name="40% - Ênfase3 7" xfId="293"/>
    <cellStyle name="40% - Ênfase3 7 2" xfId="294"/>
    <cellStyle name="40% - Ênfase3 8" xfId="295"/>
    <cellStyle name="40% - Ênfase3 8 2" xfId="296"/>
    <cellStyle name="40% - Ênfase3 9" xfId="297"/>
    <cellStyle name="40% - Ênfase3 9 2" xfId="298"/>
    <cellStyle name="40% - Ênfase4" xfId="10" builtinId="43" customBuiltin="1"/>
    <cellStyle name="40% - Ênfase4 10" xfId="299"/>
    <cellStyle name="40% - Ênfase4 10 2" xfId="300"/>
    <cellStyle name="40% - Ênfase4 11" xfId="301"/>
    <cellStyle name="40% - Ênfase4 11 2" xfId="302"/>
    <cellStyle name="40% - Ênfase4 12" xfId="303"/>
    <cellStyle name="40% - Ênfase4 12 2" xfId="304"/>
    <cellStyle name="40% - Ênfase4 13" xfId="305"/>
    <cellStyle name="40% - Ênfase4 13 2" xfId="306"/>
    <cellStyle name="40% - Ênfase4 14" xfId="2373"/>
    <cellStyle name="40% - Ênfase4 14 2" xfId="307"/>
    <cellStyle name="40% - Ênfase4 15 2" xfId="308"/>
    <cellStyle name="40% - Ênfase4 16 2" xfId="309"/>
    <cellStyle name="40% - Ênfase4 17 2" xfId="310"/>
    <cellStyle name="40% - Ênfase4 2" xfId="311"/>
    <cellStyle name="40% - Ênfase4 2 2" xfId="312"/>
    <cellStyle name="40% - Ênfase4 3" xfId="313"/>
    <cellStyle name="40% - Ênfase4 3 2" xfId="314"/>
    <cellStyle name="40% - Ênfase4 4" xfId="315"/>
    <cellStyle name="40% - Ênfase4 4 2" xfId="316"/>
    <cellStyle name="40% - Ênfase4 5" xfId="317"/>
    <cellStyle name="40% - Ênfase4 5 2" xfId="318"/>
    <cellStyle name="40% - Ênfase4 6" xfId="319"/>
    <cellStyle name="40% - Ênfase4 6 2" xfId="320"/>
    <cellStyle name="40% - Ênfase4 7" xfId="321"/>
    <cellStyle name="40% - Ênfase4 7 2" xfId="322"/>
    <cellStyle name="40% - Ênfase4 8" xfId="323"/>
    <cellStyle name="40% - Ênfase4 8 2" xfId="324"/>
    <cellStyle name="40% - Ênfase4 9" xfId="325"/>
    <cellStyle name="40% - Ênfase4 9 2" xfId="326"/>
    <cellStyle name="40% - Ênfase5" xfId="11" builtinId="47" customBuiltin="1"/>
    <cellStyle name="40% - Ênfase5 10" xfId="327"/>
    <cellStyle name="40% - Ênfase5 10 2" xfId="328"/>
    <cellStyle name="40% - Ênfase5 11" xfId="329"/>
    <cellStyle name="40% - Ênfase5 11 2" xfId="330"/>
    <cellStyle name="40% - Ênfase5 12" xfId="331"/>
    <cellStyle name="40% - Ênfase5 12 2" xfId="332"/>
    <cellStyle name="40% - Ênfase5 13" xfId="333"/>
    <cellStyle name="40% - Ênfase5 13 2" xfId="334"/>
    <cellStyle name="40% - Ênfase5 14" xfId="2374"/>
    <cellStyle name="40% - Ênfase5 14 2" xfId="335"/>
    <cellStyle name="40% - Ênfase5 15 2" xfId="336"/>
    <cellStyle name="40% - Ênfase5 16 2" xfId="337"/>
    <cellStyle name="40% - Ênfase5 17 2" xfId="338"/>
    <cellStyle name="40% - Ênfase5 2" xfId="339"/>
    <cellStyle name="40% - Ênfase5 2 2" xfId="340"/>
    <cellStyle name="40% - Ênfase5 3" xfId="341"/>
    <cellStyle name="40% - Ênfase5 3 2" xfId="342"/>
    <cellStyle name="40% - Ênfase5 4" xfId="343"/>
    <cellStyle name="40% - Ênfase5 4 2" xfId="344"/>
    <cellStyle name="40% - Ênfase5 5" xfId="345"/>
    <cellStyle name="40% - Ênfase5 5 2" xfId="346"/>
    <cellStyle name="40% - Ênfase5 6" xfId="347"/>
    <cellStyle name="40% - Ênfase5 6 2" xfId="348"/>
    <cellStyle name="40% - Ênfase5 7" xfId="349"/>
    <cellStyle name="40% - Ênfase5 7 2" xfId="350"/>
    <cellStyle name="40% - Ênfase5 8" xfId="351"/>
    <cellStyle name="40% - Ênfase5 8 2" xfId="352"/>
    <cellStyle name="40% - Ênfase5 9" xfId="353"/>
    <cellStyle name="40% - Ênfase5 9 2" xfId="354"/>
    <cellStyle name="40% - Ênfase6" xfId="12" builtinId="51" customBuiltin="1"/>
    <cellStyle name="40% - Ênfase6 10" xfId="355"/>
    <cellStyle name="40% - Ênfase6 10 2" xfId="356"/>
    <cellStyle name="40% - Ênfase6 11" xfId="357"/>
    <cellStyle name="40% - Ênfase6 11 2" xfId="358"/>
    <cellStyle name="40% - Ênfase6 12" xfId="359"/>
    <cellStyle name="40% - Ênfase6 12 2" xfId="360"/>
    <cellStyle name="40% - Ênfase6 13" xfId="361"/>
    <cellStyle name="40% - Ênfase6 13 2" xfId="362"/>
    <cellStyle name="40% - Ênfase6 14" xfId="2375"/>
    <cellStyle name="40% - Ênfase6 14 2" xfId="363"/>
    <cellStyle name="40% - Ênfase6 15 2" xfId="364"/>
    <cellStyle name="40% - Ênfase6 16 2" xfId="365"/>
    <cellStyle name="40% - Ênfase6 17 2" xfId="366"/>
    <cellStyle name="40% - Ênfase6 2" xfId="367"/>
    <cellStyle name="40% - Ênfase6 2 2" xfId="368"/>
    <cellStyle name="40% - Ênfase6 3" xfId="369"/>
    <cellStyle name="40% - Ênfase6 3 2" xfId="370"/>
    <cellStyle name="40% - Ênfase6 4" xfId="371"/>
    <cellStyle name="40% - Ênfase6 4 2" xfId="372"/>
    <cellStyle name="40% - Ênfase6 5" xfId="373"/>
    <cellStyle name="40% - Ênfase6 5 2" xfId="374"/>
    <cellStyle name="40% - Ênfase6 6" xfId="375"/>
    <cellStyle name="40% - Ênfase6 6 2" xfId="376"/>
    <cellStyle name="40% - Ênfase6 7" xfId="377"/>
    <cellStyle name="40% - Ênfase6 7 2" xfId="378"/>
    <cellStyle name="40% - Ênfase6 8" xfId="379"/>
    <cellStyle name="40% - Ênfase6 8 2" xfId="380"/>
    <cellStyle name="40% - Ênfase6 9" xfId="381"/>
    <cellStyle name="40% - Ênfase6 9 2" xfId="382"/>
    <cellStyle name="60% - Accent1" xfId="2376"/>
    <cellStyle name="60% - Accent2" xfId="2377"/>
    <cellStyle name="60% - Accent3" xfId="2378"/>
    <cellStyle name="60% - Accent4" xfId="2379"/>
    <cellStyle name="60% - Accent5" xfId="2380"/>
    <cellStyle name="60% - Accent6" xfId="2381"/>
    <cellStyle name="60% - Ênfase1" xfId="13" builtinId="32" customBuiltin="1"/>
    <cellStyle name="60% - Ênfase1 10 2" xfId="383"/>
    <cellStyle name="60% - Ênfase1 11 2" xfId="384"/>
    <cellStyle name="60% - Ênfase1 12 2" xfId="385"/>
    <cellStyle name="60% - Ênfase1 13 2" xfId="386"/>
    <cellStyle name="60% - Ênfase1 14 2" xfId="387"/>
    <cellStyle name="60% - Ênfase1 15 2" xfId="388"/>
    <cellStyle name="60% - Ênfase1 16 2" xfId="389"/>
    <cellStyle name="60% - Ênfase1 17 2" xfId="390"/>
    <cellStyle name="60% - Ênfase1 2" xfId="391"/>
    <cellStyle name="60% - Ênfase1 2 2" xfId="392"/>
    <cellStyle name="60% - Ênfase1 3" xfId="393"/>
    <cellStyle name="60% - Ênfase1 3 2" xfId="394"/>
    <cellStyle name="60% - Ênfase1 4" xfId="395"/>
    <cellStyle name="60% - Ênfase1 4 2" xfId="396"/>
    <cellStyle name="60% - Ênfase1 5" xfId="397"/>
    <cellStyle name="60% - Ênfase1 5 2" xfId="398"/>
    <cellStyle name="60% - Ênfase1 6" xfId="2382"/>
    <cellStyle name="60% - Ênfase1 6 2" xfId="399"/>
    <cellStyle name="60% - Ênfase1 7 2" xfId="400"/>
    <cellStyle name="60% - Ênfase1 8 2" xfId="401"/>
    <cellStyle name="60% - Ênfase1 9 2" xfId="402"/>
    <cellStyle name="60% - Ênfase2" xfId="14" builtinId="36" customBuiltin="1"/>
    <cellStyle name="60% - Ênfase2 10 2" xfId="403"/>
    <cellStyle name="60% - Ênfase2 11 2" xfId="404"/>
    <cellStyle name="60% - Ênfase2 12 2" xfId="405"/>
    <cellStyle name="60% - Ênfase2 13 2" xfId="406"/>
    <cellStyle name="60% - Ênfase2 14 2" xfId="407"/>
    <cellStyle name="60% - Ênfase2 15 2" xfId="408"/>
    <cellStyle name="60% - Ênfase2 16 2" xfId="409"/>
    <cellStyle name="60% - Ênfase2 17 2" xfId="410"/>
    <cellStyle name="60% - Ênfase2 2" xfId="411"/>
    <cellStyle name="60% - Ênfase2 2 2" xfId="412"/>
    <cellStyle name="60% - Ênfase2 3" xfId="413"/>
    <cellStyle name="60% - Ênfase2 3 2" xfId="414"/>
    <cellStyle name="60% - Ênfase2 4" xfId="415"/>
    <cellStyle name="60% - Ênfase2 4 2" xfId="416"/>
    <cellStyle name="60% - Ênfase2 5" xfId="417"/>
    <cellStyle name="60% - Ênfase2 5 2" xfId="418"/>
    <cellStyle name="60% - Ênfase2 6" xfId="2383"/>
    <cellStyle name="60% - Ênfase2 6 2" xfId="419"/>
    <cellStyle name="60% - Ênfase2 7 2" xfId="420"/>
    <cellStyle name="60% - Ênfase2 8 2" xfId="421"/>
    <cellStyle name="60% - Ênfase2 9 2" xfId="422"/>
    <cellStyle name="60% - Ênfase3" xfId="15" builtinId="40" customBuiltin="1"/>
    <cellStyle name="60% - Ênfase3 10 2" xfId="423"/>
    <cellStyle name="60% - Ênfase3 11 2" xfId="424"/>
    <cellStyle name="60% - Ênfase3 12 2" xfId="425"/>
    <cellStyle name="60% - Ênfase3 13 2" xfId="426"/>
    <cellStyle name="60% - Ênfase3 14 2" xfId="427"/>
    <cellStyle name="60% - Ênfase3 15 2" xfId="428"/>
    <cellStyle name="60% - Ênfase3 16 2" xfId="429"/>
    <cellStyle name="60% - Ênfase3 17 2" xfId="430"/>
    <cellStyle name="60% - Ênfase3 2" xfId="431"/>
    <cellStyle name="60% - Ênfase3 2 2" xfId="432"/>
    <cellStyle name="60% - Ênfase3 3" xfId="433"/>
    <cellStyle name="60% - Ênfase3 3 2" xfId="434"/>
    <cellStyle name="60% - Ênfase3 4" xfId="435"/>
    <cellStyle name="60% - Ênfase3 4 2" xfId="436"/>
    <cellStyle name="60% - Ênfase3 5" xfId="437"/>
    <cellStyle name="60% - Ênfase3 5 2" xfId="438"/>
    <cellStyle name="60% - Ênfase3 6" xfId="2384"/>
    <cellStyle name="60% - Ênfase3 6 2" xfId="439"/>
    <cellStyle name="60% - Ênfase3 7 2" xfId="440"/>
    <cellStyle name="60% - Ênfase3 8 2" xfId="441"/>
    <cellStyle name="60% - Ênfase3 9 2" xfId="442"/>
    <cellStyle name="60% - Ênfase4" xfId="16" builtinId="44" customBuiltin="1"/>
    <cellStyle name="60% - Ênfase4 10 2" xfId="443"/>
    <cellStyle name="60% - Ênfase4 11 2" xfId="444"/>
    <cellStyle name="60% - Ênfase4 12 2" xfId="445"/>
    <cellStyle name="60% - Ênfase4 13 2" xfId="446"/>
    <cellStyle name="60% - Ênfase4 14 2" xfId="447"/>
    <cellStyle name="60% - Ênfase4 15 2" xfId="448"/>
    <cellStyle name="60% - Ênfase4 16 2" xfId="449"/>
    <cellStyle name="60% - Ênfase4 17 2" xfId="450"/>
    <cellStyle name="60% - Ênfase4 2" xfId="451"/>
    <cellStyle name="60% - Ênfase4 2 2" xfId="452"/>
    <cellStyle name="60% - Ênfase4 3" xfId="453"/>
    <cellStyle name="60% - Ênfase4 3 2" xfId="454"/>
    <cellStyle name="60% - Ênfase4 4" xfId="455"/>
    <cellStyle name="60% - Ênfase4 4 2" xfId="456"/>
    <cellStyle name="60% - Ênfase4 5" xfId="457"/>
    <cellStyle name="60% - Ênfase4 5 2" xfId="458"/>
    <cellStyle name="60% - Ênfase4 6" xfId="2385"/>
    <cellStyle name="60% - Ênfase4 6 2" xfId="459"/>
    <cellStyle name="60% - Ênfase4 7 2" xfId="460"/>
    <cellStyle name="60% - Ênfase4 8 2" xfId="461"/>
    <cellStyle name="60% - Ênfase4 9 2" xfId="462"/>
    <cellStyle name="60% - Ênfase5" xfId="17" builtinId="48" customBuiltin="1"/>
    <cellStyle name="60% - Ênfase5 10 2" xfId="463"/>
    <cellStyle name="60% - Ênfase5 11 2" xfId="464"/>
    <cellStyle name="60% - Ênfase5 12 2" xfId="465"/>
    <cellStyle name="60% - Ênfase5 13 2" xfId="466"/>
    <cellStyle name="60% - Ênfase5 14 2" xfId="467"/>
    <cellStyle name="60% - Ênfase5 15 2" xfId="468"/>
    <cellStyle name="60% - Ênfase5 16 2" xfId="469"/>
    <cellStyle name="60% - Ênfase5 17 2" xfId="470"/>
    <cellStyle name="60% - Ênfase5 2" xfId="471"/>
    <cellStyle name="60% - Ênfase5 2 2" xfId="472"/>
    <cellStyle name="60% - Ênfase5 3" xfId="473"/>
    <cellStyle name="60% - Ênfase5 3 2" xfId="474"/>
    <cellStyle name="60% - Ênfase5 4" xfId="475"/>
    <cellStyle name="60% - Ênfase5 4 2" xfId="476"/>
    <cellStyle name="60% - Ênfase5 5" xfId="477"/>
    <cellStyle name="60% - Ênfase5 5 2" xfId="478"/>
    <cellStyle name="60% - Ênfase5 6" xfId="2386"/>
    <cellStyle name="60% - Ênfase5 6 2" xfId="479"/>
    <cellStyle name="60% - Ênfase5 7 2" xfId="480"/>
    <cellStyle name="60% - Ênfase5 8 2" xfId="481"/>
    <cellStyle name="60% - Ênfase5 9 2" xfId="482"/>
    <cellStyle name="60% - Ênfase6" xfId="18" builtinId="52" customBuiltin="1"/>
    <cellStyle name="60% - Ênfase6 10 2" xfId="483"/>
    <cellStyle name="60% - Ênfase6 11 2" xfId="484"/>
    <cellStyle name="60% - Ênfase6 12 2" xfId="485"/>
    <cellStyle name="60% - Ênfase6 13 2" xfId="486"/>
    <cellStyle name="60% - Ênfase6 14 2" xfId="487"/>
    <cellStyle name="60% - Ênfase6 15 2" xfId="488"/>
    <cellStyle name="60% - Ênfase6 16 2" xfId="489"/>
    <cellStyle name="60% - Ênfase6 17 2" xfId="490"/>
    <cellStyle name="60% - Ênfase6 2" xfId="491"/>
    <cellStyle name="60% - Ênfase6 2 2" xfId="492"/>
    <cellStyle name="60% - Ênfase6 3" xfId="493"/>
    <cellStyle name="60% - Ênfase6 3 2" xfId="494"/>
    <cellStyle name="60% - Ênfase6 4" xfId="495"/>
    <cellStyle name="60% - Ênfase6 4 2" xfId="496"/>
    <cellStyle name="60% - Ênfase6 5" xfId="497"/>
    <cellStyle name="60% - Ênfase6 5 2" xfId="498"/>
    <cellStyle name="60% - Ênfase6 6" xfId="2387"/>
    <cellStyle name="60% - Ênfase6 6 2" xfId="499"/>
    <cellStyle name="60% - Ênfase6 7 2" xfId="500"/>
    <cellStyle name="60% - Ênfase6 8 2" xfId="501"/>
    <cellStyle name="60% - Ênfase6 9 2" xfId="502"/>
    <cellStyle name="Accent1" xfId="2388"/>
    <cellStyle name="Accent1 - 20%" xfId="2389"/>
    <cellStyle name="Accent1 - 40%" xfId="2390"/>
    <cellStyle name="Accent1 - 60%" xfId="2391"/>
    <cellStyle name="Accent2" xfId="2392"/>
    <cellStyle name="Accent2 - 20%" xfId="2393"/>
    <cellStyle name="Accent2 - 40%" xfId="2394"/>
    <cellStyle name="Accent2 - 60%" xfId="2395"/>
    <cellStyle name="Accent3" xfId="2396"/>
    <cellStyle name="Accent3 - 20%" xfId="2397"/>
    <cellStyle name="Accent3 - 40%" xfId="2398"/>
    <cellStyle name="Accent3 - 60%" xfId="2399"/>
    <cellStyle name="Accent4" xfId="2400"/>
    <cellStyle name="Accent4 - 20%" xfId="2401"/>
    <cellStyle name="Accent4 - 40%" xfId="2402"/>
    <cellStyle name="Accent4 - 60%" xfId="2403"/>
    <cellStyle name="Accent5" xfId="2404"/>
    <cellStyle name="Accent5 - 20%" xfId="2405"/>
    <cellStyle name="Accent5 - 40%" xfId="2406"/>
    <cellStyle name="Accent5 - 60%" xfId="2407"/>
    <cellStyle name="Accent6" xfId="2408"/>
    <cellStyle name="Accent6 - 20%" xfId="2409"/>
    <cellStyle name="Accent6 - 40%" xfId="2410"/>
    <cellStyle name="Accent6 - 60%" xfId="2411"/>
    <cellStyle name="Bad" xfId="2412"/>
    <cellStyle name="Bom" xfId="19" builtinId="26" customBuiltin="1"/>
    <cellStyle name="Bom 10 2" xfId="503"/>
    <cellStyle name="Bom 11 2" xfId="504"/>
    <cellStyle name="Bom 12 2" xfId="505"/>
    <cellStyle name="Bom 13 2" xfId="506"/>
    <cellStyle name="Bom 14 2" xfId="507"/>
    <cellStyle name="Bom 15 2" xfId="508"/>
    <cellStyle name="Bom 16 2" xfId="509"/>
    <cellStyle name="Bom 17 2" xfId="510"/>
    <cellStyle name="Bom 2" xfId="511"/>
    <cellStyle name="Bom 2 2" xfId="512"/>
    <cellStyle name="Bom 3" xfId="513"/>
    <cellStyle name="Bom 3 2" xfId="514"/>
    <cellStyle name="Bom 4" xfId="515"/>
    <cellStyle name="Bom 4 2" xfId="516"/>
    <cellStyle name="Bom 5" xfId="517"/>
    <cellStyle name="Bom 5 2" xfId="518"/>
    <cellStyle name="Bom 6" xfId="2413"/>
    <cellStyle name="Bom 6 2" xfId="519"/>
    <cellStyle name="Bom 7 2" xfId="520"/>
    <cellStyle name="Bom 8 2" xfId="521"/>
    <cellStyle name="Bom 9 2" xfId="522"/>
    <cellStyle name="Cabeçalho 1" xfId="523"/>
    <cellStyle name="Cabeçalho 2" xfId="524"/>
    <cellStyle name="Calculation" xfId="2414"/>
    <cellStyle name="Cálculo" xfId="20" builtinId="22" customBuiltin="1"/>
    <cellStyle name="Cálculo 10 2" xfId="525"/>
    <cellStyle name="Cálculo 11 2" xfId="526"/>
    <cellStyle name="Cálculo 12 2" xfId="527"/>
    <cellStyle name="Cálculo 13 2" xfId="528"/>
    <cellStyle name="Cálculo 14 2" xfId="529"/>
    <cellStyle name="Cálculo 15 2" xfId="530"/>
    <cellStyle name="Cálculo 16 2" xfId="531"/>
    <cellStyle name="Cálculo 17 2" xfId="532"/>
    <cellStyle name="Cálculo 2" xfId="533"/>
    <cellStyle name="Cálculo 2 2" xfId="534"/>
    <cellStyle name="Cálculo 3" xfId="535"/>
    <cellStyle name="Cálculo 3 2" xfId="536"/>
    <cellStyle name="Cálculo 4" xfId="537"/>
    <cellStyle name="Cálculo 4 2" xfId="538"/>
    <cellStyle name="Cálculo 5" xfId="539"/>
    <cellStyle name="Cálculo 5 2" xfId="540"/>
    <cellStyle name="Cálculo 6" xfId="2415"/>
    <cellStyle name="Cálculo 6 2" xfId="541"/>
    <cellStyle name="Cálculo 7 2" xfId="542"/>
    <cellStyle name="Cálculo 8 2" xfId="543"/>
    <cellStyle name="Cálculo 9 2" xfId="544"/>
    <cellStyle name="Célula de Verificação" xfId="21" builtinId="23" customBuiltin="1"/>
    <cellStyle name="Célula de Verificação 10 2" xfId="545"/>
    <cellStyle name="Célula de Verificação 11 2" xfId="546"/>
    <cellStyle name="Célula de Verificação 12 2" xfId="547"/>
    <cellStyle name="Célula de Verificação 13 2" xfId="548"/>
    <cellStyle name="Célula de Verificação 14 2" xfId="549"/>
    <cellStyle name="Célula de Verificação 15 2" xfId="550"/>
    <cellStyle name="Célula de Verificação 16 2" xfId="551"/>
    <cellStyle name="Célula de Verificação 17 2" xfId="552"/>
    <cellStyle name="Célula de Verificação 2" xfId="553"/>
    <cellStyle name="Célula de Verificação 2 2" xfId="554"/>
    <cellStyle name="Célula de Verificação 3" xfId="555"/>
    <cellStyle name="Célula de Verificação 3 2" xfId="556"/>
    <cellStyle name="Célula de Verificação 4" xfId="557"/>
    <cellStyle name="Célula de Verificação 4 2" xfId="558"/>
    <cellStyle name="Célula de Verificação 5" xfId="559"/>
    <cellStyle name="Célula de Verificação 5 2" xfId="560"/>
    <cellStyle name="Célula de Verificação 6 2" xfId="561"/>
    <cellStyle name="Célula de Verificação 7 2" xfId="562"/>
    <cellStyle name="Célula de Verificação 8 2" xfId="563"/>
    <cellStyle name="Célula de Verificação 9 2" xfId="564"/>
    <cellStyle name="Célula Vinculada" xfId="22" builtinId="24" customBuiltin="1"/>
    <cellStyle name="Célula Vinculada 10 2" xfId="565"/>
    <cellStyle name="Célula Vinculada 11 2" xfId="566"/>
    <cellStyle name="Célula Vinculada 12 2" xfId="567"/>
    <cellStyle name="Célula Vinculada 13 2" xfId="568"/>
    <cellStyle name="Célula Vinculada 14 2" xfId="569"/>
    <cellStyle name="Célula Vinculada 15 2" xfId="570"/>
    <cellStyle name="Célula Vinculada 16 2" xfId="571"/>
    <cellStyle name="Célula Vinculada 17 2" xfId="572"/>
    <cellStyle name="Célula Vinculada 2" xfId="573"/>
    <cellStyle name="Célula Vinculada 2 2" xfId="574"/>
    <cellStyle name="Célula Vinculada 3" xfId="575"/>
    <cellStyle name="Célula Vinculada 3 2" xfId="576"/>
    <cellStyle name="Célula Vinculada 4" xfId="577"/>
    <cellStyle name="Célula Vinculada 4 2" xfId="578"/>
    <cellStyle name="Célula Vinculada 5" xfId="579"/>
    <cellStyle name="Célula Vinculada 5 2" xfId="580"/>
    <cellStyle name="Célula Vinculada 6" xfId="2416"/>
    <cellStyle name="Célula Vinculada 6 2" xfId="581"/>
    <cellStyle name="Célula Vinculada 7 2" xfId="582"/>
    <cellStyle name="Célula Vinculada 8 2" xfId="583"/>
    <cellStyle name="Célula Vinculada 9 2" xfId="584"/>
    <cellStyle name="Check Cell" xfId="2417"/>
    <cellStyle name="Comma 2" xfId="585"/>
    <cellStyle name="Comma 2 2" xfId="1670"/>
    <cellStyle name="Comma 2 2 2" xfId="1966"/>
    <cellStyle name="Data" xfId="586"/>
    <cellStyle name="Duasdec" xfId="587"/>
    <cellStyle name="Emphasis 1" xfId="2418"/>
    <cellStyle name="Emphasis 2" xfId="2419"/>
    <cellStyle name="Emphasis 3" xfId="2420"/>
    <cellStyle name="Ênfase1" xfId="23" builtinId="29" customBuiltin="1"/>
    <cellStyle name="Ênfase1 10 2" xfId="588"/>
    <cellStyle name="Ênfase1 11 2" xfId="589"/>
    <cellStyle name="Ênfase1 12 2" xfId="590"/>
    <cellStyle name="Ênfase1 13 2" xfId="591"/>
    <cellStyle name="Ênfase1 14 2" xfId="592"/>
    <cellStyle name="Ênfase1 15 2" xfId="593"/>
    <cellStyle name="Ênfase1 16 2" xfId="594"/>
    <cellStyle name="Ênfase1 17 2" xfId="595"/>
    <cellStyle name="Ênfase1 2" xfId="596"/>
    <cellStyle name="Ênfase1 2 2" xfId="597"/>
    <cellStyle name="Ênfase1 3" xfId="598"/>
    <cellStyle name="Ênfase1 3 2" xfId="599"/>
    <cellStyle name="Ênfase1 4" xfId="600"/>
    <cellStyle name="Ênfase1 4 2" xfId="601"/>
    <cellStyle name="Ênfase1 5" xfId="602"/>
    <cellStyle name="Ênfase1 5 2" xfId="603"/>
    <cellStyle name="Ênfase1 6" xfId="2421"/>
    <cellStyle name="Ênfase1 6 2" xfId="604"/>
    <cellStyle name="Ênfase1 7 2" xfId="605"/>
    <cellStyle name="Ênfase1 8 2" xfId="606"/>
    <cellStyle name="Ênfase1 9 2" xfId="607"/>
    <cellStyle name="Ênfase2" xfId="24" builtinId="33" customBuiltin="1"/>
    <cellStyle name="Ênfase2 10 2" xfId="608"/>
    <cellStyle name="Ênfase2 11 2" xfId="609"/>
    <cellStyle name="Ênfase2 12 2" xfId="610"/>
    <cellStyle name="Ênfase2 13 2" xfId="611"/>
    <cellStyle name="Ênfase2 14 2" xfId="612"/>
    <cellStyle name="Ênfase2 15 2" xfId="613"/>
    <cellStyle name="Ênfase2 16 2" xfId="614"/>
    <cellStyle name="Ênfase2 17 2" xfId="615"/>
    <cellStyle name="Ênfase2 2" xfId="616"/>
    <cellStyle name="Ênfase2 2 2" xfId="617"/>
    <cellStyle name="Ênfase2 3" xfId="618"/>
    <cellStyle name="Ênfase2 3 2" xfId="619"/>
    <cellStyle name="Ênfase2 4" xfId="620"/>
    <cellStyle name="Ênfase2 4 2" xfId="621"/>
    <cellStyle name="Ênfase2 5" xfId="622"/>
    <cellStyle name="Ênfase2 5 2" xfId="623"/>
    <cellStyle name="Ênfase2 6" xfId="2422"/>
    <cellStyle name="Ênfase2 6 2" xfId="624"/>
    <cellStyle name="Ênfase2 7 2" xfId="625"/>
    <cellStyle name="Ênfase2 8 2" xfId="626"/>
    <cellStyle name="Ênfase2 9 2" xfId="627"/>
    <cellStyle name="Ênfase3" xfId="25" builtinId="37" customBuiltin="1"/>
    <cellStyle name="Ênfase3 10 2" xfId="628"/>
    <cellStyle name="Ênfase3 11 2" xfId="629"/>
    <cellStyle name="Ênfase3 12 2" xfId="630"/>
    <cellStyle name="Ênfase3 13 2" xfId="631"/>
    <cellStyle name="Ênfase3 14 2" xfId="632"/>
    <cellStyle name="Ênfase3 15 2" xfId="633"/>
    <cellStyle name="Ênfase3 16 2" xfId="634"/>
    <cellStyle name="Ênfase3 17 2" xfId="635"/>
    <cellStyle name="Ênfase3 2" xfId="636"/>
    <cellStyle name="Ênfase3 2 2" xfId="637"/>
    <cellStyle name="Ênfase3 3" xfId="638"/>
    <cellStyle name="Ênfase3 3 2" xfId="639"/>
    <cellStyle name="Ênfase3 4" xfId="640"/>
    <cellStyle name="Ênfase3 4 2" xfId="641"/>
    <cellStyle name="Ênfase3 5" xfId="642"/>
    <cellStyle name="Ênfase3 5 2" xfId="643"/>
    <cellStyle name="Ênfase3 6" xfId="2423"/>
    <cellStyle name="Ênfase3 6 2" xfId="644"/>
    <cellStyle name="Ênfase3 7 2" xfId="645"/>
    <cellStyle name="Ênfase3 8 2" xfId="646"/>
    <cellStyle name="Ênfase3 9 2" xfId="647"/>
    <cellStyle name="Ênfase4" xfId="26" builtinId="41" customBuiltin="1"/>
    <cellStyle name="Ênfase4 10 2" xfId="648"/>
    <cellStyle name="Ênfase4 11 2" xfId="649"/>
    <cellStyle name="Ênfase4 12 2" xfId="650"/>
    <cellStyle name="Ênfase4 13 2" xfId="651"/>
    <cellStyle name="Ênfase4 14 2" xfId="652"/>
    <cellStyle name="Ênfase4 15 2" xfId="653"/>
    <cellStyle name="Ênfase4 16 2" xfId="654"/>
    <cellStyle name="Ênfase4 17 2" xfId="655"/>
    <cellStyle name="Ênfase4 2" xfId="656"/>
    <cellStyle name="Ênfase4 2 2" xfId="657"/>
    <cellStyle name="Ênfase4 3" xfId="658"/>
    <cellStyle name="Ênfase4 3 2" xfId="659"/>
    <cellStyle name="Ênfase4 4" xfId="660"/>
    <cellStyle name="Ênfase4 4 2" xfId="661"/>
    <cellStyle name="Ênfase4 5" xfId="662"/>
    <cellStyle name="Ênfase4 5 2" xfId="663"/>
    <cellStyle name="Ênfase4 6" xfId="2424"/>
    <cellStyle name="Ênfase4 6 2" xfId="664"/>
    <cellStyle name="Ênfase4 7 2" xfId="665"/>
    <cellStyle name="Ênfase4 8 2" xfId="666"/>
    <cellStyle name="Ênfase4 9 2" xfId="667"/>
    <cellStyle name="Ênfase5" xfId="27" builtinId="45" customBuiltin="1"/>
    <cellStyle name="Ênfase5 10 2" xfId="668"/>
    <cellStyle name="Ênfase5 11 2" xfId="669"/>
    <cellStyle name="Ênfase5 12 2" xfId="670"/>
    <cellStyle name="Ênfase5 13 2" xfId="671"/>
    <cellStyle name="Ênfase5 14 2" xfId="672"/>
    <cellStyle name="Ênfase5 15 2" xfId="673"/>
    <cellStyle name="Ênfase5 16 2" xfId="674"/>
    <cellStyle name="Ênfase5 17 2" xfId="675"/>
    <cellStyle name="Ênfase5 2" xfId="676"/>
    <cellStyle name="Ênfase5 2 2" xfId="677"/>
    <cellStyle name="Ênfase5 3" xfId="678"/>
    <cellStyle name="Ênfase5 3 2" xfId="679"/>
    <cellStyle name="Ênfase5 4" xfId="680"/>
    <cellStyle name="Ênfase5 4 2" xfId="681"/>
    <cellStyle name="Ênfase5 5" xfId="682"/>
    <cellStyle name="Ênfase5 5 2" xfId="683"/>
    <cellStyle name="Ênfase5 6 2" xfId="684"/>
    <cellStyle name="Ênfase5 7 2" xfId="685"/>
    <cellStyle name="Ênfase5 8 2" xfId="686"/>
    <cellStyle name="Ênfase5 9 2" xfId="687"/>
    <cellStyle name="Ênfase6" xfId="28" builtinId="49" customBuiltin="1"/>
    <cellStyle name="Ênfase6 10 2" xfId="688"/>
    <cellStyle name="Ênfase6 11 2" xfId="689"/>
    <cellStyle name="Ênfase6 12 2" xfId="690"/>
    <cellStyle name="Ênfase6 13 2" xfId="691"/>
    <cellStyle name="Ênfase6 14 2" xfId="692"/>
    <cellStyle name="Ênfase6 15 2" xfId="693"/>
    <cellStyle name="Ênfase6 16 2" xfId="694"/>
    <cellStyle name="Ênfase6 17 2" xfId="695"/>
    <cellStyle name="Ênfase6 2" xfId="696"/>
    <cellStyle name="Ênfase6 2 2" xfId="697"/>
    <cellStyle name="Ênfase6 3" xfId="698"/>
    <cellStyle name="Ênfase6 3 2" xfId="699"/>
    <cellStyle name="Ênfase6 4" xfId="700"/>
    <cellStyle name="Ênfase6 4 2" xfId="701"/>
    <cellStyle name="Ênfase6 5" xfId="702"/>
    <cellStyle name="Ênfase6 5 2" xfId="703"/>
    <cellStyle name="Ênfase6 6" xfId="2425"/>
    <cellStyle name="Ênfase6 6 2" xfId="704"/>
    <cellStyle name="Ênfase6 7 2" xfId="705"/>
    <cellStyle name="Ênfase6 8 2" xfId="706"/>
    <cellStyle name="Ênfase6 9 2" xfId="707"/>
    <cellStyle name="Entrada" xfId="29" builtinId="20" customBuiltin="1"/>
    <cellStyle name="Entrada 10 2" xfId="708"/>
    <cellStyle name="Entrada 11 2" xfId="709"/>
    <cellStyle name="Entrada 12 2" xfId="710"/>
    <cellStyle name="Entrada 13 2" xfId="711"/>
    <cellStyle name="Entrada 14 2" xfId="712"/>
    <cellStyle name="Entrada 15 2" xfId="713"/>
    <cellStyle name="Entrada 16 2" xfId="714"/>
    <cellStyle name="Entrada 17 2" xfId="715"/>
    <cellStyle name="Entrada 2" xfId="716"/>
    <cellStyle name="Entrada 2 2" xfId="717"/>
    <cellStyle name="Entrada 3" xfId="718"/>
    <cellStyle name="Entrada 3 2" xfId="719"/>
    <cellStyle name="Entrada 4" xfId="720"/>
    <cellStyle name="Entrada 4 2" xfId="721"/>
    <cellStyle name="Entrada 5" xfId="722"/>
    <cellStyle name="Entrada 5 2" xfId="723"/>
    <cellStyle name="Entrada 6" xfId="2426"/>
    <cellStyle name="Entrada 6 2" xfId="724"/>
    <cellStyle name="Entrada 7 2" xfId="725"/>
    <cellStyle name="Entrada 8 2" xfId="726"/>
    <cellStyle name="Entrada 9 2" xfId="727"/>
    <cellStyle name="Euro" xfId="2427"/>
    <cellStyle name="Euro 2" xfId="2428"/>
    <cellStyle name="Excel Built-in Normal" xfId="1666"/>
    <cellStyle name="Excel_BuiltIn_Comma 1_Plan1" xfId="2429"/>
    <cellStyle name="Explanatory Text" xfId="2430"/>
    <cellStyle name="Fixo" xfId="728"/>
    <cellStyle name="Good" xfId="2431"/>
    <cellStyle name="Graphics" xfId="2432"/>
    <cellStyle name="Heading 1" xfId="2433"/>
    <cellStyle name="Heading 2" xfId="2434"/>
    <cellStyle name="Heading 3" xfId="2435"/>
    <cellStyle name="Heading 4" xfId="2436"/>
    <cellStyle name="Hyperlink 2" xfId="1959"/>
    <cellStyle name="Hyperlink 3" xfId="2437"/>
    <cellStyle name="Incorreto" xfId="30" builtinId="27" customBuiltin="1"/>
    <cellStyle name="Incorreto 10 2" xfId="729"/>
    <cellStyle name="Incorreto 11 2" xfId="730"/>
    <cellStyle name="Incorreto 12 2" xfId="731"/>
    <cellStyle name="Incorreto 13 2" xfId="732"/>
    <cellStyle name="Incorreto 14 2" xfId="733"/>
    <cellStyle name="Incorreto 15 2" xfId="734"/>
    <cellStyle name="Incorreto 16 2" xfId="735"/>
    <cellStyle name="Incorreto 17 2" xfId="736"/>
    <cellStyle name="Incorreto 2" xfId="737"/>
    <cellStyle name="Incorreto 2 2" xfId="738"/>
    <cellStyle name="Incorreto 3" xfId="739"/>
    <cellStyle name="Incorreto 3 2" xfId="740"/>
    <cellStyle name="Incorreto 4" xfId="741"/>
    <cellStyle name="Incorreto 4 2" xfId="742"/>
    <cellStyle name="Incorreto 5" xfId="743"/>
    <cellStyle name="Incorreto 5 2" xfId="744"/>
    <cellStyle name="Incorreto 6" xfId="2438"/>
    <cellStyle name="Incorreto 6 2" xfId="745"/>
    <cellStyle name="Incorreto 7 2" xfId="746"/>
    <cellStyle name="Incorreto 8 2" xfId="747"/>
    <cellStyle name="Incorreto 9 2" xfId="748"/>
    <cellStyle name="Indefinido" xfId="2439"/>
    <cellStyle name="Input" xfId="2440"/>
    <cellStyle name="item" xfId="2441"/>
    <cellStyle name="Linked Cell" xfId="2442"/>
    <cellStyle name="Moeda" xfId="1956" builtinId="4"/>
    <cellStyle name="Moeda 2" xfId="749"/>
    <cellStyle name="Moeda 2 2" xfId="750"/>
    <cellStyle name="Moeda 2 2 2" xfId="2248"/>
    <cellStyle name="Moeda 2 2 3" xfId="2249"/>
    <cellStyle name="Moeda 2 2 3 2" xfId="2250"/>
    <cellStyle name="Moeda 2 2 3 2 2" xfId="2251"/>
    <cellStyle name="Moeda 2 2 4" xfId="2252"/>
    <cellStyle name="Moeda 2 3" xfId="751"/>
    <cellStyle name="Moeda 2 3 2" xfId="1671"/>
    <cellStyle name="Moeda 2 3 2 2" xfId="1967"/>
    <cellStyle name="Moeda 2 4" xfId="1672"/>
    <cellStyle name="Moeda 2 4 2" xfId="1968"/>
    <cellStyle name="Moeda 3" xfId="752"/>
    <cellStyle name="Moeda 3 2" xfId="2253"/>
    <cellStyle name="Moeda 3 2 2" xfId="2254"/>
    <cellStyle name="Moeda 3 2 2 2" xfId="2255"/>
    <cellStyle name="Moeda 3 2 3" xfId="2256"/>
    <cellStyle name="Moeda 3 3" xfId="2257"/>
    <cellStyle name="Moeda 3 3 2" xfId="2258"/>
    <cellStyle name="Moeda 3 4" xfId="2259"/>
    <cellStyle name="Moeda 4" xfId="1958"/>
    <cellStyle name="Moeda 4 2" xfId="1960"/>
    <cellStyle name="Moeda 4 2 2" xfId="2260"/>
    <cellStyle name="Moeda 4 2 3" xfId="2261"/>
    <cellStyle name="Moeda 4 3" xfId="2247"/>
    <cellStyle name="Moeda 5" xfId="753"/>
    <cellStyle name="Moeda 5 2" xfId="754"/>
    <cellStyle name="Moeda 5 2 2" xfId="2262"/>
    <cellStyle name="Moeda 5 3" xfId="2263"/>
    <cellStyle name="Moeda 6" xfId="2245"/>
    <cellStyle name="Moeda 6 2" xfId="2264"/>
    <cellStyle name="Moeda 7" xfId="2265"/>
    <cellStyle name="Moeda 8" xfId="2266"/>
    <cellStyle name="Moeda 9" xfId="2267"/>
    <cellStyle name="Moeda_capa 54107" xfId="1665"/>
    <cellStyle name="Moeda0" xfId="755"/>
    <cellStyle name="Neutra" xfId="31" builtinId="28" customBuiltin="1"/>
    <cellStyle name="Neutra 10 2" xfId="756"/>
    <cellStyle name="Neutra 11 2" xfId="757"/>
    <cellStyle name="Neutra 12 2" xfId="758"/>
    <cellStyle name="Neutra 13 2" xfId="759"/>
    <cellStyle name="Neutra 14 2" xfId="760"/>
    <cellStyle name="Neutra 15 2" xfId="761"/>
    <cellStyle name="Neutra 16 2" xfId="762"/>
    <cellStyle name="Neutra 17 2" xfId="763"/>
    <cellStyle name="Neutra 2" xfId="764"/>
    <cellStyle name="Neutra 2 2" xfId="765"/>
    <cellStyle name="Neutra 3" xfId="766"/>
    <cellStyle name="Neutra 3 2" xfId="767"/>
    <cellStyle name="Neutra 4" xfId="768"/>
    <cellStyle name="Neutra 4 2" xfId="769"/>
    <cellStyle name="Neutra 5" xfId="770"/>
    <cellStyle name="Neutra 5 2" xfId="771"/>
    <cellStyle name="Neutra 6" xfId="2443"/>
    <cellStyle name="Neutra 6 2" xfId="772"/>
    <cellStyle name="Neutra 7 2" xfId="773"/>
    <cellStyle name="Neutra 8 2" xfId="774"/>
    <cellStyle name="Neutra 9 2" xfId="775"/>
    <cellStyle name="Neutral" xfId="2444"/>
    <cellStyle name="Normal" xfId="0" builtinId="0"/>
    <cellStyle name="Normal 10" xfId="42"/>
    <cellStyle name="Normal 10 10" xfId="2445"/>
    <cellStyle name="Normal 10 11" xfId="2446"/>
    <cellStyle name="Normal 10 12" xfId="2447"/>
    <cellStyle name="Normal 10 13" xfId="2448"/>
    <cellStyle name="Normal 10 14" xfId="2449"/>
    <cellStyle name="Normal 10 15" xfId="2450"/>
    <cellStyle name="Normal 10 16" xfId="2451"/>
    <cellStyle name="Normal 10 17" xfId="2452"/>
    <cellStyle name="Normal 10 18" xfId="2453"/>
    <cellStyle name="Normal 10 19" xfId="2454"/>
    <cellStyle name="Normal 10 2" xfId="43"/>
    <cellStyle name="Normal 10 2 2" xfId="1673"/>
    <cellStyle name="Normal 10 2 3" xfId="2455"/>
    <cellStyle name="Normal 10 20" xfId="2456"/>
    <cellStyle name="Normal 10 21" xfId="2457"/>
    <cellStyle name="Normal 10 22" xfId="2458"/>
    <cellStyle name="Normal 10 23" xfId="2459"/>
    <cellStyle name="Normal 10 24" xfId="2460"/>
    <cellStyle name="Normal 10 25" xfId="2461"/>
    <cellStyle name="Normal 10 26" xfId="2462"/>
    <cellStyle name="Normal 10 27" xfId="2463"/>
    <cellStyle name="Normal 10 28" xfId="2464"/>
    <cellStyle name="Normal 10 29" xfId="2465"/>
    <cellStyle name="Normal 10 3" xfId="2466"/>
    <cellStyle name="Normal 10 30" xfId="2467"/>
    <cellStyle name="Normal 10 31" xfId="2468"/>
    <cellStyle name="Normal 10 32" xfId="2469"/>
    <cellStyle name="Normal 10 33" xfId="2470"/>
    <cellStyle name="Normal 10 34" xfId="2471"/>
    <cellStyle name="Normal 10 35" xfId="2472"/>
    <cellStyle name="Normal 10 36" xfId="2473"/>
    <cellStyle name="Normal 10 37" xfId="2474"/>
    <cellStyle name="Normal 10 38" xfId="2475"/>
    <cellStyle name="Normal 10 39" xfId="2476"/>
    <cellStyle name="Normal 10 4" xfId="2268"/>
    <cellStyle name="Normal 10 5" xfId="2477"/>
    <cellStyle name="Normal 10 6" xfId="2478"/>
    <cellStyle name="Normal 10 7" xfId="2479"/>
    <cellStyle name="Normal 10 8" xfId="2480"/>
    <cellStyle name="Normal 10 9" xfId="2481"/>
    <cellStyle name="Normal 100" xfId="776"/>
    <cellStyle name="Normal 101" xfId="777"/>
    <cellStyle name="Normal 102" xfId="778"/>
    <cellStyle name="Normal 103" xfId="779"/>
    <cellStyle name="Normal 104" xfId="780"/>
    <cellStyle name="Normal 105" xfId="781"/>
    <cellStyle name="Normal 106" xfId="782"/>
    <cellStyle name="Normal 107" xfId="783"/>
    <cellStyle name="Normal 108" xfId="784"/>
    <cellStyle name="Normal 109" xfId="785"/>
    <cellStyle name="Normal 11" xfId="786"/>
    <cellStyle name="Normal 11 10" xfId="2482"/>
    <cellStyle name="Normal 11 11" xfId="2483"/>
    <cellStyle name="Normal 11 12" xfId="2484"/>
    <cellStyle name="Normal 11 13" xfId="2485"/>
    <cellStyle name="Normal 11 14" xfId="2486"/>
    <cellStyle name="Normal 11 15" xfId="2487"/>
    <cellStyle name="Normal 11 16" xfId="2488"/>
    <cellStyle name="Normal 11 17" xfId="2489"/>
    <cellStyle name="Normal 11 18" xfId="2490"/>
    <cellStyle name="Normal 11 19" xfId="2491"/>
    <cellStyle name="Normal 11 2" xfId="787"/>
    <cellStyle name="Normal 11 20" xfId="2492"/>
    <cellStyle name="Normal 11 21" xfId="2493"/>
    <cellStyle name="Normal 11 22" xfId="2494"/>
    <cellStyle name="Normal 11 23" xfId="2495"/>
    <cellStyle name="Normal 11 24" xfId="2496"/>
    <cellStyle name="Normal 11 25" xfId="2497"/>
    <cellStyle name="Normal 11 26" xfId="2498"/>
    <cellStyle name="Normal 11 27" xfId="2499"/>
    <cellStyle name="Normal 11 28" xfId="2500"/>
    <cellStyle name="Normal 11 29" xfId="2501"/>
    <cellStyle name="Normal 11 3" xfId="2269"/>
    <cellStyle name="Normal 11 30" xfId="2502"/>
    <cellStyle name="Normal 11 31" xfId="2503"/>
    <cellStyle name="Normal 11 32" xfId="2504"/>
    <cellStyle name="Normal 11 33" xfId="2505"/>
    <cellStyle name="Normal 11 34" xfId="2506"/>
    <cellStyle name="Normal 11 35" xfId="2507"/>
    <cellStyle name="Normal 11 36" xfId="2508"/>
    <cellStyle name="Normal 11 37" xfId="2509"/>
    <cellStyle name="Normal 11 38" xfId="2510"/>
    <cellStyle name="Normal 11 39" xfId="2511"/>
    <cellStyle name="Normal 11 4" xfId="2512"/>
    <cellStyle name="Normal 11 5" xfId="2513"/>
    <cellStyle name="Normal 11 6" xfId="2514"/>
    <cellStyle name="Normal 11 7" xfId="2515"/>
    <cellStyle name="Normal 11 8" xfId="2516"/>
    <cellStyle name="Normal 11 9" xfId="2517"/>
    <cellStyle name="Normal 110" xfId="788"/>
    <cellStyle name="Normal 111" xfId="789"/>
    <cellStyle name="Normal 112" xfId="790"/>
    <cellStyle name="Normal 113" xfId="791"/>
    <cellStyle name="Normal 114" xfId="792"/>
    <cellStyle name="Normal 115" xfId="793"/>
    <cellStyle name="Normal 116" xfId="794"/>
    <cellStyle name="Normal 117" xfId="795"/>
    <cellStyle name="Normal 118" xfId="796"/>
    <cellStyle name="Normal 119" xfId="797"/>
    <cellStyle name="Normal 12" xfId="798"/>
    <cellStyle name="Normal 12 2" xfId="2518"/>
    <cellStyle name="Normal 12 2 2" xfId="799"/>
    <cellStyle name="Normal 12 2 2 2" xfId="2270"/>
    <cellStyle name="Normal 12 2 2 3" xfId="2519"/>
    <cellStyle name="Normal 12 2 2 3 2" xfId="2520"/>
    <cellStyle name="Normal 12 2 2 3 3" xfId="2521"/>
    <cellStyle name="Normal 120" xfId="800"/>
    <cellStyle name="Normal 121" xfId="801"/>
    <cellStyle name="Normal 122" xfId="802"/>
    <cellStyle name="Normal 123" xfId="803"/>
    <cellStyle name="Normal 124" xfId="804"/>
    <cellStyle name="Normal 125" xfId="805"/>
    <cellStyle name="Normal 126" xfId="806"/>
    <cellStyle name="Normal 127" xfId="807"/>
    <cellStyle name="Normal 128" xfId="808"/>
    <cellStyle name="Normal 129" xfId="809"/>
    <cellStyle name="Normal 13" xfId="810"/>
    <cellStyle name="Normal 13 2" xfId="811"/>
    <cellStyle name="Normal 13 3" xfId="2522"/>
    <cellStyle name="Normal 130" xfId="812"/>
    <cellStyle name="Normal 131" xfId="813"/>
    <cellStyle name="Normal 132" xfId="814"/>
    <cellStyle name="Normal 133" xfId="815"/>
    <cellStyle name="Normal 134" xfId="816"/>
    <cellStyle name="Normal 135" xfId="817"/>
    <cellStyle name="Normal 136" xfId="818"/>
    <cellStyle name="Normal 137" xfId="819"/>
    <cellStyle name="Normal 138" xfId="820"/>
    <cellStyle name="Normal 139" xfId="821"/>
    <cellStyle name="Normal 14" xfId="822"/>
    <cellStyle name="Normal 14 2" xfId="823"/>
    <cellStyle name="Normal 140" xfId="824"/>
    <cellStyle name="Normal 141" xfId="825"/>
    <cellStyle name="Normal 142" xfId="826"/>
    <cellStyle name="Normal 143" xfId="827"/>
    <cellStyle name="Normal 144" xfId="828"/>
    <cellStyle name="Normal 145" xfId="829"/>
    <cellStyle name="Normal 146" xfId="830"/>
    <cellStyle name="Normal 147" xfId="831"/>
    <cellStyle name="Normal 148" xfId="832"/>
    <cellStyle name="Normal 149" xfId="833"/>
    <cellStyle name="Normal 15" xfId="834"/>
    <cellStyle name="Normal 15 2" xfId="835"/>
    <cellStyle name="Normal 150" xfId="836"/>
    <cellStyle name="Normal 151" xfId="837"/>
    <cellStyle name="Normal 152" xfId="838"/>
    <cellStyle name="Normal 153" xfId="839"/>
    <cellStyle name="Normal 154" xfId="840"/>
    <cellStyle name="Normal 155" xfId="841"/>
    <cellStyle name="Normal 156" xfId="842"/>
    <cellStyle name="Normal 157" xfId="843"/>
    <cellStyle name="Normal 158" xfId="844"/>
    <cellStyle name="Normal 159" xfId="845"/>
    <cellStyle name="Normal 16" xfId="846"/>
    <cellStyle name="Normal 16 2" xfId="847"/>
    <cellStyle name="Normal 160" xfId="848"/>
    <cellStyle name="Normal 161" xfId="849"/>
    <cellStyle name="Normal 162" xfId="850"/>
    <cellStyle name="Normal 163" xfId="851"/>
    <cellStyle name="Normal 164" xfId="852"/>
    <cellStyle name="Normal 165" xfId="853"/>
    <cellStyle name="Normal 166" xfId="854"/>
    <cellStyle name="Normal 167" xfId="855"/>
    <cellStyle name="Normal 168" xfId="856"/>
    <cellStyle name="Normal 169" xfId="857"/>
    <cellStyle name="Normal 17" xfId="858"/>
    <cellStyle name="Normal 17 2" xfId="859"/>
    <cellStyle name="Normal 170" xfId="860"/>
    <cellStyle name="Normal 171" xfId="861"/>
    <cellStyle name="Normal 172" xfId="862"/>
    <cellStyle name="Normal 173" xfId="863"/>
    <cellStyle name="Normal 174" xfId="864"/>
    <cellStyle name="Normal 175" xfId="865"/>
    <cellStyle name="Normal 176" xfId="866"/>
    <cellStyle name="Normal 177" xfId="867"/>
    <cellStyle name="Normal 178" xfId="868"/>
    <cellStyle name="Normal 179" xfId="869"/>
    <cellStyle name="Normal 18" xfId="870"/>
    <cellStyle name="Normal 18 2" xfId="2523"/>
    <cellStyle name="Normal 180" xfId="871"/>
    <cellStyle name="Normal 181" xfId="872"/>
    <cellStyle name="Normal 182" xfId="873"/>
    <cellStyle name="Normal 183" xfId="874"/>
    <cellStyle name="Normal 184" xfId="875"/>
    <cellStyle name="Normal 184 2" xfId="876"/>
    <cellStyle name="Normal 185" xfId="877"/>
    <cellStyle name="Normal 186" xfId="878"/>
    <cellStyle name="Normal 187" xfId="879"/>
    <cellStyle name="Normal 188" xfId="880"/>
    <cellStyle name="Normal 189" xfId="881"/>
    <cellStyle name="Normal 19" xfId="882"/>
    <cellStyle name="Normal 19 2" xfId="2524"/>
    <cellStyle name="Normal 190" xfId="883"/>
    <cellStyle name="Normal 191" xfId="884"/>
    <cellStyle name="Normal 192" xfId="885"/>
    <cellStyle name="Normal 193" xfId="886"/>
    <cellStyle name="Normal 194" xfId="887"/>
    <cellStyle name="Normal 195" xfId="888"/>
    <cellStyle name="Normal 196" xfId="889"/>
    <cellStyle name="Normal 197" xfId="890"/>
    <cellStyle name="Normal 198" xfId="891"/>
    <cellStyle name="Normal 199" xfId="892"/>
    <cellStyle name="Normal 2" xfId="46"/>
    <cellStyle name="Normal 2 10" xfId="893"/>
    <cellStyle name="Normal 2 10 2" xfId="2525"/>
    <cellStyle name="Normal 2 11" xfId="894"/>
    <cellStyle name="Normal 2 12" xfId="895"/>
    <cellStyle name="Normal 2 13" xfId="896"/>
    <cellStyle name="Normal 2 14" xfId="897"/>
    <cellStyle name="Normal 2 15" xfId="898"/>
    <cellStyle name="Normal 2 16" xfId="899"/>
    <cellStyle name="Normal 2 17" xfId="900"/>
    <cellStyle name="Normal 2 18" xfId="901"/>
    <cellStyle name="Normal 2 19" xfId="1664"/>
    <cellStyle name="Normal 2 2" xfId="902"/>
    <cellStyle name="Normal 2 2 10" xfId="903"/>
    <cellStyle name="Normal 2 2 11" xfId="904"/>
    <cellStyle name="Normal 2 2 12" xfId="905"/>
    <cellStyle name="Normal 2 2 13" xfId="906"/>
    <cellStyle name="Normal 2 2 14" xfId="907"/>
    <cellStyle name="Normal 2 2 15" xfId="908"/>
    <cellStyle name="Normal 2 2 16" xfId="2526"/>
    <cellStyle name="Normal 2 2 2" xfId="909"/>
    <cellStyle name="Normal 2 2 2 10" xfId="910"/>
    <cellStyle name="Normal 2 2 2 11" xfId="911"/>
    <cellStyle name="Normal 2 2 2 12" xfId="912"/>
    <cellStyle name="Normal 2 2 2 2" xfId="913"/>
    <cellStyle name="Normal 2 2 2 2 2" xfId="914"/>
    <cellStyle name="Normal 2 2 2 3" xfId="915"/>
    <cellStyle name="Normal 2 2 2 4" xfId="916"/>
    <cellStyle name="Normal 2 2 2 5" xfId="917"/>
    <cellStyle name="Normal 2 2 2 6" xfId="918"/>
    <cellStyle name="Normal 2 2 2 7" xfId="919"/>
    <cellStyle name="Normal 2 2 2 8" xfId="920"/>
    <cellStyle name="Normal 2 2 2 9" xfId="921"/>
    <cellStyle name="Normal 2 2 3" xfId="922"/>
    <cellStyle name="Normal 2 2 4" xfId="923"/>
    <cellStyle name="Normal 2 2 5" xfId="924"/>
    <cellStyle name="Normal 2 2 5 2" xfId="925"/>
    <cellStyle name="Normal 2 2 6" xfId="926"/>
    <cellStyle name="Normal 2 2 7" xfId="927"/>
    <cellStyle name="Normal 2 2 8" xfId="928"/>
    <cellStyle name="Normal 2 2 9" xfId="929"/>
    <cellStyle name="Normal 2 25" xfId="1674"/>
    <cellStyle name="Normal 2 3" xfId="930"/>
    <cellStyle name="Normal 2 3 10" xfId="931"/>
    <cellStyle name="Normal 2 3 11" xfId="932"/>
    <cellStyle name="Normal 2 3 12" xfId="933"/>
    <cellStyle name="Normal 2 3 2" xfId="934"/>
    <cellStyle name="Normal 2 3 2 2" xfId="935"/>
    <cellStyle name="Normal 2 3 3" xfId="936"/>
    <cellStyle name="Normal 2 3 4" xfId="937"/>
    <cellStyle name="Normal 2 3 5" xfId="938"/>
    <cellStyle name="Normal 2 3 6" xfId="939"/>
    <cellStyle name="Normal 2 3 7" xfId="940"/>
    <cellStyle name="Normal 2 3 8" xfId="941"/>
    <cellStyle name="Normal 2 3 9" xfId="942"/>
    <cellStyle name="Normal 2 4" xfId="943"/>
    <cellStyle name="Normal 2 4 2" xfId="2271"/>
    <cellStyle name="Normal 2 5" xfId="944"/>
    <cellStyle name="Normal 2 5 2" xfId="945"/>
    <cellStyle name="Normal 2 55" xfId="2527"/>
    <cellStyle name="Normal 2 6" xfId="946"/>
    <cellStyle name="Normal 2 7" xfId="947"/>
    <cellStyle name="Normal 2 8" xfId="948"/>
    <cellStyle name="Normal 2 9" xfId="949"/>
    <cellStyle name="Normal 2_Cálculos_Instalações_Elétricas" xfId="2528"/>
    <cellStyle name="Normal 20" xfId="950"/>
    <cellStyle name="Normal 20 2" xfId="2529"/>
    <cellStyle name="Normal 200" xfId="951"/>
    <cellStyle name="Normal 201" xfId="952"/>
    <cellStyle name="Normal 202" xfId="953"/>
    <cellStyle name="Normal 203" xfId="954"/>
    <cellStyle name="Normal 204" xfId="955"/>
    <cellStyle name="Normal 205" xfId="956"/>
    <cellStyle name="Normal 206" xfId="957"/>
    <cellStyle name="Normal 207" xfId="958"/>
    <cellStyle name="Normal 208" xfId="1675"/>
    <cellStyle name="Normal 208 2" xfId="2272"/>
    <cellStyle name="Normal 209" xfId="1676"/>
    <cellStyle name="Normal 21" xfId="959"/>
    <cellStyle name="Normal 21 2" xfId="960"/>
    <cellStyle name="Normal 210" xfId="1957"/>
    <cellStyle name="Normal 210 2" xfId="2246"/>
    <cellStyle name="Normal 210 3" xfId="2953"/>
    <cellStyle name="Normal 211" xfId="1962"/>
    <cellStyle name="Normal 211 2" xfId="2530"/>
    <cellStyle name="Normal 211 3" xfId="2954"/>
    <cellStyle name="Normal 212" xfId="2531"/>
    <cellStyle name="Normal 212 2" xfId="2532"/>
    <cellStyle name="Normal 213" xfId="2533"/>
    <cellStyle name="Normal 214" xfId="2534"/>
    <cellStyle name="Normal 215" xfId="2535"/>
    <cellStyle name="Normal 216" xfId="2536"/>
    <cellStyle name="Normal 217" xfId="2537"/>
    <cellStyle name="Normal 218" xfId="2538"/>
    <cellStyle name="Normal 219" xfId="2273"/>
    <cellStyle name="Normal 219 2" xfId="2353"/>
    <cellStyle name="Normal 219 2 2" xfId="2955"/>
    <cellStyle name="Normal 22" xfId="961"/>
    <cellStyle name="Normal 22 2" xfId="962"/>
    <cellStyle name="Normal 23" xfId="963"/>
    <cellStyle name="Normal 23 2" xfId="2539"/>
    <cellStyle name="Normal 24" xfId="964"/>
    <cellStyle name="Normal 24 2" xfId="2540"/>
    <cellStyle name="Normal 25" xfId="965"/>
    <cellStyle name="Normal 25 2" xfId="966"/>
    <cellStyle name="Normal 26" xfId="967"/>
    <cellStyle name="Normal 26 2" xfId="968"/>
    <cellStyle name="Normal 27" xfId="969"/>
    <cellStyle name="Normal 27 2" xfId="2541"/>
    <cellStyle name="Normal 28" xfId="970"/>
    <cellStyle name="Normal 28 2" xfId="971"/>
    <cellStyle name="Normal 29" xfId="972"/>
    <cellStyle name="Normal 29 2" xfId="973"/>
    <cellStyle name="Normal 3" xfId="974"/>
    <cellStyle name="Normal 3 10" xfId="975"/>
    <cellStyle name="Normal 3 11" xfId="976"/>
    <cellStyle name="Normal 3 12" xfId="977"/>
    <cellStyle name="Normal 3 13" xfId="978"/>
    <cellStyle name="Normal 3 14" xfId="979"/>
    <cellStyle name="Normal 3 15" xfId="980"/>
    <cellStyle name="Normal 3 16" xfId="981"/>
    <cellStyle name="Normal 3 17" xfId="982"/>
    <cellStyle name="Normal 3 18" xfId="983"/>
    <cellStyle name="Normal 3 19" xfId="984"/>
    <cellStyle name="Normal 3 2" xfId="985"/>
    <cellStyle name="Normal 3 2 2" xfId="2542"/>
    <cellStyle name="Normal 3 20" xfId="986"/>
    <cellStyle name="Normal 3 21" xfId="987"/>
    <cellStyle name="Normal 3 22" xfId="988"/>
    <cellStyle name="Normal 3 23" xfId="989"/>
    <cellStyle name="Normal 3 24" xfId="990"/>
    <cellStyle name="Normal 3 25" xfId="991"/>
    <cellStyle name="Normal 3 26" xfId="992"/>
    <cellStyle name="Normal 3 27" xfId="993"/>
    <cellStyle name="Normal 3 28" xfId="2543"/>
    <cellStyle name="Normal 3 29" xfId="2544"/>
    <cellStyle name="Normal 3 3" xfId="994"/>
    <cellStyle name="Normal 3 30" xfId="2545"/>
    <cellStyle name="Normal 3 31" xfId="2546"/>
    <cellStyle name="Normal 3 32" xfId="2547"/>
    <cellStyle name="Normal 3 33" xfId="2548"/>
    <cellStyle name="Normal 3 34" xfId="2549"/>
    <cellStyle name="Normal 3 35" xfId="2550"/>
    <cellStyle name="Normal 3 36" xfId="2551"/>
    <cellStyle name="Normal 3 37" xfId="2552"/>
    <cellStyle name="Normal 3 38" xfId="2553"/>
    <cellStyle name="Normal 3 39" xfId="2554"/>
    <cellStyle name="Normal 3 4" xfId="995"/>
    <cellStyle name="Normal 3 4 2" xfId="996"/>
    <cellStyle name="Normal 3 40" xfId="2555"/>
    <cellStyle name="Normal 3 5" xfId="997"/>
    <cellStyle name="Normal 3 6" xfId="998"/>
    <cellStyle name="Normal 3 7" xfId="999"/>
    <cellStyle name="Normal 3 8" xfId="1000"/>
    <cellStyle name="Normal 3 9" xfId="1001"/>
    <cellStyle name="Normal 30" xfId="1002"/>
    <cellStyle name="Normal 30 2" xfId="1003"/>
    <cellStyle name="Normal 31" xfId="1004"/>
    <cellStyle name="Normal 31 2" xfId="1005"/>
    <cellStyle name="Normal 32" xfId="1006"/>
    <cellStyle name="Normal 32 2" xfId="1007"/>
    <cellStyle name="Normal 33" xfId="1008"/>
    <cellStyle name="Normal 33 2" xfId="1009"/>
    <cellStyle name="Normal 34" xfId="1010"/>
    <cellStyle name="Normal 34 2" xfId="1011"/>
    <cellStyle name="Normal 35" xfId="1012"/>
    <cellStyle name="Normal 35 2" xfId="1013"/>
    <cellStyle name="Normal 36" xfId="1014"/>
    <cellStyle name="Normal 36 2" xfId="1015"/>
    <cellStyle name="Normal 36 2 2" xfId="2556"/>
    <cellStyle name="Normal 37" xfId="1016"/>
    <cellStyle name="Normal 37 2" xfId="1017"/>
    <cellStyle name="Normal 38" xfId="1018"/>
    <cellStyle name="Normal 38 2" xfId="1019"/>
    <cellStyle name="Normal 39" xfId="1020"/>
    <cellStyle name="Normal 39 2" xfId="1021"/>
    <cellStyle name="Normal 4" xfId="1022"/>
    <cellStyle name="Normal 4 10" xfId="1023"/>
    <cellStyle name="Normal 4 11" xfId="1024"/>
    <cellStyle name="Normal 4 12" xfId="1025"/>
    <cellStyle name="Normal 4 13" xfId="1026"/>
    <cellStyle name="Normal 4 14" xfId="1027"/>
    <cellStyle name="Normal 4 15" xfId="1028"/>
    <cellStyle name="Normal 4 16" xfId="1029"/>
    <cellStyle name="Normal 4 17" xfId="1030"/>
    <cellStyle name="Normal 4 18" xfId="1031"/>
    <cellStyle name="Normal 4 19" xfId="1032"/>
    <cellStyle name="Normal 4 2" xfId="1033"/>
    <cellStyle name="Normal 4 2 2" xfId="1034"/>
    <cellStyle name="Normal 4 20" xfId="2352"/>
    <cellStyle name="Normal 4 21" xfId="2557"/>
    <cellStyle name="Normal 4 22" xfId="2558"/>
    <cellStyle name="Normal 4 23" xfId="2559"/>
    <cellStyle name="Normal 4 24" xfId="2560"/>
    <cellStyle name="Normal 4 25" xfId="2561"/>
    <cellStyle name="Normal 4 26" xfId="2562"/>
    <cellStyle name="Normal 4 27" xfId="2563"/>
    <cellStyle name="Normal 4 28" xfId="2564"/>
    <cellStyle name="Normal 4 29" xfId="2565"/>
    <cellStyle name="Normal 4 3" xfId="1035"/>
    <cellStyle name="Normal 4 3 2" xfId="2566"/>
    <cellStyle name="Normal 4 30" xfId="2567"/>
    <cellStyle name="Normal 4 31" xfId="2568"/>
    <cellStyle name="Normal 4 32" xfId="2569"/>
    <cellStyle name="Normal 4 33" xfId="2570"/>
    <cellStyle name="Normal 4 34" xfId="2571"/>
    <cellStyle name="Normal 4 35" xfId="2572"/>
    <cellStyle name="Normal 4 36" xfId="2573"/>
    <cellStyle name="Normal 4 37" xfId="2574"/>
    <cellStyle name="Normal 4 38" xfId="2575"/>
    <cellStyle name="Normal 4 39" xfId="2576"/>
    <cellStyle name="Normal 4 4" xfId="1036"/>
    <cellStyle name="Normal 4 5" xfId="1037"/>
    <cellStyle name="Normal 4 6" xfId="1038"/>
    <cellStyle name="Normal 4 7" xfId="1039"/>
    <cellStyle name="Normal 4 8" xfId="1040"/>
    <cellStyle name="Normal 4 9" xfId="1041"/>
    <cellStyle name="Normal 40" xfId="1042"/>
    <cellStyle name="Normal 40 2" xfId="1043"/>
    <cellStyle name="Normal 41" xfId="1044"/>
    <cellStyle name="Normal 41 2" xfId="1045"/>
    <cellStyle name="Normal 42" xfId="1046"/>
    <cellStyle name="Normal 42 2" xfId="1047"/>
    <cellStyle name="Normal 43" xfId="1048"/>
    <cellStyle name="Normal 44" xfId="1049"/>
    <cellStyle name="Normal 45" xfId="1050"/>
    <cellStyle name="Normal 46" xfId="1051"/>
    <cellStyle name="Normal 46 2" xfId="44"/>
    <cellStyle name="Normal 46 2 2" xfId="2577"/>
    <cellStyle name="Normal 46 2 3" xfId="2578"/>
    <cellStyle name="Normal 46 3" xfId="1677"/>
    <cellStyle name="Normal 47" xfId="1052"/>
    <cellStyle name="Normal 47 2" xfId="1053"/>
    <cellStyle name="Normal 48" xfId="1054"/>
    <cellStyle name="Normal 48 2" xfId="1055"/>
    <cellStyle name="Normal 49" xfId="1056"/>
    <cellStyle name="Normal 5" xfId="1667"/>
    <cellStyle name="Normal 5 10" xfId="2579"/>
    <cellStyle name="Normal 5 11" xfId="2580"/>
    <cellStyle name="Normal 5 12" xfId="2581"/>
    <cellStyle name="Normal 5 13" xfId="2582"/>
    <cellStyle name="Normal 5 14" xfId="2583"/>
    <cellStyle name="Normal 5 15" xfId="2584"/>
    <cellStyle name="Normal 5 16" xfId="2585"/>
    <cellStyle name="Normal 5 17" xfId="2586"/>
    <cellStyle name="Normal 5 18" xfId="2587"/>
    <cellStyle name="Normal 5 19" xfId="2588"/>
    <cellStyle name="Normal 5 2" xfId="1057"/>
    <cellStyle name="Normal 5 2 2" xfId="1058"/>
    <cellStyle name="Normal 5 2 3" xfId="2589"/>
    <cellStyle name="Normal 5 20" xfId="2590"/>
    <cellStyle name="Normal 5 21" xfId="2591"/>
    <cellStyle name="Normal 5 22" xfId="2592"/>
    <cellStyle name="Normal 5 23" xfId="2593"/>
    <cellStyle name="Normal 5 24" xfId="2594"/>
    <cellStyle name="Normal 5 25" xfId="2595"/>
    <cellStyle name="Normal 5 26" xfId="2596"/>
    <cellStyle name="Normal 5 27" xfId="2597"/>
    <cellStyle name="Normal 5 28" xfId="2598"/>
    <cellStyle name="Normal 5 29" xfId="2599"/>
    <cellStyle name="Normal 5 3" xfId="2600"/>
    <cellStyle name="Normal 5 30" xfId="2601"/>
    <cellStyle name="Normal 5 31" xfId="2602"/>
    <cellStyle name="Normal 5 32" xfId="2603"/>
    <cellStyle name="Normal 5 33" xfId="2604"/>
    <cellStyle name="Normal 5 34" xfId="2605"/>
    <cellStyle name="Normal 5 35" xfId="2606"/>
    <cellStyle name="Normal 5 36" xfId="2607"/>
    <cellStyle name="Normal 5 37" xfId="2608"/>
    <cellStyle name="Normal 5 38" xfId="2609"/>
    <cellStyle name="Normal 5 39" xfId="2610"/>
    <cellStyle name="Normal 5 4" xfId="2611"/>
    <cellStyle name="Normal 5 40" xfId="2612"/>
    <cellStyle name="Normal 5 41" xfId="2613"/>
    <cellStyle name="Normal 5 5" xfId="2614"/>
    <cellStyle name="Normal 5 6" xfId="2615"/>
    <cellStyle name="Normal 5 7" xfId="2616"/>
    <cellStyle name="Normal 5 8" xfId="2617"/>
    <cellStyle name="Normal 5 9" xfId="2618"/>
    <cellStyle name="Normal 50" xfId="1059"/>
    <cellStyle name="Normal 50 2" xfId="1060"/>
    <cellStyle name="Normal 51" xfId="1061"/>
    <cellStyle name="Normal 52" xfId="1062"/>
    <cellStyle name="Normal 52 2" xfId="1063"/>
    <cellStyle name="Normal 53" xfId="1064"/>
    <cellStyle name="Normal 54" xfId="1065"/>
    <cellStyle name="Normal 55" xfId="1066"/>
    <cellStyle name="Normal 56" xfId="1067"/>
    <cellStyle name="Normal 56 2" xfId="1068"/>
    <cellStyle name="Normal 57" xfId="1069"/>
    <cellStyle name="Normal 57 2" xfId="1070"/>
    <cellStyle name="Normal 58" xfId="1071"/>
    <cellStyle name="Normal 59" xfId="1072"/>
    <cellStyle name="Normal 6" xfId="1668"/>
    <cellStyle name="Normal 6 10" xfId="2619"/>
    <cellStyle name="Normal 6 11" xfId="2620"/>
    <cellStyle name="Normal 6 12" xfId="2621"/>
    <cellStyle name="Normal 6 13" xfId="2622"/>
    <cellStyle name="Normal 6 14" xfId="2623"/>
    <cellStyle name="Normal 6 15" xfId="2624"/>
    <cellStyle name="Normal 6 16" xfId="2625"/>
    <cellStyle name="Normal 6 17" xfId="2626"/>
    <cellStyle name="Normal 6 18" xfId="2627"/>
    <cellStyle name="Normal 6 19" xfId="2628"/>
    <cellStyle name="Normal 6 2" xfId="1073"/>
    <cellStyle name="Normal 6 2 2" xfId="2629"/>
    <cellStyle name="Normal 6 20" xfId="2630"/>
    <cellStyle name="Normal 6 21" xfId="2631"/>
    <cellStyle name="Normal 6 22" xfId="2632"/>
    <cellStyle name="Normal 6 23" xfId="2633"/>
    <cellStyle name="Normal 6 24" xfId="2634"/>
    <cellStyle name="Normal 6 25" xfId="2635"/>
    <cellStyle name="Normal 6 26" xfId="2636"/>
    <cellStyle name="Normal 6 27" xfId="2637"/>
    <cellStyle name="Normal 6 28" xfId="2638"/>
    <cellStyle name="Normal 6 29" xfId="2639"/>
    <cellStyle name="Normal 6 3" xfId="1074"/>
    <cellStyle name="Normal 6 30" xfId="2640"/>
    <cellStyle name="Normal 6 31" xfId="2641"/>
    <cellStyle name="Normal 6 32" xfId="2642"/>
    <cellStyle name="Normal 6 33" xfId="2643"/>
    <cellStyle name="Normal 6 34" xfId="2644"/>
    <cellStyle name="Normal 6 35" xfId="2645"/>
    <cellStyle name="Normal 6 36" xfId="2646"/>
    <cellStyle name="Normal 6 37" xfId="2647"/>
    <cellStyle name="Normal 6 38" xfId="2648"/>
    <cellStyle name="Normal 6 39" xfId="2649"/>
    <cellStyle name="Normal 6 4" xfId="2650"/>
    <cellStyle name="Normal 6 40" xfId="2651"/>
    <cellStyle name="Normal 6 5" xfId="2652"/>
    <cellStyle name="Normal 6 6" xfId="2653"/>
    <cellStyle name="Normal 6 7" xfId="2654"/>
    <cellStyle name="Normal 6 8" xfId="2655"/>
    <cellStyle name="Normal 6 9" xfId="2656"/>
    <cellStyle name="Normal 60" xfId="1075"/>
    <cellStyle name="Normal 60 2" xfId="1076"/>
    <cellStyle name="Normal 61" xfId="1077"/>
    <cellStyle name="Normal 62" xfId="1078"/>
    <cellStyle name="Normal 63" xfId="1079"/>
    <cellStyle name="Normal 64" xfId="1080"/>
    <cellStyle name="Normal 65" xfId="1081"/>
    <cellStyle name="Normal 66" xfId="1082"/>
    <cellStyle name="Normal 67" xfId="1083"/>
    <cellStyle name="Normal 68" xfId="1084"/>
    <cellStyle name="Normal 69" xfId="1085"/>
    <cellStyle name="Normal 7" xfId="1086"/>
    <cellStyle name="Normal 7 10" xfId="2657"/>
    <cellStyle name="Normal 7 11" xfId="2658"/>
    <cellStyle name="Normal 7 12" xfId="2659"/>
    <cellStyle name="Normal 7 13" xfId="2660"/>
    <cellStyle name="Normal 7 14" xfId="2661"/>
    <cellStyle name="Normal 7 15" xfId="2662"/>
    <cellStyle name="Normal 7 16" xfId="2663"/>
    <cellStyle name="Normal 7 17" xfId="2664"/>
    <cellStyle name="Normal 7 18" xfId="2665"/>
    <cellStyle name="Normal 7 19" xfId="2666"/>
    <cellStyle name="Normal 7 2" xfId="1087"/>
    <cellStyle name="Normal 7 2 2" xfId="2667"/>
    <cellStyle name="Normal 7 20" xfId="2668"/>
    <cellStyle name="Normal 7 21" xfId="2669"/>
    <cellStyle name="Normal 7 22" xfId="2670"/>
    <cellStyle name="Normal 7 23" xfId="2671"/>
    <cellStyle name="Normal 7 24" xfId="2672"/>
    <cellStyle name="Normal 7 25" xfId="2673"/>
    <cellStyle name="Normal 7 26" xfId="2674"/>
    <cellStyle name="Normal 7 27" xfId="2675"/>
    <cellStyle name="Normal 7 28" xfId="2676"/>
    <cellStyle name="Normal 7 29" xfId="2677"/>
    <cellStyle name="Normal 7 3" xfId="1088"/>
    <cellStyle name="Normal 7 3 2" xfId="1089"/>
    <cellStyle name="Normal 7 30" xfId="2678"/>
    <cellStyle name="Normal 7 31" xfId="2679"/>
    <cellStyle name="Normal 7 32" xfId="2680"/>
    <cellStyle name="Normal 7 33" xfId="2681"/>
    <cellStyle name="Normal 7 34" xfId="2682"/>
    <cellStyle name="Normal 7 35" xfId="2683"/>
    <cellStyle name="Normal 7 36" xfId="2684"/>
    <cellStyle name="Normal 7 37" xfId="2685"/>
    <cellStyle name="Normal 7 38" xfId="2686"/>
    <cellStyle name="Normal 7 39" xfId="2687"/>
    <cellStyle name="Normal 7 4" xfId="2688"/>
    <cellStyle name="Normal 7 40" xfId="2689"/>
    <cellStyle name="Normal 7 5" xfId="2690"/>
    <cellStyle name="Normal 7 6" xfId="2691"/>
    <cellStyle name="Normal 7 7" xfId="2692"/>
    <cellStyle name="Normal 7 8" xfId="2693"/>
    <cellStyle name="Normal 7 9" xfId="2694"/>
    <cellStyle name="Normal 70" xfId="1090"/>
    <cellStyle name="Normal 71" xfId="1091"/>
    <cellStyle name="Normal 72" xfId="1092"/>
    <cellStyle name="Normal 73" xfId="1093"/>
    <cellStyle name="Normal 74" xfId="1094"/>
    <cellStyle name="Normal 75" xfId="1095"/>
    <cellStyle name="Normal 76" xfId="1096"/>
    <cellStyle name="Normal 77" xfId="1097"/>
    <cellStyle name="Normal 78" xfId="1098"/>
    <cellStyle name="Normal 79" xfId="1099"/>
    <cellStyle name="Normal 8" xfId="1100"/>
    <cellStyle name="Normal 8 10" xfId="2695"/>
    <cellStyle name="Normal 8 11" xfId="2696"/>
    <cellStyle name="Normal 8 12" xfId="2697"/>
    <cellStyle name="Normal 8 13" xfId="2698"/>
    <cellStyle name="Normal 8 14" xfId="2699"/>
    <cellStyle name="Normal 8 15" xfId="2700"/>
    <cellStyle name="Normal 8 16" xfId="2701"/>
    <cellStyle name="Normal 8 17" xfId="2702"/>
    <cellStyle name="Normal 8 18" xfId="2703"/>
    <cellStyle name="Normal 8 19" xfId="2704"/>
    <cellStyle name="Normal 8 2" xfId="1101"/>
    <cellStyle name="Normal 8 20" xfId="2705"/>
    <cellStyle name="Normal 8 21" xfId="2706"/>
    <cellStyle name="Normal 8 22" xfId="2707"/>
    <cellStyle name="Normal 8 23" xfId="2708"/>
    <cellStyle name="Normal 8 24" xfId="2709"/>
    <cellStyle name="Normal 8 25" xfId="2710"/>
    <cellStyle name="Normal 8 26" xfId="2711"/>
    <cellStyle name="Normal 8 27" xfId="2712"/>
    <cellStyle name="Normal 8 28" xfId="2713"/>
    <cellStyle name="Normal 8 29" xfId="2714"/>
    <cellStyle name="Normal 8 3" xfId="2715"/>
    <cellStyle name="Normal 8 30" xfId="2716"/>
    <cellStyle name="Normal 8 31" xfId="2717"/>
    <cellStyle name="Normal 8 32" xfId="2718"/>
    <cellStyle name="Normal 8 33" xfId="2719"/>
    <cellStyle name="Normal 8 34" xfId="2720"/>
    <cellStyle name="Normal 8 35" xfId="2721"/>
    <cellStyle name="Normal 8 36" xfId="2722"/>
    <cellStyle name="Normal 8 37" xfId="2723"/>
    <cellStyle name="Normal 8 38" xfId="2724"/>
    <cellStyle name="Normal 8 39" xfId="2725"/>
    <cellStyle name="Normal 8 4" xfId="2726"/>
    <cellStyle name="Normal 8 5" xfId="2727"/>
    <cellStyle name="Normal 8 6" xfId="2728"/>
    <cellStyle name="Normal 8 7" xfId="2729"/>
    <cellStyle name="Normal 8 8" xfId="2730"/>
    <cellStyle name="Normal 8 9" xfId="2731"/>
    <cellStyle name="Normal 80" xfId="1102"/>
    <cellStyle name="Normal 81" xfId="1103"/>
    <cellStyle name="Normal 82" xfId="1104"/>
    <cellStyle name="Normal 83" xfId="1105"/>
    <cellStyle name="Normal 84" xfId="1106"/>
    <cellStyle name="Normal 85" xfId="1107"/>
    <cellStyle name="Normal 86" xfId="1108"/>
    <cellStyle name="Normal 87" xfId="1109"/>
    <cellStyle name="Normal 88" xfId="1110"/>
    <cellStyle name="Normal 89" xfId="1111"/>
    <cellStyle name="Normal 9" xfId="1112"/>
    <cellStyle name="Normal 9 10" xfId="2732"/>
    <cellStyle name="Normal 9 11" xfId="2733"/>
    <cellStyle name="Normal 9 12" xfId="2734"/>
    <cellStyle name="Normal 9 13" xfId="2735"/>
    <cellStyle name="Normal 9 14" xfId="2736"/>
    <cellStyle name="Normal 9 15" xfId="2737"/>
    <cellStyle name="Normal 9 16" xfId="2738"/>
    <cellStyle name="Normal 9 17" xfId="2739"/>
    <cellStyle name="Normal 9 18" xfId="2740"/>
    <cellStyle name="Normal 9 19" xfId="2741"/>
    <cellStyle name="Normal 9 2" xfId="1113"/>
    <cellStyle name="Normal 9 2 2" xfId="2742"/>
    <cellStyle name="Normal 9 20" xfId="2743"/>
    <cellStyle name="Normal 9 21" xfId="2744"/>
    <cellStyle name="Normal 9 22" xfId="2745"/>
    <cellStyle name="Normal 9 23" xfId="2746"/>
    <cellStyle name="Normal 9 24" xfId="2747"/>
    <cellStyle name="Normal 9 25" xfId="2748"/>
    <cellStyle name="Normal 9 26" xfId="2749"/>
    <cellStyle name="Normal 9 27" xfId="2750"/>
    <cellStyle name="Normal 9 28" xfId="2751"/>
    <cellStyle name="Normal 9 29" xfId="2752"/>
    <cellStyle name="Normal 9 3" xfId="2753"/>
    <cellStyle name="Normal 9 3 2" xfId="2754"/>
    <cellStyle name="Normal 9 30" xfId="2755"/>
    <cellStyle name="Normal 9 31" xfId="2756"/>
    <cellStyle name="Normal 9 32" xfId="2757"/>
    <cellStyle name="Normal 9 33" xfId="2758"/>
    <cellStyle name="Normal 9 34" xfId="2759"/>
    <cellStyle name="Normal 9 35" xfId="2760"/>
    <cellStyle name="Normal 9 36" xfId="2761"/>
    <cellStyle name="Normal 9 37" xfId="2762"/>
    <cellStyle name="Normal 9 38" xfId="2763"/>
    <cellStyle name="Normal 9 39" xfId="2764"/>
    <cellStyle name="Normal 9 4" xfId="2765"/>
    <cellStyle name="Normal 9 5" xfId="2766"/>
    <cellStyle name="Normal 9 6" xfId="2767"/>
    <cellStyle name="Normal 9 7" xfId="2768"/>
    <cellStyle name="Normal 9 8" xfId="2769"/>
    <cellStyle name="Normal 9 9" xfId="2770"/>
    <cellStyle name="Normal 90" xfId="1114"/>
    <cellStyle name="Normal 91" xfId="1115"/>
    <cellStyle name="Normal 92" xfId="1116"/>
    <cellStyle name="Normal 93" xfId="1117"/>
    <cellStyle name="Normal 94" xfId="1118"/>
    <cellStyle name="Normal 95" xfId="1119"/>
    <cellStyle name="Normal 96" xfId="1120"/>
    <cellStyle name="Normal 97" xfId="1121"/>
    <cellStyle name="Normal 98" xfId="1122"/>
    <cellStyle name="Normal 99" xfId="1123"/>
    <cellStyle name="Nota" xfId="32" builtinId="10" customBuiltin="1"/>
    <cellStyle name="Nota 10" xfId="1124"/>
    <cellStyle name="Nota 10 2" xfId="1125"/>
    <cellStyle name="Nota 11" xfId="1126"/>
    <cellStyle name="Nota 11 2" xfId="1127"/>
    <cellStyle name="Nota 12" xfId="1128"/>
    <cellStyle name="Nota 12 2" xfId="1129"/>
    <cellStyle name="Nota 13" xfId="1130"/>
    <cellStyle name="Nota 13 2" xfId="1131"/>
    <cellStyle name="Nota 14" xfId="1132"/>
    <cellStyle name="Nota 14 2" xfId="1133"/>
    <cellStyle name="Nota 15" xfId="1134"/>
    <cellStyle name="Nota 15 2" xfId="1135"/>
    <cellStyle name="Nota 16" xfId="1136"/>
    <cellStyle name="Nota 16 2" xfId="1137"/>
    <cellStyle name="Nota 17" xfId="1138"/>
    <cellStyle name="Nota 17 2" xfId="1139"/>
    <cellStyle name="Nota 18" xfId="1140"/>
    <cellStyle name="Nota 18 2" xfId="2771"/>
    <cellStyle name="Nota 19" xfId="1141"/>
    <cellStyle name="Nota 19 2" xfId="2772"/>
    <cellStyle name="Nota 2" xfId="1142"/>
    <cellStyle name="Nota 2 10" xfId="1143"/>
    <cellStyle name="Nota 2 11" xfId="1144"/>
    <cellStyle name="Nota 2 12" xfId="1145"/>
    <cellStyle name="Nota 2 13" xfId="1146"/>
    <cellStyle name="Nota 2 14" xfId="1147"/>
    <cellStyle name="Nota 2 15" xfId="1148"/>
    <cellStyle name="Nota 2 16" xfId="1149"/>
    <cellStyle name="Nota 2 17" xfId="1150"/>
    <cellStyle name="Nota 2 18" xfId="1151"/>
    <cellStyle name="Nota 2 2" xfId="1152"/>
    <cellStyle name="Nota 2 3" xfId="1153"/>
    <cellStyle name="Nota 2 4" xfId="1154"/>
    <cellStyle name="Nota 2 5" xfId="1155"/>
    <cellStyle name="Nota 2 6" xfId="1156"/>
    <cellStyle name="Nota 2 7" xfId="1157"/>
    <cellStyle name="Nota 2 8" xfId="1158"/>
    <cellStyle name="Nota 2 9" xfId="1159"/>
    <cellStyle name="Nota 20" xfId="1160"/>
    <cellStyle name="Nota 20 2" xfId="2773"/>
    <cellStyle name="Nota 21" xfId="1161"/>
    <cellStyle name="Nota 21 2" xfId="2774"/>
    <cellStyle name="Nota 22" xfId="1162"/>
    <cellStyle name="Nota 22 2" xfId="2775"/>
    <cellStyle name="Nota 23" xfId="1163"/>
    <cellStyle name="Nota 23 2" xfId="2776"/>
    <cellStyle name="Nota 24" xfId="1164"/>
    <cellStyle name="Nota 24 2" xfId="2777"/>
    <cellStyle name="Nota 25" xfId="1165"/>
    <cellStyle name="Nota 25 2" xfId="2778"/>
    <cellStyle name="Nota 26" xfId="1166"/>
    <cellStyle name="Nota 26 2" xfId="2779"/>
    <cellStyle name="Nota 27" xfId="1167"/>
    <cellStyle name="Nota 27 2" xfId="2780"/>
    <cellStyle name="Nota 28" xfId="2781"/>
    <cellStyle name="Nota 28 2" xfId="2782"/>
    <cellStyle name="Nota 29" xfId="2783"/>
    <cellStyle name="Nota 29 2" xfId="2784"/>
    <cellStyle name="Nota 3" xfId="1168"/>
    <cellStyle name="Nota 3 2" xfId="1169"/>
    <cellStyle name="Nota 30" xfId="2785"/>
    <cellStyle name="Nota 30 2" xfId="2786"/>
    <cellStyle name="Nota 31" xfId="2787"/>
    <cellStyle name="Nota 31 2" xfId="2788"/>
    <cellStyle name="Nota 32" xfId="2789"/>
    <cellStyle name="Nota 32 2" xfId="2790"/>
    <cellStyle name="Nota 33" xfId="2791"/>
    <cellStyle name="Nota 33 2" xfId="2792"/>
    <cellStyle name="Nota 34" xfId="2793"/>
    <cellStyle name="Nota 34 2" xfId="2794"/>
    <cellStyle name="Nota 35" xfId="2795"/>
    <cellStyle name="Nota 35 2" xfId="2796"/>
    <cellStyle name="Nota 36" xfId="2797"/>
    <cellStyle name="Nota 36 2" xfId="2798"/>
    <cellStyle name="Nota 37" xfId="2799"/>
    <cellStyle name="Nota 37 2" xfId="2800"/>
    <cellStyle name="Nota 38" xfId="2801"/>
    <cellStyle name="Nota 38 2" xfId="2802"/>
    <cellStyle name="Nota 39" xfId="2803"/>
    <cellStyle name="Nota 39 2" xfId="2804"/>
    <cellStyle name="Nota 4" xfId="1170"/>
    <cellStyle name="Nota 4 2" xfId="1171"/>
    <cellStyle name="Nota 40" xfId="2805"/>
    <cellStyle name="Nota 40 2" xfId="2806"/>
    <cellStyle name="Nota 41" xfId="2807"/>
    <cellStyle name="Nota 41 2" xfId="2808"/>
    <cellStyle name="Nota 42" xfId="2809"/>
    <cellStyle name="Nota 42 2" xfId="2810"/>
    <cellStyle name="Nota 43" xfId="2811"/>
    <cellStyle name="Nota 43 2" xfId="2812"/>
    <cellStyle name="Nota 44" xfId="2813"/>
    <cellStyle name="Nota 44 2" xfId="2814"/>
    <cellStyle name="Nota 45" xfId="2815"/>
    <cellStyle name="Nota 45 2" xfId="2816"/>
    <cellStyle name="Nota 46" xfId="2817"/>
    <cellStyle name="Nota 47" xfId="2818"/>
    <cellStyle name="Nota 48" xfId="2819"/>
    <cellStyle name="Nota 49" xfId="2820"/>
    <cellStyle name="Nota 5" xfId="1172"/>
    <cellStyle name="Nota 5 2" xfId="1173"/>
    <cellStyle name="Nota 6" xfId="1174"/>
    <cellStyle name="Nota 6 2" xfId="1175"/>
    <cellStyle name="Nota 7" xfId="1176"/>
    <cellStyle name="Nota 7 2" xfId="1177"/>
    <cellStyle name="Nota 8" xfId="1178"/>
    <cellStyle name="Nota 8 2" xfId="1179"/>
    <cellStyle name="Nota 9" xfId="1180"/>
    <cellStyle name="Nota 9 2" xfId="1181"/>
    <cellStyle name="Note" xfId="2821"/>
    <cellStyle name="Note 2" xfId="2822"/>
    <cellStyle name="Output" xfId="2823"/>
    <cellStyle name="PERCENT" xfId="2824"/>
    <cellStyle name="Percent 2" xfId="1182"/>
    <cellStyle name="Porcentagem" xfId="1663" builtinId="5"/>
    <cellStyle name="Porcentagem 10 2" xfId="1183"/>
    <cellStyle name="Porcentagem 10 2 2" xfId="2825"/>
    <cellStyle name="Porcentagem 12 2" xfId="1184"/>
    <cellStyle name="Porcentagem 2" xfId="1185"/>
    <cellStyle name="Porcentagem 2 2" xfId="1678"/>
    <cellStyle name="Porcentagem 2 3" xfId="2826"/>
    <cellStyle name="Porcentagem 2 4" xfId="2827"/>
    <cellStyle name="Porcentagem 2 5" xfId="2828"/>
    <cellStyle name="Porcentagem 2 6" xfId="2829"/>
    <cellStyle name="Porcentagem 2 7" xfId="2830"/>
    <cellStyle name="Porcentagem 2 8" xfId="2831"/>
    <cellStyle name="Porcentagem 3" xfId="1186"/>
    <cellStyle name="Porcentagem 3 2" xfId="1187"/>
    <cellStyle name="Porcentagem 3 2 2" xfId="1188"/>
    <cellStyle name="Porcentagem 3 2 3" xfId="2832"/>
    <cellStyle name="Porcentagem 3 3" xfId="1189"/>
    <cellStyle name="Porcentagem 3 3 2" xfId="1190"/>
    <cellStyle name="Porcentagem 4" xfId="1669"/>
    <cellStyle name="Porcentagem 4 2" xfId="2833"/>
    <cellStyle name="Porcentagem 5" xfId="1679"/>
    <cellStyle name="Porcentagem 5 2" xfId="1191"/>
    <cellStyle name="Porcentagem 6" xfId="2834"/>
    <cellStyle name="Porcentagem 7" xfId="2835"/>
    <cellStyle name="Porcentagem 7 2" xfId="1192"/>
    <cellStyle name="Porcentagem 8" xfId="2836"/>
    <cellStyle name="Porcentagem 8 2" xfId="1193"/>
    <cellStyle name="Porcentagem 9 2" xfId="1194"/>
    <cellStyle name="Saída" xfId="33" builtinId="21" customBuiltin="1"/>
    <cellStyle name="Saída 10 2" xfId="1195"/>
    <cellStyle name="Saída 11 2" xfId="1196"/>
    <cellStyle name="Saída 12 2" xfId="1197"/>
    <cellStyle name="Saída 13 2" xfId="1198"/>
    <cellStyle name="Saída 14 2" xfId="1199"/>
    <cellStyle name="Saída 15 2" xfId="1200"/>
    <cellStyle name="Saída 16 2" xfId="1201"/>
    <cellStyle name="Saída 17 2" xfId="1202"/>
    <cellStyle name="Saída 2" xfId="1203"/>
    <cellStyle name="Saída 2 2" xfId="1204"/>
    <cellStyle name="Saída 3" xfId="1205"/>
    <cellStyle name="Saída 3 2" xfId="1206"/>
    <cellStyle name="Saída 4" xfId="1207"/>
    <cellStyle name="Saída 4 2" xfId="1208"/>
    <cellStyle name="Saída 5" xfId="1209"/>
    <cellStyle name="Saída 5 2" xfId="1210"/>
    <cellStyle name="Saída 6" xfId="2837"/>
    <cellStyle name="Saída 6 2" xfId="1211"/>
    <cellStyle name="Saída 7 2" xfId="1212"/>
    <cellStyle name="Saída 8 2" xfId="1213"/>
    <cellStyle name="Saída 9 2" xfId="1214"/>
    <cellStyle name="Separador de milhares" xfId="1961" builtinId="3"/>
    <cellStyle name="Separador de milhares [0] 2" xfId="2838"/>
    <cellStyle name="Separador de milhares 10" xfId="1215"/>
    <cellStyle name="Separador de milhares 10 10" xfId="1216"/>
    <cellStyle name="Separador de milhares 10 10 2" xfId="1680"/>
    <cellStyle name="Separador de milhares 10 10 2 2" xfId="1969"/>
    <cellStyle name="Separador de milhares 10 11" xfId="1217"/>
    <cellStyle name="Separador de milhares 10 11 2" xfId="1681"/>
    <cellStyle name="Separador de milhares 10 11 2 2" xfId="1970"/>
    <cellStyle name="Separador de milhares 10 12" xfId="1218"/>
    <cellStyle name="Separador de milhares 10 12 2" xfId="1682"/>
    <cellStyle name="Separador de milhares 10 12 2 2" xfId="1971"/>
    <cellStyle name="Separador de milhares 10 13" xfId="1219"/>
    <cellStyle name="Separador de milhares 10 13 2" xfId="1683"/>
    <cellStyle name="Separador de milhares 10 13 2 2" xfId="1972"/>
    <cellStyle name="Separador de milhares 10 14" xfId="1220"/>
    <cellStyle name="Separador de milhares 10 14 2" xfId="1684"/>
    <cellStyle name="Separador de milhares 10 14 2 2" xfId="1973"/>
    <cellStyle name="Separador de milhares 10 15" xfId="1685"/>
    <cellStyle name="Separador de milhares 10 15 2" xfId="1974"/>
    <cellStyle name="Separador de milhares 10 2" xfId="1221"/>
    <cellStyle name="Separador de milhares 10 2 2" xfId="1686"/>
    <cellStyle name="Separador de milhares 10 2 2 2" xfId="1975"/>
    <cellStyle name="Separador de milhares 10 2 2 2 2" xfId="2274"/>
    <cellStyle name="Separador de milhares 10 2 2 3" xfId="2275"/>
    <cellStyle name="Separador de milhares 10 2 3" xfId="2276"/>
    <cellStyle name="Separador de milhares 10 2 3 2" xfId="2277"/>
    <cellStyle name="Separador de milhares 10 2 4" xfId="2278"/>
    <cellStyle name="Separador de milhares 10 3" xfId="1222"/>
    <cellStyle name="Separador de milhares 10 3 2" xfId="1687"/>
    <cellStyle name="Separador de milhares 10 3 2 2" xfId="1976"/>
    <cellStyle name="Separador de milhares 10 3 2 2 2" xfId="2279"/>
    <cellStyle name="Separador de milhares 10 3 2 3" xfId="2280"/>
    <cellStyle name="Separador de milhares 10 3 3" xfId="2281"/>
    <cellStyle name="Separador de milhares 10 3 3 2" xfId="2282"/>
    <cellStyle name="Separador de milhares 10 3 4" xfId="2283"/>
    <cellStyle name="Separador de milhares 10 4" xfId="1223"/>
    <cellStyle name="Separador de milhares 10 4 2" xfId="1688"/>
    <cellStyle name="Separador de milhares 10 4 2 2" xfId="1977"/>
    <cellStyle name="Separador de milhares 10 4 3" xfId="2284"/>
    <cellStyle name="Separador de milhares 10 5" xfId="1224"/>
    <cellStyle name="Separador de milhares 10 5 2" xfId="1689"/>
    <cellStyle name="Separador de milhares 10 5 2 2" xfId="1978"/>
    <cellStyle name="Separador de milhares 10 6" xfId="1225"/>
    <cellStyle name="Separador de milhares 10 6 2" xfId="1690"/>
    <cellStyle name="Separador de milhares 10 6 2 2" xfId="1979"/>
    <cellStyle name="Separador de milhares 10 7" xfId="1226"/>
    <cellStyle name="Separador de milhares 10 7 2" xfId="1691"/>
    <cellStyle name="Separador de milhares 10 7 2 2" xfId="1980"/>
    <cellStyle name="Separador de milhares 10 8" xfId="1227"/>
    <cellStyle name="Separador de milhares 10 8 2" xfId="1692"/>
    <cellStyle name="Separador de milhares 10 8 2 2" xfId="1981"/>
    <cellStyle name="Separador de milhares 10 9" xfId="1228"/>
    <cellStyle name="Separador de milhares 10 9 2" xfId="1693"/>
    <cellStyle name="Separador de milhares 10 9 2 2" xfId="1982"/>
    <cellStyle name="Separador de milhares 100" xfId="1229"/>
    <cellStyle name="Separador de milhares 100 2" xfId="1694"/>
    <cellStyle name="Separador de milhares 100 2 2" xfId="1983"/>
    <cellStyle name="Separador de milhares 101" xfId="1230"/>
    <cellStyle name="Separador de milhares 101 2" xfId="1695"/>
    <cellStyle name="Separador de milhares 101 2 2" xfId="1984"/>
    <cellStyle name="Separador de milhares 102" xfId="1231"/>
    <cellStyle name="Separador de milhares 102 2" xfId="1696"/>
    <cellStyle name="Separador de milhares 102 2 2" xfId="1985"/>
    <cellStyle name="Separador de milhares 103" xfId="1232"/>
    <cellStyle name="Separador de milhares 103 2" xfId="1697"/>
    <cellStyle name="Separador de milhares 103 2 2" xfId="1986"/>
    <cellStyle name="Separador de milhares 104" xfId="1233"/>
    <cellStyle name="Separador de milhares 104 2" xfId="1698"/>
    <cellStyle name="Separador de milhares 104 2 2" xfId="1987"/>
    <cellStyle name="Separador de milhares 105" xfId="1234"/>
    <cellStyle name="Separador de milhares 105 2" xfId="1699"/>
    <cellStyle name="Separador de milhares 105 2 2" xfId="1988"/>
    <cellStyle name="Separador de milhares 106" xfId="1235"/>
    <cellStyle name="Separador de milhares 106 2" xfId="1700"/>
    <cellStyle name="Separador de milhares 106 2 2" xfId="1989"/>
    <cellStyle name="Separador de milhares 107" xfId="1236"/>
    <cellStyle name="Separador de milhares 107 2" xfId="1701"/>
    <cellStyle name="Separador de milhares 107 2 2" xfId="1990"/>
    <cellStyle name="Separador de milhares 108" xfId="1237"/>
    <cellStyle name="Separador de milhares 108 2" xfId="1702"/>
    <cellStyle name="Separador de milhares 108 2 2" xfId="1991"/>
    <cellStyle name="Separador de milhares 109" xfId="1238"/>
    <cellStyle name="Separador de milhares 109 2" xfId="1703"/>
    <cellStyle name="Separador de milhares 109 2 2" xfId="1992"/>
    <cellStyle name="Separador de milhares 11" xfId="1239"/>
    <cellStyle name="Separador de milhares 11 2" xfId="1240"/>
    <cellStyle name="Separador de milhares 11 2 2" xfId="1704"/>
    <cellStyle name="Separador de milhares 11 2 2 2" xfId="1993"/>
    <cellStyle name="Separador de milhares 11 3" xfId="1705"/>
    <cellStyle name="Separador de milhares 11 3 2" xfId="1994"/>
    <cellStyle name="Separador de milhares 110" xfId="1241"/>
    <cellStyle name="Separador de milhares 110 2" xfId="1706"/>
    <cellStyle name="Separador de milhares 110 2 2" xfId="1995"/>
    <cellStyle name="Separador de milhares 111" xfId="1242"/>
    <cellStyle name="Separador de milhares 111 2" xfId="1707"/>
    <cellStyle name="Separador de milhares 111 2 2" xfId="1996"/>
    <cellStyle name="Separador de milhares 112" xfId="1243"/>
    <cellStyle name="Separador de milhares 112 2" xfId="1708"/>
    <cellStyle name="Separador de milhares 112 2 2" xfId="1997"/>
    <cellStyle name="Separador de milhares 113" xfId="1244"/>
    <cellStyle name="Separador de milhares 113 2" xfId="1709"/>
    <cellStyle name="Separador de milhares 113 2 2" xfId="1998"/>
    <cellStyle name="Separador de milhares 114" xfId="1245"/>
    <cellStyle name="Separador de milhares 114 2" xfId="1710"/>
    <cellStyle name="Separador de milhares 114 2 2" xfId="1999"/>
    <cellStyle name="Separador de milhares 115" xfId="1246"/>
    <cellStyle name="Separador de milhares 115 2" xfId="1711"/>
    <cellStyle name="Separador de milhares 115 2 2" xfId="2000"/>
    <cellStyle name="Separador de milhares 116" xfId="1247"/>
    <cellStyle name="Separador de milhares 116 2" xfId="1712"/>
    <cellStyle name="Separador de milhares 116 2 2" xfId="2001"/>
    <cellStyle name="Separador de milhares 117" xfId="1248"/>
    <cellStyle name="Separador de milhares 117 2" xfId="1713"/>
    <cellStyle name="Separador de milhares 117 2 2" xfId="2002"/>
    <cellStyle name="Separador de milhares 118" xfId="1249"/>
    <cellStyle name="Separador de milhares 118 2" xfId="1714"/>
    <cellStyle name="Separador de milhares 118 2 2" xfId="2003"/>
    <cellStyle name="Separador de milhares 119" xfId="1250"/>
    <cellStyle name="Separador de milhares 119 2" xfId="1715"/>
    <cellStyle name="Separador de milhares 119 2 2" xfId="2004"/>
    <cellStyle name="Separador de milhares 12" xfId="1251"/>
    <cellStyle name="Separador de milhares 12 2" xfId="1252"/>
    <cellStyle name="Separador de milhares 12 2 2" xfId="1716"/>
    <cellStyle name="Separador de milhares 12 2 2 2" xfId="2005"/>
    <cellStyle name="Separador de milhares 12 3" xfId="1717"/>
    <cellStyle name="Separador de milhares 12 3 2" xfId="2006"/>
    <cellStyle name="Separador de milhares 120" xfId="1253"/>
    <cellStyle name="Separador de milhares 120 2" xfId="1718"/>
    <cellStyle name="Separador de milhares 120 2 2" xfId="2007"/>
    <cellStyle name="Separador de milhares 121" xfId="1254"/>
    <cellStyle name="Separador de milhares 121 2" xfId="1719"/>
    <cellStyle name="Separador de milhares 121 2 2" xfId="2008"/>
    <cellStyle name="Separador de milhares 122" xfId="1255"/>
    <cellStyle name="Separador de milhares 122 2" xfId="1720"/>
    <cellStyle name="Separador de milhares 122 2 2" xfId="2009"/>
    <cellStyle name="Separador de milhares 123" xfId="1256"/>
    <cellStyle name="Separador de milhares 123 2" xfId="1721"/>
    <cellStyle name="Separador de milhares 123 2 2" xfId="2010"/>
    <cellStyle name="Separador de milhares 124" xfId="1257"/>
    <cellStyle name="Separador de milhares 124 2" xfId="1722"/>
    <cellStyle name="Separador de milhares 124 2 2" xfId="2011"/>
    <cellStyle name="Separador de milhares 125" xfId="1258"/>
    <cellStyle name="Separador de milhares 125 2" xfId="1723"/>
    <cellStyle name="Separador de milhares 125 2 2" xfId="2012"/>
    <cellStyle name="Separador de milhares 126" xfId="1259"/>
    <cellStyle name="Separador de milhares 126 2" xfId="1724"/>
    <cellStyle name="Separador de milhares 126 2 2" xfId="2013"/>
    <cellStyle name="Separador de milhares 127" xfId="1260"/>
    <cellStyle name="Separador de milhares 127 2" xfId="1725"/>
    <cellStyle name="Separador de milhares 127 2 2" xfId="2014"/>
    <cellStyle name="Separador de milhares 128" xfId="1261"/>
    <cellStyle name="Separador de milhares 128 2" xfId="1726"/>
    <cellStyle name="Separador de milhares 128 2 2" xfId="2015"/>
    <cellStyle name="Separador de milhares 129" xfId="1262"/>
    <cellStyle name="Separador de milhares 129 2" xfId="1727"/>
    <cellStyle name="Separador de milhares 129 2 2" xfId="2016"/>
    <cellStyle name="Separador de milhares 13" xfId="1263"/>
    <cellStyle name="Separador de milhares 13 2" xfId="1264"/>
    <cellStyle name="Separador de milhares 13 2 2" xfId="1728"/>
    <cellStyle name="Separador de milhares 13 2 2 2" xfId="2017"/>
    <cellStyle name="Separador de milhares 13 3" xfId="1729"/>
    <cellStyle name="Separador de milhares 13 3 2" xfId="2018"/>
    <cellStyle name="Separador de milhares 130" xfId="1265"/>
    <cellStyle name="Separador de milhares 130 2" xfId="1730"/>
    <cellStyle name="Separador de milhares 130 2 2" xfId="2019"/>
    <cellStyle name="Separador de milhares 131" xfId="1266"/>
    <cellStyle name="Separador de milhares 131 2" xfId="1731"/>
    <cellStyle name="Separador de milhares 131 2 2" xfId="2020"/>
    <cellStyle name="Separador de milhares 132" xfId="1267"/>
    <cellStyle name="Separador de milhares 132 2" xfId="1732"/>
    <cellStyle name="Separador de milhares 132 2 2" xfId="2021"/>
    <cellStyle name="Separador de milhares 133" xfId="1268"/>
    <cellStyle name="Separador de milhares 133 2" xfId="1733"/>
    <cellStyle name="Separador de milhares 133 2 2" xfId="2022"/>
    <cellStyle name="Separador de milhares 134" xfId="1269"/>
    <cellStyle name="Separador de milhares 134 2" xfId="1734"/>
    <cellStyle name="Separador de milhares 134 2 2" xfId="2023"/>
    <cellStyle name="Separador de milhares 135" xfId="1270"/>
    <cellStyle name="Separador de milhares 135 2" xfId="1735"/>
    <cellStyle name="Separador de milhares 135 2 2" xfId="2024"/>
    <cellStyle name="Separador de milhares 136" xfId="1271"/>
    <cellStyle name="Separador de milhares 136 2" xfId="1736"/>
    <cellStyle name="Separador de milhares 136 2 2" xfId="2025"/>
    <cellStyle name="Separador de milhares 137" xfId="1272"/>
    <cellStyle name="Separador de milhares 137 2" xfId="1737"/>
    <cellStyle name="Separador de milhares 137 2 2" xfId="2026"/>
    <cellStyle name="Separador de milhares 138" xfId="1273"/>
    <cellStyle name="Separador de milhares 138 2" xfId="1738"/>
    <cellStyle name="Separador de milhares 138 2 2" xfId="2027"/>
    <cellStyle name="Separador de milhares 139" xfId="1274"/>
    <cellStyle name="Separador de milhares 139 2" xfId="1739"/>
    <cellStyle name="Separador de milhares 139 2 2" xfId="2028"/>
    <cellStyle name="Separador de milhares 14" xfId="1275"/>
    <cellStyle name="Separador de milhares 14 2" xfId="1276"/>
    <cellStyle name="Separador de milhares 14 2 2" xfId="1740"/>
    <cellStyle name="Separador de milhares 14 2 2 2" xfId="2029"/>
    <cellStyle name="Separador de milhares 14 3" xfId="1741"/>
    <cellStyle name="Separador de milhares 14 3 2" xfId="2030"/>
    <cellStyle name="Separador de milhares 140" xfId="1277"/>
    <cellStyle name="Separador de milhares 140 2" xfId="1742"/>
    <cellStyle name="Separador de milhares 140 2 2" xfId="2031"/>
    <cellStyle name="Separador de milhares 141" xfId="1278"/>
    <cellStyle name="Separador de milhares 141 2" xfId="1743"/>
    <cellStyle name="Separador de milhares 141 2 2" xfId="2032"/>
    <cellStyle name="Separador de milhares 142" xfId="1279"/>
    <cellStyle name="Separador de milhares 142 2" xfId="1744"/>
    <cellStyle name="Separador de milhares 142 2 2" xfId="2033"/>
    <cellStyle name="Separador de milhares 143" xfId="1280"/>
    <cellStyle name="Separador de milhares 143 2" xfId="1745"/>
    <cellStyle name="Separador de milhares 143 2 2" xfId="2034"/>
    <cellStyle name="Separador de milhares 144" xfId="1281"/>
    <cellStyle name="Separador de milhares 144 2" xfId="1746"/>
    <cellStyle name="Separador de milhares 144 2 2" xfId="2035"/>
    <cellStyle name="Separador de milhares 145" xfId="1282"/>
    <cellStyle name="Separador de milhares 145 2" xfId="1747"/>
    <cellStyle name="Separador de milhares 145 2 2" xfId="2036"/>
    <cellStyle name="Separador de milhares 146" xfId="1283"/>
    <cellStyle name="Separador de milhares 146 2" xfId="1748"/>
    <cellStyle name="Separador de milhares 146 2 2" xfId="2037"/>
    <cellStyle name="Separador de milhares 147" xfId="1284"/>
    <cellStyle name="Separador de milhares 147 2" xfId="1749"/>
    <cellStyle name="Separador de milhares 147 2 2" xfId="2038"/>
    <cellStyle name="Separador de milhares 148" xfId="1285"/>
    <cellStyle name="Separador de milhares 148 2" xfId="1750"/>
    <cellStyle name="Separador de milhares 148 2 2" xfId="2039"/>
    <cellStyle name="Separador de milhares 149" xfId="1286"/>
    <cellStyle name="Separador de milhares 149 2" xfId="1751"/>
    <cellStyle name="Separador de milhares 149 2 2" xfId="2040"/>
    <cellStyle name="Separador de milhares 15" xfId="1287"/>
    <cellStyle name="Separador de milhares 15 2" xfId="1288"/>
    <cellStyle name="Separador de milhares 15 2 2" xfId="1752"/>
    <cellStyle name="Separador de milhares 15 2 2 2" xfId="2041"/>
    <cellStyle name="Separador de milhares 15 3" xfId="1753"/>
    <cellStyle name="Separador de milhares 15 3 2" xfId="2042"/>
    <cellStyle name="Separador de milhares 150" xfId="1289"/>
    <cellStyle name="Separador de milhares 150 2" xfId="1754"/>
    <cellStyle name="Separador de milhares 150 2 2" xfId="2043"/>
    <cellStyle name="Separador de milhares 151" xfId="1290"/>
    <cellStyle name="Separador de milhares 151 2" xfId="1755"/>
    <cellStyle name="Separador de milhares 151 2 2" xfId="2044"/>
    <cellStyle name="Separador de milhares 152" xfId="1291"/>
    <cellStyle name="Separador de milhares 152 2" xfId="1756"/>
    <cellStyle name="Separador de milhares 152 2 2" xfId="2045"/>
    <cellStyle name="Separador de milhares 153" xfId="1292"/>
    <cellStyle name="Separador de milhares 153 2" xfId="1757"/>
    <cellStyle name="Separador de milhares 153 2 2" xfId="2046"/>
    <cellStyle name="Separador de milhares 154" xfId="1293"/>
    <cellStyle name="Separador de milhares 154 2" xfId="1758"/>
    <cellStyle name="Separador de milhares 154 2 2" xfId="2047"/>
    <cellStyle name="Separador de milhares 155" xfId="1294"/>
    <cellStyle name="Separador de milhares 155 2" xfId="1759"/>
    <cellStyle name="Separador de milhares 155 2 2" xfId="2048"/>
    <cellStyle name="Separador de milhares 156" xfId="1295"/>
    <cellStyle name="Separador de milhares 156 2" xfId="1760"/>
    <cellStyle name="Separador de milhares 156 2 2" xfId="2049"/>
    <cellStyle name="Separador de milhares 157" xfId="1296"/>
    <cellStyle name="Separador de milhares 157 2" xfId="1761"/>
    <cellStyle name="Separador de milhares 157 2 2" xfId="2050"/>
    <cellStyle name="Separador de milhares 158" xfId="1297"/>
    <cellStyle name="Separador de milhares 158 2" xfId="1762"/>
    <cellStyle name="Separador de milhares 158 2 2" xfId="2051"/>
    <cellStyle name="Separador de milhares 159" xfId="1298"/>
    <cellStyle name="Separador de milhares 159 2" xfId="1763"/>
    <cellStyle name="Separador de milhares 159 2 2" xfId="2052"/>
    <cellStyle name="Separador de milhares 16" xfId="1299"/>
    <cellStyle name="Separador de milhares 16 2" xfId="1300"/>
    <cellStyle name="Separador de milhares 16 2 2" xfId="1764"/>
    <cellStyle name="Separador de milhares 16 2 2 2" xfId="2053"/>
    <cellStyle name="Separador de milhares 16 3" xfId="1765"/>
    <cellStyle name="Separador de milhares 16 3 2" xfId="2054"/>
    <cellStyle name="Separador de milhares 160" xfId="1301"/>
    <cellStyle name="Separador de milhares 160 2" xfId="1766"/>
    <cellStyle name="Separador de milhares 160 2 2" xfId="2055"/>
    <cellStyle name="Separador de milhares 161" xfId="1302"/>
    <cellStyle name="Separador de milhares 161 2" xfId="1767"/>
    <cellStyle name="Separador de milhares 161 2 2" xfId="2056"/>
    <cellStyle name="Separador de milhares 162" xfId="1303"/>
    <cellStyle name="Separador de milhares 162 2" xfId="1768"/>
    <cellStyle name="Separador de milhares 162 2 2" xfId="2057"/>
    <cellStyle name="Separador de milhares 163" xfId="1304"/>
    <cellStyle name="Separador de milhares 163 2" xfId="1769"/>
    <cellStyle name="Separador de milhares 163 2 2" xfId="2058"/>
    <cellStyle name="Separador de milhares 164" xfId="1305"/>
    <cellStyle name="Separador de milhares 164 2" xfId="1770"/>
    <cellStyle name="Separador de milhares 164 2 2" xfId="2059"/>
    <cellStyle name="Separador de milhares 165" xfId="1306"/>
    <cellStyle name="Separador de milhares 165 2" xfId="1771"/>
    <cellStyle name="Separador de milhares 165 2 2" xfId="2060"/>
    <cellStyle name="Separador de milhares 166" xfId="1307"/>
    <cellStyle name="Separador de milhares 166 2" xfId="1772"/>
    <cellStyle name="Separador de milhares 166 2 2" xfId="2061"/>
    <cellStyle name="Separador de milhares 167" xfId="1308"/>
    <cellStyle name="Separador de milhares 167 2" xfId="1773"/>
    <cellStyle name="Separador de milhares 167 2 2" xfId="2062"/>
    <cellStyle name="Separador de milhares 168" xfId="1309"/>
    <cellStyle name="Separador de milhares 168 2" xfId="1774"/>
    <cellStyle name="Separador de milhares 168 2 2" xfId="2063"/>
    <cellStyle name="Separador de milhares 169" xfId="1310"/>
    <cellStyle name="Separador de milhares 169 2" xfId="1775"/>
    <cellStyle name="Separador de milhares 169 2 2" xfId="2064"/>
    <cellStyle name="Separador de milhares 17" xfId="1311"/>
    <cellStyle name="Separador de milhares 17 2" xfId="1776"/>
    <cellStyle name="Separador de milhares 17 2 2" xfId="2065"/>
    <cellStyle name="Separador de milhares 170" xfId="1312"/>
    <cellStyle name="Separador de milhares 170 2" xfId="1777"/>
    <cellStyle name="Separador de milhares 170 2 2" xfId="2066"/>
    <cellStyle name="Separador de milhares 171" xfId="1313"/>
    <cellStyle name="Separador de milhares 171 2" xfId="1778"/>
    <cellStyle name="Separador de milhares 171 2 2" xfId="2067"/>
    <cellStyle name="Separador de milhares 172" xfId="1314"/>
    <cellStyle name="Separador de milhares 172 2" xfId="1779"/>
    <cellStyle name="Separador de milhares 172 2 2" xfId="2068"/>
    <cellStyle name="Separador de milhares 173" xfId="1315"/>
    <cellStyle name="Separador de milhares 173 2" xfId="1780"/>
    <cellStyle name="Separador de milhares 173 2 2" xfId="2069"/>
    <cellStyle name="Separador de milhares 174" xfId="1316"/>
    <cellStyle name="Separador de milhares 174 2" xfId="1781"/>
    <cellStyle name="Separador de milhares 174 2 2" xfId="2070"/>
    <cellStyle name="Separador de milhares 175" xfId="1317"/>
    <cellStyle name="Separador de milhares 175 2" xfId="1782"/>
    <cellStyle name="Separador de milhares 175 2 2" xfId="2071"/>
    <cellStyle name="Separador de milhares 176" xfId="1318"/>
    <cellStyle name="Separador de milhares 176 2" xfId="1783"/>
    <cellStyle name="Separador de milhares 176 2 2" xfId="2072"/>
    <cellStyle name="Separador de milhares 177" xfId="1319"/>
    <cellStyle name="Separador de milhares 177 2" xfId="1784"/>
    <cellStyle name="Separador de milhares 177 2 2" xfId="2073"/>
    <cellStyle name="Separador de milhares 178" xfId="1320"/>
    <cellStyle name="Separador de milhares 178 2" xfId="1785"/>
    <cellStyle name="Separador de milhares 178 2 2" xfId="2074"/>
    <cellStyle name="Separador de milhares 179" xfId="1321"/>
    <cellStyle name="Separador de milhares 179 2" xfId="1786"/>
    <cellStyle name="Separador de milhares 179 2 2" xfId="2075"/>
    <cellStyle name="Separador de milhares 18" xfId="1322"/>
    <cellStyle name="Separador de milhares 18 2" xfId="1323"/>
    <cellStyle name="Separador de milhares 18 2 2" xfId="1787"/>
    <cellStyle name="Separador de milhares 18 2 2 2" xfId="2076"/>
    <cellStyle name="Separador de milhares 18 3" xfId="1788"/>
    <cellStyle name="Separador de milhares 18 3 2" xfId="2077"/>
    <cellStyle name="Separador de milhares 180" xfId="1324"/>
    <cellStyle name="Separador de milhares 180 2" xfId="1789"/>
    <cellStyle name="Separador de milhares 180 2 2" xfId="2078"/>
    <cellStyle name="Separador de milhares 181" xfId="1325"/>
    <cellStyle name="Separador de milhares 181 2" xfId="1790"/>
    <cellStyle name="Separador de milhares 181 2 2" xfId="2079"/>
    <cellStyle name="Separador de milhares 182" xfId="1326"/>
    <cellStyle name="Separador de milhares 182 2" xfId="1791"/>
    <cellStyle name="Separador de milhares 182 2 2" xfId="2080"/>
    <cellStyle name="Separador de milhares 183" xfId="1327"/>
    <cellStyle name="Separador de milhares 183 2" xfId="1792"/>
    <cellStyle name="Separador de milhares 183 2 2" xfId="2081"/>
    <cellStyle name="Separador de milhares 184" xfId="1328"/>
    <cellStyle name="Separador de milhares 184 2" xfId="1793"/>
    <cellStyle name="Separador de milhares 184 2 2" xfId="2082"/>
    <cellStyle name="Separador de milhares 184 3" xfId="1963"/>
    <cellStyle name="Separador de milhares 185" xfId="1329"/>
    <cellStyle name="Separador de milhares 185 2" xfId="1794"/>
    <cellStyle name="Separador de milhares 185 2 2" xfId="2083"/>
    <cellStyle name="Separador de milhares 186" xfId="2839"/>
    <cellStyle name="Separador de milhares 19" xfId="1330"/>
    <cellStyle name="Separador de milhares 19 2" xfId="1331"/>
    <cellStyle name="Separador de milhares 19 2 2" xfId="1795"/>
    <cellStyle name="Separador de milhares 19 2 2 2" xfId="2084"/>
    <cellStyle name="Separador de milhares 19 3" xfId="1796"/>
    <cellStyle name="Separador de milhares 19 3 2" xfId="2085"/>
    <cellStyle name="Separador de milhares 2" xfId="45"/>
    <cellStyle name="Separador de milhares 2 10" xfId="1332"/>
    <cellStyle name="Separador de milhares 2 10 2" xfId="1797"/>
    <cellStyle name="Separador de milhares 2 10 2 2" xfId="2086"/>
    <cellStyle name="Separador de milhares 2 11" xfId="1333"/>
    <cellStyle name="Separador de milhares 2 11 2" xfId="1798"/>
    <cellStyle name="Separador de milhares 2 11 2 2" xfId="2087"/>
    <cellStyle name="Separador de milhares 2 12" xfId="1334"/>
    <cellStyle name="Separador de milhares 2 12 2" xfId="1799"/>
    <cellStyle name="Separador de milhares 2 12 2 2" xfId="2088"/>
    <cellStyle name="Separador de milhares 2 13" xfId="1335"/>
    <cellStyle name="Separador de milhares 2 13 2" xfId="1800"/>
    <cellStyle name="Separador de milhares 2 13 2 2" xfId="2089"/>
    <cellStyle name="Separador de milhares 2 14" xfId="1336"/>
    <cellStyle name="Separador de milhares 2 14 2" xfId="1801"/>
    <cellStyle name="Separador de milhares 2 14 2 2" xfId="2090"/>
    <cellStyle name="Separador de milhares 2 15" xfId="1337"/>
    <cellStyle name="Separador de milhares 2 15 2" xfId="1802"/>
    <cellStyle name="Separador de milhares 2 15 2 2" xfId="2091"/>
    <cellStyle name="Separador de milhares 2 16" xfId="1338"/>
    <cellStyle name="Separador de milhares 2 16 2" xfId="1803"/>
    <cellStyle name="Separador de milhares 2 16 2 2" xfId="2092"/>
    <cellStyle name="Separador de milhares 2 17" xfId="1339"/>
    <cellStyle name="Separador de milhares 2 17 2" xfId="1804"/>
    <cellStyle name="Separador de milhares 2 17 2 2" xfId="2093"/>
    <cellStyle name="Separador de milhares 2 18" xfId="1340"/>
    <cellStyle name="Separador de milhares 2 18 2" xfId="1805"/>
    <cellStyle name="Separador de milhares 2 18 2 2" xfId="2094"/>
    <cellStyle name="Separador de milhares 2 19" xfId="1341"/>
    <cellStyle name="Separador de milhares 2 19 2" xfId="1806"/>
    <cellStyle name="Separador de milhares 2 19 2 2" xfId="2095"/>
    <cellStyle name="Separador de milhares 2 2" xfId="1342"/>
    <cellStyle name="Separador de milhares 2 2 10" xfId="1343"/>
    <cellStyle name="Separador de milhares 2 2 10 2" xfId="1807"/>
    <cellStyle name="Separador de milhares 2 2 10 2 2" xfId="2096"/>
    <cellStyle name="Separador de milhares 2 2 11" xfId="1344"/>
    <cellStyle name="Separador de milhares 2 2 11 2" xfId="1808"/>
    <cellStyle name="Separador de milhares 2 2 11 2 2" xfId="2097"/>
    <cellStyle name="Separador de milhares 2 2 12" xfId="1345"/>
    <cellStyle name="Separador de milhares 2 2 12 2" xfId="1809"/>
    <cellStyle name="Separador de milhares 2 2 12 2 2" xfId="2098"/>
    <cellStyle name="Separador de milhares 2 2 13" xfId="1810"/>
    <cellStyle name="Separador de milhares 2 2 13 2" xfId="2099"/>
    <cellStyle name="Separador de milhares 2 2 2" xfId="1346"/>
    <cellStyle name="Separador de milhares 2 2 2 2" xfId="1347"/>
    <cellStyle name="Separador de milhares 2 2 2 2 2" xfId="1811"/>
    <cellStyle name="Separador de milhares 2 2 2 2 2 2" xfId="2100"/>
    <cellStyle name="Separador de milhares 2 2 2 2 3" xfId="2285"/>
    <cellStyle name="Separador de milhares 2 2 2 3" xfId="1812"/>
    <cellStyle name="Separador de milhares 2 2 2 3 2" xfId="2101"/>
    <cellStyle name="Separador de milhares 2 2 2 4" xfId="2286"/>
    <cellStyle name="Separador de milhares 2 2 3" xfId="1348"/>
    <cellStyle name="Separador de milhares 2 2 3 2" xfId="1813"/>
    <cellStyle name="Separador de milhares 2 2 3 2 2" xfId="2102"/>
    <cellStyle name="Separador de milhares 2 2 3 3" xfId="2287"/>
    <cellStyle name="Separador de milhares 2 2 4" xfId="1349"/>
    <cellStyle name="Separador de milhares 2 2 4 2" xfId="1814"/>
    <cellStyle name="Separador de milhares 2 2 4 2 2" xfId="2103"/>
    <cellStyle name="Separador de milhares 2 2 5" xfId="1350"/>
    <cellStyle name="Separador de milhares 2 2 5 2" xfId="1815"/>
    <cellStyle name="Separador de milhares 2 2 5 2 2" xfId="2104"/>
    <cellStyle name="Separador de milhares 2 2 6" xfId="1351"/>
    <cellStyle name="Separador de milhares 2 2 6 2" xfId="1816"/>
    <cellStyle name="Separador de milhares 2 2 6 2 2" xfId="2105"/>
    <cellStyle name="Separador de milhares 2 2 7" xfId="1352"/>
    <cellStyle name="Separador de milhares 2 2 7 2" xfId="1817"/>
    <cellStyle name="Separador de milhares 2 2 7 2 2" xfId="2106"/>
    <cellStyle name="Separador de milhares 2 2 8" xfId="1353"/>
    <cellStyle name="Separador de milhares 2 2 8 2" xfId="1818"/>
    <cellStyle name="Separador de milhares 2 2 8 2 2" xfId="2107"/>
    <cellStyle name="Separador de milhares 2 2 9" xfId="1354"/>
    <cellStyle name="Separador de milhares 2 2 9 2" xfId="1819"/>
    <cellStyle name="Separador de milhares 2 2 9 2 2" xfId="2108"/>
    <cellStyle name="Separador de milhares 2 20" xfId="1355"/>
    <cellStyle name="Separador de milhares 2 20 2" xfId="1820"/>
    <cellStyle name="Separador de milhares 2 20 2 2" xfId="2109"/>
    <cellStyle name="Separador de milhares 2 21" xfId="1356"/>
    <cellStyle name="Separador de milhares 2 21 2" xfId="1821"/>
    <cellStyle name="Separador de milhares 2 21 2 2" xfId="2110"/>
    <cellStyle name="Separador de milhares 2 22" xfId="1357"/>
    <cellStyle name="Separador de milhares 2 22 2" xfId="1822"/>
    <cellStyle name="Separador de milhares 2 22 2 2" xfId="2111"/>
    <cellStyle name="Separador de milhares 2 23" xfId="1358"/>
    <cellStyle name="Separador de milhares 2 23 2" xfId="1823"/>
    <cellStyle name="Separador de milhares 2 23 2 2" xfId="2112"/>
    <cellStyle name="Separador de milhares 2 24" xfId="1359"/>
    <cellStyle name="Separador de milhares 2 24 2" xfId="1824"/>
    <cellStyle name="Separador de milhares 2 24 2 2" xfId="2113"/>
    <cellStyle name="Separador de milhares 2 25" xfId="1360"/>
    <cellStyle name="Separador de milhares 2 25 2" xfId="1825"/>
    <cellStyle name="Separador de milhares 2 25 2 2" xfId="2114"/>
    <cellStyle name="Separador de milhares 2 26" xfId="1361"/>
    <cellStyle name="Separador de milhares 2 26 2" xfId="1826"/>
    <cellStyle name="Separador de milhares 2 26 2 2" xfId="2115"/>
    <cellStyle name="Separador de milhares 2 27" xfId="1362"/>
    <cellStyle name="Separador de milhares 2 27 2" xfId="1827"/>
    <cellStyle name="Separador de milhares 2 27 2 2" xfId="2116"/>
    <cellStyle name="Separador de milhares 2 28" xfId="1363"/>
    <cellStyle name="Separador de milhares 2 28 2" xfId="1828"/>
    <cellStyle name="Separador de milhares 2 28 2 2" xfId="2117"/>
    <cellStyle name="Separador de milhares 2 29" xfId="1364"/>
    <cellStyle name="Separador de milhares 2 29 2" xfId="1365"/>
    <cellStyle name="Separador de milhares 2 29 2 2" xfId="1829"/>
    <cellStyle name="Separador de milhares 2 29 2 2 2" xfId="2118"/>
    <cellStyle name="Separador de milhares 2 29 3" xfId="1830"/>
    <cellStyle name="Separador de milhares 2 29 3 2" xfId="2119"/>
    <cellStyle name="Separador de milhares 2 3" xfId="1366"/>
    <cellStyle name="Separador de milhares 2 3 2" xfId="1831"/>
    <cellStyle name="Separador de milhares 2 3 2 2" xfId="2120"/>
    <cellStyle name="Separador de milhares 2 3 2 2 2" xfId="2288"/>
    <cellStyle name="Separador de milhares 2 3 2 3" xfId="2289"/>
    <cellStyle name="Separador de milhares 2 3 3" xfId="2290"/>
    <cellStyle name="Separador de milhares 2 3 3 2" xfId="2291"/>
    <cellStyle name="Separador de milhares 2 3 4" xfId="2292"/>
    <cellStyle name="Separador de milhares 2 30" xfId="1367"/>
    <cellStyle name="Separador de milhares 2 30 2" xfId="1832"/>
    <cellStyle name="Separador de milhares 2 30 2 2" xfId="2121"/>
    <cellStyle name="Separador de milhares 2 31" xfId="1368"/>
    <cellStyle name="Separador de milhares 2 31 2" xfId="1833"/>
    <cellStyle name="Separador de milhares 2 31 2 2" xfId="2122"/>
    <cellStyle name="Separador de milhares 2 32" xfId="1369"/>
    <cellStyle name="Separador de milhares 2 32 2" xfId="1834"/>
    <cellStyle name="Separador de milhares 2 32 2 2" xfId="2123"/>
    <cellStyle name="Separador de milhares 2 33" xfId="1370"/>
    <cellStyle name="Separador de milhares 2 33 2" xfId="1835"/>
    <cellStyle name="Separador de milhares 2 33 2 2" xfId="2124"/>
    <cellStyle name="Separador de milhares 2 34" xfId="1371"/>
    <cellStyle name="Separador de milhares 2 34 2" xfId="1836"/>
    <cellStyle name="Separador de milhares 2 34 2 2" xfId="2125"/>
    <cellStyle name="Separador de milhares 2 35" xfId="1372"/>
    <cellStyle name="Separador de milhares 2 35 2" xfId="1837"/>
    <cellStyle name="Separador de milhares 2 35 2 2" xfId="2126"/>
    <cellStyle name="Separador de milhares 2 36" xfId="1373"/>
    <cellStyle name="Separador de milhares 2 36 2" xfId="1838"/>
    <cellStyle name="Separador de milhares 2 36 2 2" xfId="2127"/>
    <cellStyle name="Separador de milhares 2 37" xfId="1374"/>
    <cellStyle name="Separador de milhares 2 37 2" xfId="1839"/>
    <cellStyle name="Separador de milhares 2 37 2 2" xfId="2128"/>
    <cellStyle name="Separador de milhares 2 38" xfId="1375"/>
    <cellStyle name="Separador de milhares 2 38 2" xfId="1840"/>
    <cellStyle name="Separador de milhares 2 38 2 2" xfId="2129"/>
    <cellStyle name="Separador de milhares 2 39" xfId="1376"/>
    <cellStyle name="Separador de milhares 2 39 2" xfId="1841"/>
    <cellStyle name="Separador de milhares 2 39 2 2" xfId="2130"/>
    <cellStyle name="Separador de milhares 2 4" xfId="1377"/>
    <cellStyle name="Separador de milhares 2 4 2" xfId="1842"/>
    <cellStyle name="Separador de milhares 2 4 2 2" xfId="2131"/>
    <cellStyle name="Separador de milhares 2 4 3" xfId="2293"/>
    <cellStyle name="Separador de milhares 2 4 3 2" xfId="2294"/>
    <cellStyle name="Separador de milhares 2 4 4" xfId="2295"/>
    <cellStyle name="Separador de milhares 2 40" xfId="1378"/>
    <cellStyle name="Separador de milhares 2 40 2" xfId="1843"/>
    <cellStyle name="Separador de milhares 2 40 2 2" xfId="2132"/>
    <cellStyle name="Separador de milhares 2 41" xfId="1379"/>
    <cellStyle name="Separador de milhares 2 41 2" xfId="1844"/>
    <cellStyle name="Separador de milhares 2 41 2 2" xfId="2133"/>
    <cellStyle name="Separador de milhares 2 42" xfId="1380"/>
    <cellStyle name="Separador de milhares 2 42 2" xfId="1845"/>
    <cellStyle name="Separador de milhares 2 42 2 2" xfId="2134"/>
    <cellStyle name="Separador de milhares 2 43" xfId="1381"/>
    <cellStyle name="Separador de milhares 2 43 2" xfId="1846"/>
    <cellStyle name="Separador de milhares 2 43 2 2" xfId="2135"/>
    <cellStyle name="Separador de milhares 2 44" xfId="1847"/>
    <cellStyle name="Separador de milhares 2 44 2" xfId="2136"/>
    <cellStyle name="Separador de milhares 2 5" xfId="1382"/>
    <cellStyle name="Separador de milhares 2 5 2" xfId="1848"/>
    <cellStyle name="Separador de milhares 2 5 2 2" xfId="2137"/>
    <cellStyle name="Separador de milhares 2 6" xfId="1383"/>
    <cellStyle name="Separador de milhares 2 6 2" xfId="1849"/>
    <cellStyle name="Separador de milhares 2 6 2 2" xfId="2138"/>
    <cellStyle name="Separador de milhares 2 7" xfId="1384"/>
    <cellStyle name="Separador de milhares 2 7 2" xfId="1850"/>
    <cellStyle name="Separador de milhares 2 7 2 2" xfId="2139"/>
    <cellStyle name="Separador de milhares 2 8" xfId="1385"/>
    <cellStyle name="Separador de milhares 2 8 2" xfId="1851"/>
    <cellStyle name="Separador de milhares 2 8 2 2" xfId="2140"/>
    <cellStyle name="Separador de milhares 2 9" xfId="1386"/>
    <cellStyle name="Separador de milhares 2 9 2" xfId="1852"/>
    <cellStyle name="Separador de milhares 2 9 2 2" xfId="2141"/>
    <cellStyle name="Separador de milhares 2 9 3" xfId="2840"/>
    <cellStyle name="Separador de milhares 2 9 4" xfId="2296"/>
    <cellStyle name="Separador de milhares 20" xfId="1387"/>
    <cellStyle name="Separador de milhares 20 2" xfId="1853"/>
    <cellStyle name="Separador de milhares 20 2 2" xfId="2142"/>
    <cellStyle name="Separador de milhares 21" xfId="1388"/>
    <cellStyle name="Separador de milhares 21 2" xfId="1854"/>
    <cellStyle name="Separador de milhares 21 2 2" xfId="2143"/>
    <cellStyle name="Separador de milhares 22" xfId="1389"/>
    <cellStyle name="Separador de milhares 22 2" xfId="1390"/>
    <cellStyle name="Separador de milhares 22 2 2" xfId="1855"/>
    <cellStyle name="Separador de milhares 22 2 2 2" xfId="2144"/>
    <cellStyle name="Separador de milhares 22 3" xfId="1856"/>
    <cellStyle name="Separador de milhares 22 3 2" xfId="2145"/>
    <cellStyle name="Separador de milhares 23" xfId="1391"/>
    <cellStyle name="Separador de milhares 23 2" xfId="1857"/>
    <cellStyle name="Separador de milhares 23 2 2" xfId="2146"/>
    <cellStyle name="Separador de milhares 24" xfId="1392"/>
    <cellStyle name="Separador de milhares 24 2" xfId="1858"/>
    <cellStyle name="Separador de milhares 24 2 2" xfId="2147"/>
    <cellStyle name="Separador de milhares 25" xfId="1393"/>
    <cellStyle name="Separador de milhares 25 2" xfId="1394"/>
    <cellStyle name="Separador de milhares 25 2 2" xfId="1859"/>
    <cellStyle name="Separador de milhares 25 2 2 2" xfId="2148"/>
    <cellStyle name="Separador de milhares 25 3" xfId="1860"/>
    <cellStyle name="Separador de milhares 25 3 2" xfId="2149"/>
    <cellStyle name="Separador de milhares 26" xfId="1395"/>
    <cellStyle name="Separador de milhares 26 2" xfId="1396"/>
    <cellStyle name="Separador de milhares 26 2 2" xfId="1861"/>
    <cellStyle name="Separador de milhares 26 2 2 2" xfId="2150"/>
    <cellStyle name="Separador de milhares 26 3" xfId="1862"/>
    <cellStyle name="Separador de milhares 26 3 2" xfId="2151"/>
    <cellStyle name="Separador de milhares 27" xfId="1397"/>
    <cellStyle name="Separador de milhares 27 2" xfId="1863"/>
    <cellStyle name="Separador de milhares 27 2 2" xfId="2152"/>
    <cellStyle name="Separador de milhares 28" xfId="1398"/>
    <cellStyle name="Separador de milhares 28 2" xfId="1864"/>
    <cellStyle name="Separador de milhares 28 2 2" xfId="2153"/>
    <cellStyle name="Separador de milhares 29" xfId="1399"/>
    <cellStyle name="Separador de milhares 29 2" xfId="1865"/>
    <cellStyle name="Separador de milhares 29 2 2" xfId="2154"/>
    <cellStyle name="Separador de milhares 3" xfId="1400"/>
    <cellStyle name="Separador de milhares 3 2" xfId="1866"/>
    <cellStyle name="Separador de milhares 3 2 2" xfId="2155"/>
    <cellStyle name="Separador de milhares 3 3" xfId="1401"/>
    <cellStyle name="Separador de milhares 3 3 2" xfId="1867"/>
    <cellStyle name="Separador de milhares 3 3 2 2" xfId="2156"/>
    <cellStyle name="Separador de milhares 3 3 3" xfId="2841"/>
    <cellStyle name="Separador de milhares 3 4" xfId="1964"/>
    <cellStyle name="Separador de milhares 30" xfId="1402"/>
    <cellStyle name="Separador de milhares 30 2" xfId="1868"/>
    <cellStyle name="Separador de milhares 30 2 2" xfId="2157"/>
    <cellStyle name="Separador de milhares 31" xfId="1403"/>
    <cellStyle name="Separador de milhares 31 2" xfId="1869"/>
    <cellStyle name="Separador de milhares 31 2 2" xfId="2158"/>
    <cellStyle name="Separador de milhares 32" xfId="1404"/>
    <cellStyle name="Separador de milhares 32 2" xfId="1870"/>
    <cellStyle name="Separador de milhares 32 2 2" xfId="2159"/>
    <cellStyle name="Separador de milhares 33" xfId="1405"/>
    <cellStyle name="Separador de milhares 33 2" xfId="1871"/>
    <cellStyle name="Separador de milhares 33 2 2" xfId="2160"/>
    <cellStyle name="Separador de milhares 34" xfId="1406"/>
    <cellStyle name="Separador de milhares 34 2" xfId="1872"/>
    <cellStyle name="Separador de milhares 34 2 2" xfId="2161"/>
    <cellStyle name="Separador de milhares 35" xfId="1407"/>
    <cellStyle name="Separador de milhares 35 2" xfId="1873"/>
    <cellStyle name="Separador de milhares 35 2 2" xfId="2162"/>
    <cellStyle name="Separador de milhares 36" xfId="1408"/>
    <cellStyle name="Separador de milhares 36 2" xfId="1874"/>
    <cellStyle name="Separador de milhares 36 2 2" xfId="2163"/>
    <cellStyle name="Separador de milhares 37" xfId="1409"/>
    <cellStyle name="Separador de milhares 37 2" xfId="1875"/>
    <cellStyle name="Separador de milhares 37 2 2" xfId="2164"/>
    <cellStyle name="Separador de milhares 38" xfId="1410"/>
    <cellStyle name="Separador de milhares 38 2" xfId="1876"/>
    <cellStyle name="Separador de milhares 38 2 2" xfId="2165"/>
    <cellStyle name="Separador de milhares 39" xfId="1411"/>
    <cellStyle name="Separador de milhares 39 2" xfId="1877"/>
    <cellStyle name="Separador de milhares 39 2 2" xfId="2166"/>
    <cellStyle name="Separador de milhares 4" xfId="1412"/>
    <cellStyle name="Separador de milhares 4 2" xfId="1413"/>
    <cellStyle name="Separador de milhares 4 2 2" xfId="1878"/>
    <cellStyle name="Separador de milhares 4 2 2 2" xfId="2167"/>
    <cellStyle name="Separador de milhares 4 3" xfId="1879"/>
    <cellStyle name="Separador de milhares 4 3 2" xfId="2168"/>
    <cellStyle name="Separador de milhares 4 4" xfId="1965"/>
    <cellStyle name="Separador de milhares 40" xfId="1414"/>
    <cellStyle name="Separador de milhares 40 2" xfId="1880"/>
    <cellStyle name="Separador de milhares 40 2 2" xfId="2169"/>
    <cellStyle name="Separador de milhares 41" xfId="1415"/>
    <cellStyle name="Separador de milhares 41 2" xfId="1881"/>
    <cellStyle name="Separador de milhares 41 2 2" xfId="2170"/>
    <cellStyle name="Separador de milhares 42" xfId="1416"/>
    <cellStyle name="Separador de milhares 42 2" xfId="1882"/>
    <cellStyle name="Separador de milhares 42 2 2" xfId="2171"/>
    <cellStyle name="Separador de milhares 43" xfId="1417"/>
    <cellStyle name="Separador de milhares 43 2" xfId="1883"/>
    <cellStyle name="Separador de milhares 43 2 2" xfId="2172"/>
    <cellStyle name="Separador de milhares 44" xfId="1418"/>
    <cellStyle name="Separador de milhares 44 2" xfId="1884"/>
    <cellStyle name="Separador de milhares 44 2 2" xfId="2173"/>
    <cellStyle name="Separador de milhares 45" xfId="1419"/>
    <cellStyle name="Separador de milhares 45 2" xfId="1885"/>
    <cellStyle name="Separador de milhares 45 2 2" xfId="2174"/>
    <cellStyle name="Separador de milhares 46" xfId="1420"/>
    <cellStyle name="Separador de milhares 46 2" xfId="1886"/>
    <cellStyle name="Separador de milhares 46 2 2" xfId="2175"/>
    <cellStyle name="Separador de milhares 47" xfId="1421"/>
    <cellStyle name="Separador de milhares 47 2" xfId="1887"/>
    <cellStyle name="Separador de milhares 47 2 2" xfId="2176"/>
    <cellStyle name="Separador de milhares 48" xfId="1422"/>
    <cellStyle name="Separador de milhares 48 2" xfId="1888"/>
    <cellStyle name="Separador de milhares 48 2 2" xfId="2177"/>
    <cellStyle name="Separador de milhares 49" xfId="1423"/>
    <cellStyle name="Separador de milhares 49 2" xfId="1889"/>
    <cellStyle name="Separador de milhares 49 2 2" xfId="2178"/>
    <cellStyle name="Separador de milhares 5" xfId="1424"/>
    <cellStyle name="Separador de milhares 5 2" xfId="1425"/>
    <cellStyle name="Separador de milhares 5 3" xfId="2842"/>
    <cellStyle name="Separador de milhares 50" xfId="1426"/>
    <cellStyle name="Separador de milhares 50 2" xfId="1427"/>
    <cellStyle name="Separador de milhares 50 2 2" xfId="1890"/>
    <cellStyle name="Separador de milhares 50 2 2 2" xfId="2179"/>
    <cellStyle name="Separador de milhares 50 3" xfId="1891"/>
    <cellStyle name="Separador de milhares 50 3 2" xfId="2180"/>
    <cellStyle name="Separador de milhares 51" xfId="1428"/>
    <cellStyle name="Separador de milhares 51 2" xfId="1892"/>
    <cellStyle name="Separador de milhares 51 2 2" xfId="2181"/>
    <cellStyle name="Separador de milhares 52" xfId="1429"/>
    <cellStyle name="Separador de milhares 52 2" xfId="1893"/>
    <cellStyle name="Separador de milhares 52 2 2" xfId="2182"/>
    <cellStyle name="Separador de milhares 53" xfId="1430"/>
    <cellStyle name="Separador de milhares 53 2" xfId="1894"/>
    <cellStyle name="Separador de milhares 53 2 2" xfId="2183"/>
    <cellStyle name="Separador de milhares 54" xfId="1431"/>
    <cellStyle name="Separador de milhares 54 2" xfId="1895"/>
    <cellStyle name="Separador de milhares 54 2 2" xfId="2184"/>
    <cellStyle name="Separador de milhares 55" xfId="1432"/>
    <cellStyle name="Separador de milhares 55 2" xfId="1433"/>
    <cellStyle name="Separador de milhares 55 2 2" xfId="1896"/>
    <cellStyle name="Separador de milhares 55 2 2 2" xfId="2185"/>
    <cellStyle name="Separador de milhares 55 3" xfId="1897"/>
    <cellStyle name="Separador de milhares 55 3 2" xfId="2186"/>
    <cellStyle name="Separador de milhares 56" xfId="1434"/>
    <cellStyle name="Separador de milhares 56 2" xfId="1898"/>
    <cellStyle name="Separador de milhares 56 2 2" xfId="2187"/>
    <cellStyle name="Separador de milhares 57" xfId="1435"/>
    <cellStyle name="Separador de milhares 57 2" xfId="1436"/>
    <cellStyle name="Separador de milhares 57 2 2" xfId="1899"/>
    <cellStyle name="Separador de milhares 57 2 2 2" xfId="2188"/>
    <cellStyle name="Separador de milhares 57 3" xfId="1900"/>
    <cellStyle name="Separador de milhares 57 3 2" xfId="2189"/>
    <cellStyle name="Separador de milhares 58" xfId="1437"/>
    <cellStyle name="Separador de milhares 58 2" xfId="1901"/>
    <cellStyle name="Separador de milhares 58 2 2" xfId="2190"/>
    <cellStyle name="Separador de milhares 59" xfId="1438"/>
    <cellStyle name="Separador de milhares 59 2" xfId="1902"/>
    <cellStyle name="Separador de milhares 59 2 2" xfId="2191"/>
    <cellStyle name="Separador de milhares 6" xfId="1439"/>
    <cellStyle name="Separador de milhares 6 2" xfId="1440"/>
    <cellStyle name="Separador de milhares 6 2 2" xfId="1903"/>
    <cellStyle name="Separador de milhares 6 2 2 2" xfId="2192"/>
    <cellStyle name="Separador de milhares 6 3" xfId="1904"/>
    <cellStyle name="Separador de milhares 6 3 2" xfId="2193"/>
    <cellStyle name="Separador de milhares 60" xfId="1441"/>
    <cellStyle name="Separador de milhares 60 2" xfId="1905"/>
    <cellStyle name="Separador de milhares 60 2 2" xfId="2194"/>
    <cellStyle name="Separador de milhares 61" xfId="1442"/>
    <cellStyle name="Separador de milhares 61 2" xfId="1443"/>
    <cellStyle name="Separador de milhares 61 2 2" xfId="1906"/>
    <cellStyle name="Separador de milhares 61 2 2 2" xfId="2195"/>
    <cellStyle name="Separador de milhares 61 3" xfId="1907"/>
    <cellStyle name="Separador de milhares 61 3 2" xfId="2196"/>
    <cellStyle name="Separador de milhares 62" xfId="1444"/>
    <cellStyle name="Separador de milhares 62 2" xfId="1908"/>
    <cellStyle name="Separador de milhares 62 2 2" xfId="2197"/>
    <cellStyle name="Separador de milhares 63" xfId="1445"/>
    <cellStyle name="Separador de milhares 63 2" xfId="1909"/>
    <cellStyle name="Separador de milhares 63 2 2" xfId="2198"/>
    <cellStyle name="Separador de milhares 64" xfId="1446"/>
    <cellStyle name="Separador de milhares 64 2" xfId="1910"/>
    <cellStyle name="Separador de milhares 64 2 2" xfId="2199"/>
    <cellStyle name="Separador de milhares 65" xfId="1447"/>
    <cellStyle name="Separador de milhares 65 2" xfId="1448"/>
    <cellStyle name="Separador de milhares 65 2 2" xfId="1911"/>
    <cellStyle name="Separador de milhares 65 2 2 2" xfId="2200"/>
    <cellStyle name="Separador de milhares 65 3" xfId="1912"/>
    <cellStyle name="Separador de milhares 65 3 2" xfId="2201"/>
    <cellStyle name="Separador de milhares 66" xfId="1449"/>
    <cellStyle name="Separador de milhares 66 2" xfId="1450"/>
    <cellStyle name="Separador de milhares 66 2 2" xfId="1913"/>
    <cellStyle name="Separador de milhares 66 2 2 2" xfId="2202"/>
    <cellStyle name="Separador de milhares 66 3" xfId="1914"/>
    <cellStyle name="Separador de milhares 66 3 2" xfId="2203"/>
    <cellStyle name="Separador de milhares 67" xfId="1451"/>
    <cellStyle name="Separador de milhares 67 2" xfId="1915"/>
    <cellStyle name="Separador de milhares 67 2 2" xfId="2204"/>
    <cellStyle name="Separador de milhares 68" xfId="1452"/>
    <cellStyle name="Separador de milhares 68 2" xfId="1916"/>
    <cellStyle name="Separador de milhares 68 2 2" xfId="2205"/>
    <cellStyle name="Separador de milhares 69" xfId="1453"/>
    <cellStyle name="Separador de milhares 69 2" xfId="1917"/>
    <cellStyle name="Separador de milhares 69 2 2" xfId="2206"/>
    <cellStyle name="Separador de milhares 7" xfId="1454"/>
    <cellStyle name="Separador de milhares 7 2" xfId="1918"/>
    <cellStyle name="Separador de milhares 7 2 2" xfId="2207"/>
    <cellStyle name="Separador de milhares 70" xfId="1455"/>
    <cellStyle name="Separador de milhares 70 2" xfId="1919"/>
    <cellStyle name="Separador de milhares 70 2 2" xfId="2208"/>
    <cellStyle name="Separador de milhares 71" xfId="1456"/>
    <cellStyle name="Separador de milhares 71 2" xfId="1920"/>
    <cellStyle name="Separador de milhares 71 2 2" xfId="2209"/>
    <cellStyle name="Separador de milhares 72" xfId="1457"/>
    <cellStyle name="Separador de milhares 72 2" xfId="1921"/>
    <cellStyle name="Separador de milhares 72 2 2" xfId="2210"/>
    <cellStyle name="Separador de milhares 73" xfId="1458"/>
    <cellStyle name="Separador de milhares 73 2" xfId="1922"/>
    <cellStyle name="Separador de milhares 73 2 2" xfId="2211"/>
    <cellStyle name="Separador de milhares 74" xfId="1459"/>
    <cellStyle name="Separador de milhares 74 2" xfId="1923"/>
    <cellStyle name="Separador de milhares 74 2 2" xfId="2212"/>
    <cellStyle name="Separador de milhares 75" xfId="1460"/>
    <cellStyle name="Separador de milhares 75 2" xfId="1924"/>
    <cellStyle name="Separador de milhares 75 2 2" xfId="2213"/>
    <cellStyle name="Separador de milhares 76" xfId="1461"/>
    <cellStyle name="Separador de milhares 76 2" xfId="1925"/>
    <cellStyle name="Separador de milhares 76 2 2" xfId="2214"/>
    <cellStyle name="Separador de milhares 77" xfId="1462"/>
    <cellStyle name="Separador de milhares 77 2" xfId="1926"/>
    <cellStyle name="Separador de milhares 77 2 2" xfId="2215"/>
    <cellStyle name="Separador de milhares 78" xfId="1463"/>
    <cellStyle name="Separador de milhares 78 2" xfId="1927"/>
    <cellStyle name="Separador de milhares 78 2 2" xfId="2216"/>
    <cellStyle name="Separador de milhares 79" xfId="1464"/>
    <cellStyle name="Separador de milhares 79 2" xfId="1928"/>
    <cellStyle name="Separador de milhares 79 2 2" xfId="2217"/>
    <cellStyle name="Separador de milhares 8" xfId="1465"/>
    <cellStyle name="Separador de milhares 8 2" xfId="1466"/>
    <cellStyle name="Separador de milhares 8 2 2" xfId="1929"/>
    <cellStyle name="Separador de milhares 8 2 2 2" xfId="2218"/>
    <cellStyle name="Separador de milhares 8 3" xfId="1930"/>
    <cellStyle name="Separador de milhares 8 3 2" xfId="2219"/>
    <cellStyle name="Separador de milhares 80" xfId="1467"/>
    <cellStyle name="Separador de milhares 80 2" xfId="1931"/>
    <cellStyle name="Separador de milhares 80 2 2" xfId="2220"/>
    <cellStyle name="Separador de milhares 81" xfId="1468"/>
    <cellStyle name="Separador de milhares 81 2" xfId="1932"/>
    <cellStyle name="Separador de milhares 81 2 2" xfId="2221"/>
    <cellStyle name="Separador de milhares 82" xfId="1469"/>
    <cellStyle name="Separador de milhares 82 2" xfId="1933"/>
    <cellStyle name="Separador de milhares 82 2 2" xfId="2222"/>
    <cellStyle name="Separador de milhares 83" xfId="1470"/>
    <cellStyle name="Separador de milhares 83 2" xfId="1934"/>
    <cellStyle name="Separador de milhares 83 2 2" xfId="2223"/>
    <cellStyle name="Separador de milhares 84" xfId="1471"/>
    <cellStyle name="Separador de milhares 84 2" xfId="1935"/>
    <cellStyle name="Separador de milhares 84 2 2" xfId="2224"/>
    <cellStyle name="Separador de milhares 85" xfId="1472"/>
    <cellStyle name="Separador de milhares 85 2" xfId="1936"/>
    <cellStyle name="Separador de milhares 85 2 2" xfId="2225"/>
    <cellStyle name="Separador de milhares 86" xfId="1473"/>
    <cellStyle name="Separador de milhares 86 2" xfId="1937"/>
    <cellStyle name="Separador de milhares 86 2 2" xfId="2226"/>
    <cellStyle name="Separador de milhares 87" xfId="1474"/>
    <cellStyle name="Separador de milhares 87 2" xfId="1938"/>
    <cellStyle name="Separador de milhares 87 2 2" xfId="2227"/>
    <cellStyle name="Separador de milhares 88" xfId="1475"/>
    <cellStyle name="Separador de milhares 88 2" xfId="1939"/>
    <cellStyle name="Separador de milhares 88 2 2" xfId="2228"/>
    <cellStyle name="Separador de milhares 89" xfId="1476"/>
    <cellStyle name="Separador de milhares 89 2" xfId="1940"/>
    <cellStyle name="Separador de milhares 89 2 2" xfId="2229"/>
    <cellStyle name="Separador de milhares 9" xfId="1477"/>
    <cellStyle name="Separador de milhares 9 2" xfId="1478"/>
    <cellStyle name="Separador de milhares 9 2 2" xfId="1941"/>
    <cellStyle name="Separador de milhares 9 2 2 2" xfId="2230"/>
    <cellStyle name="Separador de milhares 9 3" xfId="1942"/>
    <cellStyle name="Separador de milhares 9 3 2" xfId="2231"/>
    <cellStyle name="Separador de milhares 90" xfId="1479"/>
    <cellStyle name="Separador de milhares 90 2" xfId="1943"/>
    <cellStyle name="Separador de milhares 90 2 2" xfId="2232"/>
    <cellStyle name="Separador de milhares 91" xfId="1480"/>
    <cellStyle name="Separador de milhares 91 2" xfId="1944"/>
    <cellStyle name="Separador de milhares 91 2 2" xfId="2233"/>
    <cellStyle name="Separador de milhares 92" xfId="1481"/>
    <cellStyle name="Separador de milhares 92 2" xfId="1945"/>
    <cellStyle name="Separador de milhares 92 2 2" xfId="2234"/>
    <cellStyle name="Separador de milhares 93" xfId="1482"/>
    <cellStyle name="Separador de milhares 93 2" xfId="1946"/>
    <cellStyle name="Separador de milhares 93 2 2" xfId="2235"/>
    <cellStyle name="Separador de milhares 94" xfId="1483"/>
    <cellStyle name="Separador de milhares 94 2" xfId="1947"/>
    <cellStyle name="Separador de milhares 94 2 2" xfId="2236"/>
    <cellStyle name="Separador de milhares 95" xfId="1484"/>
    <cellStyle name="Separador de milhares 95 2" xfId="1948"/>
    <cellStyle name="Separador de milhares 95 2 2" xfId="2237"/>
    <cellStyle name="Separador de milhares 96" xfId="1485"/>
    <cellStyle name="Separador de milhares 96 2" xfId="1949"/>
    <cellStyle name="Separador de milhares 96 2 2" xfId="2238"/>
    <cellStyle name="Separador de milhares 97" xfId="1486"/>
    <cellStyle name="Separador de milhares 97 2" xfId="1950"/>
    <cellStyle name="Separador de milhares 97 2 2" xfId="2239"/>
    <cellStyle name="Separador de milhares 98" xfId="1487"/>
    <cellStyle name="Separador de milhares 98 2" xfId="1951"/>
    <cellStyle name="Separador de milhares 98 2 2" xfId="2240"/>
    <cellStyle name="Separador de milhares 99" xfId="1488"/>
    <cellStyle name="Separador de milhares 99 2" xfId="1952"/>
    <cellStyle name="Separador de milhares 99 2 2" xfId="2241"/>
    <cellStyle name="Sheet Title" xfId="2843"/>
    <cellStyle name="Texto de Aviso" xfId="34" builtinId="11" customBuiltin="1"/>
    <cellStyle name="Texto de Aviso 10 2" xfId="1489"/>
    <cellStyle name="Texto de Aviso 11 2" xfId="1490"/>
    <cellStyle name="Texto de Aviso 12 2" xfId="1491"/>
    <cellStyle name="Texto de Aviso 13 2" xfId="1492"/>
    <cellStyle name="Texto de Aviso 14 2" xfId="1493"/>
    <cellStyle name="Texto de Aviso 15 2" xfId="1494"/>
    <cellStyle name="Texto de Aviso 16 2" xfId="1495"/>
    <cellStyle name="Texto de Aviso 17 2" xfId="1496"/>
    <cellStyle name="Texto de Aviso 2" xfId="1497"/>
    <cellStyle name="Texto de Aviso 2 2" xfId="1498"/>
    <cellStyle name="Texto de Aviso 3" xfId="1499"/>
    <cellStyle name="Texto de Aviso 3 2" xfId="1500"/>
    <cellStyle name="Texto de Aviso 4" xfId="1501"/>
    <cellStyle name="Texto de Aviso 4 2" xfId="1502"/>
    <cellStyle name="Texto de Aviso 5" xfId="1503"/>
    <cellStyle name="Texto de Aviso 5 2" xfId="1504"/>
    <cellStyle name="Texto de Aviso 6 2" xfId="1505"/>
    <cellStyle name="Texto de Aviso 7 2" xfId="1506"/>
    <cellStyle name="Texto de Aviso 8 2" xfId="1507"/>
    <cellStyle name="Texto de Aviso 9 2" xfId="1508"/>
    <cellStyle name="Texto Explicativo" xfId="35" builtinId="53" customBuiltin="1"/>
    <cellStyle name="Texto Explicativo 10 2" xfId="1509"/>
    <cellStyle name="Texto Explicativo 11 2" xfId="1510"/>
    <cellStyle name="Texto Explicativo 12 2" xfId="1511"/>
    <cellStyle name="Texto Explicativo 13 2" xfId="1512"/>
    <cellStyle name="Texto Explicativo 14 2" xfId="1513"/>
    <cellStyle name="Texto Explicativo 15 2" xfId="1514"/>
    <cellStyle name="Texto Explicativo 16 2" xfId="1515"/>
    <cellStyle name="Texto Explicativo 17 2" xfId="1516"/>
    <cellStyle name="Texto Explicativo 2" xfId="1517"/>
    <cellStyle name="Texto Explicativo 2 2" xfId="1518"/>
    <cellStyle name="Texto Explicativo 3" xfId="1519"/>
    <cellStyle name="Texto Explicativo 3 2" xfId="1520"/>
    <cellStyle name="Texto Explicativo 4" xfId="1521"/>
    <cellStyle name="Texto Explicativo 4 2" xfId="1522"/>
    <cellStyle name="Texto Explicativo 5" xfId="1523"/>
    <cellStyle name="Texto Explicativo 5 2" xfId="1524"/>
    <cellStyle name="Texto Explicativo 6 2" xfId="1525"/>
    <cellStyle name="Texto Explicativo 7 2" xfId="1526"/>
    <cellStyle name="Texto Explicativo 8 2" xfId="1527"/>
    <cellStyle name="Texto Explicativo 9 2" xfId="1528"/>
    <cellStyle name="Title" xfId="2844"/>
    <cellStyle name="Título" xfId="36" builtinId="15" customBuiltin="1"/>
    <cellStyle name="Título 1" xfId="37" builtinId="16" customBuiltin="1"/>
    <cellStyle name="Título 1 1" xfId="2845"/>
    <cellStyle name="Título 1 1 1" xfId="2846"/>
    <cellStyle name="Título 1 1 1 1" xfId="2847"/>
    <cellStyle name="Título 1 1 1 1 1" xfId="2848"/>
    <cellStyle name="Título 1 1 1 1 1 1" xfId="2849"/>
    <cellStyle name="Título 1 1 1 1 1 1 1" xfId="2850"/>
    <cellStyle name="Título 1 1 1 1 1 1 1 1" xfId="2851"/>
    <cellStyle name="Título 1 1 1 1 1 1 1 1 1" xfId="2852"/>
    <cellStyle name="Título 1 1 1 1 1 1 1 1 1 1" xfId="2853"/>
    <cellStyle name="Título 1 1 1 1 1 1 1 1 1 1 1" xfId="2854"/>
    <cellStyle name="Título 1 1 1 1 1 1 1 1 1 1 1 1" xfId="2855"/>
    <cellStyle name="Título 1 1 1 1 1 1 1 1 1 1 1 1 1" xfId="2856"/>
    <cellStyle name="Título 1 1 1 1 1 1 1 1 1 1 1 1 1 1" xfId="2857"/>
    <cellStyle name="Título 1 1 1 1 1 1 1 1 1 1 1 1 1 1 1" xfId="2858"/>
    <cellStyle name="Título 1 1 1 1 1 1 1 1 1 1 1 1 1 1 1 1" xfId="2859"/>
    <cellStyle name="Título 1 1 1 1 1 1 1 1 1 1 1 1 1 1 1 1 1" xfId="2860"/>
    <cellStyle name="Título 1 1 1 1 1 1 1 1 1 1 1 1 1 1 1 1 1 1" xfId="2861"/>
    <cellStyle name="Título 1 1 1 1 1 1 1 1 1 1 1 1 1 1 1 1 1 1 1" xfId="2862"/>
    <cellStyle name="Título 1 1 1 1 1 1 1 1 1 1 1 1 1 1 1 1 1 1 1 1" xfId="2863"/>
    <cellStyle name="Título 1 1 1 1 1 1 1 1 1 1 1 1 1 1 1 1 1 1 1 1 1" xfId="2864"/>
    <cellStyle name="Título 1 1 1 1 1 1 1 1 1 1 1 1 1 1 1 1 1 1 1 1 1 1" xfId="2865"/>
    <cellStyle name="Título 1 1 1 1 1 1 1 1 1 1 1 1 1 1 1 1 1 1 1 1 1 1 1" xfId="2866"/>
    <cellStyle name="Título 1 1 1 1 1 1 1 1 1 1 1 1 1 1 1 1 1 1 1 1 1 1 1 1" xfId="2867"/>
    <cellStyle name="Título 1 1 1 1 1 1 1 1 1 1 1 1 1 1 1 1 1 1 1 1 1 1 1 1 1" xfId="2868"/>
    <cellStyle name="Título 1 1 1 1 1 1 1 1 1 1 1 1 1 1 1 1 1 1 1 1 1 1 1 1 1 1" xfId="2869"/>
    <cellStyle name="Título 1 1 1 1 1 1 1 1 1 1 1 1 1 1 1 1 1 1 1 1 1 1 1 1 1 1 1" xfId="2870"/>
    <cellStyle name="Título 1 1 1 1 1 1 1 1 1 1 1 1 1 1 1 1 1 1 1 1 1 1 1 1 1 1 1 1" xfId="2871"/>
    <cellStyle name="Título 1 1 1 1 1 1 1 1 1 1 1 1 1 1 1 1 1 1 1 1 1 1 1 1 1 1 1 1 1" xfId="2872"/>
    <cellStyle name="Título 1 10 2" xfId="1529"/>
    <cellStyle name="Título 1 11 2" xfId="1530"/>
    <cellStyle name="Título 1 12 2" xfId="1531"/>
    <cellStyle name="Título 1 13 2" xfId="1532"/>
    <cellStyle name="Título 1 14 2" xfId="1533"/>
    <cellStyle name="Título 1 15 2" xfId="1534"/>
    <cellStyle name="Título 1 16 2" xfId="1535"/>
    <cellStyle name="Título 1 17 2" xfId="1536"/>
    <cellStyle name="Título 1 2" xfId="1537"/>
    <cellStyle name="Título 1 2 2" xfId="1538"/>
    <cellStyle name="Título 1 3" xfId="1539"/>
    <cellStyle name="Título 1 3 2" xfId="1540"/>
    <cellStyle name="Título 1 4" xfId="1541"/>
    <cellStyle name="Título 1 4 2" xfId="1542"/>
    <cellStyle name="Título 1 5" xfId="1543"/>
    <cellStyle name="Título 1 5 2" xfId="1544"/>
    <cellStyle name="Título 1 6" xfId="2873"/>
    <cellStyle name="Título 1 6 2" xfId="1545"/>
    <cellStyle name="Título 1 7 2" xfId="1546"/>
    <cellStyle name="Título 1 8 2" xfId="1547"/>
    <cellStyle name="Título 1 9 2" xfId="1548"/>
    <cellStyle name="Título 10 2" xfId="1549"/>
    <cellStyle name="Título 11 2" xfId="1550"/>
    <cellStyle name="Título 12 2" xfId="1551"/>
    <cellStyle name="Título 13 2" xfId="1552"/>
    <cellStyle name="Título 14 2" xfId="1553"/>
    <cellStyle name="Título 15 2" xfId="1554"/>
    <cellStyle name="Título 16 2" xfId="1555"/>
    <cellStyle name="Título 17 2" xfId="1556"/>
    <cellStyle name="Título 18 2" xfId="1557"/>
    <cellStyle name="Título 19 2" xfId="1558"/>
    <cellStyle name="Título 2" xfId="38" builtinId="17" customBuiltin="1"/>
    <cellStyle name="Título 2 10 2" xfId="1559"/>
    <cellStyle name="Título 2 11 2" xfId="1560"/>
    <cellStyle name="Título 2 12 2" xfId="1561"/>
    <cellStyle name="Título 2 13 2" xfId="1562"/>
    <cellStyle name="Título 2 14 2" xfId="1563"/>
    <cellStyle name="Título 2 15 2" xfId="1564"/>
    <cellStyle name="Título 2 16 2" xfId="1565"/>
    <cellStyle name="Título 2 17 2" xfId="1566"/>
    <cellStyle name="Título 2 2" xfId="1567"/>
    <cellStyle name="Título 2 2 2" xfId="1568"/>
    <cellStyle name="Título 2 3" xfId="1569"/>
    <cellStyle name="Título 2 3 2" xfId="1570"/>
    <cellStyle name="Título 2 4" xfId="1571"/>
    <cellStyle name="Título 2 4 2" xfId="1572"/>
    <cellStyle name="Título 2 5" xfId="1573"/>
    <cellStyle name="Título 2 5 2" xfId="1574"/>
    <cellStyle name="Título 2 6" xfId="2874"/>
    <cellStyle name="Título 2 6 2" xfId="1575"/>
    <cellStyle name="Título 2 7 2" xfId="1576"/>
    <cellStyle name="Título 2 8 2" xfId="1577"/>
    <cellStyle name="Título 2 9 2" xfId="1578"/>
    <cellStyle name="Título 20 2" xfId="1579"/>
    <cellStyle name="Título 3" xfId="39" builtinId="18" customBuiltin="1"/>
    <cellStyle name="Título 3 10 2" xfId="1580"/>
    <cellStyle name="Título 3 11 2" xfId="1581"/>
    <cellStyle name="Título 3 12 2" xfId="1582"/>
    <cellStyle name="Título 3 13 2" xfId="1583"/>
    <cellStyle name="Título 3 14 2" xfId="1584"/>
    <cellStyle name="Título 3 15 2" xfId="1585"/>
    <cellStyle name="Título 3 16 2" xfId="1586"/>
    <cellStyle name="Título 3 17 2" xfId="1587"/>
    <cellStyle name="Título 3 2" xfId="1588"/>
    <cellStyle name="Título 3 2 2" xfId="1589"/>
    <cellStyle name="Título 3 3" xfId="1590"/>
    <cellStyle name="Título 3 3 2" xfId="1591"/>
    <cellStyle name="Título 3 4" xfId="1592"/>
    <cellStyle name="Título 3 4 2" xfId="1593"/>
    <cellStyle name="Título 3 5" xfId="1594"/>
    <cellStyle name="Título 3 5 2" xfId="1595"/>
    <cellStyle name="Título 3 6" xfId="2875"/>
    <cellStyle name="Título 3 6 2" xfId="1596"/>
    <cellStyle name="Título 3 7 2" xfId="1597"/>
    <cellStyle name="Título 3 8 2" xfId="1598"/>
    <cellStyle name="Título 3 9 2" xfId="1599"/>
    <cellStyle name="Título 4" xfId="40" builtinId="19" customBuiltin="1"/>
    <cellStyle name="Título 4 10 2" xfId="1600"/>
    <cellStyle name="Título 4 11 2" xfId="1601"/>
    <cellStyle name="Título 4 12 2" xfId="1602"/>
    <cellStyle name="Título 4 13 2" xfId="1603"/>
    <cellStyle name="Título 4 14 2" xfId="1604"/>
    <cellStyle name="Título 4 15 2" xfId="1605"/>
    <cellStyle name="Título 4 16 2" xfId="1606"/>
    <cellStyle name="Título 4 17 2" xfId="1607"/>
    <cellStyle name="Título 4 2" xfId="1608"/>
    <cellStyle name="Título 4 2 2" xfId="1609"/>
    <cellStyle name="Título 4 3" xfId="1610"/>
    <cellStyle name="Título 4 3 2" xfId="1611"/>
    <cellStyle name="Título 4 4" xfId="1612"/>
    <cellStyle name="Título 4 4 2" xfId="1613"/>
    <cellStyle name="Título 4 5" xfId="1614"/>
    <cellStyle name="Título 4 5 2" xfId="1615"/>
    <cellStyle name="Título 4 6" xfId="2876"/>
    <cellStyle name="Título 4 6 2" xfId="1616"/>
    <cellStyle name="Título 4 7 2" xfId="1617"/>
    <cellStyle name="Título 4 8 2" xfId="1618"/>
    <cellStyle name="Título 4 9 2" xfId="1619"/>
    <cellStyle name="Título 5" xfId="2877"/>
    <cellStyle name="Título 5 2" xfId="1620"/>
    <cellStyle name="Título 6" xfId="2878"/>
    <cellStyle name="Título 6 2" xfId="1621"/>
    <cellStyle name="Título 7 2" xfId="1622"/>
    <cellStyle name="Título 8 2" xfId="1623"/>
    <cellStyle name="Título 9 2" xfId="1624"/>
    <cellStyle name="Total" xfId="41" builtinId="25" customBuiltin="1"/>
    <cellStyle name="Total 10" xfId="2879"/>
    <cellStyle name="Total 10 2" xfId="1625"/>
    <cellStyle name="Total 11" xfId="2880"/>
    <cellStyle name="Total 11 2" xfId="1626"/>
    <cellStyle name="Total 12" xfId="2881"/>
    <cellStyle name="Total 12 2" xfId="1627"/>
    <cellStyle name="Total 13" xfId="2882"/>
    <cellStyle name="Total 13 2" xfId="1628"/>
    <cellStyle name="Total 14" xfId="2883"/>
    <cellStyle name="Total 14 2" xfId="1629"/>
    <cellStyle name="Total 15" xfId="2884"/>
    <cellStyle name="Total 15 2" xfId="1630"/>
    <cellStyle name="Total 16" xfId="2885"/>
    <cellStyle name="Total 16 2" xfId="1631"/>
    <cellStyle name="Total 17" xfId="2886"/>
    <cellStyle name="Total 17 2" xfId="1632"/>
    <cellStyle name="Total 18" xfId="2887"/>
    <cellStyle name="Total 18 2" xfId="2888"/>
    <cellStyle name="Total 19" xfId="2889"/>
    <cellStyle name="Total 19 2" xfId="2890"/>
    <cellStyle name="Total 2" xfId="1633"/>
    <cellStyle name="Total 2 10" xfId="1634"/>
    <cellStyle name="Total 2 11" xfId="1635"/>
    <cellStyle name="Total 2 12" xfId="1636"/>
    <cellStyle name="Total 2 13" xfId="1637"/>
    <cellStyle name="Total 2 14" xfId="1638"/>
    <cellStyle name="Total 2 15" xfId="1639"/>
    <cellStyle name="Total 2 16" xfId="1640"/>
    <cellStyle name="Total 2 17" xfId="1641"/>
    <cellStyle name="Total 2 18" xfId="1642"/>
    <cellStyle name="Total 2 2" xfId="1643"/>
    <cellStyle name="Total 2 2 2" xfId="2891"/>
    <cellStyle name="Total 2 3" xfId="1644"/>
    <cellStyle name="Total 2 4" xfId="1645"/>
    <cellStyle name="Total 2 5" xfId="1646"/>
    <cellStyle name="Total 2 6" xfId="1647"/>
    <cellStyle name="Total 2 7" xfId="1648"/>
    <cellStyle name="Total 2 8" xfId="1649"/>
    <cellStyle name="Total 2 9" xfId="1650"/>
    <cellStyle name="Total 20" xfId="2892"/>
    <cellStyle name="Total 20 2" xfId="2893"/>
    <cellStyle name="Total 21" xfId="2894"/>
    <cellStyle name="Total 21 2" xfId="2895"/>
    <cellStyle name="Total 22" xfId="2896"/>
    <cellStyle name="Total 22 2" xfId="2897"/>
    <cellStyle name="Total 23" xfId="2898"/>
    <cellStyle name="Total 23 2" xfId="2899"/>
    <cellStyle name="Total 24" xfId="2900"/>
    <cellStyle name="Total 24 2" xfId="2901"/>
    <cellStyle name="Total 25" xfId="2902"/>
    <cellStyle name="Total 25 2" xfId="2903"/>
    <cellStyle name="Total 26" xfId="2904"/>
    <cellStyle name="Total 26 2" xfId="2905"/>
    <cellStyle name="Total 27" xfId="2906"/>
    <cellStyle name="Total 27 2" xfId="2907"/>
    <cellStyle name="Total 28" xfId="2908"/>
    <cellStyle name="Total 28 2" xfId="2909"/>
    <cellStyle name="Total 29" xfId="2910"/>
    <cellStyle name="Total 29 2" xfId="2911"/>
    <cellStyle name="Total 3" xfId="1651"/>
    <cellStyle name="Total 3 2" xfId="1652"/>
    <cellStyle name="Total 30" xfId="2912"/>
    <cellStyle name="Total 30 2" xfId="2913"/>
    <cellStyle name="Total 31" xfId="2914"/>
    <cellStyle name="Total 31 2" xfId="2915"/>
    <cellStyle name="Total 32" xfId="2916"/>
    <cellStyle name="Total 32 2" xfId="2917"/>
    <cellStyle name="Total 33" xfId="2918"/>
    <cellStyle name="Total 33 2" xfId="2919"/>
    <cellStyle name="Total 34" xfId="2920"/>
    <cellStyle name="Total 34 2" xfId="2921"/>
    <cellStyle name="Total 35" xfId="2922"/>
    <cellStyle name="Total 35 2" xfId="2923"/>
    <cellStyle name="Total 36" xfId="2924"/>
    <cellStyle name="Total 36 2" xfId="2925"/>
    <cellStyle name="Total 37" xfId="2926"/>
    <cellStyle name="Total 37 2" xfId="2927"/>
    <cellStyle name="Total 38" xfId="2928"/>
    <cellStyle name="Total 38 2" xfId="2929"/>
    <cellStyle name="Total 39" xfId="2930"/>
    <cellStyle name="Total 39 2" xfId="2931"/>
    <cellStyle name="Total 4" xfId="1653"/>
    <cellStyle name="Total 4 2" xfId="1654"/>
    <cellStyle name="Total 40" xfId="2932"/>
    <cellStyle name="Total 40 2" xfId="2933"/>
    <cellStyle name="Total 41" xfId="2934"/>
    <cellStyle name="Total 41 2" xfId="2935"/>
    <cellStyle name="Total 42" xfId="2936"/>
    <cellStyle name="Total 42 2" xfId="2937"/>
    <cellStyle name="Total 43" xfId="2938"/>
    <cellStyle name="Total 43 2" xfId="2939"/>
    <cellStyle name="Total 44" xfId="2940"/>
    <cellStyle name="Total 44 2" xfId="2941"/>
    <cellStyle name="Total 45" xfId="2942"/>
    <cellStyle name="Total 45 2" xfId="2943"/>
    <cellStyle name="Total 46" xfId="2944"/>
    <cellStyle name="Total 47" xfId="2945"/>
    <cellStyle name="Total 48" xfId="2946"/>
    <cellStyle name="Total 49" xfId="2947"/>
    <cellStyle name="Total 5" xfId="1655"/>
    <cellStyle name="Total 5 2" xfId="1656"/>
    <cellStyle name="Total 6" xfId="2948"/>
    <cellStyle name="Total 6 2" xfId="1657"/>
    <cellStyle name="Total 7" xfId="2949"/>
    <cellStyle name="Total 7 2" xfId="1658"/>
    <cellStyle name="Total 8" xfId="2950"/>
    <cellStyle name="Total 8 2" xfId="1659"/>
    <cellStyle name="Total 9" xfId="2951"/>
    <cellStyle name="Total 9 2" xfId="1660"/>
    <cellStyle name="Vírgula 2" xfId="1661"/>
    <cellStyle name="Vírgula 2 2" xfId="1953"/>
    <cellStyle name="Vírgula 2 2 2" xfId="2242"/>
    <cellStyle name="Vírgula 2 2 2 2" xfId="2297"/>
    <cellStyle name="Vírgula 2 2 2 2 2" xfId="2298"/>
    <cellStyle name="Vírgula 2 2 2 2 2 2" xfId="2299"/>
    <cellStyle name="Vírgula 2 2 2 2 3" xfId="2300"/>
    <cellStyle name="Vírgula 2 2 2 3" xfId="2301"/>
    <cellStyle name="Vírgula 2 2 2 3 2" xfId="2302"/>
    <cellStyle name="Vírgula 2 2 2 4" xfId="2303"/>
    <cellStyle name="Vírgula 2 2 3" xfId="2304"/>
    <cellStyle name="Vírgula 2 2 3 2" xfId="2305"/>
    <cellStyle name="Vírgula 2 2 3 2 2" xfId="2306"/>
    <cellStyle name="Vírgula 2 2 3 2 2 2" xfId="2307"/>
    <cellStyle name="Vírgula 2 2 3 2 3" xfId="2308"/>
    <cellStyle name="Vírgula 2 2 3 3" xfId="2309"/>
    <cellStyle name="Vírgula 2 2 3 3 2" xfId="2310"/>
    <cellStyle name="Vírgula 2 2 3 4" xfId="2311"/>
    <cellStyle name="Vírgula 2 2 4" xfId="2312"/>
    <cellStyle name="Vírgula 2 2 4 2" xfId="2313"/>
    <cellStyle name="Vírgula 2 2 4 2 2" xfId="2314"/>
    <cellStyle name="Vírgula 2 2 4 3" xfId="2315"/>
    <cellStyle name="Vírgula 2 2 5" xfId="2316"/>
    <cellStyle name="Vírgula 2 2 5 2" xfId="2317"/>
    <cellStyle name="Vírgula 2 2 6" xfId="2318"/>
    <cellStyle name="Vírgula 2 3" xfId="1954"/>
    <cellStyle name="Vírgula 2 3 2" xfId="2243"/>
    <cellStyle name="Vírgula 2 3 2 2" xfId="2319"/>
    <cellStyle name="Vírgula 2 3 3" xfId="2320"/>
    <cellStyle name="Vírgula 2 4" xfId="2321"/>
    <cellStyle name="Vírgula 2 4 2" xfId="2322"/>
    <cellStyle name="Vírgula 2 4 2 2" xfId="2323"/>
    <cellStyle name="Vírgula 2 4 2 2 2" xfId="2324"/>
    <cellStyle name="Vírgula 2 4 2 2 2 2" xfId="2325"/>
    <cellStyle name="Vírgula 2 4 2 2 3" xfId="2326"/>
    <cellStyle name="Vírgula 2 4 2 3" xfId="2327"/>
    <cellStyle name="Vírgula 2 4 2 3 2" xfId="2328"/>
    <cellStyle name="Vírgula 2 4 2 4" xfId="2329"/>
    <cellStyle name="Vírgula 2 4 3" xfId="2330"/>
    <cellStyle name="Vírgula 2 4 3 2" xfId="2331"/>
    <cellStyle name="Vírgula 2 4 3 2 2" xfId="2332"/>
    <cellStyle name="Vírgula 2 4 3 3" xfId="2333"/>
    <cellStyle name="Vírgula 2 4 4" xfId="2334"/>
    <cellStyle name="Vírgula 2 4 4 2" xfId="2335"/>
    <cellStyle name="Vírgula 2 4 5" xfId="2336"/>
    <cellStyle name="Vírgula 2 5" xfId="2337"/>
    <cellStyle name="Vírgula 2 6" xfId="2338"/>
    <cellStyle name="Vírgula 2 6 2" xfId="2339"/>
    <cellStyle name="Vírgula 2 7" xfId="2340"/>
    <cellStyle name="Vírgula 3" xfId="1955"/>
    <cellStyle name="Vírgula 3 2" xfId="2244"/>
    <cellStyle name="Vírgula 3 2 2" xfId="2341"/>
    <cellStyle name="Vírgula 3 2 2 2" xfId="2342"/>
    <cellStyle name="Vírgula 3 2 3" xfId="2343"/>
    <cellStyle name="Vírgula 3 3" xfId="2344"/>
    <cellStyle name="Vírgula 3 3 2" xfId="2345"/>
    <cellStyle name="Vírgula 3 4" xfId="2346"/>
    <cellStyle name="Vírgula 4" xfId="2347"/>
    <cellStyle name="Vírgula 4 2" xfId="2348"/>
    <cellStyle name="Vírgula 4 2 2" xfId="2349"/>
    <cellStyle name="Vírgula 4 3" xfId="2350"/>
    <cellStyle name="Vírgula 5" xfId="2351"/>
    <cellStyle name="Vírgula0" xfId="1662"/>
    <cellStyle name="Warning Text" xfId="295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1" Type="http://schemas.openxmlformats.org/officeDocument/2006/relationships/image" Target="../media/image8.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2</xdr:col>
      <xdr:colOff>723900</xdr:colOff>
      <xdr:row>3</xdr:row>
      <xdr:rowOff>129540</xdr:rowOff>
    </xdr:from>
    <xdr:to>
      <xdr:col>2</xdr:col>
      <xdr:colOff>2962275</xdr:colOff>
      <xdr:row>6</xdr:row>
      <xdr:rowOff>139065</xdr:rowOff>
    </xdr:to>
    <xdr:pic>
      <xdr:nvPicPr>
        <xdr:cNvPr id="3" name="Picture 1">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286000" y="335280"/>
          <a:ext cx="2238375" cy="489585"/>
        </a:xfrm>
        <a:prstGeom prst="rect">
          <a:avLst/>
        </a:prstGeom>
        <a:noFill/>
        <a:ln w="9525">
          <a:noFill/>
          <a:miter lim="800000"/>
          <a:headEnd/>
          <a:tailEnd/>
        </a:ln>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1143000"/>
          <a:ext cx="723900" cy="54292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4" name="Picture 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1143000"/>
          <a:ext cx="723900" cy="5429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85725</xdr:colOff>
      <xdr:row>1</xdr:row>
      <xdr:rowOff>76200</xdr:rowOff>
    </xdr:from>
    <xdr:to>
      <xdr:col>1</xdr:col>
      <xdr:colOff>809625</xdr:colOff>
      <xdr:row>3</xdr:row>
      <xdr:rowOff>161925</xdr:rowOff>
    </xdr:to>
    <xdr:pic>
      <xdr:nvPicPr>
        <xdr:cNvPr id="3" name="Picture 1">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1143000"/>
          <a:ext cx="723900" cy="542925"/>
        </a:xfrm>
        <a:prstGeom prst="rect">
          <a:avLst/>
        </a:prstGeom>
        <a:noFill/>
        <a:ln w="9525">
          <a:noFill/>
          <a:miter lim="800000"/>
          <a:headEnd/>
          <a:tailEnd/>
        </a:ln>
      </xdr:spPr>
    </xdr:pic>
    <xdr:clientData/>
  </xdr:twoCellAnchor>
  <xdr:twoCellAnchor>
    <xdr:from>
      <xdr:col>1</xdr:col>
      <xdr:colOff>85725</xdr:colOff>
      <xdr:row>1</xdr:row>
      <xdr:rowOff>76200</xdr:rowOff>
    </xdr:from>
    <xdr:to>
      <xdr:col>1</xdr:col>
      <xdr:colOff>809625</xdr:colOff>
      <xdr:row>3</xdr:row>
      <xdr:rowOff>161925</xdr:rowOff>
    </xdr:to>
    <xdr:pic>
      <xdr:nvPicPr>
        <xdr:cNvPr id="4" name="Picture 1">
          <a:extLst>
            <a:ext uri="{FF2B5EF4-FFF2-40B4-BE49-F238E27FC236}">
              <a16:creationId xmlns="" xmlns:a16="http://schemas.microsoft.com/office/drawing/2014/main" id="{00000000-0008-0000-02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5725" y="1143000"/>
          <a:ext cx="723900" cy="542925"/>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1</xdr:row>
      <xdr:rowOff>104775</xdr:rowOff>
    </xdr:from>
    <xdr:to>
      <xdr:col>1</xdr:col>
      <xdr:colOff>695325</xdr:colOff>
      <xdr:row>3</xdr:row>
      <xdr:rowOff>190500</xdr:rowOff>
    </xdr:to>
    <xdr:pic>
      <xdr:nvPicPr>
        <xdr:cNvPr id="3" name="Picture 1">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71575"/>
          <a:ext cx="542925" cy="54292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152400</xdr:colOff>
      <xdr:row>1</xdr:row>
      <xdr:rowOff>104775</xdr:rowOff>
    </xdr:from>
    <xdr:to>
      <xdr:col>1</xdr:col>
      <xdr:colOff>695325</xdr:colOff>
      <xdr:row>3</xdr:row>
      <xdr:rowOff>190500</xdr:rowOff>
    </xdr:to>
    <xdr:pic>
      <xdr:nvPicPr>
        <xdr:cNvPr id="2" name="Picture 1">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28675" y="1171575"/>
          <a:ext cx="542925" cy="561975"/>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152400</xdr:colOff>
      <xdr:row>1</xdr:row>
      <xdr:rowOff>114300</xdr:rowOff>
    </xdr:from>
    <xdr:to>
      <xdr:col>1</xdr:col>
      <xdr:colOff>0</xdr:colOff>
      <xdr:row>3</xdr:row>
      <xdr:rowOff>200025</xdr:rowOff>
    </xdr:to>
    <xdr:pic>
      <xdr:nvPicPr>
        <xdr:cNvPr id="3" name="Picture 1">
          <a:extLst>
            <a:ext uri="{FF2B5EF4-FFF2-40B4-BE49-F238E27FC236}">
              <a16:creationId xmlns=""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52400" y="1181100"/>
          <a:ext cx="762000" cy="542925"/>
        </a:xfrm>
        <a:prstGeom prst="rect">
          <a:avLst/>
        </a:prstGeom>
        <a:noFill/>
        <a:ln w="9525">
          <a:noFill/>
          <a:miter lim="800000"/>
          <a:headEnd/>
          <a:tailEnd/>
        </a:ln>
      </xdr:spPr>
    </xdr:pic>
    <xdr:clientData/>
  </xdr:twoCellAnchor>
  <xdr:twoCellAnchor editAs="oneCell">
    <xdr:from>
      <xdr:col>7</xdr:col>
      <xdr:colOff>74295</xdr:colOff>
      <xdr:row>296</xdr:row>
      <xdr:rowOff>106681</xdr:rowOff>
    </xdr:from>
    <xdr:to>
      <xdr:col>11</xdr:col>
      <xdr:colOff>733425</xdr:colOff>
      <xdr:row>302</xdr:row>
      <xdr:rowOff>175260</xdr:rowOff>
    </xdr:to>
    <xdr:pic>
      <xdr:nvPicPr>
        <xdr:cNvPr id="2" name="Imagem 1">
          <a:extLst>
            <a:ext uri="{FF2B5EF4-FFF2-40B4-BE49-F238E27FC236}">
              <a16:creationId xmlns="" xmlns:a16="http://schemas.microsoft.com/office/drawing/2014/main" id="{00000000-0008-0000-0700-000002000000}"/>
            </a:ext>
          </a:extLst>
        </xdr:cNvPr>
        <xdr:cNvPicPr>
          <a:picLocks noChangeAspect="1"/>
        </xdr:cNvPicPr>
      </xdr:nvPicPr>
      <xdr:blipFill rotWithShape="1">
        <a:blip xmlns:r="http://schemas.openxmlformats.org/officeDocument/2006/relationships" r:embed="rId2" cstate="print"/>
        <a:srcRect l="6895" t="27114" r="26301" b="26878"/>
        <a:stretch/>
      </xdr:blipFill>
      <xdr:spPr>
        <a:xfrm>
          <a:off x="7741920" y="65000506"/>
          <a:ext cx="3459480" cy="135445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110378</xdr:colOff>
      <xdr:row>0</xdr:row>
      <xdr:rowOff>53788</xdr:rowOff>
    </xdr:from>
    <xdr:to>
      <xdr:col>1</xdr:col>
      <xdr:colOff>62318</xdr:colOff>
      <xdr:row>3</xdr:row>
      <xdr:rowOff>152400</xdr:rowOff>
    </xdr:to>
    <xdr:pic>
      <xdr:nvPicPr>
        <xdr:cNvPr id="3" name="Picture 1">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10378" y="53788"/>
          <a:ext cx="839446" cy="797859"/>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180975</xdr:colOff>
      <xdr:row>1</xdr:row>
      <xdr:rowOff>66675</xdr:rowOff>
    </xdr:from>
    <xdr:to>
      <xdr:col>0</xdr:col>
      <xdr:colOff>904875</xdr:colOff>
      <xdr:row>3</xdr:row>
      <xdr:rowOff>152400</xdr:rowOff>
    </xdr:to>
    <xdr:pic>
      <xdr:nvPicPr>
        <xdr:cNvPr id="2" name="Picture 1">
          <a:extLst>
            <a:ext uri="{FF2B5EF4-FFF2-40B4-BE49-F238E27FC236}">
              <a16:creationId xmlns=""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80975" y="1133475"/>
          <a:ext cx="662940" cy="542925"/>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a:extLst>
            <a:ext uri="{FF2B5EF4-FFF2-40B4-BE49-F238E27FC236}">
              <a16:creationId xmlns=""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twoCellAnchor editAs="oneCell">
    <xdr:from>
      <xdr:col>3</xdr:col>
      <xdr:colOff>2425213</xdr:colOff>
      <xdr:row>0</xdr:row>
      <xdr:rowOff>36636</xdr:rowOff>
    </xdr:from>
    <xdr:to>
      <xdr:col>8</xdr:col>
      <xdr:colOff>175847</xdr:colOff>
      <xdr:row>0</xdr:row>
      <xdr:rowOff>649978</xdr:rowOff>
    </xdr:to>
    <xdr:pic>
      <xdr:nvPicPr>
        <xdr:cNvPr id="3" name="Imagem 2" descr="SINESP.png">
          <a:extLst>
            <a:ext uri="{FF2B5EF4-FFF2-40B4-BE49-F238E27FC236}">
              <a16:creationId xmlns="" xmlns:a16="http://schemas.microsoft.com/office/drawing/2014/main" id="{00000000-0008-0000-0A00-000003000000}"/>
            </a:ext>
          </a:extLst>
        </xdr:cNvPr>
        <xdr:cNvPicPr>
          <a:picLocks noChangeAspect="1"/>
        </xdr:cNvPicPr>
      </xdr:nvPicPr>
      <xdr:blipFill>
        <a:blip xmlns:r="http://schemas.openxmlformats.org/officeDocument/2006/relationships" r:embed="rId2" cstate="print"/>
        <a:stretch>
          <a:fillRect/>
        </a:stretch>
      </xdr:blipFill>
      <xdr:spPr>
        <a:xfrm>
          <a:off x="3539638" y="36636"/>
          <a:ext cx="1751134" cy="61334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3</xdr:col>
      <xdr:colOff>828675</xdr:colOff>
      <xdr:row>0</xdr:row>
      <xdr:rowOff>628650</xdr:rowOff>
    </xdr:to>
    <xdr:pic>
      <xdr:nvPicPr>
        <xdr:cNvPr id="2" name="Imagem 1">
          <a:extLst>
            <a:ext uri="{FF2B5EF4-FFF2-40B4-BE49-F238E27FC236}">
              <a16:creationId xmlns=""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1905000" cy="590550"/>
        </a:xfrm>
        <a:prstGeom prst="rect">
          <a:avLst/>
        </a:prstGeom>
        <a:noFill/>
        <a:ln w="9525">
          <a:noFill/>
          <a:miter lim="800000"/>
          <a:headEnd/>
          <a:tailEnd/>
        </a:ln>
      </xdr:spPr>
    </xdr:pic>
    <xdr:clientData/>
  </xdr:twoCellAnchor>
  <xdr:twoCellAnchor editAs="oneCell">
    <xdr:from>
      <xdr:col>3</xdr:col>
      <xdr:colOff>2425213</xdr:colOff>
      <xdr:row>0</xdr:row>
      <xdr:rowOff>29308</xdr:rowOff>
    </xdr:from>
    <xdr:to>
      <xdr:col>8</xdr:col>
      <xdr:colOff>175847</xdr:colOff>
      <xdr:row>0</xdr:row>
      <xdr:rowOff>642650</xdr:rowOff>
    </xdr:to>
    <xdr:pic>
      <xdr:nvPicPr>
        <xdr:cNvPr id="3" name="Imagem 2" descr="SINESP.png">
          <a:extLst>
            <a:ext uri="{FF2B5EF4-FFF2-40B4-BE49-F238E27FC236}">
              <a16:creationId xmlns=""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stretch>
          <a:fillRect/>
        </a:stretch>
      </xdr:blipFill>
      <xdr:spPr>
        <a:xfrm>
          <a:off x="3539638" y="29308"/>
          <a:ext cx="1751134" cy="61334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60961</xdr:colOff>
      <xdr:row>1</xdr:row>
      <xdr:rowOff>49523</xdr:rowOff>
    </xdr:from>
    <xdr:to>
      <xdr:col>4</xdr:col>
      <xdr:colOff>1909</xdr:colOff>
      <xdr:row>52</xdr:row>
      <xdr:rowOff>106675</xdr:rowOff>
    </xdr:to>
    <xdr:pic>
      <xdr:nvPicPr>
        <xdr:cNvPr id="2" name="Imagem 1">
          <a:extLst>
            <a:ext uri="{FF2B5EF4-FFF2-40B4-BE49-F238E27FC236}">
              <a16:creationId xmlns:a16="http://schemas.microsoft.com/office/drawing/2014/main" xmlns="" id="{00000000-0008-0000-0A00-000002000000}"/>
            </a:ext>
          </a:extLst>
        </xdr:cNvPr>
        <xdr:cNvPicPr>
          <a:picLocks noChangeAspect="1"/>
        </xdr:cNvPicPr>
      </xdr:nvPicPr>
      <xdr:blipFill rotWithShape="1">
        <a:blip xmlns:r="http://schemas.openxmlformats.org/officeDocument/2006/relationships" r:embed="rId1" cstate="print"/>
        <a:srcRect l="16054" t="20380" r="19788" b="9986"/>
        <a:stretch/>
      </xdr:blipFill>
      <xdr:spPr>
        <a:xfrm rot="16200000">
          <a:off x="-3635691" y="3936675"/>
          <a:ext cx="9772652" cy="237934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s03\Gilmar\OR&#199;AMENTOS\AJL%20Constru&#231;&#245;es\COMPOSI&#199;&#213;ES%20PARA%20LICITA&#199;&#213;ES\Cal&#231;adas%20Bras&#237;lia\CAL&#199;ADAS%20BRAS&#205;LIA%20-%20lote%2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Z:\Users\jose.neto.NOVACAP-SEDE\Downloads\PROJ-DE-037-17-OR&#199;-DT-111-17-SEOR&#199;A-PLA-CLP.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5gm\Meus%20documentos\2915\Excel\Compra\Prodasen-CC_01-08_completa_custo_F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S03\ditec\de-seor&#231;a\Users\Eduardo\01%20-%20TRABALHOS\01_PROJETOS\2009.06%20-%20CAIXA%20IGUATU\IGUATU\04_PE\PLO\3716-08-CAIXA-AGE-IGUATU-PE-PLO-0101-0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s03\de-seor&#231;a\Users\Eduardo\01%20-%20TRABALHOS\01_PROJETOS\2009.06%20-%20CAIXA%20IGUATU\IGUATU\04_PE\PLO\3716-08-CAIXA-AGE-IGUATU-PE-PLO-0101-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vemail2.terra.com.br/cgi-bin/webmail.exe/5-CSANEO%20ENGENHARIA/Vila%20Ol&#237;mpica/Samambaia/DrenaCalc5j_VOSamambaiar_DRN-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ns03\DITEC\07-SEOR&#199;A\2019\DOC%20TEC\BDI\EM%20VIGOR%20a%20partir%20de%2027.09.2018\Anexo%20III%20-%20Demonstrativo%20BDI.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DI-OBRAS"/>
      <sheetName val="Encargos"/>
      <sheetName val="CRONGRAMA"/>
      <sheetName val="ORÇAMENTO"/>
      <sheetName val="CPU's"/>
      <sheetName val="CPA's"/>
    </sheetNames>
    <sheetDataSet>
      <sheetData sheetId="0"/>
      <sheetData sheetId="1"/>
      <sheetData sheetId="2"/>
      <sheetData sheetId="3"/>
      <sheetData sheetId="4"/>
      <sheetData sheetId="5"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111-17-CAPA"/>
      <sheetName val="111.01-17-ADM OBRA"/>
      <sheetName val="111.02-17-EDIF"/>
      <sheetName val="111.03-17-IMPLA."/>
      <sheetName val="111.04-17-EQUIP"/>
      <sheetName val="111-17-CRON"/>
      <sheetName val="111-17-ABC"/>
      <sheetName val="111-17-COMP.ARQ."/>
      <sheetName val="111-17-COMP.IMPL."/>
      <sheetName val="111-17-COMP.INST."/>
      <sheetName val="111-17-COMP.AUX"/>
      <sheetName val="111-17-COTAÇÃO"/>
      <sheetName val="Encargos"/>
      <sheetName val="BDI obra"/>
      <sheetName val="BDI equi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9">
          <cell r="A9">
            <v>1</v>
          </cell>
          <cell r="B9" t="str">
            <v>MOBILIZAÇAO/DESMOBILIZ EQUIPAM ESTACA HELICE CONTINUA</v>
          </cell>
          <cell r="C9" t="str">
            <v>UN</v>
          </cell>
          <cell r="D9">
            <v>9333.3333333333339</v>
          </cell>
        </row>
        <row r="10">
          <cell r="A10" t="str">
            <v>NOME</v>
          </cell>
        </row>
        <row r="11">
          <cell r="A11" t="str">
            <v>PREÇO</v>
          </cell>
        </row>
        <row r="12">
          <cell r="A12" t="str">
            <v>CNPJ</v>
          </cell>
        </row>
        <row r="13">
          <cell r="A13" t="str">
            <v>TELEFONE</v>
          </cell>
        </row>
        <row r="14">
          <cell r="A14" t="str">
            <v>DATA</v>
          </cell>
        </row>
        <row r="16">
          <cell r="A16">
            <v>2</v>
          </cell>
          <cell r="B16" t="str">
            <v>MOBILIZAÇAO/DESMOBILIZ EQUIPAM ESTACA ESCAVADA MECANICAMENTE</v>
          </cell>
          <cell r="C16" t="str">
            <v>M3</v>
          </cell>
          <cell r="D16">
            <v>1500</v>
          </cell>
        </row>
        <row r="17">
          <cell r="A17" t="str">
            <v>NOME</v>
          </cell>
        </row>
        <row r="18">
          <cell r="A18" t="str">
            <v>PREÇO</v>
          </cell>
        </row>
        <row r="19">
          <cell r="A19" t="str">
            <v>CNPJ</v>
          </cell>
        </row>
        <row r="20">
          <cell r="A20" t="str">
            <v>TELEFONE</v>
          </cell>
        </row>
        <row r="21">
          <cell r="A21" t="str">
            <v>DATA</v>
          </cell>
        </row>
        <row r="23">
          <cell r="A23">
            <v>3</v>
          </cell>
          <cell r="B23" t="str">
            <v>CANTONEIRA INTERNA</v>
          </cell>
          <cell r="C23" t="str">
            <v>UN</v>
          </cell>
          <cell r="D23">
            <v>19.466666666666669</v>
          </cell>
        </row>
        <row r="24">
          <cell r="A24" t="str">
            <v>NOME</v>
          </cell>
        </row>
        <row r="25">
          <cell r="A25" t="str">
            <v>PREÇO</v>
          </cell>
        </row>
        <row r="26">
          <cell r="A26" t="str">
            <v>CNPJ</v>
          </cell>
        </row>
        <row r="27">
          <cell r="A27" t="str">
            <v>TELEFONE</v>
          </cell>
        </row>
        <row r="28">
          <cell r="A28" t="str">
            <v>DATA</v>
          </cell>
        </row>
        <row r="30">
          <cell r="A30">
            <v>4</v>
          </cell>
          <cell r="B30" t="str">
            <v>CANTONEIRA EXTERNA</v>
          </cell>
          <cell r="C30" t="str">
            <v>UN</v>
          </cell>
          <cell r="D30">
            <v>30.72</v>
          </cell>
        </row>
        <row r="31">
          <cell r="A31" t="str">
            <v>NOME</v>
          </cell>
        </row>
        <row r="32">
          <cell r="A32" t="str">
            <v>PREÇO</v>
          </cell>
        </row>
        <row r="33">
          <cell r="A33" t="str">
            <v>CNPJ</v>
          </cell>
        </row>
        <row r="34">
          <cell r="A34" t="str">
            <v>TELEFONE</v>
          </cell>
        </row>
        <row r="35">
          <cell r="A35" t="str">
            <v>DATA</v>
          </cell>
        </row>
        <row r="37">
          <cell r="A37">
            <v>5</v>
          </cell>
          <cell r="B37" t="str">
            <v xml:space="preserve">CHAPA DE LIGAÇÃO </v>
          </cell>
          <cell r="C37" t="str">
            <v>UN</v>
          </cell>
          <cell r="D37">
            <v>22.226666666666663</v>
          </cell>
        </row>
        <row r="38">
          <cell r="A38" t="str">
            <v>NOME</v>
          </cell>
        </row>
        <row r="39">
          <cell r="A39" t="str">
            <v>PREÇO</v>
          </cell>
        </row>
        <row r="40">
          <cell r="A40" t="str">
            <v>CNPJ</v>
          </cell>
        </row>
        <row r="41">
          <cell r="A41" t="str">
            <v>TELEFONE</v>
          </cell>
        </row>
        <row r="42">
          <cell r="A42" t="str">
            <v>DATA</v>
          </cell>
        </row>
        <row r="44">
          <cell r="A44">
            <v>6</v>
          </cell>
          <cell r="B44" t="str">
            <v>BATENTE COM ENCOSTO DE BORRACHA - COM PARAFUSOS CROMADOS</v>
          </cell>
          <cell r="C44" t="str">
            <v>UN</v>
          </cell>
          <cell r="D44">
            <v>27.446666666666669</v>
          </cell>
        </row>
        <row r="45">
          <cell r="A45" t="str">
            <v>NOME</v>
          </cell>
        </row>
        <row r="46">
          <cell r="A46" t="str">
            <v>PREÇO</v>
          </cell>
        </row>
        <row r="47">
          <cell r="A47" t="str">
            <v>CNPJ</v>
          </cell>
        </row>
        <row r="48">
          <cell r="A48" t="str">
            <v>TELEFONE</v>
          </cell>
        </row>
        <row r="49">
          <cell r="A49" t="str">
            <v>DATA</v>
          </cell>
        </row>
        <row r="51">
          <cell r="A51">
            <v>7</v>
          </cell>
          <cell r="B51" t="str">
            <v>PARAFUSO CROMADO</v>
          </cell>
          <cell r="C51" t="str">
            <v>UN</v>
          </cell>
          <cell r="D51">
            <v>4.6566666666666663</v>
          </cell>
        </row>
        <row r="52">
          <cell r="A52" t="str">
            <v>NOME</v>
          </cell>
        </row>
        <row r="53">
          <cell r="A53" t="str">
            <v>PREÇO</v>
          </cell>
        </row>
        <row r="54">
          <cell r="A54" t="str">
            <v>CNPJ</v>
          </cell>
        </row>
        <row r="55">
          <cell r="A55" t="str">
            <v>TELEFONE</v>
          </cell>
        </row>
        <row r="56">
          <cell r="A56" t="str">
            <v>DATA</v>
          </cell>
        </row>
        <row r="58">
          <cell r="A58">
            <v>8</v>
          </cell>
          <cell r="B58" t="str">
            <v>FORNECIMENTO E INSTALAÇÃO DE PORTA EM VENEZIANA DE ALUMÍNIO COM PINTURA ELETROSTÁTICA (PA01) DE ABRIR, 1 FOLHA, COMPLETA 0,80X2,10m</v>
          </cell>
          <cell r="C58" t="str">
            <v>UN</v>
          </cell>
          <cell r="D58">
            <v>1429.6666666666667</v>
          </cell>
        </row>
        <row r="59">
          <cell r="A59" t="str">
            <v>NOME</v>
          </cell>
        </row>
        <row r="60">
          <cell r="A60" t="str">
            <v>PREÇO</v>
          </cell>
        </row>
        <row r="61">
          <cell r="A61" t="str">
            <v>CNPJ</v>
          </cell>
        </row>
        <row r="62">
          <cell r="A62" t="str">
            <v>TELEFONE</v>
          </cell>
        </row>
        <row r="63">
          <cell r="A63" t="str">
            <v>DATA</v>
          </cell>
        </row>
        <row r="65">
          <cell r="A65">
            <v>9</v>
          </cell>
          <cell r="B65" t="str">
            <v>PORTA EM VENEZIANA DE ALUMÍNIO COM PINTURA ELETROSTÁTICA (PFV01) DE ABRIR, 2 FOLHAS, COMPLETA 1,20x2,00m</v>
          </cell>
          <cell r="C65" t="str">
            <v>UN</v>
          </cell>
          <cell r="D65">
            <v>1452.3721166666667</v>
          </cell>
        </row>
        <row r="66">
          <cell r="A66" t="str">
            <v>NOME</v>
          </cell>
          <cell r="B66" t="str">
            <v>7 UNIDADES</v>
          </cell>
        </row>
        <row r="67">
          <cell r="A67" t="str">
            <v>PREÇO</v>
          </cell>
        </row>
        <row r="68">
          <cell r="A68" t="str">
            <v>CNPJ</v>
          </cell>
        </row>
        <row r="69">
          <cell r="A69" t="str">
            <v>TELEFONE</v>
          </cell>
        </row>
        <row r="70">
          <cell r="A70" t="str">
            <v>DATA</v>
          </cell>
        </row>
        <row r="72">
          <cell r="A72">
            <v>10</v>
          </cell>
          <cell r="B72" t="str">
            <v>PORTA EM VENEZIANA DE ALUMÍNIO COM PINTURA ELETROSTÁTICA (PFV02) DE ABRIR, 2 FOLHAS, COMPLETA 2,00x2,00m</v>
          </cell>
          <cell r="C72" t="str">
            <v>UN</v>
          </cell>
          <cell r="D72">
            <v>1946.6699500000002</v>
          </cell>
        </row>
        <row r="73">
          <cell r="A73" t="str">
            <v>NOME</v>
          </cell>
          <cell r="B73" t="str">
            <v>3 UNIDADES</v>
          </cell>
        </row>
        <row r="74">
          <cell r="A74" t="str">
            <v>PREÇO</v>
          </cell>
        </row>
        <row r="75">
          <cell r="A75" t="str">
            <v>CNPJ</v>
          </cell>
        </row>
        <row r="76">
          <cell r="A76" t="str">
            <v>TELEFONE</v>
          </cell>
        </row>
        <row r="77">
          <cell r="A77" t="str">
            <v>DATA</v>
          </cell>
        </row>
        <row r="79">
          <cell r="A79">
            <v>11</v>
          </cell>
          <cell r="B79" t="str">
            <v>CONJUNTO DE PORTA COM DUAS FOLHAS DE ABRIR EM VIDRO LAMINADO 6MM, JANELAS MAXIM-AR EM VIDRO LAMINADO 6MM E VIDRO LAMINADO 6MM FIXO EM CAIXILHO, ESTRUTURA EM ALUMÍNIO COM PINTURA ELETROSTÁTICA (PV01 e PV02), ALTURA TOTAL = 2,80m</v>
          </cell>
          <cell r="C79" t="str">
            <v>UN</v>
          </cell>
        </row>
        <row r="80">
          <cell r="A80" t="str">
            <v>NOME</v>
          </cell>
        </row>
        <row r="81">
          <cell r="A81" t="str">
            <v>PREÇO</v>
          </cell>
          <cell r="B81" t="str">
            <v>PV01 = 3,20X280M - 2 UNIDADES</v>
          </cell>
          <cell r="D81">
            <v>4990.2016666666668</v>
          </cell>
        </row>
        <row r="82">
          <cell r="A82" t="str">
            <v>PREÇO</v>
          </cell>
          <cell r="B82" t="str">
            <v>PV02 = 4,17X280M - 2 UNIDADES</v>
          </cell>
          <cell r="D82">
            <v>6062.0096666666659</v>
          </cell>
        </row>
        <row r="83">
          <cell r="A83" t="str">
            <v>CNPJ</v>
          </cell>
        </row>
        <row r="84">
          <cell r="A84" t="str">
            <v>TELEFONE</v>
          </cell>
        </row>
        <row r="85">
          <cell r="A85" t="str">
            <v>DATA</v>
          </cell>
        </row>
        <row r="87">
          <cell r="A87">
            <v>12</v>
          </cell>
          <cell r="B87" t="str">
            <v>PORTA CORTA-FOGO 1,60X210X4CM, INCLUSIVE BARRA ANTI-PÂNICO, COM PINTURA ELETROSTÁTICA, COM VISOR DE 50X50CM EM VIDRO TEMPERADO</v>
          </cell>
          <cell r="C87" t="str">
            <v>UN</v>
          </cell>
          <cell r="D87">
            <v>6277.06</v>
          </cell>
        </row>
        <row r="88">
          <cell r="A88" t="str">
            <v>NOME</v>
          </cell>
          <cell r="B88" t="str">
            <v>3 UNIDADES</v>
          </cell>
        </row>
        <row r="89">
          <cell r="A89" t="str">
            <v>PREÇO</v>
          </cell>
        </row>
        <row r="90">
          <cell r="A90" t="str">
            <v>CNPJ</v>
          </cell>
        </row>
        <row r="91">
          <cell r="A91" t="str">
            <v>TELEFONE</v>
          </cell>
        </row>
        <row r="92">
          <cell r="A92" t="str">
            <v>DATA</v>
          </cell>
        </row>
        <row r="94">
          <cell r="A94">
            <v>13</v>
          </cell>
          <cell r="B94" t="str">
            <v>PORTA CORTA-FOGO 1,20X210X4CM, INCLUSIVE BARRA ANTI-PÂNICO, COM PINTURA ELETROSTÁTICA, COM VISOR DE 50X50CM EM VIDRO TEMPERADO</v>
          </cell>
          <cell r="C94" t="str">
            <v>UN</v>
          </cell>
          <cell r="D94">
            <v>5894.42</v>
          </cell>
        </row>
        <row r="95">
          <cell r="A95" t="str">
            <v>NOME</v>
          </cell>
          <cell r="B95" t="str">
            <v>1 UNIDADE</v>
          </cell>
        </row>
        <row r="96">
          <cell r="A96" t="str">
            <v>PREÇO</v>
          </cell>
        </row>
        <row r="97">
          <cell r="A97" t="str">
            <v>CNPJ</v>
          </cell>
        </row>
        <row r="98">
          <cell r="A98" t="str">
            <v>TELEFONE</v>
          </cell>
        </row>
        <row r="99">
          <cell r="A99" t="str">
            <v>DATA</v>
          </cell>
        </row>
        <row r="101">
          <cell r="A101">
            <v>14</v>
          </cell>
          <cell r="B101" t="str">
            <v>FORNECIMENTO E INSTALAÇÃO DE JANELA EM VENEZIANA DE ALUMÍNIO FIXA COM PINTURA ELETROSTÁTICA (JA02), COMPLETA 0,80x0,60m</v>
          </cell>
          <cell r="C101" t="str">
            <v>UN</v>
          </cell>
          <cell r="D101">
            <v>249</v>
          </cell>
        </row>
        <row r="102">
          <cell r="A102" t="str">
            <v>NOME</v>
          </cell>
          <cell r="B102" t="str">
            <v>3 UNIDADES</v>
          </cell>
        </row>
        <row r="103">
          <cell r="A103" t="str">
            <v>PREÇO</v>
          </cell>
        </row>
        <row r="104">
          <cell r="A104" t="str">
            <v>CNPJ</v>
          </cell>
        </row>
        <row r="105">
          <cell r="A105" t="str">
            <v>TELEFONE</v>
          </cell>
        </row>
        <row r="106">
          <cell r="A106" t="str">
            <v>DATA</v>
          </cell>
        </row>
        <row r="108">
          <cell r="A108">
            <v>15</v>
          </cell>
          <cell r="B108" t="str">
            <v xml:space="preserve">FORNECIMENTO E INSTALAÇÃO DE JANELA BASCULANTE EM ALUMÍNIO, COM VIDRO LAMINADO DE 6MM,  COM PINTURA ELETROSTÁTICA (JA01, JA03 e JA05) COMPLETA </v>
          </cell>
          <cell r="C108" t="str">
            <v>UN</v>
          </cell>
        </row>
        <row r="109">
          <cell r="A109" t="str">
            <v>NOME</v>
          </cell>
        </row>
        <row r="110">
          <cell r="A110" t="str">
            <v>PREÇO</v>
          </cell>
          <cell r="B110" t="str">
            <v>JA01 - 2,00X0,60M - 22 UNIDADES</v>
          </cell>
          <cell r="D110">
            <v>872.86749999999995</v>
          </cell>
        </row>
        <row r="111">
          <cell r="A111" t="str">
            <v>PREÇO</v>
          </cell>
          <cell r="B111" t="str">
            <v>JA03 - 0,80X1,10M - 1 UNIDADE</v>
          </cell>
          <cell r="D111">
            <v>630</v>
          </cell>
        </row>
        <row r="112">
          <cell r="A112" t="str">
            <v>PREÇO</v>
          </cell>
          <cell r="B112" t="str">
            <v>JA05 - 0,80X0,60M - 10 UNIDADES</v>
          </cell>
          <cell r="D112">
            <v>484.05815733333333</v>
          </cell>
        </row>
        <row r="113">
          <cell r="A113" t="str">
            <v>CNPJ</v>
          </cell>
        </row>
        <row r="114">
          <cell r="A114" t="str">
            <v>TELEFONE</v>
          </cell>
        </row>
        <row r="115">
          <cell r="A115" t="str">
            <v>DATA</v>
          </cell>
        </row>
        <row r="117">
          <cell r="A117">
            <v>16</v>
          </cell>
          <cell r="B117" t="str">
            <v xml:space="preserve">FORNECIMENTO E INSTALAÇÃO DE JANELA DE CORRER EM ALUMÍNIO, COM VIDRO LAMINADO DE 6MM E COM PINTURA ELETROSTÁTICA (JA04) 1,00x0,60m, COMPLETA </v>
          </cell>
          <cell r="C117" t="str">
            <v>UN</v>
          </cell>
          <cell r="D117">
            <v>476.48804000000001</v>
          </cell>
        </row>
        <row r="118">
          <cell r="A118" t="str">
            <v>NOME</v>
          </cell>
          <cell r="B118" t="str">
            <v>2 UNIDADES</v>
          </cell>
        </row>
        <row r="119">
          <cell r="A119" t="str">
            <v>PREÇO</v>
          </cell>
        </row>
        <row r="120">
          <cell r="A120" t="str">
            <v>CNPJ</v>
          </cell>
        </row>
        <row r="121">
          <cell r="A121" t="str">
            <v>TELEFONE</v>
          </cell>
        </row>
        <row r="122">
          <cell r="A122" t="str">
            <v>DATA</v>
          </cell>
        </row>
        <row r="124">
          <cell r="A124">
            <v>17</v>
          </cell>
          <cell r="B124" t="str">
            <v xml:space="preserve">FORNECIMENTO E INSTALAÇÃO DE JANELA EM ALUMÍNIO FIXA, COM VIDRO LAMINADO DE 6MM E COM PINTURA ELETROSTÁTICA (JA06 e JA07) COMPLETA </v>
          </cell>
          <cell r="C124" t="str">
            <v>UN</v>
          </cell>
        </row>
        <row r="125">
          <cell r="A125" t="str">
            <v>NOME</v>
          </cell>
        </row>
        <row r="126">
          <cell r="A126" t="str">
            <v>PREÇO</v>
          </cell>
          <cell r="B126" t="str">
            <v>JA06 - 2,00X1,10M - 1 UNIDADE</v>
          </cell>
          <cell r="D126">
            <v>650</v>
          </cell>
        </row>
        <row r="127">
          <cell r="A127" t="str">
            <v>PREÇO</v>
          </cell>
          <cell r="B127" t="str">
            <v>JA07 - 1,40X1,10M - 1 UNIDADE</v>
          </cell>
          <cell r="D127">
            <v>535.66666666666663</v>
          </cell>
        </row>
        <row r="128">
          <cell r="A128" t="str">
            <v>CNPJ</v>
          </cell>
        </row>
        <row r="129">
          <cell r="A129" t="str">
            <v>TELEFONE</v>
          </cell>
        </row>
        <row r="130">
          <cell r="A130" t="str">
            <v>DATA</v>
          </cell>
        </row>
        <row r="132">
          <cell r="A132">
            <v>18</v>
          </cell>
          <cell r="B132" t="str">
            <v>REVESTIMENTO EM ALUMÍNIO COMPOSTO COR BRANCA - ACM</v>
          </cell>
          <cell r="C132" t="str">
            <v>M2</v>
          </cell>
          <cell r="D132">
            <v>375.26060606060605</v>
          </cell>
        </row>
        <row r="133">
          <cell r="A133" t="str">
            <v>NOME</v>
          </cell>
        </row>
        <row r="134">
          <cell r="A134" t="str">
            <v>PREÇO</v>
          </cell>
        </row>
        <row r="135">
          <cell r="A135" t="str">
            <v>CNPJ</v>
          </cell>
        </row>
        <row r="136">
          <cell r="A136" t="str">
            <v>TELEFONE</v>
          </cell>
        </row>
        <row r="137">
          <cell r="A137" t="str">
            <v>DATA</v>
          </cell>
        </row>
        <row r="139">
          <cell r="A139">
            <v>19</v>
          </cell>
          <cell r="B139" t="str">
            <v>TABICA DE GESSO, LARGURA 3cm, INSTALADO</v>
          </cell>
          <cell r="C139" t="str">
            <v>M</v>
          </cell>
          <cell r="D139">
            <v>16.333333333333332</v>
          </cell>
        </row>
        <row r="140">
          <cell r="A140" t="str">
            <v>NOME</v>
          </cell>
        </row>
        <row r="141">
          <cell r="A141" t="str">
            <v>PREÇO</v>
          </cell>
        </row>
        <row r="142">
          <cell r="A142" t="str">
            <v>CNPJ</v>
          </cell>
        </row>
        <row r="143">
          <cell r="A143" t="str">
            <v>TELEFONE</v>
          </cell>
        </row>
        <row r="144">
          <cell r="A144" t="str">
            <v>DATA</v>
          </cell>
        </row>
        <row r="146">
          <cell r="A146">
            <v>20</v>
          </cell>
          <cell r="B146" t="str">
            <v>SUPORTE PARA CORTINAS EM TRILHO SUISSO SIMPLES, FORNECIMENTO E INSTALAÇÃO</v>
          </cell>
          <cell r="C146" t="str">
            <v>M</v>
          </cell>
          <cell r="D146">
            <v>21.333333333333332</v>
          </cell>
        </row>
        <row r="147">
          <cell r="A147" t="str">
            <v>NOME</v>
          </cell>
        </row>
        <row r="148">
          <cell r="A148" t="str">
            <v>PREÇO</v>
          </cell>
        </row>
        <row r="149">
          <cell r="A149" t="str">
            <v>CNPJ</v>
          </cell>
        </row>
        <row r="150">
          <cell r="A150" t="str">
            <v>TELEFONE</v>
          </cell>
        </row>
        <row r="151">
          <cell r="A151" t="str">
            <v>DATA</v>
          </cell>
        </row>
        <row r="153">
          <cell r="A153">
            <v>21</v>
          </cell>
          <cell r="B153" t="str">
            <v>BEBEDOURO ELÉTRICO DE PRESSÃO EM AÇO INOXIDÁVEL, CAPACIDADE 4 L/H - SIMPLES</v>
          </cell>
          <cell r="C153" t="str">
            <v>UN</v>
          </cell>
          <cell r="D153">
            <v>2098.3066666666668</v>
          </cell>
        </row>
        <row r="154">
          <cell r="A154" t="str">
            <v>NOME</v>
          </cell>
        </row>
        <row r="155">
          <cell r="A155" t="str">
            <v>PREÇO</v>
          </cell>
        </row>
        <row r="156">
          <cell r="A156" t="str">
            <v>CNPJ</v>
          </cell>
        </row>
        <row r="157">
          <cell r="A157" t="str">
            <v>TELEFONE</v>
          </cell>
        </row>
        <row r="158">
          <cell r="A158" t="str">
            <v>DATA</v>
          </cell>
        </row>
        <row r="160">
          <cell r="A160">
            <v>22</v>
          </cell>
          <cell r="B160" t="str">
            <v>Espuma expansiva de poliuretano 500ml</v>
          </cell>
          <cell r="C160" t="str">
            <v>UN</v>
          </cell>
          <cell r="D160">
            <v>22.5</v>
          </cell>
        </row>
        <row r="161">
          <cell r="A161" t="str">
            <v>NOME</v>
          </cell>
        </row>
        <row r="162">
          <cell r="A162" t="str">
            <v>PREÇO</v>
          </cell>
        </row>
        <row r="163">
          <cell r="A163" t="str">
            <v>CNPJ</v>
          </cell>
        </row>
        <row r="164">
          <cell r="A164" t="str">
            <v>TELEFONE</v>
          </cell>
        </row>
        <row r="165">
          <cell r="A165" t="str">
            <v>DATA</v>
          </cell>
        </row>
        <row r="167">
          <cell r="A167">
            <v>23</v>
          </cell>
          <cell r="B167" t="str">
            <v>REVESTIMENTO CERÂMICO CECRISA OU EQUIVALENTE TÉCNICO 20x20cm, LINHA WHITE BASIC LUX</v>
          </cell>
          <cell r="C167" t="str">
            <v>M2</v>
          </cell>
          <cell r="D167">
            <v>80.45</v>
          </cell>
        </row>
        <row r="168">
          <cell r="A168" t="str">
            <v>NOME</v>
          </cell>
        </row>
        <row r="169">
          <cell r="A169" t="str">
            <v>PREÇO</v>
          </cell>
        </row>
        <row r="170">
          <cell r="A170" t="str">
            <v>CNPJ</v>
          </cell>
        </row>
        <row r="171">
          <cell r="A171" t="str">
            <v>TELEFONE</v>
          </cell>
        </row>
        <row r="172">
          <cell r="A172" t="str">
            <v>DATA</v>
          </cell>
        </row>
        <row r="174">
          <cell r="A174">
            <v>24</v>
          </cell>
          <cell r="B174" t="str">
            <v>ASSENTO PARA VASO SANITÁRIO P5 DECA OU EQUIVAL.</v>
          </cell>
          <cell r="C174" t="str">
            <v>UN</v>
          </cell>
          <cell r="D174">
            <v>261.96666666666664</v>
          </cell>
        </row>
        <row r="175">
          <cell r="A175" t="str">
            <v>NOME</v>
          </cell>
        </row>
        <row r="176">
          <cell r="A176" t="str">
            <v>PREÇO</v>
          </cell>
        </row>
        <row r="177">
          <cell r="A177" t="str">
            <v>CNPJ</v>
          </cell>
        </row>
        <row r="178">
          <cell r="A178" t="str">
            <v>TELEFONE</v>
          </cell>
        </row>
        <row r="179">
          <cell r="A179" t="str">
            <v>DATA</v>
          </cell>
        </row>
        <row r="181">
          <cell r="A181">
            <v>25</v>
          </cell>
          <cell r="B181" t="str">
            <v>VASO SANITÁRIO SIFONADO DE LOUÇA BRANCA, LINHA VOGUE PLUS</v>
          </cell>
          <cell r="C181" t="str">
            <v>UN</v>
          </cell>
          <cell r="D181">
            <v>286.89999999999998</v>
          </cell>
        </row>
        <row r="182">
          <cell r="A182" t="str">
            <v>NOME</v>
          </cell>
        </row>
        <row r="183">
          <cell r="A183" t="str">
            <v>PREÇO</v>
          </cell>
        </row>
        <row r="184">
          <cell r="A184" t="str">
            <v>CNPJ</v>
          </cell>
        </row>
        <row r="185">
          <cell r="A185" t="str">
            <v>TELEFONE</v>
          </cell>
        </row>
        <row r="186">
          <cell r="A186" t="str">
            <v>DATA</v>
          </cell>
        </row>
        <row r="188">
          <cell r="A188">
            <v>26</v>
          </cell>
          <cell r="B188" t="str">
            <v>BANHEIRA DE INOX PARA EMBUTIR PARA FRALDÁRIO (70x45x20/23)</v>
          </cell>
          <cell r="C188" t="str">
            <v>UN</v>
          </cell>
          <cell r="D188">
            <v>558.79</v>
          </cell>
        </row>
        <row r="189">
          <cell r="A189" t="str">
            <v>NOME</v>
          </cell>
        </row>
        <row r="190">
          <cell r="A190" t="str">
            <v>PREÇO</v>
          </cell>
        </row>
        <row r="191">
          <cell r="A191" t="str">
            <v>CNPJ</v>
          </cell>
        </row>
        <row r="192">
          <cell r="A192" t="str">
            <v>TELEFONE</v>
          </cell>
        </row>
        <row r="193">
          <cell r="A193" t="str">
            <v>DATA</v>
          </cell>
        </row>
        <row r="195">
          <cell r="A195">
            <v>27</v>
          </cell>
          <cell r="B195" t="str">
            <v xml:space="preserve">LAVATÓRIO COLETIVO  (ESCOVÓDROMO) EM AÇO INOXIDÁVEL 1,80m </v>
          </cell>
          <cell r="C195" t="str">
            <v>UN</v>
          </cell>
          <cell r="D195">
            <v>736.30666666666673</v>
          </cell>
        </row>
        <row r="196">
          <cell r="A196" t="str">
            <v>NOME</v>
          </cell>
        </row>
        <row r="197">
          <cell r="A197" t="str">
            <v>PREÇO</v>
          </cell>
        </row>
        <row r="198">
          <cell r="A198" t="str">
            <v>CNPJ</v>
          </cell>
        </row>
        <row r="199">
          <cell r="A199" t="str">
            <v>TELEFONE</v>
          </cell>
        </row>
        <row r="200">
          <cell r="A200" t="str">
            <v>DATA</v>
          </cell>
        </row>
        <row r="202">
          <cell r="A202">
            <v>28</v>
          </cell>
          <cell r="B202" t="str">
            <v>VALVULA DESCARGA HYDRA ECO DECA OU EQUIV.</v>
          </cell>
          <cell r="C202" t="str">
            <v>UN</v>
          </cell>
          <cell r="D202">
            <v>206.53</v>
          </cell>
        </row>
        <row r="203">
          <cell r="A203" t="str">
            <v>NOME</v>
          </cell>
        </row>
        <row r="204">
          <cell r="A204" t="str">
            <v>PREÇO</v>
          </cell>
        </row>
        <row r="205">
          <cell r="A205" t="str">
            <v>CNPJ</v>
          </cell>
        </row>
        <row r="206">
          <cell r="A206" t="str">
            <v>TELEFONE</v>
          </cell>
        </row>
        <row r="207">
          <cell r="A207" t="str">
            <v>DATA</v>
          </cell>
        </row>
        <row r="209">
          <cell r="A209">
            <v>29</v>
          </cell>
          <cell r="B209" t="str">
            <v>ACABAMENTO DE VÁLVULA DE DESCARGA PARA PNE</v>
          </cell>
          <cell r="C209" t="str">
            <v>UN</v>
          </cell>
          <cell r="D209">
            <v>406.60666666666674</v>
          </cell>
        </row>
        <row r="210">
          <cell r="A210" t="str">
            <v>NOME</v>
          </cell>
        </row>
        <row r="211">
          <cell r="A211" t="str">
            <v>PREÇO</v>
          </cell>
        </row>
        <row r="212">
          <cell r="A212" t="str">
            <v>CNPJ</v>
          </cell>
        </row>
        <row r="213">
          <cell r="A213" t="str">
            <v>TELEFONE</v>
          </cell>
        </row>
        <row r="214">
          <cell r="A214" t="str">
            <v>DATA</v>
          </cell>
        </row>
        <row r="216">
          <cell r="A216">
            <v>30</v>
          </cell>
          <cell r="B216" t="str">
            <v>Ducha higiênica com registro gatilho, acabamento cromado CR10, linha Aspen, CÓD. 1984C35 ACT. Fabricante Deca ou equivalente</v>
          </cell>
          <cell r="C216" t="str">
            <v>UN</v>
          </cell>
          <cell r="D216">
            <v>192.5633333333333</v>
          </cell>
        </row>
        <row r="217">
          <cell r="A217" t="str">
            <v>NOME</v>
          </cell>
        </row>
        <row r="218">
          <cell r="A218" t="str">
            <v>PREÇO</v>
          </cell>
        </row>
        <row r="219">
          <cell r="A219" t="str">
            <v>CNPJ</v>
          </cell>
        </row>
        <row r="220">
          <cell r="A220" t="str">
            <v>TELEFONE</v>
          </cell>
        </row>
        <row r="221">
          <cell r="A221" t="str">
            <v>DATA</v>
          </cell>
        </row>
        <row r="223">
          <cell r="A223">
            <v>31</v>
          </cell>
          <cell r="B223" t="str">
            <v>PERFIL CAIXA 300X170X3X25 mm, EM CHAPA DOBRADA</v>
          </cell>
          <cell r="C223" t="str">
            <v>KG</v>
          </cell>
          <cell r="D223">
            <v>4.4183880399924549</v>
          </cell>
        </row>
        <row r="224">
          <cell r="A224" t="str">
            <v>NOME</v>
          </cell>
          <cell r="B224" t="str">
            <v>634KG</v>
          </cell>
        </row>
        <row r="225">
          <cell r="A225" t="str">
            <v>PREÇO</v>
          </cell>
        </row>
        <row r="226">
          <cell r="A226" t="str">
            <v>CNPJ</v>
          </cell>
        </row>
        <row r="227">
          <cell r="A227" t="str">
            <v>TELEFONE</v>
          </cell>
        </row>
        <row r="228">
          <cell r="A228" t="str">
            <v>DATA</v>
          </cell>
        </row>
        <row r="230">
          <cell r="A230" t="str">
            <v>COTAÇÃO - 192</v>
          </cell>
          <cell r="B230" t="str">
            <v>PERFIL CAIXA 150X80X2X15 mm, EM CHAPA DOBRADA</v>
          </cell>
          <cell r="C230" t="str">
            <v>KG</v>
          </cell>
          <cell r="D230">
            <v>4.6146953405017923</v>
          </cell>
        </row>
        <row r="231">
          <cell r="A231" t="str">
            <v>NOME</v>
          </cell>
          <cell r="B231" t="str">
            <v>61,6KG</v>
          </cell>
        </row>
        <row r="232">
          <cell r="A232" t="str">
            <v>PREÇO</v>
          </cell>
        </row>
        <row r="233">
          <cell r="A233" t="str">
            <v>CNPJ</v>
          </cell>
        </row>
        <row r="234">
          <cell r="A234" t="str">
            <v>TELEFONE</v>
          </cell>
        </row>
        <row r="235">
          <cell r="A235" t="str">
            <v>DATA</v>
          </cell>
        </row>
        <row r="237">
          <cell r="A237">
            <v>193</v>
          </cell>
          <cell r="B237" t="str">
            <v>CABO PP 3X2,5MM</v>
          </cell>
          <cell r="C237" t="str">
            <v>M</v>
          </cell>
          <cell r="D237">
            <v>4.1900000000000004</v>
          </cell>
        </row>
        <row r="238">
          <cell r="A238" t="str">
            <v>NOME</v>
          </cell>
        </row>
        <row r="239">
          <cell r="A239" t="str">
            <v>PREÇO</v>
          </cell>
        </row>
        <row r="240">
          <cell r="A240" t="str">
            <v>CNPJ</v>
          </cell>
        </row>
        <row r="241">
          <cell r="A241" t="str">
            <v>TELEFONE</v>
          </cell>
        </row>
        <row r="242">
          <cell r="A242" t="str">
            <v>DATA</v>
          </cell>
        </row>
        <row r="244">
          <cell r="A244">
            <v>194</v>
          </cell>
          <cell r="B244" t="str">
            <v>BANCO DE CONCRETO PRÉ-MOLDADO DIMENSÕES 165 X 45CM SEM ENCOSTO</v>
          </cell>
          <cell r="C244" t="str">
            <v>UN</v>
          </cell>
          <cell r="D244">
            <v>391.11333333333329</v>
          </cell>
        </row>
        <row r="245">
          <cell r="A245" t="str">
            <v>NOME</v>
          </cell>
        </row>
        <row r="246">
          <cell r="A246" t="str">
            <v>PREÇO</v>
          </cell>
        </row>
        <row r="247">
          <cell r="A247" t="str">
            <v>CNPJ</v>
          </cell>
        </row>
        <row r="248">
          <cell r="A248" t="str">
            <v>TELEFONE</v>
          </cell>
        </row>
        <row r="249">
          <cell r="A249" t="str">
            <v>DATA</v>
          </cell>
        </row>
        <row r="251">
          <cell r="A251">
            <v>195</v>
          </cell>
          <cell r="B251" t="str">
            <v>Luminária de sobrepor 2x28W T5  C/Refletor e Aletas Parabólicas c/ lâmpadas</v>
          </cell>
          <cell r="C251" t="str">
            <v>UN</v>
          </cell>
          <cell r="D251">
            <v>293.89</v>
          </cell>
        </row>
        <row r="252">
          <cell r="A252" t="str">
            <v>NOME</v>
          </cell>
        </row>
        <row r="253">
          <cell r="A253" t="str">
            <v>PREÇO</v>
          </cell>
        </row>
        <row r="254">
          <cell r="A254" t="str">
            <v>CNPJ</v>
          </cell>
        </row>
        <row r="255">
          <cell r="A255" t="str">
            <v>TELEFONE</v>
          </cell>
        </row>
        <row r="256">
          <cell r="A256" t="str">
            <v>DATA</v>
          </cell>
        </row>
        <row r="258">
          <cell r="A258">
            <v>32</v>
          </cell>
          <cell r="B258" t="str">
            <v>ARRUELA 1"</v>
          </cell>
          <cell r="C258" t="str">
            <v>UN</v>
          </cell>
          <cell r="D258">
            <v>0.85199999999999998</v>
          </cell>
        </row>
        <row r="259">
          <cell r="A259" t="str">
            <v>NOME</v>
          </cell>
        </row>
        <row r="260">
          <cell r="A260" t="str">
            <v>PREÇO</v>
          </cell>
        </row>
        <row r="261">
          <cell r="A261" t="str">
            <v>CNPJ</v>
          </cell>
        </row>
        <row r="262">
          <cell r="A262" t="str">
            <v>TELEFONE</v>
          </cell>
        </row>
        <row r="263">
          <cell r="A263" t="str">
            <v>DATA</v>
          </cell>
        </row>
        <row r="265">
          <cell r="A265">
            <v>33</v>
          </cell>
          <cell r="B265" t="str">
            <v>PORCA 1"</v>
          </cell>
          <cell r="C265" t="str">
            <v>UN</v>
          </cell>
          <cell r="D265">
            <v>2.9529999999999994</v>
          </cell>
        </row>
        <row r="266">
          <cell r="A266" t="str">
            <v>NOME</v>
          </cell>
        </row>
        <row r="267">
          <cell r="A267" t="str">
            <v>PREÇO</v>
          </cell>
        </row>
        <row r="268">
          <cell r="A268" t="str">
            <v>CNPJ</v>
          </cell>
        </row>
        <row r="269">
          <cell r="A269" t="str">
            <v>TELEFONE</v>
          </cell>
        </row>
        <row r="270">
          <cell r="A270" t="str">
            <v>DATA</v>
          </cell>
        </row>
        <row r="272">
          <cell r="A272">
            <v>34</v>
          </cell>
          <cell r="B272" t="str">
            <v>ARRUELA 5/16"</v>
          </cell>
          <cell r="C272" t="str">
            <v>UN</v>
          </cell>
          <cell r="D272">
            <v>0.10233333333333333</v>
          </cell>
        </row>
        <row r="273">
          <cell r="A273" t="str">
            <v>NOME</v>
          </cell>
        </row>
        <row r="274">
          <cell r="A274" t="str">
            <v>PREÇO</v>
          </cell>
        </row>
        <row r="275">
          <cell r="A275" t="str">
            <v>CNPJ</v>
          </cell>
        </row>
        <row r="276">
          <cell r="A276" t="str">
            <v>TELEFONE</v>
          </cell>
        </row>
        <row r="277">
          <cell r="A277" t="str">
            <v>DATA</v>
          </cell>
        </row>
        <row r="279">
          <cell r="A279">
            <v>35</v>
          </cell>
          <cell r="B279" t="str">
            <v>PORCA 5/8"</v>
          </cell>
          <cell r="C279" t="str">
            <v>UN</v>
          </cell>
          <cell r="D279">
            <v>0.55799999999999994</v>
          </cell>
        </row>
        <row r="280">
          <cell r="A280" t="str">
            <v>NOME</v>
          </cell>
        </row>
        <row r="281">
          <cell r="A281" t="str">
            <v>PREÇO</v>
          </cell>
        </row>
        <row r="282">
          <cell r="A282" t="str">
            <v>CNPJ</v>
          </cell>
        </row>
        <row r="283">
          <cell r="A283" t="str">
            <v>TELEFONE</v>
          </cell>
        </row>
        <row r="284">
          <cell r="A284" t="str">
            <v>DATA</v>
          </cell>
        </row>
        <row r="286">
          <cell r="A286">
            <v>36</v>
          </cell>
          <cell r="B286" t="str">
            <v>BARRA ROSCADA 16MM, 1M, PARAFUSO PASSANTE</v>
          </cell>
          <cell r="C286" t="str">
            <v>M</v>
          </cell>
          <cell r="D286">
            <v>11.403333333333334</v>
          </cell>
        </row>
        <row r="287">
          <cell r="A287" t="str">
            <v>NOME</v>
          </cell>
        </row>
        <row r="288">
          <cell r="A288" t="str">
            <v>PREÇO</v>
          </cell>
        </row>
        <row r="289">
          <cell r="A289" t="str">
            <v>CNPJ</v>
          </cell>
        </row>
        <row r="290">
          <cell r="A290" t="str">
            <v>TELEFONE</v>
          </cell>
        </row>
        <row r="291">
          <cell r="A291" t="str">
            <v>DATA</v>
          </cell>
        </row>
        <row r="293">
          <cell r="A293">
            <v>37</v>
          </cell>
          <cell r="B293" t="str">
            <v>ARRUELA 5/8"</v>
          </cell>
          <cell r="C293" t="str">
            <v>UN</v>
          </cell>
          <cell r="D293">
            <v>0.3133333333333333</v>
          </cell>
        </row>
        <row r="294">
          <cell r="A294" t="str">
            <v>NOME</v>
          </cell>
        </row>
        <row r="295">
          <cell r="A295" t="str">
            <v>PREÇO</v>
          </cell>
        </row>
        <row r="296">
          <cell r="A296" t="str">
            <v>CNPJ</v>
          </cell>
        </row>
        <row r="297">
          <cell r="A297" t="str">
            <v>TELEFONE</v>
          </cell>
        </row>
        <row r="298">
          <cell r="A298" t="str">
            <v>DATA</v>
          </cell>
        </row>
        <row r="300">
          <cell r="A300">
            <v>38</v>
          </cell>
          <cell r="B300" t="str">
            <v>CHAPA CORT. #11</v>
          </cell>
          <cell r="C300" t="str">
            <v>KG</v>
          </cell>
          <cell r="D300">
            <v>4.5533333333333337</v>
          </cell>
        </row>
        <row r="301">
          <cell r="A301" t="str">
            <v>NOME</v>
          </cell>
        </row>
        <row r="302">
          <cell r="A302" t="str">
            <v>PREÇO</v>
          </cell>
        </row>
        <row r="303">
          <cell r="A303" t="str">
            <v>CNPJ</v>
          </cell>
        </row>
        <row r="304">
          <cell r="A304" t="str">
            <v>TELEFONE</v>
          </cell>
        </row>
        <row r="305">
          <cell r="A305" t="str">
            <v>DATA</v>
          </cell>
        </row>
        <row r="307">
          <cell r="A307">
            <v>39</v>
          </cell>
          <cell r="B307" t="str">
            <v>PORCA 5/16"</v>
          </cell>
          <cell r="C307" t="str">
            <v>UN</v>
          </cell>
          <cell r="D307">
            <v>0.10966666666666665</v>
          </cell>
        </row>
        <row r="308">
          <cell r="A308" t="str">
            <v>NOME</v>
          </cell>
        </row>
        <row r="309">
          <cell r="A309" t="str">
            <v>PREÇO</v>
          </cell>
        </row>
        <row r="310">
          <cell r="A310" t="str">
            <v>CNPJ</v>
          </cell>
        </row>
        <row r="311">
          <cell r="A311" t="str">
            <v>TELEFONE</v>
          </cell>
        </row>
        <row r="312">
          <cell r="A312" t="str">
            <v>DATA</v>
          </cell>
        </row>
        <row r="314">
          <cell r="A314">
            <v>40</v>
          </cell>
          <cell r="B314" t="str">
            <v>BARRA ROSCADA, 5/16", PARAFUSO PASSANTE, 1M</v>
          </cell>
          <cell r="C314" t="str">
            <v>UN</v>
          </cell>
          <cell r="D314">
            <v>2.5399999999999996</v>
          </cell>
        </row>
        <row r="315">
          <cell r="A315" t="str">
            <v>NOME</v>
          </cell>
        </row>
        <row r="316">
          <cell r="A316" t="str">
            <v>PREÇO</v>
          </cell>
        </row>
        <row r="317">
          <cell r="A317" t="str">
            <v>CNPJ</v>
          </cell>
        </row>
        <row r="318">
          <cell r="A318" t="str">
            <v>TELEFONE</v>
          </cell>
        </row>
        <row r="319">
          <cell r="A319" t="str">
            <v>DATA</v>
          </cell>
        </row>
        <row r="321">
          <cell r="A321">
            <v>41</v>
          </cell>
          <cell r="B321" t="str">
            <v>ARMARIO SUSPENSO EM ACO INOXIDAVEL, PROF.=30cm, 100x50cm</v>
          </cell>
          <cell r="C321" t="str">
            <v>UN</v>
          </cell>
          <cell r="D321">
            <v>1488</v>
          </cell>
        </row>
        <row r="322">
          <cell r="A322" t="str">
            <v>NOME</v>
          </cell>
        </row>
        <row r="323">
          <cell r="A323" t="str">
            <v>PREÇO</v>
          </cell>
        </row>
        <row r="324">
          <cell r="A324" t="str">
            <v>CNPJ</v>
          </cell>
        </row>
        <row r="325">
          <cell r="A325" t="str">
            <v>TELEFONE</v>
          </cell>
        </row>
        <row r="326">
          <cell r="A326" t="str">
            <v>DATA</v>
          </cell>
        </row>
        <row r="328">
          <cell r="A328">
            <v>42</v>
          </cell>
          <cell r="B328" t="str">
            <v>CABO DE ACO 3/8"</v>
          </cell>
          <cell r="C328" t="str">
            <v>UN</v>
          </cell>
          <cell r="D328">
            <v>9.3833333333333329</v>
          </cell>
        </row>
        <row r="329">
          <cell r="A329" t="str">
            <v>NOME</v>
          </cell>
        </row>
        <row r="330">
          <cell r="A330" t="str">
            <v>PREÇO</v>
          </cell>
        </row>
        <row r="331">
          <cell r="A331" t="str">
            <v>CNPJ</v>
          </cell>
        </row>
        <row r="332">
          <cell r="A332" t="str">
            <v>TELEFONE</v>
          </cell>
        </row>
        <row r="333">
          <cell r="A333" t="str">
            <v>DATA</v>
          </cell>
        </row>
        <row r="335">
          <cell r="A335">
            <v>43</v>
          </cell>
          <cell r="B335" t="str">
            <v>FUSIVEL ELO 6K</v>
          </cell>
          <cell r="C335" t="str">
            <v>UN</v>
          </cell>
          <cell r="D335">
            <v>3.6366666666666667</v>
          </cell>
        </row>
        <row r="336">
          <cell r="A336" t="str">
            <v>NOME</v>
          </cell>
        </row>
        <row r="337">
          <cell r="A337" t="str">
            <v>PREÇO</v>
          </cell>
        </row>
        <row r="338">
          <cell r="A338" t="str">
            <v>CNPJ</v>
          </cell>
        </row>
        <row r="339">
          <cell r="A339" t="str">
            <v>TELEFONE</v>
          </cell>
        </row>
        <row r="340">
          <cell r="A340" t="str">
            <v>DATA</v>
          </cell>
        </row>
        <row r="342">
          <cell r="A342">
            <v>44</v>
          </cell>
          <cell r="B342" t="str">
            <v>CABO DE ALUMINIO 15KV - 50MM2</v>
          </cell>
          <cell r="C342" t="str">
            <v>M</v>
          </cell>
          <cell r="D342">
            <v>13.166666666666666</v>
          </cell>
        </row>
        <row r="343">
          <cell r="A343" t="str">
            <v>NOME</v>
          </cell>
        </row>
        <row r="344">
          <cell r="A344" t="str">
            <v>PREÇO</v>
          </cell>
        </row>
        <row r="345">
          <cell r="A345" t="str">
            <v>CNPJ</v>
          </cell>
        </row>
        <row r="346">
          <cell r="A346" t="str">
            <v>TELEFONE</v>
          </cell>
        </row>
        <row r="347">
          <cell r="A347" t="str">
            <v>DATA</v>
          </cell>
        </row>
        <row r="349">
          <cell r="A349">
            <v>45</v>
          </cell>
          <cell r="B349" t="str">
            <v>PARA-RAIO OXIDO DE ZINCO 12KV- 10KA CORPO POLIMERICO</v>
          </cell>
          <cell r="C349" t="str">
            <v>UN</v>
          </cell>
          <cell r="D349">
            <v>163.16666666666666</v>
          </cell>
        </row>
        <row r="350">
          <cell r="A350" t="str">
            <v>NOME</v>
          </cell>
        </row>
        <row r="351">
          <cell r="A351" t="str">
            <v>PREÇO</v>
          </cell>
        </row>
        <row r="352">
          <cell r="A352" t="str">
            <v>CNPJ</v>
          </cell>
        </row>
        <row r="353">
          <cell r="A353" t="str">
            <v>TELEFONE</v>
          </cell>
        </row>
        <row r="354">
          <cell r="A354" t="str">
            <v>DATA</v>
          </cell>
        </row>
        <row r="356">
          <cell r="A356">
            <v>46</v>
          </cell>
          <cell r="B356" t="str">
            <v>isolador de ancoragem polimerico 15kV</v>
          </cell>
          <cell r="C356" t="str">
            <v>UN</v>
          </cell>
          <cell r="D356">
            <v>39.9</v>
          </cell>
        </row>
        <row r="357">
          <cell r="A357" t="str">
            <v>NOME</v>
          </cell>
        </row>
        <row r="358">
          <cell r="A358" t="str">
            <v>PREÇO</v>
          </cell>
        </row>
        <row r="359">
          <cell r="A359" t="str">
            <v>CNPJ</v>
          </cell>
        </row>
        <row r="360">
          <cell r="A360" t="str">
            <v>TELEFONE</v>
          </cell>
        </row>
        <row r="361">
          <cell r="A361" t="str">
            <v>DATA</v>
          </cell>
        </row>
        <row r="363">
          <cell r="A363">
            <v>47</v>
          </cell>
          <cell r="B363" t="str">
            <v>grampo de ancoragem para cabo</v>
          </cell>
          <cell r="C363" t="str">
            <v>UN</v>
          </cell>
          <cell r="D363">
            <v>48.813333333333333</v>
          </cell>
        </row>
        <row r="364">
          <cell r="A364" t="str">
            <v>NOME</v>
          </cell>
        </row>
        <row r="365">
          <cell r="A365" t="str">
            <v>PREÇO</v>
          </cell>
        </row>
        <row r="366">
          <cell r="A366" t="str">
            <v>CNPJ</v>
          </cell>
        </row>
        <row r="367">
          <cell r="A367" t="str">
            <v>TELEFONE</v>
          </cell>
        </row>
        <row r="368">
          <cell r="A368" t="str">
            <v>DATA</v>
          </cell>
        </row>
        <row r="370">
          <cell r="A370">
            <v>48</v>
          </cell>
          <cell r="B370" t="str">
            <v xml:space="preserve">conector tipo cunha </v>
          </cell>
          <cell r="C370" t="str">
            <v>UN</v>
          </cell>
          <cell r="D370">
            <v>3.7033333333333331</v>
          </cell>
        </row>
        <row r="371">
          <cell r="A371" t="str">
            <v>NOME</v>
          </cell>
        </row>
        <row r="372">
          <cell r="A372" t="str">
            <v>PREÇO</v>
          </cell>
        </row>
        <row r="373">
          <cell r="A373" t="str">
            <v>CNPJ</v>
          </cell>
        </row>
        <row r="374">
          <cell r="A374" t="str">
            <v>TELEFONE</v>
          </cell>
        </row>
        <row r="375">
          <cell r="A375" t="str">
            <v>DATA</v>
          </cell>
        </row>
        <row r="377">
          <cell r="A377">
            <v>49</v>
          </cell>
          <cell r="B377" t="str">
            <v>disjuntor trifasico 175A 18kA</v>
          </cell>
          <cell r="C377" t="str">
            <v>UN</v>
          </cell>
          <cell r="D377">
            <v>313.87666666666672</v>
          </cell>
        </row>
        <row r="378">
          <cell r="A378" t="str">
            <v>NOME</v>
          </cell>
        </row>
        <row r="379">
          <cell r="A379" t="str">
            <v>PREÇO</v>
          </cell>
        </row>
        <row r="380">
          <cell r="A380" t="str">
            <v>CNPJ</v>
          </cell>
        </row>
        <row r="381">
          <cell r="A381" t="str">
            <v>TELEFONE</v>
          </cell>
        </row>
        <row r="382">
          <cell r="A382" t="str">
            <v>DATA</v>
          </cell>
        </row>
        <row r="384">
          <cell r="A384">
            <v>50</v>
          </cell>
          <cell r="B384" t="str">
            <v>supressor de surto DPS 25kA -275V</v>
          </cell>
          <cell r="C384" t="str">
            <v>UN</v>
          </cell>
          <cell r="D384">
            <v>52.906666666666666</v>
          </cell>
        </row>
        <row r="385">
          <cell r="A385" t="str">
            <v>NOME</v>
          </cell>
        </row>
        <row r="386">
          <cell r="A386" t="str">
            <v>PREÇO</v>
          </cell>
        </row>
        <row r="387">
          <cell r="A387" t="str">
            <v>CNPJ</v>
          </cell>
        </row>
        <row r="388">
          <cell r="A388" t="str">
            <v>TELEFONE</v>
          </cell>
        </row>
        <row r="389">
          <cell r="A389" t="str">
            <v>DATA</v>
          </cell>
        </row>
        <row r="392">
          <cell r="A392">
            <v>51</v>
          </cell>
          <cell r="B392" t="str">
            <v>BARRA DE COBRE 3/4X3/16"</v>
          </cell>
          <cell r="C392" t="str">
            <v>M</v>
          </cell>
          <cell r="D392">
            <v>45.82</v>
          </cell>
        </row>
        <row r="393">
          <cell r="A393" t="str">
            <v>NOME</v>
          </cell>
        </row>
        <row r="394">
          <cell r="A394" t="str">
            <v>PREÇO</v>
          </cell>
        </row>
        <row r="395">
          <cell r="A395" t="str">
            <v>CNPJ</v>
          </cell>
        </row>
        <row r="396">
          <cell r="A396" t="str">
            <v>TELEFONE</v>
          </cell>
        </row>
        <row r="397">
          <cell r="A397" t="str">
            <v>DATA</v>
          </cell>
        </row>
        <row r="399">
          <cell r="A399">
            <v>52</v>
          </cell>
          <cell r="B399" t="str">
            <v>BARRA DE COBRE 3/4X1/8"</v>
          </cell>
          <cell r="C399" t="str">
            <v>M</v>
          </cell>
          <cell r="D399">
            <v>28.925000000000001</v>
          </cell>
        </row>
        <row r="400">
          <cell r="A400" t="str">
            <v>NOME</v>
          </cell>
        </row>
        <row r="401">
          <cell r="A401" t="str">
            <v>PREÇO</v>
          </cell>
        </row>
        <row r="402">
          <cell r="A402" t="str">
            <v>CNPJ</v>
          </cell>
        </row>
        <row r="403">
          <cell r="A403" t="str">
            <v>TELEFONE</v>
          </cell>
        </row>
        <row r="404">
          <cell r="A404" t="str">
            <v>DATA</v>
          </cell>
        </row>
        <row r="406">
          <cell r="A406">
            <v>53</v>
          </cell>
          <cell r="B406" t="str">
            <v xml:space="preserve">lampada tubular vapor metalico 250W </v>
          </cell>
          <cell r="C406" t="str">
            <v>UN</v>
          </cell>
          <cell r="D406">
            <v>59.46</v>
          </cell>
        </row>
        <row r="407">
          <cell r="A407" t="str">
            <v>NOME</v>
          </cell>
        </row>
        <row r="408">
          <cell r="A408" t="str">
            <v>PREÇO</v>
          </cell>
        </row>
        <row r="409">
          <cell r="A409" t="str">
            <v>CNPJ</v>
          </cell>
        </row>
        <row r="410">
          <cell r="A410" t="str">
            <v>TELEFONE</v>
          </cell>
        </row>
        <row r="411">
          <cell r="A411" t="str">
            <v>DATA</v>
          </cell>
        </row>
        <row r="413">
          <cell r="A413">
            <v>54</v>
          </cell>
          <cell r="B413" t="str">
            <v>reator para lamp.vapor metalico 250W</v>
          </cell>
          <cell r="C413" t="str">
            <v>UN</v>
          </cell>
          <cell r="D413">
            <v>60.423333333333339</v>
          </cell>
        </row>
        <row r="414">
          <cell r="A414" t="str">
            <v>NOME</v>
          </cell>
        </row>
        <row r="415">
          <cell r="A415" t="str">
            <v>PREÇO</v>
          </cell>
        </row>
        <row r="416">
          <cell r="A416" t="str">
            <v>CNPJ</v>
          </cell>
        </row>
        <row r="417">
          <cell r="A417" t="str">
            <v>TELEFONE</v>
          </cell>
        </row>
        <row r="418">
          <cell r="A418" t="str">
            <v>DATA</v>
          </cell>
        </row>
        <row r="420">
          <cell r="A420">
            <v>55</v>
          </cell>
          <cell r="B420" t="str">
            <v>gabinete fechado padrao 19" (Rack) 40U com porta em vidro temperado</v>
          </cell>
          <cell r="C420" t="str">
            <v>UN</v>
          </cell>
          <cell r="D420">
            <v>1940.86</v>
          </cell>
        </row>
        <row r="421">
          <cell r="A421" t="str">
            <v>NOME</v>
          </cell>
        </row>
        <row r="422">
          <cell r="A422" t="str">
            <v>PREÇO</v>
          </cell>
        </row>
        <row r="423">
          <cell r="A423" t="str">
            <v>CNPJ</v>
          </cell>
        </row>
        <row r="424">
          <cell r="A424" t="str">
            <v>TELEFONE</v>
          </cell>
        </row>
        <row r="425">
          <cell r="A425" t="str">
            <v>DATA</v>
          </cell>
        </row>
        <row r="427">
          <cell r="A427">
            <v>56</v>
          </cell>
          <cell r="B427" t="str">
            <v>path panel 24 portas - RJ45- cat.6</v>
          </cell>
          <cell r="C427" t="str">
            <v>UN</v>
          </cell>
          <cell r="D427">
            <v>743.52666666666664</v>
          </cell>
        </row>
        <row r="428">
          <cell r="A428" t="str">
            <v>NOME</v>
          </cell>
        </row>
        <row r="429">
          <cell r="A429" t="str">
            <v>PREÇO</v>
          </cell>
        </row>
        <row r="430">
          <cell r="A430" t="str">
            <v>CNPJ</v>
          </cell>
        </row>
        <row r="431">
          <cell r="A431" t="str">
            <v>TELEFONE</v>
          </cell>
        </row>
        <row r="432">
          <cell r="A432" t="str">
            <v>DATA</v>
          </cell>
        </row>
        <row r="434">
          <cell r="A434">
            <v>57</v>
          </cell>
          <cell r="B434" t="str">
            <v>path cord 2,5m - cat.6</v>
          </cell>
          <cell r="C434" t="str">
            <v>UN</v>
          </cell>
          <cell r="D434">
            <v>16.013333333333332</v>
          </cell>
        </row>
        <row r="435">
          <cell r="A435" t="str">
            <v>NOME</v>
          </cell>
        </row>
        <row r="436">
          <cell r="A436" t="str">
            <v>PREÇO</v>
          </cell>
        </row>
        <row r="437">
          <cell r="A437" t="str">
            <v>CNPJ</v>
          </cell>
        </row>
        <row r="438">
          <cell r="A438" t="str">
            <v>TELEFONE</v>
          </cell>
        </row>
        <row r="439">
          <cell r="A439" t="str">
            <v>DATA</v>
          </cell>
        </row>
        <row r="441">
          <cell r="A441">
            <v>58</v>
          </cell>
          <cell r="B441" t="str">
            <v>organizador horizontal de cabos 17 posicoes</v>
          </cell>
          <cell r="C441" t="str">
            <v>UN</v>
          </cell>
          <cell r="D441">
            <v>21.586666666666662</v>
          </cell>
        </row>
        <row r="442">
          <cell r="A442" t="str">
            <v>NOME</v>
          </cell>
        </row>
        <row r="443">
          <cell r="A443" t="str">
            <v>PREÇO</v>
          </cell>
        </row>
        <row r="444">
          <cell r="A444" t="str">
            <v>CNPJ</v>
          </cell>
        </row>
        <row r="445">
          <cell r="A445" t="str">
            <v>TELEFONE</v>
          </cell>
        </row>
        <row r="446">
          <cell r="A446" t="str">
            <v>DATA</v>
          </cell>
        </row>
        <row r="448">
          <cell r="A448">
            <v>59</v>
          </cell>
          <cell r="B448" t="str">
            <v>regua de tomadas (c/ 8 tomadas)</v>
          </cell>
          <cell r="C448" t="str">
            <v>UN</v>
          </cell>
          <cell r="D448">
            <v>89.740000000000009</v>
          </cell>
        </row>
        <row r="449">
          <cell r="A449" t="str">
            <v>NOME</v>
          </cell>
        </row>
        <row r="450">
          <cell r="A450" t="str">
            <v>PREÇO</v>
          </cell>
        </row>
        <row r="451">
          <cell r="A451" t="str">
            <v>CNPJ</v>
          </cell>
        </row>
        <row r="452">
          <cell r="A452" t="str">
            <v>TELEFONE</v>
          </cell>
        </row>
        <row r="453">
          <cell r="A453" t="str">
            <v>DATA</v>
          </cell>
        </row>
        <row r="455">
          <cell r="A455">
            <v>60</v>
          </cell>
          <cell r="B455" t="str">
            <v>distribuidor interno optico (DIO-24F)</v>
          </cell>
          <cell r="C455" t="str">
            <v>UN</v>
          </cell>
          <cell r="D455">
            <v>243.42999999999998</v>
          </cell>
        </row>
        <row r="456">
          <cell r="A456" t="str">
            <v>NOME</v>
          </cell>
        </row>
        <row r="457">
          <cell r="A457" t="str">
            <v>PREÇO</v>
          </cell>
        </row>
        <row r="458">
          <cell r="A458" t="str">
            <v>CNPJ</v>
          </cell>
        </row>
        <row r="459">
          <cell r="A459" t="str">
            <v>TELEFONE</v>
          </cell>
        </row>
        <row r="460">
          <cell r="A460" t="str">
            <v>DATA</v>
          </cell>
        </row>
        <row r="462">
          <cell r="A462">
            <v>61</v>
          </cell>
          <cell r="B462" t="str">
            <v xml:space="preserve">NRV( gravador digital em rede) </v>
          </cell>
          <cell r="C462" t="str">
            <v>UN</v>
          </cell>
          <cell r="D462">
            <v>1797.6366666666665</v>
          </cell>
        </row>
        <row r="463">
          <cell r="A463" t="str">
            <v>NOME</v>
          </cell>
        </row>
        <row r="464">
          <cell r="A464" t="str">
            <v>PREÇO</v>
          </cell>
        </row>
        <row r="465">
          <cell r="A465" t="str">
            <v>CNPJ</v>
          </cell>
        </row>
        <row r="466">
          <cell r="A466" t="str">
            <v>TELEFONE</v>
          </cell>
        </row>
        <row r="467">
          <cell r="A467" t="str">
            <v>DATA</v>
          </cell>
        </row>
        <row r="469">
          <cell r="A469">
            <v>62</v>
          </cell>
          <cell r="B469" t="str">
            <v>switch 24 portas RJ45</v>
          </cell>
          <cell r="C469" t="str">
            <v>UN</v>
          </cell>
          <cell r="D469">
            <v>528.61333333333334</v>
          </cell>
        </row>
        <row r="470">
          <cell r="A470" t="str">
            <v>NOME</v>
          </cell>
        </row>
        <row r="471">
          <cell r="A471" t="str">
            <v>PREÇO</v>
          </cell>
        </row>
        <row r="472">
          <cell r="A472" t="str">
            <v>CNPJ</v>
          </cell>
        </row>
        <row r="473">
          <cell r="A473" t="str">
            <v>TELEFONE</v>
          </cell>
        </row>
        <row r="474">
          <cell r="A474" t="str">
            <v>DATA</v>
          </cell>
        </row>
        <row r="476">
          <cell r="A476">
            <v>63</v>
          </cell>
          <cell r="B476" t="str">
            <v>voice panel (path voice)- 50 portas</v>
          </cell>
          <cell r="C476" t="str">
            <v>UN</v>
          </cell>
          <cell r="D476">
            <v>414.24333333333334</v>
          </cell>
        </row>
        <row r="477">
          <cell r="A477" t="str">
            <v>NOME</v>
          </cell>
        </row>
        <row r="478">
          <cell r="A478" t="str">
            <v>PREÇO</v>
          </cell>
        </row>
        <row r="479">
          <cell r="A479" t="str">
            <v>CNPJ</v>
          </cell>
        </row>
        <row r="480">
          <cell r="A480" t="str">
            <v>TELEFONE</v>
          </cell>
        </row>
        <row r="481">
          <cell r="A481" t="str">
            <v>DATA</v>
          </cell>
        </row>
        <row r="483">
          <cell r="A483">
            <v>64</v>
          </cell>
          <cell r="B483" t="str">
            <v xml:space="preserve">Central PABX Siemens Hipath 1150 DTC OU EQUIVALENTE </v>
          </cell>
          <cell r="C483" t="str">
            <v>UN</v>
          </cell>
          <cell r="D483">
            <v>1970</v>
          </cell>
        </row>
        <row r="484">
          <cell r="A484" t="str">
            <v>NOME</v>
          </cell>
        </row>
        <row r="485">
          <cell r="A485" t="str">
            <v>PREÇO</v>
          </cell>
        </row>
        <row r="486">
          <cell r="A486" t="str">
            <v>CNPJ</v>
          </cell>
        </row>
        <row r="487">
          <cell r="A487" t="str">
            <v>TELEFONE</v>
          </cell>
        </row>
        <row r="488">
          <cell r="A488" t="str">
            <v>DATA</v>
          </cell>
        </row>
        <row r="490">
          <cell r="A490">
            <v>65</v>
          </cell>
          <cell r="B490" t="str">
            <v>sonofletor de embutir no teto pot.= 10W RMS</v>
          </cell>
          <cell r="C490" t="str">
            <v>UN</v>
          </cell>
          <cell r="D490">
            <v>90.493333333333339</v>
          </cell>
        </row>
        <row r="491">
          <cell r="A491" t="str">
            <v>NOME</v>
          </cell>
        </row>
        <row r="492">
          <cell r="A492" t="str">
            <v>PREÇO</v>
          </cell>
        </row>
        <row r="493">
          <cell r="A493" t="str">
            <v>CNPJ</v>
          </cell>
        </row>
        <row r="494">
          <cell r="A494" t="str">
            <v>TELEFONE</v>
          </cell>
        </row>
        <row r="495">
          <cell r="A495" t="str">
            <v>DATA</v>
          </cell>
        </row>
        <row r="497">
          <cell r="A497">
            <v>66</v>
          </cell>
          <cell r="B497" t="str">
            <v>gabinete fechado padrao 19" (Rack) 12U com porta em vidro temperado</v>
          </cell>
          <cell r="C497" t="str">
            <v>UN</v>
          </cell>
          <cell r="D497">
            <v>411.33333333333331</v>
          </cell>
        </row>
        <row r="498">
          <cell r="A498" t="str">
            <v>NOME</v>
          </cell>
        </row>
        <row r="499">
          <cell r="A499" t="str">
            <v>PREÇO</v>
          </cell>
        </row>
        <row r="500">
          <cell r="A500" t="str">
            <v>CNPJ</v>
          </cell>
        </row>
        <row r="501">
          <cell r="A501" t="str">
            <v>TELEFONE</v>
          </cell>
        </row>
        <row r="502">
          <cell r="A502" t="str">
            <v>DATA</v>
          </cell>
        </row>
        <row r="504">
          <cell r="A504">
            <v>67</v>
          </cell>
          <cell r="B504" t="str">
            <v>PR 100 - Pré-Amplificador c/ Gongo e Equalizador PR-100 NCA</v>
          </cell>
          <cell r="C504" t="str">
            <v>UN</v>
          </cell>
          <cell r="D504">
            <v>550.86</v>
          </cell>
        </row>
        <row r="505">
          <cell r="A505" t="str">
            <v>NOME</v>
          </cell>
        </row>
        <row r="506">
          <cell r="A506" t="str">
            <v>PREÇO</v>
          </cell>
        </row>
        <row r="507">
          <cell r="A507" t="str">
            <v>CNPJ</v>
          </cell>
        </row>
        <row r="508">
          <cell r="A508" t="str">
            <v>TELEFONE</v>
          </cell>
        </row>
        <row r="509">
          <cell r="A509" t="str">
            <v>DATA</v>
          </cell>
        </row>
        <row r="511">
          <cell r="A511">
            <v>68</v>
          </cell>
          <cell r="B511" t="str">
            <v>amplificador de potencia 600W</v>
          </cell>
          <cell r="C511" t="str">
            <v>UN</v>
          </cell>
          <cell r="D511">
            <v>1650.7933333333333</v>
          </cell>
        </row>
        <row r="512">
          <cell r="A512" t="str">
            <v>NOME</v>
          </cell>
        </row>
        <row r="513">
          <cell r="A513" t="str">
            <v>PREÇO</v>
          </cell>
        </row>
        <row r="514">
          <cell r="A514" t="str">
            <v>CNPJ</v>
          </cell>
        </row>
        <row r="515">
          <cell r="A515" t="str">
            <v>TELEFONE</v>
          </cell>
        </row>
        <row r="516">
          <cell r="A516" t="str">
            <v>DATA</v>
          </cell>
        </row>
        <row r="518">
          <cell r="A518">
            <v>69</v>
          </cell>
          <cell r="B518" t="str">
            <v>setorizador de 6 canais</v>
          </cell>
          <cell r="C518" t="str">
            <v>UN</v>
          </cell>
          <cell r="D518">
            <v>464.29</v>
          </cell>
        </row>
        <row r="519">
          <cell r="A519" t="str">
            <v>NOME</v>
          </cell>
        </row>
        <row r="520">
          <cell r="A520" t="str">
            <v>PREÇO</v>
          </cell>
        </row>
        <row r="521">
          <cell r="A521" t="str">
            <v>CNPJ</v>
          </cell>
        </row>
        <row r="522">
          <cell r="A522" t="str">
            <v>TELEFONE</v>
          </cell>
        </row>
        <row r="523">
          <cell r="A523" t="str">
            <v>DATA</v>
          </cell>
        </row>
        <row r="525">
          <cell r="A525">
            <v>70</v>
          </cell>
          <cell r="B525" t="str">
            <v>mesa de som analogica com 12 canais e 1 auxiliar(CD/TAPE), com entrada balanceada de microfone e line por canal e saida para gravacao RCA</v>
          </cell>
          <cell r="C525" t="str">
            <v>UN</v>
          </cell>
          <cell r="D525">
            <v>965</v>
          </cell>
        </row>
        <row r="526">
          <cell r="A526" t="str">
            <v>NOME</v>
          </cell>
        </row>
        <row r="527">
          <cell r="A527" t="str">
            <v>PREÇO</v>
          </cell>
        </row>
        <row r="528">
          <cell r="A528" t="str">
            <v>CNPJ</v>
          </cell>
        </row>
        <row r="529">
          <cell r="A529" t="str">
            <v>TELEFONE</v>
          </cell>
        </row>
        <row r="530">
          <cell r="A530" t="str">
            <v>DATA</v>
          </cell>
        </row>
        <row r="532">
          <cell r="A532">
            <v>71</v>
          </cell>
          <cell r="B532" t="str">
            <v>conjunto subwoofer com caixa acustica ativa, potencia RMS 200W, 4 ohms,alto falante 12", impedancia nominal 8 ohms</v>
          </cell>
          <cell r="C532" t="str">
            <v>UN</v>
          </cell>
          <cell r="D532">
            <v>532.55666666666673</v>
          </cell>
        </row>
        <row r="533">
          <cell r="A533" t="str">
            <v>NOME</v>
          </cell>
        </row>
        <row r="534">
          <cell r="A534" t="str">
            <v>PREÇO</v>
          </cell>
        </row>
        <row r="535">
          <cell r="A535" t="str">
            <v>CNPJ</v>
          </cell>
        </row>
        <row r="536">
          <cell r="A536" t="str">
            <v>TELEFONE</v>
          </cell>
        </row>
        <row r="537">
          <cell r="A537" t="str">
            <v>DATA</v>
          </cell>
        </row>
        <row r="539">
          <cell r="A539">
            <v>72</v>
          </cell>
          <cell r="B539" t="str">
            <v>curva horizontal 90º com tampa para  eletrocalha, 50x50mm</v>
          </cell>
          <cell r="C539" t="str">
            <v>UN</v>
          </cell>
          <cell r="D539">
            <v>9.8633333333333351</v>
          </cell>
        </row>
        <row r="540">
          <cell r="A540" t="str">
            <v>NOME</v>
          </cell>
        </row>
        <row r="541">
          <cell r="A541" t="str">
            <v>PREÇO</v>
          </cell>
        </row>
        <row r="542">
          <cell r="A542" t="str">
            <v>CNPJ</v>
          </cell>
        </row>
        <row r="543">
          <cell r="A543" t="str">
            <v>TELEFONE</v>
          </cell>
        </row>
        <row r="544">
          <cell r="A544" t="str">
            <v>DATA</v>
          </cell>
        </row>
        <row r="546">
          <cell r="A546">
            <v>73</v>
          </cell>
          <cell r="B546" t="str">
            <v>saída lateral simples para eletroduto, 3/4"</v>
          </cell>
          <cell r="C546" t="str">
            <v>UN</v>
          </cell>
          <cell r="D546">
            <v>1.18</v>
          </cell>
        </row>
        <row r="547">
          <cell r="A547" t="str">
            <v>NOME</v>
          </cell>
        </row>
        <row r="548">
          <cell r="A548" t="str">
            <v>PREÇO</v>
          </cell>
        </row>
        <row r="549">
          <cell r="A549" t="str">
            <v>CNPJ</v>
          </cell>
        </row>
        <row r="550">
          <cell r="A550" t="str">
            <v>TELEFONE</v>
          </cell>
        </row>
        <row r="551">
          <cell r="A551" t="str">
            <v>DATA</v>
          </cell>
        </row>
        <row r="553">
          <cell r="A553">
            <v>74</v>
          </cell>
          <cell r="B553" t="str">
            <v>saída lateral dupla para eletroduto, 3/4"</v>
          </cell>
          <cell r="C553" t="str">
            <v>UN</v>
          </cell>
          <cell r="D553">
            <v>2.3666666666666667</v>
          </cell>
        </row>
        <row r="554">
          <cell r="A554" t="str">
            <v>NOME</v>
          </cell>
        </row>
        <row r="555">
          <cell r="A555" t="str">
            <v>PREÇO</v>
          </cell>
        </row>
        <row r="556">
          <cell r="A556" t="str">
            <v>CNPJ</v>
          </cell>
        </row>
        <row r="557">
          <cell r="A557" t="str">
            <v>TELEFONE</v>
          </cell>
        </row>
        <row r="558">
          <cell r="A558" t="str">
            <v>DATA</v>
          </cell>
        </row>
        <row r="560">
          <cell r="A560">
            <v>75</v>
          </cell>
          <cell r="B560" t="str">
            <v>tala plana para eletrocalha, 50mm</v>
          </cell>
          <cell r="C560" t="str">
            <v>UN</v>
          </cell>
          <cell r="D560">
            <v>0.64666666666666661</v>
          </cell>
        </row>
        <row r="561">
          <cell r="A561" t="str">
            <v>NOME</v>
          </cell>
        </row>
        <row r="562">
          <cell r="A562" t="str">
            <v>PREÇO</v>
          </cell>
        </row>
        <row r="563">
          <cell r="A563" t="str">
            <v>CNPJ</v>
          </cell>
        </row>
        <row r="564">
          <cell r="A564" t="str">
            <v>TELEFONE</v>
          </cell>
        </row>
        <row r="565">
          <cell r="A565" t="str">
            <v>DATA</v>
          </cell>
        </row>
        <row r="567">
          <cell r="A567">
            <v>76</v>
          </cell>
          <cell r="B567" t="str">
            <v>te horizontal 90º com tampa para  eletrocalha, 100x50mm</v>
          </cell>
          <cell r="C567" t="str">
            <v>UN</v>
          </cell>
          <cell r="D567">
            <v>14.14</v>
          </cell>
        </row>
        <row r="568">
          <cell r="A568" t="str">
            <v>NOME</v>
          </cell>
        </row>
        <row r="569">
          <cell r="A569" t="str">
            <v>PREÇO</v>
          </cell>
        </row>
        <row r="570">
          <cell r="A570" t="str">
            <v>CNPJ</v>
          </cell>
        </row>
        <row r="571">
          <cell r="A571" t="str">
            <v>TELEFONE</v>
          </cell>
        </row>
        <row r="572">
          <cell r="A572" t="str">
            <v>DATA</v>
          </cell>
        </row>
        <row r="574">
          <cell r="A574">
            <v>77</v>
          </cell>
          <cell r="B574" t="str">
            <v xml:space="preserve">Antena Digital VHF, UHF, FM e HDTV SG2000 Sagna </v>
          </cell>
          <cell r="C574" t="str">
            <v>UN</v>
          </cell>
          <cell r="D574">
            <v>230.99</v>
          </cell>
        </row>
        <row r="575">
          <cell r="A575" t="str">
            <v>NOME</v>
          </cell>
        </row>
        <row r="576">
          <cell r="A576" t="str">
            <v>PREÇO</v>
          </cell>
        </row>
        <row r="577">
          <cell r="A577" t="str">
            <v>CNPJ</v>
          </cell>
        </row>
        <row r="578">
          <cell r="A578" t="str">
            <v>TELEFONE</v>
          </cell>
        </row>
        <row r="579">
          <cell r="A579" t="str">
            <v>DATA</v>
          </cell>
        </row>
        <row r="581">
          <cell r="A581">
            <v>78</v>
          </cell>
          <cell r="B581" t="str">
            <v xml:space="preserve">1 MÓDULO, TOMADA COAXIAL ø9mm TIPO "F" COM CONECTOR PARA INSTALAÇÃO DE (CABO PARA ANTENA DE TV VHF/UHF E VÍDEO). </v>
          </cell>
          <cell r="C581" t="str">
            <v>UN</v>
          </cell>
          <cell r="D581">
            <v>26.493333333333336</v>
          </cell>
        </row>
        <row r="582">
          <cell r="A582" t="str">
            <v>NOME</v>
          </cell>
        </row>
        <row r="583">
          <cell r="A583" t="str">
            <v>PREÇO</v>
          </cell>
        </row>
        <row r="584">
          <cell r="A584" t="str">
            <v>CNPJ</v>
          </cell>
        </row>
        <row r="585">
          <cell r="A585" t="str">
            <v>TELEFONE</v>
          </cell>
        </row>
        <row r="586">
          <cell r="A586" t="str">
            <v>DATA</v>
          </cell>
        </row>
        <row r="588">
          <cell r="A588">
            <v>79</v>
          </cell>
          <cell r="B588" t="str">
            <v>Divisor de sinal Proeletronic 1:3 VHF/UHF/CATV 1GHZ 130db solder back PQDV-1023</v>
          </cell>
          <cell r="C588" t="str">
            <v>UN</v>
          </cell>
          <cell r="D588">
            <v>11.61</v>
          </cell>
        </row>
        <row r="589">
          <cell r="A589" t="str">
            <v>NOME</v>
          </cell>
        </row>
        <row r="590">
          <cell r="A590" t="str">
            <v>PREÇO</v>
          </cell>
        </row>
        <row r="591">
          <cell r="A591" t="str">
            <v>CNPJ</v>
          </cell>
        </row>
        <row r="592">
          <cell r="A592" t="str">
            <v>TELEFONE</v>
          </cell>
        </row>
        <row r="593">
          <cell r="A593" t="str">
            <v>DATA</v>
          </cell>
        </row>
        <row r="595">
          <cell r="A595">
            <v>80</v>
          </cell>
          <cell r="B595" t="str">
            <v>cabo coaxial RGC-6, 75 OHMS, blindado, não propagante a chama, Dn=1,02mm</v>
          </cell>
          <cell r="C595" t="str">
            <v>UN</v>
          </cell>
          <cell r="D595">
            <v>3.25</v>
          </cell>
        </row>
        <row r="596">
          <cell r="A596" t="str">
            <v>NOME</v>
          </cell>
        </row>
        <row r="597">
          <cell r="A597" t="str">
            <v>PREÇO</v>
          </cell>
        </row>
        <row r="598">
          <cell r="A598" t="str">
            <v>CNPJ</v>
          </cell>
        </row>
        <row r="599">
          <cell r="A599" t="str">
            <v>TELEFONE</v>
          </cell>
        </row>
        <row r="600">
          <cell r="A600" t="str">
            <v>DATA</v>
          </cell>
        </row>
        <row r="602">
          <cell r="A602">
            <v>81</v>
          </cell>
          <cell r="B602" t="str">
            <v>Luminária de Embutir 2x14W T5 C/Refletor e Aletas Parabólicas Alum ECP</v>
          </cell>
          <cell r="C602" t="str">
            <v>UN</v>
          </cell>
          <cell r="D602">
            <v>95.23</v>
          </cell>
        </row>
        <row r="603">
          <cell r="A603" t="str">
            <v>NOME</v>
          </cell>
        </row>
        <row r="604">
          <cell r="A604" t="str">
            <v>PREÇO</v>
          </cell>
        </row>
        <row r="605">
          <cell r="A605" t="str">
            <v>PREÇO</v>
          </cell>
        </row>
        <row r="606">
          <cell r="A606" t="str">
            <v>PREÇO</v>
          </cell>
        </row>
        <row r="607">
          <cell r="A607" t="str">
            <v>CNPJ</v>
          </cell>
        </row>
        <row r="608">
          <cell r="A608" t="str">
            <v>TELEFONE</v>
          </cell>
        </row>
        <row r="609">
          <cell r="A609" t="str">
            <v>DATA</v>
          </cell>
        </row>
        <row r="611">
          <cell r="A611">
            <v>82</v>
          </cell>
          <cell r="B611" t="str">
            <v>Luminária de Embutir 2x28W T5  C/Refletor e Aletas Parabólicas Alum ECP</v>
          </cell>
          <cell r="C611" t="str">
            <v>UN</v>
          </cell>
          <cell r="D611">
            <v>126.88</v>
          </cell>
        </row>
        <row r="612">
          <cell r="A612" t="str">
            <v>NOME</v>
          </cell>
        </row>
        <row r="613">
          <cell r="A613" t="str">
            <v>PREÇO</v>
          </cell>
        </row>
        <row r="614">
          <cell r="A614" t="str">
            <v>CNPJ</v>
          </cell>
        </row>
        <row r="615">
          <cell r="A615" t="str">
            <v>TELEFONE</v>
          </cell>
        </row>
        <row r="616">
          <cell r="A616" t="str">
            <v>DATA</v>
          </cell>
        </row>
        <row r="618">
          <cell r="A618">
            <v>83</v>
          </cell>
          <cell r="B618" t="str">
            <v xml:space="preserve">LÂMPADA 28W T5 </v>
          </cell>
          <cell r="C618" t="str">
            <v>UN</v>
          </cell>
          <cell r="D618">
            <v>8.0633333333333326</v>
          </cell>
        </row>
        <row r="619">
          <cell r="A619" t="str">
            <v>NOME</v>
          </cell>
        </row>
        <row r="620">
          <cell r="A620" t="str">
            <v>PREÇO</v>
          </cell>
        </row>
        <row r="621">
          <cell r="A621" t="str">
            <v>CNPJ</v>
          </cell>
        </row>
        <row r="622">
          <cell r="A622" t="str">
            <v>TELEFONE</v>
          </cell>
        </row>
        <row r="623">
          <cell r="A623" t="str">
            <v>DATA</v>
          </cell>
        </row>
        <row r="625">
          <cell r="A625">
            <v>84</v>
          </cell>
          <cell r="B625" t="str">
            <v>bloco autonomo de iluminacao de emergencia com uma lampada fluorescente compacta de 11W, bateria com autonomia de 2,5h, ref. Aureon ou equiv.</v>
          </cell>
          <cell r="C625" t="str">
            <v>UN</v>
          </cell>
          <cell r="D625">
            <v>180.26666666666665</v>
          </cell>
        </row>
        <row r="626">
          <cell r="A626" t="str">
            <v>NOME</v>
          </cell>
        </row>
        <row r="627">
          <cell r="A627" t="str">
            <v>PREÇO</v>
          </cell>
        </row>
        <row r="628">
          <cell r="A628" t="str">
            <v>CNPJ</v>
          </cell>
        </row>
        <row r="629">
          <cell r="A629" t="str">
            <v>TELEFONE</v>
          </cell>
        </row>
        <row r="630">
          <cell r="A630" t="str">
            <v>DATA</v>
          </cell>
        </row>
        <row r="632">
          <cell r="A632">
            <v>85</v>
          </cell>
          <cell r="B632" t="str">
            <v>Luminaria blindada( arandela), corpo e grade frontal em aluminio fundido, acabamento em pintura eletrostatica epoxi-po, cor branca, difusor em vidro transparente frisado com uma lampada fluorescente twist compacta de 20W, ref. Itaim Tatu  ou equiv.</v>
          </cell>
          <cell r="C632" t="str">
            <v>UN</v>
          </cell>
          <cell r="D632">
            <v>76.25</v>
          </cell>
        </row>
        <row r="633">
          <cell r="A633" t="str">
            <v>NOME</v>
          </cell>
        </row>
        <row r="634">
          <cell r="A634" t="str">
            <v>PREÇO</v>
          </cell>
        </row>
        <row r="635">
          <cell r="A635" t="str">
            <v>CNPJ</v>
          </cell>
        </row>
        <row r="636">
          <cell r="A636" t="str">
            <v>TELEFONE</v>
          </cell>
        </row>
        <row r="637">
          <cell r="A637" t="str">
            <v>DATA</v>
          </cell>
        </row>
        <row r="639">
          <cell r="A639">
            <v>86</v>
          </cell>
          <cell r="B639" t="str">
            <v>suporte para cabo de aço 38x90mm</v>
          </cell>
          <cell r="C639" t="str">
            <v>UN</v>
          </cell>
          <cell r="D639">
            <v>2.15</v>
          </cell>
        </row>
        <row r="640">
          <cell r="A640" t="str">
            <v>NOME</v>
          </cell>
        </row>
        <row r="641">
          <cell r="A641" t="str">
            <v>PREÇO</v>
          </cell>
        </row>
        <row r="642">
          <cell r="A642" t="str">
            <v>CNPJ</v>
          </cell>
        </row>
        <row r="643">
          <cell r="A643" t="str">
            <v>TELEFONE</v>
          </cell>
        </row>
        <row r="644">
          <cell r="A644" t="str">
            <v>DATA</v>
          </cell>
        </row>
        <row r="646">
          <cell r="A646">
            <v>87</v>
          </cell>
          <cell r="B646" t="str">
            <v>plug macho - 10A</v>
          </cell>
          <cell r="C646" t="str">
            <v>UN</v>
          </cell>
          <cell r="D646">
            <v>2.5666666666666664</v>
          </cell>
        </row>
        <row r="647">
          <cell r="A647" t="str">
            <v>NOME</v>
          </cell>
        </row>
        <row r="648">
          <cell r="A648" t="str">
            <v>PREÇO</v>
          </cell>
        </row>
        <row r="649">
          <cell r="A649" t="str">
            <v>CNPJ</v>
          </cell>
        </row>
        <row r="650">
          <cell r="A650" t="str">
            <v>TELEFONE</v>
          </cell>
        </row>
        <row r="651">
          <cell r="A651" t="str">
            <v>DATA</v>
          </cell>
        </row>
        <row r="653">
          <cell r="A653">
            <v>88</v>
          </cell>
          <cell r="B653" t="str">
            <v>GANCHO LONGO P/ LUMINARIA</v>
          </cell>
          <cell r="C653" t="str">
            <v xml:space="preserve">UN </v>
          </cell>
          <cell r="D653">
            <v>1.7866666666666668</v>
          </cell>
        </row>
        <row r="654">
          <cell r="A654" t="str">
            <v>NOME</v>
          </cell>
        </row>
        <row r="655">
          <cell r="A655" t="str">
            <v>PREÇO</v>
          </cell>
        </row>
        <row r="656">
          <cell r="A656" t="str">
            <v>CNPJ</v>
          </cell>
        </row>
        <row r="657">
          <cell r="A657" t="str">
            <v>TELEFONE</v>
          </cell>
        </row>
        <row r="658">
          <cell r="A658" t="str">
            <v>DATA</v>
          </cell>
        </row>
        <row r="660">
          <cell r="A660">
            <v>89</v>
          </cell>
          <cell r="B660" t="str">
            <v xml:space="preserve">Cabo CSU-UTP cat.6 -4 pares </v>
          </cell>
          <cell r="C660" t="str">
            <v>M</v>
          </cell>
          <cell r="D660">
            <v>1.8500000000000003</v>
          </cell>
        </row>
        <row r="661">
          <cell r="A661" t="str">
            <v>NOME</v>
          </cell>
        </row>
        <row r="662">
          <cell r="A662" t="str">
            <v>PREÇO</v>
          </cell>
        </row>
        <row r="663">
          <cell r="A663" t="str">
            <v>CNPJ</v>
          </cell>
        </row>
        <row r="664">
          <cell r="A664" t="str">
            <v>TELEFONE</v>
          </cell>
        </row>
        <row r="665">
          <cell r="A665" t="str">
            <v>DATA</v>
          </cell>
        </row>
        <row r="667">
          <cell r="A667">
            <v>90</v>
          </cell>
          <cell r="B667" t="str">
            <v>conector femea RJ-45 cat.5e- 8 vias</v>
          </cell>
          <cell r="C667" t="str">
            <v xml:space="preserve">UN </v>
          </cell>
          <cell r="D667">
            <v>5.1326666666666663</v>
          </cell>
        </row>
        <row r="668">
          <cell r="A668" t="str">
            <v>NOME</v>
          </cell>
        </row>
        <row r="669">
          <cell r="A669" t="str">
            <v>PREÇO</v>
          </cell>
        </row>
        <row r="670">
          <cell r="A670" t="str">
            <v>CNPJ</v>
          </cell>
        </row>
        <row r="671">
          <cell r="A671" t="str">
            <v>TELEFONE</v>
          </cell>
        </row>
        <row r="672">
          <cell r="A672" t="str">
            <v>DATA</v>
          </cell>
        </row>
        <row r="674">
          <cell r="A674">
            <v>91</v>
          </cell>
          <cell r="B674" t="str">
            <v xml:space="preserve">camera IP, tipo dome fixo, embutida no forro, resolucao 1,3MP, lente 2,8mm/F2.0 ,ref. INTELBRAS VIP-S4100 ou equivalente </v>
          </cell>
          <cell r="C674" t="str">
            <v xml:space="preserve">UN </v>
          </cell>
          <cell r="D674">
            <v>599.9</v>
          </cell>
        </row>
        <row r="675">
          <cell r="A675" t="str">
            <v>NOME</v>
          </cell>
        </row>
        <row r="676">
          <cell r="A676" t="str">
            <v>PREÇO</v>
          </cell>
        </row>
        <row r="677">
          <cell r="A677" t="str">
            <v>CNPJ</v>
          </cell>
        </row>
        <row r="678">
          <cell r="A678" t="str">
            <v>TELEFONE</v>
          </cell>
        </row>
        <row r="679">
          <cell r="A679" t="str">
            <v>DATA</v>
          </cell>
        </row>
        <row r="681">
          <cell r="A681">
            <v>92</v>
          </cell>
          <cell r="B681" t="str">
            <v>ACCESS POINT 11n, 2,4 GHz, alimentacao PoE, 300MBPS</v>
          </cell>
          <cell r="C681" t="str">
            <v xml:space="preserve">UN </v>
          </cell>
          <cell r="D681">
            <v>217.90666666666667</v>
          </cell>
        </row>
        <row r="682">
          <cell r="A682" t="str">
            <v>NOME</v>
          </cell>
        </row>
        <row r="683">
          <cell r="A683" t="str">
            <v>PREÇO</v>
          </cell>
        </row>
        <row r="684">
          <cell r="A684" t="str">
            <v>CNPJ</v>
          </cell>
        </row>
        <row r="685">
          <cell r="A685" t="str">
            <v>TELEFONE</v>
          </cell>
        </row>
        <row r="686">
          <cell r="A686" t="str">
            <v>DATA</v>
          </cell>
        </row>
        <row r="688">
          <cell r="A688">
            <v>93</v>
          </cell>
          <cell r="B688" t="str">
            <v>BARRA DE AÇO GALVANIZADO RE-BAR DE 3/8" MM2</v>
          </cell>
          <cell r="C688" t="str">
            <v xml:space="preserve">UN </v>
          </cell>
          <cell r="D688">
            <v>4.8901960784313729</v>
          </cell>
        </row>
        <row r="689">
          <cell r="A689" t="str">
            <v>NOME</v>
          </cell>
        </row>
        <row r="690">
          <cell r="A690" t="str">
            <v>PREÇO</v>
          </cell>
        </row>
        <row r="691">
          <cell r="A691" t="str">
            <v>CNPJ</v>
          </cell>
        </row>
        <row r="692">
          <cell r="A692" t="str">
            <v>TELEFONE</v>
          </cell>
        </row>
        <row r="693">
          <cell r="A693" t="str">
            <v>DATA</v>
          </cell>
        </row>
        <row r="695">
          <cell r="A695">
            <v>94</v>
          </cell>
          <cell r="B695" t="str">
            <v>BARRA CHATA EM ALUMINIO 7/8" X 1/8" X 6M</v>
          </cell>
          <cell r="C695" t="str">
            <v>M</v>
          </cell>
          <cell r="D695">
            <v>5.4166666666666661</v>
          </cell>
        </row>
        <row r="696">
          <cell r="A696" t="str">
            <v>NOME</v>
          </cell>
        </row>
        <row r="697">
          <cell r="A697" t="str">
            <v>PREÇO</v>
          </cell>
        </row>
        <row r="698">
          <cell r="A698" t="str">
            <v>CNPJ</v>
          </cell>
        </row>
        <row r="699">
          <cell r="A699" t="str">
            <v>TELEFONE</v>
          </cell>
        </row>
        <row r="700">
          <cell r="A700" t="str">
            <v>DATA</v>
          </cell>
        </row>
        <row r="702">
          <cell r="A702">
            <v>95</v>
          </cell>
          <cell r="B702" t="str">
            <v xml:space="preserve">CLIPES GALVANIZADO PARA CABO 10MM2 </v>
          </cell>
          <cell r="C702" t="str">
            <v>UN</v>
          </cell>
          <cell r="D702">
            <v>2.23</v>
          </cell>
        </row>
        <row r="703">
          <cell r="A703" t="str">
            <v>NOME</v>
          </cell>
        </row>
        <row r="704">
          <cell r="A704" t="str">
            <v>PREÇO</v>
          </cell>
        </row>
        <row r="705">
          <cell r="A705" t="str">
            <v>CNPJ</v>
          </cell>
        </row>
        <row r="706">
          <cell r="A706" t="str">
            <v>TELEFONE</v>
          </cell>
        </row>
        <row r="707">
          <cell r="A707" t="str">
            <v>DATA</v>
          </cell>
        </row>
        <row r="709">
          <cell r="A709">
            <v>96</v>
          </cell>
          <cell r="B709" t="str">
            <v>CARGA PARA SOLDA EXOTERMICA TIPO T OU LINHA</v>
          </cell>
          <cell r="C709" t="str">
            <v>UN</v>
          </cell>
          <cell r="D709">
            <v>8.7799999999999994</v>
          </cell>
        </row>
        <row r="710">
          <cell r="A710" t="str">
            <v>NOME</v>
          </cell>
        </row>
        <row r="711">
          <cell r="A711" t="str">
            <v>PREÇO</v>
          </cell>
        </row>
        <row r="712">
          <cell r="A712" t="str">
            <v>CNPJ</v>
          </cell>
        </row>
        <row r="713">
          <cell r="A713" t="str">
            <v>TELEFONE</v>
          </cell>
        </row>
        <row r="714">
          <cell r="A714" t="str">
            <v>DATA</v>
          </cell>
        </row>
        <row r="716">
          <cell r="A716">
            <v>97</v>
          </cell>
          <cell r="B716" t="str">
            <v>CARTUCHO PARA 50 SOLDAS EXOTERMICAS</v>
          </cell>
          <cell r="C716" t="str">
            <v>UN</v>
          </cell>
          <cell r="D716">
            <v>164.66666666666666</v>
          </cell>
        </row>
        <row r="717">
          <cell r="A717" t="str">
            <v>NOME</v>
          </cell>
        </row>
        <row r="718">
          <cell r="A718" t="str">
            <v>PREÇO</v>
          </cell>
        </row>
        <row r="719">
          <cell r="A719" t="str">
            <v>CNPJ</v>
          </cell>
        </row>
        <row r="720">
          <cell r="A720" t="str">
            <v>TELEFONE</v>
          </cell>
        </row>
        <row r="721">
          <cell r="A721" t="str">
            <v>DATA</v>
          </cell>
        </row>
        <row r="723">
          <cell r="A723">
            <v>98</v>
          </cell>
          <cell r="B723" t="str">
            <v>eletrocalha perfurada galvanizada tipo U, 50x50mm</v>
          </cell>
          <cell r="C723" t="str">
            <v>M</v>
          </cell>
          <cell r="D723">
            <v>9.8488888888888884</v>
          </cell>
        </row>
        <row r="724">
          <cell r="A724" t="str">
            <v>NOME</v>
          </cell>
        </row>
        <row r="725">
          <cell r="A725" t="str">
            <v>PREÇO</v>
          </cell>
        </row>
        <row r="726">
          <cell r="A726" t="str">
            <v>CNPJ</v>
          </cell>
        </row>
        <row r="727">
          <cell r="A727" t="str">
            <v>TELEFONE</v>
          </cell>
        </row>
        <row r="728">
          <cell r="A728" t="str">
            <v>DATA</v>
          </cell>
        </row>
        <row r="730">
          <cell r="A730">
            <v>99</v>
          </cell>
          <cell r="B730" t="str">
            <v>eletrocalha lisa galvanizada tipo U, 50x50mm</v>
          </cell>
          <cell r="C730" t="str">
            <v>M</v>
          </cell>
          <cell r="D730">
            <v>9.2166666666666668</v>
          </cell>
        </row>
        <row r="731">
          <cell r="A731" t="str">
            <v>NOME</v>
          </cell>
        </row>
        <row r="732">
          <cell r="A732" t="str">
            <v>PREÇO</v>
          </cell>
        </row>
        <row r="733">
          <cell r="A733" t="str">
            <v>CNPJ</v>
          </cell>
        </row>
        <row r="734">
          <cell r="A734" t="str">
            <v>TELEFONE</v>
          </cell>
        </row>
        <row r="735">
          <cell r="A735" t="str">
            <v>DATA</v>
          </cell>
        </row>
        <row r="737">
          <cell r="A737">
            <v>101</v>
          </cell>
          <cell r="B737" t="str">
            <v>eletrocalha lisa galvanizada tipo U com tampa, 100x50mm</v>
          </cell>
          <cell r="C737" t="str">
            <v>M</v>
          </cell>
          <cell r="D737">
            <v>19.311111111111114</v>
          </cell>
        </row>
        <row r="738">
          <cell r="A738" t="str">
            <v>NOME</v>
          </cell>
        </row>
        <row r="739">
          <cell r="A739" t="str">
            <v>PREÇO</v>
          </cell>
        </row>
        <row r="740">
          <cell r="A740" t="str">
            <v>CNPJ</v>
          </cell>
        </row>
        <row r="741">
          <cell r="A741" t="str">
            <v>TELEFONE</v>
          </cell>
        </row>
        <row r="742">
          <cell r="A742" t="str">
            <v>DATA</v>
          </cell>
        </row>
        <row r="744">
          <cell r="A744">
            <v>102</v>
          </cell>
          <cell r="B744" t="str">
            <v>reducao concentrica c/ tampa p/eletrocalha, 100x50mm/50x50mm</v>
          </cell>
          <cell r="C744" t="str">
            <v>UN</v>
          </cell>
          <cell r="D744">
            <v>12.403333333333334</v>
          </cell>
        </row>
        <row r="745">
          <cell r="A745" t="str">
            <v>NOME</v>
          </cell>
        </row>
        <row r="746">
          <cell r="A746" t="str">
            <v>PREÇO</v>
          </cell>
        </row>
        <row r="747">
          <cell r="A747" t="str">
            <v>CNPJ</v>
          </cell>
        </row>
        <row r="748">
          <cell r="A748" t="str">
            <v>TELEFONE</v>
          </cell>
        </row>
        <row r="749">
          <cell r="A749" t="str">
            <v>DATA</v>
          </cell>
        </row>
        <row r="751">
          <cell r="A751">
            <v>103</v>
          </cell>
          <cell r="B751" t="str">
            <v>Placa de sinalização em pvc - Saída de emergência, fornecimento e instalação (COD. 12, 13 E 17B - CBM/DF)</v>
          </cell>
          <cell r="C751" t="str">
            <v>UN</v>
          </cell>
          <cell r="D751">
            <v>25.866666666666664</v>
          </cell>
        </row>
        <row r="752">
          <cell r="A752" t="str">
            <v>NOME</v>
          </cell>
        </row>
        <row r="753">
          <cell r="A753" t="str">
            <v>PREÇO</v>
          </cell>
        </row>
        <row r="754">
          <cell r="A754" t="str">
            <v>CNPJ</v>
          </cell>
        </row>
        <row r="755">
          <cell r="A755" t="str">
            <v>TELEFONE</v>
          </cell>
        </row>
        <row r="756">
          <cell r="A756" t="str">
            <v>DATA</v>
          </cell>
        </row>
        <row r="758">
          <cell r="A758">
            <v>104</v>
          </cell>
          <cell r="B758" t="str">
            <v>Placa de sinalização em pvc cod 23 - Extintor de incêndio</v>
          </cell>
          <cell r="C758" t="str">
            <v>UN</v>
          </cell>
          <cell r="D758">
            <v>25.866666666666664</v>
          </cell>
        </row>
        <row r="759">
          <cell r="A759" t="str">
            <v>NOME</v>
          </cell>
        </row>
        <row r="760">
          <cell r="A760" t="str">
            <v>PREÇO</v>
          </cell>
        </row>
        <row r="761">
          <cell r="A761" t="str">
            <v>CNPJ</v>
          </cell>
        </row>
        <row r="762">
          <cell r="A762" t="str">
            <v>TELEFONE</v>
          </cell>
        </row>
        <row r="763">
          <cell r="A763" t="str">
            <v>DATA</v>
          </cell>
        </row>
        <row r="765">
          <cell r="A765">
            <v>105</v>
          </cell>
          <cell r="B765" t="str">
            <v>atenuador de volume de som 12 posicoes, 70V-100W</v>
          </cell>
          <cell r="C765" t="str">
            <v>UN</v>
          </cell>
          <cell r="D765">
            <v>210</v>
          </cell>
        </row>
        <row r="766">
          <cell r="A766" t="str">
            <v>NOME</v>
          </cell>
        </row>
        <row r="767">
          <cell r="A767" t="str">
            <v>PREÇO</v>
          </cell>
        </row>
        <row r="768">
          <cell r="A768" t="str">
            <v>CNPJ</v>
          </cell>
        </row>
        <row r="769">
          <cell r="A769" t="str">
            <v>TELEFONE</v>
          </cell>
        </row>
        <row r="770">
          <cell r="A770" t="str">
            <v>DATA</v>
          </cell>
        </row>
        <row r="772">
          <cell r="A772">
            <v>106</v>
          </cell>
          <cell r="B772" t="str">
            <v>vergalhão galvanizado rosca total 1/4"</v>
          </cell>
          <cell r="C772" t="str">
            <v>M</v>
          </cell>
          <cell r="D772">
            <v>1.89</v>
          </cell>
        </row>
        <row r="773">
          <cell r="A773" t="str">
            <v>NOME</v>
          </cell>
        </row>
        <row r="774">
          <cell r="A774" t="str">
            <v>PREÇO</v>
          </cell>
        </row>
        <row r="775">
          <cell r="A775" t="str">
            <v>CNPJ</v>
          </cell>
        </row>
        <row r="776">
          <cell r="A776" t="str">
            <v>TELEFONE</v>
          </cell>
        </row>
        <row r="777">
          <cell r="A777" t="str">
            <v>DATA</v>
          </cell>
        </row>
        <row r="779">
          <cell r="A779">
            <v>107</v>
          </cell>
          <cell r="B779" t="str">
            <v>CABO PP 3X0,75MM</v>
          </cell>
          <cell r="C779" t="str">
            <v>M</v>
          </cell>
          <cell r="D779">
            <v>1.2950999999999999</v>
          </cell>
        </row>
        <row r="780">
          <cell r="A780" t="str">
            <v>NOME</v>
          </cell>
        </row>
        <row r="781">
          <cell r="A781" t="str">
            <v>PREÇO</v>
          </cell>
        </row>
        <row r="782">
          <cell r="A782" t="str">
            <v>CNPJ</v>
          </cell>
        </row>
        <row r="783">
          <cell r="A783" t="str">
            <v>TELEFONE</v>
          </cell>
        </row>
        <row r="784">
          <cell r="A784" t="str">
            <v>DATA</v>
          </cell>
        </row>
        <row r="786">
          <cell r="A786">
            <v>108</v>
          </cell>
          <cell r="B786" t="str">
            <v xml:space="preserve">EXAUSTOR MULTIVAC MURO 150B OU EQUIV.
</v>
          </cell>
          <cell r="C786" t="str">
            <v>UN</v>
          </cell>
          <cell r="D786">
            <v>200</v>
          </cell>
        </row>
        <row r="787">
          <cell r="A787" t="str">
            <v>NOME</v>
          </cell>
        </row>
        <row r="788">
          <cell r="A788" t="str">
            <v>PREÇO</v>
          </cell>
        </row>
        <row r="789">
          <cell r="A789" t="str">
            <v>CNPJ</v>
          </cell>
        </row>
        <row r="790">
          <cell r="A790" t="str">
            <v>TELEFONE</v>
          </cell>
        </row>
        <row r="791">
          <cell r="A791" t="str">
            <v>DATA</v>
          </cell>
        </row>
        <row r="793">
          <cell r="A793">
            <v>109</v>
          </cell>
          <cell r="B793" t="str">
            <v xml:space="preserve">GRELHA MULTIVAC AUTOFECHANTE 150
</v>
          </cell>
          <cell r="C793" t="str">
            <v>UN</v>
          </cell>
          <cell r="D793">
            <v>25</v>
          </cell>
        </row>
        <row r="794">
          <cell r="A794" t="str">
            <v>NOME</v>
          </cell>
        </row>
        <row r="795">
          <cell r="A795" t="str">
            <v>PREÇO</v>
          </cell>
        </row>
        <row r="796">
          <cell r="A796" t="str">
            <v>CNPJ</v>
          </cell>
        </row>
        <row r="797">
          <cell r="A797" t="str">
            <v>TELEFONE</v>
          </cell>
        </row>
        <row r="798">
          <cell r="A798" t="str">
            <v>DATA</v>
          </cell>
        </row>
        <row r="800">
          <cell r="A800">
            <v>110</v>
          </cell>
          <cell r="B800" t="str">
            <v xml:space="preserve">VENEZIANA DE PORTA TROX AGS-T 225x125 mm
</v>
          </cell>
          <cell r="C800" t="str">
            <v>UN</v>
          </cell>
          <cell r="D800">
            <v>99</v>
          </cell>
        </row>
        <row r="801">
          <cell r="A801" t="str">
            <v>NOME</v>
          </cell>
        </row>
        <row r="802">
          <cell r="A802" t="str">
            <v>PREÇO</v>
          </cell>
        </row>
        <row r="803">
          <cell r="A803" t="str">
            <v>CNPJ</v>
          </cell>
        </row>
        <row r="804">
          <cell r="A804" t="str">
            <v>TELEFONE</v>
          </cell>
        </row>
        <row r="805">
          <cell r="A805" t="str">
            <v>DATA</v>
          </cell>
        </row>
        <row r="807">
          <cell r="A807">
            <v>111</v>
          </cell>
          <cell r="B807" t="str">
            <v>Duto de PVC flexível Diâmetro=100mm com 5,00 m</v>
          </cell>
          <cell r="C807" t="str">
            <v>UN</v>
          </cell>
          <cell r="D807">
            <v>107.63</v>
          </cell>
        </row>
        <row r="808">
          <cell r="A808" t="str">
            <v>NOME</v>
          </cell>
        </row>
        <row r="809">
          <cell r="A809" t="str">
            <v>PREÇO</v>
          </cell>
        </row>
        <row r="810">
          <cell r="A810" t="str">
            <v>CNPJ</v>
          </cell>
        </row>
        <row r="811">
          <cell r="A811" t="str">
            <v>TELEFONE</v>
          </cell>
        </row>
        <row r="812">
          <cell r="A812" t="str">
            <v>DATA</v>
          </cell>
        </row>
        <row r="814">
          <cell r="A814">
            <v>112</v>
          </cell>
          <cell r="B814" t="str">
            <v>Duto de PVC flexível Diâmetro=125mm com 5,00 m</v>
          </cell>
          <cell r="C814" t="str">
            <v>UN</v>
          </cell>
          <cell r="D814">
            <v>130.96333333333334</v>
          </cell>
        </row>
        <row r="815">
          <cell r="A815" t="str">
            <v>NOME</v>
          </cell>
        </row>
        <row r="816">
          <cell r="A816" t="str">
            <v>PREÇO</v>
          </cell>
        </row>
        <row r="817">
          <cell r="A817" t="str">
            <v>CNPJ</v>
          </cell>
        </row>
        <row r="818">
          <cell r="A818" t="str">
            <v>TELEFONE</v>
          </cell>
        </row>
        <row r="819">
          <cell r="A819" t="str">
            <v>DATA</v>
          </cell>
        </row>
        <row r="821">
          <cell r="A821">
            <v>113</v>
          </cell>
          <cell r="B821" t="str">
            <v>Duto de PVC flexível Diâmetro=150mm com 5,00 m</v>
          </cell>
          <cell r="C821" t="str">
            <v>UN</v>
          </cell>
          <cell r="D821">
            <v>149.96666666666667</v>
          </cell>
        </row>
        <row r="822">
          <cell r="A822" t="str">
            <v>NOME</v>
          </cell>
        </row>
        <row r="823">
          <cell r="A823" t="str">
            <v>PREÇO</v>
          </cell>
        </row>
        <row r="824">
          <cell r="A824" t="str">
            <v>CNPJ</v>
          </cell>
        </row>
        <row r="825">
          <cell r="A825" t="str">
            <v>TELEFONE</v>
          </cell>
        </row>
        <row r="826">
          <cell r="A826" t="str">
            <v>DATA</v>
          </cell>
        </row>
        <row r="828">
          <cell r="A828">
            <v>114</v>
          </cell>
          <cell r="B828" t="str">
            <v>CABO PP 2X2,5MM</v>
          </cell>
          <cell r="C828" t="str">
            <v>M</v>
          </cell>
          <cell r="D828">
            <v>2.9672000000000001</v>
          </cell>
        </row>
        <row r="829">
          <cell r="A829" t="str">
            <v>NOME</v>
          </cell>
        </row>
        <row r="830">
          <cell r="A830" t="str">
            <v>PREÇO</v>
          </cell>
        </row>
        <row r="831">
          <cell r="A831" t="str">
            <v>CNPJ</v>
          </cell>
        </row>
        <row r="832">
          <cell r="A832" t="str">
            <v>TELEFONE</v>
          </cell>
        </row>
        <row r="833">
          <cell r="A833" t="str">
            <v>DATA</v>
          </cell>
        </row>
        <row r="835">
          <cell r="A835">
            <v>115</v>
          </cell>
          <cell r="B835" t="str">
            <v>ISOLAMENTO EM ELASTOMERO ESPONJOSO POLIETILENO ESP. 13mm DIÂM. Ø3/8´´</v>
          </cell>
          <cell r="C835" t="str">
            <v>M</v>
          </cell>
          <cell r="D835">
            <v>4.6333333333333329</v>
          </cell>
        </row>
        <row r="836">
          <cell r="A836" t="str">
            <v>NOME</v>
          </cell>
        </row>
        <row r="837">
          <cell r="A837" t="str">
            <v>PREÇO</v>
          </cell>
        </row>
        <row r="838">
          <cell r="A838" t="str">
            <v>CNPJ</v>
          </cell>
        </row>
        <row r="839">
          <cell r="A839" t="str">
            <v>TELEFONE</v>
          </cell>
        </row>
        <row r="840">
          <cell r="A840" t="str">
            <v>DATA</v>
          </cell>
        </row>
        <row r="842">
          <cell r="A842">
            <v>116</v>
          </cell>
          <cell r="B842" t="str">
            <v>TUBO DE COBRE FLEXIVEL 3/8"</v>
          </cell>
          <cell r="C842" t="str">
            <v>M</v>
          </cell>
          <cell r="D842">
            <v>8.4244444444444451</v>
          </cell>
        </row>
        <row r="843">
          <cell r="A843" t="str">
            <v>NOME</v>
          </cell>
        </row>
        <row r="844">
          <cell r="A844" t="str">
            <v>PREÇO</v>
          </cell>
        </row>
        <row r="845">
          <cell r="A845" t="str">
            <v>CNPJ</v>
          </cell>
        </row>
        <row r="846">
          <cell r="A846" t="str">
            <v>TELEFONE</v>
          </cell>
        </row>
        <row r="847">
          <cell r="A847" t="str">
            <v>DATA</v>
          </cell>
        </row>
        <row r="849">
          <cell r="A849">
            <v>117</v>
          </cell>
          <cell r="B849" t="str">
            <v>ISOLAMENTO EM ELASTOMERO ESPONJOSO POLIETILENO ESP. 13mm DIÂM. Ø1/4´´</v>
          </cell>
          <cell r="C849" t="str">
            <v>M</v>
          </cell>
          <cell r="D849">
            <v>4.503333333333333</v>
          </cell>
        </row>
        <row r="850">
          <cell r="A850" t="str">
            <v>NOME</v>
          </cell>
        </row>
        <row r="851">
          <cell r="A851" t="str">
            <v>PREÇO</v>
          </cell>
        </row>
        <row r="852">
          <cell r="A852" t="str">
            <v>CNPJ</v>
          </cell>
        </row>
        <row r="853">
          <cell r="A853" t="str">
            <v>TELEFONE</v>
          </cell>
        </row>
        <row r="854">
          <cell r="A854" t="str">
            <v>DATA</v>
          </cell>
        </row>
        <row r="856">
          <cell r="A856">
            <v>118</v>
          </cell>
          <cell r="B856" t="str">
            <v>TUBO DE COBRE FLEXIVEL 1/4"</v>
          </cell>
          <cell r="C856" t="str">
            <v>M</v>
          </cell>
          <cell r="D856">
            <v>5.7111111111111112</v>
          </cell>
        </row>
        <row r="857">
          <cell r="A857" t="str">
            <v>NOME</v>
          </cell>
        </row>
        <row r="858">
          <cell r="A858" t="str">
            <v>PREÇO</v>
          </cell>
        </row>
        <row r="859">
          <cell r="A859" t="str">
            <v>CNPJ</v>
          </cell>
        </row>
        <row r="860">
          <cell r="A860" t="str">
            <v>TELEFONE</v>
          </cell>
        </row>
        <row r="861">
          <cell r="A861" t="str">
            <v>DATA</v>
          </cell>
        </row>
        <row r="863">
          <cell r="A863">
            <v>119</v>
          </cell>
          <cell r="B863" t="str">
            <v>ISOLAMENTO EM ELASTOMERO ESPONJOSO POLIETILENO ESP. 13mm DIÂM. Ø1/2´´</v>
          </cell>
          <cell r="C863" t="str">
            <v>M</v>
          </cell>
          <cell r="D863">
            <v>4.9333333333333336</v>
          </cell>
        </row>
        <row r="864">
          <cell r="A864" t="str">
            <v>NOME</v>
          </cell>
        </row>
        <row r="865">
          <cell r="A865" t="str">
            <v>PREÇO</v>
          </cell>
        </row>
        <row r="866">
          <cell r="A866" t="str">
            <v>CNPJ</v>
          </cell>
        </row>
        <row r="867">
          <cell r="A867" t="str">
            <v>TELEFONE</v>
          </cell>
        </row>
        <row r="868">
          <cell r="A868" t="str">
            <v>DATA</v>
          </cell>
        </row>
        <row r="870">
          <cell r="A870">
            <v>120</v>
          </cell>
          <cell r="B870" t="str">
            <v>TUBO DE COBRE FLEXIVEL 1/2"</v>
          </cell>
          <cell r="C870" t="str">
            <v>M</v>
          </cell>
          <cell r="D870">
            <v>11.151111111111112</v>
          </cell>
        </row>
        <row r="871">
          <cell r="A871" t="str">
            <v>NOME</v>
          </cell>
        </row>
        <row r="872">
          <cell r="A872" t="str">
            <v>PREÇO</v>
          </cell>
        </row>
        <row r="873">
          <cell r="A873" t="str">
            <v>CNPJ</v>
          </cell>
        </row>
        <row r="874">
          <cell r="A874" t="str">
            <v>TELEFONE</v>
          </cell>
        </row>
        <row r="875">
          <cell r="A875" t="str">
            <v>DATA</v>
          </cell>
        </row>
        <row r="877">
          <cell r="A877">
            <v>121</v>
          </cell>
          <cell r="B877" t="str">
            <v>ISOLAMENTO EM ELASTOMERO ESPONJOSO POLIETILENO ESP. 13mm DIÂM. Ø5/8´´</v>
          </cell>
          <cell r="C877" t="str">
            <v>M</v>
          </cell>
          <cell r="D877">
            <v>2.6</v>
          </cell>
        </row>
        <row r="878">
          <cell r="A878" t="str">
            <v>NOME</v>
          </cell>
        </row>
        <row r="879">
          <cell r="A879" t="str">
            <v>PREÇO</v>
          </cell>
        </row>
        <row r="880">
          <cell r="A880" t="str">
            <v>CNPJ</v>
          </cell>
        </row>
        <row r="881">
          <cell r="A881" t="str">
            <v>TELEFONE</v>
          </cell>
        </row>
        <row r="882">
          <cell r="A882" t="str">
            <v>DATA</v>
          </cell>
        </row>
        <row r="884">
          <cell r="A884">
            <v>122</v>
          </cell>
          <cell r="B884" t="str">
            <v>TUBO DE COBRE FLEXIVEL 5/8"</v>
          </cell>
          <cell r="C884" t="str">
            <v>M</v>
          </cell>
          <cell r="D884">
            <v>5.4533333333333331</v>
          </cell>
        </row>
        <row r="885">
          <cell r="A885" t="str">
            <v>NOME</v>
          </cell>
        </row>
        <row r="886">
          <cell r="A886" t="str">
            <v>PREÇO</v>
          </cell>
        </row>
        <row r="887">
          <cell r="A887" t="str">
            <v>CNPJ</v>
          </cell>
        </row>
        <row r="888">
          <cell r="A888" t="str">
            <v>TELEFONE</v>
          </cell>
        </row>
        <row r="889">
          <cell r="A889" t="str">
            <v>DATA</v>
          </cell>
        </row>
        <row r="891">
          <cell r="A891">
            <v>123</v>
          </cell>
          <cell r="B891" t="str">
            <v>TUBO EM POLIETILENO BLINDADO 3/4"</v>
          </cell>
          <cell r="C891" t="str">
            <v>M</v>
          </cell>
          <cell r="D891">
            <v>2.7333333333333329</v>
          </cell>
        </row>
        <row r="892">
          <cell r="A892" t="str">
            <v>NOME</v>
          </cell>
        </row>
        <row r="893">
          <cell r="A893" t="str">
            <v>PREÇO</v>
          </cell>
        </row>
        <row r="894">
          <cell r="A894" t="str">
            <v>CNPJ</v>
          </cell>
        </row>
        <row r="895">
          <cell r="A895" t="str">
            <v>TELEFONE</v>
          </cell>
        </row>
        <row r="896">
          <cell r="A896" t="str">
            <v>DATA</v>
          </cell>
        </row>
        <row r="898">
          <cell r="A898">
            <v>124</v>
          </cell>
          <cell r="B898" t="str">
            <v>TUBO DE COBRE FLEXIVEL 3/4"</v>
          </cell>
          <cell r="C898" t="str">
            <v>M</v>
          </cell>
          <cell r="D898">
            <v>17.056222222222221</v>
          </cell>
        </row>
        <row r="899">
          <cell r="A899" t="str">
            <v>NOME</v>
          </cell>
        </row>
        <row r="900">
          <cell r="A900" t="str">
            <v>PREÇO</v>
          </cell>
        </row>
        <row r="901">
          <cell r="A901" t="str">
            <v>CNPJ</v>
          </cell>
        </row>
        <row r="902">
          <cell r="A902" t="str">
            <v>TELEFONE</v>
          </cell>
        </row>
        <row r="903">
          <cell r="A903" t="str">
            <v>DATA</v>
          </cell>
        </row>
        <row r="905">
          <cell r="A905">
            <v>125</v>
          </cell>
          <cell r="B905" t="str">
            <v>FITA ALUMINIZADA 45MMX40M</v>
          </cell>
          <cell r="C905" t="str">
            <v>UN</v>
          </cell>
          <cell r="D905">
            <v>3.6266666666666669</v>
          </cell>
        </row>
        <row r="906">
          <cell r="A906" t="str">
            <v>NOME</v>
          </cell>
        </row>
        <row r="907">
          <cell r="A907" t="str">
            <v>PREÇO</v>
          </cell>
        </row>
        <row r="908">
          <cell r="A908" t="str">
            <v>CNPJ</v>
          </cell>
        </row>
        <row r="909">
          <cell r="A909" t="str">
            <v>TELEFONE</v>
          </cell>
        </row>
        <row r="910">
          <cell r="A910" t="str">
            <v>DATA</v>
          </cell>
        </row>
        <row r="912">
          <cell r="A912">
            <v>126</v>
          </cell>
          <cell r="B912" t="str">
            <v>TUBO DE PVC DESCIDA DE VALVULA DE DESCARGA 38mm CMO JOELHO E ANEL</v>
          </cell>
          <cell r="C912" t="str">
            <v>UN</v>
          </cell>
          <cell r="D912">
            <v>5.81</v>
          </cell>
        </row>
        <row r="913">
          <cell r="A913" t="str">
            <v>NOME</v>
          </cell>
        </row>
        <row r="914">
          <cell r="A914" t="str">
            <v>PREÇO</v>
          </cell>
        </row>
        <row r="915">
          <cell r="A915" t="str">
            <v>CNPJ</v>
          </cell>
        </row>
        <row r="916">
          <cell r="A916" t="str">
            <v>TELEFONE</v>
          </cell>
        </row>
        <row r="917">
          <cell r="A917" t="str">
            <v>DATA</v>
          </cell>
        </row>
        <row r="919">
          <cell r="A919">
            <v>127</v>
          </cell>
          <cell r="B919" t="str">
            <v>JOELHO DE 90º  40 MM C/ ANEL</v>
          </cell>
          <cell r="C919" t="str">
            <v>UN</v>
          </cell>
          <cell r="D919">
            <v>5.5</v>
          </cell>
        </row>
        <row r="920">
          <cell r="A920" t="str">
            <v>NOME</v>
          </cell>
        </row>
        <row r="921">
          <cell r="A921" t="str">
            <v>PREÇO</v>
          </cell>
        </row>
        <row r="922">
          <cell r="A922" t="str">
            <v>CNPJ</v>
          </cell>
        </row>
        <row r="923">
          <cell r="A923" t="str">
            <v>TELEFONE</v>
          </cell>
        </row>
        <row r="924">
          <cell r="A924" t="str">
            <v>DATA</v>
          </cell>
        </row>
        <row r="926">
          <cell r="A926">
            <v>128</v>
          </cell>
          <cell r="B926" t="str">
            <v>TERMINAL DE VENTILAÇÃO PVC 50MM</v>
          </cell>
          <cell r="C926" t="str">
            <v>UN</v>
          </cell>
          <cell r="D926">
            <v>7.2833333333333341</v>
          </cell>
        </row>
        <row r="927">
          <cell r="A927" t="str">
            <v>NOME</v>
          </cell>
        </row>
        <row r="928">
          <cell r="A928" t="str">
            <v>PREÇO</v>
          </cell>
        </row>
        <row r="929">
          <cell r="A929" t="str">
            <v>CNPJ</v>
          </cell>
        </row>
        <row r="930">
          <cell r="A930" t="str">
            <v>TELEFONE</v>
          </cell>
        </row>
        <row r="931">
          <cell r="A931" t="str">
            <v>DATA</v>
          </cell>
        </row>
        <row r="933">
          <cell r="A933">
            <v>129</v>
          </cell>
          <cell r="B933" t="str">
            <v>TERMINAL DE VENTILAÇÃO PVC 75MM</v>
          </cell>
          <cell r="C933" t="str">
            <v>UN</v>
          </cell>
          <cell r="D933">
            <v>7.63</v>
          </cell>
        </row>
        <row r="934">
          <cell r="A934" t="str">
            <v>NOME</v>
          </cell>
        </row>
        <row r="935">
          <cell r="A935" t="str">
            <v>PREÇO</v>
          </cell>
        </row>
        <row r="936">
          <cell r="A936" t="str">
            <v>CNPJ</v>
          </cell>
        </row>
        <row r="937">
          <cell r="A937" t="str">
            <v>TELEFONE</v>
          </cell>
        </row>
        <row r="938">
          <cell r="A938" t="str">
            <v>DATA</v>
          </cell>
        </row>
        <row r="940">
          <cell r="A940">
            <v>130</v>
          </cell>
          <cell r="B940" t="str">
            <v>FORNECIMENTO DE APARELHO DE AR CONDICIONADO TIPO AIR SPLIT INVERTER E CONDENSADOR DE 9000 BTU (42FVQA09C5 / 38FVQA09C5 OU EQUIV.)</v>
          </cell>
          <cell r="C940" t="str">
            <v>UN</v>
          </cell>
          <cell r="D940">
            <v>1635.9833333333333</v>
          </cell>
        </row>
        <row r="941">
          <cell r="A941" t="str">
            <v>NOME</v>
          </cell>
        </row>
        <row r="942">
          <cell r="A942" t="str">
            <v>PREÇO</v>
          </cell>
        </row>
        <row r="943">
          <cell r="A943" t="str">
            <v>CNPJ</v>
          </cell>
        </row>
        <row r="944">
          <cell r="A944" t="str">
            <v>TELEFONE</v>
          </cell>
        </row>
        <row r="945">
          <cell r="A945" t="str">
            <v>DATA</v>
          </cell>
        </row>
        <row r="947">
          <cell r="A947">
            <v>131</v>
          </cell>
          <cell r="B947" t="str">
            <v>FORNECIMENTO DE APARELHO DE AR CONDICIONADO TIPO AIR SPLIT INVERTER E CONDENSADOR DE 12000 BTU (42FVQA12C5 / 38FVQA12C5 OU EQUIV.)</v>
          </cell>
          <cell r="C947" t="str">
            <v>UN</v>
          </cell>
          <cell r="D947">
            <v>2029.6666666666667</v>
          </cell>
        </row>
        <row r="948">
          <cell r="A948" t="str">
            <v>NOME</v>
          </cell>
        </row>
        <row r="949">
          <cell r="A949" t="str">
            <v>PREÇO</v>
          </cell>
        </row>
        <row r="950">
          <cell r="A950" t="str">
            <v>CNPJ</v>
          </cell>
        </row>
        <row r="951">
          <cell r="A951" t="str">
            <v>TELEFONE</v>
          </cell>
        </row>
        <row r="952">
          <cell r="A952" t="str">
            <v>DATA</v>
          </cell>
        </row>
        <row r="954">
          <cell r="A954">
            <v>132</v>
          </cell>
          <cell r="B954" t="str">
            <v>FORNECIMENTO DE APARELHO DE AR CONDICIONADO TIPO AIR SPLIT INVERTER E CONDENSADOR DE 18000 BTU (42FVQA18C5 / 38FVQA18C5 OU EQUIV.)</v>
          </cell>
          <cell r="C954" t="str">
            <v>UN</v>
          </cell>
          <cell r="D954">
            <v>2711.1200000000003</v>
          </cell>
        </row>
        <row r="955">
          <cell r="A955" t="str">
            <v>NOME</v>
          </cell>
        </row>
        <row r="956">
          <cell r="A956" t="str">
            <v>PREÇO</v>
          </cell>
        </row>
        <row r="957">
          <cell r="A957" t="str">
            <v>CNPJ</v>
          </cell>
        </row>
        <row r="958">
          <cell r="A958" t="str">
            <v>TELEFONE</v>
          </cell>
        </row>
        <row r="959">
          <cell r="A959" t="str">
            <v>DATA</v>
          </cell>
        </row>
        <row r="961">
          <cell r="A961">
            <v>133</v>
          </cell>
          <cell r="B961" t="str">
            <v>FILTRO VORTEX WFF300, INCLUSO TAMPA EM ALUMÍNIO</v>
          </cell>
          <cell r="C961" t="str">
            <v>UN</v>
          </cell>
          <cell r="D961">
            <v>18800</v>
          </cell>
        </row>
        <row r="962">
          <cell r="A962" t="str">
            <v>NOME</v>
          </cell>
          <cell r="B962" t="str">
            <v>ÚNICO REPRESENTANTE DE VENDAS NO BRASIL</v>
          </cell>
        </row>
        <row r="963">
          <cell r="A963" t="str">
            <v>PREÇO</v>
          </cell>
        </row>
        <row r="964">
          <cell r="A964" t="str">
            <v>CNPJ</v>
          </cell>
        </row>
        <row r="965">
          <cell r="A965" t="str">
            <v>TELEFONE</v>
          </cell>
        </row>
        <row r="966">
          <cell r="A966" t="str">
            <v>DATA</v>
          </cell>
        </row>
        <row r="968">
          <cell r="A968">
            <v>134</v>
          </cell>
          <cell r="B968" t="str">
            <v>FORNECIMRNTO DE BOMBA A VACUO, VAZÃO NOMINAL DE 200 L/min, NÍVEL DE VÁCUO: 500 mmHg, PARA ATÉ 4 CONSULTÓRIOS, MODELO DE REFERÊNCIA: DABI-ATLANTE CICLONE OU EQUIVALENTE TÉCNICO</v>
          </cell>
          <cell r="C968" t="str">
            <v>UN</v>
          </cell>
          <cell r="D968">
            <v>3827.5</v>
          </cell>
        </row>
        <row r="969">
          <cell r="A969" t="str">
            <v>NOME</v>
          </cell>
        </row>
        <row r="970">
          <cell r="A970" t="str">
            <v>PREÇO</v>
          </cell>
        </row>
        <row r="971">
          <cell r="A971" t="str">
            <v>CNPJ</v>
          </cell>
        </row>
        <row r="972">
          <cell r="A972" t="str">
            <v>TELEFONE</v>
          </cell>
        </row>
        <row r="973">
          <cell r="A973" t="str">
            <v>DATA</v>
          </cell>
        </row>
        <row r="975">
          <cell r="A975">
            <v>135</v>
          </cell>
          <cell r="B975" t="str">
            <v>FORNECIMENTO DE COMPRESSOR DE AR-COMPRIMIDO, PARA 3 ATÉ 5 CONSULTÓRIOS, TANQUE DE 40 LITROS, ALIMENTAÇÃO 220V (MONOFÁSICO), 2HP, VAZÃO: 280L/min, PRESSÃO MÁXIMA: 8 BAR/120PSI, MODELO DE REFERÊNCIA: AIR ZAP DA 2000 40VF OU EQUIVALENTE TÉCNICO</v>
          </cell>
          <cell r="C975" t="str">
            <v>UN</v>
          </cell>
          <cell r="D975">
            <v>5279.9666666666662</v>
          </cell>
        </row>
        <row r="976">
          <cell r="A976" t="str">
            <v>NOME</v>
          </cell>
        </row>
        <row r="977">
          <cell r="A977" t="str">
            <v>PREÇO</v>
          </cell>
        </row>
        <row r="978">
          <cell r="A978" t="str">
            <v>CNPJ</v>
          </cell>
        </row>
        <row r="979">
          <cell r="A979" t="str">
            <v>TELEFONE</v>
          </cell>
        </row>
        <row r="980">
          <cell r="A980" t="str">
            <v>DATA</v>
          </cell>
        </row>
        <row r="982">
          <cell r="A982">
            <v>136</v>
          </cell>
          <cell r="B982" t="str">
            <v xml:space="preserve"> ESCADA HORIZONTAL</v>
          </cell>
          <cell r="C982" t="str">
            <v>UN</v>
          </cell>
          <cell r="D982">
            <v>1946.6666666666667</v>
          </cell>
        </row>
        <row r="983">
          <cell r="A983" t="str">
            <v>NOME</v>
          </cell>
        </row>
        <row r="984">
          <cell r="A984" t="str">
            <v>PREÇO</v>
          </cell>
        </row>
        <row r="985">
          <cell r="A985" t="str">
            <v>CNPJ</v>
          </cell>
        </row>
        <row r="986">
          <cell r="A986" t="str">
            <v>TELEFONE</v>
          </cell>
        </row>
        <row r="987">
          <cell r="A987" t="str">
            <v>DATA</v>
          </cell>
        </row>
        <row r="989">
          <cell r="A989">
            <v>137</v>
          </cell>
          <cell r="B989" t="str">
            <v>CARROSSEL DE  8 LUGARES</v>
          </cell>
          <cell r="C989" t="str">
            <v>UN</v>
          </cell>
          <cell r="D989">
            <v>1053.99</v>
          </cell>
        </row>
        <row r="990">
          <cell r="A990" t="str">
            <v>NOME</v>
          </cell>
        </row>
        <row r="991">
          <cell r="A991" t="str">
            <v>PREÇO</v>
          </cell>
        </row>
        <row r="992">
          <cell r="A992" t="str">
            <v>CNPJ</v>
          </cell>
        </row>
        <row r="993">
          <cell r="A993" t="str">
            <v>TELEFONE</v>
          </cell>
        </row>
        <row r="994">
          <cell r="A994" t="str">
            <v>DATA</v>
          </cell>
        </row>
        <row r="996">
          <cell r="A996">
            <v>138</v>
          </cell>
          <cell r="B996" t="str">
            <v xml:space="preserve">Lixeira com dois cestos padrão SLU </v>
          </cell>
          <cell r="C996" t="str">
            <v>UN</v>
          </cell>
          <cell r="D996">
            <v>485</v>
          </cell>
        </row>
        <row r="997">
          <cell r="A997" t="str">
            <v>NOME</v>
          </cell>
        </row>
        <row r="998">
          <cell r="A998" t="str">
            <v>PREÇO</v>
          </cell>
        </row>
        <row r="999">
          <cell r="A999" t="str">
            <v>CNPJ</v>
          </cell>
        </row>
        <row r="1000">
          <cell r="A1000" t="str">
            <v>TELEFONE</v>
          </cell>
        </row>
        <row r="1001">
          <cell r="A1001" t="str">
            <v>DATA</v>
          </cell>
        </row>
        <row r="1003">
          <cell r="A1003">
            <v>139</v>
          </cell>
          <cell r="B1003" t="str">
            <v>BLOCO DE CONCRETO INTERTRAVADO - MOD. PAVI'S 11X24X8CM - COR TERRACOTA</v>
          </cell>
          <cell r="C1003" t="str">
            <v>M2</v>
          </cell>
          <cell r="D1003">
            <v>46.583333333333336</v>
          </cell>
        </row>
        <row r="1004">
          <cell r="A1004" t="str">
            <v>NOME</v>
          </cell>
        </row>
        <row r="1005">
          <cell r="A1005" t="str">
            <v>PREÇO</v>
          </cell>
        </row>
        <row r="1006">
          <cell r="A1006" t="str">
            <v>CNPJ</v>
          </cell>
        </row>
        <row r="1007">
          <cell r="A1007" t="str">
            <v>TELEFONE</v>
          </cell>
        </row>
        <row r="1008">
          <cell r="A1008" t="str">
            <v>DATA</v>
          </cell>
        </row>
        <row r="1010">
          <cell r="A1010">
            <v>140</v>
          </cell>
          <cell r="B1010" t="str">
            <v>GRADIL PARA FIXAÇÃO EM CONCRETO - SOMENTE MATERIAL INCLUSO (Sistema Cercamento malha 5 x 20 cm fio 4,30 mm Alt. 2,03 m), (Montante, Tubo 60 x 40 x 1,25 mm, galvanizado + pintura eletrostatica a pó, cor padrão, medindo 2,60 m - para fixação no solo, em vão</v>
          </cell>
          <cell r="C1010" t="str">
            <v>M2</v>
          </cell>
          <cell r="D1010">
            <v>65.999590541508852</v>
          </cell>
        </row>
        <row r="1011">
          <cell r="A1011" t="str">
            <v>NOME</v>
          </cell>
        </row>
        <row r="1012">
          <cell r="A1012" t="str">
            <v>PREÇO</v>
          </cell>
        </row>
        <row r="1013">
          <cell r="A1013" t="str">
            <v>CNPJ</v>
          </cell>
        </row>
        <row r="1014">
          <cell r="A1014" t="str">
            <v>TELEFONE</v>
          </cell>
        </row>
        <row r="1015">
          <cell r="A1015" t="str">
            <v>DATA</v>
          </cell>
        </row>
        <row r="1017">
          <cell r="A1017">
            <v>141</v>
          </cell>
          <cell r="B1017" t="str">
            <v>GRAMA SINTÉTICA 30MM</v>
          </cell>
          <cell r="C1017" t="str">
            <v>M2</v>
          </cell>
          <cell r="D1017">
            <v>60.143333333333324</v>
          </cell>
        </row>
        <row r="1018">
          <cell r="A1018" t="str">
            <v>NOME</v>
          </cell>
        </row>
        <row r="1019">
          <cell r="A1019" t="str">
            <v>PREÇO</v>
          </cell>
        </row>
        <row r="1020">
          <cell r="A1020" t="str">
            <v>CNPJ</v>
          </cell>
        </row>
        <row r="1021">
          <cell r="A1021" t="str">
            <v>TELEFONE</v>
          </cell>
        </row>
        <row r="1022">
          <cell r="A1022" t="str">
            <v>DATA</v>
          </cell>
        </row>
        <row r="1024">
          <cell r="A1024">
            <v>142</v>
          </cell>
          <cell r="B1024" t="str">
            <v>Container p/ entulho</v>
          </cell>
          <cell r="C1024" t="str">
            <v>Mês</v>
          </cell>
          <cell r="D1024">
            <v>373.33333333333331</v>
          </cell>
        </row>
        <row r="1025">
          <cell r="A1025" t="str">
            <v>NOME</v>
          </cell>
        </row>
        <row r="1026">
          <cell r="A1026" t="str">
            <v>PREÇO</v>
          </cell>
        </row>
        <row r="1027">
          <cell r="A1027" t="str">
            <v>CNPJ</v>
          </cell>
        </row>
        <row r="1028">
          <cell r="A1028" t="str">
            <v>TELEFONE</v>
          </cell>
        </row>
        <row r="1029">
          <cell r="A1029" t="str">
            <v>DATA</v>
          </cell>
        </row>
        <row r="1031">
          <cell r="A1031">
            <v>143</v>
          </cell>
          <cell r="B1031" t="str">
            <v>ELETRODUTO PEAD FLEXIVEL 1 "</v>
          </cell>
          <cell r="C1031" t="str">
            <v>M</v>
          </cell>
          <cell r="D1031">
            <v>3.8833333333333333</v>
          </cell>
        </row>
        <row r="1032">
          <cell r="A1032" t="str">
            <v>NOME</v>
          </cell>
        </row>
        <row r="1033">
          <cell r="A1033" t="str">
            <v>PREÇO</v>
          </cell>
        </row>
        <row r="1034">
          <cell r="A1034" t="str">
            <v>CNPJ</v>
          </cell>
        </row>
        <row r="1035">
          <cell r="A1035" t="str">
            <v>TELEFONE</v>
          </cell>
        </row>
        <row r="1036">
          <cell r="A1036" t="str">
            <v>DATA</v>
          </cell>
        </row>
        <row r="1038">
          <cell r="A1038">
            <v>144</v>
          </cell>
          <cell r="B1038" t="str">
            <v>ELETRODUTO PEAD FLEXIVEL 1 1/2 "</v>
          </cell>
          <cell r="C1038" t="str">
            <v>M</v>
          </cell>
          <cell r="D1038">
            <v>5.0333333333333332</v>
          </cell>
        </row>
        <row r="1039">
          <cell r="A1039" t="str">
            <v>NOME</v>
          </cell>
        </row>
        <row r="1040">
          <cell r="A1040" t="str">
            <v>PREÇO</v>
          </cell>
        </row>
        <row r="1041">
          <cell r="A1041" t="str">
            <v>CNPJ</v>
          </cell>
        </row>
        <row r="1042">
          <cell r="A1042" t="str">
            <v>TELEFONE</v>
          </cell>
        </row>
        <row r="1043">
          <cell r="A1043" t="str">
            <v>DATA</v>
          </cell>
        </row>
        <row r="1045">
          <cell r="A1045">
            <v>145</v>
          </cell>
          <cell r="B1045" t="str">
            <v>ELETRODUTO PEAD FLEXIVEL 1 1/4 "</v>
          </cell>
          <cell r="C1045" t="str">
            <v>M</v>
          </cell>
          <cell r="D1045">
            <v>4.666666666666667</v>
          </cell>
        </row>
        <row r="1046">
          <cell r="A1046" t="str">
            <v>NOME</v>
          </cell>
        </row>
        <row r="1047">
          <cell r="A1047" t="str">
            <v>PREÇO</v>
          </cell>
        </row>
        <row r="1048">
          <cell r="A1048" t="str">
            <v>CNPJ</v>
          </cell>
        </row>
        <row r="1049">
          <cell r="A1049" t="str">
            <v>TELEFONE</v>
          </cell>
        </row>
        <row r="1050">
          <cell r="A1050" t="str">
            <v>DATA</v>
          </cell>
        </row>
        <row r="1052">
          <cell r="A1052">
            <v>146</v>
          </cell>
          <cell r="B1052" t="str">
            <v>CAIXA TIPO B - 400X550X170MM</v>
          </cell>
          <cell r="C1052" t="str">
            <v>UN</v>
          </cell>
          <cell r="D1052">
            <v>450</v>
          </cell>
        </row>
        <row r="1053">
          <cell r="A1053" t="str">
            <v>NOME</v>
          </cell>
        </row>
        <row r="1054">
          <cell r="A1054" t="str">
            <v>PREÇO</v>
          </cell>
        </row>
        <row r="1055">
          <cell r="A1055" t="str">
            <v>CNPJ</v>
          </cell>
        </row>
        <row r="1056">
          <cell r="A1056" t="str">
            <v>TELEFONE</v>
          </cell>
        </row>
        <row r="1057">
          <cell r="A1057" t="str">
            <v>DATA</v>
          </cell>
        </row>
        <row r="1059">
          <cell r="A1059">
            <v>147</v>
          </cell>
          <cell r="B1059" t="str">
            <v>CAIXA TIPO P4 - 300X620X220MM</v>
          </cell>
          <cell r="C1059" t="str">
            <v>UN</v>
          </cell>
          <cell r="D1059">
            <v>150</v>
          </cell>
        </row>
        <row r="1060">
          <cell r="A1060" t="str">
            <v>NOME</v>
          </cell>
        </row>
        <row r="1061">
          <cell r="A1061" t="str">
            <v>PREÇO</v>
          </cell>
        </row>
        <row r="1062">
          <cell r="A1062" t="str">
            <v>CNPJ</v>
          </cell>
        </row>
        <row r="1063">
          <cell r="A1063" t="str">
            <v>TELEFONE</v>
          </cell>
        </row>
        <row r="1064">
          <cell r="A1064" t="str">
            <v>DATA</v>
          </cell>
        </row>
        <row r="1066">
          <cell r="A1066">
            <v>148</v>
          </cell>
          <cell r="B1066" t="str">
            <v>CAIXA TIPO TR - 550X1300X300MM</v>
          </cell>
          <cell r="C1066" t="str">
            <v>UN</v>
          </cell>
          <cell r="D1066">
            <v>1100</v>
          </cell>
        </row>
        <row r="1067">
          <cell r="A1067" t="str">
            <v>NOME</v>
          </cell>
        </row>
        <row r="1068">
          <cell r="A1068" t="str">
            <v>PREÇO</v>
          </cell>
        </row>
        <row r="1069">
          <cell r="A1069" t="str">
            <v>CNPJ</v>
          </cell>
        </row>
        <row r="1070">
          <cell r="A1070" t="str">
            <v>TELEFONE</v>
          </cell>
        </row>
        <row r="1071">
          <cell r="A1071" t="str">
            <v>DATA</v>
          </cell>
        </row>
        <row r="1073">
          <cell r="A1073">
            <v>149</v>
          </cell>
          <cell r="B1073" t="str">
            <v>Torneira inox 1198C DECA OU EQUIV.</v>
          </cell>
          <cell r="C1073" t="str">
            <v>UN</v>
          </cell>
          <cell r="D1073">
            <v>186.36333333333334</v>
          </cell>
        </row>
        <row r="1074">
          <cell r="A1074" t="str">
            <v>NOME</v>
          </cell>
        </row>
        <row r="1075">
          <cell r="A1075" t="str">
            <v>PREÇO</v>
          </cell>
        </row>
        <row r="1076">
          <cell r="A1076" t="str">
            <v>CNPJ</v>
          </cell>
        </row>
        <row r="1077">
          <cell r="A1077" t="str">
            <v>TELEFONE</v>
          </cell>
        </row>
        <row r="1078">
          <cell r="A1078" t="str">
            <v>DATA</v>
          </cell>
        </row>
        <row r="1081">
          <cell r="A1081">
            <v>150</v>
          </cell>
          <cell r="B1081" t="str">
            <v>Torneira inox 1178C37 DECA OU EQUIV.</v>
          </cell>
          <cell r="C1081" t="str">
            <v>UN</v>
          </cell>
          <cell r="D1081">
            <v>237.25</v>
          </cell>
        </row>
        <row r="1082">
          <cell r="A1082" t="str">
            <v>NOME</v>
          </cell>
        </row>
        <row r="1083">
          <cell r="A1083" t="str">
            <v>PREÇO</v>
          </cell>
        </row>
        <row r="1084">
          <cell r="A1084" t="str">
            <v>CNPJ</v>
          </cell>
        </row>
        <row r="1085">
          <cell r="A1085" t="str">
            <v>TELEFONE</v>
          </cell>
        </row>
        <row r="1086">
          <cell r="A1086" t="str">
            <v>DATA</v>
          </cell>
        </row>
        <row r="1088">
          <cell r="A1088">
            <v>151</v>
          </cell>
          <cell r="B1088" t="str">
            <v>Válvula decalux 2583E DECA</v>
          </cell>
          <cell r="C1088" t="str">
            <v>UN</v>
          </cell>
          <cell r="D1088">
            <v>1251</v>
          </cell>
        </row>
        <row r="1089">
          <cell r="A1089" t="str">
            <v>NOME</v>
          </cell>
        </row>
        <row r="1090">
          <cell r="A1090" t="str">
            <v>PREÇO</v>
          </cell>
        </row>
        <row r="1091">
          <cell r="A1091" t="str">
            <v>CNPJ</v>
          </cell>
        </row>
        <row r="1092">
          <cell r="A1092" t="str">
            <v>TELEFONE</v>
          </cell>
        </row>
        <row r="1093">
          <cell r="A1093" t="str">
            <v>DATA</v>
          </cell>
        </row>
        <row r="1095">
          <cell r="A1095">
            <v>152</v>
          </cell>
          <cell r="B1095" t="str">
            <v>CHUVEIRO CROMADO TUDO DE PAREDE 1971 DECA OU EQUIV.</v>
          </cell>
          <cell r="C1095" t="str">
            <v>UN</v>
          </cell>
          <cell r="D1095">
            <v>198.55999999999997</v>
          </cell>
        </row>
        <row r="1096">
          <cell r="A1096" t="str">
            <v>NOME</v>
          </cell>
        </row>
        <row r="1097">
          <cell r="A1097" t="str">
            <v>PREÇO</v>
          </cell>
        </row>
        <row r="1098">
          <cell r="A1098" t="str">
            <v>CNPJ</v>
          </cell>
        </row>
        <row r="1099">
          <cell r="A1099" t="str">
            <v>TELEFONE</v>
          </cell>
        </row>
        <row r="1100">
          <cell r="A1100" t="str">
            <v>DATA</v>
          </cell>
        </row>
        <row r="1102">
          <cell r="A1102">
            <v>153</v>
          </cell>
          <cell r="B1102" t="str">
            <v>Cuba EM AÇO INOX 94025106 TRAMONTINA OU EQUIV.</v>
          </cell>
          <cell r="C1102" t="str">
            <v>UN</v>
          </cell>
          <cell r="D1102">
            <v>368.79333333333335</v>
          </cell>
        </row>
        <row r="1103">
          <cell r="A1103" t="str">
            <v>NOME</v>
          </cell>
        </row>
        <row r="1104">
          <cell r="A1104" t="str">
            <v>PREÇO</v>
          </cell>
        </row>
        <row r="1105">
          <cell r="A1105" t="str">
            <v>CNPJ</v>
          </cell>
        </row>
        <row r="1106">
          <cell r="A1106" t="str">
            <v>TELEFONE</v>
          </cell>
        </row>
        <row r="1107">
          <cell r="A1107" t="str">
            <v>DATA</v>
          </cell>
        </row>
        <row r="1109">
          <cell r="A1109">
            <v>154</v>
          </cell>
          <cell r="B1109" t="str">
            <v>QDC-UBS- quadro geral de energia tipo TTA- montado</v>
          </cell>
          <cell r="C1109" t="str">
            <v>UN</v>
          </cell>
          <cell r="D1109">
            <v>4182.63</v>
          </cell>
        </row>
        <row r="1110">
          <cell r="A1110" t="str">
            <v>NOME</v>
          </cell>
        </row>
        <row r="1111">
          <cell r="A1111" t="str">
            <v>PREÇO</v>
          </cell>
        </row>
        <row r="1112">
          <cell r="A1112" t="str">
            <v>CNPJ</v>
          </cell>
        </row>
        <row r="1113">
          <cell r="A1113" t="str">
            <v>TELEFONE</v>
          </cell>
        </row>
        <row r="1114">
          <cell r="A1114" t="str">
            <v>DATA</v>
          </cell>
        </row>
        <row r="1116">
          <cell r="A1116">
            <v>155</v>
          </cell>
          <cell r="B1116" t="str">
            <v>QDC-BOMBAS- quadro de energia tipo TTA- montado</v>
          </cell>
          <cell r="C1116" t="str">
            <v>UN</v>
          </cell>
          <cell r="D1116">
            <v>712.57500000000005</v>
          </cell>
        </row>
        <row r="1117">
          <cell r="A1117" t="str">
            <v>NOME</v>
          </cell>
        </row>
        <row r="1118">
          <cell r="A1118" t="str">
            <v>PREÇO</v>
          </cell>
        </row>
        <row r="1119">
          <cell r="A1119" t="str">
            <v>CNPJ</v>
          </cell>
        </row>
        <row r="1120">
          <cell r="A1120" t="str">
            <v>TELEFONE</v>
          </cell>
        </row>
        <row r="1121">
          <cell r="A1121" t="str">
            <v>DATA</v>
          </cell>
        </row>
        <row r="1123">
          <cell r="A1123">
            <v>156</v>
          </cell>
          <cell r="B1123" t="str">
            <v>QDC-ARCON- quadro de energia tipo TTA- montado</v>
          </cell>
          <cell r="C1123" t="str">
            <v>UN</v>
          </cell>
          <cell r="D1123">
            <v>1668.45</v>
          </cell>
        </row>
        <row r="1124">
          <cell r="A1124" t="str">
            <v>NOME</v>
          </cell>
        </row>
        <row r="1125">
          <cell r="A1125" t="str">
            <v>PREÇO</v>
          </cell>
        </row>
        <row r="1126">
          <cell r="A1126" t="str">
            <v>CNPJ</v>
          </cell>
        </row>
        <row r="1127">
          <cell r="A1127" t="str">
            <v>TELEFONE</v>
          </cell>
        </row>
        <row r="1128">
          <cell r="A1128" t="str">
            <v>DATA</v>
          </cell>
        </row>
        <row r="1130">
          <cell r="A1130">
            <v>157</v>
          </cell>
          <cell r="B1130" t="str">
            <v>QDC-ODONTO- quadro de energia tipo TTA- montado</v>
          </cell>
          <cell r="C1130" t="str">
            <v>UN</v>
          </cell>
          <cell r="D1130">
            <v>2123.15</v>
          </cell>
        </row>
        <row r="1131">
          <cell r="A1131" t="str">
            <v>NOME</v>
          </cell>
        </row>
        <row r="1132">
          <cell r="A1132" t="str">
            <v>PREÇO</v>
          </cell>
        </row>
        <row r="1133">
          <cell r="A1133" t="str">
            <v>CNPJ</v>
          </cell>
        </row>
        <row r="1134">
          <cell r="A1134" t="str">
            <v>TELEFONE</v>
          </cell>
        </row>
        <row r="1135">
          <cell r="A1135" t="str">
            <v>DATA</v>
          </cell>
        </row>
        <row r="1137">
          <cell r="A1137">
            <v>158</v>
          </cell>
          <cell r="B1137" t="str">
            <v>TOMADA POSTO PAREDE INTERNA - OXIGENIO</v>
          </cell>
          <cell r="C1137" t="str">
            <v>UN</v>
          </cell>
          <cell r="D1137">
            <v>48.631333333333338</v>
          </cell>
        </row>
        <row r="1138">
          <cell r="A1138" t="str">
            <v>NOME</v>
          </cell>
        </row>
        <row r="1139">
          <cell r="A1139" t="str">
            <v>PREÇO</v>
          </cell>
        </row>
        <row r="1140">
          <cell r="A1140" t="str">
            <v>CNPJ</v>
          </cell>
        </row>
        <row r="1141">
          <cell r="A1141" t="str">
            <v>TELEFONE</v>
          </cell>
        </row>
        <row r="1142">
          <cell r="A1142" t="str">
            <v>DATA</v>
          </cell>
        </row>
        <row r="1144">
          <cell r="A1144">
            <v>159</v>
          </cell>
          <cell r="B1144" t="str">
            <v>TOMADA POSTO PAREDE INTERNA - AR COMPRIMIDO</v>
          </cell>
          <cell r="C1144" t="str">
            <v>UN</v>
          </cell>
          <cell r="D1144">
            <v>57.356999999999999</v>
          </cell>
        </row>
        <row r="1145">
          <cell r="A1145" t="str">
            <v>NOME</v>
          </cell>
        </row>
        <row r="1146">
          <cell r="A1146" t="str">
            <v>PREÇO</v>
          </cell>
        </row>
        <row r="1147">
          <cell r="A1147" t="str">
            <v>CNPJ</v>
          </cell>
        </row>
        <row r="1148">
          <cell r="A1148" t="str">
            <v>TELEFONE</v>
          </cell>
        </row>
        <row r="1149">
          <cell r="A1149" t="str">
            <v>DATA</v>
          </cell>
        </row>
        <row r="1151">
          <cell r="A1151">
            <v>160</v>
          </cell>
          <cell r="B1151" t="str">
            <v>TIRANTE EM BARRA REDONDA 1"</v>
          </cell>
          <cell r="C1151" t="str">
            <v>KG</v>
          </cell>
          <cell r="D1151">
            <v>3.583333333333333</v>
          </cell>
        </row>
        <row r="1152">
          <cell r="A1152" t="str">
            <v>NOME</v>
          </cell>
        </row>
        <row r="1153">
          <cell r="A1153" t="str">
            <v>PREÇO</v>
          </cell>
        </row>
        <row r="1154">
          <cell r="A1154" t="str">
            <v>CNPJ</v>
          </cell>
        </row>
        <row r="1155">
          <cell r="A1155" t="str">
            <v>TELEFONE</v>
          </cell>
        </row>
        <row r="1156">
          <cell r="A1156" t="str">
            <v>DATA</v>
          </cell>
        </row>
        <row r="1158">
          <cell r="A1158">
            <v>161</v>
          </cell>
          <cell r="B1158" t="str">
            <v xml:space="preserve">CONTAINER P/ ENTULHO </v>
          </cell>
          <cell r="C1158" t="str">
            <v>UN</v>
          </cell>
          <cell r="D1158">
            <v>373.33333333333331</v>
          </cell>
        </row>
        <row r="1159">
          <cell r="A1159" t="str">
            <v>NOME</v>
          </cell>
        </row>
        <row r="1160">
          <cell r="A1160" t="str">
            <v>PREÇO</v>
          </cell>
        </row>
        <row r="1161">
          <cell r="A1161" t="str">
            <v>CNPJ</v>
          </cell>
        </row>
        <row r="1162">
          <cell r="A1162" t="str">
            <v>TELEFONE</v>
          </cell>
        </row>
        <row r="1163">
          <cell r="A1163" t="str">
            <v>DATA</v>
          </cell>
        </row>
        <row r="1165">
          <cell r="A1165">
            <v>162</v>
          </cell>
          <cell r="B1165" t="str">
            <v>CHAPA GALVANIZADA NUM 24</v>
          </cell>
          <cell r="C1165" t="str">
            <v>KG</v>
          </cell>
          <cell r="D1165">
            <v>5.9033333333333333</v>
          </cell>
        </row>
        <row r="1166">
          <cell r="A1166" t="str">
            <v>NOME</v>
          </cell>
        </row>
        <row r="1167">
          <cell r="A1167" t="str">
            <v>PREÇO</v>
          </cell>
        </row>
        <row r="1168">
          <cell r="A1168" t="str">
            <v>CNPJ</v>
          </cell>
        </row>
        <row r="1169">
          <cell r="A1169" t="str">
            <v>TELEFONE</v>
          </cell>
        </row>
        <row r="1170">
          <cell r="A1170" t="str">
            <v>DATA</v>
          </cell>
        </row>
        <row r="1172">
          <cell r="A1172">
            <v>163</v>
          </cell>
          <cell r="B1172" t="str">
            <v>A. Mapa tátil em placa de acrílico 8mm, 400x500mm (LxP), com inscrições em braile e representações da trilha tátil com pedestal em aço cor azul metálico. As trilhas e legendas, sempre em baixo relevo devem ser construídas com cores e texturas diferentes</v>
          </cell>
          <cell r="C1172" t="str">
            <v>UN</v>
          </cell>
          <cell r="D1172">
            <v>3840</v>
          </cell>
        </row>
        <row r="1173">
          <cell r="A1173" t="str">
            <v>NOME</v>
          </cell>
        </row>
        <row r="1174">
          <cell r="A1174" t="str">
            <v>PREÇO</v>
          </cell>
        </row>
        <row r="1175">
          <cell r="A1175" t="str">
            <v>CNPJ</v>
          </cell>
        </row>
        <row r="1176">
          <cell r="A1176" t="str">
            <v>TELEFONE</v>
          </cell>
        </row>
        <row r="1177">
          <cell r="A1177" t="str">
            <v>DATA</v>
          </cell>
        </row>
        <row r="1184">
          <cell r="A1184" t="str">
            <v>COTAÇÃO - 189</v>
          </cell>
          <cell r="B1184" t="str">
            <v>FORRO EM GESSO ACARTONADO - FORNECIMENTO E INSTALAÇÃO</v>
          </cell>
          <cell r="C1184" t="str">
            <v>M2</v>
          </cell>
          <cell r="D1184">
            <v>60.333333333333336</v>
          </cell>
        </row>
        <row r="1185">
          <cell r="A1185" t="str">
            <v>NOME</v>
          </cell>
        </row>
        <row r="1186">
          <cell r="A1186" t="str">
            <v>PREÇO</v>
          </cell>
        </row>
        <row r="1187">
          <cell r="A1187" t="str">
            <v>CNPJ</v>
          </cell>
        </row>
        <row r="1188">
          <cell r="A1188" t="str">
            <v>TELEFONE</v>
          </cell>
        </row>
        <row r="1189">
          <cell r="A1189" t="str">
            <v>DATA</v>
          </cell>
        </row>
        <row r="1191">
          <cell r="A1191" t="str">
            <v>COTAÇÃO - 190</v>
          </cell>
          <cell r="B1191" t="str">
            <v>ELEMENTO VAZADO DE CONCRETO 16 FUROS - 40X40X10CM</v>
          </cell>
          <cell r="C1191" t="str">
            <v>UN</v>
          </cell>
          <cell r="D1191">
            <v>17.25</v>
          </cell>
        </row>
        <row r="1192">
          <cell r="A1192" t="str">
            <v>NOME</v>
          </cell>
        </row>
        <row r="1193">
          <cell r="A1193" t="str">
            <v>PREÇO</v>
          </cell>
        </row>
        <row r="1194">
          <cell r="A1194" t="str">
            <v>CNPJ</v>
          </cell>
        </row>
        <row r="1195">
          <cell r="A1195" t="str">
            <v>TELEFONE</v>
          </cell>
        </row>
        <row r="1196">
          <cell r="A1196" t="str">
            <v>DATA</v>
          </cell>
        </row>
        <row r="1198">
          <cell r="A1198" t="str">
            <v>COTAÇÃO - 191</v>
          </cell>
          <cell r="B1198" t="str">
            <v>TAMPÃO TIPO GRELHA DE 60X60CM</v>
          </cell>
          <cell r="C1198" t="str">
            <v>UN</v>
          </cell>
          <cell r="D1198">
            <v>206.09</v>
          </cell>
        </row>
        <row r="1199">
          <cell r="A1199" t="str">
            <v>NOME</v>
          </cell>
        </row>
        <row r="1200">
          <cell r="A1200" t="str">
            <v>PREÇO</v>
          </cell>
        </row>
        <row r="1201">
          <cell r="A1201" t="str">
            <v>CNPJ</v>
          </cell>
        </row>
        <row r="1202">
          <cell r="A1202" t="str">
            <v>TELEFONE</v>
          </cell>
        </row>
        <row r="1203">
          <cell r="A1203" t="str">
            <v>DATA</v>
          </cell>
        </row>
        <row r="1205">
          <cell r="A1205" t="str">
            <v>COTAÇÃO - 196</v>
          </cell>
          <cell r="B1205" t="str">
            <v>BOMBA BC-91 S/T – trifásica - SCHNEIDER ou similar</v>
          </cell>
          <cell r="C1205" t="str">
            <v>UN</v>
          </cell>
          <cell r="D1205">
            <v>872.5866666666667</v>
          </cell>
        </row>
        <row r="1206">
          <cell r="A1206" t="str">
            <v>NOME</v>
          </cell>
        </row>
        <row r="1207">
          <cell r="A1207" t="str">
            <v>PREÇO</v>
          </cell>
        </row>
        <row r="1208">
          <cell r="A1208" t="str">
            <v>CNPJ</v>
          </cell>
        </row>
        <row r="1209">
          <cell r="A1209" t="str">
            <v>TELEFONE</v>
          </cell>
        </row>
        <row r="1210">
          <cell r="A1210" t="str">
            <v>DATA</v>
          </cell>
        </row>
        <row r="1212">
          <cell r="A1212" t="str">
            <v>COTAÇÃO - 197</v>
          </cell>
          <cell r="B1212" t="str">
            <v>RESERVATÓRIO DE 20.000 LITROS, H= 7 METROS, INCLUSO TRANSPORTE E IÇAMENTO</v>
          </cell>
          <cell r="C1212" t="str">
            <v>UN</v>
          </cell>
          <cell r="D1212">
            <v>16261.536666666667</v>
          </cell>
        </row>
        <row r="1213">
          <cell r="A1213" t="str">
            <v>NOME</v>
          </cell>
        </row>
        <row r="1214">
          <cell r="A1214" t="str">
            <v>PREÇO</v>
          </cell>
        </row>
        <row r="1215">
          <cell r="A1215" t="str">
            <v>CNPJ</v>
          </cell>
        </row>
      </sheetData>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LANILHA"/>
    </sheetNames>
    <sheetDataSet>
      <sheetData sheetId="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l.sociais"/>
      <sheetName val="BDI"/>
      <sheetName val="CRONOGRAMA"/>
      <sheetName val="comp"/>
      <sheetName val="PLANILHA"/>
      <sheetName val="RESUMO"/>
      <sheetName val="ROSTO"/>
    </sheetNames>
    <sheetDataSet>
      <sheetData sheetId="0"/>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Eletrica"/>
      <sheetName val="Hidro"/>
      <sheetName val="C-Incendio"/>
      <sheetName val="cabeamento"/>
      <sheetName val="SSCP"/>
      <sheetName val="acesso"/>
      <sheetName val="CFTV"/>
      <sheetName val="AC"/>
      <sheetName val="inst edital Definitiva"/>
      <sheetName val="unit arq"/>
      <sheetName val="ARQ"/>
      <sheetName val="CRONOGRAMA"/>
      <sheetName val="b.d.i"/>
    </sheetNames>
    <sheetDataSet>
      <sheetData sheetId="0">
        <row r="5">
          <cell r="L5">
            <v>0.6</v>
          </cell>
        </row>
        <row r="6">
          <cell r="L6">
            <v>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4">
          <cell r="L4">
            <v>0.8</v>
          </cell>
        </row>
        <row r="5">
          <cell r="L5">
            <v>0.5</v>
          </cell>
        </row>
      </sheetData>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EARA"/>
      <sheetName val="INSUMO"/>
      <sheetName val="Plan2"/>
    </sheetNames>
    <sheetDataSet>
      <sheetData sheetId="0"/>
      <sheetData sheetId="1">
        <row r="2">
          <cell r="B2" t="str">
            <v>ABERTURA DE VALA PARA PASSAGEM DAS TUBULAÇÕES 500x500 (LARG.x ALTURA)</v>
          </cell>
        </row>
        <row r="3">
          <cell r="B3" t="str">
            <v>ABRACADEIRA D Ø 1" C/ PARAFUSO"</v>
          </cell>
        </row>
        <row r="4">
          <cell r="B4" t="str">
            <v>ABRACADEIRA D Ø 3/4" C/ PARAFUSO"</v>
          </cell>
        </row>
        <row r="5">
          <cell r="B5" t="str">
            <v>ABRAÇADEIRA PARA POSTE DUPLO T</v>
          </cell>
        </row>
        <row r="6">
          <cell r="B6" t="str">
            <v>ACESSÓRIOS (LUVAS, CURVAS, BUCHAS/ARRUELAS)</v>
          </cell>
        </row>
        <row r="7">
          <cell r="B7" t="str">
            <v>ACOPLAMENTO EM PAINEL 150X50X3000mm</v>
          </cell>
        </row>
        <row r="8">
          <cell r="B8" t="str">
            <v>ACOPLAMENTO EM PAINEL 50X50X3000mm</v>
          </cell>
        </row>
        <row r="9">
          <cell r="B9" t="str">
            <v>ACOPLAMENTO EM PAINEL P/ ELETROCALHA 100x50mm</v>
          </cell>
        </row>
        <row r="10">
          <cell r="B10" t="str">
            <v>ALÇA PREFORMADA DE DISTRIBUIÇÃO PARA CONDUTOR DE ALUMÍNIO 2AWG (25mm²)</v>
          </cell>
        </row>
        <row r="11">
          <cell r="B11" t="str">
            <v>ALICATE GRANDE L-160/7201</v>
          </cell>
        </row>
        <row r="12">
          <cell r="B12" t="str">
            <v>ARANDELA  EXTERNA COM LAMPADA 60W INCANDESCENTE DA TASSU (ITAM).</v>
          </cell>
        </row>
        <row r="13">
          <cell r="B13" t="str">
            <v>ARRUELA QUADRADA 32X3mm COM FURO DE 18mm</v>
          </cell>
        </row>
        <row r="14">
          <cell r="B14" t="str">
            <v>ARRUELA QUADRADA 50X3mm COM FURO DE 18mm</v>
          </cell>
        </row>
        <row r="15">
          <cell r="B15" t="str">
            <v>BANDEJA PADRÃO 19''</v>
          </cell>
        </row>
        <row r="16">
          <cell r="B16" t="str">
            <v>BANDEJA VENTILAÇÃO</v>
          </cell>
        </row>
        <row r="17">
          <cell r="B17" t="str">
            <v>BLOCO AUTONOMO 2X11W/220V-MODELO BLL4VD AUREON</v>
          </cell>
        </row>
        <row r="18">
          <cell r="B18" t="str">
            <v>BOTÃO DE CHAMADA</v>
          </cell>
        </row>
        <row r="19">
          <cell r="B19" t="str">
            <v>BOTÃO DE EMERGENCIA</v>
          </cell>
        </row>
        <row r="20">
          <cell r="B20" t="str">
            <v>BOTOEIRA DE ACIONAMENTO</v>
          </cell>
        </row>
        <row r="21">
          <cell r="B21" t="str">
            <v xml:space="preserve">BUCHA E ARRUELA ALUMINIO FUNDIDO P/ ELETRODUTO 100MM (4'')  </v>
          </cell>
        </row>
        <row r="22">
          <cell r="B22" t="str">
            <v xml:space="preserve">BUCHA E ARRUELA ALUMINIO FUNDIDO P/ ELETRODUTO 15MM (1/2'') </v>
          </cell>
        </row>
        <row r="23">
          <cell r="B23" t="str">
            <v xml:space="preserve">BUCHA E ARRUELA ALUMINIO FUNDIDO P/ ELETRODUTO 20MM (3/4'')  </v>
          </cell>
        </row>
        <row r="24">
          <cell r="B24" t="str">
            <v xml:space="preserve">BUCHA E ARRUELA ALUMINIO FUNDIDO P/ ELETRODUTO 25MM (1'')  </v>
          </cell>
        </row>
        <row r="25">
          <cell r="B25" t="str">
            <v xml:space="preserve">BUCHA E ARRUELA ALUMINIO FUNDIDO P/ ELETRODUTO 32MM (1 1/4'')  </v>
          </cell>
        </row>
        <row r="26">
          <cell r="B26" t="str">
            <v xml:space="preserve">BUCHA E ARRUELA ALUMINIO FUNDIDO P/ ELETRODUTO 40MM (1 1/2'') </v>
          </cell>
        </row>
        <row r="27">
          <cell r="B27" t="str">
            <v xml:space="preserve">BUCHA E ARRUELA ALUMINIO FUNDIDO P/ ELETRODUTO 50MM (2'') </v>
          </cell>
        </row>
        <row r="28">
          <cell r="B28" t="str">
            <v xml:space="preserve">BUCHA E ARRUELA ALUMINIO FUNDIDO P/ ELETRODUTO 60MM (2 1/2'') </v>
          </cell>
        </row>
        <row r="29">
          <cell r="B29" t="str">
            <v xml:space="preserve">BUCHA E ARRUELA ALUMINIO FUNDIDO P/ ELETRODUTO 75MM (3'') </v>
          </cell>
        </row>
        <row r="30">
          <cell r="B30" t="str">
            <v>CABO COAXIAL RG59 75 OHMS</v>
          </cell>
        </row>
        <row r="31">
          <cell r="B31" t="str">
            <v>CABO DE AÇO COBREADO 7x10AWG</v>
          </cell>
        </row>
        <row r="32">
          <cell r="B32" t="str">
            <v>CABO DE COBRE FLEXÍVEL PROTEGIDO DE 50mm²</v>
          </cell>
        </row>
        <row r="33">
          <cell r="B33" t="str">
            <v xml:space="preserve">CABO DE COBRE ISOLAMENTO ANTI-CHAMA 0,6/1KV 10MM2 (1 CONDUTOR) TP SINTENAX PIRELLI OU EQUIV </v>
          </cell>
        </row>
        <row r="34">
          <cell r="B34" t="str">
            <v xml:space="preserve">CABO DE COBRE ISOLAMENTO ANTI-CHAMA 0,6/1KV 120MM2 (1 CONDUTOR) TP SINTENAX PIRELLI OU EQUIV </v>
          </cell>
        </row>
        <row r="35">
          <cell r="B35" t="str">
            <v xml:space="preserve">CABO DE COBRE ISOLAMENTO ANTI-CHAMA 0,6/1KV 150MM2 (1 CONDUTOR) TP SINTENAX PIRELLI OU EQUIV </v>
          </cell>
        </row>
        <row r="36">
          <cell r="B36" t="str">
            <v xml:space="preserve">CABO DE COBRE ISOLAMENTO ANTI-CHAMA 0,6/1KV 16MM2 (1 CONDUTOR) TP SINTENAX PIRELLI OU EQUIV </v>
          </cell>
        </row>
        <row r="37">
          <cell r="B37" t="str">
            <v xml:space="preserve">CABO DE COBRE ISOLAMENTO ANTI-CHAMA 0,6/1KV 185MM2 (1 CONDUTOR)TP SINTENAX PIRELLI OU EQUIV </v>
          </cell>
        </row>
        <row r="38">
          <cell r="B38" t="str">
            <v xml:space="preserve">CABO DE COBRE ISOLAMENTO ANTI-CHAMA 0,6/1KV 2,5MM2 (1 CONDUTOR) TP SINTENAX PIRELLI OU EQUIV </v>
          </cell>
        </row>
        <row r="39">
          <cell r="B39" t="str">
            <v xml:space="preserve">CABO DE COBRE ISOLAMENTO ANTI-CHAMA 0,6/1KV 240MM2 (1 CONDUTOR)TP SINTENAX PIRELLI OU EQUIV </v>
          </cell>
        </row>
        <row r="40">
          <cell r="B40" t="str">
            <v xml:space="preserve">CABO DE COBRE ISOLAMENTO ANTI-CHAMA 0,6/1KV 25MM2 (1 CONDUTOR) TP SINTENAX PIRELLI OU EQUIV </v>
          </cell>
        </row>
        <row r="41">
          <cell r="B41" t="str">
            <v xml:space="preserve">CABO DE COBRE ISOLAMENTO ANTI-CHAMA 0,6/1KV 300MM2 (1 CONDUTOR) TP SINTENAX PIRELLI OU EQUIV </v>
          </cell>
        </row>
        <row r="42">
          <cell r="B42" t="str">
            <v xml:space="preserve">CABO DE COBRE ISOLAMENTO ANTI-CHAMA 0,6/1KV 35MM2 (1 CONDUTOR) TP SINTENAX PIRELLI OU EQUIV </v>
          </cell>
        </row>
        <row r="43">
          <cell r="B43" t="str">
            <v xml:space="preserve">CABO DE COBRE ISOLAMENTO ANTI-CHAMA 0,6/1KV 4MM2 (1 CONDUTOR) TP SINTENAX PIRELLI OU EQUIV </v>
          </cell>
        </row>
        <row r="44">
          <cell r="B44" t="str">
            <v xml:space="preserve">CABO DE COBRE ISOLAMENTO ANTI-CHAMA 0,6/1KV 50MM2 (1 CONDUTOR) TP SINTENAX PIRELLI OU EQUIV </v>
          </cell>
        </row>
        <row r="45">
          <cell r="B45" t="str">
            <v xml:space="preserve">CABO DE COBRE ISOLAMENTO ANTI-CHAMA 0,6/1KV 6MM2 (1 CONDUTOR) TP SINTENAX PIRELLI OU EQUIV </v>
          </cell>
        </row>
        <row r="46">
          <cell r="B46" t="str">
            <v xml:space="preserve">CABO DE COBRE ISOLAMENTO ANTI-CHAMA 0,6/1KV 70MM2 (1 CONDUTOR) TP SINTENAX PIRELLI OU EQUIV </v>
          </cell>
        </row>
        <row r="47">
          <cell r="B47" t="str">
            <v xml:space="preserve">CABO DE COBRE ISOLAMENTO ANTI-CHAMA 0,6/1KV 95MM2 (1 CONDUTOR) TP SINTENAX PIRELLI OU EQUIV </v>
          </cell>
        </row>
        <row r="48">
          <cell r="B48" t="str">
            <v xml:space="preserve">CABO DE COBRE ISOLAMENTO ANTI-CHAMA 450/750V 0,75MM2, FLEXIVEL, TP FORESPLAST ALCOA OU EQUIV </v>
          </cell>
        </row>
        <row r="49">
          <cell r="B49" t="str">
            <v xml:space="preserve">CABO DE COBRE ISOLAMENTO ANTI-CHAMA 450/750V 1,5MM2, FLEXIVEL, TP FORESPLAST ALCOA OU EQUIV </v>
          </cell>
        </row>
        <row r="50">
          <cell r="B50" t="str">
            <v xml:space="preserve">CABO DE COBRE ISOLAMENTO ANTI-CHAMA 450/750V 1,5MM2, TP PIRASTIC PIRELLI OU EQUIV </v>
          </cell>
        </row>
        <row r="51">
          <cell r="B51" t="str">
            <v xml:space="preserve">CABO DE COBRE ISOLAMENTO ANTI-CHAMA 450/750V 10MM2, FLEXIVEL, TP FORESPLAST ALCOA OU EQUIV </v>
          </cell>
        </row>
        <row r="52">
          <cell r="B52" t="str">
            <v xml:space="preserve">CABO DE COBRE ISOLAMENTO ANTI-CHAMA 450/750V 10MM2, TP PIRASTIC PIRELLI OU EQUIV </v>
          </cell>
        </row>
        <row r="53">
          <cell r="B53" t="str">
            <v xml:space="preserve">CABO DE COBRE ISOLAMENTO ANTI-CHAMA 450/750V 120MM2, TP PIRASTIC PIRELLI OU EQUIV </v>
          </cell>
        </row>
        <row r="54">
          <cell r="B54" t="str">
            <v xml:space="preserve">CABO DE COBRE ISOLAMENTO ANTI-CHAMA 450/750V 150MM2, TP PIRASTIC PIRELLI OU EQUIV </v>
          </cell>
        </row>
        <row r="55">
          <cell r="B55" t="str">
            <v xml:space="preserve">CABO DE COBRE ISOLAMENTO ANTI-CHAMA 450/750V 16MM2, FLEXIVEL, TP FORESPLAST ALCOA OU EQUIV </v>
          </cell>
        </row>
        <row r="56">
          <cell r="B56" t="str">
            <v xml:space="preserve">CABO DE COBRE ISOLAMENTO ANTI-CHAMA 450/750V 16MM2, TP PIRASTIC PIRELLI OU EQUIV </v>
          </cell>
        </row>
        <row r="57">
          <cell r="B57" t="str">
            <v xml:space="preserve">CABO DE COBRE ISOLAMENTO ANTI-CHAMA 450/750V 185MM2, TP PIRASTIC PIRELLI OU EQUIV </v>
          </cell>
        </row>
        <row r="58">
          <cell r="B58" t="str">
            <v xml:space="preserve">CABO DE COBRE ISOLAMENTO ANTI-CHAMA 450/750V 2,5MM2, FLEXIVEL, TP FORESPLAST ALCOA OU EQUIV </v>
          </cell>
        </row>
        <row r="59">
          <cell r="B59" t="str">
            <v xml:space="preserve">CABO DE COBRE ISOLAMENTO ANTI-CHAMA 450/750V 2,5MM2, TP PIRASTIC PIRELLI OU EQUIV </v>
          </cell>
        </row>
        <row r="60">
          <cell r="B60" t="str">
            <v xml:space="preserve">CABO DE COBRE ISOLAMENTO ANTI-CHAMA 450/750V 240MM2, TP PIRASTIC PIRELLI OU EQUIV </v>
          </cell>
        </row>
        <row r="61">
          <cell r="B61" t="str">
            <v xml:space="preserve">CABO DE COBRE ISOLAMENTO ANTI-CHAMA 450/750V 25MM2, TP PIRASTIC PIRELLI OU EQUIV </v>
          </cell>
        </row>
        <row r="62">
          <cell r="B62" t="str">
            <v xml:space="preserve">CABO DE COBRE ISOLAMENTO ANTI-CHAMA 450/750V 3 X 10MM2, TP FICAP OU EQUIV </v>
          </cell>
        </row>
        <row r="63">
          <cell r="B63" t="str">
            <v>CABO DE COBRE ISOLAMENTO ANTI-CHAMA 450/750V 3 X 16MM2, TP FICAP OU EQUIV</v>
          </cell>
        </row>
        <row r="64">
          <cell r="B64" t="str">
            <v xml:space="preserve">CABO DE COBRE ISOLAMENTO ANTI-CHAMA 450/750V 3 X 25MM2, TP FICAP OU EQUIV </v>
          </cell>
        </row>
        <row r="65">
          <cell r="B65" t="str">
            <v>CABO DE COBRE ISOLAMENTO ANTI-CHAMA 450/750V 300MM2, TP PIRASTIC PIRELLI OU EQUIV</v>
          </cell>
        </row>
        <row r="66">
          <cell r="B66" t="str">
            <v>CABO DE COBRE ISOLAMENTO ANTI-CHAMA 450/750V 35MM2, TP PIRASTIC PIRELLI OU EQUIV</v>
          </cell>
        </row>
        <row r="67">
          <cell r="B67" t="str">
            <v xml:space="preserve">CABO DE COBRE ISOLAMENTO ANTI-CHAMA 450/750V 400MM2 TP PIRASTIC PIRELLI OU EQUIV </v>
          </cell>
        </row>
        <row r="68">
          <cell r="B68" t="str">
            <v xml:space="preserve">CABO DE COBRE ISOLAMENTO ANTI-CHAMA 450/750V 4MM2, FLEXIVEL, TP FORESPLAST ALCOA OU EQUIV </v>
          </cell>
        </row>
        <row r="69">
          <cell r="B69" t="str">
            <v xml:space="preserve">CABO DE COBRE ISOLAMENTO ANTI-CHAMA 450/750V 4MM2, TP PIRASTIC PIRELLI OU EQUIV </v>
          </cell>
        </row>
        <row r="70">
          <cell r="B70" t="str">
            <v>CABO DE COBRE ISOLAMENTO ANTI-CHAMA 450/750V 50MM2, TP PIRASTIC PIRELLI OU EQUIV</v>
          </cell>
        </row>
        <row r="71">
          <cell r="B71" t="str">
            <v>CABO DE COBRE ISOLAMENTO ANTI-CHAMA 450/750V 6MM2, FLEXIVEL, TP FORESPLAST ALCOA OU EQUIV</v>
          </cell>
        </row>
        <row r="72">
          <cell r="B72" t="str">
            <v xml:space="preserve">CABO DE COBRE ISOLAMENTO ANTI-CHAMA 450/750V 6MM2, TP PIRASTIC PIRELLI OU EQUIV </v>
          </cell>
        </row>
        <row r="73">
          <cell r="B73" t="str">
            <v xml:space="preserve">CABO DE COBRE ISOLAMENTO ANTI-CHAMA 450/750V 70MM2, TP PIRASTIC PIRELLI OU SIMILAR </v>
          </cell>
        </row>
        <row r="74">
          <cell r="B74" t="str">
            <v xml:space="preserve">CABO DE COBRE ISOLAMENTO ANTI-CHAMA 450/750V 95MM2, TP PIRASTIC PIRELLI OU EQUIV </v>
          </cell>
        </row>
        <row r="75">
          <cell r="B75" t="str">
            <v xml:space="preserve">CABO DE COBRE NU   6MM2 MEIO-DURO </v>
          </cell>
        </row>
        <row r="76">
          <cell r="B76" t="str">
            <v xml:space="preserve">CABO DE COBRE NU  10MM2 MEIO-DURO </v>
          </cell>
        </row>
        <row r="77">
          <cell r="B77" t="str">
            <v xml:space="preserve">CABO DE COBRE NU  16MM2 MEIO-DURO </v>
          </cell>
        </row>
        <row r="78">
          <cell r="B78" t="str">
            <v>CABO DE COBRE NU  25MM2 MEIO-DURO</v>
          </cell>
        </row>
        <row r="79">
          <cell r="B79" t="str">
            <v>CABO DE COBRE NU  35MM2 MEIO-DURO</v>
          </cell>
        </row>
        <row r="80">
          <cell r="B80" t="str">
            <v xml:space="preserve">CABO DE COBRE NU  50MM2 MEIO-DURO </v>
          </cell>
        </row>
        <row r="81">
          <cell r="B81" t="str">
            <v xml:space="preserve">CABO DE COBRE NU  70MM2 MEIO-DURO </v>
          </cell>
        </row>
        <row r="82">
          <cell r="B82" t="str">
            <v xml:space="preserve">CABO DE COBRE NU  95MM2 MEIO-DURO </v>
          </cell>
        </row>
        <row r="83">
          <cell r="B83" t="str">
            <v xml:space="preserve">CABO DE COBRE NU 120MM2 MEIO-DURO </v>
          </cell>
        </row>
        <row r="84">
          <cell r="B84" t="str">
            <v xml:space="preserve">CABO DE COBRE NU 150MM2 MEIO-DURO </v>
          </cell>
        </row>
        <row r="85">
          <cell r="B85" t="str">
            <v>CABO DE COBRE NÚ 25mm²</v>
          </cell>
        </row>
        <row r="86">
          <cell r="B86" t="str">
            <v xml:space="preserve">CABO DE COBRE NU 300MM2 MEIO-DURO </v>
          </cell>
        </row>
        <row r="87">
          <cell r="B87" t="str">
            <v xml:space="preserve">CABO DE COBRE NU 500MM2 MEIO-DURO </v>
          </cell>
        </row>
        <row r="88">
          <cell r="B88" t="str">
            <v>CABO FLEXIVEL ISOLADO EM PVC 450/750V 2,5mm²</v>
          </cell>
        </row>
        <row r="89">
          <cell r="B89" t="str">
            <v>CABO MANGA DE 4 VIAS</v>
          </cell>
        </row>
        <row r="90">
          <cell r="B90" t="str">
            <v>CABO MULTIPLO 3 VIAS 0,6/1,0KV 2,5mm²</v>
          </cell>
        </row>
        <row r="91">
          <cell r="B91" t="str">
            <v>CABO SINTENAX FLEX, 0,6/1,0kV, SEÇÃO NOMINAL   2,5 mm²</v>
          </cell>
        </row>
        <row r="92">
          <cell r="B92" t="str">
            <v>CABO SINTENAX FLEX, 0,6/1,0kV, SEÇÃO NOMINAL   4,0 mm²</v>
          </cell>
        </row>
        <row r="93">
          <cell r="B93" t="str">
            <v>CABO SINTENAX FLEX, 0,6/1,0kV, SEÇÃO NOMINAL   6,0 mm²</v>
          </cell>
        </row>
        <row r="94">
          <cell r="B94" t="str">
            <v>CABO SINTENAX FLEX, 0,6/1,0kV, SEÇÃO NOMINAL  10,00 mm²</v>
          </cell>
        </row>
        <row r="95">
          <cell r="B95" t="str">
            <v>CABO SINTENAX FLEX, 0,6/1,0kV, SEÇÃO NOMINAL  16,0 mm²</v>
          </cell>
        </row>
        <row r="96">
          <cell r="B96" t="str">
            <v>CABO SINTENAX FLEX, 0,6/1,0kV, SEÇÃO NOMINAL  25,00 mm²</v>
          </cell>
        </row>
        <row r="97">
          <cell r="B97" t="str">
            <v>CABO SINTENAX FLEX, 0,6/1,0kV, SEÇÃO NOMINAL  50,00 mm²</v>
          </cell>
        </row>
        <row r="98">
          <cell r="B98" t="str">
            <v>CABO SINTENAX FLEX, 0,6/1,0kV, SEÇÃO NOMINAL  95,00 mm²</v>
          </cell>
        </row>
        <row r="99">
          <cell r="B99" t="str">
            <v>CABO SINTENAX FLEX, 0,6/1,0kV, SEÇÃO NOMINAL 120,00 mm²</v>
          </cell>
        </row>
        <row r="100">
          <cell r="B100" t="str">
            <v>CABO SINTENAX FLEX, 0,6/1,0kV, SEÇÃO NOMINAL 240,00 mm²</v>
          </cell>
        </row>
        <row r="101">
          <cell r="B101" t="str">
            <v xml:space="preserve">CABO TELEFONICO S/ BLINDAGEM INT CCI 1 PAR </v>
          </cell>
        </row>
        <row r="102">
          <cell r="B102" t="str">
            <v xml:space="preserve">CABO TELEFONICO S/ BLINDAGEM INT CCI 2 PARES </v>
          </cell>
        </row>
        <row r="103">
          <cell r="B103" t="str">
            <v xml:space="preserve">CABO TELEFONICO S/ BLINDAGEM INT CCI 3 PARES </v>
          </cell>
        </row>
        <row r="104">
          <cell r="B104" t="str">
            <v xml:space="preserve">CABO TELEFONICO S/ BLINDAGEM INT CCI 4 PARES </v>
          </cell>
        </row>
        <row r="105">
          <cell r="B105" t="str">
            <v xml:space="preserve">CABO TELEFONICO S/ BLINDAGEM INT CCI 5 PARES </v>
          </cell>
        </row>
        <row r="106">
          <cell r="B106" t="str">
            <v xml:space="preserve">CABO TELEFONICO S/ BLINDAGEM INT CCI 6 PARES </v>
          </cell>
        </row>
        <row r="107">
          <cell r="B107" t="str">
            <v>CABO TELEFONICO TP CT 0,50 PARA 100 PARES</v>
          </cell>
        </row>
        <row r="108">
          <cell r="B108" t="str">
            <v xml:space="preserve">CABO TELEFONICO TP CTP-APL 0,50 PARA 10 PARES </v>
          </cell>
        </row>
        <row r="109">
          <cell r="B109" t="str">
            <v>CABO TELEFONICO TP CTP-APL 0,50 PARA 20 PARES</v>
          </cell>
        </row>
        <row r="110">
          <cell r="B110" t="str">
            <v xml:space="preserve">CABO TELEFONICO TP CTP-APL 0,50 PARA 30 PARES </v>
          </cell>
        </row>
        <row r="111">
          <cell r="B111" t="str">
            <v xml:space="preserve">CABO TELEFONICO USO INTERNO TP CI PARA 10 PARES </v>
          </cell>
        </row>
        <row r="112">
          <cell r="B112" t="str">
            <v xml:space="preserve">CABO TELEFONICO USO INTERNO TP CI PARA 20 PARES </v>
          </cell>
        </row>
        <row r="113">
          <cell r="B113" t="str">
            <v xml:space="preserve">CABO TELEFONICO USO INTERNO TP CI PARA 200 PARES </v>
          </cell>
        </row>
        <row r="114">
          <cell r="B114" t="str">
            <v xml:space="preserve">CABO TELEFONICO USO INTERNO TP CI PARA 30 PARES </v>
          </cell>
        </row>
        <row r="115">
          <cell r="B115" t="str">
            <v xml:space="preserve">CABO TELEFONICO USO INTERNO TP CI PARA 50 PARES </v>
          </cell>
        </row>
        <row r="116">
          <cell r="B116" t="str">
            <v xml:space="preserve">CABO TELEFONICO USO INTERNO TP CI PARA 75 PARES </v>
          </cell>
        </row>
        <row r="117">
          <cell r="B117" t="str">
            <v>CABO UTP CATEGORIA 6</v>
          </cell>
        </row>
        <row r="118">
          <cell r="B118" t="str">
            <v>CAIXA DE AREIA P/ ÁGUAS PLUVIAIS</v>
          </cell>
        </row>
        <row r="119">
          <cell r="B119" t="str">
            <v>CAIXA DE DERIVAÇÃO 10X10CM REVESTIDA EM EPOXI</v>
          </cell>
        </row>
        <row r="120">
          <cell r="B120" t="str">
            <v>CAIXA DE DERIVAÇÃO 15X15CM REVESTIDA EM EPOXI</v>
          </cell>
        </row>
        <row r="121">
          <cell r="B121" t="str">
            <v>CAIXA DE DERIVAÇÃO 20X20CM REVESTIDA EM EPOXI</v>
          </cell>
        </row>
        <row r="122">
          <cell r="B122" t="str">
            <v>CAIXA DE DERIVAÇÃO EM PVC 4X2'</v>
          </cell>
        </row>
        <row r="123">
          <cell r="B123" t="str">
            <v>CAIXA DE DERIVAÇÃO EM PVC 4X4'</v>
          </cell>
        </row>
        <row r="124">
          <cell r="B124" t="str">
            <v>CAIXA DE EQUALIZAÇÃO C/ BARRAMENTO DIM. 38X32X17CM</v>
          </cell>
        </row>
        <row r="125">
          <cell r="B125" t="str">
            <v>CAIXA DE LIGAÇÃO EM ALUMINIO SILÍCIO INJETADO 1'' C/ TAMPA</v>
          </cell>
        </row>
        <row r="126">
          <cell r="B126" t="str">
            <v>CAIXA DE LIGAÇÃO EM ALUMINIO SILÍCIO INJETADO 1.1/4'' C/ TAMPA</v>
          </cell>
        </row>
        <row r="127">
          <cell r="B127" t="str">
            <v>CAIXA DE LIGACAO EM ALUMINIO SILICIO INJETADO 2'' C/ TAMPA</v>
          </cell>
        </row>
        <row r="128">
          <cell r="B128" t="str">
            <v>CAIXA DE LIGAÇÃO EM ALUMINIO SILÍCIO INJETADO 3/4'' C/ TAMPA</v>
          </cell>
        </row>
        <row r="129">
          <cell r="B129" t="str">
            <v>CAIXA DE PASSAGEM EM ALUMINIO 10X10CM</v>
          </cell>
        </row>
        <row r="130">
          <cell r="B130" t="str">
            <v>CAIXA DE PASSAGEM EM ALUMINIO 15X15CM</v>
          </cell>
        </row>
        <row r="131">
          <cell r="B131" t="str">
            <v>CAIXA DE PASSAGEM EM ALUMINIO 20X20CM</v>
          </cell>
        </row>
        <row r="132">
          <cell r="B132" t="str">
            <v>CAIXA DE PASSAGEM EM ALVENARIA - COM TAMPÃO T-16</v>
          </cell>
        </row>
        <row r="133">
          <cell r="B133" t="str">
            <v>CAIXA DE PASSAGEM EM ALVENARIA - COM TAMPÃO T-33</v>
          </cell>
        </row>
        <row r="134">
          <cell r="B134" t="str">
            <v>CAIXA DE PASSAGEM EM ALVENARIA - TIPO CB1</v>
          </cell>
        </row>
        <row r="135">
          <cell r="B135" t="str">
            <v>CAIXA DE PISO P/ 02 CONECTORES PADRÃO RJ-45 EM ALUMÍNIO 4X4''</v>
          </cell>
        </row>
        <row r="136">
          <cell r="B136" t="str">
            <v xml:space="preserve">CAIXA DE PISO P/ 02 TOMADAS 2P+T EM ALUMINIO 4X4' </v>
          </cell>
        </row>
        <row r="137">
          <cell r="B137" t="str">
            <v>CAIXA DE PISO P/ 02 TOMADAS 2P+T EM ALUMINIO 4X4'  REDE COMUM</v>
          </cell>
        </row>
        <row r="138">
          <cell r="B138" t="str">
            <v>CAIXA DE PISO P/ 02 TOMADAS 2P+T EM ALUMINIO 4X4'  REDE NO-BREAK</v>
          </cell>
        </row>
        <row r="139">
          <cell r="B139" t="str">
            <v>CAIXA DE PISO P/ 1 CONECTOR PADRÃO RJ45 EM ALUMÍNIO 4x4''</v>
          </cell>
        </row>
        <row r="140">
          <cell r="B140" t="str">
            <v>CAIXA OCTOGONAL C/ FUNDO MOVEL 4X2'</v>
          </cell>
        </row>
        <row r="141">
          <cell r="B141" t="str">
            <v xml:space="preserve">CAIXA PVC 4" X 4" P/ ELETRODUTO " </v>
          </cell>
        </row>
        <row r="142">
          <cell r="B142" t="str">
            <v>CAIXA RETENTORA DE GORDURA EM PVC C/ CESTA DE LIMPEZA</v>
          </cell>
        </row>
        <row r="143">
          <cell r="B143" t="str">
            <v>CAIXA SIFONADA PVC MONTADA C/ TAMPA BRANCA 250X230X75mm</v>
          </cell>
        </row>
        <row r="144">
          <cell r="B144" t="str">
            <v>CAIXA SIFONADA PVC RIGIDO C/ GRELHA 100X100X50mm</v>
          </cell>
        </row>
        <row r="145">
          <cell r="B145" t="str">
            <v xml:space="preserve">CAIXILHO FIXO ALUMINIO SERIE 25 COMPLETO 60 X 80CM </v>
          </cell>
        </row>
        <row r="146">
          <cell r="B146" t="str">
            <v xml:space="preserve">CAIXILHO FIXO CHAPA DOBRADA ACO C/ ADICAO DE COBRE PRE-ZINCADO 60 X 80CM </v>
          </cell>
        </row>
        <row r="147">
          <cell r="B147" t="str">
            <v xml:space="preserve">CAIXILHO FIXO EM CANTONEIRA DE FERRO 5/8" X 1/8" - 100 X 100 CM </v>
          </cell>
        </row>
        <row r="148">
          <cell r="B148" t="str">
            <v>CANALETA EM ALUMÍNIO MEDINDO  25x 73, REF. DUTOTEC</v>
          </cell>
        </row>
        <row r="149">
          <cell r="B149" t="str">
            <v>CERTIFICAÇÃO DO CABEAMENTO ESTRUTURADO</v>
          </cell>
        </row>
        <row r="150">
          <cell r="B150" t="str">
            <v>CERTIFICAÇÃO DO CABEAMENTO ESTRUTURADO</v>
          </cell>
        </row>
        <row r="151">
          <cell r="B151" t="str">
            <v>CHAVE DE ACIONAMENTO</v>
          </cell>
        </row>
        <row r="152">
          <cell r="B152" t="str">
            <v>CHAVE FUSÍVEL INDICADORA UNIPOLAR DE 15KV / 300A, CORRENTE DE RUPTURA 10KA</v>
          </cell>
        </row>
        <row r="153">
          <cell r="B153" t="str">
            <v xml:space="preserve">CONDULETE  EM LIGA ALUMINIO P/ ELETRODUTO ROSCADO 1 1/2" </v>
          </cell>
        </row>
        <row r="154">
          <cell r="B154" t="str">
            <v xml:space="preserve">CONDULETE  EM LIGA ALUMINIO P/ ELETRODUTO ROSCADO 1 1/2" </v>
          </cell>
        </row>
        <row r="155">
          <cell r="B155" t="str">
            <v xml:space="preserve">CONDULETE  EM LIGA ALUMINIO P/ ELETRODUTO ROSCADO 1 1/4" </v>
          </cell>
        </row>
        <row r="156">
          <cell r="B156" t="str">
            <v xml:space="preserve">CONDULETE  EM LIGA ALUMINIO P/ ELETRODUTO ROSCADO 1" </v>
          </cell>
        </row>
        <row r="157">
          <cell r="B157" t="str">
            <v xml:space="preserve">CONDULETE  EM LIGA ALUMINIO P/ ELETRODUTO ROSCADO 1/2" </v>
          </cell>
        </row>
        <row r="158">
          <cell r="B158" t="str">
            <v xml:space="preserve">CONDULETE  EM LIGA ALUMINIO P/ ELETRODUTO ROSCADO 2" </v>
          </cell>
        </row>
        <row r="159">
          <cell r="B159" t="str">
            <v xml:space="preserve">CONDULETE  EM LIGA ALUMINIO P/ ELETRODUTO ROSCADO 3" </v>
          </cell>
        </row>
        <row r="160">
          <cell r="B160" t="str">
            <v xml:space="preserve">CONDULETE  EM LIGA ALUMINIO P/ ELETRODUTO ROSCADO 3/4" </v>
          </cell>
        </row>
        <row r="161">
          <cell r="B161" t="str">
            <v xml:space="preserve">CONDULETE  EM LIGA ALUMINIO P/ ELETRODUTO ROSCADO 3/4" </v>
          </cell>
        </row>
        <row r="162">
          <cell r="B162" t="str">
            <v xml:space="preserve">CONDULETE  EM LIGA ALUMINIO P/ ELETRODUTO ROSCADO 4" </v>
          </cell>
        </row>
        <row r="163">
          <cell r="B163" t="str">
            <v>CONECTOR METÁLICO TIPO BOX RETO 1''</v>
          </cell>
        </row>
        <row r="164">
          <cell r="B164" t="str">
            <v>CONECTOR METÁLICO TIPO BOX RETO 1 1/4''</v>
          </cell>
        </row>
        <row r="165">
          <cell r="B165" t="str">
            <v>CONECTOR METÁLICO TIPO BOX RETO 2''</v>
          </cell>
        </row>
        <row r="166">
          <cell r="B166" t="str">
            <v>CONECTOR METÁLICO TIPO BOX RETO 3/4''</v>
          </cell>
        </row>
        <row r="167">
          <cell r="B167" t="str">
            <v>CONECTOR MODULAR DE 8 VIAS FEMEA RJ-45 CATEGORIA 6</v>
          </cell>
        </row>
        <row r="168">
          <cell r="B168" t="str">
            <v>CONECTOR PARA CONDUTOR DE AÇO COBREADO 7X10AWG.</v>
          </cell>
        </row>
        <row r="169">
          <cell r="B169" t="str">
            <v xml:space="preserve">CONECTOR RETO 1 1/2" EM FERRO GALV OU ALUMINIO P/ ADAPTAR ENTRADA DE ELETRODUTO EM QUADROS </v>
          </cell>
        </row>
        <row r="170">
          <cell r="B170" t="str">
            <v xml:space="preserve">CONECTOR RETO 1 1/4" EM FERRO GALV OU ALUMINIO P/ ADAPTAR ENTRADA DE ELETRODUTO EM QUADROS </v>
          </cell>
        </row>
        <row r="171">
          <cell r="B171" t="str">
            <v xml:space="preserve">CONECTOR RETO 1" EM FERRO GALV OU ALUMINIO P/ ADAPTAR ENTRADA DE ELETRODUTO EM QUADROS </v>
          </cell>
        </row>
        <row r="172">
          <cell r="B172" t="str">
            <v xml:space="preserve">CONECTOR RETO 1/2" EM FERRO GALV OU ALUMINIO P/ ADAPTAR ENTRADA DE ELETRODUTO EM QUADROS </v>
          </cell>
        </row>
        <row r="173">
          <cell r="B173" t="str">
            <v xml:space="preserve">CONECTOR RETO 2 1/2" EM FERRO GALV OU ALUMINIO P/ ADAPTAR ENTRADA DE ELETRODUTO EM QUADROS </v>
          </cell>
        </row>
        <row r="174">
          <cell r="B174" t="str">
            <v xml:space="preserve">CONECTOR RETO 2" EM FERRO GALV OU ALUMINIO P/ ADAPTAR ENTRADA DE ELETRODUTO EM QUADROS </v>
          </cell>
        </row>
        <row r="175">
          <cell r="B175" t="str">
            <v xml:space="preserve">CONECTOR RETO 3" EM FERRO GALV OU ALUMINIO P/ ADAPTAR ENTRADA DE ELETRODUTO EM QUADROS </v>
          </cell>
        </row>
        <row r="176">
          <cell r="B176" t="str">
            <v xml:space="preserve">CONECTOR RETO 3/4" EM FERRO GALV OU ALUMINIO P/ ADAPTAR ENTRADA DE ELETRODUTO EM QUADROS </v>
          </cell>
        </row>
        <row r="177">
          <cell r="B177" t="str">
            <v xml:space="preserve">CONECTOR RETO 4" EM FERRO GALV OU ALUMINIO P/ ADAPTAR ENTRADA DE ELETRODUTO EM QUADROS </v>
          </cell>
        </row>
        <row r="178">
          <cell r="B178" t="str">
            <v>CONECTOR TIPO GP 1426 PARA CABO DE 6,00mm²</v>
          </cell>
        </row>
        <row r="179">
          <cell r="B179" t="str">
            <v>CORDOALHA COBRE NU.  6mm²</v>
          </cell>
        </row>
        <row r="180">
          <cell r="B180" t="str">
            <v>CORDOALHA COBRE NU. 10mm²</v>
          </cell>
        </row>
        <row r="181">
          <cell r="B181" t="str">
            <v>CORDOALHA COBRE NU. 16mm²</v>
          </cell>
        </row>
        <row r="182">
          <cell r="B182" t="str">
            <v>CORDOALHA COBRE NU. 25mm²</v>
          </cell>
        </row>
        <row r="183">
          <cell r="B183" t="str">
            <v>CORDOALHA COBRE NU. 50mm²</v>
          </cell>
        </row>
        <row r="184">
          <cell r="B184" t="str">
            <v>CRUZETA DE CONCRETO ARMADO 1900mm TIPO NORMAL</v>
          </cell>
        </row>
        <row r="185">
          <cell r="B185" t="str">
            <v>CRUZETA HORIZONTAL PARA ELETROCALHA 100X50mm COM T MPA</v>
          </cell>
        </row>
        <row r="186">
          <cell r="B186" t="str">
            <v>CRUZETA HORIZONTAL PARA ELETROCALHA 150X50mm COM T MPA</v>
          </cell>
        </row>
        <row r="187">
          <cell r="B187" t="str">
            <v xml:space="preserve">CURVA 135G FERRO GALV ELETROLITICO 1 1/2" P/ ELETRODUTO </v>
          </cell>
        </row>
        <row r="188">
          <cell r="B188" t="str">
            <v xml:space="preserve">CURVA 135G FERRO GALV ELETROLITICO 1 1/4" P/ ELETRODUTO </v>
          </cell>
        </row>
        <row r="189">
          <cell r="B189" t="str">
            <v xml:space="preserve">CURVA 135G FERRO GALV ELETROLITICO 1" P/ ELETRODUTO </v>
          </cell>
        </row>
        <row r="190">
          <cell r="B190" t="str">
            <v xml:space="preserve">CURVA 135G FERRO GALV ELETROLITICO 1/2" P/ ELETRODUTO </v>
          </cell>
        </row>
        <row r="191">
          <cell r="B191" t="str">
            <v xml:space="preserve">CURVA 135G FERRO GALV ELETROLITICO 2 1/2" P/ ELETRODUTO </v>
          </cell>
        </row>
        <row r="192">
          <cell r="B192" t="str">
            <v xml:space="preserve">CURVA 135G FERRO GALV ELETROLITICO 2" P/ ELETRODUTO </v>
          </cell>
        </row>
        <row r="193">
          <cell r="B193" t="str">
            <v xml:space="preserve">CURVA 135G FERRO GALV ELETROLITICO 3" P/ ELETRODUTO </v>
          </cell>
        </row>
        <row r="194">
          <cell r="B194" t="str">
            <v xml:space="preserve">CURVA 135G FERRO GALV ELETROLITICO 3/4" P/ ELETRODUTO </v>
          </cell>
        </row>
        <row r="195">
          <cell r="B195" t="str">
            <v xml:space="preserve">CURVA 135G FERRO GALV ELETROLITICO 4" P/ ELETRODUTO </v>
          </cell>
        </row>
        <row r="196">
          <cell r="B196" t="str">
            <v xml:space="preserve">CURVA 45G FERRO GALV ELETROLITICO 1 1/2" P/ ELETRODUTO </v>
          </cell>
        </row>
        <row r="197">
          <cell r="B197" t="str">
            <v xml:space="preserve">CURVA 45G FERRO GALV ELETROLITICO 1" P/ ELETRODUTO </v>
          </cell>
        </row>
        <row r="198">
          <cell r="B198" t="str">
            <v xml:space="preserve">CURVA 45G FERRO GALV ELETROLITICO 1/2" P/ ELETRODUTO </v>
          </cell>
        </row>
        <row r="199">
          <cell r="B199" t="str">
            <v xml:space="preserve">CURVA 45G FERRO GALV ELETROLITICO 2 1/2" P/ ELETRODUTO </v>
          </cell>
        </row>
        <row r="200">
          <cell r="B200" t="str">
            <v xml:space="preserve">CURVA 45G FERRO GALV ELETROLITICO 2" P/ ELETRODUTO </v>
          </cell>
        </row>
        <row r="201">
          <cell r="B201" t="str">
            <v xml:space="preserve">CURVA 45G FERRO GALV ELETROLITICO 3" P/ ELETRODUTO </v>
          </cell>
        </row>
        <row r="202">
          <cell r="B202" t="str">
            <v xml:space="preserve">CURVA 45G FERRO GALV ELETROLITICO 3/4" P/ ELETRODUTO </v>
          </cell>
        </row>
        <row r="203">
          <cell r="B203" t="str">
            <v xml:space="preserve">CURVA 45G FERRO GALV ELETROLITICO 4" PARA ELETRODUTO </v>
          </cell>
        </row>
        <row r="204">
          <cell r="B204" t="str">
            <v xml:space="preserve">CURVA 90G FERRO GALV ELETROLITICO 1 1/2" P/ ELETRODUTO </v>
          </cell>
        </row>
        <row r="205">
          <cell r="B205" t="str">
            <v xml:space="preserve">CURVA 90G FERRO GALV ELETROLITICO 1 1/4" P/ ELETRODUTO </v>
          </cell>
        </row>
        <row r="206">
          <cell r="B206" t="str">
            <v xml:space="preserve">CURVA 90G FERRO GALV ELETROLITICO 1" P/ ELETRODUTO </v>
          </cell>
        </row>
        <row r="207">
          <cell r="B207" t="str">
            <v>CURVA 90G FERRO GALV ELETROLITICO 1/2" P/ ELETRODUTO</v>
          </cell>
        </row>
        <row r="208">
          <cell r="B208" t="str">
            <v xml:space="preserve">CURVA 90G FERRO GALV ELETROLITICO 2 1/2" P/ ELETRODUTO </v>
          </cell>
        </row>
        <row r="209">
          <cell r="B209" t="str">
            <v xml:space="preserve">CURVA 90G FERRO GALV ELETROLITICO 2" P/ ELETRODUTO </v>
          </cell>
        </row>
        <row r="210">
          <cell r="B210" t="str">
            <v xml:space="preserve">CURVA 90G FERRO GALV ELETROLITICO 3" P/ ELETRODUTO </v>
          </cell>
        </row>
        <row r="211">
          <cell r="B211" t="str">
            <v xml:space="preserve">CURVA 90G FERRO GALV ELETROLITICO 4" P/ ELETRODUTO </v>
          </cell>
        </row>
        <row r="212">
          <cell r="B212" t="str">
            <v xml:space="preserve">CURVA 90G FERRO GALV ELETROTILICO 3/4" P/ ELETRODUTO </v>
          </cell>
        </row>
        <row r="213">
          <cell r="B213" t="str">
            <v>CURVA HORIZONTAL 90° PARA ELETROCALHA 100X50mm COM TAMPA</v>
          </cell>
        </row>
        <row r="214">
          <cell r="B214" t="str">
            <v>CURVA HORIZONTAL 90° PARA ELETROCALHA 150X50MM COM TAMPA</v>
          </cell>
        </row>
        <row r="215">
          <cell r="B215" t="str">
            <v>CURVA HORIZONTAL 90° PARA ELETROCALHA 50X50mm COM TAMPA</v>
          </cell>
        </row>
        <row r="216">
          <cell r="B216" t="str">
            <v>CURVA VERTICAL EXTERNA P/ ELETROCALHA 100x50mm</v>
          </cell>
        </row>
        <row r="217">
          <cell r="B217" t="str">
            <v>CURVA VERTICAL EXTERNA P/ ELETROCALHA 150x50mm</v>
          </cell>
        </row>
        <row r="218">
          <cell r="B218" t="str">
            <v>CURVA VERTICAL INTERNA 90° 100X50mm</v>
          </cell>
        </row>
        <row r="219">
          <cell r="B219" t="str">
            <v>CURVA VERTICAL INTERNA 90° 50X50mm</v>
          </cell>
        </row>
        <row r="220">
          <cell r="B220" t="str">
            <v>CURVA VERTICAL INTERNA, PARA ELETROCALHA 150X50mm</v>
          </cell>
        </row>
        <row r="221">
          <cell r="B221" t="str">
            <v>DIVISOR INTERNO PARA ELETROCALHA PERFURADA 100x50mm</v>
          </cell>
        </row>
        <row r="222">
          <cell r="B222" t="str">
            <v>DIVISOR INTERNO PARA ELETROCALHA PERFURADA 200x50mm</v>
          </cell>
        </row>
        <row r="223">
          <cell r="B223" t="str">
            <v>ELETROCALHA PERFURADA C/ TAMPA 100x50mm</v>
          </cell>
        </row>
        <row r="224">
          <cell r="B224" t="str">
            <v>ELETROCALHA PERFURADA C/ TAMPA 150x50mm</v>
          </cell>
        </row>
        <row r="225">
          <cell r="B225" t="str">
            <v>ELETROCALHA PERFURADA C/ TAMPA 50x50mm</v>
          </cell>
        </row>
        <row r="226">
          <cell r="B226" t="str">
            <v>ELETROCALHA PERFURADA OU LISA C/ TAMPA 200x50mm</v>
          </cell>
        </row>
        <row r="227">
          <cell r="B227" t="str">
            <v>ELETRODUTO DE AÇO GALVANIZADO DE 1”</v>
          </cell>
        </row>
        <row r="228">
          <cell r="B228" t="str">
            <v xml:space="preserve">ELETRODUTO FERRO GALV OU ZINCADO ELETROLIT PESADO PAREDE 2,25MM - 4" NBR 13057 </v>
          </cell>
        </row>
        <row r="229">
          <cell r="B229" t="str">
            <v xml:space="preserve">ELETRODUTO FERRO GALV OU ZINCADO ELETROLIT SEMI-PESADO PAREDE 1,52MM - 2.1/2" NBR 13057  </v>
          </cell>
        </row>
        <row r="230">
          <cell r="B230" t="str">
            <v>ELETRODUTO FLEXIVEL COM ALMA DE AÇO REVESTIDO EM PVC 1''</v>
          </cell>
        </row>
        <row r="231">
          <cell r="B231" t="str">
            <v>ELETRODUTO FLEXIVEL COM ALMA DE AÇO REVESTIDO EM PVC 2''</v>
          </cell>
        </row>
        <row r="232">
          <cell r="B232" t="str">
            <v>ELETRODUTO FLEXIVEL COM ALMA DE AÇO REVESTIDO EM PVC 3/4''</v>
          </cell>
        </row>
        <row r="233">
          <cell r="B233" t="str">
            <v>ELETRODUTO GALVANIZADO 1 1/2'' C/ ACESSÓRIOS E CONEXÕES</v>
          </cell>
        </row>
        <row r="234">
          <cell r="B234" t="str">
            <v>ELETRODUTO GALVANIZADO 1 1/4'' C/ ACESSÓRIOS E CONEXÕES</v>
          </cell>
        </row>
        <row r="235">
          <cell r="B235" t="str">
            <v>ELETRODUTO GALVANIZADO 1'' C/ ACESSÓRIOS E CONEXÕES</v>
          </cell>
        </row>
        <row r="236">
          <cell r="B236" t="str">
            <v>ELETRODUTO GALVANIZADO 2'' C/ ACESSÓRIOS E CONEXÕES</v>
          </cell>
        </row>
        <row r="237">
          <cell r="B237" t="str">
            <v>ELETRODUTO GALVANIZADO 3'' C/ ACESSÓRIOS E CONEXÕES</v>
          </cell>
        </row>
        <row r="238">
          <cell r="B238" t="str">
            <v>ELETRODUTO GALVANIZADO 3/4'' C/ ACESSÓRIOS E CONEXÕES</v>
          </cell>
        </row>
        <row r="239">
          <cell r="B239" t="str">
            <v>ELETRODUTO METALICO FLEXIVEL REV EXT PVC PRETO 15MM TIPO COPEX OU EQUIV</v>
          </cell>
        </row>
        <row r="240">
          <cell r="B240" t="str">
            <v xml:space="preserve">ELETRODUTO METALICO FLEXIVEL REV EXT PVC PRETO 25MM TIPO COPEX OU EQUIV </v>
          </cell>
        </row>
        <row r="241">
          <cell r="B241" t="str">
            <v>ELETRODUTO METALICO FLEXIVEL REV EXT PVC PRETO 32MM TIPO COPEX OU EQUIV</v>
          </cell>
        </row>
        <row r="242">
          <cell r="B242" t="str">
            <v xml:space="preserve">ELETRODUTO METALICO FLEXIVEL REV EXT PVC PRETO 40MM TIPO COPEX OU EQUIV </v>
          </cell>
        </row>
        <row r="243">
          <cell r="B243" t="str">
            <v xml:space="preserve">ELETRODUTO METALICO FLEXIVEL REV EXT PVC PRETO 50MM TIPO COPEX OU EQUIV </v>
          </cell>
        </row>
        <row r="244">
          <cell r="B244" t="str">
            <v xml:space="preserve">ELETRODUTO METALICO FLEXIVEL REV EXT PVC PRETO 60MM TIPO COPEX OU EQUIV </v>
          </cell>
        </row>
        <row r="245">
          <cell r="B245" t="str">
            <v xml:space="preserve">ELETRODUTO METALICO FLEXIVEL TIPO CONDUITE D = 1 1/4" </v>
          </cell>
        </row>
        <row r="246">
          <cell r="B246" t="str">
            <v xml:space="preserve">ELETRODUTO METALICO FLEXIVEL TIPO CONDUITE D = 1" </v>
          </cell>
        </row>
        <row r="247">
          <cell r="B247" t="str">
            <v xml:space="preserve">ELETRODUTO METALICO FLEXIVEL TIPO CONDUITE D = 1/2" </v>
          </cell>
        </row>
        <row r="248">
          <cell r="B248" t="str">
            <v xml:space="preserve">ELETRODUTO METALICO FLEXIVEL TIPO CONDUITE D = 2 1/2" </v>
          </cell>
        </row>
        <row r="249">
          <cell r="B249" t="str">
            <v xml:space="preserve">ELETRODUTO METALICO FLEXIVEL TIPO CONDUITE D = 2" </v>
          </cell>
        </row>
        <row r="250">
          <cell r="B250" t="str">
            <v xml:space="preserve">ELETRODUTO METALICO FLEXIVEL TIPO CONDUITE D = 3" </v>
          </cell>
        </row>
        <row r="251">
          <cell r="B251" t="str">
            <v>ELETRODUTO PVC ROSC. 1' C/ ACESSÓRIOS E CONEXÕES</v>
          </cell>
        </row>
        <row r="252">
          <cell r="B252" t="str">
            <v>ELETRODUTO PVC ROSC. 1' C/ ACESSÓRIOS E CONEXÕES</v>
          </cell>
        </row>
        <row r="253">
          <cell r="B253" t="str">
            <v>ELETRODUTO PVC ROSC. 3/4' C/ ACESSÓRIOS E CONEXÕES</v>
          </cell>
        </row>
        <row r="254">
          <cell r="B254" t="str">
            <v xml:space="preserve">ELETRODUTO PVC ROSCA S/LUVA 100MM - 4" </v>
          </cell>
        </row>
        <row r="255">
          <cell r="B255" t="str">
            <v xml:space="preserve">ELETRODUTO PVC ROSCA S/LUVA 15MM - 1/2" </v>
          </cell>
        </row>
        <row r="256">
          <cell r="B256" t="str">
            <v xml:space="preserve">ELETRODUTO PVC ROSCA S/LUVA 20MM - 3/4" </v>
          </cell>
        </row>
        <row r="257">
          <cell r="B257" t="str">
            <v xml:space="preserve">ELETRODUTO PVC ROSCA S/LUVA 25MM - 1" </v>
          </cell>
        </row>
        <row r="258">
          <cell r="B258" t="str">
            <v xml:space="preserve">ELETRODUTO PVC ROSCA S/LUVA 32MM - 1 1/4" </v>
          </cell>
        </row>
        <row r="259">
          <cell r="B259" t="str">
            <v xml:space="preserve">ELETRODUTO PVC ROSCA S/LUVA 40MM - 1 1/2" </v>
          </cell>
        </row>
        <row r="260">
          <cell r="B260" t="str">
            <v xml:space="preserve">ELETRODUTO PVC ROSCA S/LUVA 50MM - 2" </v>
          </cell>
        </row>
        <row r="261">
          <cell r="B261" t="str">
            <v>ELETRODUTO PVC ROSCA S/LUVA 60MM - 2 1/2"</v>
          </cell>
        </row>
        <row r="262">
          <cell r="B262" t="str">
            <v xml:space="preserve">ELETRODUTO PVC ROSCA S/LUVA 75MM - 3" </v>
          </cell>
        </row>
        <row r="263">
          <cell r="B263" t="str">
            <v>ELO FUSÍVEL DE 10K</v>
          </cell>
        </row>
        <row r="264">
          <cell r="B264" t="str">
            <v>ESCAVAÇÃO DA BASE DO POSTE, ASSENTAMENTO, CHUMBAÇÃO E ACABAMENTO DA INSTALAÇÃO DO POSTE</v>
          </cell>
        </row>
        <row r="265">
          <cell r="B265" t="str">
            <v>ESPELHO COM FURO CENTRAL EM PVC 4X2'</v>
          </cell>
        </row>
        <row r="266">
          <cell r="B266" t="str">
            <v>ESTABILIZADOR TRIFÁSICO,  DE 7,5kVA PARA SALA TÉCNICA – QFEE</v>
          </cell>
        </row>
        <row r="267">
          <cell r="B267" t="str">
            <v>FECHADURA ELETROMAGNÉTICA</v>
          </cell>
        </row>
        <row r="268">
          <cell r="B268" t="str">
            <v>FECHADURA ELETROMECANICA</v>
          </cell>
        </row>
        <row r="269">
          <cell r="B269" t="str">
            <v>FECHADURA MECANICA DO COFRE</v>
          </cell>
        </row>
        <row r="270">
          <cell r="B270" t="str">
            <v>FECHADURA MODULO TECLADO NÃO PARTICIPATIVO</v>
          </cell>
        </row>
        <row r="271">
          <cell r="B271" t="str">
            <v>FECHADURA MODULO TECLADO PARTICIPATIVO</v>
          </cell>
        </row>
        <row r="272">
          <cell r="B272" t="str">
            <v>FECHADURA MODULO TECLADO PARTICIPATIVO C/ RETARDO</v>
          </cell>
        </row>
        <row r="273">
          <cell r="B273" t="str">
            <v>FECHADURA SOLENOIDE</v>
          </cell>
        </row>
        <row r="274">
          <cell r="B274" t="str">
            <v>FECHADURA TETRA</v>
          </cell>
        </row>
        <row r="275">
          <cell r="B275" t="str">
            <v>FIO DE COBRE NÚ 35mm²</v>
          </cell>
        </row>
        <row r="276">
          <cell r="B276" t="str">
            <v>GANCHO OLHAL</v>
          </cell>
        </row>
        <row r="277">
          <cell r="B277" t="str">
            <v>HASTE COOPERWELD 5/8'' x 3,00M</v>
          </cell>
        </row>
        <row r="278">
          <cell r="B278" t="str">
            <v>HASTE DE TERRA EM AÇO COBREADO, COM SEÇÃO CIRCULAR MÍNIMA DE 23,2 X 3000mm</v>
          </cell>
        </row>
        <row r="279">
          <cell r="B279" t="str">
            <v xml:space="preserve">HASTE DE TERRA EM ACO REVESTIDO DE COBRE DN 3/4" X 3000MM C/ CONECTOR" </v>
          </cell>
        </row>
        <row r="280">
          <cell r="B280" t="str">
            <v xml:space="preserve">HASTE DE TERRA EM ACO REVESTIDO DE COBRE DN 5/8'' X 3000MM C/ CONECTOR </v>
          </cell>
        </row>
        <row r="281">
          <cell r="B281" t="str">
            <v>INTERRUPTOR UMA TECLA DUPLA, EMBUTIDO EM ALVENARIA EM CAIXA 4x2''.</v>
          </cell>
        </row>
        <row r="282">
          <cell r="B282" t="str">
            <v>INTERRUPTOR UMA TECLA SIMPLES, EMBUTIDO EM ALVENARIA EM CAIXA 4x2''.</v>
          </cell>
        </row>
        <row r="283">
          <cell r="B283" t="str">
            <v>ISOLADOR DE SUSPENSÃO, VIDRO OU PORCELANA DE 15kV</v>
          </cell>
        </row>
        <row r="284">
          <cell r="B284" t="str">
            <v>JUNÇÃO INTEGRAL P/ ELETROCALHA 100x100mm</v>
          </cell>
        </row>
        <row r="285">
          <cell r="B285" t="str">
            <v>JUNÇÃO INTEGRAL P/ ELETROCALHA 100x50mm</v>
          </cell>
        </row>
        <row r="286">
          <cell r="B286" t="str">
            <v>JUNÇÃO INTEGRAL P/ ELETROCALHA 150x50mm</v>
          </cell>
        </row>
        <row r="287">
          <cell r="B287" t="str">
            <v>JUNÇÃO INTEGRAL P/ ELETROCALHA 200x50mm</v>
          </cell>
        </row>
        <row r="288">
          <cell r="B288" t="str">
            <v>JUNÇÃO INTEGRAL P/ ELETROCALHA 50X50X3000mm</v>
          </cell>
        </row>
        <row r="289">
          <cell r="B289" t="str">
            <v>LAMPADA FLUORESCENTE TUBULAR DE 16W. MODELO DE REF ERÊNCIA TLD SUPER 80 DA PHILIPS OU SIMILAR</v>
          </cell>
        </row>
        <row r="290">
          <cell r="B290" t="str">
            <v>LIMPEZA E DESOBSTRUÇÃO DE INSTALAÇÕES DE ÁGUAS PLUVIAIS</v>
          </cell>
        </row>
        <row r="291">
          <cell r="B291" t="str">
            <v>LINE CORD EM CABO EXTRA UTP CATEGORIA 5E</v>
          </cell>
        </row>
        <row r="292">
          <cell r="B292" t="str">
            <v>LUMINARIA CIRCULAR EMBUTIR 2X26W/220V ITAIM ÂMBAR – COMPLETA COM REATOR E LÂMPADAS</v>
          </cell>
        </row>
        <row r="293">
          <cell r="B293" t="str">
            <v>LUMINARIA DE EMBUTIR  2X14W/220V-COMPLETA MODELO ITAIM 2005</v>
          </cell>
        </row>
        <row r="294">
          <cell r="B294" t="str">
            <v>LUMINARIA DE EMBUTIR  2X14W/220V-COMPLETA MODELO ITAIM 2007</v>
          </cell>
        </row>
        <row r="295">
          <cell r="B295" t="str">
            <v>LUMINARIA DE EMBUTIR  2X28W/220V-COMPLETA MODELO ITAIM 2005</v>
          </cell>
        </row>
        <row r="296">
          <cell r="B296" t="str">
            <v>LUMINARIA DE EMBUTIR  2X28W/220V-COMPLETA MODELO ITAIM 2007</v>
          </cell>
        </row>
        <row r="297">
          <cell r="B297" t="str">
            <v>LUMINARIA DE SOBREPOR, MOD. 3007 ITAM</v>
          </cell>
        </row>
        <row r="298">
          <cell r="B298" t="str">
            <v>LUMINARIA DE SOBREPOR, MOD. LPT18 DA ITAIM</v>
          </cell>
        </row>
        <row r="299">
          <cell r="B299" t="str">
            <v>LUMINARIA EMBUTIR 1X100W/220V-MODELO TASSU ITAIM COMPLETA</v>
          </cell>
        </row>
        <row r="300">
          <cell r="B300" t="str">
            <v xml:space="preserve">LUVA REDUCAO FERRO GALV ROSCA 1" X 1/2" </v>
          </cell>
        </row>
        <row r="301">
          <cell r="B301" t="str">
            <v xml:space="preserve">LUVA REDUCAO FERRO GALV ROSCA 1" X 3/4" </v>
          </cell>
        </row>
        <row r="302">
          <cell r="B302" t="str">
            <v xml:space="preserve">LUVA REDUCAO FERRO GALV ROSCA 1.1/2" X 1" </v>
          </cell>
        </row>
        <row r="303">
          <cell r="B303" t="str">
            <v xml:space="preserve">LUVA REDUCAO FERRO GALV ROSCA 1.1/2" X 1.1/4" </v>
          </cell>
        </row>
        <row r="304">
          <cell r="B304" t="str">
            <v xml:space="preserve">LUVA REDUCAO FERRO GALV ROSCA 1.1/2" X 1/2" </v>
          </cell>
        </row>
        <row r="305">
          <cell r="B305" t="str">
            <v xml:space="preserve">LUVA REDUCAO FERRO GALV ROSCA 1.1/2" X 3/4" </v>
          </cell>
        </row>
        <row r="306">
          <cell r="B306" t="str">
            <v xml:space="preserve">LUVA REDUCAO FERRO GALV ROSCA 1.1/4" X 1" </v>
          </cell>
        </row>
        <row r="307">
          <cell r="B307" t="str">
            <v xml:space="preserve">LUVA REDUCAO FERRO GALV ROSCA 1.1/4" X 1/2" </v>
          </cell>
        </row>
        <row r="308">
          <cell r="B308" t="str">
            <v xml:space="preserve">LUVA REDUCAO FERRO GALV ROSCA 1.1/4" X 3/4" </v>
          </cell>
        </row>
        <row r="309">
          <cell r="B309" t="str">
            <v xml:space="preserve">LUVA REDUCAO FERRO GALV ROSCA 1.1/4" X 3/4" </v>
          </cell>
        </row>
        <row r="310">
          <cell r="B310" t="str">
            <v xml:space="preserve">LUVA REDUCAO FERRO GALV ROSCA 2.1/2" X 1.1/2" </v>
          </cell>
        </row>
        <row r="311">
          <cell r="B311" t="str">
            <v>LUVA REDUCAO FERRO GALV ROSCA 2.1/2" X 2"</v>
          </cell>
        </row>
        <row r="312">
          <cell r="B312" t="str">
            <v xml:space="preserve">LUVA REDUCAO FERRO GALV ROSCA 3" X 2.1/2" </v>
          </cell>
        </row>
        <row r="313">
          <cell r="B313" t="str">
            <v>MANILHA SAPATILHA PARA ALÇA PREFORMADA</v>
          </cell>
        </row>
        <row r="314">
          <cell r="B314" t="str">
            <v>MIUDEZAS</v>
          </cell>
        </row>
        <row r="315">
          <cell r="B315" t="str">
            <v>MIUDEZAS (BUCHAS, PARAFUSOS, TAMPAS, ETC)</v>
          </cell>
        </row>
        <row r="316">
          <cell r="B316" t="str">
            <v>MOLDE HCT 5/8''X3,00M</v>
          </cell>
        </row>
        <row r="317">
          <cell r="B317" t="str">
            <v>OLHAL PARA PARAFUSO</v>
          </cell>
        </row>
        <row r="318">
          <cell r="B318" t="str">
            <v>ORGANIZADORES DE CABO</v>
          </cell>
        </row>
        <row r="319">
          <cell r="B319" t="str">
            <v>PARAFUSO CABEÇA QUADRADA M16X2 C-350, R220</v>
          </cell>
        </row>
        <row r="320">
          <cell r="B320" t="str">
            <v>PARAFUSO CABEÇA QUADRADA M16X2 C-400, R320</v>
          </cell>
        </row>
        <row r="321">
          <cell r="B321" t="str">
            <v>PÁRA-RAIO TIPO VÁLVULA PARA SISTEMA DE DISTRIBUIÇÃO DE 12KVA</v>
          </cell>
        </row>
        <row r="322">
          <cell r="B322" t="str">
            <v>PATCH CORD EM CABO EXTRA UTP CATEGORIA 5E</v>
          </cell>
        </row>
        <row r="323">
          <cell r="B323" t="str">
            <v>PATCH CORD EM CABO EXTRA UTP CATEGORIA 5E</v>
          </cell>
        </row>
        <row r="324">
          <cell r="B324" t="str">
            <v>PATCH CORD FLEXÍVEL COM CONECTOR BNC/BNC, CABO RG 59 NA COR BRANCA</v>
          </cell>
        </row>
        <row r="325">
          <cell r="B325" t="str">
            <v>PATCH PANEL CATEGORIA 5E-12 POSIÇÕES</v>
          </cell>
        </row>
        <row r="326">
          <cell r="B326" t="str">
            <v>PATCH PANEL CATEGORIA 5E-24 POSIÇÕES</v>
          </cell>
        </row>
        <row r="327">
          <cell r="B327" t="str">
            <v>PATCH PANEL CATEGORIA 5E-48 POSIÇÕES C/ CONECTOR BNC</v>
          </cell>
        </row>
        <row r="328">
          <cell r="B328" t="str">
            <v>PORCA QUADRADA PARA PARAFUSO M16X2</v>
          </cell>
        </row>
        <row r="329">
          <cell r="B329" t="str">
            <v xml:space="preserve">POSTE DE CONCRETO DUPLO "T" , 200KG, H = 11M </v>
          </cell>
        </row>
        <row r="330">
          <cell r="B330" t="str">
            <v xml:space="preserve">POSTE DE CONCRETO DUPLO "T" , 400KG,H = 12M </v>
          </cell>
        </row>
        <row r="331">
          <cell r="B331" t="str">
            <v>POSTE DUPLO T DE 10,5 m DE 300daN</v>
          </cell>
        </row>
        <row r="332">
          <cell r="B332" t="str">
            <v>POSTE DUPLO T DE 11m E 600daN</v>
          </cell>
        </row>
        <row r="333">
          <cell r="B333" t="str">
            <v>PRESILHA EM LATÃO ESTANHADO PARA FIXAÇÃO DIRETA DE CABOS COM DIAMETRO 6mm² EM ELETROCALHAS</v>
          </cell>
        </row>
        <row r="334">
          <cell r="B334" t="str">
            <v>PROJETOR ORIENTÁVEL COMPLETO 50W/220V</v>
          </cell>
        </row>
        <row r="335">
          <cell r="B335" t="str">
            <v xml:space="preserve">QUADRO 160 X 66CM PADRAO LIGHT TR-4 </v>
          </cell>
        </row>
        <row r="336">
          <cell r="B336" t="str">
            <v xml:space="preserve">QUADRO DE DISTRIBUICAO DE EMBUTIR C/ BARRAMENTO MONOFASICO P/ 6 DISJUNTORES UNIPOLARES EM CHAPA DE ACO GALV </v>
          </cell>
        </row>
        <row r="337">
          <cell r="B337" t="str">
            <v xml:space="preserve">QUADRO DE DISTRIBUICAO DE EMBUTIR C/ BARRAMENTO NEUTRO P/ 18 DISJUNTORES UNIPOLARES EM CHAPA DE ACO GALV </v>
          </cell>
        </row>
        <row r="338">
          <cell r="B338" t="str">
            <v xml:space="preserve">QUADRO DE DISTRIBUICAO DE EMBUTIR C/ BARRAMENTO TRIFASICO P/ 12 DISJUNTORES UNIPOLARES EM CHAPA DE ACO GALV </v>
          </cell>
        </row>
        <row r="339">
          <cell r="B339" t="str">
            <v>QUADRO DE DISTRIBUICAO DE EMBUTIR C/ BARRAMENTO TRIFASICO P/ 15 DISJUNTORES UNIPOLARES EM CHAPA DE ACO GALV</v>
          </cell>
        </row>
        <row r="340">
          <cell r="B340" t="str">
            <v xml:space="preserve">QUADRO DE DISTRIBUICAO DE EMBUTIR C/ BARRAMENTO TRIFASICO P/ 18 DISJUNTORES UNIPOLARES EM CHAPA DE ACO GALV </v>
          </cell>
        </row>
        <row r="341">
          <cell r="B341" t="str">
            <v xml:space="preserve">QUADRO DE DISTRIBUICAO DE EMBUTIR C/ BARRAMENTO TRIFASICO P/ 24 DISJUNTORES UNIPOLARES EM CHAPA DE ACO GALV </v>
          </cell>
        </row>
        <row r="342">
          <cell r="B342" t="str">
            <v xml:space="preserve">QUADRO DE DISTRIBUICAO DE EMBUTIR C/ BARRAMENTO TRIFASICO P/ 27 DISJUNTORES UNIPOLARES EM CHAPA DE ACO GALV </v>
          </cell>
        </row>
        <row r="343">
          <cell r="B343" t="str">
            <v xml:space="preserve">QUADRO DE DISTRIBUICAO DE EMBUTIR C/ BARRAMENTO TRIFASICO P/ 30 DISJUNTORES UNIPOLARES EM CHAPA DE ACO GALV </v>
          </cell>
        </row>
        <row r="344">
          <cell r="B344" t="str">
            <v xml:space="preserve">QUADRO DE DISTRIBUICAO DE EMBUTIR C/ BARRAMENTO TRIFASICO P/ 30 DISJUNTORES UNIPOLARES EM CHAPA DE FERRO GALV </v>
          </cell>
        </row>
        <row r="345">
          <cell r="B345" t="str">
            <v xml:space="preserve">QUADRO DE DISTRIBUICAO DE EMBUTIR C/ BARRAMENTO TRIFASICO P/ 32 DISJUNTORES UNIPOLARES EM CHAPA DE ACO GALV </v>
          </cell>
        </row>
        <row r="346">
          <cell r="B346" t="str">
            <v xml:space="preserve">QUADRO DE DISTRIBUICAO DE EMBUTIR C/ BARRAMENTO TRIFASICO P/ 40 DISJUNTORES UNIPOLARES EM CHAPA DE ACO GALV COM CHAVE GERAL TRIFASICA </v>
          </cell>
        </row>
        <row r="347">
          <cell r="B347" t="str">
            <v xml:space="preserve">QUADRO DE DISTRIBUICAO DE EMBUTIR C/ BARRAMENTO TRIFASICO P/ 40 DISJUNTORES UNIPOLARES EM CHAPA DE FERRO GALV </v>
          </cell>
        </row>
        <row r="348">
          <cell r="B348" t="str">
            <v xml:space="preserve">QUADRO DE DISTRIBUICAO DE EMBUTIR C/ BARRAMENTO TRIFASICO P/ 50 DISJUNTORES UNIPOLARES EM CHAPA DE ACO GALV </v>
          </cell>
        </row>
        <row r="349">
          <cell r="B349" t="str">
            <v xml:space="preserve">QUADRO DE DISTRIBUICAO DE EMBUTIR C/ BARRAMENTO TRIFASICO P/ 60 DISJUNTORES UNIPOLARES EM CHAPA DE ACO GALV </v>
          </cell>
        </row>
        <row r="350">
          <cell r="B350" t="str">
            <v xml:space="preserve">QUADRO DE DISTRIBUICAO DE EMBUTIR SEM BARRAMENTO P/ 3 DISJUNTORES UNIPOLARES, COM PORTA EM CHAPA DE ACO GALV </v>
          </cell>
        </row>
        <row r="351">
          <cell r="B351" t="str">
            <v xml:space="preserve">QUADRO DE DISTRIBUICAO DE EMBUTIR SEM BARRAMENTO P/ 3 DISJUNTORES UNIPOLARES, EM CHAPA DE ACO GALV </v>
          </cell>
        </row>
        <row r="352">
          <cell r="B352" t="str">
            <v xml:space="preserve">QUADRO DE DISTRIBUICAO DE EMBUTIR SEM BARRAMENTO P/ 3 DISJUNTORES UNIPOLARES, S/ PORTA, EM CHAPA DE ACO GALV </v>
          </cell>
        </row>
        <row r="353">
          <cell r="B353" t="str">
            <v xml:space="preserve">QUADRO DE DISTRIBUICAO DE EMBUTIR SEM BARRAMENTO, P/12 DISJUNTORES UNIPOLARES, S/ PORTA EM CHAPA DE ACO GALV </v>
          </cell>
        </row>
        <row r="354">
          <cell r="B354" t="str">
            <v>QUADRO DE DISTRIBUICAO DE SOBREPOR C/ BARRAMENTO TRIFASICO P/ 18 DISJUNTORES UNIPOLARES, EM CHAPA DE ACO GALV</v>
          </cell>
        </row>
        <row r="355">
          <cell r="B355" t="str">
            <v xml:space="preserve">QUADRO DE DISTRIBUICAO DE SOBREPOR C/ BARRAMENTO TRIFASICO P/ 24 DISJUNTORES UNIPOLARES, EM CHAPA DE ACO GALV </v>
          </cell>
        </row>
        <row r="356">
          <cell r="B356" t="str">
            <v xml:space="preserve">QUADRO EM CHAPA ACO GALVANIZADO 18 USG, 40X60CM P/ INSTALACAO DE PONTO DE FORCA PARA ELEVADOR </v>
          </cell>
        </row>
        <row r="357">
          <cell r="B357" t="str">
            <v xml:space="preserve">QUADRO METALICO P/ MONT ELETRO-ELETRONICO 48 X 38 X 22CM CEMAR OU EQUIV </v>
          </cell>
        </row>
        <row r="358">
          <cell r="B358" t="str">
            <v>RACK PADRÃO 19'' 36U</v>
          </cell>
        </row>
        <row r="359">
          <cell r="B359" t="str">
            <v>RACK PADRÃO 19'' 44U</v>
          </cell>
        </row>
        <row r="360">
          <cell r="B360" t="str">
            <v>RALO HERMÉTICO EM PVC 100X140X50mm</v>
          </cell>
        </row>
        <row r="361">
          <cell r="B361" t="str">
            <v>REATOR ELETRONICO DE PARTIDA INSTANTANEA 2X16W ALTO FATOR DE POTENCIA PHILIPS, OSRAM OU SIMILAR</v>
          </cell>
        </row>
        <row r="362">
          <cell r="B362" t="str">
            <v xml:space="preserve">REDUÇÃO CONCENTRICA 150X100 MM </v>
          </cell>
        </row>
        <row r="363">
          <cell r="B363" t="str">
            <v>REDUÇÃO CONCÊNTRICA EM AÇO, 150mm PARA 100mm, ALTU A DE 50mm</v>
          </cell>
        </row>
        <row r="364">
          <cell r="B364" t="str">
            <v>REDUCAO CONCENTRICA PARA ELETROCALHA DE 150mm PARA 100x150mm</v>
          </cell>
        </row>
        <row r="365">
          <cell r="B365" t="str">
            <v>RÉGUA DE TOMADAS</v>
          </cell>
        </row>
        <row r="366">
          <cell r="B366" t="str">
            <v>RÉGUA DE TOMADAS</v>
          </cell>
        </row>
        <row r="367">
          <cell r="B367" t="str">
            <v>RELÉ FOTOCELULA - PIAL LEGRAND</v>
          </cell>
        </row>
        <row r="368">
          <cell r="B368" t="str">
            <v>SAÍDA HORIZONTAL ELETROCALHA P/ ELETRODUTO Ø1''</v>
          </cell>
        </row>
        <row r="369">
          <cell r="B369" t="str">
            <v>SAÍDA HORIZONTAL ELETROCALHA P/ ELETRODUTO Ø1 1/4''</v>
          </cell>
        </row>
        <row r="370">
          <cell r="B370" t="str">
            <v>SAÍDA HORIZONTAL ELETROCALHA P/ ELETRODUTO Ø2''</v>
          </cell>
        </row>
        <row r="371">
          <cell r="B371" t="str">
            <v>SAÍDA HORIZONTAL ELETROCALHA P/ ELETRODUTO Ø3/4''</v>
          </cell>
        </row>
        <row r="372">
          <cell r="B372" t="str">
            <v>SENSOR DE PRESENÇA</v>
          </cell>
        </row>
        <row r="373">
          <cell r="B373" t="str">
            <v>SINALIZADOR DE ABERTURA</v>
          </cell>
        </row>
        <row r="374">
          <cell r="B374" t="str">
            <v>SOLDA EXOTÉRMICA CARTUCHO 115</v>
          </cell>
        </row>
        <row r="375">
          <cell r="B375" t="str">
            <v>SUPORTE PARA ELETROCALHA DE 100 X 50mm</v>
          </cell>
        </row>
        <row r="376">
          <cell r="B376" t="str">
            <v>SUPORTE PARA ELETROCALHA DE 150 X 50mm</v>
          </cell>
        </row>
        <row r="377">
          <cell r="B377" t="str">
            <v>TE DE INSPECAO CURTO EM FOFO. D=100X75mm (4X3')</v>
          </cell>
        </row>
        <row r="378">
          <cell r="B378" t="str">
            <v>TÊ HORIZONTAL 90° C/ TAMPA P/ ELETROCALHA 100x50mm</v>
          </cell>
        </row>
        <row r="379">
          <cell r="B379" t="str">
            <v>TÊ HORIZONTAL 90° C/ TAMPA P/ ELETROCALHA 150X50mm</v>
          </cell>
        </row>
        <row r="380">
          <cell r="B380" t="str">
            <v>TE VERTICAL DE INVERSÃO EM AÇO 100X50mm</v>
          </cell>
        </row>
        <row r="381">
          <cell r="B381" t="str">
            <v>TERMINAL DE COMPRESSÃO EM LATÃO PARA CABO  6mm²</v>
          </cell>
        </row>
        <row r="382">
          <cell r="B382" t="str">
            <v>TERMINAL DE COMPRESSÃO EM LATÃO PARA CABO 16mm²</v>
          </cell>
        </row>
        <row r="383">
          <cell r="B383" t="str">
            <v>TERMINAL DE COMPRESSÃO EM LATÃO PARA CABO 25mm²</v>
          </cell>
        </row>
        <row r="384">
          <cell r="B384" t="str">
            <v>TERMINAL DE COMPRESSÃO EM LATÃO PARA CABO 50mm²</v>
          </cell>
        </row>
        <row r="385">
          <cell r="B385" t="str">
            <v>TERMINAL DE COMPRESSÃO EM LATÃO PARA CABO 95mm²</v>
          </cell>
        </row>
        <row r="386">
          <cell r="B386" t="str">
            <v>TERMINAL DE FECHAMENTO 100x50mm</v>
          </cell>
        </row>
        <row r="387">
          <cell r="B387" t="str">
            <v>TERMINAL DE FECHAMENTO 150x50mm</v>
          </cell>
        </row>
        <row r="388">
          <cell r="B388" t="str">
            <v>TERMINAL DE FECHAMENTO 50x50mm</v>
          </cell>
        </row>
        <row r="389">
          <cell r="B389" t="str">
            <v>TOMADA DOIS POLOS MAIS TERRA 20A 250V</v>
          </cell>
        </row>
        <row r="390">
          <cell r="B390" t="str">
            <v>TOMADA DOIS POLOS.MAIS TERRA P/ REDE COMUM</v>
          </cell>
        </row>
        <row r="391">
          <cell r="B391" t="str">
            <v>TOMADA DOIS POLOS.MAIS TERRA P/ REDE NO BREAK</v>
          </cell>
        </row>
        <row r="392">
          <cell r="B392" t="str">
            <v>TRANSFORMADOR TRIFÁSICO A SECO DE 150KVA, Dyn1, Classe de Tensão de 15kV – para Subestação em Abrigada</v>
          </cell>
        </row>
        <row r="393">
          <cell r="B393" t="str">
            <v>TUBO PVC BRANCO P/ESGOTO D=100mm (4') C/ ACESSÓRIO</v>
          </cell>
        </row>
        <row r="394">
          <cell r="B394" t="str">
            <v>QUADRO GERAL DE BAIXA TENSÃO - QGBT</v>
          </cell>
        </row>
        <row r="395">
          <cell r="B395" t="str">
            <v>QUADRO DE DISTRIBUIÇÃO DE FORÇA E LUZ - QDFL</v>
          </cell>
        </row>
        <row r="396">
          <cell r="B396" t="str">
            <v>QUADRO DE ENERGIA ININTERRUPTA – QNB</v>
          </cell>
        </row>
        <row r="397">
          <cell r="B397" t="str">
            <v>QUADRO DE FORÇA DE ENERGIA ESTABILIZADA – QEST</v>
          </cell>
        </row>
        <row r="398">
          <cell r="B398" t="str">
            <v>QUADRO DE SEGURANÇA NO-BREAK - QSNB</v>
          </cell>
        </row>
        <row r="399">
          <cell r="B399" t="str">
            <v>QUADRO DE ACIONAMENTO E CONTROLE REMOTO - QACR</v>
          </cell>
        </row>
        <row r="400">
          <cell r="B400" t="str">
            <v>QUADRO DE FORÇA DO AR CONDICIONADO QFAC</v>
          </cell>
        </row>
        <row r="401">
          <cell r="B401" t="str">
            <v>QUADROS DE CONTROLE DAS CONDENSADORAS QS1 A QS8</v>
          </cell>
        </row>
        <row r="402">
          <cell r="B402" t="str">
            <v>QUADRO DE ILUMINAÇÃO DO AUTO-ATENDIMENTO - QDL-AA</v>
          </cell>
        </row>
        <row r="403">
          <cell r="B403" t="str">
            <v>UPS MONOFÁSICO, DUPLA CONVERSÃO, ON-LINE,  DE 8kVA PARA SALA SEGURA – QSNB, AUTONOMIA DE 60min.</v>
          </cell>
        </row>
        <row r="404">
          <cell r="B404" t="str">
            <v>UPS MONOFÁSICO, DUPLA CONVERSÃO, ON-LINE,  DE 8kVA PARA SALA NO BREAK – QNB, AUTONOMIA DE 30min.</v>
          </cell>
        </row>
        <row r="405">
          <cell r="B405" t="str">
            <v>ESTABILIZADOR TRIFÁSICO,  DE 10kVA PARA SALA NO-BREAK – QEST</v>
          </cell>
        </row>
      </sheetData>
      <sheetData sheetId="2"/>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dados"/>
      <sheetName val="Planilha"/>
      <sheetName val="Plan2"/>
      <sheetName val="Plan1"/>
      <sheetName val="Desenho"/>
      <sheetName val="Plan"/>
      <sheetName val="QuantLigacao"/>
      <sheetName val="QuantRede"/>
      <sheetName val="Tabela Novacap"/>
      <sheetName val="Tabela TCPO"/>
      <sheetName val="Tabela TCPO 1"/>
      <sheetName val="Drenagem"/>
      <sheetName val="Pre Moldados"/>
    </sheetNames>
    <sheetDataSet>
      <sheetData sheetId="0"/>
      <sheetData sheetId="1">
        <row r="2">
          <cell r="DG2" t="str">
            <v>mec c/ contr</v>
          </cell>
          <cell r="DH2" t="str">
            <v>Areia</v>
          </cell>
        </row>
        <row r="3">
          <cell r="DG3">
            <v>0</v>
          </cell>
          <cell r="DH3">
            <v>0</v>
          </cell>
        </row>
        <row r="4">
          <cell r="DG4">
            <v>46.795456250002381</v>
          </cell>
          <cell r="DH4">
            <v>2.4629187500001253</v>
          </cell>
        </row>
        <row r="5">
          <cell r="DG5">
            <v>46.459928124999998</v>
          </cell>
          <cell r="DH5">
            <v>2.445259375</v>
          </cell>
        </row>
        <row r="6">
          <cell r="DG6">
            <v>35.328504796605031</v>
          </cell>
          <cell r="DH6">
            <v>1.8593949892950012</v>
          </cell>
        </row>
        <row r="7">
          <cell r="DG7">
            <v>63.085386019779797</v>
          </cell>
          <cell r="DH7">
            <v>3.3202834747252523</v>
          </cell>
        </row>
        <row r="8">
          <cell r="DG8">
            <v>65.837868731806253</v>
          </cell>
          <cell r="DH8">
            <v>3.4651509858845397</v>
          </cell>
        </row>
        <row r="9">
          <cell r="DG9">
            <v>61.743318081064174</v>
          </cell>
          <cell r="DH9">
            <v>3.2496483200560089</v>
          </cell>
        </row>
        <row r="10">
          <cell r="DG10">
            <v>57.776862499991502</v>
          </cell>
          <cell r="DH10">
            <v>3.0408874999995525</v>
          </cell>
        </row>
        <row r="11">
          <cell r="DG11">
            <v>0</v>
          </cell>
          <cell r="DH11">
            <v>0</v>
          </cell>
        </row>
        <row r="12">
          <cell r="DG12">
            <v>38.572612500001966</v>
          </cell>
          <cell r="DH12">
            <v>2.0301375000001034</v>
          </cell>
        </row>
        <row r="13">
          <cell r="DG13">
            <v>30.008125</v>
          </cell>
          <cell r="DH13">
            <v>1.579375</v>
          </cell>
        </row>
        <row r="14">
          <cell r="DG14">
            <v>45.960109374995596</v>
          </cell>
          <cell r="DH14">
            <v>2.4189531249997684</v>
          </cell>
        </row>
        <row r="15">
          <cell r="DG15">
            <v>105.56447499998538</v>
          </cell>
          <cell r="DH15">
            <v>5.5560249999992299</v>
          </cell>
        </row>
        <row r="16">
          <cell r="DG16">
            <v>0</v>
          </cell>
          <cell r="DH16">
            <v>0</v>
          </cell>
        </row>
        <row r="17">
          <cell r="DG17">
            <v>20.634593749996963</v>
          </cell>
          <cell r="DH17">
            <v>1.0860312499998401</v>
          </cell>
        </row>
        <row r="18">
          <cell r="DG18">
            <v>0</v>
          </cell>
          <cell r="DH18">
            <v>0</v>
          </cell>
        </row>
        <row r="19">
          <cell r="DG19">
            <v>0</v>
          </cell>
          <cell r="DH19">
            <v>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RESULTADOS"/>
      <sheetName val="Edificações COM"/>
      <sheetName val="Edificações SEM"/>
      <sheetName val="Vias Urbanas COM"/>
      <sheetName val="Vias Urbanas SEM"/>
      <sheetName val="Drenagem COM"/>
      <sheetName val="Drenagem SEM"/>
      <sheetName val="Pavimentação e Drenagem COM"/>
      <sheetName val="Pavimentação e Drenagem SEM"/>
      <sheetName val="Paisagismo COM"/>
      <sheetName val="Paisagismo SEM"/>
      <sheetName val="Pequenas Obras COM"/>
      <sheetName val="Pequenas Obras SEM"/>
      <sheetName val="Materiais COM"/>
      <sheetName val="Materiais SEM"/>
      <sheetName val="Quadro Comparativo"/>
      <sheetName val="Quadro Geral"/>
      <sheetName val="Comparativo"/>
      <sheetName val="BDI Matriz"/>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6">
          <cell r="C6" t="str">
            <v>1º Quartil</v>
          </cell>
        </row>
        <row r="9">
          <cell r="A9" t="str">
            <v>Drenagem Pluvial, Redes de Abastecimento de Água, Coleta de Esgoto e Construções Correlatas</v>
          </cell>
        </row>
        <row r="10">
          <cell r="A10" t="str">
            <v>Drenagem Pluvial com Pavimentação</v>
          </cell>
        </row>
        <row r="11">
          <cell r="A11" t="str">
            <v>Paisagismo, Parques e Jardins</v>
          </cell>
        </row>
        <row r="12">
          <cell r="A12" t="str">
            <v>Obras de Menor Complexidade (Praças, Calçadas, Ciclovias, Meios Fios, Quiosques e Obras Correlatas)</v>
          </cell>
        </row>
        <row r="13">
          <cell r="A13" t="str">
            <v>Fornecimento de Materiais Betuminosos e Outros Materiais e Equipamentos de Grande Relevância de Natureza Específica</v>
          </cell>
        </row>
      </sheetData>
      <sheetData sheetId="16">
        <row r="4">
          <cell r="B4" t="str">
            <v>Administração Central</v>
          </cell>
          <cell r="C4" t="str">
            <v>Seguros + Garantias</v>
          </cell>
          <cell r="D4" t="str">
            <v>Riscos</v>
          </cell>
          <cell r="E4" t="str">
            <v>Despesas Financeiras</v>
          </cell>
          <cell r="F4" t="str">
            <v>Lucro</v>
          </cell>
          <cell r="G4" t="str">
            <v>ISS - Imposto Sobre Serviços de Qualquer Natureza</v>
          </cell>
        </row>
        <row r="5">
          <cell r="A5" t="str">
            <v>Edificações</v>
          </cell>
          <cell r="B5">
            <v>0.03</v>
          </cell>
          <cell r="C5">
            <v>8.0000000000000002E-3</v>
          </cell>
          <cell r="D5">
            <v>9.7000000000000003E-3</v>
          </cell>
          <cell r="E5">
            <v>5.8999999999999999E-3</v>
          </cell>
          <cell r="F5">
            <v>6.1600000000000002E-2</v>
          </cell>
          <cell r="G5">
            <v>0.01</v>
          </cell>
        </row>
        <row r="6">
          <cell r="A6" t="str">
            <v>Vias Urbanas e Rodovias (incluindo obras de arte especiais)</v>
          </cell>
          <cell r="B6">
            <v>3.7999999999999999E-2</v>
          </cell>
          <cell r="C6">
            <v>3.2000000000000002E-3</v>
          </cell>
          <cell r="D6">
            <v>5.0000000000000001E-3</v>
          </cell>
          <cell r="E6">
            <v>1.0200000000000001E-2</v>
          </cell>
          <cell r="F6">
            <v>6.6400000000000001E-2</v>
          </cell>
          <cell r="G6">
            <v>0.01</v>
          </cell>
        </row>
        <row r="7">
          <cell r="A7" t="str">
            <v>Drenagem Pluvial, Redes de Abastecimento de Água, Coleta de Esgoto e Construções Correlatas</v>
          </cell>
          <cell r="B7">
            <v>3.4299999999999997E-2</v>
          </cell>
          <cell r="C7">
            <v>2.8E-3</v>
          </cell>
          <cell r="D7">
            <v>0.01</v>
          </cell>
          <cell r="E7">
            <v>9.4000000000000004E-3</v>
          </cell>
          <cell r="F7">
            <v>6.7400000000000002E-2</v>
          </cell>
          <cell r="G7">
            <v>0.01</v>
          </cell>
        </row>
        <row r="8">
          <cell r="A8" t="str">
            <v>Drenagem Pluvial com Pavimentação</v>
          </cell>
          <cell r="B8">
            <v>3.4299999999999997E-2</v>
          </cell>
          <cell r="C8">
            <v>2.8E-3</v>
          </cell>
          <cell r="D8">
            <v>5.0000000000000001E-3</v>
          </cell>
          <cell r="E8">
            <v>9.4000000000000004E-3</v>
          </cell>
          <cell r="F8">
            <v>6.6400000000000001E-2</v>
          </cell>
          <cell r="G8">
            <v>0.01</v>
          </cell>
        </row>
        <row r="9">
          <cell r="A9" t="str">
            <v>Paisagismo, Parques e Jardins</v>
          </cell>
          <cell r="B9">
            <v>0.03</v>
          </cell>
          <cell r="C9">
            <v>8.0000000000000002E-3</v>
          </cell>
          <cell r="D9">
            <v>9.7000000000000003E-3</v>
          </cell>
          <cell r="E9">
            <v>5.8999999999999999E-3</v>
          </cell>
          <cell r="F9">
            <v>6.1600000000000002E-2</v>
          </cell>
          <cell r="G9">
            <v>0.05</v>
          </cell>
        </row>
        <row r="10">
          <cell r="A10" t="str">
            <v>Obras de Menor Complexidade (Praças, Calçadas, Ciclovias, Meios Fios, Quiosques e Obras Correlatas)</v>
          </cell>
          <cell r="B10">
            <v>0.03</v>
          </cell>
          <cell r="C10">
            <v>8.0000000000000002E-3</v>
          </cell>
          <cell r="D10">
            <v>9.7000000000000003E-3</v>
          </cell>
          <cell r="E10">
            <v>5.8999999999999999E-3</v>
          </cell>
          <cell r="F10">
            <v>6.1600000000000002E-2</v>
          </cell>
          <cell r="G10">
            <v>0.01</v>
          </cell>
        </row>
        <row r="11">
          <cell r="A11" t="str">
            <v>Fornecimento de Materiais Betuminosos e Outros Materiais e Equipamentos de Grande Relevância de Natureza Específica</v>
          </cell>
          <cell r="B11">
            <v>1.4999999999999999E-2</v>
          </cell>
          <cell r="C11">
            <v>3.0000000000000001E-3</v>
          </cell>
          <cell r="D11">
            <v>5.5999999999999999E-3</v>
          </cell>
          <cell r="E11">
            <v>8.5000000000000006E-3</v>
          </cell>
          <cell r="F11">
            <v>3.5000000000000003E-2</v>
          </cell>
          <cell r="G11">
            <v>0</v>
          </cell>
        </row>
      </sheetData>
      <sheetData sheetId="17"/>
      <sheetData sheetId="18"/>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3" Type="http://schemas.openxmlformats.org/officeDocument/2006/relationships/hyperlink" Target="mailto:atendimento.acom@americanas.com" TargetMode="External"/><Relationship Id="rId18" Type="http://schemas.openxmlformats.org/officeDocument/2006/relationships/hyperlink" Target="mailto:atendimento.acom@americanas.com" TargetMode="External"/><Relationship Id="rId26" Type="http://schemas.openxmlformats.org/officeDocument/2006/relationships/hyperlink" Target="mailto:vendasvirtual@ccpvirtual.com.br" TargetMode="External"/><Relationship Id="rId39" Type="http://schemas.openxmlformats.org/officeDocument/2006/relationships/hyperlink" Target="mailto:atendimento.acom@americanas.com" TargetMode="External"/><Relationship Id="rId21" Type="http://schemas.openxmlformats.org/officeDocument/2006/relationships/hyperlink" Target="mailto:sac@parafusofacil.com.br" TargetMode="External"/><Relationship Id="rId34" Type="http://schemas.openxmlformats.org/officeDocument/2006/relationships/hyperlink" Target="mailto:contato@compraco.com.br" TargetMode="External"/><Relationship Id="rId42" Type="http://schemas.openxmlformats.org/officeDocument/2006/relationships/hyperlink" Target="mailto:jbcasadosparafusosfranca@gmail.com" TargetMode="External"/><Relationship Id="rId47" Type="http://schemas.openxmlformats.org/officeDocument/2006/relationships/hyperlink" Target="mailto:atendimento.acom@americanas.com" TargetMode="External"/><Relationship Id="rId50" Type="http://schemas.openxmlformats.org/officeDocument/2006/relationships/hyperlink" Target="mailto:lp.vendas@yahoo.com" TargetMode="External"/><Relationship Id="rId55" Type="http://schemas.openxmlformats.org/officeDocument/2006/relationships/hyperlink" Target="mailto:sac@parafusofacil.com.br" TargetMode="External"/><Relationship Id="rId63" Type="http://schemas.openxmlformats.org/officeDocument/2006/relationships/hyperlink" Target="mailto:sac@eletrofrigor.email" TargetMode="External"/><Relationship Id="rId68" Type="http://schemas.openxmlformats.org/officeDocument/2006/relationships/hyperlink" Target="mailto:gravametal@gmail.com" TargetMode="External"/><Relationship Id="rId76" Type="http://schemas.openxmlformats.org/officeDocument/2006/relationships/hyperlink" Target="mailto:vendas@placstilo.com.br" TargetMode="External"/><Relationship Id="rId84" Type="http://schemas.openxmlformats.org/officeDocument/2006/relationships/hyperlink" Target="http://www.submarino.com.br/" TargetMode="External"/><Relationship Id="rId89" Type="http://schemas.openxmlformats.org/officeDocument/2006/relationships/hyperlink" Target="http://www.magazineluiza.com.br/" TargetMode="External"/><Relationship Id="rId7" Type="http://schemas.openxmlformats.org/officeDocument/2006/relationships/hyperlink" Target="mailto:vendasvirtual@ccpvirtual.com.br" TargetMode="External"/><Relationship Id="rId71" Type="http://schemas.openxmlformats.org/officeDocument/2006/relationships/hyperlink" Target="mailto:vendas@placstilo.com.br" TargetMode="External"/><Relationship Id="rId92" Type="http://schemas.openxmlformats.org/officeDocument/2006/relationships/drawing" Target="../drawings/drawing6.xml"/><Relationship Id="rId2" Type="http://schemas.openxmlformats.org/officeDocument/2006/relationships/hyperlink" Target="mailto:orcamentogruporca@gmail.com" TargetMode="External"/><Relationship Id="rId16" Type="http://schemas.openxmlformats.org/officeDocument/2006/relationships/hyperlink" Target="mailto:lp.vendas@yahoo.com" TargetMode="External"/><Relationship Id="rId29" Type="http://schemas.openxmlformats.org/officeDocument/2006/relationships/hyperlink" Target="mailto:sac@eletrofrigor.email" TargetMode="External"/><Relationship Id="rId11" Type="http://schemas.openxmlformats.org/officeDocument/2006/relationships/hyperlink" Target="mailto:sac@amegaloja.com.br" TargetMode="External"/><Relationship Id="rId24" Type="http://schemas.openxmlformats.org/officeDocument/2006/relationships/hyperlink" Target="mailto:nfo@balizatech.com.br" TargetMode="External"/><Relationship Id="rId32" Type="http://schemas.openxmlformats.org/officeDocument/2006/relationships/hyperlink" Target="mailto:gravametal@gmail.com" TargetMode="External"/><Relationship Id="rId37" Type="http://schemas.openxmlformats.org/officeDocument/2006/relationships/hyperlink" Target="mailto:comercial@borealled.com.br" TargetMode="External"/><Relationship Id="rId40" Type="http://schemas.openxmlformats.org/officeDocument/2006/relationships/hyperlink" Target="http://www.submarino.com.br/" TargetMode="External"/><Relationship Id="rId45" Type="http://schemas.openxmlformats.org/officeDocument/2006/relationships/hyperlink" Target="mailto:sac@amegaloja.com.br" TargetMode="External"/><Relationship Id="rId53" Type="http://schemas.openxmlformats.org/officeDocument/2006/relationships/hyperlink" Target="mailto:contato@chamorrotambores.com.br" TargetMode="External"/><Relationship Id="rId58" Type="http://schemas.openxmlformats.org/officeDocument/2006/relationships/hyperlink" Target="mailto:nfo@balizatech.com.br" TargetMode="External"/><Relationship Id="rId66" Type="http://schemas.openxmlformats.org/officeDocument/2006/relationships/hyperlink" Target="mailto:gravametal@gmail.com" TargetMode="External"/><Relationship Id="rId74" Type="http://schemas.openxmlformats.org/officeDocument/2006/relationships/hyperlink" Target="mailto:site@equinautic.com.br" TargetMode="External"/><Relationship Id="rId79" Type="http://schemas.openxmlformats.org/officeDocument/2006/relationships/hyperlink" Target="mailto:atendimento.acom@americanas.com" TargetMode="External"/><Relationship Id="rId87" Type="http://schemas.openxmlformats.org/officeDocument/2006/relationships/hyperlink" Target="mailto:vendas1@damatasolar.com.br" TargetMode="External"/><Relationship Id="rId5" Type="http://schemas.openxmlformats.org/officeDocument/2006/relationships/hyperlink" Target="mailto:atendimento.acom@americanas.com" TargetMode="External"/><Relationship Id="rId61" Type="http://schemas.openxmlformats.org/officeDocument/2006/relationships/hyperlink" Target="mailto:vendasvirtual@ccpvirtual.com.br" TargetMode="External"/><Relationship Id="rId82" Type="http://schemas.openxmlformats.org/officeDocument/2006/relationships/hyperlink" Target="mailto:atendimento@carrefour.com.br" TargetMode="External"/><Relationship Id="rId90" Type="http://schemas.openxmlformats.org/officeDocument/2006/relationships/hyperlink" Target="http://www.magazineluiza.com.br/" TargetMode="External"/><Relationship Id="rId19" Type="http://schemas.openxmlformats.org/officeDocument/2006/relationships/hyperlink" Target="mailto:contato@chamorrotambores.com.br" TargetMode="External"/><Relationship Id="rId14" Type="http://schemas.openxmlformats.org/officeDocument/2006/relationships/hyperlink" Target="mailto:atendimento@judycabos.com.br" TargetMode="External"/><Relationship Id="rId22" Type="http://schemas.openxmlformats.org/officeDocument/2006/relationships/hyperlink" Target="mailto:contato@mecapar.com.br" TargetMode="External"/><Relationship Id="rId27" Type="http://schemas.openxmlformats.org/officeDocument/2006/relationships/hyperlink" Target="mailto:vendasvirtual@ccpvirtual.com.br" TargetMode="External"/><Relationship Id="rId30" Type="http://schemas.openxmlformats.org/officeDocument/2006/relationships/hyperlink" Target="mailto:ebberplotagem@gmail.com" TargetMode="External"/><Relationship Id="rId35" Type="http://schemas.openxmlformats.org/officeDocument/2006/relationships/hyperlink" Target="http://www.iluminim.com.br/refletor" TargetMode="External"/><Relationship Id="rId43" Type="http://schemas.openxmlformats.org/officeDocument/2006/relationships/hyperlink" Target="mailto:atendimento.acom@americanas.com" TargetMode="External"/><Relationship Id="rId48" Type="http://schemas.openxmlformats.org/officeDocument/2006/relationships/hyperlink" Target="mailto:atendimento@judycabos.com.br" TargetMode="External"/><Relationship Id="rId56" Type="http://schemas.openxmlformats.org/officeDocument/2006/relationships/hyperlink" Target="mailto:contato@mecapar.com.br" TargetMode="External"/><Relationship Id="rId64" Type="http://schemas.openxmlformats.org/officeDocument/2006/relationships/hyperlink" Target="mailto:ebberplotagem@gmail.com" TargetMode="External"/><Relationship Id="rId69" Type="http://schemas.openxmlformats.org/officeDocument/2006/relationships/hyperlink" Target="mailto:vendas@placstilo.com.br" TargetMode="External"/><Relationship Id="rId77" Type="http://schemas.openxmlformats.org/officeDocument/2006/relationships/hyperlink" Target="mailto:gravametal@gmail.com" TargetMode="External"/><Relationship Id="rId8" Type="http://schemas.openxmlformats.org/officeDocument/2006/relationships/hyperlink" Target="mailto:jbcasadosparafusosfranca@gmail.com" TargetMode="External"/><Relationship Id="rId51" Type="http://schemas.openxmlformats.org/officeDocument/2006/relationships/hyperlink" Target="http://www.extra.com.br/" TargetMode="External"/><Relationship Id="rId72" Type="http://schemas.openxmlformats.org/officeDocument/2006/relationships/hyperlink" Target="mailto:contato@compraco.com.br" TargetMode="External"/><Relationship Id="rId80" Type="http://schemas.openxmlformats.org/officeDocument/2006/relationships/hyperlink" Target="mailto:atendimento.acom@americanas.com" TargetMode="External"/><Relationship Id="rId85" Type="http://schemas.openxmlformats.org/officeDocument/2006/relationships/hyperlink" Target="http://www.magazineluiza.com.br/" TargetMode="External"/><Relationship Id="rId93" Type="http://schemas.openxmlformats.org/officeDocument/2006/relationships/vmlDrawing" Target="../drawings/vmlDrawing6.vml"/><Relationship Id="rId3" Type="http://schemas.openxmlformats.org/officeDocument/2006/relationships/hyperlink" Target="mailto:comercial@borealled.com.br" TargetMode="External"/><Relationship Id="rId12" Type="http://schemas.openxmlformats.org/officeDocument/2006/relationships/hyperlink" Target="http://www.submarino.com.br/" TargetMode="External"/><Relationship Id="rId17" Type="http://schemas.openxmlformats.org/officeDocument/2006/relationships/hyperlink" Target="http://www.extra.com.br/" TargetMode="External"/><Relationship Id="rId25" Type="http://schemas.openxmlformats.org/officeDocument/2006/relationships/hyperlink" Target="http://www.extra.com.br/" TargetMode="External"/><Relationship Id="rId33" Type="http://schemas.openxmlformats.org/officeDocument/2006/relationships/hyperlink" Target="mailto:vendas@placstilo.com.br" TargetMode="External"/><Relationship Id="rId38" Type="http://schemas.openxmlformats.org/officeDocument/2006/relationships/hyperlink" Target="mailto:vendasvirtual@ccpvirtual.com.br" TargetMode="External"/><Relationship Id="rId46" Type="http://schemas.openxmlformats.org/officeDocument/2006/relationships/hyperlink" Target="http://www.submarino.com.br/" TargetMode="External"/><Relationship Id="rId59" Type="http://schemas.openxmlformats.org/officeDocument/2006/relationships/hyperlink" Target="http://www.extra.com.br/" TargetMode="External"/><Relationship Id="rId67" Type="http://schemas.openxmlformats.org/officeDocument/2006/relationships/hyperlink" Target="mailto:gravametal@gmail.com" TargetMode="External"/><Relationship Id="rId20" Type="http://schemas.openxmlformats.org/officeDocument/2006/relationships/hyperlink" Target="mailto:vendas@infraeletrocalhas.com.br" TargetMode="External"/><Relationship Id="rId41" Type="http://schemas.openxmlformats.org/officeDocument/2006/relationships/hyperlink" Target="mailto:vendasvirtual@ccpvirtual.com.br" TargetMode="External"/><Relationship Id="rId54" Type="http://schemas.openxmlformats.org/officeDocument/2006/relationships/hyperlink" Target="mailto:vendas@infraeletrocalhas.com.br" TargetMode="External"/><Relationship Id="rId62" Type="http://schemas.openxmlformats.org/officeDocument/2006/relationships/hyperlink" Target="mailto:orionfiltros@gmail.com" TargetMode="External"/><Relationship Id="rId70" Type="http://schemas.openxmlformats.org/officeDocument/2006/relationships/hyperlink" Target="mailto:vendas@placstilo.com.br" TargetMode="External"/><Relationship Id="rId75" Type="http://schemas.openxmlformats.org/officeDocument/2006/relationships/hyperlink" Target="mailto:gravametal@gmail.com" TargetMode="External"/><Relationship Id="rId83" Type="http://schemas.openxmlformats.org/officeDocument/2006/relationships/hyperlink" Target="http://www.submarino.com.br/" TargetMode="External"/><Relationship Id="rId88" Type="http://schemas.openxmlformats.org/officeDocument/2006/relationships/hyperlink" Target="mailto:vendas1@damatasolar.com.br" TargetMode="External"/><Relationship Id="rId91" Type="http://schemas.openxmlformats.org/officeDocument/2006/relationships/printerSettings" Target="../printerSettings/printerSettings8.bin"/><Relationship Id="rId1" Type="http://schemas.openxmlformats.org/officeDocument/2006/relationships/hyperlink" Target="http://www.iluminim.com.br/refletor" TargetMode="External"/><Relationship Id="rId6" Type="http://schemas.openxmlformats.org/officeDocument/2006/relationships/hyperlink" Target="http://www.submarino.com.br/" TargetMode="External"/><Relationship Id="rId15" Type="http://schemas.openxmlformats.org/officeDocument/2006/relationships/hyperlink" Target="mailto:atendimento@judycabos.com.br" TargetMode="External"/><Relationship Id="rId23" Type="http://schemas.openxmlformats.org/officeDocument/2006/relationships/hyperlink" Target="mailto:comercial@catarinanautica.com" TargetMode="External"/><Relationship Id="rId28" Type="http://schemas.openxmlformats.org/officeDocument/2006/relationships/hyperlink" Target="mailto:orionfiltros@gmail.com" TargetMode="External"/><Relationship Id="rId36" Type="http://schemas.openxmlformats.org/officeDocument/2006/relationships/hyperlink" Target="mailto:orcamentogruporca@gmail.com" TargetMode="External"/><Relationship Id="rId49" Type="http://schemas.openxmlformats.org/officeDocument/2006/relationships/hyperlink" Target="mailto:atendimento@judycabos.com.br" TargetMode="External"/><Relationship Id="rId57" Type="http://schemas.openxmlformats.org/officeDocument/2006/relationships/hyperlink" Target="mailto:comercial@catarinanautica.com" TargetMode="External"/><Relationship Id="rId10" Type="http://schemas.openxmlformats.org/officeDocument/2006/relationships/hyperlink" Target="mailto:vendasvirtual@ccpvirtual.com.br" TargetMode="External"/><Relationship Id="rId31" Type="http://schemas.openxmlformats.org/officeDocument/2006/relationships/hyperlink" Target="mailto:igplotergrafica@gmail.com" TargetMode="External"/><Relationship Id="rId44" Type="http://schemas.openxmlformats.org/officeDocument/2006/relationships/hyperlink" Target="mailto:vendasvirtual@ccpvirtual.com.br" TargetMode="External"/><Relationship Id="rId52" Type="http://schemas.openxmlformats.org/officeDocument/2006/relationships/hyperlink" Target="mailto:atendimento.acom@americanas.com" TargetMode="External"/><Relationship Id="rId60" Type="http://schemas.openxmlformats.org/officeDocument/2006/relationships/hyperlink" Target="mailto:vendasvirtual@ccpvirtual.com.br" TargetMode="External"/><Relationship Id="rId65" Type="http://schemas.openxmlformats.org/officeDocument/2006/relationships/hyperlink" Target="mailto:igplotergrafica@gmail.com" TargetMode="External"/><Relationship Id="rId73" Type="http://schemas.openxmlformats.org/officeDocument/2006/relationships/hyperlink" Target="mailto:site@equinautic.com.br" TargetMode="External"/><Relationship Id="rId78" Type="http://schemas.openxmlformats.org/officeDocument/2006/relationships/hyperlink" Target="mailto:vendas@placstilo.com.br" TargetMode="External"/><Relationship Id="rId81" Type="http://schemas.openxmlformats.org/officeDocument/2006/relationships/hyperlink" Target="mailto:atendimento@carrefour.com.br" TargetMode="External"/><Relationship Id="rId86" Type="http://schemas.openxmlformats.org/officeDocument/2006/relationships/hyperlink" Target="http://www.magazineluiza.com.br/" TargetMode="External"/><Relationship Id="rId94" Type="http://schemas.openxmlformats.org/officeDocument/2006/relationships/comments" Target="../comments6.xml"/><Relationship Id="rId4" Type="http://schemas.openxmlformats.org/officeDocument/2006/relationships/hyperlink" Target="mailto:vendasvirtual@ccpvirtual.com.br" TargetMode="External"/><Relationship Id="rId9" Type="http://schemas.openxmlformats.org/officeDocument/2006/relationships/hyperlink" Target="mailto:atendimento.acom@americanas.com" TargetMode="External"/></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7.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13" Type="http://schemas.openxmlformats.org/officeDocument/2006/relationships/oleObject" Target="../embeddings/oleObject10.bin"/><Relationship Id="rId18" Type="http://schemas.openxmlformats.org/officeDocument/2006/relationships/oleObject" Target="../embeddings/oleObject15.bin"/><Relationship Id="rId26" Type="http://schemas.openxmlformats.org/officeDocument/2006/relationships/oleObject" Target="../embeddings/oleObject23.bin"/><Relationship Id="rId39" Type="http://schemas.openxmlformats.org/officeDocument/2006/relationships/oleObject" Target="../embeddings/oleObject36.bin"/><Relationship Id="rId21" Type="http://schemas.openxmlformats.org/officeDocument/2006/relationships/oleObject" Target="../embeddings/oleObject18.bin"/><Relationship Id="rId34" Type="http://schemas.openxmlformats.org/officeDocument/2006/relationships/oleObject" Target="../embeddings/oleObject31.bin"/><Relationship Id="rId42" Type="http://schemas.openxmlformats.org/officeDocument/2006/relationships/oleObject" Target="../embeddings/oleObject39.bin"/><Relationship Id="rId47" Type="http://schemas.openxmlformats.org/officeDocument/2006/relationships/oleObject" Target="../embeddings/oleObject44.bin"/><Relationship Id="rId50" Type="http://schemas.openxmlformats.org/officeDocument/2006/relationships/oleObject" Target="../embeddings/oleObject47.bin"/><Relationship Id="rId55" Type="http://schemas.openxmlformats.org/officeDocument/2006/relationships/oleObject" Target="../embeddings/oleObject52.bin"/><Relationship Id="rId63" Type="http://schemas.openxmlformats.org/officeDocument/2006/relationships/oleObject" Target="../embeddings/oleObject60.bin"/><Relationship Id="rId7" Type="http://schemas.openxmlformats.org/officeDocument/2006/relationships/oleObject" Target="../embeddings/oleObject4.bin"/><Relationship Id="rId2" Type="http://schemas.openxmlformats.org/officeDocument/2006/relationships/drawing" Target="../drawings/drawing8.xml"/><Relationship Id="rId16" Type="http://schemas.openxmlformats.org/officeDocument/2006/relationships/oleObject" Target="../embeddings/oleObject13.bin"/><Relationship Id="rId20" Type="http://schemas.openxmlformats.org/officeDocument/2006/relationships/oleObject" Target="../embeddings/oleObject17.bin"/><Relationship Id="rId29" Type="http://schemas.openxmlformats.org/officeDocument/2006/relationships/oleObject" Target="../embeddings/oleObject26.bin"/><Relationship Id="rId41" Type="http://schemas.openxmlformats.org/officeDocument/2006/relationships/oleObject" Target="../embeddings/oleObject38.bin"/><Relationship Id="rId54" Type="http://schemas.openxmlformats.org/officeDocument/2006/relationships/oleObject" Target="../embeddings/oleObject51.bin"/><Relationship Id="rId62" Type="http://schemas.openxmlformats.org/officeDocument/2006/relationships/oleObject" Target="../embeddings/oleObject59.bin"/><Relationship Id="rId1" Type="http://schemas.openxmlformats.org/officeDocument/2006/relationships/printerSettings" Target="../printerSettings/printerSettings11.bin"/><Relationship Id="rId6" Type="http://schemas.openxmlformats.org/officeDocument/2006/relationships/oleObject" Target="../embeddings/oleObject3.bin"/><Relationship Id="rId11" Type="http://schemas.openxmlformats.org/officeDocument/2006/relationships/oleObject" Target="../embeddings/oleObject8.bin"/><Relationship Id="rId24" Type="http://schemas.openxmlformats.org/officeDocument/2006/relationships/oleObject" Target="../embeddings/oleObject21.bin"/><Relationship Id="rId32" Type="http://schemas.openxmlformats.org/officeDocument/2006/relationships/oleObject" Target="../embeddings/oleObject29.bin"/><Relationship Id="rId37" Type="http://schemas.openxmlformats.org/officeDocument/2006/relationships/oleObject" Target="../embeddings/oleObject34.bin"/><Relationship Id="rId40" Type="http://schemas.openxmlformats.org/officeDocument/2006/relationships/oleObject" Target="../embeddings/oleObject37.bin"/><Relationship Id="rId45" Type="http://schemas.openxmlformats.org/officeDocument/2006/relationships/oleObject" Target="../embeddings/oleObject42.bin"/><Relationship Id="rId53" Type="http://schemas.openxmlformats.org/officeDocument/2006/relationships/oleObject" Target="../embeddings/oleObject50.bin"/><Relationship Id="rId58" Type="http://schemas.openxmlformats.org/officeDocument/2006/relationships/oleObject" Target="../embeddings/oleObject55.bin"/><Relationship Id="rId66" Type="http://schemas.openxmlformats.org/officeDocument/2006/relationships/comments" Target="../comments9.xml"/><Relationship Id="rId5" Type="http://schemas.openxmlformats.org/officeDocument/2006/relationships/oleObject" Target="../embeddings/oleObject2.bin"/><Relationship Id="rId15" Type="http://schemas.openxmlformats.org/officeDocument/2006/relationships/oleObject" Target="../embeddings/oleObject12.bin"/><Relationship Id="rId23" Type="http://schemas.openxmlformats.org/officeDocument/2006/relationships/oleObject" Target="../embeddings/oleObject20.bin"/><Relationship Id="rId28" Type="http://schemas.openxmlformats.org/officeDocument/2006/relationships/oleObject" Target="../embeddings/oleObject25.bin"/><Relationship Id="rId36" Type="http://schemas.openxmlformats.org/officeDocument/2006/relationships/oleObject" Target="../embeddings/oleObject33.bin"/><Relationship Id="rId49" Type="http://schemas.openxmlformats.org/officeDocument/2006/relationships/oleObject" Target="../embeddings/oleObject46.bin"/><Relationship Id="rId57" Type="http://schemas.openxmlformats.org/officeDocument/2006/relationships/oleObject" Target="../embeddings/oleObject54.bin"/><Relationship Id="rId61" Type="http://schemas.openxmlformats.org/officeDocument/2006/relationships/oleObject" Target="../embeddings/oleObject58.bin"/><Relationship Id="rId10" Type="http://schemas.openxmlformats.org/officeDocument/2006/relationships/oleObject" Target="../embeddings/oleObject7.bin"/><Relationship Id="rId19" Type="http://schemas.openxmlformats.org/officeDocument/2006/relationships/oleObject" Target="../embeddings/oleObject16.bin"/><Relationship Id="rId31" Type="http://schemas.openxmlformats.org/officeDocument/2006/relationships/oleObject" Target="../embeddings/oleObject28.bin"/><Relationship Id="rId44" Type="http://schemas.openxmlformats.org/officeDocument/2006/relationships/oleObject" Target="../embeddings/oleObject41.bin"/><Relationship Id="rId52" Type="http://schemas.openxmlformats.org/officeDocument/2006/relationships/oleObject" Target="../embeddings/oleObject49.bin"/><Relationship Id="rId60" Type="http://schemas.openxmlformats.org/officeDocument/2006/relationships/oleObject" Target="../embeddings/oleObject57.bin"/><Relationship Id="rId65" Type="http://schemas.openxmlformats.org/officeDocument/2006/relationships/oleObject" Target="../embeddings/oleObject62.bin"/><Relationship Id="rId4" Type="http://schemas.openxmlformats.org/officeDocument/2006/relationships/oleObject" Target="../embeddings/oleObject1.bin"/><Relationship Id="rId9" Type="http://schemas.openxmlformats.org/officeDocument/2006/relationships/oleObject" Target="../embeddings/oleObject6.bin"/><Relationship Id="rId14" Type="http://schemas.openxmlformats.org/officeDocument/2006/relationships/oleObject" Target="../embeddings/oleObject11.bin"/><Relationship Id="rId22" Type="http://schemas.openxmlformats.org/officeDocument/2006/relationships/oleObject" Target="../embeddings/oleObject19.bin"/><Relationship Id="rId27" Type="http://schemas.openxmlformats.org/officeDocument/2006/relationships/oleObject" Target="../embeddings/oleObject24.bin"/><Relationship Id="rId30" Type="http://schemas.openxmlformats.org/officeDocument/2006/relationships/oleObject" Target="../embeddings/oleObject27.bin"/><Relationship Id="rId35" Type="http://schemas.openxmlformats.org/officeDocument/2006/relationships/oleObject" Target="../embeddings/oleObject32.bin"/><Relationship Id="rId43" Type="http://schemas.openxmlformats.org/officeDocument/2006/relationships/oleObject" Target="../embeddings/oleObject40.bin"/><Relationship Id="rId48" Type="http://schemas.openxmlformats.org/officeDocument/2006/relationships/oleObject" Target="../embeddings/oleObject45.bin"/><Relationship Id="rId56" Type="http://schemas.openxmlformats.org/officeDocument/2006/relationships/oleObject" Target="../embeddings/oleObject53.bin"/><Relationship Id="rId64" Type="http://schemas.openxmlformats.org/officeDocument/2006/relationships/oleObject" Target="../embeddings/oleObject61.bin"/><Relationship Id="rId8" Type="http://schemas.openxmlformats.org/officeDocument/2006/relationships/oleObject" Target="../embeddings/oleObject5.bin"/><Relationship Id="rId51" Type="http://schemas.openxmlformats.org/officeDocument/2006/relationships/oleObject" Target="../embeddings/oleObject48.bin"/><Relationship Id="rId3" Type="http://schemas.openxmlformats.org/officeDocument/2006/relationships/vmlDrawing" Target="../drawings/vmlDrawing9.vml"/><Relationship Id="rId12" Type="http://schemas.openxmlformats.org/officeDocument/2006/relationships/oleObject" Target="../embeddings/oleObject9.bin"/><Relationship Id="rId17" Type="http://schemas.openxmlformats.org/officeDocument/2006/relationships/oleObject" Target="../embeddings/oleObject14.bin"/><Relationship Id="rId25" Type="http://schemas.openxmlformats.org/officeDocument/2006/relationships/oleObject" Target="../embeddings/oleObject22.bin"/><Relationship Id="rId33" Type="http://schemas.openxmlformats.org/officeDocument/2006/relationships/oleObject" Target="../embeddings/oleObject30.bin"/><Relationship Id="rId38" Type="http://schemas.openxmlformats.org/officeDocument/2006/relationships/oleObject" Target="../embeddings/oleObject35.bin"/><Relationship Id="rId46" Type="http://schemas.openxmlformats.org/officeDocument/2006/relationships/oleObject" Target="../embeddings/oleObject43.bin"/><Relationship Id="rId59" Type="http://schemas.openxmlformats.org/officeDocument/2006/relationships/oleObject" Target="../embeddings/oleObject5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sheetPr>
    <tabColor rgb="FFFF0000"/>
    <pageSetUpPr fitToPage="1"/>
  </sheetPr>
  <dimension ref="A1:K51"/>
  <sheetViews>
    <sheetView showGridLines="0" view="pageBreakPreview" topLeftCell="A32" zoomScaleNormal="100" zoomScaleSheetLayoutView="100" workbookViewId="0">
      <selection activeCell="K40" sqref="K40"/>
    </sheetView>
  </sheetViews>
  <sheetFormatPr defaultRowHeight="15"/>
  <cols>
    <col min="1" max="1" width="2.7109375" style="7" customWidth="1"/>
    <col min="2" max="2" width="21.7109375" style="7" customWidth="1"/>
    <col min="3" max="3" width="50.140625" style="7" customWidth="1"/>
    <col min="4" max="4" width="23.42578125" style="7" customWidth="1"/>
    <col min="5" max="6" width="2.7109375" style="7" customWidth="1"/>
    <col min="7" max="7" width="15.85546875" style="7" bestFit="1" customWidth="1"/>
    <col min="8" max="8" width="9.140625" style="7"/>
    <col min="9" max="11" width="15.85546875" style="7" bestFit="1" customWidth="1"/>
    <col min="12" max="256" width="9.140625" style="7"/>
    <col min="257" max="257" width="2.7109375" style="7" customWidth="1"/>
    <col min="258" max="258" width="20.140625" style="7" customWidth="1"/>
    <col min="259" max="259" width="50.140625" style="7" customWidth="1"/>
    <col min="260" max="260" width="23.42578125" style="7" customWidth="1"/>
    <col min="261" max="262" width="2.7109375" style="7" customWidth="1"/>
    <col min="263" max="263" width="15.28515625" style="7" bestFit="1" customWidth="1"/>
    <col min="264" max="264" width="9.140625" style="7"/>
    <col min="265" max="265" width="11.28515625" style="7" bestFit="1" customWidth="1"/>
    <col min="266" max="512" width="9.140625" style="7"/>
    <col min="513" max="513" width="2.7109375" style="7" customWidth="1"/>
    <col min="514" max="514" width="20.140625" style="7" customWidth="1"/>
    <col min="515" max="515" width="50.140625" style="7" customWidth="1"/>
    <col min="516" max="516" width="23.42578125" style="7" customWidth="1"/>
    <col min="517" max="518" width="2.7109375" style="7" customWidth="1"/>
    <col min="519" max="519" width="15.28515625" style="7" bestFit="1" customWidth="1"/>
    <col min="520" max="520" width="9.140625" style="7"/>
    <col min="521" max="521" width="11.28515625" style="7" bestFit="1" customWidth="1"/>
    <col min="522" max="768" width="9.140625" style="7"/>
    <col min="769" max="769" width="2.7109375" style="7" customWidth="1"/>
    <col min="770" max="770" width="20.140625" style="7" customWidth="1"/>
    <col min="771" max="771" width="50.140625" style="7" customWidth="1"/>
    <col min="772" max="772" width="23.42578125" style="7" customWidth="1"/>
    <col min="773" max="774" width="2.7109375" style="7" customWidth="1"/>
    <col min="775" max="775" width="15.28515625" style="7" bestFit="1" customWidth="1"/>
    <col min="776" max="776" width="9.140625" style="7"/>
    <col min="777" max="777" width="11.28515625" style="7" bestFit="1" customWidth="1"/>
    <col min="778" max="1024" width="9.140625" style="7"/>
    <col min="1025" max="1025" width="2.7109375" style="7" customWidth="1"/>
    <col min="1026" max="1026" width="20.140625" style="7" customWidth="1"/>
    <col min="1027" max="1027" width="50.140625" style="7" customWidth="1"/>
    <col min="1028" max="1028" width="23.42578125" style="7" customWidth="1"/>
    <col min="1029" max="1030" width="2.7109375" style="7" customWidth="1"/>
    <col min="1031" max="1031" width="15.28515625" style="7" bestFit="1" customWidth="1"/>
    <col min="1032" max="1032" width="9.140625" style="7"/>
    <col min="1033" max="1033" width="11.28515625" style="7" bestFit="1" customWidth="1"/>
    <col min="1034" max="1280" width="9.140625" style="7"/>
    <col min="1281" max="1281" width="2.7109375" style="7" customWidth="1"/>
    <col min="1282" max="1282" width="20.140625" style="7" customWidth="1"/>
    <col min="1283" max="1283" width="50.140625" style="7" customWidth="1"/>
    <col min="1284" max="1284" width="23.42578125" style="7" customWidth="1"/>
    <col min="1285" max="1286" width="2.7109375" style="7" customWidth="1"/>
    <col min="1287" max="1287" width="15.28515625" style="7" bestFit="1" customWidth="1"/>
    <col min="1288" max="1288" width="9.140625" style="7"/>
    <col min="1289" max="1289" width="11.28515625" style="7" bestFit="1" customWidth="1"/>
    <col min="1290" max="1536" width="9.140625" style="7"/>
    <col min="1537" max="1537" width="2.7109375" style="7" customWidth="1"/>
    <col min="1538" max="1538" width="20.140625" style="7" customWidth="1"/>
    <col min="1539" max="1539" width="50.140625" style="7" customWidth="1"/>
    <col min="1540" max="1540" width="23.42578125" style="7" customWidth="1"/>
    <col min="1541" max="1542" width="2.7109375" style="7" customWidth="1"/>
    <col min="1543" max="1543" width="15.28515625" style="7" bestFit="1" customWidth="1"/>
    <col min="1544" max="1544" width="9.140625" style="7"/>
    <col min="1545" max="1545" width="11.28515625" style="7" bestFit="1" customWidth="1"/>
    <col min="1546" max="1792" width="9.140625" style="7"/>
    <col min="1793" max="1793" width="2.7109375" style="7" customWidth="1"/>
    <col min="1794" max="1794" width="20.140625" style="7" customWidth="1"/>
    <col min="1795" max="1795" width="50.140625" style="7" customWidth="1"/>
    <col min="1796" max="1796" width="23.42578125" style="7" customWidth="1"/>
    <col min="1797" max="1798" width="2.7109375" style="7" customWidth="1"/>
    <col min="1799" max="1799" width="15.28515625" style="7" bestFit="1" customWidth="1"/>
    <col min="1800" max="1800" width="9.140625" style="7"/>
    <col min="1801" max="1801" width="11.28515625" style="7" bestFit="1" customWidth="1"/>
    <col min="1802" max="2048" width="9.140625" style="7"/>
    <col min="2049" max="2049" width="2.7109375" style="7" customWidth="1"/>
    <col min="2050" max="2050" width="20.140625" style="7" customWidth="1"/>
    <col min="2051" max="2051" width="50.140625" style="7" customWidth="1"/>
    <col min="2052" max="2052" width="23.42578125" style="7" customWidth="1"/>
    <col min="2053" max="2054" width="2.7109375" style="7" customWidth="1"/>
    <col min="2055" max="2055" width="15.28515625" style="7" bestFit="1" customWidth="1"/>
    <col min="2056" max="2056" width="9.140625" style="7"/>
    <col min="2057" max="2057" width="11.28515625" style="7" bestFit="1" customWidth="1"/>
    <col min="2058" max="2304" width="9.140625" style="7"/>
    <col min="2305" max="2305" width="2.7109375" style="7" customWidth="1"/>
    <col min="2306" max="2306" width="20.140625" style="7" customWidth="1"/>
    <col min="2307" max="2307" width="50.140625" style="7" customWidth="1"/>
    <col min="2308" max="2308" width="23.42578125" style="7" customWidth="1"/>
    <col min="2309" max="2310" width="2.7109375" style="7" customWidth="1"/>
    <col min="2311" max="2311" width="15.28515625" style="7" bestFit="1" customWidth="1"/>
    <col min="2312" max="2312" width="9.140625" style="7"/>
    <col min="2313" max="2313" width="11.28515625" style="7" bestFit="1" customWidth="1"/>
    <col min="2314" max="2560" width="9.140625" style="7"/>
    <col min="2561" max="2561" width="2.7109375" style="7" customWidth="1"/>
    <col min="2562" max="2562" width="20.140625" style="7" customWidth="1"/>
    <col min="2563" max="2563" width="50.140625" style="7" customWidth="1"/>
    <col min="2564" max="2564" width="23.42578125" style="7" customWidth="1"/>
    <col min="2565" max="2566" width="2.7109375" style="7" customWidth="1"/>
    <col min="2567" max="2567" width="15.28515625" style="7" bestFit="1" customWidth="1"/>
    <col min="2568" max="2568" width="9.140625" style="7"/>
    <col min="2569" max="2569" width="11.28515625" style="7" bestFit="1" customWidth="1"/>
    <col min="2570" max="2816" width="9.140625" style="7"/>
    <col min="2817" max="2817" width="2.7109375" style="7" customWidth="1"/>
    <col min="2818" max="2818" width="20.140625" style="7" customWidth="1"/>
    <col min="2819" max="2819" width="50.140625" style="7" customWidth="1"/>
    <col min="2820" max="2820" width="23.42578125" style="7" customWidth="1"/>
    <col min="2821" max="2822" width="2.7109375" style="7" customWidth="1"/>
    <col min="2823" max="2823" width="15.28515625" style="7" bestFit="1" customWidth="1"/>
    <col min="2824" max="2824" width="9.140625" style="7"/>
    <col min="2825" max="2825" width="11.28515625" style="7" bestFit="1" customWidth="1"/>
    <col min="2826" max="3072" width="9.140625" style="7"/>
    <col min="3073" max="3073" width="2.7109375" style="7" customWidth="1"/>
    <col min="3074" max="3074" width="20.140625" style="7" customWidth="1"/>
    <col min="3075" max="3075" width="50.140625" style="7" customWidth="1"/>
    <col min="3076" max="3076" width="23.42578125" style="7" customWidth="1"/>
    <col min="3077" max="3078" width="2.7109375" style="7" customWidth="1"/>
    <col min="3079" max="3079" width="15.28515625" style="7" bestFit="1" customWidth="1"/>
    <col min="3080" max="3080" width="9.140625" style="7"/>
    <col min="3081" max="3081" width="11.28515625" style="7" bestFit="1" customWidth="1"/>
    <col min="3082" max="3328" width="9.140625" style="7"/>
    <col min="3329" max="3329" width="2.7109375" style="7" customWidth="1"/>
    <col min="3330" max="3330" width="20.140625" style="7" customWidth="1"/>
    <col min="3331" max="3331" width="50.140625" style="7" customWidth="1"/>
    <col min="3332" max="3332" width="23.42578125" style="7" customWidth="1"/>
    <col min="3333" max="3334" width="2.7109375" style="7" customWidth="1"/>
    <col min="3335" max="3335" width="15.28515625" style="7" bestFit="1" customWidth="1"/>
    <col min="3336" max="3336" width="9.140625" style="7"/>
    <col min="3337" max="3337" width="11.28515625" style="7" bestFit="1" customWidth="1"/>
    <col min="3338" max="3584" width="9.140625" style="7"/>
    <col min="3585" max="3585" width="2.7109375" style="7" customWidth="1"/>
    <col min="3586" max="3586" width="20.140625" style="7" customWidth="1"/>
    <col min="3587" max="3587" width="50.140625" style="7" customWidth="1"/>
    <col min="3588" max="3588" width="23.42578125" style="7" customWidth="1"/>
    <col min="3589" max="3590" width="2.7109375" style="7" customWidth="1"/>
    <col min="3591" max="3591" width="15.28515625" style="7" bestFit="1" customWidth="1"/>
    <col min="3592" max="3592" width="9.140625" style="7"/>
    <col min="3593" max="3593" width="11.28515625" style="7" bestFit="1" customWidth="1"/>
    <col min="3594" max="3840" width="9.140625" style="7"/>
    <col min="3841" max="3841" width="2.7109375" style="7" customWidth="1"/>
    <col min="3842" max="3842" width="20.140625" style="7" customWidth="1"/>
    <col min="3843" max="3843" width="50.140625" style="7" customWidth="1"/>
    <col min="3844" max="3844" width="23.42578125" style="7" customWidth="1"/>
    <col min="3845" max="3846" width="2.7109375" style="7" customWidth="1"/>
    <col min="3847" max="3847" width="15.28515625" style="7" bestFit="1" customWidth="1"/>
    <col min="3848" max="3848" width="9.140625" style="7"/>
    <col min="3849" max="3849" width="11.28515625" style="7" bestFit="1" customWidth="1"/>
    <col min="3850" max="4096" width="9.140625" style="7"/>
    <col min="4097" max="4097" width="2.7109375" style="7" customWidth="1"/>
    <col min="4098" max="4098" width="20.140625" style="7" customWidth="1"/>
    <col min="4099" max="4099" width="50.140625" style="7" customWidth="1"/>
    <col min="4100" max="4100" width="23.42578125" style="7" customWidth="1"/>
    <col min="4101" max="4102" width="2.7109375" style="7" customWidth="1"/>
    <col min="4103" max="4103" width="15.28515625" style="7" bestFit="1" customWidth="1"/>
    <col min="4104" max="4104" width="9.140625" style="7"/>
    <col min="4105" max="4105" width="11.28515625" style="7" bestFit="1" customWidth="1"/>
    <col min="4106" max="4352" width="9.140625" style="7"/>
    <col min="4353" max="4353" width="2.7109375" style="7" customWidth="1"/>
    <col min="4354" max="4354" width="20.140625" style="7" customWidth="1"/>
    <col min="4355" max="4355" width="50.140625" style="7" customWidth="1"/>
    <col min="4356" max="4356" width="23.42578125" style="7" customWidth="1"/>
    <col min="4357" max="4358" width="2.7109375" style="7" customWidth="1"/>
    <col min="4359" max="4359" width="15.28515625" style="7" bestFit="1" customWidth="1"/>
    <col min="4360" max="4360" width="9.140625" style="7"/>
    <col min="4361" max="4361" width="11.28515625" style="7" bestFit="1" customWidth="1"/>
    <col min="4362" max="4608" width="9.140625" style="7"/>
    <col min="4609" max="4609" width="2.7109375" style="7" customWidth="1"/>
    <col min="4610" max="4610" width="20.140625" style="7" customWidth="1"/>
    <col min="4611" max="4611" width="50.140625" style="7" customWidth="1"/>
    <col min="4612" max="4612" width="23.42578125" style="7" customWidth="1"/>
    <col min="4613" max="4614" width="2.7109375" style="7" customWidth="1"/>
    <col min="4615" max="4615" width="15.28515625" style="7" bestFit="1" customWidth="1"/>
    <col min="4616" max="4616" width="9.140625" style="7"/>
    <col min="4617" max="4617" width="11.28515625" style="7" bestFit="1" customWidth="1"/>
    <col min="4618" max="4864" width="9.140625" style="7"/>
    <col min="4865" max="4865" width="2.7109375" style="7" customWidth="1"/>
    <col min="4866" max="4866" width="20.140625" style="7" customWidth="1"/>
    <col min="4867" max="4867" width="50.140625" style="7" customWidth="1"/>
    <col min="4868" max="4868" width="23.42578125" style="7" customWidth="1"/>
    <col min="4869" max="4870" width="2.7109375" style="7" customWidth="1"/>
    <col min="4871" max="4871" width="15.28515625" style="7" bestFit="1" customWidth="1"/>
    <col min="4872" max="4872" width="9.140625" style="7"/>
    <col min="4873" max="4873" width="11.28515625" style="7" bestFit="1" customWidth="1"/>
    <col min="4874" max="5120" width="9.140625" style="7"/>
    <col min="5121" max="5121" width="2.7109375" style="7" customWidth="1"/>
    <col min="5122" max="5122" width="20.140625" style="7" customWidth="1"/>
    <col min="5123" max="5123" width="50.140625" style="7" customWidth="1"/>
    <col min="5124" max="5124" width="23.42578125" style="7" customWidth="1"/>
    <col min="5125" max="5126" width="2.7109375" style="7" customWidth="1"/>
    <col min="5127" max="5127" width="15.28515625" style="7" bestFit="1" customWidth="1"/>
    <col min="5128" max="5128" width="9.140625" style="7"/>
    <col min="5129" max="5129" width="11.28515625" style="7" bestFit="1" customWidth="1"/>
    <col min="5130" max="5376" width="9.140625" style="7"/>
    <col min="5377" max="5377" width="2.7109375" style="7" customWidth="1"/>
    <col min="5378" max="5378" width="20.140625" style="7" customWidth="1"/>
    <col min="5379" max="5379" width="50.140625" style="7" customWidth="1"/>
    <col min="5380" max="5380" width="23.42578125" style="7" customWidth="1"/>
    <col min="5381" max="5382" width="2.7109375" style="7" customWidth="1"/>
    <col min="5383" max="5383" width="15.28515625" style="7" bestFit="1" customWidth="1"/>
    <col min="5384" max="5384" width="9.140625" style="7"/>
    <col min="5385" max="5385" width="11.28515625" style="7" bestFit="1" customWidth="1"/>
    <col min="5386" max="5632" width="9.140625" style="7"/>
    <col min="5633" max="5633" width="2.7109375" style="7" customWidth="1"/>
    <col min="5634" max="5634" width="20.140625" style="7" customWidth="1"/>
    <col min="5635" max="5635" width="50.140625" style="7" customWidth="1"/>
    <col min="5636" max="5636" width="23.42578125" style="7" customWidth="1"/>
    <col min="5637" max="5638" width="2.7109375" style="7" customWidth="1"/>
    <col min="5639" max="5639" width="15.28515625" style="7" bestFit="1" customWidth="1"/>
    <col min="5640" max="5640" width="9.140625" style="7"/>
    <col min="5641" max="5641" width="11.28515625" style="7" bestFit="1" customWidth="1"/>
    <col min="5642" max="5888" width="9.140625" style="7"/>
    <col min="5889" max="5889" width="2.7109375" style="7" customWidth="1"/>
    <col min="5890" max="5890" width="20.140625" style="7" customWidth="1"/>
    <col min="5891" max="5891" width="50.140625" style="7" customWidth="1"/>
    <col min="5892" max="5892" width="23.42578125" style="7" customWidth="1"/>
    <col min="5893" max="5894" width="2.7109375" style="7" customWidth="1"/>
    <col min="5895" max="5895" width="15.28515625" style="7" bestFit="1" customWidth="1"/>
    <col min="5896" max="5896" width="9.140625" style="7"/>
    <col min="5897" max="5897" width="11.28515625" style="7" bestFit="1" customWidth="1"/>
    <col min="5898" max="6144" width="9.140625" style="7"/>
    <col min="6145" max="6145" width="2.7109375" style="7" customWidth="1"/>
    <col min="6146" max="6146" width="20.140625" style="7" customWidth="1"/>
    <col min="6147" max="6147" width="50.140625" style="7" customWidth="1"/>
    <col min="6148" max="6148" width="23.42578125" style="7" customWidth="1"/>
    <col min="6149" max="6150" width="2.7109375" style="7" customWidth="1"/>
    <col min="6151" max="6151" width="15.28515625" style="7" bestFit="1" customWidth="1"/>
    <col min="6152" max="6152" width="9.140625" style="7"/>
    <col min="6153" max="6153" width="11.28515625" style="7" bestFit="1" customWidth="1"/>
    <col min="6154" max="6400" width="9.140625" style="7"/>
    <col min="6401" max="6401" width="2.7109375" style="7" customWidth="1"/>
    <col min="6402" max="6402" width="20.140625" style="7" customWidth="1"/>
    <col min="6403" max="6403" width="50.140625" style="7" customWidth="1"/>
    <col min="6404" max="6404" width="23.42578125" style="7" customWidth="1"/>
    <col min="6405" max="6406" width="2.7109375" style="7" customWidth="1"/>
    <col min="6407" max="6407" width="15.28515625" style="7" bestFit="1" customWidth="1"/>
    <col min="6408" max="6408" width="9.140625" style="7"/>
    <col min="6409" max="6409" width="11.28515625" style="7" bestFit="1" customWidth="1"/>
    <col min="6410" max="6656" width="9.140625" style="7"/>
    <col min="6657" max="6657" width="2.7109375" style="7" customWidth="1"/>
    <col min="6658" max="6658" width="20.140625" style="7" customWidth="1"/>
    <col min="6659" max="6659" width="50.140625" style="7" customWidth="1"/>
    <col min="6660" max="6660" width="23.42578125" style="7" customWidth="1"/>
    <col min="6661" max="6662" width="2.7109375" style="7" customWidth="1"/>
    <col min="6663" max="6663" width="15.28515625" style="7" bestFit="1" customWidth="1"/>
    <col min="6664" max="6664" width="9.140625" style="7"/>
    <col min="6665" max="6665" width="11.28515625" style="7" bestFit="1" customWidth="1"/>
    <col min="6666" max="6912" width="9.140625" style="7"/>
    <col min="6913" max="6913" width="2.7109375" style="7" customWidth="1"/>
    <col min="6914" max="6914" width="20.140625" style="7" customWidth="1"/>
    <col min="6915" max="6915" width="50.140625" style="7" customWidth="1"/>
    <col min="6916" max="6916" width="23.42578125" style="7" customWidth="1"/>
    <col min="6917" max="6918" width="2.7109375" style="7" customWidth="1"/>
    <col min="6919" max="6919" width="15.28515625" style="7" bestFit="1" customWidth="1"/>
    <col min="6920" max="6920" width="9.140625" style="7"/>
    <col min="6921" max="6921" width="11.28515625" style="7" bestFit="1" customWidth="1"/>
    <col min="6922" max="7168" width="9.140625" style="7"/>
    <col min="7169" max="7169" width="2.7109375" style="7" customWidth="1"/>
    <col min="7170" max="7170" width="20.140625" style="7" customWidth="1"/>
    <col min="7171" max="7171" width="50.140625" style="7" customWidth="1"/>
    <col min="7172" max="7172" width="23.42578125" style="7" customWidth="1"/>
    <col min="7173" max="7174" width="2.7109375" style="7" customWidth="1"/>
    <col min="7175" max="7175" width="15.28515625" style="7" bestFit="1" customWidth="1"/>
    <col min="7176" max="7176" width="9.140625" style="7"/>
    <col min="7177" max="7177" width="11.28515625" style="7" bestFit="1" customWidth="1"/>
    <col min="7178" max="7424" width="9.140625" style="7"/>
    <col min="7425" max="7425" width="2.7109375" style="7" customWidth="1"/>
    <col min="7426" max="7426" width="20.140625" style="7" customWidth="1"/>
    <col min="7427" max="7427" width="50.140625" style="7" customWidth="1"/>
    <col min="7428" max="7428" width="23.42578125" style="7" customWidth="1"/>
    <col min="7429" max="7430" width="2.7109375" style="7" customWidth="1"/>
    <col min="7431" max="7431" width="15.28515625" style="7" bestFit="1" customWidth="1"/>
    <col min="7432" max="7432" width="9.140625" style="7"/>
    <col min="7433" max="7433" width="11.28515625" style="7" bestFit="1" customWidth="1"/>
    <col min="7434" max="7680" width="9.140625" style="7"/>
    <col min="7681" max="7681" width="2.7109375" style="7" customWidth="1"/>
    <col min="7682" max="7682" width="20.140625" style="7" customWidth="1"/>
    <col min="7683" max="7683" width="50.140625" style="7" customWidth="1"/>
    <col min="7684" max="7684" width="23.42578125" style="7" customWidth="1"/>
    <col min="7685" max="7686" width="2.7109375" style="7" customWidth="1"/>
    <col min="7687" max="7687" width="15.28515625" style="7" bestFit="1" customWidth="1"/>
    <col min="7688" max="7688" width="9.140625" style="7"/>
    <col min="7689" max="7689" width="11.28515625" style="7" bestFit="1" customWidth="1"/>
    <col min="7690" max="7936" width="9.140625" style="7"/>
    <col min="7937" max="7937" width="2.7109375" style="7" customWidth="1"/>
    <col min="7938" max="7938" width="20.140625" style="7" customWidth="1"/>
    <col min="7939" max="7939" width="50.140625" style="7" customWidth="1"/>
    <col min="7940" max="7940" width="23.42578125" style="7" customWidth="1"/>
    <col min="7941" max="7942" width="2.7109375" style="7" customWidth="1"/>
    <col min="7943" max="7943" width="15.28515625" style="7" bestFit="1" customWidth="1"/>
    <col min="7944" max="7944" width="9.140625" style="7"/>
    <col min="7945" max="7945" width="11.28515625" style="7" bestFit="1" customWidth="1"/>
    <col min="7946" max="8192" width="9.140625" style="7"/>
    <col min="8193" max="8193" width="2.7109375" style="7" customWidth="1"/>
    <col min="8194" max="8194" width="20.140625" style="7" customWidth="1"/>
    <col min="8195" max="8195" width="50.140625" style="7" customWidth="1"/>
    <col min="8196" max="8196" width="23.42578125" style="7" customWidth="1"/>
    <col min="8197" max="8198" width="2.7109375" style="7" customWidth="1"/>
    <col min="8199" max="8199" width="15.28515625" style="7" bestFit="1" customWidth="1"/>
    <col min="8200" max="8200" width="9.140625" style="7"/>
    <col min="8201" max="8201" width="11.28515625" style="7" bestFit="1" customWidth="1"/>
    <col min="8202" max="8448" width="9.140625" style="7"/>
    <col min="8449" max="8449" width="2.7109375" style="7" customWidth="1"/>
    <col min="8450" max="8450" width="20.140625" style="7" customWidth="1"/>
    <col min="8451" max="8451" width="50.140625" style="7" customWidth="1"/>
    <col min="8452" max="8452" width="23.42578125" style="7" customWidth="1"/>
    <col min="8453" max="8454" width="2.7109375" style="7" customWidth="1"/>
    <col min="8455" max="8455" width="15.28515625" style="7" bestFit="1" customWidth="1"/>
    <col min="8456" max="8456" width="9.140625" style="7"/>
    <col min="8457" max="8457" width="11.28515625" style="7" bestFit="1" customWidth="1"/>
    <col min="8458" max="8704" width="9.140625" style="7"/>
    <col min="8705" max="8705" width="2.7109375" style="7" customWidth="1"/>
    <col min="8706" max="8706" width="20.140625" style="7" customWidth="1"/>
    <col min="8707" max="8707" width="50.140625" style="7" customWidth="1"/>
    <col min="8708" max="8708" width="23.42578125" style="7" customWidth="1"/>
    <col min="8709" max="8710" width="2.7109375" style="7" customWidth="1"/>
    <col min="8711" max="8711" width="15.28515625" style="7" bestFit="1" customWidth="1"/>
    <col min="8712" max="8712" width="9.140625" style="7"/>
    <col min="8713" max="8713" width="11.28515625" style="7" bestFit="1" customWidth="1"/>
    <col min="8714" max="8960" width="9.140625" style="7"/>
    <col min="8961" max="8961" width="2.7109375" style="7" customWidth="1"/>
    <col min="8962" max="8962" width="20.140625" style="7" customWidth="1"/>
    <col min="8963" max="8963" width="50.140625" style="7" customWidth="1"/>
    <col min="8964" max="8964" width="23.42578125" style="7" customWidth="1"/>
    <col min="8965" max="8966" width="2.7109375" style="7" customWidth="1"/>
    <col min="8967" max="8967" width="15.28515625" style="7" bestFit="1" customWidth="1"/>
    <col min="8968" max="8968" width="9.140625" style="7"/>
    <col min="8969" max="8969" width="11.28515625" style="7" bestFit="1" customWidth="1"/>
    <col min="8970" max="9216" width="9.140625" style="7"/>
    <col min="9217" max="9217" width="2.7109375" style="7" customWidth="1"/>
    <col min="9218" max="9218" width="20.140625" style="7" customWidth="1"/>
    <col min="9219" max="9219" width="50.140625" style="7" customWidth="1"/>
    <col min="9220" max="9220" width="23.42578125" style="7" customWidth="1"/>
    <col min="9221" max="9222" width="2.7109375" style="7" customWidth="1"/>
    <col min="9223" max="9223" width="15.28515625" style="7" bestFit="1" customWidth="1"/>
    <col min="9224" max="9224" width="9.140625" style="7"/>
    <col min="9225" max="9225" width="11.28515625" style="7" bestFit="1" customWidth="1"/>
    <col min="9226" max="9472" width="9.140625" style="7"/>
    <col min="9473" max="9473" width="2.7109375" style="7" customWidth="1"/>
    <col min="9474" max="9474" width="20.140625" style="7" customWidth="1"/>
    <col min="9475" max="9475" width="50.140625" style="7" customWidth="1"/>
    <col min="9476" max="9476" width="23.42578125" style="7" customWidth="1"/>
    <col min="9477" max="9478" width="2.7109375" style="7" customWidth="1"/>
    <col min="9479" max="9479" width="15.28515625" style="7" bestFit="1" customWidth="1"/>
    <col min="9480" max="9480" width="9.140625" style="7"/>
    <col min="9481" max="9481" width="11.28515625" style="7" bestFit="1" customWidth="1"/>
    <col min="9482" max="9728" width="9.140625" style="7"/>
    <col min="9729" max="9729" width="2.7109375" style="7" customWidth="1"/>
    <col min="9730" max="9730" width="20.140625" style="7" customWidth="1"/>
    <col min="9731" max="9731" width="50.140625" style="7" customWidth="1"/>
    <col min="9732" max="9732" width="23.42578125" style="7" customWidth="1"/>
    <col min="9733" max="9734" width="2.7109375" style="7" customWidth="1"/>
    <col min="9735" max="9735" width="15.28515625" style="7" bestFit="1" customWidth="1"/>
    <col min="9736" max="9736" width="9.140625" style="7"/>
    <col min="9737" max="9737" width="11.28515625" style="7" bestFit="1" customWidth="1"/>
    <col min="9738" max="9984" width="9.140625" style="7"/>
    <col min="9985" max="9985" width="2.7109375" style="7" customWidth="1"/>
    <col min="9986" max="9986" width="20.140625" style="7" customWidth="1"/>
    <col min="9987" max="9987" width="50.140625" style="7" customWidth="1"/>
    <col min="9988" max="9988" width="23.42578125" style="7" customWidth="1"/>
    <col min="9989" max="9990" width="2.7109375" style="7" customWidth="1"/>
    <col min="9991" max="9991" width="15.28515625" style="7" bestFit="1" customWidth="1"/>
    <col min="9992" max="9992" width="9.140625" style="7"/>
    <col min="9993" max="9993" width="11.28515625" style="7" bestFit="1" customWidth="1"/>
    <col min="9994" max="10240" width="9.140625" style="7"/>
    <col min="10241" max="10241" width="2.7109375" style="7" customWidth="1"/>
    <col min="10242" max="10242" width="20.140625" style="7" customWidth="1"/>
    <col min="10243" max="10243" width="50.140625" style="7" customWidth="1"/>
    <col min="10244" max="10244" width="23.42578125" style="7" customWidth="1"/>
    <col min="10245" max="10246" width="2.7109375" style="7" customWidth="1"/>
    <col min="10247" max="10247" width="15.28515625" style="7" bestFit="1" customWidth="1"/>
    <col min="10248" max="10248" width="9.140625" style="7"/>
    <col min="10249" max="10249" width="11.28515625" style="7" bestFit="1" customWidth="1"/>
    <col min="10250" max="10496" width="9.140625" style="7"/>
    <col min="10497" max="10497" width="2.7109375" style="7" customWidth="1"/>
    <col min="10498" max="10498" width="20.140625" style="7" customWidth="1"/>
    <col min="10499" max="10499" width="50.140625" style="7" customWidth="1"/>
    <col min="10500" max="10500" width="23.42578125" style="7" customWidth="1"/>
    <col min="10501" max="10502" width="2.7109375" style="7" customWidth="1"/>
    <col min="10503" max="10503" width="15.28515625" style="7" bestFit="1" customWidth="1"/>
    <col min="10504" max="10504" width="9.140625" style="7"/>
    <col min="10505" max="10505" width="11.28515625" style="7" bestFit="1" customWidth="1"/>
    <col min="10506" max="10752" width="9.140625" style="7"/>
    <col min="10753" max="10753" width="2.7109375" style="7" customWidth="1"/>
    <col min="10754" max="10754" width="20.140625" style="7" customWidth="1"/>
    <col min="10755" max="10755" width="50.140625" style="7" customWidth="1"/>
    <col min="10756" max="10756" width="23.42578125" style="7" customWidth="1"/>
    <col min="10757" max="10758" width="2.7109375" style="7" customWidth="1"/>
    <col min="10759" max="10759" width="15.28515625" style="7" bestFit="1" customWidth="1"/>
    <col min="10760" max="10760" width="9.140625" style="7"/>
    <col min="10761" max="10761" width="11.28515625" style="7" bestFit="1" customWidth="1"/>
    <col min="10762" max="11008" width="9.140625" style="7"/>
    <col min="11009" max="11009" width="2.7109375" style="7" customWidth="1"/>
    <col min="11010" max="11010" width="20.140625" style="7" customWidth="1"/>
    <col min="11011" max="11011" width="50.140625" style="7" customWidth="1"/>
    <col min="11012" max="11012" width="23.42578125" style="7" customWidth="1"/>
    <col min="11013" max="11014" width="2.7109375" style="7" customWidth="1"/>
    <col min="11015" max="11015" width="15.28515625" style="7" bestFit="1" customWidth="1"/>
    <col min="11016" max="11016" width="9.140625" style="7"/>
    <col min="11017" max="11017" width="11.28515625" style="7" bestFit="1" customWidth="1"/>
    <col min="11018" max="11264" width="9.140625" style="7"/>
    <col min="11265" max="11265" width="2.7109375" style="7" customWidth="1"/>
    <col min="11266" max="11266" width="20.140625" style="7" customWidth="1"/>
    <col min="11267" max="11267" width="50.140625" style="7" customWidth="1"/>
    <col min="11268" max="11268" width="23.42578125" style="7" customWidth="1"/>
    <col min="11269" max="11270" width="2.7109375" style="7" customWidth="1"/>
    <col min="11271" max="11271" width="15.28515625" style="7" bestFit="1" customWidth="1"/>
    <col min="11272" max="11272" width="9.140625" style="7"/>
    <col min="11273" max="11273" width="11.28515625" style="7" bestFit="1" customWidth="1"/>
    <col min="11274" max="11520" width="9.140625" style="7"/>
    <col min="11521" max="11521" width="2.7109375" style="7" customWidth="1"/>
    <col min="11522" max="11522" width="20.140625" style="7" customWidth="1"/>
    <col min="11523" max="11523" width="50.140625" style="7" customWidth="1"/>
    <col min="11524" max="11524" width="23.42578125" style="7" customWidth="1"/>
    <col min="11525" max="11526" width="2.7109375" style="7" customWidth="1"/>
    <col min="11527" max="11527" width="15.28515625" style="7" bestFit="1" customWidth="1"/>
    <col min="11528" max="11528" width="9.140625" style="7"/>
    <col min="11529" max="11529" width="11.28515625" style="7" bestFit="1" customWidth="1"/>
    <col min="11530" max="11776" width="9.140625" style="7"/>
    <col min="11777" max="11777" width="2.7109375" style="7" customWidth="1"/>
    <col min="11778" max="11778" width="20.140625" style="7" customWidth="1"/>
    <col min="11779" max="11779" width="50.140625" style="7" customWidth="1"/>
    <col min="11780" max="11780" width="23.42578125" style="7" customWidth="1"/>
    <col min="11781" max="11782" width="2.7109375" style="7" customWidth="1"/>
    <col min="11783" max="11783" width="15.28515625" style="7" bestFit="1" customWidth="1"/>
    <col min="11784" max="11784" width="9.140625" style="7"/>
    <col min="11785" max="11785" width="11.28515625" style="7" bestFit="1" customWidth="1"/>
    <col min="11786" max="12032" width="9.140625" style="7"/>
    <col min="12033" max="12033" width="2.7109375" style="7" customWidth="1"/>
    <col min="12034" max="12034" width="20.140625" style="7" customWidth="1"/>
    <col min="12035" max="12035" width="50.140625" style="7" customWidth="1"/>
    <col min="12036" max="12036" width="23.42578125" style="7" customWidth="1"/>
    <col min="12037" max="12038" width="2.7109375" style="7" customWidth="1"/>
    <col min="12039" max="12039" width="15.28515625" style="7" bestFit="1" customWidth="1"/>
    <col min="12040" max="12040" width="9.140625" style="7"/>
    <col min="12041" max="12041" width="11.28515625" style="7" bestFit="1" customWidth="1"/>
    <col min="12042" max="12288" width="9.140625" style="7"/>
    <col min="12289" max="12289" width="2.7109375" style="7" customWidth="1"/>
    <col min="12290" max="12290" width="20.140625" style="7" customWidth="1"/>
    <col min="12291" max="12291" width="50.140625" style="7" customWidth="1"/>
    <col min="12292" max="12292" width="23.42578125" style="7" customWidth="1"/>
    <col min="12293" max="12294" width="2.7109375" style="7" customWidth="1"/>
    <col min="12295" max="12295" width="15.28515625" style="7" bestFit="1" customWidth="1"/>
    <col min="12296" max="12296" width="9.140625" style="7"/>
    <col min="12297" max="12297" width="11.28515625" style="7" bestFit="1" customWidth="1"/>
    <col min="12298" max="12544" width="9.140625" style="7"/>
    <col min="12545" max="12545" width="2.7109375" style="7" customWidth="1"/>
    <col min="12546" max="12546" width="20.140625" style="7" customWidth="1"/>
    <col min="12547" max="12547" width="50.140625" style="7" customWidth="1"/>
    <col min="12548" max="12548" width="23.42578125" style="7" customWidth="1"/>
    <col min="12549" max="12550" width="2.7109375" style="7" customWidth="1"/>
    <col min="12551" max="12551" width="15.28515625" style="7" bestFit="1" customWidth="1"/>
    <col min="12552" max="12552" width="9.140625" style="7"/>
    <col min="12553" max="12553" width="11.28515625" style="7" bestFit="1" customWidth="1"/>
    <col min="12554" max="12800" width="9.140625" style="7"/>
    <col min="12801" max="12801" width="2.7109375" style="7" customWidth="1"/>
    <col min="12802" max="12802" width="20.140625" style="7" customWidth="1"/>
    <col min="12803" max="12803" width="50.140625" style="7" customWidth="1"/>
    <col min="12804" max="12804" width="23.42578125" style="7" customWidth="1"/>
    <col min="12805" max="12806" width="2.7109375" style="7" customWidth="1"/>
    <col min="12807" max="12807" width="15.28515625" style="7" bestFit="1" customWidth="1"/>
    <col min="12808" max="12808" width="9.140625" style="7"/>
    <col min="12809" max="12809" width="11.28515625" style="7" bestFit="1" customWidth="1"/>
    <col min="12810" max="13056" width="9.140625" style="7"/>
    <col min="13057" max="13057" width="2.7109375" style="7" customWidth="1"/>
    <col min="13058" max="13058" width="20.140625" style="7" customWidth="1"/>
    <col min="13059" max="13059" width="50.140625" style="7" customWidth="1"/>
    <col min="13060" max="13060" width="23.42578125" style="7" customWidth="1"/>
    <col min="13061" max="13062" width="2.7109375" style="7" customWidth="1"/>
    <col min="13063" max="13063" width="15.28515625" style="7" bestFit="1" customWidth="1"/>
    <col min="13064" max="13064" width="9.140625" style="7"/>
    <col min="13065" max="13065" width="11.28515625" style="7" bestFit="1" customWidth="1"/>
    <col min="13066" max="13312" width="9.140625" style="7"/>
    <col min="13313" max="13313" width="2.7109375" style="7" customWidth="1"/>
    <col min="13314" max="13314" width="20.140625" style="7" customWidth="1"/>
    <col min="13315" max="13315" width="50.140625" style="7" customWidth="1"/>
    <col min="13316" max="13316" width="23.42578125" style="7" customWidth="1"/>
    <col min="13317" max="13318" width="2.7109375" style="7" customWidth="1"/>
    <col min="13319" max="13319" width="15.28515625" style="7" bestFit="1" customWidth="1"/>
    <col min="13320" max="13320" width="9.140625" style="7"/>
    <col min="13321" max="13321" width="11.28515625" style="7" bestFit="1" customWidth="1"/>
    <col min="13322" max="13568" width="9.140625" style="7"/>
    <col min="13569" max="13569" width="2.7109375" style="7" customWidth="1"/>
    <col min="13570" max="13570" width="20.140625" style="7" customWidth="1"/>
    <col min="13571" max="13571" width="50.140625" style="7" customWidth="1"/>
    <col min="13572" max="13572" width="23.42578125" style="7" customWidth="1"/>
    <col min="13573" max="13574" width="2.7109375" style="7" customWidth="1"/>
    <col min="13575" max="13575" width="15.28515625" style="7" bestFit="1" customWidth="1"/>
    <col min="13576" max="13576" width="9.140625" style="7"/>
    <col min="13577" max="13577" width="11.28515625" style="7" bestFit="1" customWidth="1"/>
    <col min="13578" max="13824" width="9.140625" style="7"/>
    <col min="13825" max="13825" width="2.7109375" style="7" customWidth="1"/>
    <col min="13826" max="13826" width="20.140625" style="7" customWidth="1"/>
    <col min="13827" max="13827" width="50.140625" style="7" customWidth="1"/>
    <col min="13828" max="13828" width="23.42578125" style="7" customWidth="1"/>
    <col min="13829" max="13830" width="2.7109375" style="7" customWidth="1"/>
    <col min="13831" max="13831" width="15.28515625" style="7" bestFit="1" customWidth="1"/>
    <col min="13832" max="13832" width="9.140625" style="7"/>
    <col min="13833" max="13833" width="11.28515625" style="7" bestFit="1" customWidth="1"/>
    <col min="13834" max="14080" width="9.140625" style="7"/>
    <col min="14081" max="14081" width="2.7109375" style="7" customWidth="1"/>
    <col min="14082" max="14082" width="20.140625" style="7" customWidth="1"/>
    <col min="14083" max="14083" width="50.140625" style="7" customWidth="1"/>
    <col min="14084" max="14084" width="23.42578125" style="7" customWidth="1"/>
    <col min="14085" max="14086" width="2.7109375" style="7" customWidth="1"/>
    <col min="14087" max="14087" width="15.28515625" style="7" bestFit="1" customWidth="1"/>
    <col min="14088" max="14088" width="9.140625" style="7"/>
    <col min="14089" max="14089" width="11.28515625" style="7" bestFit="1" customWidth="1"/>
    <col min="14090" max="14336" width="9.140625" style="7"/>
    <col min="14337" max="14337" width="2.7109375" style="7" customWidth="1"/>
    <col min="14338" max="14338" width="20.140625" style="7" customWidth="1"/>
    <col min="14339" max="14339" width="50.140625" style="7" customWidth="1"/>
    <col min="14340" max="14340" width="23.42578125" style="7" customWidth="1"/>
    <col min="14341" max="14342" width="2.7109375" style="7" customWidth="1"/>
    <col min="14343" max="14343" width="15.28515625" style="7" bestFit="1" customWidth="1"/>
    <col min="14344" max="14344" width="9.140625" style="7"/>
    <col min="14345" max="14345" width="11.28515625" style="7" bestFit="1" customWidth="1"/>
    <col min="14346" max="14592" width="9.140625" style="7"/>
    <col min="14593" max="14593" width="2.7109375" style="7" customWidth="1"/>
    <col min="14594" max="14594" width="20.140625" style="7" customWidth="1"/>
    <col min="14595" max="14595" width="50.140625" style="7" customWidth="1"/>
    <col min="14596" max="14596" width="23.42578125" style="7" customWidth="1"/>
    <col min="14597" max="14598" width="2.7109375" style="7" customWidth="1"/>
    <col min="14599" max="14599" width="15.28515625" style="7" bestFit="1" customWidth="1"/>
    <col min="14600" max="14600" width="9.140625" style="7"/>
    <col min="14601" max="14601" width="11.28515625" style="7" bestFit="1" customWidth="1"/>
    <col min="14602" max="14848" width="9.140625" style="7"/>
    <col min="14849" max="14849" width="2.7109375" style="7" customWidth="1"/>
    <col min="14850" max="14850" width="20.140625" style="7" customWidth="1"/>
    <col min="14851" max="14851" width="50.140625" style="7" customWidth="1"/>
    <col min="14852" max="14852" width="23.42578125" style="7" customWidth="1"/>
    <col min="14853" max="14854" width="2.7109375" style="7" customWidth="1"/>
    <col min="14855" max="14855" width="15.28515625" style="7" bestFit="1" customWidth="1"/>
    <col min="14856" max="14856" width="9.140625" style="7"/>
    <col min="14857" max="14857" width="11.28515625" style="7" bestFit="1" customWidth="1"/>
    <col min="14858" max="15104" width="9.140625" style="7"/>
    <col min="15105" max="15105" width="2.7109375" style="7" customWidth="1"/>
    <col min="15106" max="15106" width="20.140625" style="7" customWidth="1"/>
    <col min="15107" max="15107" width="50.140625" style="7" customWidth="1"/>
    <col min="15108" max="15108" width="23.42578125" style="7" customWidth="1"/>
    <col min="15109" max="15110" width="2.7109375" style="7" customWidth="1"/>
    <col min="15111" max="15111" width="15.28515625" style="7" bestFit="1" customWidth="1"/>
    <col min="15112" max="15112" width="9.140625" style="7"/>
    <col min="15113" max="15113" width="11.28515625" style="7" bestFit="1" customWidth="1"/>
    <col min="15114" max="15360" width="9.140625" style="7"/>
    <col min="15361" max="15361" width="2.7109375" style="7" customWidth="1"/>
    <col min="15362" max="15362" width="20.140625" style="7" customWidth="1"/>
    <col min="15363" max="15363" width="50.140625" style="7" customWidth="1"/>
    <col min="15364" max="15364" width="23.42578125" style="7" customWidth="1"/>
    <col min="15365" max="15366" width="2.7109375" style="7" customWidth="1"/>
    <col min="15367" max="15367" width="15.28515625" style="7" bestFit="1" customWidth="1"/>
    <col min="15368" max="15368" width="9.140625" style="7"/>
    <col min="15369" max="15369" width="11.28515625" style="7" bestFit="1" customWidth="1"/>
    <col min="15370" max="15616" width="9.140625" style="7"/>
    <col min="15617" max="15617" width="2.7109375" style="7" customWidth="1"/>
    <col min="15618" max="15618" width="20.140625" style="7" customWidth="1"/>
    <col min="15619" max="15619" width="50.140625" style="7" customWidth="1"/>
    <col min="15620" max="15620" width="23.42578125" style="7" customWidth="1"/>
    <col min="15621" max="15622" width="2.7109375" style="7" customWidth="1"/>
    <col min="15623" max="15623" width="15.28515625" style="7" bestFit="1" customWidth="1"/>
    <col min="15624" max="15624" width="9.140625" style="7"/>
    <col min="15625" max="15625" width="11.28515625" style="7" bestFit="1" customWidth="1"/>
    <col min="15626" max="15872" width="9.140625" style="7"/>
    <col min="15873" max="15873" width="2.7109375" style="7" customWidth="1"/>
    <col min="15874" max="15874" width="20.140625" style="7" customWidth="1"/>
    <col min="15875" max="15875" width="50.140625" style="7" customWidth="1"/>
    <col min="15876" max="15876" width="23.42578125" style="7" customWidth="1"/>
    <col min="15877" max="15878" width="2.7109375" style="7" customWidth="1"/>
    <col min="15879" max="15879" width="15.28515625" style="7" bestFit="1" customWidth="1"/>
    <col min="15880" max="15880" width="9.140625" style="7"/>
    <col min="15881" max="15881" width="11.28515625" style="7" bestFit="1" customWidth="1"/>
    <col min="15882" max="16128" width="9.140625" style="7"/>
    <col min="16129" max="16129" width="2.7109375" style="7" customWidth="1"/>
    <col min="16130" max="16130" width="20.140625" style="7" customWidth="1"/>
    <col min="16131" max="16131" width="50.140625" style="7" customWidth="1"/>
    <col min="16132" max="16132" width="23.42578125" style="7" customWidth="1"/>
    <col min="16133" max="16134" width="2.7109375" style="7" customWidth="1"/>
    <col min="16135" max="16135" width="15.28515625" style="7" bestFit="1" customWidth="1"/>
    <col min="16136" max="16136" width="9.140625" style="7"/>
    <col min="16137" max="16137" width="11.28515625" style="7" bestFit="1" customWidth="1"/>
    <col min="16138" max="16384" width="9.140625" style="7"/>
  </cols>
  <sheetData>
    <row r="1" spans="1:6" ht="85.5" hidden="1" customHeight="1">
      <c r="A1" s="655" t="s">
        <v>14</v>
      </c>
      <c r="B1" s="656"/>
      <c r="C1" s="656"/>
      <c r="D1" s="656"/>
      <c r="E1" s="656"/>
      <c r="F1" s="656"/>
    </row>
    <row r="2" spans="1:6" ht="7.5" customHeight="1"/>
    <row r="3" spans="1:6" ht="9" customHeight="1">
      <c r="A3" s="8"/>
      <c r="B3" s="9"/>
      <c r="C3" s="9"/>
      <c r="D3" s="9"/>
      <c r="E3" s="10"/>
    </row>
    <row r="4" spans="1:6">
      <c r="A4" s="11"/>
      <c r="B4" s="12"/>
      <c r="C4" s="13"/>
      <c r="D4" s="14"/>
      <c r="E4" s="15"/>
    </row>
    <row r="5" spans="1:6" ht="9" customHeight="1">
      <c r="A5" s="11"/>
      <c r="B5" s="16"/>
      <c r="C5" s="17"/>
      <c r="D5" s="18"/>
      <c r="E5" s="15"/>
    </row>
    <row r="6" spans="1:6">
      <c r="A6" s="11"/>
      <c r="B6" s="16"/>
      <c r="C6" s="17"/>
      <c r="D6" s="18"/>
      <c r="E6" s="15"/>
    </row>
    <row r="7" spans="1:6">
      <c r="A7" s="11"/>
      <c r="B7" s="16"/>
      <c r="C7" s="17"/>
      <c r="D7" s="18"/>
      <c r="E7" s="15"/>
    </row>
    <row r="8" spans="1:6" ht="15.75">
      <c r="A8" s="11"/>
      <c r="B8" s="657" t="s">
        <v>5071</v>
      </c>
      <c r="C8" s="658"/>
      <c r="D8" s="659"/>
      <c r="E8" s="15"/>
    </row>
    <row r="9" spans="1:6" ht="15.75">
      <c r="A9" s="11"/>
      <c r="B9" s="660" t="s">
        <v>5072</v>
      </c>
      <c r="C9" s="661"/>
      <c r="D9" s="662"/>
      <c r="E9" s="15"/>
    </row>
    <row r="10" spans="1:6" ht="15.75">
      <c r="A10" s="11"/>
      <c r="B10" s="657" t="s">
        <v>5073</v>
      </c>
      <c r="C10" s="658"/>
      <c r="D10" s="659"/>
      <c r="E10" s="15"/>
    </row>
    <row r="11" spans="1:6" ht="19.5">
      <c r="A11" s="11"/>
      <c r="B11" s="663" t="s">
        <v>15</v>
      </c>
      <c r="C11" s="664"/>
      <c r="D11" s="665"/>
      <c r="E11" s="19"/>
    </row>
    <row r="12" spans="1:6" ht="6" customHeight="1">
      <c r="A12" s="11"/>
      <c r="B12" s="20"/>
      <c r="C12" s="21"/>
      <c r="D12" s="20"/>
      <c r="E12" s="15"/>
    </row>
    <row r="13" spans="1:6" s="24" customFormat="1" ht="21" customHeight="1">
      <c r="A13" s="22"/>
      <c r="B13" s="134" t="s">
        <v>30</v>
      </c>
      <c r="C13" s="666" t="s">
        <v>13512</v>
      </c>
      <c r="D13" s="667"/>
      <c r="E13" s="23"/>
    </row>
    <row r="14" spans="1:6" s="24" customFormat="1" ht="45" customHeight="1">
      <c r="A14" s="22"/>
      <c r="B14" s="135" t="s">
        <v>13</v>
      </c>
      <c r="C14" s="668" t="s">
        <v>8375</v>
      </c>
      <c r="D14" s="669"/>
      <c r="E14" s="23"/>
    </row>
    <row r="15" spans="1:6" s="24" customFormat="1" ht="21" customHeight="1">
      <c r="A15" s="22"/>
      <c r="B15" s="25" t="s">
        <v>16</v>
      </c>
      <c r="C15" s="653" t="s">
        <v>8374</v>
      </c>
      <c r="D15" s="654"/>
      <c r="E15" s="23"/>
    </row>
    <row r="16" spans="1:6" s="24" customFormat="1" ht="21" customHeight="1">
      <c r="A16" s="22"/>
      <c r="B16" s="25" t="s">
        <v>17</v>
      </c>
      <c r="C16" s="653" t="s">
        <v>8373</v>
      </c>
      <c r="D16" s="670"/>
      <c r="E16" s="23"/>
    </row>
    <row r="17" spans="1:9" s="24" customFormat="1" ht="33" customHeight="1">
      <c r="A17" s="22"/>
      <c r="B17" s="25" t="s">
        <v>18</v>
      </c>
      <c r="C17" s="668" t="s">
        <v>6338</v>
      </c>
      <c r="D17" s="669"/>
      <c r="E17" s="26"/>
    </row>
    <row r="18" spans="1:9" s="30" customFormat="1" ht="21" customHeight="1">
      <c r="A18" s="28"/>
      <c r="B18" s="136" t="s">
        <v>19</v>
      </c>
      <c r="C18" s="653" t="s">
        <v>26992</v>
      </c>
      <c r="D18" s="654"/>
      <c r="E18" s="29"/>
    </row>
    <row r="19" spans="1:9" s="24" customFormat="1" ht="21" customHeight="1">
      <c r="A19" s="22"/>
      <c r="B19" s="25" t="s">
        <v>20</v>
      </c>
      <c r="C19" s="642">
        <v>44370</v>
      </c>
      <c r="D19" s="216"/>
      <c r="E19" s="27"/>
    </row>
    <row r="20" spans="1:9" s="24" customFormat="1" ht="36.75" customHeight="1">
      <c r="A20" s="22"/>
      <c r="B20" s="25" t="s">
        <v>21</v>
      </c>
      <c r="C20" s="651" t="s">
        <v>13507</v>
      </c>
      <c r="D20" s="652"/>
      <c r="E20" s="27"/>
    </row>
    <row r="21" spans="1:9" s="30" customFormat="1" ht="21" customHeight="1">
      <c r="A21" s="28"/>
      <c r="B21" s="136" t="s">
        <v>22</v>
      </c>
      <c r="C21" s="653"/>
      <c r="D21" s="654"/>
      <c r="E21" s="29"/>
    </row>
    <row r="22" spans="1:9" s="30" customFormat="1" ht="21" customHeight="1">
      <c r="A22" s="28"/>
      <c r="B22" s="136" t="s">
        <v>23</v>
      </c>
      <c r="C22" s="672" t="s">
        <v>8527</v>
      </c>
      <c r="D22" s="673"/>
      <c r="E22" s="29"/>
    </row>
    <row r="23" spans="1:9" s="24" customFormat="1" ht="21" customHeight="1">
      <c r="A23" s="22"/>
      <c r="B23" s="25" t="s">
        <v>24</v>
      </c>
      <c r="C23" s="672" t="s">
        <v>13514</v>
      </c>
      <c r="D23" s="673"/>
      <c r="E23" s="27"/>
    </row>
    <row r="24" spans="1:9" s="24" customFormat="1" ht="21" customHeight="1">
      <c r="A24" s="22"/>
      <c r="B24" s="136" t="s">
        <v>25</v>
      </c>
      <c r="C24" s="674" t="s">
        <v>6339</v>
      </c>
      <c r="D24" s="675"/>
      <c r="E24" s="27"/>
    </row>
    <row r="25" spans="1:9" s="24" customFormat="1" ht="366" customHeight="1">
      <c r="A25" s="22"/>
      <c r="B25" s="137" t="s">
        <v>26</v>
      </c>
      <c r="C25" s="678" t="s">
        <v>26850</v>
      </c>
      <c r="D25" s="679"/>
      <c r="E25" s="27"/>
    </row>
    <row r="26" spans="1:9" s="24" customFormat="1" ht="21" customHeight="1">
      <c r="A26" s="22"/>
      <c r="B26" s="138" t="s">
        <v>27</v>
      </c>
      <c r="C26" s="680" t="s">
        <v>6337</v>
      </c>
      <c r="D26" s="681"/>
      <c r="E26" s="27"/>
    </row>
    <row r="27" spans="1:9" s="24" customFormat="1" ht="6" customHeight="1">
      <c r="A27" s="22"/>
      <c r="B27" s="139"/>
      <c r="C27" s="140"/>
      <c r="D27" s="141"/>
      <c r="E27" s="27"/>
    </row>
    <row r="28" spans="1:9" s="34" customFormat="1" ht="33.75" customHeight="1">
      <c r="A28" s="32"/>
      <c r="B28" s="682" t="s">
        <v>79</v>
      </c>
      <c r="C28" s="683"/>
      <c r="D28" s="684"/>
      <c r="E28" s="33"/>
    </row>
    <row r="29" spans="1:9" s="30" customFormat="1" ht="33.75" customHeight="1">
      <c r="A29" s="28"/>
      <c r="B29" s="685" t="s">
        <v>8524</v>
      </c>
      <c r="C29" s="674"/>
      <c r="D29" s="65">
        <f>'036.01-20-SERV. GERAIS'!I378</f>
        <v>42385897.530704193</v>
      </c>
      <c r="E29" s="29"/>
      <c r="I29" s="66"/>
    </row>
    <row r="30" spans="1:9" s="30" customFormat="1" ht="33.75" customHeight="1">
      <c r="A30" s="28"/>
      <c r="B30" s="685" t="s">
        <v>8525</v>
      </c>
      <c r="C30" s="674"/>
      <c r="D30" s="65">
        <f>'036.02-20-CANTEIRO.'!I199</f>
        <v>2197793.3763005277</v>
      </c>
      <c r="E30" s="29"/>
      <c r="H30" s="551"/>
      <c r="I30" s="66"/>
    </row>
    <row r="31" spans="1:9" s="69" customFormat="1" ht="33.75" customHeight="1">
      <c r="A31" s="67"/>
      <c r="B31" s="686" t="s">
        <v>13500</v>
      </c>
      <c r="C31" s="687"/>
      <c r="D31" s="35">
        <f>SUM(D28:D30)</f>
        <v>44583690.907004721</v>
      </c>
      <c r="E31" s="68"/>
    </row>
    <row r="32" spans="1:9" s="34" customFormat="1" ht="33.75" customHeight="1">
      <c r="A32" s="32"/>
      <c r="B32" s="682" t="s">
        <v>13506</v>
      </c>
      <c r="C32" s="683"/>
      <c r="D32" s="684"/>
      <c r="E32" s="33"/>
    </row>
    <row r="33" spans="1:11" s="30" customFormat="1" ht="33.75" customHeight="1">
      <c r="A33" s="28"/>
      <c r="B33" s="685" t="s">
        <v>13502</v>
      </c>
      <c r="C33" s="674"/>
      <c r="D33" s="65">
        <v>177348.91</v>
      </c>
      <c r="E33" s="29"/>
      <c r="I33" s="66"/>
    </row>
    <row r="34" spans="1:11" s="69" customFormat="1" ht="33.75" customHeight="1">
      <c r="A34" s="67"/>
      <c r="B34" s="686" t="s">
        <v>13501</v>
      </c>
      <c r="C34" s="687"/>
      <c r="D34" s="35">
        <f>D33</f>
        <v>177348.91</v>
      </c>
      <c r="E34" s="68"/>
    </row>
    <row r="35" spans="1:11" s="69" customFormat="1" ht="33.75" customHeight="1">
      <c r="A35" s="67"/>
      <c r="B35" s="686" t="s">
        <v>13503</v>
      </c>
      <c r="C35" s="687"/>
      <c r="D35" s="35">
        <f>D34+D31</f>
        <v>44761039.817004718</v>
      </c>
      <c r="E35" s="68"/>
    </row>
    <row r="36" spans="1:11" s="24" customFormat="1" ht="6" customHeight="1">
      <c r="A36" s="22"/>
      <c r="B36" s="31"/>
      <c r="C36" s="31"/>
      <c r="D36" s="36"/>
      <c r="E36" s="27"/>
    </row>
    <row r="37" spans="1:11" s="24" customFormat="1" ht="61.5" customHeight="1">
      <c r="A37" s="22"/>
      <c r="B37" s="37" t="s">
        <v>28</v>
      </c>
      <c r="C37" s="676" t="s">
        <v>29</v>
      </c>
      <c r="D37" s="677"/>
      <c r="E37" s="27"/>
      <c r="I37" s="234"/>
      <c r="J37" s="234"/>
      <c r="K37" s="234"/>
    </row>
    <row r="38" spans="1:11" s="24" customFormat="1" ht="9" customHeight="1">
      <c r="A38" s="38"/>
      <c r="B38" s="39"/>
      <c r="C38" s="39"/>
      <c r="D38" s="39"/>
      <c r="E38" s="40"/>
      <c r="I38" s="235"/>
      <c r="J38" s="234"/>
      <c r="K38" s="234"/>
    </row>
    <row r="39" spans="1:11" ht="42.75" customHeight="1">
      <c r="I39" s="236"/>
      <c r="J39" s="234"/>
      <c r="K39" s="237"/>
    </row>
    <row r="40" spans="1:11" s="54" customFormat="1" ht="45.6" customHeight="1">
      <c r="B40" s="671" t="s">
        <v>13264</v>
      </c>
      <c r="C40" s="671"/>
      <c r="D40" s="671"/>
      <c r="E40" s="671"/>
      <c r="F40" s="217"/>
      <c r="G40" s="217"/>
      <c r="H40" s="217"/>
      <c r="K40" s="238"/>
    </row>
    <row r="41" spans="1:11">
      <c r="D41" s="41"/>
      <c r="F41" s="41"/>
    </row>
    <row r="42" spans="1:11">
      <c r="B42" s="7" t="s">
        <v>8491</v>
      </c>
      <c r="C42" s="270">
        <f>D35</f>
        <v>44761039.817004718</v>
      </c>
      <c r="D42" s="41"/>
      <c r="I42" s="237"/>
      <c r="J42" s="237"/>
    </row>
    <row r="43" spans="1:11">
      <c r="B43" s="7" t="s">
        <v>26847</v>
      </c>
      <c r="C43" s="270">
        <f>'036.01-20-SERV. GERAIS'!I376</f>
        <v>3220210.8543085428</v>
      </c>
      <c r="D43" s="42"/>
    </row>
    <row r="44" spans="1:11">
      <c r="B44" s="7" t="s">
        <v>5080</v>
      </c>
      <c r="C44" s="271">
        <f>C43/C42</f>
        <v>7.1942270945305087E-2</v>
      </c>
      <c r="D44" s="41"/>
    </row>
    <row r="45" spans="1:11">
      <c r="B45" s="7" t="s">
        <v>5081</v>
      </c>
      <c r="C45" s="272">
        <f>D35/28800</f>
        <v>1554.2027714237749</v>
      </c>
    </row>
    <row r="46" spans="1:11">
      <c r="D46" s="41"/>
      <c r="F46" s="43"/>
    </row>
    <row r="48" spans="1:11">
      <c r="D48" s="86"/>
    </row>
    <row r="49" spans="2:6">
      <c r="B49" s="7" t="s">
        <v>13396</v>
      </c>
      <c r="C49" s="272">
        <f>(C43/(1+BDI_O.A.E!H22))*0.05</f>
        <v>136217.46536465001</v>
      </c>
      <c r="F49" s="44"/>
    </row>
    <row r="50" spans="2:6">
      <c r="C50" s="272">
        <f>C49/20</f>
        <v>6810.8732682325008</v>
      </c>
    </row>
    <row r="51" spans="2:6">
      <c r="F51" s="45"/>
    </row>
  </sheetData>
  <mergeCells count="28">
    <mergeCell ref="B40:E40"/>
    <mergeCell ref="C22:D22"/>
    <mergeCell ref="C23:D23"/>
    <mergeCell ref="C24:D24"/>
    <mergeCell ref="C37:D37"/>
    <mergeCell ref="C25:D25"/>
    <mergeCell ref="C26:D26"/>
    <mergeCell ref="B28:D28"/>
    <mergeCell ref="B29:C29"/>
    <mergeCell ref="B30:C30"/>
    <mergeCell ref="B34:C34"/>
    <mergeCell ref="B31:C31"/>
    <mergeCell ref="B32:D32"/>
    <mergeCell ref="B33:C33"/>
    <mergeCell ref="B35:C35"/>
    <mergeCell ref="C20:D20"/>
    <mergeCell ref="C21:D21"/>
    <mergeCell ref="C18:D18"/>
    <mergeCell ref="A1:F1"/>
    <mergeCell ref="B8:D8"/>
    <mergeCell ref="B9:D9"/>
    <mergeCell ref="B10:D10"/>
    <mergeCell ref="B11:D11"/>
    <mergeCell ref="C13:D13"/>
    <mergeCell ref="C14:D14"/>
    <mergeCell ref="C15:D15"/>
    <mergeCell ref="C16:D16"/>
    <mergeCell ref="C17:D17"/>
  </mergeCells>
  <printOptions horizontalCentered="1" verticalCentered="1"/>
  <pageMargins left="0.78740157480314965" right="0.39370078740157483" top="0.39370078740157483" bottom="0.39370078740157483" header="0.11811023622047245" footer="0.11811023622047245"/>
  <pageSetup paperSize="9" scale="62" orientation="portrait" r:id="rId1"/>
  <headerFooter>
    <oddHeader>&amp;C&amp;F</oddHeader>
    <oddFooter>&amp;R&amp;P/&amp;N</oddFooter>
  </headerFooter>
  <drawing r:id="rId2"/>
  <legacyDrawing r:id="rId3"/>
</worksheet>
</file>

<file path=xl/worksheets/sheet2.xml><?xml version="1.0" encoding="utf-8"?>
<worksheet xmlns="http://schemas.openxmlformats.org/spreadsheetml/2006/main" xmlns:r="http://schemas.openxmlformats.org/officeDocument/2006/relationships">
  <sheetPr>
    <tabColor rgb="FFFF0000"/>
  </sheetPr>
  <dimension ref="A1:Q386"/>
  <sheetViews>
    <sheetView showGridLines="0" view="pageBreakPreview" topLeftCell="A317" zoomScaleNormal="100" zoomScaleSheetLayoutView="100" workbookViewId="0">
      <selection activeCell="C327" sqref="C327:G327"/>
    </sheetView>
  </sheetViews>
  <sheetFormatPr defaultColWidth="9.140625" defaultRowHeight="12.75"/>
  <cols>
    <col min="1" max="1" width="9.140625" style="189" customWidth="1"/>
    <col min="2" max="2" width="12.7109375" style="56" customWidth="1"/>
    <col min="3" max="3" width="13.7109375" style="56" customWidth="1"/>
    <col min="4" max="4" width="44.7109375" style="56" customWidth="1"/>
    <col min="5" max="5" width="7.7109375" style="56" customWidth="1"/>
    <col min="6" max="6" width="10.5703125" style="57" customWidth="1"/>
    <col min="7" max="7" width="12.7109375" style="57" customWidth="1"/>
    <col min="8" max="8" width="11.7109375" style="57" customWidth="1"/>
    <col min="9" max="9" width="17.7109375" style="57" customWidth="1"/>
    <col min="10" max="10" width="9.140625" style="56"/>
    <col min="11" max="11" width="20.140625" style="189" customWidth="1"/>
    <col min="12" max="12" width="9.140625" style="56"/>
    <col min="13" max="13" width="12.85546875" style="56" bestFit="1" customWidth="1"/>
    <col min="14" max="16384" width="9.140625" style="56"/>
  </cols>
  <sheetData>
    <row r="1" spans="1:17" s="76" customFormat="1" ht="15.75">
      <c r="B1" s="688"/>
      <c r="C1" s="688"/>
      <c r="D1" s="688"/>
      <c r="E1" s="688"/>
      <c r="F1" s="688"/>
      <c r="G1" s="688"/>
      <c r="H1" s="688"/>
      <c r="I1" s="688"/>
      <c r="J1" s="77"/>
    </row>
    <row r="2" spans="1:17" s="48" customFormat="1" ht="18.75">
      <c r="A2" s="214"/>
      <c r="B2" s="692" t="s">
        <v>5071</v>
      </c>
      <c r="C2" s="692"/>
      <c r="D2" s="692"/>
      <c r="E2" s="692"/>
      <c r="F2" s="692"/>
      <c r="G2" s="692"/>
      <c r="H2" s="692"/>
      <c r="I2" s="692"/>
      <c r="J2" s="47"/>
      <c r="K2" s="54"/>
      <c r="L2" s="46"/>
      <c r="M2" s="46"/>
      <c r="N2" s="46"/>
      <c r="O2" s="46"/>
      <c r="P2" s="46"/>
    </row>
    <row r="3" spans="1:17" s="48" customFormat="1" ht="18.75">
      <c r="A3" s="214"/>
      <c r="B3" s="692" t="s">
        <v>5072</v>
      </c>
      <c r="C3" s="692"/>
      <c r="D3" s="692"/>
      <c r="E3" s="692"/>
      <c r="F3" s="692"/>
      <c r="G3" s="692"/>
      <c r="H3" s="692"/>
      <c r="I3" s="692"/>
      <c r="J3" s="47"/>
      <c r="K3" s="54"/>
      <c r="L3" s="46"/>
      <c r="M3" s="46"/>
      <c r="N3" s="46"/>
      <c r="O3" s="46"/>
      <c r="P3" s="46"/>
    </row>
    <row r="4" spans="1:17" s="48" customFormat="1" ht="18.75">
      <c r="A4" s="214"/>
      <c r="B4" s="692" t="s">
        <v>5074</v>
      </c>
      <c r="C4" s="692"/>
      <c r="D4" s="692"/>
      <c r="E4" s="692"/>
      <c r="F4" s="692"/>
      <c r="G4" s="692"/>
      <c r="H4" s="692"/>
      <c r="I4" s="692"/>
      <c r="J4" s="46"/>
      <c r="K4" s="54"/>
      <c r="L4" s="46"/>
      <c r="M4" s="46"/>
      <c r="N4" s="46"/>
      <c r="O4" s="46"/>
      <c r="P4" s="46"/>
    </row>
    <row r="5" spans="1:17" s="48" customFormat="1" ht="18.75">
      <c r="A5" s="214"/>
      <c r="B5" s="692" t="s">
        <v>6340</v>
      </c>
      <c r="C5" s="692"/>
      <c r="D5" s="692"/>
      <c r="E5" s="692"/>
      <c r="F5" s="692"/>
      <c r="G5" s="692"/>
      <c r="H5" s="692"/>
      <c r="I5" s="692"/>
      <c r="J5" s="46"/>
      <c r="K5" s="54"/>
      <c r="L5" s="46"/>
      <c r="M5" s="46"/>
      <c r="N5" s="46"/>
      <c r="O5" s="46"/>
      <c r="P5" s="46"/>
    </row>
    <row r="6" spans="1:17" s="48" customFormat="1" ht="12.75" customHeight="1">
      <c r="A6" s="214"/>
      <c r="B6" s="689" t="s">
        <v>61</v>
      </c>
      <c r="C6" s="689"/>
      <c r="D6" s="690" t="s">
        <v>8523</v>
      </c>
      <c r="E6" s="690"/>
      <c r="G6" s="49"/>
      <c r="H6" s="49" t="s">
        <v>62</v>
      </c>
      <c r="I6" s="200">
        <f>'036-20-CAPA'!C19</f>
        <v>44370</v>
      </c>
      <c r="J6" s="47"/>
      <c r="K6" s="54"/>
      <c r="L6" s="46"/>
      <c r="M6" s="46"/>
      <c r="N6" s="46"/>
      <c r="O6" s="46"/>
      <c r="P6" s="46"/>
      <c r="Q6" s="46"/>
    </row>
    <row r="7" spans="1:17" s="48" customFormat="1" ht="45" customHeight="1">
      <c r="A7" s="214"/>
      <c r="B7" s="689" t="s">
        <v>63</v>
      </c>
      <c r="C7" s="689"/>
      <c r="D7" s="693" t="s">
        <v>8375</v>
      </c>
      <c r="E7" s="693"/>
      <c r="F7" s="693"/>
      <c r="G7" s="50"/>
      <c r="H7" s="50" t="s">
        <v>16</v>
      </c>
      <c r="I7" s="133" t="s">
        <v>8374</v>
      </c>
      <c r="J7" s="46"/>
      <c r="K7" s="54"/>
      <c r="L7" s="46"/>
      <c r="M7" s="46"/>
      <c r="N7" s="46"/>
      <c r="O7" s="46"/>
      <c r="P7" s="46"/>
    </row>
    <row r="8" spans="1:17" s="48" customFormat="1" ht="24.75" customHeight="1">
      <c r="A8" s="214"/>
      <c r="B8" s="691" t="s">
        <v>18</v>
      </c>
      <c r="C8" s="689" t="s">
        <v>64</v>
      </c>
      <c r="D8" s="694" t="s">
        <v>6338</v>
      </c>
      <c r="E8" s="694"/>
      <c r="F8" s="694"/>
      <c r="G8" s="190"/>
      <c r="H8" s="326" t="s">
        <v>65</v>
      </c>
      <c r="I8" s="327" t="s">
        <v>6341</v>
      </c>
      <c r="J8" s="47"/>
      <c r="K8" s="54"/>
      <c r="L8" s="46"/>
      <c r="M8" s="46"/>
      <c r="N8" s="46"/>
      <c r="O8" s="46"/>
      <c r="P8" s="46"/>
      <c r="Q8" s="46"/>
    </row>
    <row r="9" spans="1:17" s="48" customFormat="1" ht="29.25" customHeight="1">
      <c r="A9" s="214"/>
      <c r="B9" s="689" t="s">
        <v>66</v>
      </c>
      <c r="C9" s="689"/>
      <c r="D9" s="53" t="s">
        <v>13516</v>
      </c>
      <c r="E9" s="51" t="s">
        <v>67</v>
      </c>
      <c r="F9" s="245" t="s">
        <v>6345</v>
      </c>
      <c r="G9" s="52"/>
      <c r="H9" s="52" t="s">
        <v>69</v>
      </c>
      <c r="I9" s="645" t="s">
        <v>13515</v>
      </c>
      <c r="J9" s="47"/>
      <c r="K9" s="54"/>
      <c r="L9" s="46"/>
      <c r="M9" s="46"/>
      <c r="N9" s="46"/>
      <c r="O9" s="46"/>
      <c r="P9" s="46"/>
      <c r="Q9" s="46"/>
    </row>
    <row r="10" spans="1:17" s="48" customFormat="1" ht="12.75" customHeight="1">
      <c r="A10" s="214"/>
      <c r="B10" s="71"/>
      <c r="C10" s="71"/>
      <c r="D10" s="53"/>
      <c r="E10" s="51"/>
      <c r="F10" s="72"/>
      <c r="G10" s="52"/>
      <c r="H10" s="52"/>
      <c r="I10" s="73"/>
      <c r="J10" s="47"/>
      <c r="K10" s="54"/>
      <c r="L10" s="46"/>
      <c r="M10" s="46"/>
      <c r="N10" s="46"/>
      <c r="O10" s="46"/>
      <c r="P10" s="46"/>
      <c r="Q10" s="46"/>
    </row>
    <row r="11" spans="1:17" s="1" customFormat="1" ht="30">
      <c r="A11" s="64"/>
      <c r="B11" s="328" t="s">
        <v>72</v>
      </c>
      <c r="C11" s="328" t="s">
        <v>0</v>
      </c>
      <c r="D11" s="328" t="s">
        <v>1</v>
      </c>
      <c r="E11" s="329" t="s">
        <v>135</v>
      </c>
      <c r="F11" s="329" t="s">
        <v>2</v>
      </c>
      <c r="G11" s="329" t="s">
        <v>6344</v>
      </c>
      <c r="H11" s="329" t="s">
        <v>6346</v>
      </c>
      <c r="I11" s="329" t="s">
        <v>139</v>
      </c>
      <c r="K11" s="64"/>
    </row>
    <row r="12" spans="1:17" s="87" customFormat="1">
      <c r="A12" s="232"/>
      <c r="B12" s="88" t="s">
        <v>73</v>
      </c>
      <c r="C12" s="88"/>
      <c r="D12" s="151" t="s">
        <v>130</v>
      </c>
      <c r="E12" s="152"/>
      <c r="F12" s="152"/>
      <c r="G12" s="152"/>
      <c r="H12" s="152"/>
      <c r="I12" s="153"/>
      <c r="K12" s="232"/>
    </row>
    <row r="13" spans="1:17" s="87" customFormat="1">
      <c r="A13" s="232"/>
      <c r="B13" s="88" t="s">
        <v>6772</v>
      </c>
      <c r="C13" s="88"/>
      <c r="D13" s="151" t="s">
        <v>6773</v>
      </c>
      <c r="E13" s="152"/>
      <c r="F13" s="152"/>
      <c r="G13" s="152"/>
      <c r="H13" s="152"/>
      <c r="I13" s="153"/>
      <c r="K13" s="232"/>
    </row>
    <row r="14" spans="1:17" s="87" customFormat="1">
      <c r="A14" s="232"/>
      <c r="B14" s="88" t="s">
        <v>6775</v>
      </c>
      <c r="C14" s="88"/>
      <c r="D14" s="151" t="s">
        <v>6774</v>
      </c>
      <c r="E14" s="152"/>
      <c r="F14" s="152"/>
      <c r="G14" s="152"/>
      <c r="H14" s="152"/>
      <c r="I14" s="153"/>
      <c r="K14" s="232"/>
    </row>
    <row r="15" spans="1:17" s="87" customFormat="1">
      <c r="A15" s="232"/>
      <c r="B15" s="88" t="s">
        <v>6776</v>
      </c>
      <c r="C15" s="88"/>
      <c r="D15" s="151" t="s">
        <v>6777</v>
      </c>
      <c r="E15" s="152"/>
      <c r="F15" s="152"/>
      <c r="G15" s="152"/>
      <c r="H15" s="152"/>
      <c r="I15" s="153"/>
      <c r="K15" s="232"/>
    </row>
    <row r="16" spans="1:17" s="87" customFormat="1" ht="63.75">
      <c r="A16" s="232" t="s">
        <v>4543</v>
      </c>
      <c r="B16" s="324" t="s">
        <v>6778</v>
      </c>
      <c r="C16" s="324" t="s">
        <v>6779</v>
      </c>
      <c r="D16" s="451" t="str">
        <f>IF(A16="SERVIÇO",VLOOKUP(C16,SERVIÇOS!$A$6:$D$7645,2,0),IF(A16="INSUMO",VLOOKUP(C16,INSUMOS!$A$6:$D$6961,2,0),IF('036.01-20-SERV. GERAIS'!A16="COTAÇÃO",VLOOKUP('036.01-20-SERV. GERAIS'!C16,'036-20-Cotação'!$A$9:$G$529,2,0),IF('036.01-20-SERV. GERAIS'!A16="CCU",VLOOKUP('036.01-20-SERV. GERAIS'!C16,'036-20-CCU''s'!$B$9:$H$1962,2,0)))))</f>
        <v xml:space="preserve">PROJETO EXECUTIVO DO CANTEIRO DE OBRA, COMPLETO, INCLUSIVE PISTAS DE ACESSOS, CONTENÇÃO E ATRACADOURO. INCLUSO TODAS AS TAXAS E DESPESAS PARA APROVAÇÕES E LICENCIAMENTOS  </v>
      </c>
      <c r="E16" s="452" t="str">
        <f>IF(A16="SERVIÇO",VLOOKUP(C16,SERVIÇOS!$A$6:$D$7645,3,0),IF(A16="INSUMO",VLOOKUP(C16,INSUMOS!$A$6:$D$6961,3,0),IF('036.01-20-SERV. GERAIS'!A16="COTAÇÃO",VLOOKUP('036.01-20-SERV. GERAIS'!C16,'036-20-Cotação'!$A$9:$G$529,4,0),IF('036.01-20-SERV. GERAIS'!A16="CCU",VLOOKUP('036.01-20-SERV. GERAIS'!C16,'036-20-CCU''s'!$B$9:$H$1962,4,0)))))</f>
        <v xml:space="preserve">UN </v>
      </c>
      <c r="F16" s="453">
        <v>1</v>
      </c>
      <c r="G16" s="534">
        <f>IF(A16="SERVIÇO",VLOOKUP(C16,SERVIÇOS!$A$6:$D$7645,4,0),IF(A16="INSUMO",VLOOKUP(C16,INSUMOS!$A$6:$D$6961,4,0),IF('036.01-20-SERV. GERAIS'!A16="COTAÇÃO",VLOOKUP('036.01-20-SERV. GERAIS'!C16,'036-20-Cotação'!$A$9:$G$529,3,0),IF('036.01-20-SERV. GERAIS'!A16="CCU",VLOOKUP('036.01-20-SERV. GERAIS'!C16,'036-20-CCU''s'!$B$9:$H$1962,7,0)))))</f>
        <v>24844.911689894536</v>
      </c>
      <c r="H16" s="528">
        <f>BDI_O.A.E!$H$22</f>
        <v>0.18201100192553743</v>
      </c>
      <c r="I16" s="535">
        <f>F16*(G16*(1+H16))</f>
        <v>29366.958959323736</v>
      </c>
      <c r="K16" s="232">
        <f>F16*(G16*(1+H16))</f>
        <v>29366.958959323736</v>
      </c>
    </row>
    <row r="17" spans="1:11" s="87" customFormat="1">
      <c r="A17" s="232"/>
      <c r="B17" s="88" t="s">
        <v>6789</v>
      </c>
      <c r="C17" s="88"/>
      <c r="D17" s="151" t="s">
        <v>6790</v>
      </c>
      <c r="E17" s="152"/>
      <c r="F17" s="152"/>
      <c r="G17" s="152"/>
      <c r="H17" s="152"/>
      <c r="I17" s="153"/>
      <c r="K17" s="232">
        <f t="shared" ref="K17:K83" si="0">F17*(G17*(1+H17))</f>
        <v>0</v>
      </c>
    </row>
    <row r="18" spans="1:11" s="87" customFormat="1" ht="127.5">
      <c r="A18" s="232" t="s">
        <v>4543</v>
      </c>
      <c r="B18" s="324" t="s">
        <v>6840</v>
      </c>
      <c r="C18" s="324" t="s">
        <v>6788</v>
      </c>
      <c r="D18" s="451" t="str">
        <f>IF(A18="SERVIÇO",VLOOKUP(C18,SERVIÇOS!$A$6:$D$7645,2,0),IF(A18="INSUMO",VLOOKUP(C18,INSUMOS!$A$6:$D$6961,2,0),IF('036.01-20-SERV. GERAIS'!A18="COTAÇÃO",VLOOKUP('036.01-20-SERV. GERAIS'!C18,'036-20-Cotação'!$A$9:$G$529,2,0),IF('036.01-20-SERV. GERAIS'!A18="CCU",VLOOKUP('036.01-20-SERV. GERAIS'!C18,'036-20-CCU''s'!$B$9:$H$1962,2,0)))))</f>
        <v xml:space="preserve">PROJETO EXECUTIVO DE ENSECADEIRA METÁLICA COM DETALHAMENTO DE PEÇA COM DETALHAMENTO DO FASEAMENTO (ETAPAS) DE MONTAGEM. INCLUINDO MEMÓRIA DE CÁLCULO, QUANTITATIVOS, ESPECIFICAÇÕES TÉCNICAS PROCEDIMENTOS DA MONTAGEM E DESMONTAGEM. INCLUSO TODAS AS TAXAS E DESPESAS NECESSARIAS PARA ELABORAÇÃO E APROVAÇÕES.   </v>
      </c>
      <c r="E18" s="452" t="str">
        <f>IF(A18="SERVIÇO",VLOOKUP(C18,SERVIÇOS!$A$6:$D$7645,3,0),IF(A18="INSUMO",VLOOKUP(C18,INSUMOS!$A$6:$D$6961,3,0),IF('036.01-20-SERV. GERAIS'!A18="COTAÇÃO",VLOOKUP('036.01-20-SERV. GERAIS'!C18,'036-20-Cotação'!$A$9:$G$529,4,0),IF('036.01-20-SERV. GERAIS'!A18="CCU",VLOOKUP('036.01-20-SERV. GERAIS'!C18,'036-20-CCU''s'!$B$9:$H$1962,4,0)))))</f>
        <v xml:space="preserve">UN </v>
      </c>
      <c r="F18" s="453">
        <v>1</v>
      </c>
      <c r="G18" s="534">
        <f>IF(A18="SERVIÇO",VLOOKUP(C18,SERVIÇOS!$A$6:$D$7645,4,0),IF(A18="INSUMO",VLOOKUP(C18,INSUMOS!$A$6:$D$6961,4,0),IF('036.01-20-SERV. GERAIS'!A18="COTAÇÃO",VLOOKUP('036.01-20-SERV. GERAIS'!C18,'036-20-Cotação'!$A$9:$G$529,3,0),IF('036.01-20-SERV. GERAIS'!A18="CCU",VLOOKUP('036.01-20-SERV. GERAIS'!C18,'036-20-CCU''s'!$B$9:$H$1962,7,0)))))</f>
        <v>69662.226429999995</v>
      </c>
      <c r="H18" s="528">
        <f>BDI_O.A.E!$H$22</f>
        <v>0.18201100192553743</v>
      </c>
      <c r="I18" s="535">
        <f>F18*(G18*(1+H18))</f>
        <v>82341.518058887945</v>
      </c>
      <c r="K18" s="232">
        <f t="shared" si="0"/>
        <v>82341.518058887945</v>
      </c>
    </row>
    <row r="19" spans="1:11" s="87" customFormat="1">
      <c r="A19" s="232"/>
      <c r="B19" s="88" t="s">
        <v>6791</v>
      </c>
      <c r="C19" s="88"/>
      <c r="D19" s="151" t="s">
        <v>6792</v>
      </c>
      <c r="E19" s="152"/>
      <c r="F19" s="152"/>
      <c r="G19" s="152"/>
      <c r="H19" s="152"/>
      <c r="I19" s="153"/>
      <c r="K19" s="232">
        <f t="shared" si="0"/>
        <v>0</v>
      </c>
    </row>
    <row r="20" spans="1:11" s="87" customFormat="1" ht="127.5">
      <c r="A20" s="232" t="s">
        <v>4543</v>
      </c>
      <c r="B20" s="324" t="s">
        <v>6841</v>
      </c>
      <c r="C20" s="324" t="s">
        <v>6793</v>
      </c>
      <c r="D20" s="451" t="str">
        <f>IF(A20="SERVIÇO",VLOOKUP(C20,SERVIÇOS!$A$6:$D$7645,2,0),IF(A20="INSUMO",VLOOKUP(C20,INSUMOS!$A$6:$D$6961,2,0),IF('036.01-20-SERV. GERAIS'!A20="COTAÇÃO",VLOOKUP('036.01-20-SERV. GERAIS'!C20,'036-20-Cotação'!$A$9:$G$529,2,0),IF('036.01-20-SERV. GERAIS'!A20="CCU",VLOOKUP('036.01-20-SERV. GERAIS'!C20,'036-20-CCU''s'!$B$9:$H$1962,2,0)))))</f>
        <v xml:space="preserve">PROJETO EXECUTIVO DE PAVIMENTAÇÃO, INCLUSO CADASTRAMENTO E AVALIAÇÃO DO PAVIMENTO EXISTENTE, LEVANTAMENO DE DANOS, SOLUÇÕES, QUANTITATIVOS, MEMORIA DE CÁLCULO, AVALIAÇÃO DO DIMENSIONAMENTO DA CAPA, RELATÓRIOS, ESPECIFICAÇÕES TÉCNICAS E PROCEDIMENTOS EXECUTIVOS. INCLUSO TODAS AS TAXAS E DESPESAS PARA APROVAÇÕES E LICENCIAMENTOS    </v>
      </c>
      <c r="E20" s="452" t="str">
        <f>IF(A20="SERVIÇO",VLOOKUP(C20,SERVIÇOS!$A$6:$D$7645,3,0),IF(A20="INSUMO",VLOOKUP(C20,INSUMOS!$A$6:$D$6961,3,0),IF('036.01-20-SERV. GERAIS'!A20="COTAÇÃO",VLOOKUP('036.01-20-SERV. GERAIS'!C20,'036-20-Cotação'!$A$9:$G$529,4,0),IF('036.01-20-SERV. GERAIS'!A20="CCU",VLOOKUP('036.01-20-SERV. GERAIS'!C20,'036-20-CCU''s'!$B$9:$H$1962,4,0)))))</f>
        <v xml:space="preserve">UN </v>
      </c>
      <c r="F20" s="453">
        <v>1</v>
      </c>
      <c r="G20" s="534">
        <f>IF(A20="SERVIÇO",VLOOKUP(C20,SERVIÇOS!$A$6:$D$7645,4,0),IF(A20="INSUMO",VLOOKUP(C20,INSUMOS!$A$6:$D$6961,4,0),IF('036.01-20-SERV. GERAIS'!A20="COTAÇÃO",VLOOKUP('036.01-20-SERV. GERAIS'!C20,'036-20-Cotação'!$A$9:$G$529,3,0),IF('036.01-20-SERV. GERAIS'!A20="CCU",VLOOKUP('036.01-20-SERV. GERAIS'!C20,'036-20-CCU''s'!$B$9:$H$1962,7,0)))))</f>
        <v>22514.758515000001</v>
      </c>
      <c r="H20" s="528">
        <f>BDI_O.A.E!$H$22</f>
        <v>0.18201100192553743</v>
      </c>
      <c r="I20" s="535">
        <f t="shared" ref="I20:I37" si="1">F20*(G20*(1+H20))</f>
        <v>26612.692270426676</v>
      </c>
      <c r="K20" s="232">
        <f t="shared" si="0"/>
        <v>26612.692270426676</v>
      </c>
    </row>
    <row r="21" spans="1:11" s="87" customFormat="1">
      <c r="A21" s="232"/>
      <c r="B21" s="88" t="s">
        <v>6795</v>
      </c>
      <c r="C21" s="88"/>
      <c r="D21" s="215" t="s">
        <v>6796</v>
      </c>
      <c r="E21" s="152"/>
      <c r="F21" s="152"/>
      <c r="G21" s="152"/>
      <c r="H21" s="152"/>
      <c r="I21" s="153"/>
      <c r="K21" s="232">
        <f t="shared" si="0"/>
        <v>0</v>
      </c>
    </row>
    <row r="22" spans="1:11" s="87" customFormat="1" ht="89.25">
      <c r="A22" s="232" t="s">
        <v>4543</v>
      </c>
      <c r="B22" s="324" t="s">
        <v>6842</v>
      </c>
      <c r="C22" s="324" t="s">
        <v>6797</v>
      </c>
      <c r="D22" s="451" t="str">
        <f>IF(A22="SERVIÇO",VLOOKUP(C22,SERVIÇOS!$A$6:$D$7645,2,0),IF(A22="INSUMO",VLOOKUP(C22,INSUMOS!$A$6:$D$6961,2,0),IF('036.01-20-SERV. GERAIS'!A22="COTAÇÃO",VLOOKUP('036.01-20-SERV. GERAIS'!C22,'036-20-Cotação'!$A$9:$G$529,2,0),IF('036.01-20-SERV. GERAIS'!A22="CCU",VLOOKUP('036.01-20-SERV. GERAIS'!C22,'036-20-CCU''s'!$B$9:$H$1962,2,0)))))</f>
        <v xml:space="preserve">PROJETO EXECUTIVO DA SINALIZAÇÃO VIÁRIA E NÁUTICA PROVISÓRIOA, INCLUSIVE RELATÓRIOS JUSTIFICATIVO DA SOLUÇÃO, ESPECIFICAÇÕES TÉCNICAS, QUANTITATIVOS, MEMORIAIS E PROCEDIMENTOS EXECUTIVOS. INCLUSO TODAS AS TAXAS E DESPESAS PARA APROVAÇÕES E LICENCIAMENTOS  </v>
      </c>
      <c r="E22" s="452" t="str">
        <f>IF(A22="SERVIÇO",VLOOKUP(C22,SERVIÇOS!$A$6:$D$7645,3,0),IF(A22="INSUMO",VLOOKUP(C22,INSUMOS!$A$6:$D$6961,3,0),IF('036.01-20-SERV. GERAIS'!A22="COTAÇÃO",VLOOKUP('036.01-20-SERV. GERAIS'!C22,'036-20-Cotação'!$A$9:$G$529,4,0),IF('036.01-20-SERV. GERAIS'!A22="CCU",VLOOKUP('036.01-20-SERV. GERAIS'!C22,'036-20-CCU''s'!$B$9:$H$1962,4,0)))))</f>
        <v xml:space="preserve">UN </v>
      </c>
      <c r="F22" s="453">
        <v>1</v>
      </c>
      <c r="G22" s="534">
        <f>IF(A22="SERVIÇO",VLOOKUP(C22,SERVIÇOS!$A$6:$D$7645,4,0),IF(A22="INSUMO",VLOOKUP(C22,INSUMOS!$A$6:$D$6961,4,0),IF('036.01-20-SERV. GERAIS'!A22="COTAÇÃO",VLOOKUP('036.01-20-SERV. GERAIS'!C22,'036-20-Cotação'!$A$9:$G$529,3,0),IF('036.01-20-SERV. GERAIS'!A22="CCU",VLOOKUP('036.01-20-SERV. GERAIS'!C22,'036-20-CCU''s'!$B$9:$H$1962,7,0)))))</f>
        <v>8624.2828850000005</v>
      </c>
      <c r="H22" s="528">
        <f>BDI_O.A.E!$H$22</f>
        <v>0.18201100192553743</v>
      </c>
      <c r="I22" s="535">
        <f t="shared" si="1"/>
        <v>10193.997253788115</v>
      </c>
      <c r="K22" s="232">
        <f t="shared" si="0"/>
        <v>10193.997253788115</v>
      </c>
    </row>
    <row r="23" spans="1:11" s="87" customFormat="1" ht="89.25">
      <c r="A23" s="232" t="s">
        <v>4543</v>
      </c>
      <c r="B23" s="324" t="s">
        <v>6843</v>
      </c>
      <c r="C23" s="324" t="s">
        <v>8305</v>
      </c>
      <c r="D23" s="451" t="str">
        <f>IF(A23="SERVIÇO",VLOOKUP(C23,SERVIÇOS!$A$6:$D$7645,2,0),IF(A23="INSUMO",VLOOKUP(C23,INSUMOS!$A$6:$D$6961,2,0),IF('036.01-20-SERV. GERAIS'!A23="COTAÇÃO",VLOOKUP('036.01-20-SERV. GERAIS'!C23,'036-20-Cotação'!$A$9:$G$529,2,0),IF('036.01-20-SERV. GERAIS'!A23="CCU",VLOOKUP('036.01-20-SERV. GERAIS'!C23,'036-20-CCU''s'!$B$9:$H$1962,2,0)))))</f>
        <v xml:space="preserve">PROJETO EXECUTIVO DA SINALIZAÇÃO VIÁRIA E NÁUTICA PERMANENTE, INCLUSIVE RELATÓRIOS JUSTIFICATIVO DA SOLUÇÃO, ESPECIFICAÇÕES TÉCNICAS, QUANTITATIVOS, MEMORIAIS E PROCEDIMENTOS EXECUTIVOS. INCLUSO TODAS AS TAXAS E DESPESAS PARA APROVAÇÕES E LICENCIAMENTOS  </v>
      </c>
      <c r="E23" s="452" t="str">
        <f>IF(A23="SERVIÇO",VLOOKUP(C23,SERVIÇOS!$A$6:$D$7645,3,0),IF(A23="INSUMO",VLOOKUP(C23,INSUMOS!$A$6:$D$6961,3,0),IF('036.01-20-SERV. GERAIS'!A23="COTAÇÃO",VLOOKUP('036.01-20-SERV. GERAIS'!C23,'036-20-Cotação'!$A$9:$G$529,4,0),IF('036.01-20-SERV. GERAIS'!A23="CCU",VLOOKUP('036.01-20-SERV. GERAIS'!C23,'036-20-CCU''s'!$B$9:$H$1962,4,0)))))</f>
        <v xml:space="preserve">UN </v>
      </c>
      <c r="F23" s="453">
        <v>1</v>
      </c>
      <c r="G23" s="534">
        <f>IF(A23="SERVIÇO",VLOOKUP(C23,SERVIÇOS!$A$6:$D$7645,4,0),IF(A23="INSUMO",VLOOKUP(C23,INSUMOS!$A$6:$D$6961,4,0),IF('036.01-20-SERV. GERAIS'!A23="COTAÇÃO",VLOOKUP('036.01-20-SERV. GERAIS'!C23,'036-20-Cotação'!$A$9:$G$529,3,0),IF('036.01-20-SERV. GERAIS'!A23="CCU",VLOOKUP('036.01-20-SERV. GERAIS'!C23,'036-20-CCU''s'!$B$9:$H$1962,7,0)))))</f>
        <v>9285.713291</v>
      </c>
      <c r="H23" s="528">
        <f>BDI_O.A.E!$H$22</f>
        <v>0.18201100192553743</v>
      </c>
      <c r="I23" s="535">
        <f t="shared" ref="I23" si="2">F23*(G23*(1+H23))</f>
        <v>10975.81527068819</v>
      </c>
      <c r="K23" s="232">
        <f t="shared" si="0"/>
        <v>10975.81527068819</v>
      </c>
    </row>
    <row r="24" spans="1:11" s="87" customFormat="1" ht="25.5">
      <c r="A24" s="232" t="s">
        <v>4543</v>
      </c>
      <c r="B24" s="324" t="s">
        <v>8307</v>
      </c>
      <c r="C24" s="324" t="s">
        <v>6798</v>
      </c>
      <c r="D24" s="451" t="str">
        <f>IF(A24="SERVIÇO",VLOOKUP(C24,SERVIÇOS!$A$6:$D$7645,2,0),IF(A24="INSUMO",VLOOKUP(C24,INSUMOS!$A$6:$D$6961,2,0),IF('036.01-20-SERV. GERAIS'!A24="COTAÇÃO",VLOOKUP('036.01-20-SERV. GERAIS'!C24,'036-20-Cotação'!$A$9:$G$529,2,0),IF('036.01-20-SERV. GERAIS'!A24="CCU",VLOOKUP('036.01-20-SERV. GERAIS'!C24,'036-20-CCU''s'!$B$9:$H$1962,2,0)))))</f>
        <v xml:space="preserve">ESTUDO DE IMPACTO DE TRANSITO DURANTE A INTERDIÇÃO DA PONTE   </v>
      </c>
      <c r="E24" s="452" t="str">
        <f>IF(A24="SERVIÇO",VLOOKUP(C24,SERVIÇOS!$A$6:$D$7645,3,0),IF(A24="INSUMO",VLOOKUP(C24,INSUMOS!$A$6:$D$6961,3,0),IF('036.01-20-SERV. GERAIS'!A24="COTAÇÃO",VLOOKUP('036.01-20-SERV. GERAIS'!C24,'036-20-Cotação'!$A$9:$G$529,4,0),IF('036.01-20-SERV. GERAIS'!A24="CCU",VLOOKUP('036.01-20-SERV. GERAIS'!C24,'036-20-CCU''s'!$B$9:$H$1962,4,0)))))</f>
        <v xml:space="preserve">UN </v>
      </c>
      <c r="F24" s="453">
        <v>1</v>
      </c>
      <c r="G24" s="534">
        <f>IF(A24="SERVIÇO",VLOOKUP(C24,SERVIÇOS!$A$6:$D$7645,4,0),IF(A24="INSUMO",VLOOKUP(C24,INSUMOS!$A$6:$D$6961,4,0),IF('036.01-20-SERV. GERAIS'!A24="COTAÇÃO",VLOOKUP('036.01-20-SERV. GERAIS'!C24,'036-20-Cotação'!$A$9:$G$529,3,0),IF('036.01-20-SERV. GERAIS'!A24="CCU",VLOOKUP('036.01-20-SERV. GERAIS'!C24,'036-20-CCU''s'!$B$9:$H$1962,7,0)))))</f>
        <v>37676.366479999997</v>
      </c>
      <c r="H24" s="528">
        <f>BDI_O.A.E!$H$22</f>
        <v>0.18201100192553743</v>
      </c>
      <c r="I24" s="535">
        <f t="shared" si="1"/>
        <v>44533.879691938528</v>
      </c>
      <c r="K24" s="232">
        <f t="shared" si="0"/>
        <v>44533.879691938528</v>
      </c>
    </row>
    <row r="25" spans="1:11" s="87" customFormat="1">
      <c r="A25" s="232"/>
      <c r="B25" s="88" t="s">
        <v>6844</v>
      </c>
      <c r="C25" s="88"/>
      <c r="D25" s="215" t="s">
        <v>13444</v>
      </c>
      <c r="E25" s="152"/>
      <c r="F25" s="152"/>
      <c r="G25" s="152"/>
      <c r="H25" s="152"/>
      <c r="I25" s="153"/>
      <c r="K25" s="232">
        <f t="shared" si="0"/>
        <v>0</v>
      </c>
    </row>
    <row r="26" spans="1:11" s="87" customFormat="1" ht="153">
      <c r="A26" s="232" t="s">
        <v>4543</v>
      </c>
      <c r="B26" s="324" t="s">
        <v>6845</v>
      </c>
      <c r="C26" s="324" t="s">
        <v>6800</v>
      </c>
      <c r="D26" s="451" t="str">
        <f>IF(A26="SERVIÇO",VLOOKUP(C26,SERVIÇOS!$A$6:$D$7645,2,0),IF(A26="INSUMO",VLOOKUP(C26,INSUMOS!$A$6:$D$6961,2,0),IF('036.01-20-SERV. GERAIS'!A26="COTAÇÃO",VLOOKUP('036.01-20-SERV. GERAIS'!C26,'036-20-Cotação'!$A$9:$G$529,2,0),IF('036.01-20-SERV. GERAIS'!A26="CCU",VLOOKUP('036.01-20-SERV. GERAIS'!C26,'036-20-CCU''s'!$B$9:$H$1962,2,0)))))</f>
        <v xml:space="preserve">PROJETO EXECUTIVO PARA SUBSTITUIÇÃO DO SISTEMA DE TIRANTES/ESTAIS, ALTERNATIVAS ÁS ORIGINAIS, CERTIFICADAS QUANTO A ESTANQUEIDADE, INCLUSIVE RELATÓRIO DAS FORÇAS ATUAIS E PÓS SERVIÇO EXECUTADO. INCLUINDO MEMÓRIA DE CÁLCULO, QUANTITATIVOS, ESPECIFICAÇÕES TÉCNICAS PROCEDIMENTOS DA MONTAGEM E DESMONTAGEM INCLUSO TODAS AS TAXAS E DESPESAS NECESSARIAS PARA ELABORAÇÃO E APROVAÇÕES.   </v>
      </c>
      <c r="E26" s="452" t="str">
        <f>IF(A26="SERVIÇO",VLOOKUP(C26,SERVIÇOS!$A$6:$D$7645,3,0),IF(A26="INSUMO",VLOOKUP(C26,INSUMOS!$A$6:$D$6961,3,0),IF('036.01-20-SERV. GERAIS'!A26="COTAÇÃO",VLOOKUP('036.01-20-SERV. GERAIS'!C26,'036-20-Cotação'!$A$9:$G$529,4,0),IF('036.01-20-SERV. GERAIS'!A26="CCU",VLOOKUP('036.01-20-SERV. GERAIS'!C26,'036-20-CCU''s'!$B$9:$H$1962,4,0)))))</f>
        <v xml:space="preserve">UN </v>
      </c>
      <c r="F26" s="453">
        <v>1</v>
      </c>
      <c r="G26" s="534">
        <f>IF(A26="SERVIÇO",VLOOKUP(C26,SERVIÇOS!$A$6:$D$7645,4,0),IF(A26="INSUMO",VLOOKUP(C26,INSUMOS!$A$6:$D$6961,4,0),IF('036.01-20-SERV. GERAIS'!A26="COTAÇÃO",VLOOKUP('036.01-20-SERV. GERAIS'!C26,'036-20-Cotação'!$A$9:$G$529,3,0),IF('036.01-20-SERV. GERAIS'!A26="CCU",VLOOKUP('036.01-20-SERV. GERAIS'!C26,'036-20-CCU''s'!$B$9:$H$1962,7,0)))))</f>
        <v>144112.5288</v>
      </c>
      <c r="H26" s="528">
        <f>BDI_O.A.E!$H$22</f>
        <v>0.18201100192553743</v>
      </c>
      <c r="I26" s="535">
        <f t="shared" si="1"/>
        <v>170342.59455691086</v>
      </c>
      <c r="K26" s="232">
        <f t="shared" si="0"/>
        <v>170342.59455691086</v>
      </c>
    </row>
    <row r="27" spans="1:11" s="87" customFormat="1" ht="127.5">
      <c r="A27" s="232" t="s">
        <v>4543</v>
      </c>
      <c r="B27" s="324" t="s">
        <v>13445</v>
      </c>
      <c r="C27" s="324" t="s">
        <v>13446</v>
      </c>
      <c r="D27" s="451" t="str">
        <f>IF(A27="SERVIÇO",VLOOKUP(C27,SERVIÇOS!$A$6:$D$7645,2,0),IF(A27="INSUMO",VLOOKUP(C27,INSUMOS!$A$6:$D$6961,2,0),IF('036.01-20-SERV. GERAIS'!A27="COTAÇÃO",VLOOKUP('036.01-20-SERV. GERAIS'!C27,'036-20-Cotação'!$A$9:$G$529,2,0),IF('036.01-20-SERV. GERAIS'!A27="CCU",VLOOKUP('036.01-20-SERV. GERAIS'!C27,'036-20-CCU''s'!$B$9:$H$1962,2,0)))))</f>
        <v>ELABORAÇÃO DE MODELO NUMÉRICO ESPACIAL, COM MÉTODO DOS ELEMENTOS FINITOS (MEF), PARA AVALIAÇÃO DO COMPORTAMENTO ESTRUTURAL NA ETAPA DE PROJETO EXECUTIVO, COM ATUALIZAÇÃO DURANTE E APÓS A REALIZAÇÃO DOS SERVIÇOS DE SUBSTITUIÇÃO DOS TIRANTES, DE ACORDO COM AS PREMISSAS DO CADERNO DE ESPECIFICAÇÕES DE ESTRUTURA.</v>
      </c>
      <c r="E27" s="452" t="str">
        <f>IF(A27="SERVIÇO",VLOOKUP(C27,SERVIÇOS!$A$6:$D$7645,3,0),IF(A27="INSUMO",VLOOKUP(C27,INSUMOS!$A$6:$D$6961,3,0),IF('036.01-20-SERV. GERAIS'!A27="COTAÇÃO",VLOOKUP('036.01-20-SERV. GERAIS'!C27,'036-20-Cotação'!$A$9:$G$529,4,0),IF('036.01-20-SERV. GERAIS'!A27="CCU",VLOOKUP('036.01-20-SERV. GERAIS'!C27,'036-20-CCU''s'!$B$9:$H$1962,4,0)))))</f>
        <v xml:space="preserve">UN </v>
      </c>
      <c r="F27" s="453">
        <v>1</v>
      </c>
      <c r="G27" s="534">
        <f>IF(A27="SERVIÇO",VLOOKUP(C27,SERVIÇOS!$A$6:$D$7645,4,0),IF(A27="INSUMO",VLOOKUP(C27,INSUMOS!$A$6:$D$6961,4,0),IF('036.01-20-SERV. GERAIS'!A27="COTAÇÃO",VLOOKUP('036.01-20-SERV. GERAIS'!C27,'036-20-Cotação'!$A$9:$G$529,3,0),IF('036.01-20-SERV. GERAIS'!A27="CCU",VLOOKUP('036.01-20-SERV. GERAIS'!C27,'036-20-CCU''s'!$B$9:$H$1962,7,0)))))</f>
        <v>215708.4276</v>
      </c>
      <c r="H27" s="528">
        <f>BDI_O.A.E!$H$22</f>
        <v>0.18201100192553743</v>
      </c>
      <c r="I27" s="535">
        <f t="shared" ref="I27" si="3">F27*(G27*(1+H27))</f>
        <v>254969.73463125824</v>
      </c>
      <c r="K27" s="232">
        <f t="shared" ref="K27" si="4">F27*(G27*(1+H27))</f>
        <v>254969.73463125824</v>
      </c>
    </row>
    <row r="28" spans="1:11" s="87" customFormat="1">
      <c r="A28" s="232"/>
      <c r="B28" s="88" t="s">
        <v>6846</v>
      </c>
      <c r="C28" s="88"/>
      <c r="D28" s="215" t="s">
        <v>6807</v>
      </c>
      <c r="E28" s="152"/>
      <c r="F28" s="152"/>
      <c r="G28" s="152"/>
      <c r="H28" s="152"/>
      <c r="I28" s="153"/>
      <c r="K28" s="232">
        <f t="shared" si="0"/>
        <v>0</v>
      </c>
    </row>
    <row r="29" spans="1:11" s="87" customFormat="1" ht="102">
      <c r="A29" s="232" t="s">
        <v>4543</v>
      </c>
      <c r="B29" s="324" t="s">
        <v>6847</v>
      </c>
      <c r="C29" s="324" t="s">
        <v>6802</v>
      </c>
      <c r="D29" s="451" t="str">
        <f>IF(A29="SERVIÇO",VLOOKUP(C29,SERVIÇOS!$A$6:$D$7645,2,0),IF(A29="INSUMO",VLOOKUP(C29,INSUMOS!$A$6:$D$6961,2,0),IF('036.01-20-SERV. GERAIS'!A29="COTAÇÃO",VLOOKUP('036.01-20-SERV. GERAIS'!C29,'036-20-Cotação'!$A$9:$G$529,2,0),IF('036.01-20-SERV. GERAIS'!A29="CCU",VLOOKUP('036.01-20-SERV. GERAIS'!C29,'036-20-CCU''s'!$B$9:$H$1962,2,0)))))</f>
        <v xml:space="preserve">PROJETO EXECUTIVO DE RECUPERAÇÃO DOS PILARES RETOS E INCLINADOS, INCLUINDO MEMÓRIA DE CÁLCULO, ESPECIFICAÇÕES TÉCNICAS, PROCEDIMENTOS DA EXECUÇÃO DO SERVIÇOS, QUANTITATIVOS E FASEAMENTO DE INSPEÇÃO INCLUSO TODAS AS TAXAS E DESPESAS NECESSARIAS PARA ELABORAÇÃO E APROVAÇÕES.   </v>
      </c>
      <c r="E29" s="452" t="str">
        <f>IF(A29="SERVIÇO",VLOOKUP(C29,SERVIÇOS!$A$6:$D$7645,3,0),IF(A29="INSUMO",VLOOKUP(C29,INSUMOS!$A$6:$D$6961,3,0),IF('036.01-20-SERV. GERAIS'!A29="COTAÇÃO",VLOOKUP('036.01-20-SERV. GERAIS'!C29,'036-20-Cotação'!$A$9:$G$529,4,0),IF('036.01-20-SERV. GERAIS'!A29="CCU",VLOOKUP('036.01-20-SERV. GERAIS'!C29,'036-20-CCU''s'!$B$9:$H$1962,4,0)))))</f>
        <v xml:space="preserve">UN </v>
      </c>
      <c r="F29" s="453">
        <v>1</v>
      </c>
      <c r="G29" s="534">
        <f>IF(A29="SERVIÇO",VLOOKUP(C29,SERVIÇOS!$A$6:$D$7645,4,0),IF(A29="INSUMO",VLOOKUP(C29,INSUMOS!$A$6:$D$6961,4,0),IF('036.01-20-SERV. GERAIS'!A29="COTAÇÃO",VLOOKUP('036.01-20-SERV. GERAIS'!C29,'036-20-Cotação'!$A$9:$G$529,3,0),IF('036.01-20-SERV. GERAIS'!A29="CCU",VLOOKUP('036.01-20-SERV. GERAIS'!C29,'036-20-CCU''s'!$B$9:$H$1962,7,0)))))</f>
        <v>44415.563949999996</v>
      </c>
      <c r="H29" s="528">
        <f>BDI_O.A.E!$H$22</f>
        <v>0.18201100192553743</v>
      </c>
      <c r="I29" s="535">
        <f t="shared" si="1"/>
        <v>52499.685245627275</v>
      </c>
      <c r="K29" s="232">
        <f t="shared" si="0"/>
        <v>52499.685245627275</v>
      </c>
    </row>
    <row r="30" spans="1:11" s="87" customFormat="1">
      <c r="A30" s="232"/>
      <c r="B30" s="88" t="s">
        <v>6848</v>
      </c>
      <c r="C30" s="88"/>
      <c r="D30" s="215" t="s">
        <v>6811</v>
      </c>
      <c r="E30" s="152"/>
      <c r="F30" s="152"/>
      <c r="G30" s="152"/>
      <c r="H30" s="152"/>
      <c r="I30" s="153"/>
      <c r="K30" s="232">
        <f t="shared" si="0"/>
        <v>0</v>
      </c>
    </row>
    <row r="31" spans="1:11" s="87" customFormat="1" ht="63.75">
      <c r="A31" s="232" t="s">
        <v>4543</v>
      </c>
      <c r="B31" s="324" t="s">
        <v>6849</v>
      </c>
      <c r="C31" s="324" t="s">
        <v>6803</v>
      </c>
      <c r="D31" s="451" t="str">
        <f>IF(A31="SERVIÇO",VLOOKUP(C31,SERVIÇOS!$A$6:$D$7645,2,0),IF(A31="INSUMO",VLOOKUP(C31,INSUMOS!$A$6:$D$6961,2,0),IF('036.01-20-SERV. GERAIS'!A31="COTAÇÃO",VLOOKUP('036.01-20-SERV. GERAIS'!C31,'036-20-Cotação'!$A$9:$G$529,2,0),IF('036.01-20-SERV. GERAIS'!A31="CCU",VLOOKUP('036.01-20-SERV. GERAIS'!C31,'036-20-CCU''s'!$B$9:$H$1962,2,0)))))</f>
        <v xml:space="preserve">PROJETO EXECUTIVO DE PINTURA DE TODA A EXTRUTURA DA PONTE JK. INCLUSO, ESPECIFICAÇÕES TÉCNICAS, TODAS AS TAXAS E DESPESAS PARA APROVAÇÕES E LICENCIAMENTOS.  </v>
      </c>
      <c r="E31" s="452" t="str">
        <f>IF(A31="SERVIÇO",VLOOKUP(C31,SERVIÇOS!$A$6:$D$7645,3,0),IF(A31="INSUMO",VLOOKUP(C31,INSUMOS!$A$6:$D$6961,3,0),IF('036.01-20-SERV. GERAIS'!A31="COTAÇÃO",VLOOKUP('036.01-20-SERV. GERAIS'!C31,'036-20-Cotação'!$A$9:$G$529,4,0),IF('036.01-20-SERV. GERAIS'!A31="CCU",VLOOKUP('036.01-20-SERV. GERAIS'!C31,'036-20-CCU''s'!$B$9:$H$1962,4,0)))))</f>
        <v xml:space="preserve">UN </v>
      </c>
      <c r="F31" s="453">
        <v>1</v>
      </c>
      <c r="G31" s="534">
        <f>IF(A31="SERVIÇO",VLOOKUP(C31,SERVIÇOS!$A$6:$D$7645,4,0),IF(A31="INSUMO",VLOOKUP(C31,INSUMOS!$A$6:$D$6961,4,0),IF('036.01-20-SERV. GERAIS'!A31="COTAÇÃO",VLOOKUP('036.01-20-SERV. GERAIS'!C31,'036-20-Cotação'!$A$9:$G$529,3,0),IF('036.01-20-SERV. GERAIS'!A31="CCU",VLOOKUP('036.01-20-SERV. GERAIS'!C31,'036-20-CCU''s'!$B$9:$H$1962,7,0)))))</f>
        <v>20342.314149999998</v>
      </c>
      <c r="H31" s="528">
        <f>BDI_O.A.E!$H$22</f>
        <v>0.18201100192553743</v>
      </c>
      <c r="I31" s="535">
        <f t="shared" si="1"/>
        <v>24044.839129925535</v>
      </c>
      <c r="K31" s="232">
        <f t="shared" si="0"/>
        <v>24044.839129925535</v>
      </c>
    </row>
    <row r="32" spans="1:11" s="87" customFormat="1">
      <c r="A32" s="232"/>
      <c r="B32" s="88" t="s">
        <v>6850</v>
      </c>
      <c r="C32" s="88"/>
      <c r="D32" s="215" t="s">
        <v>8381</v>
      </c>
      <c r="E32" s="152"/>
      <c r="F32" s="152"/>
      <c r="G32" s="152"/>
      <c r="H32" s="152"/>
      <c r="I32" s="153"/>
      <c r="K32" s="232">
        <f t="shared" si="0"/>
        <v>0</v>
      </c>
    </row>
    <row r="33" spans="1:11" s="87" customFormat="1" ht="76.5">
      <c r="A33" s="232" t="s">
        <v>4543</v>
      </c>
      <c r="B33" s="324" t="s">
        <v>6851</v>
      </c>
      <c r="C33" s="324" t="s">
        <v>6804</v>
      </c>
      <c r="D33" s="451" t="str">
        <f>IF(A33="SERVIÇO",VLOOKUP(C33,SERVIÇOS!$A$6:$D$7645,2,0),IF(A33="INSUMO",VLOOKUP(C33,INSUMOS!$A$6:$D$6961,2,0),IF('036.01-20-SERV. GERAIS'!A33="COTAÇÃO",VLOOKUP('036.01-20-SERV. GERAIS'!C33,'036-20-Cotação'!$A$9:$G$529,2,0),IF('036.01-20-SERV. GERAIS'!A33="CCU",VLOOKUP('036.01-20-SERV. GERAIS'!C33,'036-20-CCU''s'!$B$9:$H$1962,2,0)))))</f>
        <v xml:space="preserve">PROJETO EXECUTIVO DE RECUPERAÇÃO DE ÁRES DEGRADADAS - PRAD, DE ACORDO COM AS EXIGENCIAS DA AUTORIZAÇÃO AMBIENTAL DO IBRAM. INCLUSO TODAS AS TAXAS E DESPESAS NECESSARIAS PARA ELABORAÇÃO E APROVAÇÕES.   </v>
      </c>
      <c r="E33" s="452" t="str">
        <f>IF(A33="SERVIÇO",VLOOKUP(C33,SERVIÇOS!$A$6:$D$7645,3,0),IF(A33="INSUMO",VLOOKUP(C33,INSUMOS!$A$6:$D$6961,3,0),IF('036.01-20-SERV. GERAIS'!A33="COTAÇÃO",VLOOKUP('036.01-20-SERV. GERAIS'!C33,'036-20-Cotação'!$A$9:$G$529,4,0),IF('036.01-20-SERV. GERAIS'!A33="CCU",VLOOKUP('036.01-20-SERV. GERAIS'!C33,'036-20-CCU''s'!$B$9:$H$1962,4,0)))))</f>
        <v xml:space="preserve">UN </v>
      </c>
      <c r="F33" s="453">
        <v>1</v>
      </c>
      <c r="G33" s="534">
        <f>IF(A33="SERVIÇO",VLOOKUP(C33,SERVIÇOS!$A$6:$D$7645,4,0),IF(A33="INSUMO",VLOOKUP(C33,INSUMOS!$A$6:$D$6961,4,0),IF('036.01-20-SERV. GERAIS'!A33="COTAÇÃO",VLOOKUP('036.01-20-SERV. GERAIS'!C33,'036-20-Cotação'!$A$9:$G$529,3,0),IF('036.01-20-SERV. GERAIS'!A33="CCU",VLOOKUP('036.01-20-SERV. GERAIS'!C33,'036-20-CCU''s'!$B$9:$H$1962,7,0)))))</f>
        <v>35233.33556</v>
      </c>
      <c r="H33" s="528">
        <f>BDI_O.A.E!$H$22</f>
        <v>0.18201100192553743</v>
      </c>
      <c r="I33" s="535">
        <f t="shared" si="1"/>
        <v>41646.190266454265</v>
      </c>
      <c r="K33" s="232">
        <f t="shared" si="0"/>
        <v>41646.190266454265</v>
      </c>
    </row>
    <row r="34" spans="1:11" s="87" customFormat="1">
      <c r="A34" s="232"/>
      <c r="B34" s="88" t="s">
        <v>6852</v>
      </c>
      <c r="C34" s="88"/>
      <c r="D34" s="215" t="s">
        <v>6813</v>
      </c>
      <c r="E34" s="152"/>
      <c r="F34" s="152"/>
      <c r="G34" s="152"/>
      <c r="H34" s="152"/>
      <c r="I34" s="153"/>
      <c r="K34" s="232">
        <f t="shared" si="0"/>
        <v>0</v>
      </c>
    </row>
    <row r="35" spans="1:11" s="87" customFormat="1" ht="127.5">
      <c r="A35" s="232" t="s">
        <v>4543</v>
      </c>
      <c r="B35" s="324" t="s">
        <v>6853</v>
      </c>
      <c r="C35" s="324" t="s">
        <v>6805</v>
      </c>
      <c r="D35" s="451" t="str">
        <f>IF(A35="SERVIÇO",VLOOKUP(C35,SERVIÇOS!$A$6:$D$7645,2,0),IF(A35="INSUMO",VLOOKUP(C35,INSUMOS!$A$6:$D$6961,2,0),IF('036.01-20-SERV. GERAIS'!A35="COTAÇÃO",VLOOKUP('036.01-20-SERV. GERAIS'!C35,'036-20-Cotação'!$A$9:$G$529,2,0),IF('036.01-20-SERV. GERAIS'!A35="CCU",VLOOKUP('036.01-20-SERV. GERAIS'!C35,'036-20-CCU''s'!$B$9:$H$1962,2,0)))))</f>
        <v>PROJETO EXECUTIVO DAS PLATAFORMAS DE TRABALHO PARA EXECUÇÃO DOS SERVIÇOS DE PINTURA, ANCORAGENS DOS TIRANTES E DA PASSARELA FLUTUANTE, INCLUINDO MEMÓRIA DE CÁLCULO, QUANTITATIVOS, ESPECIFICAÇÕES TÉCNICAS PROCEDIMENTOS DA MONTAGEM E DESMONTAGEM INCLUSO TODAS AS TAXAS E DESPESAS NECESSARIAS PARA ELABORAÇÃO E APROVAÇÕES.</v>
      </c>
      <c r="E35" s="452" t="str">
        <f>IF(A35="SERVIÇO",VLOOKUP(C35,SERVIÇOS!$A$6:$D$7645,3,0),IF(A35="INSUMO",VLOOKUP(C35,INSUMOS!$A$6:$D$6961,3,0),IF('036.01-20-SERV. GERAIS'!A35="COTAÇÃO",VLOOKUP('036.01-20-SERV. GERAIS'!C35,'036-20-Cotação'!$A$9:$G$529,4,0),IF('036.01-20-SERV. GERAIS'!A35="CCU",VLOOKUP('036.01-20-SERV. GERAIS'!C35,'036-20-CCU''s'!$B$9:$H$1962,4,0)))))</f>
        <v xml:space="preserve">UN </v>
      </c>
      <c r="F35" s="453">
        <v>1</v>
      </c>
      <c r="G35" s="534">
        <f>IF(A35="SERVIÇO",VLOOKUP(C35,SERVIÇOS!$A$6:$D$7645,4,0),IF(A35="INSUMO",VLOOKUP(C35,INSUMOS!$A$6:$D$6961,4,0),IF('036.01-20-SERV. GERAIS'!A35="COTAÇÃO",VLOOKUP('036.01-20-SERV. GERAIS'!C35,'036-20-Cotação'!$A$9:$G$529,3,0),IF('036.01-20-SERV. GERAIS'!A35="CCU",VLOOKUP('036.01-20-SERV. GERAIS'!C35,'036-20-CCU''s'!$B$9:$H$1962,7,0)))))</f>
        <v>33727.437975000001</v>
      </c>
      <c r="H35" s="528">
        <f>BDI_O.A.E!$H$22</f>
        <v>0.18201100192553743</v>
      </c>
      <c r="I35" s="535">
        <f t="shared" si="1"/>
        <v>39866.202753211168</v>
      </c>
      <c r="K35" s="232">
        <f t="shared" si="0"/>
        <v>39866.202753211168</v>
      </c>
    </row>
    <row r="36" spans="1:11" s="87" customFormat="1">
      <c r="A36" s="232"/>
      <c r="B36" s="88" t="s">
        <v>6854</v>
      </c>
      <c r="C36" s="88"/>
      <c r="D36" s="215" t="s">
        <v>8085</v>
      </c>
      <c r="E36" s="152"/>
      <c r="F36" s="152"/>
      <c r="G36" s="152"/>
      <c r="H36" s="152"/>
      <c r="I36" s="153"/>
      <c r="K36" s="232">
        <f t="shared" si="0"/>
        <v>0</v>
      </c>
    </row>
    <row r="37" spans="1:11" s="87" customFormat="1" ht="63.75">
      <c r="A37" s="232" t="s">
        <v>4543</v>
      </c>
      <c r="B37" s="324" t="s">
        <v>6855</v>
      </c>
      <c r="C37" s="324" t="s">
        <v>6806</v>
      </c>
      <c r="D37" s="451" t="str">
        <f>IF(A37="SERVIÇO",VLOOKUP(C37,SERVIÇOS!$A$6:$D$7645,2,0),IF(A37="INSUMO",VLOOKUP(C37,INSUMOS!$A$6:$D$6961,2,0),IF('036.01-20-SERV. GERAIS'!A37="COTAÇÃO",VLOOKUP('036.01-20-SERV. GERAIS'!C37,'036-20-Cotação'!$A$9:$G$529,2,0),IF('036.01-20-SERV. GERAIS'!A37="CCU",VLOOKUP('036.01-20-SERV. GERAIS'!C37,'036-20-CCU''s'!$B$9:$H$1962,2,0)))))</f>
        <v>PROJETO EXECUTIVO DE REFORÇO DOS BLOCOS B9, B10, B11 E B12, INCLUINDO MEMÓRIA DE CÁLCULO, QUANTITATIVOS, PROCEDIMENTO DA EXECUÇÃO, MODELAGEM NUMERICA E ESPECIFICAÇÕES TÉCNICAS</v>
      </c>
      <c r="E37" s="452" t="str">
        <f>IF(A37="SERVIÇO",VLOOKUP(C37,SERVIÇOS!$A$6:$D$7645,3,0),IF(A37="INSUMO",VLOOKUP(C37,INSUMOS!$A$6:$D$6961,3,0),IF('036.01-20-SERV. GERAIS'!A37="COTAÇÃO",VLOOKUP('036.01-20-SERV. GERAIS'!C37,'036-20-Cotação'!$A$9:$G$529,4,0),IF('036.01-20-SERV. GERAIS'!A37="CCU",VLOOKUP('036.01-20-SERV. GERAIS'!C37,'036-20-CCU''s'!$B$9:$H$1962,4,0)))))</f>
        <v xml:space="preserve">UN </v>
      </c>
      <c r="F37" s="453">
        <v>1</v>
      </c>
      <c r="G37" s="534">
        <f>IF(A37="SERVIÇO",VLOOKUP(C37,SERVIÇOS!$A$6:$D$7645,4,0),IF(A37="INSUMO",VLOOKUP(C37,INSUMOS!$A$6:$D$6961,4,0),IF('036.01-20-SERV. GERAIS'!A37="COTAÇÃO",VLOOKUP('036.01-20-SERV. GERAIS'!C37,'036-20-Cotação'!$A$9:$G$529,3,0),IF('036.01-20-SERV. GERAIS'!A37="CCU",VLOOKUP('036.01-20-SERV. GERAIS'!C37,'036-20-CCU''s'!$B$9:$H$1962,7,0)))))</f>
        <v>88174.392559999993</v>
      </c>
      <c r="H37" s="528">
        <f>BDI_O.A.E!$H$22</f>
        <v>0.18201100192553743</v>
      </c>
      <c r="I37" s="535">
        <f t="shared" si="1"/>
        <v>104223.10209402125</v>
      </c>
      <c r="K37" s="232">
        <f t="shared" si="0"/>
        <v>104223.10209402125</v>
      </c>
    </row>
    <row r="38" spans="1:11" s="87" customFormat="1">
      <c r="A38" s="232"/>
      <c r="B38" s="88" t="s">
        <v>6857</v>
      </c>
      <c r="C38" s="88"/>
      <c r="D38" s="215" t="s">
        <v>8079</v>
      </c>
      <c r="E38" s="152"/>
      <c r="F38" s="152"/>
      <c r="G38" s="152"/>
      <c r="H38" s="152"/>
      <c r="I38" s="153"/>
      <c r="K38" s="232">
        <f t="shared" si="0"/>
        <v>0</v>
      </c>
    </row>
    <row r="39" spans="1:11" s="87" customFormat="1" ht="76.5">
      <c r="A39" s="232" t="s">
        <v>4543</v>
      </c>
      <c r="B39" s="324" t="s">
        <v>6856</v>
      </c>
      <c r="C39" s="324" t="s">
        <v>6808</v>
      </c>
      <c r="D39" s="451" t="str">
        <f>IF(A39="SERVIÇO",VLOOKUP(C39,SERVIÇOS!$A$6:$D$7645,2,0),IF(A39="INSUMO",VLOOKUP(C39,INSUMOS!$A$6:$D$6961,2,0),IF('036.01-20-SERV. GERAIS'!A39="COTAÇÃO",VLOOKUP('036.01-20-SERV. GERAIS'!C39,'036-20-Cotação'!$A$9:$G$529,2,0),IF('036.01-20-SERV. GERAIS'!A39="CCU",VLOOKUP('036.01-20-SERV. GERAIS'!C39,'036-20-CCU''s'!$B$9:$H$1962,2,0)))))</f>
        <v>PROJETO EXECUTIVO DOS BERÇOS METÁLICOS DO SISTEMA DE APARELHOS DE APOIO,  INCLUINDO MEMÓRIA DE CÁLCULO, QUANTITATIVOS, PROCEDIMENTO DA EXECUÇÃO, MODELAGEM NUMERICA E ESPECIFICAÇÕES TÉCNICAS.</v>
      </c>
      <c r="E39" s="452" t="str">
        <f>IF(A39="SERVIÇO",VLOOKUP(C39,SERVIÇOS!$A$6:$D$7645,3,0),IF(A39="INSUMO",VLOOKUP(C39,INSUMOS!$A$6:$D$6961,3,0),IF('036.01-20-SERV. GERAIS'!A39="COTAÇÃO",VLOOKUP('036.01-20-SERV. GERAIS'!C39,'036-20-Cotação'!$A$9:$G$529,4,0),IF('036.01-20-SERV. GERAIS'!A39="CCU",VLOOKUP('036.01-20-SERV. GERAIS'!C39,'036-20-CCU''s'!$B$9:$H$1962,4,0)))))</f>
        <v xml:space="preserve">UN </v>
      </c>
      <c r="F39" s="453">
        <v>1</v>
      </c>
      <c r="G39" s="534">
        <f>IF(A39="SERVIÇO",VLOOKUP(C39,SERVIÇOS!$A$6:$D$7645,4,0),IF(A39="INSUMO",VLOOKUP(C39,INSUMOS!$A$6:$D$6961,4,0),IF('036.01-20-SERV. GERAIS'!A39="COTAÇÃO",VLOOKUP('036.01-20-SERV. GERAIS'!C39,'036-20-Cotação'!$A$9:$G$529,3,0),IF('036.01-20-SERV. GERAIS'!A39="CCU",VLOOKUP('036.01-20-SERV. GERAIS'!C39,'036-20-CCU''s'!$B$9:$H$1962,7,0)))))</f>
        <v>24197.971539999999</v>
      </c>
      <c r="H39" s="528">
        <f>BDI_O.A.E!$H$22</f>
        <v>0.18201100192553743</v>
      </c>
      <c r="I39" s="535">
        <f t="shared" ref="I39:I47" si="5">F39*(G39*(1+H39))</f>
        <v>28602.268584561039</v>
      </c>
      <c r="K39" s="232">
        <f t="shared" si="0"/>
        <v>28602.268584561039</v>
      </c>
    </row>
    <row r="40" spans="1:11" s="87" customFormat="1" ht="63.75">
      <c r="A40" s="232" t="s">
        <v>4543</v>
      </c>
      <c r="B40" s="324" t="s">
        <v>8116</v>
      </c>
      <c r="C40" s="324" t="s">
        <v>8383</v>
      </c>
      <c r="D40" s="451" t="str">
        <f>IF(A40="SERVIÇO",VLOOKUP(C40,SERVIÇOS!$A$6:$D$7645,2,0),IF(A40="INSUMO",VLOOKUP(C40,INSUMOS!$A$6:$D$6961,2,0),IF('036.01-20-SERV. GERAIS'!A40="COTAÇÃO",VLOOKUP('036.01-20-SERV. GERAIS'!C40,'036-20-Cotação'!$A$9:$G$529,2,0),IF('036.01-20-SERV. GERAIS'!A40="CCU",VLOOKUP('036.01-20-SERV. GERAIS'!C40,'036-20-CCU''s'!$B$9:$H$1962,2,0)))))</f>
        <v>PROJETO EXECUTIVO DE SUBSTITUIÇÃO DOS APARELHOS DE APOIO, INCLUINDO RELATÓRIO TÉCNICO, MEMORIAL DESCRITIVO, MONTAGEM, QUANTITATIVOS E ESPECIFICAÇÕES TÉCNICAS</v>
      </c>
      <c r="E40" s="452" t="str">
        <f>IF(A40="SERVIÇO",VLOOKUP(C40,SERVIÇOS!$A$6:$D$7645,3,0),IF(A40="INSUMO",VLOOKUP(C40,INSUMOS!$A$6:$D$6961,3,0),IF('036.01-20-SERV. GERAIS'!A40="COTAÇÃO",VLOOKUP('036.01-20-SERV. GERAIS'!C40,'036-20-Cotação'!$A$9:$G$529,4,0),IF('036.01-20-SERV. GERAIS'!A40="CCU",VLOOKUP('036.01-20-SERV. GERAIS'!C40,'036-20-CCU''s'!$B$9:$H$1962,4,0)))))</f>
        <v xml:space="preserve">UN </v>
      </c>
      <c r="F40" s="453">
        <v>1</v>
      </c>
      <c r="G40" s="534">
        <f>IF(A40="SERVIÇO",VLOOKUP(C40,SERVIÇOS!$A$6:$D$7645,4,0),IF(A40="INSUMO",VLOOKUP(C40,INSUMOS!$A$6:$D$6961,4,0),IF('036.01-20-SERV. GERAIS'!A40="COTAÇÃO",VLOOKUP('036.01-20-SERV. GERAIS'!C40,'036-20-Cotação'!$A$9:$G$529,3,0),IF('036.01-20-SERV. GERAIS'!A40="CCU",VLOOKUP('036.01-20-SERV. GERAIS'!C40,'036-20-CCU''s'!$B$9:$H$1962,7,0)))))</f>
        <v>17622.957904999999</v>
      </c>
      <c r="H40" s="528">
        <f>BDI_O.A.E!$H$22</f>
        <v>0.18201100192553743</v>
      </c>
      <c r="I40" s="535">
        <f t="shared" ref="I40" si="6">F40*(G40*(1+H40))</f>
        <v>20830.530130180618</v>
      </c>
      <c r="K40" s="232">
        <f t="shared" si="0"/>
        <v>20830.530130180618</v>
      </c>
    </row>
    <row r="41" spans="1:11" s="87" customFormat="1" ht="51">
      <c r="A41" s="232" t="s">
        <v>4543</v>
      </c>
      <c r="B41" s="324" t="s">
        <v>8382</v>
      </c>
      <c r="C41" s="324" t="s">
        <v>8115</v>
      </c>
      <c r="D41" s="451" t="str">
        <f>IF(A41="SERVIÇO",VLOOKUP(C41,SERVIÇOS!$A$6:$D$7645,2,0),IF(A41="INSUMO",VLOOKUP(C41,INSUMOS!$A$6:$D$6961,2,0),IF('036.01-20-SERV. GERAIS'!A41="COTAÇÃO",VLOOKUP('036.01-20-SERV. GERAIS'!C41,'036-20-Cotação'!$A$9:$G$529,2,0),IF('036.01-20-SERV. GERAIS'!A41="CCU",VLOOKUP('036.01-20-SERV. GERAIS'!C41,'036-20-CCU''s'!$B$9:$H$1962,2,0)))))</f>
        <v>INSPEÇÃO DOS 28 APARELHOS DE APOIO PARA DETECTAR A NECESSIDADE DE SUBSTITUIÇÃO, INCLUINDO EMISSÃO DE LAUDO TÉCNICO.</v>
      </c>
      <c r="E41" s="452" t="str">
        <f>IF(A41="SERVIÇO",VLOOKUP(C41,SERVIÇOS!$A$6:$D$7645,3,0),IF(A41="INSUMO",VLOOKUP(C41,INSUMOS!$A$6:$D$6961,3,0),IF('036.01-20-SERV. GERAIS'!A41="COTAÇÃO",VLOOKUP('036.01-20-SERV. GERAIS'!C41,'036-20-Cotação'!$A$9:$G$529,4,0),IF('036.01-20-SERV. GERAIS'!A41="CCU",VLOOKUP('036.01-20-SERV. GERAIS'!C41,'036-20-CCU''s'!$B$9:$H$1962,4,0)))))</f>
        <v xml:space="preserve">UN </v>
      </c>
      <c r="F41" s="453">
        <v>1</v>
      </c>
      <c r="G41" s="534">
        <f>IF(A41="SERVIÇO",VLOOKUP(C41,SERVIÇOS!$A$6:$D$7645,4,0),IF(A41="INSUMO",VLOOKUP(C41,INSUMOS!$A$6:$D$6961,4,0),IF('036.01-20-SERV. GERAIS'!A41="COTAÇÃO",VLOOKUP('036.01-20-SERV. GERAIS'!C41,'036-20-Cotação'!$A$9:$G$529,3,0),IF('036.01-20-SERV. GERAIS'!A41="CCU",VLOOKUP('036.01-20-SERV. GERAIS'!C41,'036-20-CCU''s'!$B$9:$H$1962,7,0)))))</f>
        <v>5688.1559699999998</v>
      </c>
      <c r="H41" s="528">
        <f>BDI_O.A.E!$H$22</f>
        <v>0.18201100192553743</v>
      </c>
      <c r="I41" s="535">
        <f t="shared" ref="I41" si="7">F41*(G41*(1+H41))</f>
        <v>6723.4629372084273</v>
      </c>
      <c r="K41" s="232">
        <f t="shared" si="0"/>
        <v>6723.4629372084273</v>
      </c>
    </row>
    <row r="42" spans="1:11" s="87" customFormat="1">
      <c r="A42" s="232"/>
      <c r="B42" s="88" t="s">
        <v>6858</v>
      </c>
      <c r="C42" s="88"/>
      <c r="D42" s="215" t="s">
        <v>8425</v>
      </c>
      <c r="E42" s="152"/>
      <c r="F42" s="152"/>
      <c r="G42" s="152"/>
      <c r="H42" s="152"/>
      <c r="I42" s="153"/>
      <c r="K42" s="232">
        <f t="shared" si="0"/>
        <v>0</v>
      </c>
    </row>
    <row r="43" spans="1:11" s="87" customFormat="1" ht="102">
      <c r="A43" s="232" t="s">
        <v>4543</v>
      </c>
      <c r="B43" s="324" t="s">
        <v>6859</v>
      </c>
      <c r="C43" s="324" t="s">
        <v>8388</v>
      </c>
      <c r="D43" s="451" t="str">
        <f>IF(A43="SERVIÇO",VLOOKUP(C43,SERVIÇOS!$A$6:$D$7645,2,0),IF(A43="INSUMO",VLOOKUP(C43,INSUMOS!$A$6:$D$6961,2,0),IF('036.01-20-SERV. GERAIS'!A43="COTAÇÃO",VLOOKUP('036.01-20-SERV. GERAIS'!C43,'036-20-Cotação'!$A$9:$G$529,2,0),IF('036.01-20-SERV. GERAIS'!A43="CCU",VLOOKUP('036.01-20-SERV. GERAIS'!C43,'036-20-CCU''s'!$B$9:$H$1962,2,0)))))</f>
        <v xml:space="preserve">PROJETO EXECUTIVO DE SUBSTITUIÇÃO DAS JUNTAS DE DILATAÇÃO METÁLICAS, INCLUINDO MEMORIAL DESCRITIVO, DESENHOS DE FABRICAÇÃO E MONTAGEM, QUANTITATIVOS E ESPECIFICAÇÕES TÉCNICAS. INCLUSO TODAS AS TAXAS E DESPESAS PARA APROVAÇÕES E LICENCIAMENTOS   </v>
      </c>
      <c r="E43" s="452" t="str">
        <f>IF(A43="SERVIÇO",VLOOKUP(C43,SERVIÇOS!$A$6:$D$7645,3,0),IF(A43="INSUMO",VLOOKUP(C43,INSUMOS!$A$6:$D$6961,3,0),IF('036.01-20-SERV. GERAIS'!A43="COTAÇÃO",VLOOKUP('036.01-20-SERV. GERAIS'!C43,'036-20-Cotação'!$A$9:$G$529,4,0),IF('036.01-20-SERV. GERAIS'!A43="CCU",VLOOKUP('036.01-20-SERV. GERAIS'!C43,'036-20-CCU''s'!$B$9:$H$1962,4,0)))))</f>
        <v xml:space="preserve">UN </v>
      </c>
      <c r="F43" s="453">
        <v>1</v>
      </c>
      <c r="G43" s="534">
        <f>IF(A43="SERVIÇO",VLOOKUP(C43,SERVIÇOS!$A$6:$D$7645,4,0),IF(A43="INSUMO",VLOOKUP(C43,INSUMOS!$A$6:$D$6961,4,0),IF('036.01-20-SERV. GERAIS'!A43="COTAÇÃO",VLOOKUP('036.01-20-SERV. GERAIS'!C43,'036-20-Cotação'!$A$9:$G$529,3,0),IF('036.01-20-SERV. GERAIS'!A43="CCU",VLOOKUP('036.01-20-SERV. GERAIS'!C43,'036-20-CCU''s'!$B$9:$H$1962,7,0)))))</f>
        <v>25955.465830000001</v>
      </c>
      <c r="H43" s="528">
        <f>BDI_O.A.E!$H$22</f>
        <v>0.18201100192553743</v>
      </c>
      <c r="I43" s="535">
        <f t="shared" ref="I43" si="8">F43*(G43*(1+H43))</f>
        <v>30679.646171162352</v>
      </c>
      <c r="K43" s="232">
        <f t="shared" si="0"/>
        <v>30679.646171162352</v>
      </c>
    </row>
    <row r="44" spans="1:11" s="87" customFormat="1" ht="51">
      <c r="A44" s="232" t="s">
        <v>4543</v>
      </c>
      <c r="B44" s="324" t="s">
        <v>8483</v>
      </c>
      <c r="C44" s="324" t="s">
        <v>8482</v>
      </c>
      <c r="D44" s="451" t="str">
        <f>IF(A44="SERVIÇO",VLOOKUP(C44,SERVIÇOS!$A$6:$D$7645,2,0),IF(A44="INSUMO",VLOOKUP(C44,INSUMOS!$A$6:$D$6961,2,0),IF('036.01-20-SERV. GERAIS'!A44="COTAÇÃO",VLOOKUP('036.01-20-SERV. GERAIS'!C44,'036-20-Cotação'!$A$9:$G$529,2,0),IF('036.01-20-SERV. GERAIS'!A44="CCU",VLOOKUP('036.01-20-SERV. GERAIS'!C44,'036-20-CCU''s'!$B$9:$H$1962,2,0)))))</f>
        <v>INSPEÇÃO DAS JUNTAS DOS APOIOS 5B, 6B E 7B PARA DETECTAR A NECESSIDADE DE SUBSTITUIÇÃO, INCLUINDO EMISSÃO DE LAUDO TÉCNICO.</v>
      </c>
      <c r="E44" s="452" t="str">
        <f>IF(A44="SERVIÇO",VLOOKUP(C44,SERVIÇOS!$A$6:$D$7645,3,0),IF(A44="INSUMO",VLOOKUP(C44,INSUMOS!$A$6:$D$6961,3,0),IF('036.01-20-SERV. GERAIS'!A44="COTAÇÃO",VLOOKUP('036.01-20-SERV. GERAIS'!C44,'036-20-Cotação'!$A$9:$G$529,4,0),IF('036.01-20-SERV. GERAIS'!A44="CCU",VLOOKUP('036.01-20-SERV. GERAIS'!C44,'036-20-CCU''s'!$B$9:$H$1962,4,0)))))</f>
        <v xml:space="preserve">UN </v>
      </c>
      <c r="F44" s="453">
        <v>1</v>
      </c>
      <c r="G44" s="534">
        <f>IF(A44="SERVIÇO",VLOOKUP(C44,SERVIÇOS!$A$6:$D$7645,4,0),IF(A44="INSUMO",VLOOKUP(C44,INSUMOS!$A$6:$D$6961,4,0),IF('036.01-20-SERV. GERAIS'!A44="COTAÇÃO",VLOOKUP('036.01-20-SERV. GERAIS'!C44,'036-20-Cotação'!$A$9:$G$529,3,0),IF('036.01-20-SERV. GERAIS'!A44="CCU",VLOOKUP('036.01-20-SERV. GERAIS'!C44,'036-20-CCU''s'!$B$9:$H$1962,7,0)))))</f>
        <v>5688.1559699999998</v>
      </c>
      <c r="H44" s="528">
        <f>BDI_O.A.E!$H$22</f>
        <v>0.18201100192553743</v>
      </c>
      <c r="I44" s="535">
        <f t="shared" ref="I44" si="9">F44*(G44*(1+H44))</f>
        <v>6723.4629372084273</v>
      </c>
      <c r="K44" s="232">
        <f t="shared" si="0"/>
        <v>6723.4629372084273</v>
      </c>
    </row>
    <row r="45" spans="1:11" s="87" customFormat="1">
      <c r="A45" s="232"/>
      <c r="B45" s="88" t="s">
        <v>6860</v>
      </c>
      <c r="C45" s="88"/>
      <c r="D45" s="215" t="s">
        <v>6817</v>
      </c>
      <c r="E45" s="152"/>
      <c r="F45" s="152"/>
      <c r="G45" s="152"/>
      <c r="H45" s="152"/>
      <c r="I45" s="153"/>
      <c r="K45" s="232">
        <f t="shared" si="0"/>
        <v>0</v>
      </c>
    </row>
    <row r="46" spans="1:11" s="87" customFormat="1" ht="25.5">
      <c r="A46" s="232" t="s">
        <v>4543</v>
      </c>
      <c r="B46" s="324" t="s">
        <v>6861</v>
      </c>
      <c r="C46" s="324" t="s">
        <v>6809</v>
      </c>
      <c r="D46" s="451" t="str">
        <f>IF(A46="SERVIÇO",VLOOKUP(C46,SERVIÇOS!$A$6:$D$7645,2,0),IF(A46="INSUMO",VLOOKUP(C46,INSUMOS!$A$6:$D$6961,2,0),IF('036.01-20-SERV. GERAIS'!A46="COTAÇÃO",VLOOKUP('036.01-20-SERV. GERAIS'!C46,'036-20-Cotação'!$A$9:$G$529,2,0),IF('036.01-20-SERV. GERAIS'!A46="CCU",VLOOKUP('036.01-20-SERV. GERAIS'!C46,'036-20-CCU''s'!$B$9:$H$1962,2,0)))))</f>
        <v xml:space="preserve">ELABORAÇÃO DE PLANEJAMENTO E PLANO DE ATAQUE EXECUTIVO  </v>
      </c>
      <c r="E46" s="452" t="str">
        <f>IF(A46="SERVIÇO",VLOOKUP(C46,SERVIÇOS!$A$6:$D$7645,3,0),IF(A46="INSUMO",VLOOKUP(C46,INSUMOS!$A$6:$D$6961,3,0),IF('036.01-20-SERV. GERAIS'!A46="COTAÇÃO",VLOOKUP('036.01-20-SERV. GERAIS'!C46,'036-20-Cotação'!$A$9:$G$529,4,0),IF('036.01-20-SERV. GERAIS'!A46="CCU",VLOOKUP('036.01-20-SERV. GERAIS'!C46,'036-20-CCU''s'!$B$9:$H$1962,4,0)))))</f>
        <v xml:space="preserve">UN </v>
      </c>
      <c r="F46" s="453">
        <v>1</v>
      </c>
      <c r="G46" s="534">
        <f>IF(A46="SERVIÇO",VLOOKUP(C46,SERVIÇOS!$A$6:$D$7645,4,0),IF(A46="INSUMO",VLOOKUP(C46,INSUMOS!$A$6:$D$6961,4,0),IF('036.01-20-SERV. GERAIS'!A46="COTAÇÃO",VLOOKUP('036.01-20-SERV. GERAIS'!C46,'036-20-Cotação'!$A$9:$G$529,3,0),IF('036.01-20-SERV. GERAIS'!A46="CCU",VLOOKUP('036.01-20-SERV. GERAIS'!C46,'036-20-CCU''s'!$B$9:$H$1962,7,0)))))</f>
        <v>20025.040524999997</v>
      </c>
      <c r="H46" s="528">
        <f>BDI_O.A.E!$H$22</f>
        <v>0.18201100192553743</v>
      </c>
      <c r="I46" s="535">
        <f t="shared" si="5"/>
        <v>23669.818214554736</v>
      </c>
      <c r="K46" s="232">
        <f t="shared" si="0"/>
        <v>23669.818214554736</v>
      </c>
    </row>
    <row r="47" spans="1:11" s="87" customFormat="1" ht="25.5">
      <c r="A47" s="232" t="s">
        <v>4543</v>
      </c>
      <c r="B47" s="324" t="s">
        <v>8386</v>
      </c>
      <c r="C47" s="324" t="s">
        <v>6810</v>
      </c>
      <c r="D47" s="451" t="str">
        <f>IF(A47="SERVIÇO",VLOOKUP(C47,SERVIÇOS!$A$6:$D$7645,2,0),IF(A47="INSUMO",VLOOKUP(C47,INSUMOS!$A$6:$D$6961,2,0),IF('036.01-20-SERV. GERAIS'!A47="COTAÇÃO",VLOOKUP('036.01-20-SERV. GERAIS'!C47,'036-20-Cotação'!$A$9:$G$529,2,0),IF('036.01-20-SERV. GERAIS'!A47="CCU",VLOOKUP('036.01-20-SERV. GERAIS'!C47,'036-20-CCU''s'!$B$9:$H$1962,2,0)))))</f>
        <v>ELABORAÇÃO DE PLANO DE GERENCIAMENTO DE RESÍDUOS SÓLIDOS</v>
      </c>
      <c r="E47" s="452" t="str">
        <f>IF(A47="SERVIÇO",VLOOKUP(C47,SERVIÇOS!$A$6:$D$7645,3,0),IF(A47="INSUMO",VLOOKUP(C47,INSUMOS!$A$6:$D$6961,3,0),IF('036.01-20-SERV. GERAIS'!A47="COTAÇÃO",VLOOKUP('036.01-20-SERV. GERAIS'!C47,'036-20-Cotação'!$A$9:$G$529,4,0),IF('036.01-20-SERV. GERAIS'!A47="CCU",VLOOKUP('036.01-20-SERV. GERAIS'!C47,'036-20-CCU''s'!$B$9:$H$1962,4,0)))))</f>
        <v xml:space="preserve">UN </v>
      </c>
      <c r="F47" s="453">
        <v>1</v>
      </c>
      <c r="G47" s="534">
        <f>IF(A47="SERVIÇO",VLOOKUP(C47,SERVIÇOS!$A$6:$D$7645,4,0),IF(A47="INSUMO",VLOOKUP(C47,INSUMOS!$A$6:$D$6961,4,0),IF('036.01-20-SERV. GERAIS'!A47="COTAÇÃO",VLOOKUP('036.01-20-SERV. GERAIS'!C47,'036-20-Cotação'!$A$9:$G$529,3,0),IF('036.01-20-SERV. GERAIS'!A47="CCU",VLOOKUP('036.01-20-SERV. GERAIS'!C47,'036-20-CCU''s'!$B$9:$H$1962,7,0)))))</f>
        <v>18885.639264999998</v>
      </c>
      <c r="H47" s="528">
        <f>BDI_O.A.E!$H$22</f>
        <v>0.18201100192553743</v>
      </c>
      <c r="I47" s="535">
        <f t="shared" si="5"/>
        <v>22323.033389626919</v>
      </c>
      <c r="K47" s="232">
        <f t="shared" si="0"/>
        <v>22323.033389626919</v>
      </c>
    </row>
    <row r="48" spans="1:11" s="87" customFormat="1">
      <c r="A48" s="232"/>
      <c r="B48" s="88" t="s">
        <v>8385</v>
      </c>
      <c r="C48" s="88"/>
      <c r="D48" s="215" t="s">
        <v>6818</v>
      </c>
      <c r="E48" s="152"/>
      <c r="F48" s="152"/>
      <c r="G48" s="152"/>
      <c r="H48" s="152"/>
      <c r="I48" s="153"/>
      <c r="K48" s="232">
        <f t="shared" si="0"/>
        <v>0</v>
      </c>
    </row>
    <row r="49" spans="1:13" s="87" customFormat="1">
      <c r="A49" s="232" t="s">
        <v>4543</v>
      </c>
      <c r="B49" s="324" t="s">
        <v>8387</v>
      </c>
      <c r="C49" s="324" t="s">
        <v>8392</v>
      </c>
      <c r="D49" s="451" t="s">
        <v>8393</v>
      </c>
      <c r="E49" s="452" t="s">
        <v>10</v>
      </c>
      <c r="F49" s="453">
        <v>1</v>
      </c>
      <c r="G49" s="453">
        <v>233.94</v>
      </c>
      <c r="H49" s="528">
        <v>0</v>
      </c>
      <c r="I49" s="535">
        <f>F49*(G49*(1+H49))</f>
        <v>233.94</v>
      </c>
      <c r="K49" s="232">
        <f t="shared" si="0"/>
        <v>233.94</v>
      </c>
    </row>
    <row r="50" spans="1:13" s="87" customFormat="1" ht="25.5">
      <c r="A50" s="232" t="s">
        <v>4543</v>
      </c>
      <c r="B50" s="324" t="s">
        <v>8394</v>
      </c>
      <c r="C50" s="324" t="s">
        <v>6815</v>
      </c>
      <c r="D50" s="451" t="str">
        <f>IF(A50="SERVIÇO",VLOOKUP(C50,SERVIÇOS!$A$6:$D$7645,2,0),IF(A50="INSUMO",VLOOKUP(C50,INSUMOS!$A$6:$D$6961,2,0),IF('036.01-20-SERV. GERAIS'!A50="COTAÇÃO",VLOOKUP('036.01-20-SERV. GERAIS'!C50,'036-20-Cotação'!$A$9:$G$529,2,0),IF('036.01-20-SERV. GERAIS'!A50="CCU",VLOOKUP('036.01-20-SERV. GERAIS'!C50,'036-20-CCU''s'!$B$9:$H$1962,2,0)))))</f>
        <v xml:space="preserve">TAXAS DE IMPLANTAÇÃO DO CANTEIRO DE OBRA       </v>
      </c>
      <c r="E50" s="452" t="str">
        <f>IF(A50="SERVIÇO",VLOOKUP(C50,SERVIÇOS!$A$6:$D$7645,3,0),IF(A50="INSUMO",VLOOKUP(C50,INSUMOS!$A$6:$D$6961,3,0),IF('036.01-20-SERV. GERAIS'!A50="COTAÇÃO",VLOOKUP('036.01-20-SERV. GERAIS'!C50,'036-20-Cotação'!$A$9:$G$529,4,0),IF('036.01-20-SERV. GERAIS'!A50="CCU",VLOOKUP('036.01-20-SERV. GERAIS'!C50,'036-20-CCU''s'!$B$9:$H$1962,4,0)))))</f>
        <v>MÊS</v>
      </c>
      <c r="F50" s="453">
        <v>20</v>
      </c>
      <c r="G50" s="534">
        <f>IF(A50="SERVIÇO",VLOOKUP(C50,SERVIÇOS!$A$6:$D$7645,4,0),IF(A50="INSUMO",VLOOKUP(C50,INSUMOS!$A$6:$D$6961,4,0),IF('036.01-20-SERV. GERAIS'!A50="COTAÇÃO",VLOOKUP('036.01-20-SERV. GERAIS'!C50,'036-20-Cotação'!$A$9:$G$529,3,0),IF('036.01-20-SERV. GERAIS'!A50="CCU",VLOOKUP('036.01-20-SERV. GERAIS'!C50,'036-20-CCU''s'!$B$9:$H$1962,7,0)))))</f>
        <v>920.88083333333327</v>
      </c>
      <c r="H50" s="528">
        <v>0</v>
      </c>
      <c r="I50" s="535">
        <f t="shared" ref="I50" si="10">F50*(G50*(1+H50))</f>
        <v>18417.616666666665</v>
      </c>
      <c r="K50" s="232">
        <f t="shared" si="0"/>
        <v>18417.616666666665</v>
      </c>
    </row>
    <row r="51" spans="1:13" s="87" customFormat="1" ht="51">
      <c r="A51" s="232" t="s">
        <v>4543</v>
      </c>
      <c r="B51" s="324" t="s">
        <v>8563</v>
      </c>
      <c r="C51" s="324" t="s">
        <v>8559</v>
      </c>
      <c r="D51" s="451" t="str">
        <f>IF(A51="SERVIÇO",VLOOKUP(C51,SERVIÇOS!$A$6:$D$7645,2,0),IF(A51="INSUMO",VLOOKUP(C51,INSUMOS!$A$6:$D$6961,2,0),IF('036.01-20-SERV. GERAIS'!A51="COTAÇÃO",VLOOKUP('036.01-20-SERV. GERAIS'!C51,'036-20-Cotação'!$A$9:$G$529,2,0),IF('036.01-20-SERV. GERAIS'!A51="CCU",VLOOKUP('036.01-20-SERV. GERAIS'!C51,'036-20-CCU''s'!$B$9:$H$1962,2,0)))))</f>
        <v>PARECER PARA INTERDIÇÃO DE VIA PÚBLICA (CALÇADA, ESTACIONAMENTO PÚBLICOS ABERTO, FECHADO OU AO AR LIVRE) - PARA OBRA (VALOR/DIA)</v>
      </c>
      <c r="E51" s="452" t="str">
        <f>IF(A51="SERVIÇO",VLOOKUP(C51,SERVIÇOS!$A$6:$D$7645,3,0),IF(A51="INSUMO",VLOOKUP(C51,INSUMOS!$A$6:$D$6961,3,0),IF('036.01-20-SERV. GERAIS'!A51="COTAÇÃO",VLOOKUP('036.01-20-SERV. GERAIS'!C51,'036-20-Cotação'!$A$9:$G$529,4,0),IF('036.01-20-SERV. GERAIS'!A51="CCU",VLOOKUP('036.01-20-SERV. GERAIS'!C51,'036-20-CCU''s'!$B$9:$H$1962,4,0)))))</f>
        <v xml:space="preserve">UN </v>
      </c>
      <c r="F51" s="453">
        <v>1</v>
      </c>
      <c r="G51" s="534">
        <f>IF(A51="SERVIÇO",VLOOKUP(C51,SERVIÇOS!$A$6:$D$7645,4,0),IF(A51="INSUMO",VLOOKUP(C51,INSUMOS!$A$6:$D$6961,4,0),IF('036.01-20-SERV. GERAIS'!A51="COTAÇÃO",VLOOKUP('036.01-20-SERV. GERAIS'!C51,'036-20-Cotação'!$A$9:$G$529,3,0),IF('036.01-20-SERV. GERAIS'!A51="CCU",VLOOKUP('036.01-20-SERV. GERAIS'!C51,'036-20-CCU''s'!$B$9:$H$1962,7,0)))))</f>
        <v>50220</v>
      </c>
      <c r="H51" s="528">
        <v>0</v>
      </c>
      <c r="I51" s="535">
        <f t="shared" ref="I51" si="11">F51*(G51*(1+H51))</f>
        <v>50220</v>
      </c>
      <c r="K51" s="232">
        <f t="shared" ref="K51" si="12">F51*(G51*(1+H51))</f>
        <v>50220</v>
      </c>
    </row>
    <row r="52" spans="1:13" s="87" customFormat="1">
      <c r="A52" s="232"/>
      <c r="B52" s="144"/>
      <c r="C52" s="144"/>
      <c r="D52" s="144"/>
      <c r="E52" s="145"/>
      <c r="F52" s="146"/>
      <c r="G52" s="146"/>
      <c r="H52" s="146"/>
      <c r="I52" s="147"/>
      <c r="K52" s="232">
        <f t="shared" si="0"/>
        <v>0</v>
      </c>
    </row>
    <row r="53" spans="1:13" s="87" customFormat="1">
      <c r="A53" s="232"/>
      <c r="B53" s="193"/>
      <c r="C53" s="194"/>
      <c r="D53" s="194"/>
      <c r="E53" s="194"/>
      <c r="F53" s="194"/>
      <c r="G53" s="196" t="s">
        <v>70</v>
      </c>
      <c r="H53" s="332"/>
      <c r="I53" s="89">
        <f>SUM(I13:I52)</f>
        <v>1100040.989213631</v>
      </c>
      <c r="K53" s="232"/>
    </row>
    <row r="54" spans="1:13" s="87" customFormat="1">
      <c r="A54" s="232"/>
      <c r="B54" s="144"/>
      <c r="C54" s="144"/>
      <c r="D54" s="144"/>
      <c r="E54" s="145"/>
      <c r="F54" s="146"/>
      <c r="G54" s="146"/>
      <c r="H54" s="146"/>
      <c r="I54" s="147"/>
      <c r="K54" s="232">
        <f t="shared" si="0"/>
        <v>0</v>
      </c>
    </row>
    <row r="55" spans="1:13" s="87" customFormat="1">
      <c r="A55" s="232"/>
      <c r="B55" s="88" t="s">
        <v>7526</v>
      </c>
      <c r="C55" s="88" t="s">
        <v>6348</v>
      </c>
      <c r="D55" s="148" t="s">
        <v>6349</v>
      </c>
      <c r="E55" s="149"/>
      <c r="F55" s="149"/>
      <c r="G55" s="149"/>
      <c r="H55" s="149"/>
      <c r="I55" s="150"/>
      <c r="K55" s="232">
        <f t="shared" si="0"/>
        <v>0</v>
      </c>
    </row>
    <row r="56" spans="1:13" s="87" customFormat="1">
      <c r="A56" s="232"/>
      <c r="B56" s="88" t="s">
        <v>7525</v>
      </c>
      <c r="C56" s="88" t="s">
        <v>6348</v>
      </c>
      <c r="D56" s="151" t="s">
        <v>6823</v>
      </c>
      <c r="E56" s="152"/>
      <c r="F56" s="152"/>
      <c r="G56" s="152"/>
      <c r="H56" s="152"/>
      <c r="I56" s="153"/>
      <c r="K56" s="232">
        <f t="shared" si="0"/>
        <v>0</v>
      </c>
    </row>
    <row r="57" spans="1:13" s="87" customFormat="1">
      <c r="A57" s="232"/>
      <c r="B57" s="88" t="s">
        <v>7524</v>
      </c>
      <c r="C57" s="88" t="s">
        <v>6348</v>
      </c>
      <c r="D57" s="151" t="s">
        <v>8380</v>
      </c>
      <c r="E57" s="152"/>
      <c r="F57" s="152"/>
      <c r="G57" s="152"/>
      <c r="H57" s="152"/>
      <c r="I57" s="153"/>
      <c r="K57" s="232">
        <f t="shared" si="0"/>
        <v>0</v>
      </c>
    </row>
    <row r="58" spans="1:13" s="87" customFormat="1" ht="51">
      <c r="A58" s="232" t="s">
        <v>4543</v>
      </c>
      <c r="B58" s="324" t="s">
        <v>6862</v>
      </c>
      <c r="C58" s="324" t="s">
        <v>6824</v>
      </c>
      <c r="D58" s="451" t="str">
        <f>IF(A58="SERVIÇO",VLOOKUP(C58,SERVIÇOS!$A$6:$D$7645,2,0),IF(A58="INSUMO",VLOOKUP(C58,INSUMOS!$A$6:$D$6961,2,0),IF('036.01-20-SERV. GERAIS'!A58="COTAÇÃO",VLOOKUP('036.01-20-SERV. GERAIS'!C58,'036-20-Cotação'!$A$9:$G$529,2,0),IF('036.01-20-SERV. GERAIS'!A58="CCU",VLOOKUP('036.01-20-SERV. GERAIS'!C58,'036-20-CCU''s'!$B$9:$H$1962,2,0)))))</f>
        <v>PASSARELA DE SERVIÇO FLUTUANTE EM MADEIRA, PARA ACESSO E SUPORTE PARA ESCOAMENTO DE DETRITOS ORIUNDOS DA REFORMA</v>
      </c>
      <c r="E58" s="452" t="str">
        <f>IF(A58="SERVIÇO",VLOOKUP(C58,SERVIÇOS!$A$6:$D$7645,3,0),IF(A58="INSUMO",VLOOKUP(C58,INSUMOS!$A$6:$D$6961,3,0),IF('036.01-20-SERV. GERAIS'!A58="COTAÇÃO",VLOOKUP('036.01-20-SERV. GERAIS'!C58,'036-20-Cotação'!$A$9:$G$529,4,0),IF('036.01-20-SERV. GERAIS'!A58="CCU",VLOOKUP('036.01-20-SERV. GERAIS'!C58,'036-20-CCU''s'!$B$9:$H$1962,4,0)))))</f>
        <v>M</v>
      </c>
      <c r="F58" s="453">
        <v>480</v>
      </c>
      <c r="G58" s="534">
        <f>IF(A58="SERVIÇO",VLOOKUP(C58,SERVIÇOS!$A$6:$D$7645,4,0),IF(A58="INSUMO",VLOOKUP(C58,INSUMOS!$A$6:$D$6961,4,0),IF('036.01-20-SERV. GERAIS'!A58="COTAÇÃO",VLOOKUP('036.01-20-SERV. GERAIS'!C58,'036-20-Cotação'!$A$9:$G$529,3,0),IF('036.01-20-SERV. GERAIS'!A58="CCU",VLOOKUP('036.01-20-SERV. GERAIS'!C58,'036-20-CCU''s'!$B$9:$H$1962,7,0)))))</f>
        <v>447.84265609207642</v>
      </c>
      <c r="H58" s="528">
        <f>BDI_O.A.E!$H$22</f>
        <v>0.18201100192553743</v>
      </c>
      <c r="I58" s="535">
        <f t="shared" ref="I58:I76" si="13">F58*(G58*(1+H58))</f>
        <v>254090.37438354676</v>
      </c>
      <c r="K58" s="232">
        <f t="shared" si="0"/>
        <v>254090.37438354676</v>
      </c>
      <c r="L58" s="232"/>
      <c r="M58" s="232" t="s">
        <v>8484</v>
      </c>
    </row>
    <row r="59" spans="1:13" s="87" customFormat="1">
      <c r="A59" s="232"/>
      <c r="B59" s="88" t="s">
        <v>7523</v>
      </c>
      <c r="C59" s="88" t="s">
        <v>6348</v>
      </c>
      <c r="D59" s="215" t="s">
        <v>8379</v>
      </c>
      <c r="E59" s="152"/>
      <c r="F59" s="152"/>
      <c r="G59" s="152"/>
      <c r="H59" s="152"/>
      <c r="I59" s="153"/>
      <c r="K59" s="232">
        <f t="shared" si="0"/>
        <v>0</v>
      </c>
    </row>
    <row r="60" spans="1:13" s="87" customFormat="1" ht="63.75">
      <c r="A60" s="232" t="s">
        <v>4543</v>
      </c>
      <c r="B60" s="324" t="s">
        <v>6864</v>
      </c>
      <c r="C60" s="324" t="s">
        <v>6866</v>
      </c>
      <c r="D60" s="451" t="str">
        <f>IF(A60="SERVIÇO",VLOOKUP(C60,SERVIÇOS!$A$6:$D$7645,2,0),IF(A60="INSUMO",VLOOKUP(C60,INSUMOS!$A$6:$D$6961,2,0),IF('036.01-20-SERV. GERAIS'!A60="COTAÇÃO",VLOOKUP('036.01-20-SERV. GERAIS'!C60,'036-20-Cotação'!$A$9:$G$529,2,0),IF('036.01-20-SERV. GERAIS'!A60="CCU",VLOOKUP('036.01-20-SERV. GERAIS'!C60,'036-20-CCU''s'!$B$9:$H$1962,2,0)))))</f>
        <v xml:space="preserve">ESCADA DE MADEIRA PARA ECESSO A PLATAFORMA NO TOPO DOS PILARES APOIADA NA ESTRUTURA DE CONCRETO UTILIZAÇÃO DE 5 VEZES - CONFECÇÃO, INSTALAÇÃO E RETIRADA </v>
      </c>
      <c r="E60" s="452" t="str">
        <f>IF(A60="SERVIÇO",VLOOKUP(C60,SERVIÇOS!$A$6:$D$7645,3,0),IF(A60="INSUMO",VLOOKUP(C60,INSUMOS!$A$6:$D$6961,3,0),IF('036.01-20-SERV. GERAIS'!A60="COTAÇÃO",VLOOKUP('036.01-20-SERV. GERAIS'!C60,'036-20-Cotação'!$A$9:$G$529,4,0),IF('036.01-20-SERV. GERAIS'!A60="CCU",VLOOKUP('036.01-20-SERV. GERAIS'!C60,'036-20-CCU''s'!$B$9:$H$1962,4,0)))))</f>
        <v>M3</v>
      </c>
      <c r="F60" s="453">
        <v>432</v>
      </c>
      <c r="G60" s="534">
        <f>IF(A60="SERVIÇO",VLOOKUP(C60,SERVIÇOS!$A$6:$D$7645,4,0),IF(A60="INSUMO",VLOOKUP(C60,INSUMOS!$A$6:$D$6961,4,0),IF('036.01-20-SERV. GERAIS'!A60="COTAÇÃO",VLOOKUP('036.01-20-SERV. GERAIS'!C60,'036-20-Cotação'!$A$9:$G$529,3,0),IF('036.01-20-SERV. GERAIS'!A60="CCU",VLOOKUP('036.01-20-SERV. GERAIS'!C60,'036-20-CCU''s'!$B$9:$H$1962,7,0)))))</f>
        <v>103.31475596659133</v>
      </c>
      <c r="H60" s="528">
        <f>BDI_O.A.E!$H$22</f>
        <v>0.18201100192553743</v>
      </c>
      <c r="I60" s="535">
        <f t="shared" si="13"/>
        <v>52755.484988345626</v>
      </c>
      <c r="K60" s="232">
        <f t="shared" si="0"/>
        <v>52755.484988345626</v>
      </c>
    </row>
    <row r="61" spans="1:13" s="87" customFormat="1" ht="63.75">
      <c r="A61" s="232" t="s">
        <v>4543</v>
      </c>
      <c r="B61" s="324" t="s">
        <v>6863</v>
      </c>
      <c r="C61" s="324" t="s">
        <v>6873</v>
      </c>
      <c r="D61" s="451" t="str">
        <f>IF(A61="SERVIÇO",VLOOKUP(C61,SERVIÇOS!$A$6:$D$7645,2,0),IF(A61="INSUMO",VLOOKUP(C61,INSUMOS!$A$6:$D$6961,2,0),IF('036.01-20-SERV. GERAIS'!A61="COTAÇÃO",VLOOKUP('036.01-20-SERV. GERAIS'!C61,'036-20-Cotação'!$A$9:$G$529,2,0),IF('036.01-20-SERV. GERAIS'!A61="CCU",VLOOKUP('036.01-20-SERV. GERAIS'!C61,'036-20-CCU''s'!$B$9:$H$1962,2,0)))))</f>
        <v>PLATAFORMA DE TRABALHO SUSPENSA FIXADA NOS PILARES INCLINADOS DA PONTE COM TRELIÇAS METÁLICAS E TÁBUAS - UTILIZAÇÃO DE 100  VEZES - CONFECÇÃO, INSTALAÇÃO E RETIRADA</v>
      </c>
      <c r="E61" s="452" t="str">
        <f>IF(A61="SERVIÇO",VLOOKUP(C61,SERVIÇOS!$A$6:$D$7645,3,0),IF(A61="INSUMO",VLOOKUP(C61,INSUMOS!$A$6:$D$6961,3,0),IF('036.01-20-SERV. GERAIS'!A61="COTAÇÃO",VLOOKUP('036.01-20-SERV. GERAIS'!C61,'036-20-Cotação'!$A$9:$G$529,4,0),IF('036.01-20-SERV. GERAIS'!A61="CCU",VLOOKUP('036.01-20-SERV. GERAIS'!C61,'036-20-CCU''s'!$B$9:$H$1962,4,0)))))</f>
        <v>M2</v>
      </c>
      <c r="F61" s="453">
        <v>168.88</v>
      </c>
      <c r="G61" s="534">
        <f>IF(A61="SERVIÇO",VLOOKUP(C61,SERVIÇOS!$A$6:$D$7645,4,0),IF(A61="INSUMO",VLOOKUP(C61,INSUMOS!$A$6:$D$6961,4,0),IF('036.01-20-SERV. GERAIS'!A61="COTAÇÃO",VLOOKUP('036.01-20-SERV. GERAIS'!C61,'036-20-Cotação'!$A$9:$G$529,3,0),IF('036.01-20-SERV. GERAIS'!A61="CCU",VLOOKUP('036.01-20-SERV. GERAIS'!C61,'036-20-CCU''s'!$B$9:$H$1962,7,0)))))</f>
        <v>38.861475942486315</v>
      </c>
      <c r="H61" s="528">
        <f>BDI_O.A.E!$H$22</f>
        <v>0.18201100192553743</v>
      </c>
      <c r="I61" s="535">
        <f t="shared" si="13"/>
        <v>7757.4508043952883</v>
      </c>
      <c r="K61" s="232">
        <f t="shared" si="0"/>
        <v>7757.4508043952883</v>
      </c>
    </row>
    <row r="62" spans="1:13" s="87" customFormat="1" ht="76.5">
      <c r="A62" s="232" t="s">
        <v>4543</v>
      </c>
      <c r="B62" s="324" t="s">
        <v>13462</v>
      </c>
      <c r="C62" s="324" t="s">
        <v>6882</v>
      </c>
      <c r="D62" s="451" t="str">
        <f>IF(A62="SERVIÇO",VLOOKUP(C62,SERVIÇOS!$A$6:$D$7645,2,0),IF(A62="INSUMO",VLOOKUP(C62,INSUMOS!$A$6:$D$6961,2,0),IF('036.01-20-SERV. GERAIS'!A62="COTAÇÃO",VLOOKUP('036.01-20-SERV. GERAIS'!C62,'036-20-Cotação'!$A$9:$G$529,2,0),IF('036.01-20-SERV. GERAIS'!A62="CCU",VLOOKUP('036.01-20-SERV. GERAIS'!C62,'036-20-CCU''s'!$B$9:$H$1962,2,0)))))</f>
        <v>PLATAFORMA DE TRABALHO PARA EXECUÇÃO DOS SERVIÇOS DE PINTURA DOS ARCOS METÁLICOS E CONCRETO, FIXADOS NA ESTRUTURA COM TRELIÇAS METÁLICAS E TÁBUAS - UTILIZAÇÃO DE 100 VEZES - CONFECÇÃO, INSTALAÇÃO E RETIRADA</v>
      </c>
      <c r="E62" s="452" t="str">
        <f>IF(A62="SERVIÇO",VLOOKUP(C62,SERVIÇOS!$A$6:$D$7645,3,0),IF(A62="INSUMO",VLOOKUP(C62,INSUMOS!$A$6:$D$6961,3,0),IF('036.01-20-SERV. GERAIS'!A62="COTAÇÃO",VLOOKUP('036.01-20-SERV. GERAIS'!C62,'036-20-Cotação'!$A$9:$G$529,4,0),IF('036.01-20-SERV. GERAIS'!A62="CCU",VLOOKUP('036.01-20-SERV. GERAIS'!C62,'036-20-CCU''s'!$B$9:$H$1962,4,0)))))</f>
        <v>M2</v>
      </c>
      <c r="F62" s="453">
        <v>13906.02</v>
      </c>
      <c r="G62" s="534">
        <f>IF(A62="SERVIÇO",VLOOKUP(C62,SERVIÇOS!$A$6:$D$7645,4,0),IF(A62="INSUMO",VLOOKUP(C62,INSUMOS!$A$6:$D$6961,4,0),IF('036.01-20-SERV. GERAIS'!A62="COTAÇÃO",VLOOKUP('036.01-20-SERV. GERAIS'!C62,'036-20-Cotação'!$A$9:$G$529,3,0),IF('036.01-20-SERV. GERAIS'!A62="CCU",VLOOKUP('036.01-20-SERV. GERAIS'!C62,'036-20-CCU''s'!$B$9:$H$1962,7,0)))))</f>
        <v>38.861475942486315</v>
      </c>
      <c r="H62" s="528">
        <f>BDI_O.A.E!$H$22</f>
        <v>0.18201100192553743</v>
      </c>
      <c r="I62" s="535">
        <f t="shared" si="13"/>
        <v>638768.74724619242</v>
      </c>
      <c r="K62" s="232">
        <f t="shared" si="0"/>
        <v>638768.74724619242</v>
      </c>
      <c r="M62" s="536" t="s">
        <v>13461</v>
      </c>
    </row>
    <row r="63" spans="1:13" s="87" customFormat="1" ht="51">
      <c r="A63" s="232" t="s">
        <v>4543</v>
      </c>
      <c r="B63" s="324" t="s">
        <v>26936</v>
      </c>
      <c r="C63" s="324" t="s">
        <v>6883</v>
      </c>
      <c r="D63" s="451" t="str">
        <f>IF(A63="SERVIÇO",VLOOKUP(C63,SERVIÇOS!$A$6:$D$7645,2,0),IF(A63="INSUMO",VLOOKUP(C63,INSUMOS!$A$6:$D$6961,2,0),IF('036.01-20-SERV. GERAIS'!A63="COTAÇÃO",VLOOKUP('036.01-20-SERV. GERAIS'!C63,'036-20-Cotação'!$A$9:$G$529,2,0),IF('036.01-20-SERV. GERAIS'!A63="CCU",VLOOKUP('036.01-20-SERV. GERAIS'!C63,'036-20-CCU''s'!$B$9:$H$1962,2,0)))))</f>
        <v>PLATAFORMA DE TRABALHO MÓVEL PARA ACESSO AS ÀS ANCORAGENS DOS TIRANTES/ESTAIS - UTILIZAÇÃO DE 100 VEZES - CONFECÇÃO, INSTALAÇÃO E RETIRADA</v>
      </c>
      <c r="E63" s="452" t="str">
        <f>IF(A63="SERVIÇO",VLOOKUP(C63,SERVIÇOS!$A$6:$D$7645,3,0),IF(A63="INSUMO",VLOOKUP(C63,INSUMOS!$A$6:$D$6961,3,0),IF('036.01-20-SERV. GERAIS'!A63="COTAÇÃO",VLOOKUP('036.01-20-SERV. GERAIS'!C63,'036-20-Cotação'!$A$9:$G$529,4,0),IF('036.01-20-SERV. GERAIS'!A63="CCU",VLOOKUP('036.01-20-SERV. GERAIS'!C63,'036-20-CCU''s'!$B$9:$H$1962,4,0)))))</f>
        <v xml:space="preserve">UN    </v>
      </c>
      <c r="F63" s="453">
        <v>8</v>
      </c>
      <c r="G63" s="534">
        <f>IF(A63="SERVIÇO",VLOOKUP(C63,SERVIÇOS!$A$6:$D$7645,4,0),IF(A63="INSUMO",VLOOKUP(C63,INSUMOS!$A$6:$D$6961,4,0),IF('036.01-20-SERV. GERAIS'!A63="COTAÇÃO",VLOOKUP('036.01-20-SERV. GERAIS'!C63,'036-20-Cotação'!$A$9:$G$529,3,0),IF('036.01-20-SERV. GERAIS'!A63="CCU",VLOOKUP('036.01-20-SERV. GERAIS'!C63,'036-20-CCU''s'!$B$9:$H$1962,7,0)))))</f>
        <v>419.70394017885224</v>
      </c>
      <c r="H63" s="528">
        <f>BDI_O.A.E!$H$22</f>
        <v>0.18201100192553743</v>
      </c>
      <c r="I63" s="535">
        <f t="shared" ref="I63" si="14">F63*(G63*(1+H63))</f>
        <v>3968.7573987432074</v>
      </c>
      <c r="K63" s="232">
        <f t="shared" si="0"/>
        <v>3968.7573987432074</v>
      </c>
    </row>
    <row r="64" spans="1:13" s="87" customFormat="1" ht="63.75">
      <c r="A64" s="232" t="s">
        <v>4543</v>
      </c>
      <c r="B64" s="324" t="s">
        <v>6865</v>
      </c>
      <c r="C64" s="324" t="s">
        <v>6886</v>
      </c>
      <c r="D64" s="451" t="str">
        <f>IF(A64="SERVIÇO",VLOOKUP(C64,SERVIÇOS!$A$6:$D$7645,2,0),IF(A64="INSUMO",VLOOKUP(C64,INSUMOS!$A$6:$D$6961,2,0),IF('036.01-20-SERV. GERAIS'!A64="COTAÇÃO",VLOOKUP('036.01-20-SERV. GERAIS'!C64,'036-20-Cotação'!$A$9:$G$529,2,0),IF('036.01-20-SERV. GERAIS'!A64="CCU",VLOOKUP('036.01-20-SERV. GERAIS'!C64,'036-20-CCU''s'!$B$9:$H$1962,2,0)))))</f>
        <v>PLATAFORMA DE TRABALHO SUSPENSA SOB TABULEIRO DE PONTES COM TRELIÇAS METÁLICAS E TÁBUAS - UTILIZAÇÃO DE 100 VEZES - CONFECÇÃO, INSTALAÇÃO E RETIRADA</v>
      </c>
      <c r="E64" s="452" t="str">
        <f>IF(A64="SERVIÇO",VLOOKUP(C64,SERVIÇOS!$A$6:$D$7645,3,0),IF(A64="INSUMO",VLOOKUP(C64,INSUMOS!$A$6:$D$6961,3,0),IF('036.01-20-SERV. GERAIS'!A64="COTAÇÃO",VLOOKUP('036.01-20-SERV. GERAIS'!C64,'036-20-Cotação'!$A$9:$G$529,4,0),IF('036.01-20-SERV. GERAIS'!A64="CCU",VLOOKUP('036.01-20-SERV. GERAIS'!C64,'036-20-CCU''s'!$B$9:$H$1962,4,0)))))</f>
        <v>M2</v>
      </c>
      <c r="F64" s="453">
        <v>28274.2</v>
      </c>
      <c r="G64" s="534">
        <f>IF(A64="SERVIÇO",VLOOKUP(C64,SERVIÇOS!$A$6:$D$7645,4,0),IF(A64="INSUMO",VLOOKUP(C64,INSUMOS!$A$6:$D$6961,4,0),IF('036.01-20-SERV. GERAIS'!A64="COTAÇÃO",VLOOKUP('036.01-20-SERV. GERAIS'!C64,'036-20-Cotação'!$A$9:$G$529,3,0),IF('036.01-20-SERV. GERAIS'!A64="CCU",VLOOKUP('036.01-20-SERV. GERAIS'!C64,'036-20-CCU''s'!$B$9:$H$1962,7,0)))))</f>
        <v>38.861475942486315</v>
      </c>
      <c r="H64" s="528">
        <f>BDI_O.A.E!$H$22</f>
        <v>0.18201100192553743</v>
      </c>
      <c r="I64" s="535">
        <f t="shared" si="13"/>
        <v>1298766.6718002916</v>
      </c>
      <c r="K64" s="232">
        <f t="shared" si="0"/>
        <v>1298766.6718002916</v>
      </c>
      <c r="M64" s="536" t="s">
        <v>13460</v>
      </c>
    </row>
    <row r="65" spans="1:13" s="87" customFormat="1" ht="51">
      <c r="A65" s="232" t="s">
        <v>4543</v>
      </c>
      <c r="B65" s="324" t="s">
        <v>8564</v>
      </c>
      <c r="C65" s="324" t="s">
        <v>8565</v>
      </c>
      <c r="D65" s="451" t="str">
        <f>IF(A65="SERVIÇO",VLOOKUP(C65,SERVIÇOS!$A$6:$D$7645,2,0),IF(A65="INSUMO",VLOOKUP(C65,INSUMOS!$A$6:$D$6961,2,0),IF('036.01-20-SERV. GERAIS'!A65="COTAÇÃO",VLOOKUP('036.01-20-SERV. GERAIS'!C65,'036-20-Cotação'!$A$9:$G$529,2,0),IF('036.01-20-SERV. GERAIS'!A65="CCU",VLOOKUP('036.01-20-SERV. GERAIS'!C65,'036-20-CCU''s'!$B$9:$H$1962,2,0)))))</f>
        <v>MANTA FILTRANTE DE MÉDIA EFICIÊNCIA EM POLIÉSTER (MANTA G3) COM GRAMATURA DE 150 G/M² PARA PLATAFORMAS DE PINTURA - FORNECIMENTO E INSTALAÇÃO</v>
      </c>
      <c r="E65" s="452" t="str">
        <f>IF(A65="SERVIÇO",VLOOKUP(C65,SERVIÇOS!$A$6:$D$7645,3,0),IF(A65="INSUMO",VLOOKUP(C65,INSUMOS!$A$6:$D$6961,3,0),IF('036.01-20-SERV. GERAIS'!A65="COTAÇÃO",VLOOKUP('036.01-20-SERV. GERAIS'!C65,'036-20-Cotação'!$A$9:$G$529,4,0),IF('036.01-20-SERV. GERAIS'!A65="CCU",VLOOKUP('036.01-20-SERV. GERAIS'!C65,'036-20-CCU''s'!$B$9:$H$1962,4,0)))))</f>
        <v>M2</v>
      </c>
      <c r="F65" s="453">
        <f>(F64+F62)/2</f>
        <v>21090.11</v>
      </c>
      <c r="G65" s="534">
        <f>IF(A65="SERVIÇO",VLOOKUP(C65,SERVIÇOS!$A$6:$D$7645,4,0),IF(A65="INSUMO",VLOOKUP(C65,INSUMOS!$A$6:$D$6961,4,0),IF('036.01-20-SERV. GERAIS'!A65="COTAÇÃO",VLOOKUP('036.01-20-SERV. GERAIS'!C65,'036-20-Cotação'!$A$9:$G$529,3,0),IF('036.01-20-SERV. GERAIS'!A65="CCU",VLOOKUP('036.01-20-SERV. GERAIS'!C65,'036-20-CCU''s'!$B$9:$H$1962,7,0)))))</f>
        <v>10.36512372334956</v>
      </c>
      <c r="H65" s="528">
        <f>BDI_O.A.E!$H$22</f>
        <v>0.18201100192553743</v>
      </c>
      <c r="I65" s="535">
        <f t="shared" ref="I65" si="15">F65*(G65*(1+H65))</f>
        <v>258389.49563457919</v>
      </c>
      <c r="K65" s="232">
        <f t="shared" ref="K65" si="16">F65*(G65*(1+H65))</f>
        <v>258389.49563457919</v>
      </c>
      <c r="M65" s="87" t="s">
        <v>8578</v>
      </c>
    </row>
    <row r="66" spans="1:13" s="87" customFormat="1">
      <c r="A66" s="232"/>
      <c r="B66" s="144"/>
      <c r="C66" s="144"/>
      <c r="D66" s="144"/>
      <c r="E66" s="145"/>
      <c r="F66" s="146"/>
      <c r="G66" s="146"/>
      <c r="H66" s="146"/>
      <c r="I66" s="147"/>
      <c r="K66" s="232">
        <f t="shared" si="0"/>
        <v>0</v>
      </c>
    </row>
    <row r="67" spans="1:13" s="87" customFormat="1">
      <c r="A67" s="232"/>
      <c r="B67" s="88" t="s">
        <v>7522</v>
      </c>
      <c r="C67" s="88" t="s">
        <v>6348</v>
      </c>
      <c r="D67" s="148" t="s">
        <v>6887</v>
      </c>
      <c r="E67" s="149"/>
      <c r="F67" s="149"/>
      <c r="G67" s="149"/>
      <c r="H67" s="149"/>
      <c r="I67" s="150"/>
      <c r="K67" s="232">
        <f t="shared" si="0"/>
        <v>0</v>
      </c>
    </row>
    <row r="68" spans="1:13" s="87" customFormat="1">
      <c r="A68" s="232"/>
      <c r="B68" s="88" t="s">
        <v>7521</v>
      </c>
      <c r="C68" s="88" t="s">
        <v>6348</v>
      </c>
      <c r="D68" s="148" t="s">
        <v>6888</v>
      </c>
      <c r="E68" s="149"/>
      <c r="F68" s="149"/>
      <c r="G68" s="149"/>
      <c r="H68" s="149"/>
      <c r="I68" s="150"/>
      <c r="K68" s="232">
        <f t="shared" si="0"/>
        <v>0</v>
      </c>
    </row>
    <row r="69" spans="1:13" s="87" customFormat="1">
      <c r="A69" s="232"/>
      <c r="B69" s="88" t="s">
        <v>7520</v>
      </c>
      <c r="C69" s="88" t="s">
        <v>6348</v>
      </c>
      <c r="D69" s="364" t="s">
        <v>8109</v>
      </c>
      <c r="E69" s="149"/>
      <c r="F69" s="149"/>
      <c r="G69" s="149"/>
      <c r="H69" s="149"/>
      <c r="I69" s="150"/>
      <c r="K69" s="232">
        <f t="shared" si="0"/>
        <v>0</v>
      </c>
    </row>
    <row r="70" spans="1:13" s="87" customFormat="1">
      <c r="A70" s="232" t="s">
        <v>4543</v>
      </c>
      <c r="B70" s="324" t="s">
        <v>6889</v>
      </c>
      <c r="C70" s="324">
        <v>1600436</v>
      </c>
      <c r="D70" s="451" t="str">
        <f>IF(A70="SERVIÇO",VLOOKUP(C70,SERVIÇOS!$A$6:$D$7645,2,0),IF(A70="INSUMO",VLOOKUP(C70,INSUMOS!$A$6:$D$6961,2,0),IF('036.01-20-SERV. GERAIS'!A70="COTAÇÃO",VLOOKUP('036.01-20-SERV. GERAIS'!C70,'036-20-Cotação'!$A$9:$G$529,2,0),IF('036.01-20-SERV. GERAIS'!A70="CCU",VLOOKUP('036.01-20-SERV. GERAIS'!C70,'036-20-CCU''s'!$B$9:$H$1962,2,0)))))</f>
        <v>DEMOLIÇÃO DE CONCRETO SIMPLES</v>
      </c>
      <c r="E70" s="452" t="str">
        <f>IF(A70="SERVIÇO",VLOOKUP(C70,SERVIÇOS!$A$6:$D$7645,3,0),IF(A70="INSUMO",VLOOKUP(C70,INSUMOS!$A$6:$D$6961,3,0),IF('036.01-20-SERV. GERAIS'!A70="COTAÇÃO",VLOOKUP('036.01-20-SERV. GERAIS'!C70,'036-20-Cotação'!$A$9:$G$529,4,0),IF('036.01-20-SERV. GERAIS'!A70="CCU",VLOOKUP('036.01-20-SERV. GERAIS'!C70,'036-20-CCU''s'!$B$9:$H$1962,4,0)))))</f>
        <v>M3</v>
      </c>
      <c r="F70" s="453">
        <v>10.4</v>
      </c>
      <c r="G70" s="534">
        <f>IF(A70="SERVIÇO",VLOOKUP(C70,SERVIÇOS!$A$6:$D$7645,4,0),IF(A70="INSUMO",VLOOKUP(C70,INSUMOS!$A$6:$D$6961,4,0),IF('036.01-20-SERV. GERAIS'!A70="COTAÇÃO",VLOOKUP('036.01-20-SERV. GERAIS'!C70,'036-20-Cotação'!$A$9:$G$529,3,0),IF('036.01-20-SERV. GERAIS'!A70="CCU",VLOOKUP('036.01-20-SERV. GERAIS'!C70,'036-20-CCU''s'!$B$9:$H$1962,7,0)))))</f>
        <v>343.29203694751379</v>
      </c>
      <c r="H70" s="528">
        <f>BDI_O.A.E!$H$22</f>
        <v>0.18201100192553743</v>
      </c>
      <c r="I70" s="535">
        <f t="shared" si="13"/>
        <v>4220.05963127205</v>
      </c>
      <c r="K70" s="232">
        <f t="shared" si="0"/>
        <v>4220.05963127205</v>
      </c>
    </row>
    <row r="71" spans="1:13" s="87" customFormat="1">
      <c r="A71" s="232"/>
      <c r="B71" s="88" t="s">
        <v>8368</v>
      </c>
      <c r="C71" s="88" t="s">
        <v>6348</v>
      </c>
      <c r="D71" s="364" t="s">
        <v>8370</v>
      </c>
      <c r="E71" s="149"/>
      <c r="F71" s="149"/>
      <c r="G71" s="149"/>
      <c r="H71" s="149"/>
      <c r="I71" s="150"/>
      <c r="K71" s="232">
        <f t="shared" si="0"/>
        <v>0</v>
      </c>
    </row>
    <row r="72" spans="1:13" s="87" customFormat="1" ht="25.5">
      <c r="A72" s="232" t="s">
        <v>4543</v>
      </c>
      <c r="B72" s="324" t="s">
        <v>8369</v>
      </c>
      <c r="C72" s="324">
        <v>1600990</v>
      </c>
      <c r="D72" s="451" t="str">
        <f>IF(A72="SERVIÇO",VLOOKUP(C72,SERVIÇOS!$A$6:$D$7645,2,0),IF(A72="INSUMO",VLOOKUP(C72,INSUMOS!$A$6:$D$6961,2,0),IF('036.01-20-SERV. GERAIS'!A72="COTAÇÃO",VLOOKUP('036.01-20-SERV. GERAIS'!C72,'036-20-Cotação'!$A$9:$G$529,2,0),IF('036.01-20-SERV. GERAIS'!A72="CCU",VLOOKUP('036.01-20-SERV. GERAIS'!C72,'036-20-CCU''s'!$B$9:$H$1962,2,0)))))</f>
        <v>DEMOLIÇÃO DE CONCRETO ARMADO COM MARTELETE E CORTE OXIACETILENO</v>
      </c>
      <c r="E72" s="452" t="str">
        <f>IF(A72="SERVIÇO",VLOOKUP(C72,SERVIÇOS!$A$6:$D$7645,3,0),IF(A72="INSUMO",VLOOKUP(C72,INSUMOS!$A$6:$D$6961,3,0),IF('036.01-20-SERV. GERAIS'!A72="COTAÇÃO",VLOOKUP('036.01-20-SERV. GERAIS'!C72,'036-20-Cotação'!$A$9:$G$529,4,0),IF('036.01-20-SERV. GERAIS'!A72="CCU",VLOOKUP('036.01-20-SERV. GERAIS'!C72,'036-20-CCU''s'!$B$9:$H$1962,4,0)))))</f>
        <v>M3</v>
      </c>
      <c r="F72" s="453">
        <v>182.1</v>
      </c>
      <c r="G72" s="534">
        <f>IF(A72="SERVIÇO",VLOOKUP(C72,SERVIÇOS!$A$6:$D$7645,4,0),IF(A72="INSUMO",VLOOKUP(C72,INSUMOS!$A$6:$D$6961,4,0),IF('036.01-20-SERV. GERAIS'!A72="COTAÇÃO",VLOOKUP('036.01-20-SERV. GERAIS'!C72,'036-20-Cotação'!$A$9:$G$529,3,0),IF('036.01-20-SERV. GERAIS'!A72="CCU",VLOOKUP('036.01-20-SERV. GERAIS'!C72,'036-20-CCU''s'!$B$9:$H$1962,7,0)))))</f>
        <v>463.90482506570413</v>
      </c>
      <c r="H72" s="528">
        <f>BDI_O.A.E!$H$22</f>
        <v>0.18201100192553743</v>
      </c>
      <c r="I72" s="535">
        <f t="shared" ref="I72" si="17">F72*(G72*(1+H72))</f>
        <v>99852.824548176141</v>
      </c>
      <c r="K72" s="232">
        <f t="shared" si="0"/>
        <v>99852.824548176141</v>
      </c>
    </row>
    <row r="73" spans="1:13" s="87" customFormat="1">
      <c r="A73" s="232"/>
      <c r="B73" s="88" t="s">
        <v>7519</v>
      </c>
      <c r="C73" s="88" t="s">
        <v>6348</v>
      </c>
      <c r="D73" s="148" t="s">
        <v>6890</v>
      </c>
      <c r="E73" s="149"/>
      <c r="F73" s="149"/>
      <c r="G73" s="149"/>
      <c r="H73" s="149"/>
      <c r="I73" s="150"/>
      <c r="K73" s="232">
        <f t="shared" si="0"/>
        <v>0</v>
      </c>
    </row>
    <row r="74" spans="1:13" s="87" customFormat="1" ht="25.5">
      <c r="A74" s="232" t="s">
        <v>4543</v>
      </c>
      <c r="B74" s="324" t="s">
        <v>5068</v>
      </c>
      <c r="C74" s="324">
        <v>4011479</v>
      </c>
      <c r="D74" s="451" t="str">
        <f>IF(A74="SERVIÇO",VLOOKUP(C74,SERVIÇOS!$A$6:$D$7645,2,0),IF(A74="INSUMO",VLOOKUP(C74,INSUMOS!$A$6:$D$6961,2,0),IF('036.01-20-SERV. GERAIS'!A74="COTAÇÃO",VLOOKUP('036.01-20-SERV. GERAIS'!C74,'036-20-Cotação'!$A$9:$G$529,2,0),IF('036.01-20-SERV. GERAIS'!A74="CCU",VLOOKUP('036.01-20-SERV. GERAIS'!C74,'036-20-CCU''s'!$B$9:$H$1962,2,0)))))</f>
        <v>FRESAGEM CONTÍNUA DE REVESTIMENTO BETUMINOSO</v>
      </c>
      <c r="E74" s="452" t="str">
        <f>IF(A74="SERVIÇO",VLOOKUP(C74,SERVIÇOS!$A$6:$D$7645,3,0),IF(A74="INSUMO",VLOOKUP(C74,INSUMOS!$A$6:$D$6961,3,0),IF('036.01-20-SERV. GERAIS'!A74="COTAÇÃO",VLOOKUP('036.01-20-SERV. GERAIS'!C74,'036-20-Cotação'!$A$9:$G$529,4,0),IF('036.01-20-SERV. GERAIS'!A74="CCU",VLOOKUP('036.01-20-SERV. GERAIS'!C74,'036-20-CCU''s'!$B$9:$H$1962,4,0)))))</f>
        <v>M3</v>
      </c>
      <c r="F74" s="453">
        <v>201.82</v>
      </c>
      <c r="G74" s="534">
        <f>IF(A74="SERVIÇO",VLOOKUP(C74,SERVIÇOS!$A$6:$D$7645,4,0),IF(A74="INSUMO",VLOOKUP(C74,INSUMOS!$A$6:$D$6961,4,0),IF('036.01-20-SERV. GERAIS'!A74="COTAÇÃO",VLOOKUP('036.01-20-SERV. GERAIS'!C74,'036-20-Cotação'!$A$9:$G$529,3,0),IF('036.01-20-SERV. GERAIS'!A74="CCU",VLOOKUP('036.01-20-SERV. GERAIS'!C74,'036-20-CCU''s'!$B$9:$H$1962,7,0)))))</f>
        <v>35.725255770961262</v>
      </c>
      <c r="H74" s="528">
        <f>BDI_O.A.E!$H$22</f>
        <v>0.18201100192553743</v>
      </c>
      <c r="I74" s="535">
        <f t="shared" si="13"/>
        <v>8522.383388145543</v>
      </c>
      <c r="K74" s="232">
        <f t="shared" si="0"/>
        <v>8522.383388145543</v>
      </c>
    </row>
    <row r="75" spans="1:13" s="87" customFormat="1">
      <c r="A75" s="232"/>
      <c r="B75" s="88" t="s">
        <v>7518</v>
      </c>
      <c r="C75" s="88" t="s">
        <v>6348</v>
      </c>
      <c r="D75" s="364" t="s">
        <v>6892</v>
      </c>
      <c r="E75" s="149"/>
      <c r="F75" s="149"/>
      <c r="G75" s="149"/>
      <c r="H75" s="149"/>
      <c r="I75" s="150"/>
      <c r="K75" s="232">
        <f t="shared" si="0"/>
        <v>0</v>
      </c>
    </row>
    <row r="76" spans="1:13" s="87" customFormat="1" ht="25.5">
      <c r="A76" s="232" t="s">
        <v>4543</v>
      </c>
      <c r="B76" s="324" t="s">
        <v>5069</v>
      </c>
      <c r="C76" s="324" t="s">
        <v>6895</v>
      </c>
      <c r="D76" s="451" t="str">
        <f>IF(A76="SERVIÇO",VLOOKUP(C76,SERVIÇOS!$A$6:$D$7645,2,0),IF(A76="INSUMO",VLOOKUP(C76,INSUMOS!$A$6:$D$6961,2,0),IF('036.01-20-SERV. GERAIS'!A76="COTAÇÃO",VLOOKUP('036.01-20-SERV. GERAIS'!C76,'036-20-Cotação'!$A$9:$G$529,2,0),IF('036.01-20-SERV. GERAIS'!A76="CCU",VLOOKUP('036.01-20-SERV. GERAIS'!C76,'036-20-CCU''s'!$B$9:$H$1962,2,0)))))</f>
        <v>CARGA MANUAL DE ENTULHO EM CARRINHO PLATAFORMA</v>
      </c>
      <c r="E76" s="452" t="str">
        <f>IF(A76="SERVIÇO",VLOOKUP(C76,SERVIÇOS!$A$6:$D$7645,3,0),IF(A76="INSUMO",VLOOKUP(C76,INSUMOS!$A$6:$D$6961,3,0),IF('036.01-20-SERV. GERAIS'!A76="COTAÇÃO",VLOOKUP('036.01-20-SERV. GERAIS'!C76,'036-20-Cotação'!$A$9:$G$529,4,0),IF('036.01-20-SERV. GERAIS'!A76="CCU",VLOOKUP('036.01-20-SERV. GERAIS'!C76,'036-20-CCU''s'!$B$9:$H$1962,4,0)))))</f>
        <v>M3</v>
      </c>
      <c r="F76" s="453">
        <f>(F70+F72)*1.3</f>
        <v>250.25</v>
      </c>
      <c r="G76" s="534">
        <f>IF(A76="SERVIÇO",VLOOKUP(C76,SERVIÇOS!$A$6:$D$7645,4,0),IF(A76="INSUMO",VLOOKUP(C76,INSUMOS!$A$6:$D$6961,4,0),IF('036.01-20-SERV. GERAIS'!A76="COTAÇÃO",VLOOKUP('036.01-20-SERV. GERAIS'!C76,'036-20-Cotação'!$A$9:$G$529,3,0),IF('036.01-20-SERV. GERAIS'!A76="CCU",VLOOKUP('036.01-20-SERV. GERAIS'!C76,'036-20-CCU''s'!$B$9:$H$1962,7,0)))))</f>
        <v>10.946249999999999</v>
      </c>
      <c r="H76" s="528">
        <f>BDI_O.A.E!$H$22</f>
        <v>0.18201100192553743</v>
      </c>
      <c r="I76" s="535">
        <f t="shared" si="13"/>
        <v>3237.88162943931</v>
      </c>
      <c r="K76" s="232">
        <f t="shared" si="0"/>
        <v>3237.88162943931</v>
      </c>
    </row>
    <row r="77" spans="1:13" s="87" customFormat="1" ht="25.5">
      <c r="A77" s="232" t="s">
        <v>4543</v>
      </c>
      <c r="B77" s="324" t="s">
        <v>5070</v>
      </c>
      <c r="C77" s="324" t="s">
        <v>7339</v>
      </c>
      <c r="D77" s="451" t="str">
        <f>IF(A77="SERVIÇO",VLOOKUP(C77,SERVIÇOS!$A$6:$D$7645,2,0),IF(A77="INSUMO",VLOOKUP(C77,INSUMOS!$A$6:$D$6961,2,0),IF('036.01-20-SERV. GERAIS'!A77="COTAÇÃO",VLOOKUP('036.01-20-SERV. GERAIS'!C77,'036-20-Cotação'!$A$9:$G$529,2,0),IF('036.01-20-SERV. GERAIS'!A77="CCU",VLOOKUP('036.01-20-SERV. GERAIS'!C77,'036-20-CCU''s'!$B$9:$H$1962,2,0)))))</f>
        <v>TRANSPORTE HORIZONTAL DE ENTULHO COM CARRINHO PLATAFORMA ATÉ 200M</v>
      </c>
      <c r="E77" s="452" t="str">
        <f>IF(A77="SERVIÇO",VLOOKUP(C77,SERVIÇOS!$A$6:$D$7645,3,0),IF(A77="INSUMO",VLOOKUP(C77,INSUMOS!$A$6:$D$6961,3,0),IF('036.01-20-SERV. GERAIS'!A77="COTAÇÃO",VLOOKUP('036.01-20-SERV. GERAIS'!C77,'036-20-Cotação'!$A$9:$G$529,4,0),IF('036.01-20-SERV. GERAIS'!A77="CCU",VLOOKUP('036.01-20-SERV. GERAIS'!C77,'036-20-CCU''s'!$B$9:$H$1962,4,0)))))</f>
        <v>KG.KM</v>
      </c>
      <c r="F77" s="453">
        <f>F76*1500*0.2</f>
        <v>75075</v>
      </c>
      <c r="G77" s="534">
        <f>IF(A77="SERVIÇO",VLOOKUP(C77,SERVIÇOS!$A$6:$D$7645,4,0),IF(A77="INSUMO",VLOOKUP(C77,INSUMOS!$A$6:$D$6961,4,0),IF('036.01-20-SERV. GERAIS'!A77="COTAÇÃO",VLOOKUP('036.01-20-SERV. GERAIS'!C77,'036-20-Cotação'!$A$9:$G$529,3,0),IF('036.01-20-SERV. GERAIS'!A77="CCU",VLOOKUP('036.01-20-SERV. GERAIS'!C77,'036-20-CCU''s'!$B$9:$H$1962,7,0)))))</f>
        <v>0.20016</v>
      </c>
      <c r="H77" s="528">
        <f>BDI_O.A.E!$H$22</f>
        <v>0.18201100192553743</v>
      </c>
      <c r="I77" s="535">
        <f t="shared" ref="I77:I78" si="18">F77*(G77*(1+H77))</f>
        <v>17762.093510067076</v>
      </c>
      <c r="K77" s="232">
        <f t="shared" si="0"/>
        <v>17762.093510067076</v>
      </c>
      <c r="M77" s="232" t="s">
        <v>8372</v>
      </c>
    </row>
    <row r="78" spans="1:13" s="87" customFormat="1" ht="76.5">
      <c r="A78" s="232" t="s">
        <v>4543</v>
      </c>
      <c r="B78" s="324" t="s">
        <v>6893</v>
      </c>
      <c r="C78" s="324">
        <v>5914354</v>
      </c>
      <c r="D78" s="451" t="str">
        <f>IF(A78="SERVIÇO",VLOOKUP(C78,SERVIÇOS!$A$6:$D$7645,2,0),IF(A78="INSUMO",VLOOKUP(C78,INSUMOS!$A$6:$D$6961,2,0),IF('036.01-20-SERV. GERAIS'!A78="COTAÇÃO",VLOOKUP('036.01-20-SERV. GERAIS'!C78,'036-20-Cotação'!$A$9:$G$529,2,0),IF('036.01-20-SERV. GERAIS'!A78="CCU",VLOOKUP('036.01-20-SERV. GERAIS'!C78,'036-20-CCU''s'!$B$9:$H$1962,2,0)))))</f>
        <v>CARGA, MANOBRA E DESCARGA DE AGREGADOS (BRITA, PÓ DE PEDRA, AREIA, RACHÃO) OU SOLOS EM CAMINHÃO BASCULANTE DE 10 M³ CARGA COM ESCAVADEIRA DE 1,50 M³ (EXCLUSA) E DESCARGA LIVRE</v>
      </c>
      <c r="E78" s="452" t="str">
        <f>IF(A78="SERVIÇO",VLOOKUP(C78,SERVIÇOS!$A$6:$D$7645,3,0),IF(A78="INSUMO",VLOOKUP(C78,INSUMOS!$A$6:$D$6961,3,0),IF('036.01-20-SERV. GERAIS'!A78="COTAÇÃO",VLOOKUP('036.01-20-SERV. GERAIS'!C78,'036-20-Cotação'!$A$9:$G$529,4,0),IF('036.01-20-SERV. GERAIS'!A78="CCU",VLOOKUP('036.01-20-SERV. GERAIS'!C78,'036-20-CCU''s'!$B$9:$H$1962,4,0)))))</f>
        <v>T</v>
      </c>
      <c r="F78" s="453">
        <f>(((F74*1500)/1000)+(((F70+F72)*1500)/1000))*1.3</f>
        <v>768.92400000000009</v>
      </c>
      <c r="G78" s="534">
        <f>IF(A78="SERVIÇO",VLOOKUP(C78,SERVIÇOS!$A$6:$D$7645,4,0),IF(A78="INSUMO",VLOOKUP(C78,INSUMOS!$A$6:$D$6961,4,0),IF('036.01-20-SERV. GERAIS'!A78="COTAÇÃO",VLOOKUP('036.01-20-SERV. GERAIS'!C78,'036-20-Cotação'!$A$9:$G$529,3,0),IF('036.01-20-SERV. GERAIS'!A78="CCU",VLOOKUP('036.01-20-SERV. GERAIS'!C78,'036-20-CCU''s'!$B$9:$H$1962,7,0)))))</f>
        <v>0.99624261686746973</v>
      </c>
      <c r="H78" s="528">
        <f>BDI_O.A.E!$H$22</f>
        <v>0.18201100192553743</v>
      </c>
      <c r="I78" s="535">
        <f t="shared" si="18"/>
        <v>905.46162993432938</v>
      </c>
      <c r="K78" s="232">
        <f t="shared" si="0"/>
        <v>905.46162993432938</v>
      </c>
      <c r="M78" s="232" t="s">
        <v>7866</v>
      </c>
    </row>
    <row r="79" spans="1:13" s="87" customFormat="1" ht="25.5">
      <c r="A79" s="232" t="s">
        <v>4543</v>
      </c>
      <c r="B79" s="324" t="s">
        <v>6894</v>
      </c>
      <c r="C79" s="324">
        <v>5915321</v>
      </c>
      <c r="D79" s="451" t="str">
        <f>IF(A79="SERVIÇO",VLOOKUP(C79,SERVIÇOS!$A$6:$D$7645,2,0),IF(A79="INSUMO",VLOOKUP(C79,INSUMOS!$A$6:$D$6961,2,0),IF('036.01-20-SERV. GERAIS'!A79="COTAÇÃO",VLOOKUP('036.01-20-SERV. GERAIS'!C79,'036-20-Cotação'!$A$9:$G$529,2,0),IF('036.01-20-SERV. GERAIS'!A79="CCU",VLOOKUP('036.01-20-SERV. GERAIS'!C79,'036-20-CCU''s'!$B$9:$H$1962,2,0)))))</f>
        <v>TRANSPORTE COM CAMINHÃO BASCULANTE DE 14 M³ - RODOVIA PAVIMENTADA</v>
      </c>
      <c r="E79" s="452" t="str">
        <f>IF(A79="SERVIÇO",VLOOKUP(C79,SERVIÇOS!$A$6:$D$7645,3,0),IF(A79="INSUMO",VLOOKUP(C79,INSUMOS!$A$6:$D$6961,3,0),IF('036.01-20-SERV. GERAIS'!A79="COTAÇÃO",VLOOKUP('036.01-20-SERV. GERAIS'!C79,'036-20-Cotação'!$A$9:$G$529,4,0),IF('036.01-20-SERV. GERAIS'!A79="CCU",VLOOKUP('036.01-20-SERV. GERAIS'!C79,'036-20-CCU''s'!$B$9:$H$1962,4,0)))))</f>
        <v>T.KM</v>
      </c>
      <c r="F79" s="453">
        <f>F78*32.8</f>
        <v>25220.707200000001</v>
      </c>
      <c r="G79" s="534">
        <f>IF(A79="SERVIÇO",VLOOKUP(C79,SERVIÇOS!$A$6:$D$7645,4,0),IF(A79="INSUMO",VLOOKUP(C79,INSUMOS!$A$6:$D$6961,4,0),IF('036.01-20-SERV. GERAIS'!A79="COTAÇÃO",VLOOKUP('036.01-20-SERV. GERAIS'!C79,'036-20-Cotação'!$A$9:$G$529,3,0),IF('036.01-20-SERV. GERAIS'!A79="CCU",VLOOKUP('036.01-20-SERV. GERAIS'!C79,'036-20-CCU''s'!$B$9:$H$1962,7,0)))))</f>
        <v>0.53044787122445292</v>
      </c>
      <c r="H79" s="528">
        <f>BDI_O.A.E!$H$22</f>
        <v>0.18201100192553743</v>
      </c>
      <c r="I79" s="535">
        <f t="shared" ref="I79" si="19">F79*(G79*(1+H79))</f>
        <v>15813.262852743261</v>
      </c>
      <c r="K79" s="232">
        <f t="shared" si="0"/>
        <v>15813.262852743261</v>
      </c>
      <c r="M79" s="232" t="s">
        <v>7865</v>
      </c>
    </row>
    <row r="80" spans="1:13" s="87" customFormat="1" ht="25.5">
      <c r="A80" s="232" t="s">
        <v>4542</v>
      </c>
      <c r="B80" s="324" t="s">
        <v>26991</v>
      </c>
      <c r="C80" s="324" t="s">
        <v>26987</v>
      </c>
      <c r="D80" s="451" t="str">
        <f>IF(A80="SERVIÇO",VLOOKUP(C80,SERVIÇOS!$A$6:$D$7645,2,0),IF(A80="INSUMO",VLOOKUP(C80,INSUMOS!$A$6:$D$6961,2,0),IF('036.01-20-SERV. GERAIS'!A80="COTAÇÃO",VLOOKUP('036.01-20-SERV. GERAIS'!C80,'036-20-Cotação'!$A$9:$G$529,2,0),IF('036.01-20-SERV. GERAIS'!A80="CCU",VLOOKUP('036.01-20-SERV. GERAIS'!C80,'036-20-CCU''s'!$B$9:$H$1962,2,0)))))</f>
        <v xml:space="preserve">DISPOSIÇÃO FINAL DE RESÍDUOS SEGREGADOS DE CONSTRUÇÃO CIVIL </v>
      </c>
      <c r="E80" s="452" t="str">
        <f>IF(A80="SERVIÇO",VLOOKUP(C80,SERVIÇOS!$A$6:$D$7645,3,0),IF(A80="INSUMO",VLOOKUP(C80,INSUMOS!$A$6:$D$6961,3,0),IF('036.01-20-SERV. GERAIS'!A80="COTAÇÃO",VLOOKUP('036.01-20-SERV. GERAIS'!C80,'036-20-Cotação'!$A$9:$G$529,4,0),IF('036.01-20-SERV. GERAIS'!A80="CCU",VLOOKUP('036.01-20-SERV. GERAIS'!C80,'036-20-CCU''s'!$B$9:$H$1962,4,0)))))</f>
        <v>T</v>
      </c>
      <c r="F80" s="453">
        <f>F78</f>
        <v>768.92400000000009</v>
      </c>
      <c r="G80" s="534">
        <f>IF(A80="SERVIÇO",VLOOKUP(C80,SERVIÇOS!$A$6:$D$7645,4,0),IF(A80="INSUMO",VLOOKUP(C80,INSUMOS!$A$6:$D$6961,4,0),IF('036.01-20-SERV. GERAIS'!A80="COTAÇÃO",VLOOKUP('036.01-20-SERV. GERAIS'!C80,'036-20-Cotação'!$A$9:$G$529,3,0),IF('036.01-20-SERV. GERAIS'!A80="CCU",VLOOKUP('036.01-20-SERV. GERAIS'!C80,'036-20-CCU''s'!$B$9:$H$1962,7,0)))))</f>
        <v>12.23</v>
      </c>
      <c r="H80" s="528">
        <f>BDI_O.A.E!$H$22</f>
        <v>0.18201100192553743</v>
      </c>
      <c r="I80" s="535">
        <f t="shared" ref="I80" si="20">F80*(G80*(1+H80))</f>
        <v>11115.561156093361</v>
      </c>
      <c r="K80" s="232">
        <f t="shared" ref="K80" si="21">F80*(G80*(1+H80))</f>
        <v>11115.561156093361</v>
      </c>
      <c r="M80" s="232" t="s">
        <v>7865</v>
      </c>
    </row>
    <row r="81" spans="1:13" s="87" customFormat="1">
      <c r="A81" s="232"/>
      <c r="B81" s="144"/>
      <c r="C81" s="144"/>
      <c r="D81" s="144"/>
      <c r="E81" s="145"/>
      <c r="F81" s="146"/>
      <c r="G81" s="146"/>
      <c r="H81" s="146"/>
      <c r="I81" s="147"/>
      <c r="K81" s="232">
        <f t="shared" si="0"/>
        <v>0</v>
      </c>
    </row>
    <row r="82" spans="1:13" s="87" customFormat="1">
      <c r="A82" s="232"/>
      <c r="B82" s="193"/>
      <c r="C82" s="194"/>
      <c r="D82" s="194"/>
      <c r="E82" s="194"/>
      <c r="F82" s="194"/>
      <c r="G82" s="196" t="s">
        <v>70</v>
      </c>
      <c r="H82" s="332"/>
      <c r="I82" s="89">
        <f>SUM(I55:I81)</f>
        <v>2675926.5106019648</v>
      </c>
      <c r="K82" s="232"/>
    </row>
    <row r="83" spans="1:13" s="87" customFormat="1">
      <c r="A83" s="232"/>
      <c r="B83" s="144"/>
      <c r="C83" s="144"/>
      <c r="D83" s="144"/>
      <c r="E83" s="145"/>
      <c r="F83" s="146"/>
      <c r="G83" s="146"/>
      <c r="H83" s="146"/>
      <c r="I83" s="147"/>
      <c r="K83" s="232">
        <f t="shared" si="0"/>
        <v>0</v>
      </c>
    </row>
    <row r="84" spans="1:13" s="87" customFormat="1">
      <c r="A84" s="232"/>
      <c r="B84" s="88" t="s">
        <v>7517</v>
      </c>
      <c r="C84" s="88" t="s">
        <v>6348</v>
      </c>
      <c r="D84" s="148" t="s">
        <v>7342</v>
      </c>
      <c r="E84" s="149"/>
      <c r="F84" s="149"/>
      <c r="G84" s="149"/>
      <c r="H84" s="149"/>
      <c r="I84" s="150"/>
      <c r="K84" s="232">
        <f t="shared" ref="K84:K145" si="22">F84*(G84*(1+H84))</f>
        <v>0</v>
      </c>
    </row>
    <row r="85" spans="1:13" s="87" customFormat="1">
      <c r="A85" s="232"/>
      <c r="B85" s="88" t="s">
        <v>7516</v>
      </c>
      <c r="C85" s="88" t="s">
        <v>6348</v>
      </c>
      <c r="D85" s="148" t="s">
        <v>7343</v>
      </c>
      <c r="E85" s="149"/>
      <c r="F85" s="149"/>
      <c r="G85" s="149"/>
      <c r="H85" s="149"/>
      <c r="I85" s="150"/>
      <c r="K85" s="232">
        <f t="shared" si="22"/>
        <v>0</v>
      </c>
    </row>
    <row r="86" spans="1:13" s="87" customFormat="1">
      <c r="A86" s="232"/>
      <c r="B86" s="88" t="s">
        <v>7917</v>
      </c>
      <c r="C86" s="88" t="s">
        <v>6348</v>
      </c>
      <c r="D86" s="364" t="s">
        <v>7918</v>
      </c>
      <c r="E86" s="149"/>
      <c r="F86" s="149"/>
      <c r="G86" s="149"/>
      <c r="H86" s="149"/>
      <c r="I86" s="150"/>
      <c r="J86" s="87">
        <f>7*40</f>
        <v>280</v>
      </c>
      <c r="K86" s="232">
        <f t="shared" si="22"/>
        <v>0</v>
      </c>
    </row>
    <row r="87" spans="1:13" s="87" customFormat="1" ht="25.5">
      <c r="A87" s="232" t="s">
        <v>4543</v>
      </c>
      <c r="B87" s="324" t="s">
        <v>8049</v>
      </c>
      <c r="C87" s="324" t="s">
        <v>6280</v>
      </c>
      <c r="D87" s="451" t="str">
        <f>IF(A87="SERVIÇO",VLOOKUP(C87,SERVIÇOS!$A$6:$D$7645,2,0),IF(A87="INSUMO",VLOOKUP(C87,INSUMOS!$A$6:$D$6961,2,0),IF('036.01-20-SERV. GERAIS'!A87="COTAÇÃO",VLOOKUP('036.01-20-SERV. GERAIS'!C87,'036-20-Cotação'!$A$9:$G$529,2,0),IF('036.01-20-SERV. GERAIS'!A87="CCU",VLOOKUP('036.01-20-SERV. GERAIS'!C87,'036-20-CCU''s'!$B$9:$H$1962,2,0)))))</f>
        <v>ESTACA PRANCHA METÁLICA, PERFÍL AZ 20-700 / C-14 (10mm) - FORNECIMENTO</v>
      </c>
      <c r="E87" s="452" t="str">
        <f>IF(A87="SERVIÇO",VLOOKUP(C87,SERVIÇOS!$A$6:$D$7645,3,0),IF(A87="INSUMO",VLOOKUP(C87,INSUMOS!$A$6:$D$6961,3,0),IF('036.01-20-SERV. GERAIS'!A87="COTAÇÃO",VLOOKUP('036.01-20-SERV. GERAIS'!C87,'036-20-Cotação'!$A$9:$G$529,4,0),IF('036.01-20-SERV. GERAIS'!A87="CCU",VLOOKUP('036.01-20-SERV. GERAIS'!C87,'036-20-CCU''s'!$B$9:$H$1962,4,0)))))</f>
        <v>KG</v>
      </c>
      <c r="F87" s="453">
        <v>145300</v>
      </c>
      <c r="G87" s="534">
        <f>IF(A87="SERVIÇO",VLOOKUP(C87,SERVIÇOS!$A$6:$D$7645,4,0),IF(A87="INSUMO",VLOOKUP(C87,INSUMOS!$A$6:$D$6961,4,0),IF('036.01-20-SERV. GERAIS'!A87="COTAÇÃO",VLOOKUP('036.01-20-SERV. GERAIS'!C87,'036-20-Cotação'!$A$9:$G$529,3,0),IF('036.01-20-SERV. GERAIS'!A87="CCU",VLOOKUP('036.01-20-SERV. GERAIS'!C87,'036-20-CCU''s'!$B$9:$H$1962,7,0)))))</f>
        <v>6.9</v>
      </c>
      <c r="H87" s="528">
        <f>BDI_Equipamentos!$H$22</f>
        <v>0.10890619719771655</v>
      </c>
      <c r="I87" s="535">
        <f t="shared" ref="I87:I90" si="23">F87*(G87*(1+H87))</f>
        <v>1111756.0861245147</v>
      </c>
      <c r="K87" s="232">
        <f t="shared" si="22"/>
        <v>1111756.0861245147</v>
      </c>
      <c r="M87" s="87">
        <f>F87*4</f>
        <v>581200</v>
      </c>
    </row>
    <row r="88" spans="1:13" s="87" customFormat="1" ht="25.5">
      <c r="A88" s="232" t="s">
        <v>4543</v>
      </c>
      <c r="B88" s="324" t="s">
        <v>8050</v>
      </c>
      <c r="C88" s="324" t="s">
        <v>7899</v>
      </c>
      <c r="D88" s="451" t="str">
        <f>IF(A88="SERVIÇO",VLOOKUP(C88,SERVIÇOS!$A$6:$D$7645,2,0),IF(A88="INSUMO",VLOOKUP(C88,INSUMOS!$A$6:$D$6961,2,0),IF('036.01-20-SERV. GERAIS'!A88="COTAÇÃO",VLOOKUP('036.01-20-SERV. GERAIS'!C88,'036-20-Cotação'!$A$9:$G$529,2,0),IF('036.01-20-SERV. GERAIS'!A88="CCU",VLOOKUP('036.01-20-SERV. GERAIS'!C88,'036-20-CCU''s'!$B$9:$H$1962,2,0)))))</f>
        <v>ESTRUTURA DE TRAVAMENTO EM PERFIL DE AÇO "W" - FORNECIMENTO</v>
      </c>
      <c r="E88" s="452" t="str">
        <f>IF(A88="SERVIÇO",VLOOKUP(C88,SERVIÇOS!$A$6:$D$7645,3,0),IF(A88="INSUMO",VLOOKUP(C88,INSUMOS!$A$6:$D$6961,3,0),IF('036.01-20-SERV. GERAIS'!A88="COTAÇÃO",VLOOKUP('036.01-20-SERV. GERAIS'!C88,'036-20-Cotação'!$A$9:$G$529,4,0),IF('036.01-20-SERV. GERAIS'!A88="CCU",VLOOKUP('036.01-20-SERV. GERAIS'!C88,'036-20-CCU''s'!$B$9:$H$1962,4,0)))))</f>
        <v>KG</v>
      </c>
      <c r="F88" s="453">
        <v>29200</v>
      </c>
      <c r="G88" s="534">
        <f>IF(A88="SERVIÇO",VLOOKUP(C88,SERVIÇOS!$A$6:$D$7645,4,0),IF(A88="INSUMO",VLOOKUP(C88,INSUMOS!$A$6:$D$6961,4,0),IF('036.01-20-SERV. GERAIS'!A88="COTAÇÃO",VLOOKUP('036.01-20-SERV. GERAIS'!C88,'036-20-Cotação'!$A$9:$G$529,3,0),IF('036.01-20-SERV. GERAIS'!A88="CCU",VLOOKUP('036.01-20-SERV. GERAIS'!C88,'036-20-CCU''s'!$B$9:$H$1962,7,0)))))</f>
        <v>5.3588073289429525</v>
      </c>
      <c r="H88" s="528">
        <f>BDI_Equipamentos!$H$22</f>
        <v>0.10890619719771655</v>
      </c>
      <c r="I88" s="535">
        <f t="shared" ref="I88" si="24">F88*(G88*(1+H88))</f>
        <v>173518.50797427876</v>
      </c>
      <c r="K88" s="232">
        <f t="shared" si="22"/>
        <v>173518.50797427876</v>
      </c>
    </row>
    <row r="89" spans="1:13" s="87" customFormat="1" ht="51">
      <c r="A89" s="232" t="s">
        <v>4543</v>
      </c>
      <c r="B89" s="324" t="s">
        <v>8051</v>
      </c>
      <c r="C89" s="324" t="s">
        <v>6281</v>
      </c>
      <c r="D89" s="451" t="str">
        <f>IF(A89="SERVIÇO",VLOOKUP(C89,SERVIÇOS!$A$6:$D$7645,2,0),IF(A89="INSUMO",VLOOKUP(C89,INSUMOS!$A$6:$D$6961,2,0),IF('036.01-20-SERV. GERAIS'!A89="COTAÇÃO",VLOOKUP('036.01-20-SERV. GERAIS'!C89,'036-20-Cotação'!$A$9:$G$529,2,0),IF('036.01-20-SERV. GERAIS'!A89="CCU",VLOOKUP('036.01-20-SERV. GERAIS'!C89,'036-20-CCU''s'!$B$9:$H$1962,2,0)))))</f>
        <v>ESTACA PRANCHA METÁLICA, PERFÍL AZ 20-700 (10mm) E C-14 - CRAVAÇÃO E RETIRADA COM APOIO NÁUTICO COM REAPROVEITAMENTO DO PERFIL</v>
      </c>
      <c r="E89" s="452" t="str">
        <f>IF(A89="SERVIÇO",VLOOKUP(C89,SERVIÇOS!$A$6:$D$7645,3,0),IF(A89="INSUMO",VLOOKUP(C89,INSUMOS!$A$6:$D$6961,3,0),IF('036.01-20-SERV. GERAIS'!A89="COTAÇÃO",VLOOKUP('036.01-20-SERV. GERAIS'!C89,'036-20-Cotação'!$A$9:$G$529,4,0),IF('036.01-20-SERV. GERAIS'!A89="CCU",VLOOKUP('036.01-20-SERV. GERAIS'!C89,'036-20-CCU''s'!$B$9:$H$1962,4,0)))))</f>
        <v>KG</v>
      </c>
      <c r="F89" s="453">
        <f>F87*3</f>
        <v>435900</v>
      </c>
      <c r="G89" s="534">
        <f>IF(A89="SERVIÇO",VLOOKUP(C89,SERVIÇOS!$A$6:$D$7645,4,0),IF(A89="INSUMO",VLOOKUP(C89,INSUMOS!$A$6:$D$6961,4,0),IF('036.01-20-SERV. GERAIS'!A89="COTAÇÃO",VLOOKUP('036.01-20-SERV. GERAIS'!C89,'036-20-Cotação'!$A$9:$G$529,3,0),IF('036.01-20-SERV. GERAIS'!A89="CCU",VLOOKUP('036.01-20-SERV. GERAIS'!C89,'036-20-CCU''s'!$B$9:$H$1962,7,0)))))</f>
        <v>0.49511932444363738</v>
      </c>
      <c r="H89" s="528">
        <f>BDI_O.A.E!$H$22</f>
        <v>0.18201100192553743</v>
      </c>
      <c r="I89" s="535">
        <f t="shared" si="23"/>
        <v>255104.58544975126</v>
      </c>
      <c r="K89" s="232">
        <f t="shared" si="22"/>
        <v>255104.58544975126</v>
      </c>
    </row>
    <row r="90" spans="1:13" s="87" customFormat="1" ht="38.25">
      <c r="A90" s="232" t="s">
        <v>4543</v>
      </c>
      <c r="B90" s="324" t="s">
        <v>8052</v>
      </c>
      <c r="C90" s="324" t="s">
        <v>7897</v>
      </c>
      <c r="D90" s="451" t="str">
        <f>IF(A90="SERVIÇO",VLOOKUP(C90,SERVIÇOS!$A$6:$D$7645,2,0),IF(A90="INSUMO",VLOOKUP(C90,INSUMOS!$A$6:$D$6961,2,0),IF('036.01-20-SERV. GERAIS'!A90="COTAÇÃO",VLOOKUP('036.01-20-SERV. GERAIS'!C90,'036-20-Cotação'!$A$9:$G$529,2,0),IF('036.01-20-SERV. GERAIS'!A90="CCU",VLOOKUP('036.01-20-SERV. GERAIS'!C90,'036-20-CCU''s'!$B$9:$H$1962,2,0)))))</f>
        <v>ESTACA PRANCHA METÁLICA, PERFÍL AZ 20-700 (10mm) E C-14 - CRAVAÇÃO E RETIRADA COM MARTELO HIDRÁULICO</v>
      </c>
      <c r="E90" s="452" t="str">
        <f>IF(A90="SERVIÇO",VLOOKUP(C90,SERVIÇOS!$A$6:$D$7645,3,0),IF(A90="INSUMO",VLOOKUP(C90,INSUMOS!$A$6:$D$6961,3,0),IF('036.01-20-SERV. GERAIS'!A90="COTAÇÃO",VLOOKUP('036.01-20-SERV. GERAIS'!C90,'036-20-Cotação'!$A$9:$G$529,4,0),IF('036.01-20-SERV. GERAIS'!A90="CCU",VLOOKUP('036.01-20-SERV. GERAIS'!C90,'036-20-CCU''s'!$B$9:$H$1962,4,0)))))</f>
        <v>KG</v>
      </c>
      <c r="F90" s="453">
        <f>F87</f>
        <v>145300</v>
      </c>
      <c r="G90" s="534">
        <f>IF(A90="SERVIÇO",VLOOKUP(C90,SERVIÇOS!$A$6:$D$7645,4,0),IF(A90="INSUMO",VLOOKUP(C90,INSUMOS!$A$6:$D$6961,4,0),IF('036.01-20-SERV. GERAIS'!A90="COTAÇÃO",VLOOKUP('036.01-20-SERV. GERAIS'!C90,'036-20-Cotação'!$A$9:$G$529,3,0),IF('036.01-20-SERV. GERAIS'!A90="CCU",VLOOKUP('036.01-20-SERV. GERAIS'!C90,'036-20-CCU''s'!$B$9:$H$1962,7,0)))))</f>
        <v>0.10610414462929707</v>
      </c>
      <c r="H90" s="528">
        <f>BDI_O.A.E!$H$22</f>
        <v>0.18201100192553743</v>
      </c>
      <c r="I90" s="535">
        <f t="shared" si="23"/>
        <v>18222.983493641015</v>
      </c>
      <c r="K90" s="232">
        <f t="shared" si="22"/>
        <v>18222.983493641015</v>
      </c>
    </row>
    <row r="91" spans="1:13" s="87" customFormat="1" ht="51">
      <c r="A91" s="232" t="s">
        <v>4543</v>
      </c>
      <c r="B91" s="324" t="s">
        <v>8053</v>
      </c>
      <c r="C91" s="324" t="s">
        <v>7901</v>
      </c>
      <c r="D91" s="451" t="str">
        <f>IF(A91="SERVIÇO",VLOOKUP(C91,SERVIÇOS!$A$6:$D$7645,2,0),IF(A91="INSUMO",VLOOKUP(C91,INSUMOS!$A$6:$D$6961,2,0),IF('036.01-20-SERV. GERAIS'!A91="COTAÇÃO",VLOOKUP('036.01-20-SERV. GERAIS'!C91,'036-20-Cotação'!$A$9:$G$529,2,0),IF('036.01-20-SERV. GERAIS'!A91="CCU",VLOOKUP('036.01-20-SERV. GERAIS'!C91,'036-20-CCU''s'!$B$9:$H$1962,2,0)))))</f>
        <v>ESTRUTURA DE TRAVAMENTO EM PERFIL DE AÇO "W" CORTE, SOLDA E MONTAGEM - INSTALAÇÃO COM REAPROVEITAMENTO DO PERFIL</v>
      </c>
      <c r="E91" s="452" t="str">
        <f>IF(A91="SERVIÇO",VLOOKUP(C91,SERVIÇOS!$A$6:$D$7645,3,0),IF(A91="INSUMO",VLOOKUP(C91,INSUMOS!$A$6:$D$6961,3,0),IF('036.01-20-SERV. GERAIS'!A91="COTAÇÃO",VLOOKUP('036.01-20-SERV. GERAIS'!C91,'036-20-Cotação'!$A$9:$G$529,4,0),IF('036.01-20-SERV. GERAIS'!A91="CCU",VLOOKUP('036.01-20-SERV. GERAIS'!C91,'036-20-CCU''s'!$B$9:$H$1962,4,0)))))</f>
        <v>KG</v>
      </c>
      <c r="F91" s="453">
        <f>F88*4</f>
        <v>116800</v>
      </c>
      <c r="G91" s="534">
        <f>IF(A91="SERVIÇO",VLOOKUP(C91,SERVIÇOS!$A$6:$D$7645,4,0),IF(A91="INSUMO",VLOOKUP(C91,INSUMOS!$A$6:$D$6961,4,0),IF('036.01-20-SERV. GERAIS'!A91="COTAÇÃO",VLOOKUP('036.01-20-SERV. GERAIS'!C91,'036-20-Cotação'!$A$9:$G$529,3,0),IF('036.01-20-SERV. GERAIS'!A91="CCU",VLOOKUP('036.01-20-SERV. GERAIS'!C91,'036-20-CCU''s'!$B$9:$H$1962,7,0)))))</f>
        <v>5.3109506490518843</v>
      </c>
      <c r="H91" s="528">
        <f>BDI_O.A.E!$H$22</f>
        <v>0.18201100192553743</v>
      </c>
      <c r="I91" s="535">
        <f t="shared" ref="I91" si="25">F91*(G91*(1+H91))</f>
        <v>733223.92503038677</v>
      </c>
      <c r="K91" s="232">
        <f t="shared" si="22"/>
        <v>733223.92503038677</v>
      </c>
    </row>
    <row r="92" spans="1:13" s="87" customFormat="1" ht="51">
      <c r="A92" s="232" t="s">
        <v>4543</v>
      </c>
      <c r="B92" s="324" t="s">
        <v>8054</v>
      </c>
      <c r="C92" s="324">
        <v>5502951</v>
      </c>
      <c r="D92" s="451" t="str">
        <f>IF(A92="SERVIÇO",VLOOKUP(C92,SERVIÇOS!$A$6:$D$7645,2,0),IF(A92="INSUMO",VLOOKUP(C92,INSUMOS!$A$6:$D$6961,2,0),IF('036.01-20-SERV. GERAIS'!A92="COTAÇÃO",VLOOKUP('036.01-20-SERV. GERAIS'!C92,'036-20-Cotação'!$A$9:$G$529,2,0),IF('036.01-20-SERV. GERAIS'!A92="CCU",VLOOKUP('036.01-20-SERV. GERAIS'!C92,'036-20-CCU''s'!$B$9:$H$1962,2,0)))))</f>
        <v>ESCAVAÇÃO, CARGA E TRANSPORTE DE SOLOS MOLES - DMT DE 50 A 200 M - CAMINHO DE SERVIÇO PAVIMENTADO - COM CAMINHÃO BASCULANTE DE 14 M³</v>
      </c>
      <c r="E92" s="452" t="str">
        <f>IF(A92="SERVIÇO",VLOOKUP(C92,SERVIÇOS!$A$6:$D$7645,3,0),IF(A92="INSUMO",VLOOKUP(C92,INSUMOS!$A$6:$D$6961,3,0),IF('036.01-20-SERV. GERAIS'!A92="COTAÇÃO",VLOOKUP('036.01-20-SERV. GERAIS'!C92,'036-20-Cotação'!$A$9:$G$529,4,0),IF('036.01-20-SERV. GERAIS'!A92="CCU",VLOOKUP('036.01-20-SERV. GERAIS'!C92,'036-20-CCU''s'!$B$9:$H$1962,4,0)))))</f>
        <v>M3</v>
      </c>
      <c r="F92" s="453">
        <v>5757.95</v>
      </c>
      <c r="G92" s="534">
        <f>IF(A92="SERVIÇO",VLOOKUP(C92,SERVIÇOS!$A$6:$D$7645,4,0),IF(A92="INSUMO",VLOOKUP(C92,INSUMOS!$A$6:$D$6961,4,0),IF('036.01-20-SERV. GERAIS'!A92="COTAÇÃO",VLOOKUP('036.01-20-SERV. GERAIS'!C92,'036-20-Cotação'!$A$9:$G$529,3,0),IF('036.01-20-SERV. GERAIS'!A92="CCU",VLOOKUP('036.01-20-SERV. GERAIS'!C92,'036-20-CCU''s'!$B$9:$H$1962,7,0)))))</f>
        <v>9.7511468489347681</v>
      </c>
      <c r="H92" s="528">
        <f>BDI_O.A.E!$H$22</f>
        <v>0.18201100192553743</v>
      </c>
      <c r="I92" s="535">
        <f t="shared" ref="I92" si="26">F92*(G92*(1+H92))</f>
        <v>66365.9178314983</v>
      </c>
      <c r="K92" s="232">
        <f t="shared" si="22"/>
        <v>66365.9178314983</v>
      </c>
    </row>
    <row r="93" spans="1:13" s="87" customFormat="1" ht="38.25">
      <c r="A93" s="232" t="s">
        <v>4543</v>
      </c>
      <c r="B93" s="324" t="s">
        <v>8055</v>
      </c>
      <c r="C93" s="324" t="s">
        <v>7902</v>
      </c>
      <c r="D93" s="451" t="str">
        <f>IF(A93="SERVIÇO",VLOOKUP(C93,SERVIÇOS!$A$6:$D$7645,2,0),IF(A93="INSUMO",VLOOKUP(C93,INSUMOS!$A$6:$D$6961,2,0),IF('036.01-20-SERV. GERAIS'!A93="COTAÇÃO",VLOOKUP('036.01-20-SERV. GERAIS'!C93,'036-20-Cotação'!$A$9:$G$529,2,0),IF('036.01-20-SERV. GERAIS'!A93="CCU",VLOOKUP('036.01-20-SERV. GERAIS'!C93,'036-20-CCU''s'!$B$9:$H$1962,2,0)))))</f>
        <v>BOMBEAMENTO PARA ESGOTAMENTO DE ÁGUA COM SUBMERSÍVEL COM CAPACIDADE DE 75 M³/H - 3,6 KW</v>
      </c>
      <c r="E93" s="452" t="str">
        <f>IF(A93="SERVIÇO",VLOOKUP(C93,SERVIÇOS!$A$6:$D$7645,3,0),IF(A93="INSUMO",VLOOKUP(C93,INSUMOS!$A$6:$D$6961,3,0),IF('036.01-20-SERV. GERAIS'!A93="COTAÇÃO",VLOOKUP('036.01-20-SERV. GERAIS'!C93,'036-20-Cotação'!$A$9:$G$529,4,0),IF('036.01-20-SERV. GERAIS'!A93="CCU",VLOOKUP('036.01-20-SERV. GERAIS'!C93,'036-20-CCU''s'!$B$9:$H$1962,4,0)))))</f>
        <v>H</v>
      </c>
      <c r="F93" s="453">
        <v>162</v>
      </c>
      <c r="G93" s="534">
        <f>IF(A93="SERVIÇO",VLOOKUP(C93,SERVIÇOS!$A$6:$D$7645,4,0),IF(A93="INSUMO",VLOOKUP(C93,INSUMOS!$A$6:$D$6961,4,0),IF('036.01-20-SERV. GERAIS'!A93="COTAÇÃO",VLOOKUP('036.01-20-SERV. GERAIS'!C93,'036-20-Cotação'!$A$9:$G$529,3,0),IF('036.01-20-SERV. GERAIS'!A93="CCU",VLOOKUP('036.01-20-SERV. GERAIS'!C93,'036-20-CCU''s'!$B$9:$H$1962,7,0)))))</f>
        <v>5.3623662999999997</v>
      </c>
      <c r="H93" s="528">
        <f>BDI_O.A.E!$H$22</f>
        <v>0.18201100192553743</v>
      </c>
      <c r="I93" s="535">
        <f t="shared" ref="I93:I94" si="27">F93*(G93*(1+H93))</f>
        <v>1026.8169059986674</v>
      </c>
      <c r="K93" s="232">
        <f t="shared" si="22"/>
        <v>1026.8169059986674</v>
      </c>
    </row>
    <row r="94" spans="1:13" s="87" customFormat="1" ht="25.5">
      <c r="A94" s="232" t="s">
        <v>4543</v>
      </c>
      <c r="B94" s="324" t="s">
        <v>8056</v>
      </c>
      <c r="C94" s="324" t="s">
        <v>7912</v>
      </c>
      <c r="D94" s="451" t="str">
        <f>IF(A94="SERVIÇO",VLOOKUP(C94,SERVIÇOS!$A$6:$D$7645,2,0),IF(A94="INSUMO",VLOOKUP(C94,INSUMOS!$A$6:$D$6961,2,0),IF('036.01-20-SERV. GERAIS'!A94="COTAÇÃO",VLOOKUP('036.01-20-SERV. GERAIS'!C94,'036-20-Cotação'!$A$9:$G$529,2,0),IF('036.01-20-SERV. GERAIS'!A94="CCU",VLOOKUP('036.01-20-SERV. GERAIS'!C94,'036-20-CCU''s'!$B$9:$H$1962,2,0)))))</f>
        <v>RECOMPOSIÇÃO MECÂNICA DE ATERRO DOS BLOCOS</v>
      </c>
      <c r="E94" s="452" t="str">
        <f>IF(A94="SERVIÇO",VLOOKUP(C94,SERVIÇOS!$A$6:$D$7645,3,0),IF(A94="INSUMO",VLOOKUP(C94,INSUMOS!$A$6:$D$6961,3,0),IF('036.01-20-SERV. GERAIS'!A94="COTAÇÃO",VLOOKUP('036.01-20-SERV. GERAIS'!C94,'036-20-Cotação'!$A$9:$G$529,4,0),IF('036.01-20-SERV. GERAIS'!A94="CCU",VLOOKUP('036.01-20-SERV. GERAIS'!C94,'036-20-CCU''s'!$B$9:$H$1962,4,0)))))</f>
        <v>M3</v>
      </c>
      <c r="F94" s="453">
        <v>5757.95</v>
      </c>
      <c r="G94" s="534">
        <f>IF(A94="SERVIÇO",VLOOKUP(C94,SERVIÇOS!$A$6:$D$7645,4,0),IF(A94="INSUMO",VLOOKUP(C94,INSUMOS!$A$6:$D$6961,4,0),IF('036.01-20-SERV. GERAIS'!A94="COTAÇÃO",VLOOKUP('036.01-20-SERV. GERAIS'!C94,'036-20-Cotação'!$A$9:$G$529,3,0),IF('036.01-20-SERV. GERAIS'!A94="CCU",VLOOKUP('036.01-20-SERV. GERAIS'!C94,'036-20-CCU''s'!$B$9:$H$1962,7,0)))))</f>
        <v>2.0521029000000004</v>
      </c>
      <c r="H94" s="528">
        <f>BDI_O.A.E!$H$22</f>
        <v>0.18201100192553743</v>
      </c>
      <c r="I94" s="535">
        <f t="shared" si="27"/>
        <v>13966.530763307805</v>
      </c>
      <c r="K94" s="232">
        <f t="shared" si="22"/>
        <v>13966.530763307805</v>
      </c>
    </row>
    <row r="95" spans="1:13" s="87" customFormat="1">
      <c r="A95" s="232"/>
      <c r="B95" s="88" t="s">
        <v>7919</v>
      </c>
      <c r="C95" s="88" t="s">
        <v>6348</v>
      </c>
      <c r="D95" s="364" t="s">
        <v>7916</v>
      </c>
      <c r="E95" s="149"/>
      <c r="F95" s="149"/>
      <c r="G95" s="149"/>
      <c r="H95" s="149"/>
      <c r="I95" s="150"/>
      <c r="K95" s="232">
        <f t="shared" si="22"/>
        <v>0</v>
      </c>
    </row>
    <row r="96" spans="1:13" s="87" customFormat="1" ht="51">
      <c r="A96" s="232" t="s">
        <v>4543</v>
      </c>
      <c r="B96" s="324" t="s">
        <v>7920</v>
      </c>
      <c r="C96" s="324">
        <v>5915373</v>
      </c>
      <c r="D96" s="451" t="str">
        <f>IF(A96="SERVIÇO",VLOOKUP(C96,SERVIÇOS!$A$6:$D$7645,2,0),IF(A96="INSUMO",VLOOKUP(C96,INSUMOS!$A$6:$D$6961,2,0),IF('036.01-20-SERV. GERAIS'!A96="COTAÇÃO",VLOOKUP('036.01-20-SERV. GERAIS'!C96,'036-20-Cotação'!$A$9:$G$529,2,0),IF('036.01-20-SERV. GERAIS'!A96="CCU",VLOOKUP('036.01-20-SERV. GERAIS'!C96,'036-20-CCU''s'!$B$9:$H$1962,2,0)))))</f>
        <v>CARGA, MANOBRA E DESCARGA DE MATERIAIS DIVERSOS EM CAMINHÃO CARROCERIA COM GUINDAUTO COM CAPACIDADE DE 20 T.M</v>
      </c>
      <c r="E96" s="452" t="str">
        <f>IF(A96="SERVIÇO",VLOOKUP(C96,SERVIÇOS!$A$6:$D$7645,3,0),IF(A96="INSUMO",VLOOKUP(C96,INSUMOS!$A$6:$D$6961,3,0),IF('036.01-20-SERV. GERAIS'!A96="COTAÇÃO",VLOOKUP('036.01-20-SERV. GERAIS'!C96,'036-20-Cotação'!$A$9:$G$529,4,0),IF('036.01-20-SERV. GERAIS'!A96="CCU",VLOOKUP('036.01-20-SERV. GERAIS'!C96,'036-20-CCU''s'!$B$9:$H$1962,4,0)))))</f>
        <v>T</v>
      </c>
      <c r="F96" s="453">
        <f>(F87+F88)/1000</f>
        <v>174.5</v>
      </c>
      <c r="G96" s="534">
        <f>IF(A96="SERVIÇO",VLOOKUP(C96,SERVIÇOS!$A$6:$D$7645,4,0),IF(A96="INSUMO",VLOOKUP(C96,INSUMOS!$A$6:$D$6961,4,0),IF('036.01-20-SERV. GERAIS'!A96="COTAÇÃO",VLOOKUP('036.01-20-SERV. GERAIS'!C96,'036-20-Cotação'!$A$9:$G$529,3,0),IF('036.01-20-SERV. GERAIS'!A96="CCU",VLOOKUP('036.01-20-SERV. GERAIS'!C96,'036-20-CCU''s'!$B$9:$H$1962,7,0)))))</f>
        <v>9.3722463139635721</v>
      </c>
      <c r="H96" s="528">
        <f>BDI_O.A.E!$H$22</f>
        <v>0.18201100192553743</v>
      </c>
      <c r="I96" s="535">
        <f t="shared" ref="I96:I97" si="28">F96*(G96*(1+H96))</f>
        <v>1933.1281456477459</v>
      </c>
      <c r="K96" s="232">
        <f t="shared" si="22"/>
        <v>1933.1281456477459</v>
      </c>
    </row>
    <row r="97" spans="1:13" s="87" customFormat="1" ht="25.5">
      <c r="A97" s="232" t="s">
        <v>4543</v>
      </c>
      <c r="B97" s="324" t="s">
        <v>7921</v>
      </c>
      <c r="C97" s="324">
        <v>5914434</v>
      </c>
      <c r="D97" s="451" t="str">
        <f>IF(A97="SERVIÇO",VLOOKUP(C97,SERVIÇOS!$A$6:$D$7645,2,0),IF(A97="INSUMO",VLOOKUP(C97,INSUMOS!$A$6:$D$6961,2,0),IF('036.01-20-SERV. GERAIS'!A97="COTAÇÃO",VLOOKUP('036.01-20-SERV. GERAIS'!C97,'036-20-Cotação'!$A$9:$G$529,2,0),IF('036.01-20-SERV. GERAIS'!A97="CCU",VLOOKUP('036.01-20-SERV. GERAIS'!C97,'036-20-CCU''s'!$B$9:$H$1962,2,0)))))</f>
        <v>TRANSPORTE COM CAMINHÃO CARROCERIA DE 9 T - RODOVIA PAVIMENTADA</v>
      </c>
      <c r="E97" s="452" t="str">
        <f>IF(A97="SERVIÇO",VLOOKUP(C97,SERVIÇOS!$A$6:$D$7645,3,0),IF(A97="INSUMO",VLOOKUP(C97,INSUMOS!$A$6:$D$6961,3,0),IF('036.01-20-SERV. GERAIS'!A97="COTAÇÃO",VLOOKUP('036.01-20-SERV. GERAIS'!C97,'036-20-Cotação'!$A$9:$G$529,4,0),IF('036.01-20-SERV. GERAIS'!A97="CCU",VLOOKUP('036.01-20-SERV. GERAIS'!C97,'036-20-CCU''s'!$B$9:$H$1962,4,0)))))</f>
        <v>T.KM</v>
      </c>
      <c r="F97" s="453">
        <f>F96*20</f>
        <v>3490</v>
      </c>
      <c r="G97" s="534">
        <f>IF(A97="SERVIÇO",VLOOKUP(C97,SERVIÇOS!$A$6:$D$7645,4,0),IF(A97="INSUMO",VLOOKUP(C97,INSUMOS!$A$6:$D$6961,4,0),IF('036.01-20-SERV. GERAIS'!A97="COTAÇÃO",VLOOKUP('036.01-20-SERV. GERAIS'!C97,'036-20-Cotação'!$A$9:$G$529,3,0),IF('036.01-20-SERV. GERAIS'!A97="CCU",VLOOKUP('036.01-20-SERV. GERAIS'!C97,'036-20-CCU''s'!$B$9:$H$1962,7,0)))))</f>
        <v>0.48409103078982602</v>
      </c>
      <c r="H97" s="528">
        <f>BDI_O.A.E!$H$22</f>
        <v>0.18201100192553743</v>
      </c>
      <c r="I97" s="535">
        <f t="shared" si="28"/>
        <v>1996.9812259013988</v>
      </c>
      <c r="K97" s="232">
        <f t="shared" si="22"/>
        <v>1996.9812259013988</v>
      </c>
      <c r="M97" s="223" t="s">
        <v>7864</v>
      </c>
    </row>
    <row r="98" spans="1:13" s="87" customFormat="1">
      <c r="A98" s="232"/>
      <c r="B98" s="88" t="s">
        <v>7515</v>
      </c>
      <c r="C98" s="88" t="s">
        <v>6348</v>
      </c>
      <c r="D98" s="148" t="s">
        <v>7922</v>
      </c>
      <c r="E98" s="149"/>
      <c r="F98" s="149"/>
      <c r="G98" s="149"/>
      <c r="H98" s="149"/>
      <c r="I98" s="150"/>
      <c r="K98" s="232">
        <f t="shared" si="22"/>
        <v>0</v>
      </c>
    </row>
    <row r="99" spans="1:13" s="87" customFormat="1">
      <c r="A99" s="232"/>
      <c r="B99" s="88" t="s">
        <v>7930</v>
      </c>
      <c r="C99" s="88" t="s">
        <v>6348</v>
      </c>
      <c r="D99" s="148" t="s">
        <v>8310</v>
      </c>
      <c r="E99" s="149"/>
      <c r="F99" s="149"/>
      <c r="G99" s="149"/>
      <c r="H99" s="149"/>
      <c r="I99" s="150"/>
      <c r="K99" s="232">
        <f t="shared" si="22"/>
        <v>0</v>
      </c>
    </row>
    <row r="100" spans="1:13" s="87" customFormat="1" ht="25.5">
      <c r="A100" s="232" t="s">
        <v>4543</v>
      </c>
      <c r="B100" s="324" t="s">
        <v>7931</v>
      </c>
      <c r="C100" s="324">
        <v>4915639</v>
      </c>
      <c r="D100" s="451" t="str">
        <f>IF(A100="SERVIÇO",VLOOKUP(C100,SERVIÇOS!$A$6:$D$7645,2,0),IF(A100="INSUMO",VLOOKUP(C100,INSUMOS!$A$6:$D$6961,2,0),IF('036.01-20-SERV. GERAIS'!A100="COTAÇÃO",VLOOKUP('036.01-20-SERV. GERAIS'!C100,'036-20-Cotação'!$A$9:$G$529,2,0),IF('036.01-20-SERV. GERAIS'!A100="CCU",VLOOKUP('036.01-20-SERV. GERAIS'!C100,'036-20-CCU''s'!$B$9:$H$1962,2,0)))))</f>
        <v>LIMPEZA EM SUPERFÍCIE DE CONCRETO COM ESCOVA DE AÇO</v>
      </c>
      <c r="E100" s="452" t="str">
        <f>IF(A100="SERVIÇO",VLOOKUP(C100,SERVIÇOS!$A$6:$D$7645,3,0),IF(A100="INSUMO",VLOOKUP(C100,INSUMOS!$A$6:$D$6961,3,0),IF('036.01-20-SERV. GERAIS'!A100="COTAÇÃO",VLOOKUP('036.01-20-SERV. GERAIS'!C100,'036-20-Cotação'!$A$9:$G$529,4,0),IF('036.01-20-SERV. GERAIS'!A100="CCU",VLOOKUP('036.01-20-SERV. GERAIS'!C100,'036-20-CCU''s'!$B$9:$H$1962,4,0)))))</f>
        <v>M2</v>
      </c>
      <c r="F100" s="453">
        <v>94.93</v>
      </c>
      <c r="G100" s="534">
        <f>IF(A100="SERVIÇO",VLOOKUP(C100,SERVIÇOS!$A$6:$D$7645,4,0),IF(A100="INSUMO",VLOOKUP(C100,INSUMOS!$A$6:$D$6961,4,0),IF('036.01-20-SERV. GERAIS'!A100="COTAÇÃO",VLOOKUP('036.01-20-SERV. GERAIS'!C100,'036-20-Cotação'!$A$9:$G$529,3,0),IF('036.01-20-SERV. GERAIS'!A100="CCU",VLOOKUP('036.01-20-SERV. GERAIS'!C100,'036-20-CCU''s'!$B$9:$H$1962,7,0)))))</f>
        <v>3.1274999999999999</v>
      </c>
      <c r="H100" s="528">
        <f>BDI_O.A.E!$H$22</f>
        <v>0.18201100192553743</v>
      </c>
      <c r="I100" s="535">
        <f t="shared" ref="I100:I110" si="29">F100*(G100*(1+H100))</f>
        <v>350.93147205100473</v>
      </c>
      <c r="K100" s="232">
        <f t="shared" si="22"/>
        <v>350.93147205100473</v>
      </c>
    </row>
    <row r="101" spans="1:13" s="87" customFormat="1" ht="38.25">
      <c r="A101" s="232" t="s">
        <v>4543</v>
      </c>
      <c r="B101" s="324" t="s">
        <v>8311</v>
      </c>
      <c r="C101" s="324" t="s">
        <v>8314</v>
      </c>
      <c r="D101" s="451" t="str">
        <f>IF(A101="SERVIÇO",VLOOKUP(C101,SERVIÇOS!$A$6:$D$7645,2,0),IF(A101="INSUMO",VLOOKUP(C101,INSUMOS!$A$6:$D$6961,2,0),IF('036.01-20-SERV. GERAIS'!A101="COTAÇÃO",VLOOKUP('036.01-20-SERV. GERAIS'!C101,'036-20-Cotação'!$A$9:$G$529,2,0),IF('036.01-20-SERV. GERAIS'!A101="CCU",VLOOKUP('036.01-20-SERV. GERAIS'!C101,'036-20-CCU''s'!$B$9:$H$1962,2,0)))))</f>
        <v>ABERTURA DE CAVIDADE EM CONCRETO, COM O EMPREGO DE MÁQUINA DE CORTE E DISCO ADIAMANTADO</v>
      </c>
      <c r="E101" s="452" t="str">
        <f>IF(A101="SERVIÇO",VLOOKUP(C101,SERVIÇOS!$A$6:$D$7645,3,0),IF(A101="INSUMO",VLOOKUP(C101,INSUMOS!$A$6:$D$6961,3,0),IF('036.01-20-SERV. GERAIS'!A101="COTAÇÃO",VLOOKUP('036.01-20-SERV. GERAIS'!C101,'036-20-Cotação'!$A$9:$G$529,4,0),IF('036.01-20-SERV. GERAIS'!A101="CCU",VLOOKUP('036.01-20-SERV. GERAIS'!C101,'036-20-CCU''s'!$B$9:$H$1962,4,0)))))</f>
        <v>M</v>
      </c>
      <c r="F101" s="453">
        <v>316.10000000000002</v>
      </c>
      <c r="G101" s="534">
        <f>IF(A101="SERVIÇO",VLOOKUP(C101,SERVIÇOS!$A$6:$D$7645,4,0),IF(A101="INSUMO",VLOOKUP(C101,INSUMOS!$A$6:$D$6961,4,0),IF('036.01-20-SERV. GERAIS'!A101="COTAÇÃO",VLOOKUP('036.01-20-SERV. GERAIS'!C101,'036-20-Cotação'!$A$9:$G$529,3,0),IF('036.01-20-SERV. GERAIS'!A101="CCU",VLOOKUP('036.01-20-SERV. GERAIS'!C101,'036-20-CCU''s'!$B$9:$H$1962,7,0)))))</f>
        <v>4.0309375000000003</v>
      </c>
      <c r="H101" s="528">
        <f>BDI_O.A.E!$H$22</f>
        <v>0.18201100192553743</v>
      </c>
      <c r="I101" s="535">
        <f t="shared" ref="I101:I102" si="30">F101*(G101*(1+H101))</f>
        <v>1506.0940027387614</v>
      </c>
      <c r="K101" s="232">
        <f t="shared" si="22"/>
        <v>1506.0940027387614</v>
      </c>
      <c r="M101" s="87">
        <f>F101*0.01*1</f>
        <v>3.1610000000000005</v>
      </c>
    </row>
    <row r="102" spans="1:13" s="87" customFormat="1">
      <c r="A102" s="232" t="s">
        <v>4543</v>
      </c>
      <c r="B102" s="324" t="s">
        <v>8312</v>
      </c>
      <c r="C102" s="324" t="s">
        <v>8315</v>
      </c>
      <c r="D102" s="451" t="str">
        <f>IF(A102="SERVIÇO",VLOOKUP(C102,SERVIÇOS!$A$6:$D$7645,2,0),IF(A102="INSUMO",VLOOKUP(C102,INSUMOS!$A$6:$D$6961,2,0),IF('036.01-20-SERV. GERAIS'!A102="COTAÇÃO",VLOOKUP('036.01-20-SERV. GERAIS'!C102,'036-20-Cotação'!$A$9:$G$529,2,0),IF('036.01-20-SERV. GERAIS'!A102="CCU",VLOOKUP('036.01-20-SERV. GERAIS'!C102,'036-20-CCU''s'!$B$9:$H$1962,2,0)))))</f>
        <v>LIMPEZA DE SUPERFÍCIE COM JATO DE AR</v>
      </c>
      <c r="E102" s="452" t="str">
        <f>IF(A102="SERVIÇO",VLOOKUP(C102,SERVIÇOS!$A$6:$D$7645,3,0),IF(A102="INSUMO",VLOOKUP(C102,INSUMOS!$A$6:$D$6961,3,0),IF('036.01-20-SERV. GERAIS'!A102="COTAÇÃO",VLOOKUP('036.01-20-SERV. GERAIS'!C102,'036-20-Cotação'!$A$9:$G$529,4,0),IF('036.01-20-SERV. GERAIS'!A102="CCU",VLOOKUP('036.01-20-SERV. GERAIS'!C102,'036-20-CCU''s'!$B$9:$H$1962,4,0)))))</f>
        <v>M2</v>
      </c>
      <c r="F102" s="453">
        <v>94.93</v>
      </c>
      <c r="G102" s="534">
        <f>IF(A102="SERVIÇO",VLOOKUP(C102,SERVIÇOS!$A$6:$D$7645,4,0),IF(A102="INSUMO",VLOOKUP(C102,INSUMOS!$A$6:$D$6961,4,0),IF('036.01-20-SERV. GERAIS'!A102="COTAÇÃO",VLOOKUP('036.01-20-SERV. GERAIS'!C102,'036-20-Cotação'!$A$9:$G$529,3,0),IF('036.01-20-SERV. GERAIS'!A102="CCU",VLOOKUP('036.01-20-SERV. GERAIS'!C102,'036-20-CCU''s'!$B$9:$H$1962,7,0)))))</f>
        <v>1.6306919999999998</v>
      </c>
      <c r="H102" s="528">
        <f>BDI_O.A.E!$H$22</f>
        <v>0.18201100192553743</v>
      </c>
      <c r="I102" s="535">
        <f t="shared" si="30"/>
        <v>182.97718433950342</v>
      </c>
      <c r="K102" s="232">
        <f t="shared" si="22"/>
        <v>182.97718433950342</v>
      </c>
    </row>
    <row r="103" spans="1:13" s="87" customFormat="1">
      <c r="A103" s="232"/>
      <c r="B103" s="88" t="s">
        <v>7932</v>
      </c>
      <c r="C103" s="88" t="s">
        <v>6348</v>
      </c>
      <c r="D103" s="148" t="s">
        <v>7933</v>
      </c>
      <c r="E103" s="149"/>
      <c r="F103" s="149"/>
      <c r="G103" s="149"/>
      <c r="H103" s="149"/>
      <c r="I103" s="150"/>
      <c r="K103" s="232">
        <f t="shared" si="22"/>
        <v>0</v>
      </c>
    </row>
    <row r="104" spans="1:13" s="87" customFormat="1" ht="38.25">
      <c r="A104" s="232" t="s">
        <v>4543</v>
      </c>
      <c r="B104" s="324" t="s">
        <v>7934</v>
      </c>
      <c r="C104" s="324" t="s">
        <v>8319</v>
      </c>
      <c r="D104" s="451" t="str">
        <f>IF(A104="SERVIÇO",VLOOKUP(C104,SERVIÇOS!$A$6:$D$7645,2,0),IF(A104="INSUMO",VLOOKUP(C104,INSUMOS!$A$6:$D$6961,2,0),IF('036.01-20-SERV. GERAIS'!A104="COTAÇÃO",VLOOKUP('036.01-20-SERV. GERAIS'!C104,'036-20-Cotação'!$A$9:$G$529,2,0),IF('036.01-20-SERV. GERAIS'!A104="CCU",VLOOKUP('036.01-20-SERV. GERAIS'!C104,'036-20-CCU''s'!$B$9:$H$1962,2,0)))))</f>
        <v>COLMATAÇÃO DAS FISSURAS COM RESINA EPOXI (MC DUR 1300 PLUS OU EQUIVALENTE TÉCNICO)</v>
      </c>
      <c r="E104" s="452" t="str">
        <f>IF(A104="SERVIÇO",VLOOKUP(C104,SERVIÇOS!$A$6:$D$7645,3,0),IF(A104="INSUMO",VLOOKUP(C104,INSUMOS!$A$6:$D$6961,3,0),IF('036.01-20-SERV. GERAIS'!A104="COTAÇÃO",VLOOKUP('036.01-20-SERV. GERAIS'!C104,'036-20-Cotação'!$A$9:$G$529,4,0),IF('036.01-20-SERV. GERAIS'!A104="CCU",VLOOKUP('036.01-20-SERV. GERAIS'!C104,'036-20-CCU''s'!$B$9:$H$1962,4,0)))))</f>
        <v>M2</v>
      </c>
      <c r="F104" s="453">
        <v>15.81</v>
      </c>
      <c r="G104" s="534">
        <f>IF(A104="SERVIÇO",VLOOKUP(C104,SERVIÇOS!$A$6:$D$7645,4,0),IF(A104="INSUMO",VLOOKUP(C104,INSUMOS!$A$6:$D$6961,4,0),IF('036.01-20-SERV. GERAIS'!A104="COTAÇÃO",VLOOKUP('036.01-20-SERV. GERAIS'!C104,'036-20-Cotação'!$A$9:$G$529,3,0),IF('036.01-20-SERV. GERAIS'!A104="CCU",VLOOKUP('036.01-20-SERV. GERAIS'!C104,'036-20-CCU''s'!$B$9:$H$1962,7,0)))))</f>
        <v>67.359143251981834</v>
      </c>
      <c r="H104" s="528">
        <f>BDI_O.A.E!$H$22</f>
        <v>0.18201100192553743</v>
      </c>
      <c r="I104" s="535">
        <f t="shared" ref="I104" si="31">F104*(G104*(1+H104))</f>
        <v>1258.7803172691508</v>
      </c>
      <c r="K104" s="232">
        <f t="shared" si="22"/>
        <v>1258.7803172691508</v>
      </c>
    </row>
    <row r="105" spans="1:13" s="87" customFormat="1" ht="51">
      <c r="A105" s="232" t="s">
        <v>4543</v>
      </c>
      <c r="B105" s="324" t="s">
        <v>8313</v>
      </c>
      <c r="C105" s="324" t="s">
        <v>6282</v>
      </c>
      <c r="D105" s="451" t="str">
        <f>IF(A105="SERVIÇO",VLOOKUP(C105,SERVIÇOS!$A$6:$D$7645,2,0),IF(A105="INSUMO",VLOOKUP(C105,INSUMOS!$A$6:$D$6961,2,0),IF('036.01-20-SERV. GERAIS'!A105="COTAÇÃO",VLOOKUP('036.01-20-SERV. GERAIS'!C105,'036-20-Cotação'!$A$9:$G$529,2,0),IF('036.01-20-SERV. GERAIS'!A105="CCU",VLOOKUP('036.01-20-SERV. GERAIS'!C105,'036-20-CCU''s'!$B$9:$H$1962,2,0)))))</f>
        <v>INJEÇÃO DAS FISSURAS COM DURÔMETRO DE POLIURETANO BAIXA VISCOSIDADE MC BAUCHEMIE MC INJEKT 2700 L OU EQUIVALENTE</v>
      </c>
      <c r="E105" s="452" t="str">
        <f>IF(A105="SERVIÇO",VLOOKUP(C105,SERVIÇOS!$A$6:$D$7645,3,0),IF(A105="INSUMO",VLOOKUP(C105,INSUMOS!$A$6:$D$6961,3,0),IF('036.01-20-SERV. GERAIS'!A105="COTAÇÃO",VLOOKUP('036.01-20-SERV. GERAIS'!C105,'036-20-Cotação'!$A$9:$G$529,4,0),IF('036.01-20-SERV. GERAIS'!A105="CCU",VLOOKUP('036.01-20-SERV. GERAIS'!C105,'036-20-CCU''s'!$B$9:$H$1962,4,0)))))</f>
        <v>KG</v>
      </c>
      <c r="F105" s="453">
        <v>5537</v>
      </c>
      <c r="G105" s="534">
        <f>IF(A105="SERVIÇO",VLOOKUP(C105,SERVIÇOS!$A$6:$D$7645,4,0),IF(A105="INSUMO",VLOOKUP(C105,INSUMOS!$A$6:$D$6961,4,0),IF('036.01-20-SERV. GERAIS'!A105="COTAÇÃO",VLOOKUP('036.01-20-SERV. GERAIS'!C105,'036-20-Cotação'!$A$9:$G$529,3,0),IF('036.01-20-SERV. GERAIS'!A105="CCU",VLOOKUP('036.01-20-SERV. GERAIS'!C105,'036-20-CCU''s'!$B$9:$H$1962,7,0)))))</f>
        <v>550.3982091155649</v>
      </c>
      <c r="H105" s="528">
        <f>BDI_O.A.E!$H$22</f>
        <v>0.18201100192553743</v>
      </c>
      <c r="I105" s="535">
        <f>F105*(G105*(1+H105))</f>
        <v>3602243.4017096506</v>
      </c>
      <c r="K105" s="232">
        <f t="shared" si="22"/>
        <v>3602243.4017096506</v>
      </c>
    </row>
    <row r="106" spans="1:13" s="87" customFormat="1">
      <c r="A106" s="232"/>
      <c r="B106" s="88" t="s">
        <v>7935</v>
      </c>
      <c r="C106" s="88" t="s">
        <v>6348</v>
      </c>
      <c r="D106" s="148" t="s">
        <v>7936</v>
      </c>
      <c r="E106" s="149"/>
      <c r="F106" s="149"/>
      <c r="G106" s="149"/>
      <c r="H106" s="149"/>
      <c r="I106" s="150"/>
      <c r="K106" s="232">
        <f t="shared" si="22"/>
        <v>0</v>
      </c>
    </row>
    <row r="107" spans="1:13" s="87" customFormat="1">
      <c r="A107" s="232" t="s">
        <v>4543</v>
      </c>
      <c r="B107" s="324" t="s">
        <v>7937</v>
      </c>
      <c r="C107" s="324">
        <v>3806413</v>
      </c>
      <c r="D107" s="451" t="str">
        <f>IF(A107="SERVIÇO",VLOOKUP(C107,SERVIÇOS!$A$6:$D$7645,2,0),IF(A107="INSUMO",VLOOKUP(C107,INSUMOS!$A$6:$D$6961,2,0),IF('036.01-20-SERV. GERAIS'!A107="COTAÇÃO",VLOOKUP('036.01-20-SERV. GERAIS'!C107,'036-20-Cotação'!$A$9:$G$529,2,0),IF('036.01-20-SERV. GERAIS'!A107="CCU",VLOOKUP('036.01-20-SERV. GERAIS'!C107,'036-20-CCU''s'!$B$9:$H$1962,2,0)))))</f>
        <v>APICOAMENTO MECANIZADO DE CONCRETO</v>
      </c>
      <c r="E107" s="452" t="str">
        <f>IF(A107="SERVIÇO",VLOOKUP(C107,SERVIÇOS!$A$6:$D$7645,3,0),IF(A107="INSUMO",VLOOKUP(C107,INSUMOS!$A$6:$D$6961,3,0),IF('036.01-20-SERV. GERAIS'!A107="COTAÇÃO",VLOOKUP('036.01-20-SERV. GERAIS'!C107,'036-20-Cotação'!$A$9:$G$529,4,0),IF('036.01-20-SERV. GERAIS'!A107="CCU",VLOOKUP('036.01-20-SERV. GERAIS'!C107,'036-20-CCU''s'!$B$9:$H$1962,4,0)))))</f>
        <v>M2</v>
      </c>
      <c r="F107" s="453">
        <v>648.20000000000005</v>
      </c>
      <c r="G107" s="534">
        <f>IF(A107="SERVIÇO",VLOOKUP(C107,SERVIÇOS!$A$6:$D$7645,4,0),IF(A107="INSUMO",VLOOKUP(C107,INSUMOS!$A$6:$D$6961,4,0),IF('036.01-20-SERV. GERAIS'!A107="COTAÇÃO",VLOOKUP('036.01-20-SERV. GERAIS'!C107,'036-20-Cotação'!$A$9:$G$529,3,0),IF('036.01-20-SERV. GERAIS'!A107="CCU",VLOOKUP('036.01-20-SERV. GERAIS'!C107,'036-20-CCU''s'!$B$9:$H$1962,7,0)))))</f>
        <v>9.1967760617760614</v>
      </c>
      <c r="H107" s="528">
        <f>BDI_O.A.E!$H$22</f>
        <v>0.18201100192553743</v>
      </c>
      <c r="I107" s="535">
        <f>F107*(G107*(1+H107))</f>
        <v>7046.3815738449921</v>
      </c>
      <c r="K107" s="232">
        <f t="shared" si="22"/>
        <v>7046.3815738449921</v>
      </c>
    </row>
    <row r="108" spans="1:13" s="87" customFormat="1" ht="25.5">
      <c r="A108" s="232" t="s">
        <v>4543</v>
      </c>
      <c r="B108" s="324" t="s">
        <v>7938</v>
      </c>
      <c r="C108" s="324">
        <v>3806402</v>
      </c>
      <c r="D108" s="451" t="str">
        <f>IF(A108="SERVIÇO",VLOOKUP(C108,SERVIÇOS!$A$6:$D$7645,2,0),IF(A108="INSUMO",VLOOKUP(C108,INSUMOS!$A$6:$D$6961,2,0),IF('036.01-20-SERV. GERAIS'!A108="COTAÇÃO",VLOOKUP('036.01-20-SERV. GERAIS'!C108,'036-20-Cotação'!$A$9:$G$529,2,0),IF('036.01-20-SERV. GERAIS'!A108="CCU",VLOOKUP('036.01-20-SERV. GERAIS'!C108,'036-20-CCU''s'!$B$9:$H$1962,2,0)))))</f>
        <v>LIMPEZA EM SUPERFICIE DE CONCRETO COM JATEAMENTO D'ÁGUA SOB PRESSÃO</v>
      </c>
      <c r="E108" s="452" t="str">
        <f>IF(A108="SERVIÇO",VLOOKUP(C108,SERVIÇOS!$A$6:$D$7645,3,0),IF(A108="INSUMO",VLOOKUP(C108,INSUMOS!$A$6:$D$6961,3,0),IF('036.01-20-SERV. GERAIS'!A108="COTAÇÃO",VLOOKUP('036.01-20-SERV. GERAIS'!C108,'036-20-Cotação'!$A$9:$G$529,4,0),IF('036.01-20-SERV. GERAIS'!A108="CCU",VLOOKUP('036.01-20-SERV. GERAIS'!C108,'036-20-CCU''s'!$B$9:$H$1962,4,0)))))</f>
        <v>M2</v>
      </c>
      <c r="F108" s="453">
        <v>648.20000000000005</v>
      </c>
      <c r="G108" s="534">
        <f>IF(A108="SERVIÇO",VLOOKUP(C108,SERVIÇOS!$A$6:$D$7645,4,0),IF(A108="INSUMO",VLOOKUP(C108,INSUMOS!$A$6:$D$6961,4,0),IF('036.01-20-SERV. GERAIS'!A108="COTAÇÃO",VLOOKUP('036.01-20-SERV. GERAIS'!C108,'036-20-Cotação'!$A$9:$G$529,3,0),IF('036.01-20-SERV. GERAIS'!A108="CCU",VLOOKUP('036.01-20-SERV. GERAIS'!C108,'036-20-CCU''s'!$B$9:$H$1962,7,0)))))</f>
        <v>3.8028780202594627E-2</v>
      </c>
      <c r="H108" s="528">
        <f>BDI_O.A.E!$H$22</f>
        <v>0.18201100192553743</v>
      </c>
      <c r="I108" s="535">
        <f t="shared" ref="I108" si="32">F108*(G108*(1+H108))</f>
        <v>29.136872997168002</v>
      </c>
      <c r="K108" s="232">
        <f t="shared" si="22"/>
        <v>29.136872997168002</v>
      </c>
    </row>
    <row r="109" spans="1:13" s="87" customFormat="1">
      <c r="A109" s="232"/>
      <c r="B109" s="88" t="s">
        <v>7939</v>
      </c>
      <c r="C109" s="88" t="s">
        <v>6348</v>
      </c>
      <c r="D109" s="364" t="s">
        <v>7940</v>
      </c>
      <c r="E109" s="149"/>
      <c r="F109" s="149"/>
      <c r="G109" s="149"/>
      <c r="H109" s="149"/>
      <c r="I109" s="150"/>
      <c r="K109" s="232">
        <f t="shared" si="22"/>
        <v>0</v>
      </c>
    </row>
    <row r="110" spans="1:13" s="87" customFormat="1" ht="38.25">
      <c r="A110" s="232" t="s">
        <v>4543</v>
      </c>
      <c r="B110" s="324" t="s">
        <v>7941</v>
      </c>
      <c r="C110" s="324" t="s">
        <v>6283</v>
      </c>
      <c r="D110" s="451" t="str">
        <f>IF(A110="SERVIÇO",VLOOKUP(C110,SERVIÇOS!$A$6:$D$7645,2,0),IF(A110="INSUMO",VLOOKUP(C110,INSUMOS!$A$6:$D$6961,2,0),IF('036.01-20-SERV. GERAIS'!A110="COTAÇÃO",VLOOKUP('036.01-20-SERV. GERAIS'!C110,'036-20-Cotação'!$A$9:$G$529,2,0),IF('036.01-20-SERV. GERAIS'!A110="CCU",VLOOKUP('036.01-20-SERV. GERAIS'!C110,'036-20-CCU''s'!$B$9:$H$1962,2,0)))))</f>
        <v xml:space="preserve">APLICAÇÃO DE ADITIVO CRISTALIZANTE XYPEX CONCENTRADO UMA DEMÃO - CONSUMO 0,8 KG/M². FORNECIMENTO E APLICAÇÃO </v>
      </c>
      <c r="E110" s="452" t="str">
        <f>IF(A110="SERVIÇO",VLOOKUP(C110,SERVIÇOS!$A$6:$D$7645,3,0),IF(A110="INSUMO",VLOOKUP(C110,INSUMOS!$A$6:$D$6961,3,0),IF('036.01-20-SERV. GERAIS'!A110="COTAÇÃO",VLOOKUP('036.01-20-SERV. GERAIS'!C110,'036-20-Cotação'!$A$9:$G$529,4,0),IF('036.01-20-SERV. GERAIS'!A110="CCU",VLOOKUP('036.01-20-SERV. GERAIS'!C110,'036-20-CCU''s'!$B$9:$H$1962,4,0)))))</f>
        <v>M2</v>
      </c>
      <c r="F110" s="453">
        <v>648.20000000000005</v>
      </c>
      <c r="G110" s="534">
        <f>IF(A110="SERVIÇO",VLOOKUP(C110,SERVIÇOS!$A$6:$D$7645,4,0),IF(A110="INSUMO",VLOOKUP(C110,INSUMOS!$A$6:$D$6961,4,0),IF('036.01-20-SERV. GERAIS'!A110="COTAÇÃO",VLOOKUP('036.01-20-SERV. GERAIS'!C110,'036-20-Cotação'!$A$9:$G$529,3,0),IF('036.01-20-SERV. GERAIS'!A110="CCU",VLOOKUP('036.01-20-SERV. GERAIS'!C110,'036-20-CCU''s'!$B$9:$H$1962,7,0)))))</f>
        <v>17.67508983365299</v>
      </c>
      <c r="H110" s="528">
        <f>BDI_O.A.E!$H$22</f>
        <v>0.18201100192553743</v>
      </c>
      <c r="I110" s="535">
        <f t="shared" si="29"/>
        <v>13542.292047051913</v>
      </c>
      <c r="K110" s="232">
        <f t="shared" si="22"/>
        <v>13542.292047051913</v>
      </c>
      <c r="M110" s="87">
        <f>F110*0.8</f>
        <v>518.56000000000006</v>
      </c>
    </row>
    <row r="111" spans="1:13" s="87" customFormat="1" ht="38.25">
      <c r="A111" s="232" t="s">
        <v>4543</v>
      </c>
      <c r="B111" s="324" t="s">
        <v>7942</v>
      </c>
      <c r="C111" s="324" t="s">
        <v>7952</v>
      </c>
      <c r="D111" s="451" t="str">
        <f>IF(A111="SERVIÇO",VLOOKUP(C111,SERVIÇOS!$A$6:$D$7645,2,0),IF(A111="INSUMO",VLOOKUP(C111,INSUMOS!$A$6:$D$6961,2,0),IF('036.01-20-SERV. GERAIS'!A111="COTAÇÃO",VLOOKUP('036.01-20-SERV. GERAIS'!C111,'036-20-Cotação'!$A$9:$G$529,2,0),IF('036.01-20-SERV. GERAIS'!A111="CCU",VLOOKUP('036.01-20-SERV. GERAIS'!C111,'036-20-CCU''s'!$B$9:$H$1962,2,0)))))</f>
        <v xml:space="preserve">APLICAÇÃO DE ADITIVO CRISTALIZANTE XYPEX MODIFICADO UMA DEMÃO - CONSUMO 0,8 KG/M². FORNECIMENTO E APLICAÇÃO </v>
      </c>
      <c r="E111" s="452" t="str">
        <f>IF(A111="SERVIÇO",VLOOKUP(C111,SERVIÇOS!$A$6:$D$7645,3,0),IF(A111="INSUMO",VLOOKUP(C111,INSUMOS!$A$6:$D$6961,3,0),IF('036.01-20-SERV. GERAIS'!A111="COTAÇÃO",VLOOKUP('036.01-20-SERV. GERAIS'!C111,'036-20-Cotação'!$A$9:$G$529,4,0),IF('036.01-20-SERV. GERAIS'!A111="CCU",VLOOKUP('036.01-20-SERV. GERAIS'!C111,'036-20-CCU''s'!$B$9:$H$1962,4,0)))))</f>
        <v>M2</v>
      </c>
      <c r="F111" s="453">
        <v>648.20000000000005</v>
      </c>
      <c r="G111" s="534">
        <f>IF(A111="SERVIÇO",VLOOKUP(C111,SERVIÇOS!$A$6:$D$7645,4,0),IF(A111="INSUMO",VLOOKUP(C111,INSUMOS!$A$6:$D$6961,4,0),IF('036.01-20-SERV. GERAIS'!A111="COTAÇÃO",VLOOKUP('036.01-20-SERV. GERAIS'!C111,'036-20-Cotação'!$A$9:$G$529,3,0),IF('036.01-20-SERV. GERAIS'!A111="CCU",VLOOKUP('036.01-20-SERV. GERAIS'!C111,'036-20-CCU''s'!$B$9:$H$1962,7,0)))))</f>
        <v>16.726833745974993</v>
      </c>
      <c r="H111" s="528">
        <f>BDI_O.A.E!$H$22</f>
        <v>0.18201100192553743</v>
      </c>
      <c r="I111" s="535">
        <f t="shared" ref="I111" si="33">F111*(G111*(1+H111))</f>
        <v>12815.757642101946</v>
      </c>
      <c r="K111" s="232">
        <f t="shared" si="22"/>
        <v>12815.757642101946</v>
      </c>
      <c r="M111" s="87">
        <f t="shared" ref="M111" si="34">F111*0.8</f>
        <v>518.56000000000006</v>
      </c>
    </row>
    <row r="112" spans="1:13" s="87" customFormat="1" ht="38.25">
      <c r="A112" s="232" t="s">
        <v>4543</v>
      </c>
      <c r="B112" s="324" t="s">
        <v>7943</v>
      </c>
      <c r="C112" s="324" t="s">
        <v>7956</v>
      </c>
      <c r="D112" s="451" t="str">
        <f>IF(A112="SERVIÇO",VLOOKUP(C112,SERVIÇOS!$A$6:$D$7645,2,0),IF(A112="INSUMO",VLOOKUP(C112,INSUMOS!$A$6:$D$6961,2,0),IF('036.01-20-SERV. GERAIS'!A112="COTAÇÃO",VLOOKUP('036.01-20-SERV. GERAIS'!C112,'036-20-Cotação'!$A$9:$G$529,2,0),IF('036.01-20-SERV. GERAIS'!A112="CCU",VLOOKUP('036.01-20-SERV. GERAIS'!C112,'036-20-CCU''s'!$B$9:$H$1962,2,0)))))</f>
        <v xml:space="preserve">APLICAÇÃO DE ADITIVO CURA QUÍMICA COM XYPEX GAMMA CURE - CONSUMO 50 ML/M². FORNECIMENTO E APLICAÇÃO </v>
      </c>
      <c r="E112" s="452" t="str">
        <f>IF(A112="SERVIÇO",VLOOKUP(C112,SERVIÇOS!$A$6:$D$7645,3,0),IF(A112="INSUMO",VLOOKUP(C112,INSUMOS!$A$6:$D$6961,3,0),IF('036.01-20-SERV. GERAIS'!A112="COTAÇÃO",VLOOKUP('036.01-20-SERV. GERAIS'!C112,'036-20-Cotação'!$A$9:$G$529,4,0),IF('036.01-20-SERV. GERAIS'!A112="CCU",VLOOKUP('036.01-20-SERV. GERAIS'!C112,'036-20-CCU''s'!$B$9:$H$1962,4,0)))))</f>
        <v>M2</v>
      </c>
      <c r="F112" s="453">
        <v>648.20000000000005</v>
      </c>
      <c r="G112" s="534">
        <f>IF(A112="SERVIÇO",VLOOKUP(C112,SERVIÇOS!$A$6:$D$7645,4,0),IF(A112="INSUMO",VLOOKUP(C112,INSUMOS!$A$6:$D$6961,4,0),IF('036.01-20-SERV. GERAIS'!A112="COTAÇÃO",VLOOKUP('036.01-20-SERV. GERAIS'!C112,'036-20-Cotação'!$A$9:$G$529,3,0),IF('036.01-20-SERV. GERAIS'!A112="CCU",VLOOKUP('036.01-20-SERV. GERAIS'!C112,'036-20-CCU''s'!$B$9:$H$1962,7,0)))))</f>
        <v>1.6005306340690102</v>
      </c>
      <c r="H112" s="528">
        <f>BDI_O.A.E!$H$22</f>
        <v>0.18201100192553743</v>
      </c>
      <c r="I112" s="535">
        <f t="shared" ref="I112" si="35">F112*(G112*(1+H112))</f>
        <v>1226.2938112793781</v>
      </c>
      <c r="K112" s="232">
        <f t="shared" si="22"/>
        <v>1226.2938112793781</v>
      </c>
      <c r="M112" s="87">
        <f>F112*0.05</f>
        <v>32.410000000000004</v>
      </c>
    </row>
    <row r="113" spans="1:13" s="87" customFormat="1" ht="51">
      <c r="A113" s="232" t="s">
        <v>4543</v>
      </c>
      <c r="B113" s="324" t="s">
        <v>7974</v>
      </c>
      <c r="C113" s="324" t="s">
        <v>7411</v>
      </c>
      <c r="D113" s="451" t="str">
        <f>IF(A113="SERVIÇO",VLOOKUP(C113,SERVIÇOS!$A$6:$D$7645,2,0),IF(A113="INSUMO",VLOOKUP(C113,INSUMOS!$A$6:$D$6961,2,0),IF('036.01-20-SERV. GERAIS'!A113="COTAÇÃO",VLOOKUP('036.01-20-SERV. GERAIS'!C113,'036-20-Cotação'!$A$9:$G$529,2,0),IF('036.01-20-SERV. GERAIS'!A113="CCU",VLOOKUP('036.01-20-SERV. GERAIS'!C113,'036-20-CCU''s'!$B$9:$H$1962,2,0)))))</f>
        <v>TRANSPORTE HORIZONTAL COM CARRINHO PLATAFORMA DE MATERIAIS PARA INJEÇÃO DE FISSURAS E ADITIVOS CRISTALIZANTES ATÉ 200M</v>
      </c>
      <c r="E113" s="452" t="str">
        <f>IF(A113="SERVIÇO",VLOOKUP(C113,SERVIÇOS!$A$6:$D$7645,3,0),IF(A113="INSUMO",VLOOKUP(C113,INSUMOS!$A$6:$D$6961,3,0),IF('036.01-20-SERV. GERAIS'!A113="COTAÇÃO",VLOOKUP('036.01-20-SERV. GERAIS'!C113,'036-20-Cotação'!$A$9:$G$529,4,0),IF('036.01-20-SERV. GERAIS'!A113="CCU",VLOOKUP('036.01-20-SERV. GERAIS'!C113,'036-20-CCU''s'!$B$9:$H$1962,4,0)))))</f>
        <v>KGXKM</v>
      </c>
      <c r="F113" s="453">
        <f>8840.89*0.2</f>
        <v>1768.1779999999999</v>
      </c>
      <c r="G113" s="534">
        <f>IF(A113="SERVIÇO",VLOOKUP(C113,SERVIÇOS!$A$6:$D$7645,4,0),IF(A113="INSUMO",VLOOKUP(C113,INSUMOS!$A$6:$D$6961,4,0),IF('036.01-20-SERV. GERAIS'!A113="COTAÇÃO",VLOOKUP('036.01-20-SERV. GERAIS'!C113,'036-20-Cotação'!$A$9:$G$529,3,0),IF('036.01-20-SERV. GERAIS'!A113="CCU",VLOOKUP('036.01-20-SERV. GERAIS'!C113,'036-20-CCU''s'!$B$9:$H$1962,7,0)))))</f>
        <v>0.20016</v>
      </c>
      <c r="H113" s="528">
        <f>BDI_O.A.E!$H$22</f>
        <v>0.18201100192553743</v>
      </c>
      <c r="I113" s="535">
        <f>F113*(G113*(1+H113))</f>
        <v>418.33557080843661</v>
      </c>
      <c r="K113" s="232">
        <f t="shared" si="22"/>
        <v>418.33557080843661</v>
      </c>
    </row>
    <row r="114" spans="1:13" s="87" customFormat="1">
      <c r="A114" s="232"/>
      <c r="B114" s="88" t="s">
        <v>7962</v>
      </c>
      <c r="C114" s="88" t="s">
        <v>6348</v>
      </c>
      <c r="D114" s="148" t="s">
        <v>7356</v>
      </c>
      <c r="E114" s="149"/>
      <c r="F114" s="149"/>
      <c r="G114" s="149"/>
      <c r="H114" s="149"/>
      <c r="I114" s="150"/>
      <c r="K114" s="232">
        <f t="shared" si="22"/>
        <v>0</v>
      </c>
    </row>
    <row r="115" spans="1:13" s="87" customFormat="1" ht="25.5">
      <c r="A115" s="232" t="s">
        <v>4543</v>
      </c>
      <c r="B115" s="324" t="s">
        <v>7963</v>
      </c>
      <c r="C115" s="324">
        <v>1408021</v>
      </c>
      <c r="D115" s="451" t="str">
        <f>IF(A115="SERVIÇO",VLOOKUP(C115,SERVIÇOS!$A$6:$D$7645,2,0),IF(A115="INSUMO",VLOOKUP(C115,INSUMOS!$A$6:$D$6961,2,0),IF('036.01-20-SERV. GERAIS'!A115="COTAÇÃO",VLOOKUP('036.01-20-SERV. GERAIS'!C115,'036-20-Cotação'!$A$9:$G$529,2,0),IF('036.01-20-SERV. GERAIS'!A115="CCU",VLOOKUP('036.01-20-SERV. GERAIS'!C115,'036-20-CCU''s'!$B$9:$H$1962,2,0)))))</f>
        <v>PERFURAÇÃO EM CONCRETO COM COROA DIAMANTADA - D = 16 MM</v>
      </c>
      <c r="E115" s="452" t="str">
        <f>IF(A115="SERVIÇO",VLOOKUP(C115,SERVIÇOS!$A$6:$D$7645,3,0),IF(A115="INSUMO",VLOOKUP(C115,INSUMOS!$A$6:$D$6961,3,0),IF('036.01-20-SERV. GERAIS'!A115="COTAÇÃO",VLOOKUP('036.01-20-SERV. GERAIS'!C115,'036-20-Cotação'!$A$9:$G$529,4,0),IF('036.01-20-SERV. GERAIS'!A115="CCU",VLOOKUP('036.01-20-SERV. GERAIS'!C115,'036-20-CCU''s'!$B$9:$H$1962,4,0)))))</f>
        <v>M</v>
      </c>
      <c r="F115" s="453">
        <v>388.8</v>
      </c>
      <c r="G115" s="534">
        <f>IF(A115="SERVIÇO",VLOOKUP(C115,SERVIÇOS!$A$6:$D$7645,4,0),IF(A115="INSUMO",VLOOKUP(C115,INSUMOS!$A$6:$D$6961,4,0),IF('036.01-20-SERV. GERAIS'!A115="COTAÇÃO",VLOOKUP('036.01-20-SERV. GERAIS'!C115,'036-20-Cotação'!$A$9:$G$529,3,0),IF('036.01-20-SERV. GERAIS'!A115="CCU",VLOOKUP('036.01-20-SERV. GERAIS'!C115,'036-20-CCU''s'!$B$9:$H$1962,7,0)))))</f>
        <v>105.29396497991968</v>
      </c>
      <c r="H115" s="528">
        <f>BDI_O.A.E!$H$22</f>
        <v>0.18201100192553743</v>
      </c>
      <c r="I115" s="535">
        <f>F115*(G115*(1+H115))</f>
        <v>48389.5134165735</v>
      </c>
      <c r="K115" s="232">
        <f t="shared" si="22"/>
        <v>48389.5134165735</v>
      </c>
    </row>
    <row r="116" spans="1:13" s="87" customFormat="1" ht="25.5">
      <c r="A116" s="232" t="s">
        <v>4543</v>
      </c>
      <c r="B116" s="324" t="s">
        <v>7964</v>
      </c>
      <c r="C116" s="324">
        <v>1408143</v>
      </c>
      <c r="D116" s="451" t="str">
        <f>IF(A116="SERVIÇO",VLOOKUP(C116,SERVIÇOS!$A$6:$D$7645,2,0),IF(A116="INSUMO",VLOOKUP(C116,INSUMOS!$A$6:$D$6961,2,0),IF('036.01-20-SERV. GERAIS'!A116="COTAÇÃO",VLOOKUP('036.01-20-SERV. GERAIS'!C116,'036-20-Cotação'!$A$9:$G$529,2,0),IF('036.01-20-SERV. GERAIS'!A116="CCU",VLOOKUP('036.01-20-SERV. GERAIS'!C116,'036-20-CCU''s'!$B$9:$H$1962,2,0)))))</f>
        <v>PERFURAÇÃO EM CONCRETO COM COROA DIAMANTADA - D = 38 MM</v>
      </c>
      <c r="E116" s="452" t="str">
        <f>IF(A116="SERVIÇO",VLOOKUP(C116,SERVIÇOS!$A$6:$D$7645,3,0),IF(A116="INSUMO",VLOOKUP(C116,INSUMOS!$A$6:$D$6961,3,0),IF('036.01-20-SERV. GERAIS'!A116="COTAÇÃO",VLOOKUP('036.01-20-SERV. GERAIS'!C116,'036-20-Cotação'!$A$9:$G$529,4,0),IF('036.01-20-SERV. GERAIS'!A116="CCU",VLOOKUP('036.01-20-SERV. GERAIS'!C116,'036-20-CCU''s'!$B$9:$H$1962,4,0)))))</f>
        <v>M</v>
      </c>
      <c r="F116" s="453">
        <v>172.8</v>
      </c>
      <c r="G116" s="534">
        <f>IF(A116="SERVIÇO",VLOOKUP(C116,SERVIÇOS!$A$6:$D$7645,4,0),IF(A116="INSUMO",VLOOKUP(C116,INSUMOS!$A$6:$D$6961,4,0),IF('036.01-20-SERV. GERAIS'!A116="COTAÇÃO",VLOOKUP('036.01-20-SERV. GERAIS'!C116,'036-20-Cotação'!$A$9:$G$529,3,0),IF('036.01-20-SERV. GERAIS'!A116="CCU",VLOOKUP('036.01-20-SERV. GERAIS'!C116,'036-20-CCU''s'!$B$9:$H$1962,7,0)))))</f>
        <v>171.280993557047</v>
      </c>
      <c r="H116" s="528">
        <f>BDI_O.A.E!$H$22</f>
        <v>0.18201100192553743</v>
      </c>
      <c r="I116" s="535">
        <f>F116*(G116*(1+H116))</f>
        <v>34984.4000495328</v>
      </c>
      <c r="K116" s="232">
        <f t="shared" si="22"/>
        <v>34984.4000495328</v>
      </c>
    </row>
    <row r="117" spans="1:13" s="87" customFormat="1">
      <c r="A117" s="232"/>
      <c r="B117" s="88" t="s">
        <v>7966</v>
      </c>
      <c r="C117" s="88" t="s">
        <v>6348</v>
      </c>
      <c r="D117" s="148" t="s">
        <v>7353</v>
      </c>
      <c r="E117" s="149"/>
      <c r="F117" s="149"/>
      <c r="G117" s="149"/>
      <c r="H117" s="149"/>
      <c r="I117" s="150"/>
      <c r="K117" s="232">
        <f t="shared" si="22"/>
        <v>0</v>
      </c>
    </row>
    <row r="118" spans="1:13" s="87" customFormat="1" ht="25.5">
      <c r="A118" s="232" t="s">
        <v>4543</v>
      </c>
      <c r="B118" s="324" t="s">
        <v>7965</v>
      </c>
      <c r="C118" s="324">
        <v>2407972</v>
      </c>
      <c r="D118" s="451" t="str">
        <f>IF(A118="SERVIÇO",VLOOKUP(C118,SERVIÇOS!$A$6:$D$7645,2,0),IF(A118="INSUMO",VLOOKUP(C118,INSUMOS!$A$6:$D$6961,2,0),IF('036.01-20-SERV. GERAIS'!A118="COTAÇÃO",VLOOKUP('036.01-20-SERV. GERAIS'!C118,'036-20-Cotação'!$A$9:$G$529,2,0),IF('036.01-20-SERV. GERAIS'!A118="CCU",VLOOKUP('036.01-20-SERV. GERAIS'!C118,'036-20-CCU''s'!$B$9:$H$1962,2,0)))))</f>
        <v>FORNECIMENTO E APLICAÇÃO DE ADESIVO ESTRUTURAL À BASE DE RESINA EPÓXI</v>
      </c>
      <c r="E118" s="452" t="str">
        <f>IF(A118="SERVIÇO",VLOOKUP(C118,SERVIÇOS!$A$6:$D$7645,3,0),IF(A118="INSUMO",VLOOKUP(C118,INSUMOS!$A$6:$D$6961,3,0),IF('036.01-20-SERV. GERAIS'!A118="COTAÇÃO",VLOOKUP('036.01-20-SERV. GERAIS'!C118,'036-20-Cotação'!$A$9:$G$529,4,0),IF('036.01-20-SERV. GERAIS'!A118="CCU",VLOOKUP('036.01-20-SERV. GERAIS'!C118,'036-20-CCU''s'!$B$9:$H$1962,4,0)))))</f>
        <v>KG</v>
      </c>
      <c r="F118" s="453">
        <f>360*4*0.02</f>
        <v>28.8</v>
      </c>
      <c r="G118" s="534">
        <f>IF(A118="SERVIÇO",VLOOKUP(C118,SERVIÇOS!$A$6:$D$7645,4,0),IF(A118="INSUMO",VLOOKUP(C118,INSUMOS!$A$6:$D$6961,4,0),IF('036.01-20-SERV. GERAIS'!A118="COTAÇÃO",VLOOKUP('036.01-20-SERV. GERAIS'!C118,'036-20-Cotação'!$A$9:$G$529,3,0),IF('036.01-20-SERV. GERAIS'!A118="CCU",VLOOKUP('036.01-20-SERV. GERAIS'!C118,'036-20-CCU''s'!$B$9:$H$1962,7,0)))))</f>
        <v>46.139945562080534</v>
      </c>
      <c r="H118" s="528">
        <f>BDI_O.A.E!$H$22</f>
        <v>0.18201100192553743</v>
      </c>
      <c r="I118" s="535">
        <f>F118*(G118*(1+H118))</f>
        <v>1570.6921905395875</v>
      </c>
      <c r="K118" s="232">
        <f t="shared" si="22"/>
        <v>1570.6921905395875</v>
      </c>
      <c r="M118" s="232" t="s">
        <v>7967</v>
      </c>
    </row>
    <row r="119" spans="1:13" s="87" customFormat="1" ht="25.5">
      <c r="A119" s="232" t="s">
        <v>4543</v>
      </c>
      <c r="B119" s="324" t="s">
        <v>7968</v>
      </c>
      <c r="C119" s="324">
        <v>407819</v>
      </c>
      <c r="D119" s="451" t="str">
        <f>IF(A119="SERVIÇO",VLOOKUP(C119,SERVIÇOS!$A$6:$D$7645,2,0),IF(A119="INSUMO",VLOOKUP(C119,INSUMOS!$A$6:$D$6961,2,0),IF('036.01-20-SERV. GERAIS'!A119="COTAÇÃO",VLOOKUP('036.01-20-SERV. GERAIS'!C119,'036-20-Cotação'!$A$9:$G$529,2,0),IF('036.01-20-SERV. GERAIS'!A119="CCU",VLOOKUP('036.01-20-SERV. GERAIS'!C119,'036-20-CCU''s'!$B$9:$H$1962,2,0)))))</f>
        <v xml:space="preserve">ARMAÇÃO EM AÇO CA-50 - FORNECIMENTO, PREPARO E COLOCAÇÃO </v>
      </c>
      <c r="E119" s="452" t="str">
        <f>IF(A119="SERVIÇO",VLOOKUP(C119,SERVIÇOS!$A$6:$D$7645,3,0),IF(A119="INSUMO",VLOOKUP(C119,INSUMOS!$A$6:$D$6961,3,0),IF('036.01-20-SERV. GERAIS'!A119="COTAÇÃO",VLOOKUP('036.01-20-SERV. GERAIS'!C119,'036-20-Cotação'!$A$9:$G$529,4,0),IF('036.01-20-SERV. GERAIS'!A119="CCU",VLOOKUP('036.01-20-SERV. GERAIS'!C119,'036-20-CCU''s'!$B$9:$H$1962,4,0)))))</f>
        <v>KG</v>
      </c>
      <c r="F119" s="453">
        <v>15503</v>
      </c>
      <c r="G119" s="534">
        <f>IF(A119="SERVIÇO",VLOOKUP(C119,SERVIÇOS!$A$6:$D$7645,4,0),IF(A119="INSUMO",VLOOKUP(C119,INSUMOS!$A$6:$D$6961,4,0),IF('036.01-20-SERV. GERAIS'!A119="COTAÇÃO",VLOOKUP('036.01-20-SERV. GERAIS'!C119,'036-20-Cotação'!$A$9:$G$529,3,0),IF('036.01-20-SERV. GERAIS'!A119="CCU",VLOOKUP('036.01-20-SERV. GERAIS'!C119,'036-20-CCU''s'!$B$9:$H$1962,7,0)))))</f>
        <v>24.320908694726448</v>
      </c>
      <c r="H119" s="528">
        <f>BDI_O.A.E!$H$22</f>
        <v>0.18201100192553743</v>
      </c>
      <c r="I119" s="535">
        <f>F119*(G119*(1+H119))</f>
        <v>445673.75838185538</v>
      </c>
      <c r="K119" s="232">
        <f t="shared" si="22"/>
        <v>445673.75838185538</v>
      </c>
    </row>
    <row r="120" spans="1:13" s="87" customFormat="1" ht="25.5">
      <c r="A120" s="232" t="s">
        <v>4543</v>
      </c>
      <c r="B120" s="324" t="s">
        <v>7969</v>
      </c>
      <c r="C120" s="324" t="s">
        <v>6285</v>
      </c>
      <c r="D120" s="451" t="str">
        <f>IF(A120="SERVIÇO",VLOOKUP(C120,SERVIÇOS!$A$6:$D$7645,2,0),IF(A120="INSUMO",VLOOKUP(C120,INSUMOS!$A$6:$D$6961,2,0),IF('036.01-20-SERV. GERAIS'!A120="COTAÇÃO",VLOOKUP('036.01-20-SERV. GERAIS'!C120,'036-20-Cotação'!$A$9:$G$529,2,0),IF('036.01-20-SERV. GERAIS'!A120="CCU",VLOOKUP('036.01-20-SERV. GERAIS'!C120,'036-20-CCU''s'!$B$9:$H$1962,2,0)))))</f>
        <v>TRANSPORTE HORIZONTAL MANUAL DE VERGALHÕES DE AÇO ATÉ 200M</v>
      </c>
      <c r="E120" s="452" t="str">
        <f>IF(A120="SERVIÇO",VLOOKUP(C120,SERVIÇOS!$A$6:$D$7645,3,0),IF(A120="INSUMO",VLOOKUP(C120,INSUMOS!$A$6:$D$6961,3,0),IF('036.01-20-SERV. GERAIS'!A120="COTAÇÃO",VLOOKUP('036.01-20-SERV. GERAIS'!C120,'036-20-Cotação'!$A$9:$G$529,4,0),IF('036.01-20-SERV. GERAIS'!A120="CCU",VLOOKUP('036.01-20-SERV. GERAIS'!C120,'036-20-CCU''s'!$B$9:$H$1962,4,0)))))</f>
        <v>KGXKM</v>
      </c>
      <c r="F120" s="453">
        <f>F119*0.2</f>
        <v>3100.6000000000004</v>
      </c>
      <c r="G120" s="534">
        <f>IF(A120="SERVIÇO",VLOOKUP(C120,SERVIÇOS!$A$6:$D$7645,4,0),IF(A120="INSUMO",VLOOKUP(C120,INSUMOS!$A$6:$D$6961,4,0),IF('036.01-20-SERV. GERAIS'!A120="COTAÇÃO",VLOOKUP('036.01-20-SERV. GERAIS'!C120,'036-20-Cotação'!$A$9:$G$529,3,0),IF('036.01-20-SERV. GERAIS'!A120="CCU",VLOOKUP('036.01-20-SERV. GERAIS'!C120,'036-20-CCU''s'!$B$9:$H$1962,7,0)))))</f>
        <v>1.5746962499999999</v>
      </c>
      <c r="H120" s="528">
        <f>BDI_O.A.E!$H$22</f>
        <v>0.18201100192553743</v>
      </c>
      <c r="I120" s="535">
        <f>F120*(G120*(1+H120))</f>
        <v>5771.1724907670632</v>
      </c>
      <c r="K120" s="232">
        <f t="shared" si="22"/>
        <v>5771.1724907670632</v>
      </c>
    </row>
    <row r="121" spans="1:13" s="87" customFormat="1">
      <c r="A121" s="232"/>
      <c r="B121" s="88" t="s">
        <v>7970</v>
      </c>
      <c r="C121" s="88" t="s">
        <v>6348</v>
      </c>
      <c r="D121" s="151" t="s">
        <v>7354</v>
      </c>
      <c r="E121" s="152"/>
      <c r="F121" s="152"/>
      <c r="G121" s="152"/>
      <c r="H121" s="152"/>
      <c r="I121" s="153"/>
      <c r="K121" s="232">
        <f t="shared" si="22"/>
        <v>0</v>
      </c>
    </row>
    <row r="122" spans="1:13" s="87" customFormat="1" ht="38.25">
      <c r="A122" s="232" t="s">
        <v>4543</v>
      </c>
      <c r="B122" s="324" t="s">
        <v>7971</v>
      </c>
      <c r="C122" s="324">
        <v>3108005</v>
      </c>
      <c r="D122" s="451" t="str">
        <f>IF(A122="SERVIÇO",VLOOKUP(C122,SERVIÇOS!$A$6:$D$7645,2,0),IF(A122="INSUMO",VLOOKUP(C122,INSUMOS!$A$6:$D$6961,2,0),IF('036.01-20-SERV. GERAIS'!A122="COTAÇÃO",VLOOKUP('036.01-20-SERV. GERAIS'!C122,'036-20-Cotação'!$A$9:$G$529,2,0),IF('036.01-20-SERV. GERAIS'!A122="CCU",VLOOKUP('036.01-20-SERV. GERAIS'!C122,'036-20-CCU''s'!$B$9:$H$1962,2,0)))))</f>
        <v>FORMAS DE COMPENSADO RESINADO 14 MM - USO GERAL - UTILIZAÇÃO DE 3 VEZES - CONFECÇÃO, INSTALAÇÃO E RETIRADA</v>
      </c>
      <c r="E122" s="452" t="str">
        <f>IF(A122="SERVIÇO",VLOOKUP(C122,SERVIÇOS!$A$6:$D$7645,3,0),IF(A122="INSUMO",VLOOKUP(C122,INSUMOS!$A$6:$D$6961,3,0),IF('036.01-20-SERV. GERAIS'!A122="COTAÇÃO",VLOOKUP('036.01-20-SERV. GERAIS'!C122,'036-20-Cotação'!$A$9:$G$529,4,0),IF('036.01-20-SERV. GERAIS'!A122="CCU",VLOOKUP('036.01-20-SERV. GERAIS'!C122,'036-20-CCU''s'!$B$9:$H$1962,4,0)))))</f>
        <v>M2</v>
      </c>
      <c r="F122" s="453">
        <v>805.56</v>
      </c>
      <c r="G122" s="534">
        <f>IF(A122="SERVIÇO",VLOOKUP(C122,SERVIÇOS!$A$6:$D$7645,4,0),IF(A122="INSUMO",VLOOKUP(C122,INSUMOS!$A$6:$D$6961,4,0),IF('036.01-20-SERV. GERAIS'!A122="COTAÇÃO",VLOOKUP('036.01-20-SERV. GERAIS'!C122,'036-20-Cotação'!$A$9:$G$529,3,0),IF('036.01-20-SERV. GERAIS'!A122="CCU",VLOOKUP('036.01-20-SERV. GERAIS'!C122,'036-20-CCU''s'!$B$9:$H$1962,7,0)))))</f>
        <v>63.424334960312088</v>
      </c>
      <c r="H122" s="528">
        <f>BDI_O.A.E!$H$22</f>
        <v>0.18201100192553743</v>
      </c>
      <c r="I122" s="535">
        <f>F122*(G122*(1+H122))</f>
        <v>60391.432905443216</v>
      </c>
      <c r="K122" s="232">
        <f t="shared" si="22"/>
        <v>60391.432905443216</v>
      </c>
    </row>
    <row r="123" spans="1:13" s="87" customFormat="1" ht="25.5">
      <c r="A123" s="232" t="s">
        <v>4543</v>
      </c>
      <c r="B123" s="324" t="s">
        <v>7972</v>
      </c>
      <c r="C123" s="324" t="s">
        <v>7410</v>
      </c>
      <c r="D123" s="451" t="str">
        <f>IF(A123="SERVIÇO",VLOOKUP(C123,SERVIÇOS!$A$6:$D$7645,2,0),IF(A123="INSUMO",VLOOKUP(C123,INSUMOS!$A$6:$D$6961,2,0),IF('036.01-20-SERV. GERAIS'!A123="COTAÇÃO",VLOOKUP('036.01-20-SERV. GERAIS'!C123,'036-20-Cotação'!$A$9:$G$529,2,0),IF('036.01-20-SERV. GERAIS'!A123="CCU",VLOOKUP('036.01-20-SERV. GERAIS'!C123,'036-20-CCU''s'!$B$9:$H$1962,2,0)))))</f>
        <v>TRANSPORTE HORIZONTAL DE FORMA MADEIRA COMPENSADO ATÉ 200M</v>
      </c>
      <c r="E123" s="452" t="str">
        <f>IF(A123="SERVIÇO",VLOOKUP(C123,SERVIÇOS!$A$6:$D$7645,3,0),IF(A123="INSUMO",VLOOKUP(C123,INSUMOS!$A$6:$D$6961,3,0),IF('036.01-20-SERV. GERAIS'!A123="COTAÇÃO",VLOOKUP('036.01-20-SERV. GERAIS'!C123,'036-20-Cotação'!$A$9:$G$529,4,0),IF('036.01-20-SERV. GERAIS'!A123="CCU",VLOOKUP('036.01-20-SERV. GERAIS'!C123,'036-20-CCU''s'!$B$9:$H$1962,4,0)))))</f>
        <v>M2xKM</v>
      </c>
      <c r="F123" s="453">
        <f>F122*0.2</f>
        <v>161.11199999999999</v>
      </c>
      <c r="G123" s="534">
        <f>IF(A123="SERVIÇO",VLOOKUP(C123,SERVIÇOS!$A$6:$D$7645,4,0),IF(A123="INSUMO",VLOOKUP(C123,INSUMOS!$A$6:$D$6961,4,0),IF('036.01-20-SERV. GERAIS'!A123="COTAÇÃO",VLOOKUP('036.01-20-SERV. GERAIS'!C123,'036-20-Cotação'!$A$9:$G$529,3,0),IF('036.01-20-SERV. GERAIS'!A123="CCU",VLOOKUP('036.01-20-SERV. GERAIS'!C123,'036-20-CCU''s'!$B$9:$H$1962,7,0)))))</f>
        <v>20.311548749999996</v>
      </c>
      <c r="H123" s="528">
        <f>BDI_O.A.E!$H$22</f>
        <v>0.18201100192553743</v>
      </c>
      <c r="I123" s="535">
        <f>F123*(G123*(1+H123))</f>
        <v>3868.0532773700779</v>
      </c>
      <c r="K123" s="232">
        <f t="shared" si="22"/>
        <v>3868.0532773700779</v>
      </c>
    </row>
    <row r="124" spans="1:13" s="87" customFormat="1">
      <c r="A124" s="232"/>
      <c r="B124" s="88" t="s">
        <v>7975</v>
      </c>
      <c r="C124" s="88" t="s">
        <v>6348</v>
      </c>
      <c r="D124" s="148" t="s">
        <v>7355</v>
      </c>
      <c r="E124" s="149"/>
      <c r="F124" s="149"/>
      <c r="G124" s="149"/>
      <c r="H124" s="149"/>
      <c r="I124" s="150"/>
      <c r="K124" s="232">
        <f t="shared" si="22"/>
        <v>0</v>
      </c>
    </row>
    <row r="125" spans="1:13" s="87" customFormat="1" ht="63.75">
      <c r="A125" s="232" t="s">
        <v>4543</v>
      </c>
      <c r="B125" s="324" t="s">
        <v>7976</v>
      </c>
      <c r="C125" s="324" t="s">
        <v>7412</v>
      </c>
      <c r="D125" s="451" t="str">
        <f>IF(A125="SERVIÇO",VLOOKUP(C125,SERVIÇOS!$A$6:$D$7645,2,0),IF(A125="INSUMO",VLOOKUP(C125,INSUMOS!$A$6:$D$6961,2,0),IF('036.01-20-SERV. GERAIS'!A125="COTAÇÃO",VLOOKUP('036.01-20-SERV. GERAIS'!C125,'036-20-Cotação'!$A$9:$G$529,2,0),IF('036.01-20-SERV. GERAIS'!A125="CCU",VLOOKUP('036.01-20-SERV. GERAIS'!C125,'036-20-CCU''s'!$B$9:$H$1962,2,0)))))</f>
        <v>CONCRETO PARA BOMBEAMENTO FCK = 45 MPA - CONFECÇÃO EM CENTRAL DOSADORA DE 40 M³/H - AREIA E BRITA COMERCIAIS, COM ADIÇÃO DE ESCÓRIA, ADITIVO CRISTALIZANTE XYPEX ADMIX E MICROFIBRAS</v>
      </c>
      <c r="E125" s="452" t="str">
        <f>IF(A125="SERVIÇO",VLOOKUP(C125,SERVIÇOS!$A$6:$D$7645,3,0),IF(A125="INSUMO",VLOOKUP(C125,INSUMOS!$A$6:$D$6961,3,0),IF('036.01-20-SERV. GERAIS'!A125="COTAÇÃO",VLOOKUP('036.01-20-SERV. GERAIS'!C125,'036-20-Cotação'!$A$9:$G$529,4,0),IF('036.01-20-SERV. GERAIS'!A125="CCU",VLOOKUP('036.01-20-SERV. GERAIS'!C125,'036-20-CCU''s'!$B$9:$H$1962,4,0)))))</f>
        <v>M3</v>
      </c>
      <c r="F125" s="453">
        <v>217.91</v>
      </c>
      <c r="G125" s="534">
        <f>IF(A125="SERVIÇO",VLOOKUP(C125,SERVIÇOS!$A$6:$D$7645,4,0),IF(A125="INSUMO",VLOOKUP(C125,INSUMOS!$A$6:$D$6961,4,0),IF('036.01-20-SERV. GERAIS'!A125="COTAÇÃO",VLOOKUP('036.01-20-SERV. GERAIS'!C125,'036-20-Cotação'!$A$9:$G$529,3,0),IF('036.01-20-SERV. GERAIS'!A125="CCU",VLOOKUP('036.01-20-SERV. GERAIS'!C125,'036-20-CCU''s'!$B$9:$H$1962,7,0)))))</f>
        <v>486.51503869512067</v>
      </c>
      <c r="H125" s="528">
        <f>BDI_O.A.E!$H$22</f>
        <v>0.18201100192553743</v>
      </c>
      <c r="I125" s="535">
        <f t="shared" ref="I125:I126" si="36">F125*(G125*(1+H125))</f>
        <v>125312.66002653915</v>
      </c>
      <c r="K125" s="232">
        <f t="shared" si="22"/>
        <v>125312.66002653915</v>
      </c>
      <c r="M125" s="87">
        <f>173.47*3</f>
        <v>520.41</v>
      </c>
    </row>
    <row r="126" spans="1:13" s="87" customFormat="1" ht="38.25">
      <c r="A126" s="232" t="s">
        <v>4543</v>
      </c>
      <c r="B126" s="324" t="s">
        <v>7989</v>
      </c>
      <c r="C126" s="324">
        <v>1106128</v>
      </c>
      <c r="D126" s="451" t="str">
        <f>IF(A126="SERVIÇO",VLOOKUP(C126,SERVIÇOS!$A$6:$D$7645,2,0),IF(A126="INSUMO",VLOOKUP(C126,INSUMOS!$A$6:$D$6961,2,0),IF('036.01-20-SERV. GERAIS'!A126="COTAÇÃO",VLOOKUP('036.01-20-SERV. GERAIS'!C126,'036-20-Cotação'!$A$9:$G$529,2,0),IF('036.01-20-SERV. GERAIS'!A126="CCU",VLOOKUP('036.01-20-SERV. GERAIS'!C126,'036-20-CCU''s'!$B$9:$H$1962,2,0)))))</f>
        <v>LANÇAMENTO MECÂNICO DE CONCRETO COM BOMBA REBOCÁVEL COM CAPACIDADE DE 41 M³/H</v>
      </c>
      <c r="E126" s="452" t="str">
        <f>IF(A126="SERVIÇO",VLOOKUP(C126,SERVIÇOS!$A$6:$D$7645,3,0),IF(A126="INSUMO",VLOOKUP(C126,INSUMOS!$A$6:$D$6961,3,0),IF('036.01-20-SERV. GERAIS'!A126="COTAÇÃO",VLOOKUP('036.01-20-SERV. GERAIS'!C126,'036-20-Cotação'!$A$9:$G$529,4,0),IF('036.01-20-SERV. GERAIS'!A126="CCU",VLOOKUP('036.01-20-SERV. GERAIS'!C126,'036-20-CCU''s'!$B$9:$H$1962,4,0)))))</f>
        <v>M3</v>
      </c>
      <c r="F126" s="453">
        <f>F125</f>
        <v>217.91</v>
      </c>
      <c r="G126" s="534">
        <f>IF(A126="SERVIÇO",VLOOKUP(C126,SERVIÇOS!$A$6:$D$7645,4,0),IF(A126="INSUMO",VLOOKUP(C126,INSUMOS!$A$6:$D$6961,4,0),IF('036.01-20-SERV. GERAIS'!A126="COTAÇÃO",VLOOKUP('036.01-20-SERV. GERAIS'!C126,'036-20-Cotação'!$A$9:$G$529,3,0),IF('036.01-20-SERV. GERAIS'!A126="CCU",VLOOKUP('036.01-20-SERV. GERAIS'!C126,'036-20-CCU''s'!$B$9:$H$1962,7,0)))))</f>
        <v>7.4705060240963856</v>
      </c>
      <c r="H126" s="528">
        <f>BDI_O.A.E!$H$22</f>
        <v>0.18201100192553743</v>
      </c>
      <c r="I126" s="535">
        <f t="shared" si="36"/>
        <v>1924.1933078464401</v>
      </c>
      <c r="K126" s="232">
        <f t="shared" si="22"/>
        <v>1924.1933078464401</v>
      </c>
    </row>
    <row r="127" spans="1:13" s="87" customFormat="1">
      <c r="A127" s="232"/>
      <c r="B127" s="88" t="s">
        <v>7990</v>
      </c>
      <c r="C127" s="88" t="s">
        <v>6348</v>
      </c>
      <c r="D127" s="148" t="s">
        <v>7344</v>
      </c>
      <c r="E127" s="149"/>
      <c r="F127" s="149"/>
      <c r="G127" s="149"/>
      <c r="H127" s="149"/>
      <c r="I127" s="150"/>
      <c r="K127" s="232">
        <f t="shared" si="22"/>
        <v>0</v>
      </c>
    </row>
    <row r="128" spans="1:13" s="87" customFormat="1" ht="51">
      <c r="A128" s="232" t="s">
        <v>4543</v>
      </c>
      <c r="B128" s="324" t="s">
        <v>7991</v>
      </c>
      <c r="C128" s="324" t="s">
        <v>7413</v>
      </c>
      <c r="D128" s="451" t="str">
        <f>IF(A128="SERVIÇO",VLOOKUP(C128,SERVIÇOS!$A$6:$D$7645,2,0),IF(A128="INSUMO",VLOOKUP(C128,INSUMOS!$A$6:$D$6961,2,0),IF('036.01-20-SERV. GERAIS'!A128="COTAÇÃO",VLOOKUP('036.01-20-SERV. GERAIS'!C128,'036-20-Cotação'!$A$9:$G$529,2,0),IF('036.01-20-SERV. GERAIS'!A128="CCU",VLOOKUP('036.01-20-SERV. GERAIS'!C128,'036-20-CCU''s'!$B$9:$H$1962,2,0)))))</f>
        <v>TIRANTE PERMANENTE PROTENDIDO DE AÇO D = 40 MM, TIPO DYWIDAG ST 95/105, COM CAPACIDADE DE 390 KN - EXCETO PERFURAÇÃO</v>
      </c>
      <c r="E128" s="452" t="str">
        <f>IF(A128="SERVIÇO",VLOOKUP(C128,SERVIÇOS!$A$6:$D$7645,3,0),IF(A128="INSUMO",VLOOKUP(C128,INSUMOS!$A$6:$D$6961,3,0),IF('036.01-20-SERV. GERAIS'!A128="COTAÇÃO",VLOOKUP('036.01-20-SERV. GERAIS'!C128,'036-20-Cotação'!$A$9:$G$529,4,0),IF('036.01-20-SERV. GERAIS'!A128="CCU",VLOOKUP('036.01-20-SERV. GERAIS'!C128,'036-20-CCU''s'!$B$9:$H$1962,4,0)))))</f>
        <v>M</v>
      </c>
      <c r="F128" s="453">
        <v>1408.08</v>
      </c>
      <c r="G128" s="534">
        <f>IF(A128="SERVIÇO",VLOOKUP(C128,SERVIÇOS!$A$6:$D$7645,4,0),IF(A128="INSUMO",VLOOKUP(C128,INSUMOS!$A$6:$D$6961,4,0),IF('036.01-20-SERV. GERAIS'!A128="COTAÇÃO",VLOOKUP('036.01-20-SERV. GERAIS'!C128,'036-20-Cotação'!$A$9:$G$529,3,0),IF('036.01-20-SERV. GERAIS'!A128="CCU",VLOOKUP('036.01-20-SERV. GERAIS'!C128,'036-20-CCU''s'!$B$9:$H$1962,7,0)))))</f>
        <v>178.13565698542146</v>
      </c>
      <c r="H128" s="528">
        <f>BDI_O.A.E!$H$22</f>
        <v>0.18201100192553743</v>
      </c>
      <c r="I128" s="535">
        <f t="shared" ref="I128" si="37">F128*(G128*(1+H128))</f>
        <v>296482.94006445003</v>
      </c>
      <c r="K128" s="232">
        <f t="shared" si="22"/>
        <v>296482.94006445003</v>
      </c>
      <c r="M128" s="232" t="s">
        <v>8510</v>
      </c>
    </row>
    <row r="129" spans="1:13" s="87" customFormat="1" ht="25.5">
      <c r="A129" s="232" t="s">
        <v>4543</v>
      </c>
      <c r="B129" s="324" t="s">
        <v>8021</v>
      </c>
      <c r="C129" s="324" t="s">
        <v>6285</v>
      </c>
      <c r="D129" s="451" t="str">
        <f>IF(A129="SERVIÇO",VLOOKUP(C129,SERVIÇOS!$A$6:$D$7645,2,0),IF(A129="INSUMO",VLOOKUP(C129,INSUMOS!$A$6:$D$6961,2,0),IF('036.01-20-SERV. GERAIS'!A129="COTAÇÃO",VLOOKUP('036.01-20-SERV. GERAIS'!C129,'036-20-Cotação'!$A$9:$G$529,2,0),IF('036.01-20-SERV. GERAIS'!A129="CCU",VLOOKUP('036.01-20-SERV. GERAIS'!C129,'036-20-CCU''s'!$B$9:$H$1962,2,0)))))</f>
        <v>TRANSPORTE HORIZONTAL MANUAL DE VERGALHÕES DE AÇO ATÉ 200M</v>
      </c>
      <c r="E129" s="452" t="str">
        <f>IF(A129="SERVIÇO",VLOOKUP(C129,SERVIÇOS!$A$6:$D$7645,3,0),IF(A129="INSUMO",VLOOKUP(C129,INSUMOS!$A$6:$D$6961,3,0),IF('036.01-20-SERV. GERAIS'!A129="COTAÇÃO",VLOOKUP('036.01-20-SERV. GERAIS'!C129,'036-20-Cotação'!$A$9:$G$529,4,0),IF('036.01-20-SERV. GERAIS'!A129="CCU",VLOOKUP('036.01-20-SERV. GERAIS'!C129,'036-20-CCU''s'!$B$9:$H$1962,4,0)))))</f>
        <v>KGXKM</v>
      </c>
      <c r="F129" s="453">
        <f>8885*0.2</f>
        <v>1777</v>
      </c>
      <c r="G129" s="534">
        <f>IF(A129="SERVIÇO",VLOOKUP(C129,SERVIÇOS!$A$6:$D$7645,4,0),IF(A129="INSUMO",VLOOKUP(C129,INSUMOS!$A$6:$D$6961,4,0),IF('036.01-20-SERV. GERAIS'!A129="COTAÇÃO",VLOOKUP('036.01-20-SERV. GERAIS'!C129,'036-20-Cotação'!$A$9:$G$529,3,0),IF('036.01-20-SERV. GERAIS'!A129="CCU",VLOOKUP('036.01-20-SERV. GERAIS'!C129,'036-20-CCU''s'!$B$9:$H$1962,7,0)))))</f>
        <v>1.5746962499999999</v>
      </c>
      <c r="H129" s="528">
        <f>BDI_O.A.E!$H$22</f>
        <v>0.18201100192553743</v>
      </c>
      <c r="I129" s="535">
        <f>F129*(G129*(1+H129))</f>
        <v>3307.5448352232056</v>
      </c>
      <c r="K129" s="232">
        <f t="shared" si="22"/>
        <v>3307.5448352232056</v>
      </c>
    </row>
    <row r="130" spans="1:13" s="87" customFormat="1">
      <c r="A130" s="232"/>
      <c r="B130" s="88" t="s">
        <v>8030</v>
      </c>
      <c r="C130" s="88" t="s">
        <v>6348</v>
      </c>
      <c r="D130" s="148" t="s">
        <v>7345</v>
      </c>
      <c r="E130" s="149"/>
      <c r="F130" s="149"/>
      <c r="G130" s="149"/>
      <c r="H130" s="149"/>
      <c r="I130" s="150"/>
      <c r="K130" s="232">
        <f t="shared" si="22"/>
        <v>0</v>
      </c>
    </row>
    <row r="131" spans="1:13" s="87" customFormat="1" ht="38.25">
      <c r="A131" s="232" t="s">
        <v>4543</v>
      </c>
      <c r="B131" s="324" t="s">
        <v>8029</v>
      </c>
      <c r="C131" s="324" t="s">
        <v>8022</v>
      </c>
      <c r="D131" s="451" t="str">
        <f>IF(A131="SERVIÇO",VLOOKUP(C131,SERVIÇOS!$A$6:$D$7645,2,0),IF(A131="INSUMO",VLOOKUP(C131,INSUMOS!$A$6:$D$6961,2,0),IF('036.01-20-SERV. GERAIS'!A131="COTAÇÃO",VLOOKUP('036.01-20-SERV. GERAIS'!C131,'036-20-Cotação'!$A$9:$G$529,2,0),IF('036.01-20-SERV. GERAIS'!A131="CCU",VLOOKUP('036.01-20-SERV. GERAIS'!C131,'036-20-CCU''s'!$B$9:$H$1962,2,0)))))</f>
        <v>ANCORAGEM DE BARRAS DYWIDAG COM PLACA DE ANCORAGEM 220X220X45 E PORCAS SEXTAVADAS</v>
      </c>
      <c r="E131" s="452" t="str">
        <f>IF(A131="SERVIÇO",VLOOKUP(C131,SERVIÇOS!$A$6:$D$7645,3,0),IF(A131="INSUMO",VLOOKUP(C131,INSUMOS!$A$6:$D$6961,3,0),IF('036.01-20-SERV. GERAIS'!A131="COTAÇÃO",VLOOKUP('036.01-20-SERV. GERAIS'!C131,'036-20-Cotação'!$A$9:$G$529,4,0),IF('036.01-20-SERV. GERAIS'!A131="CCU",VLOOKUP('036.01-20-SERV. GERAIS'!C131,'036-20-CCU''s'!$B$9:$H$1962,4,0)))))</f>
        <v xml:space="preserve">UN    </v>
      </c>
      <c r="F131" s="453">
        <v>296</v>
      </c>
      <c r="G131" s="534">
        <f>IF(A131="SERVIÇO",VLOOKUP(C131,SERVIÇOS!$A$6:$D$7645,4,0),IF(A131="INSUMO",VLOOKUP(C131,INSUMOS!$A$6:$D$6961,4,0),IF('036.01-20-SERV. GERAIS'!A131="COTAÇÃO",VLOOKUP('036.01-20-SERV. GERAIS'!C131,'036-20-Cotação'!$A$9:$G$529,3,0),IF('036.01-20-SERV. GERAIS'!A131="CCU",VLOOKUP('036.01-20-SERV. GERAIS'!C131,'036-20-CCU''s'!$B$9:$H$1962,7,0)))))</f>
        <v>417.94025258798672</v>
      </c>
      <c r="H131" s="528">
        <f>BDI_O.A.E!$H$22</f>
        <v>0.18201100192553743</v>
      </c>
      <c r="I131" s="535">
        <f t="shared" ref="I131" si="38">F131*(G131*(1+H131))</f>
        <v>146226.95310513536</v>
      </c>
      <c r="K131" s="232">
        <f t="shared" si="22"/>
        <v>146226.95310513536</v>
      </c>
    </row>
    <row r="132" spans="1:13" s="87" customFormat="1" ht="38.25">
      <c r="A132" s="232" t="s">
        <v>4543</v>
      </c>
      <c r="B132" s="324" t="s">
        <v>8031</v>
      </c>
      <c r="C132" s="324" t="s">
        <v>8032</v>
      </c>
      <c r="D132" s="451" t="str">
        <f>IF(A132="SERVIÇO",VLOOKUP(C132,SERVIÇOS!$A$6:$D$7645,2,0),IF(A132="INSUMO",VLOOKUP(C132,INSUMOS!$A$6:$D$6961,2,0),IF('036.01-20-SERV. GERAIS'!A132="COTAÇÃO",VLOOKUP('036.01-20-SERV. GERAIS'!C132,'036-20-Cotação'!$A$9:$G$529,2,0),IF('036.01-20-SERV. GERAIS'!A132="CCU",VLOOKUP('036.01-20-SERV. GERAIS'!C132,'036-20-CCU''s'!$B$9:$H$1962,2,0)))))</f>
        <v>GRAUTEAMENTO DOS NICHOS COM RESISTÊNCIA DE 45MPA ADITIVADO COM XYPEX E MICROFIBRAS</v>
      </c>
      <c r="E132" s="452" t="str">
        <f>IF(A132="SERVIÇO",VLOOKUP(C132,SERVIÇOS!$A$6:$D$7645,3,0),IF(A132="INSUMO",VLOOKUP(C132,INSUMOS!$A$6:$D$6961,3,0),IF('036.01-20-SERV. GERAIS'!A132="COTAÇÃO",VLOOKUP('036.01-20-SERV. GERAIS'!C132,'036-20-Cotação'!$A$9:$G$529,4,0),IF('036.01-20-SERV. GERAIS'!A132="CCU",VLOOKUP('036.01-20-SERV. GERAIS'!C132,'036-20-CCU''s'!$B$9:$H$1962,4,0)))))</f>
        <v>M3</v>
      </c>
      <c r="F132" s="453">
        <v>4.3</v>
      </c>
      <c r="G132" s="534">
        <f>IF(A132="SERVIÇO",VLOOKUP(C132,SERVIÇOS!$A$6:$D$7645,4,0),IF(A132="INSUMO",VLOOKUP(C132,INSUMOS!$A$6:$D$6961,4,0),IF('036.01-20-SERV. GERAIS'!A132="COTAÇÃO",VLOOKUP('036.01-20-SERV. GERAIS'!C132,'036-20-Cotação'!$A$9:$G$529,3,0),IF('036.01-20-SERV. GERAIS'!A132="CCU",VLOOKUP('036.01-20-SERV. GERAIS'!C132,'036-20-CCU''s'!$B$9:$H$1962,7,0)))))</f>
        <v>1068.9622015178761</v>
      </c>
      <c r="H132" s="528">
        <f>BDI_O.A.E!$H$22</f>
        <v>0.18201100192553743</v>
      </c>
      <c r="I132" s="535">
        <f t="shared" ref="I132" si="39">F132*(G132*(1+H132))</f>
        <v>5433.157856197693</v>
      </c>
      <c r="K132" s="232">
        <f t="shared" si="22"/>
        <v>5433.157856197693</v>
      </c>
    </row>
    <row r="133" spans="1:13" s="87" customFormat="1">
      <c r="A133" s="232"/>
      <c r="B133" s="88" t="s">
        <v>8041</v>
      </c>
      <c r="C133" s="88" t="s">
        <v>6348</v>
      </c>
      <c r="D133" s="148" t="s">
        <v>8042</v>
      </c>
      <c r="E133" s="149"/>
      <c r="F133" s="149"/>
      <c r="G133" s="149"/>
      <c r="H133" s="149"/>
      <c r="I133" s="150"/>
      <c r="K133" s="232">
        <f t="shared" si="22"/>
        <v>0</v>
      </c>
    </row>
    <row r="134" spans="1:13" s="87" customFormat="1">
      <c r="A134" s="232"/>
      <c r="B134" s="88" t="s">
        <v>8043</v>
      </c>
      <c r="C134" s="88" t="s">
        <v>6348</v>
      </c>
      <c r="D134" s="148" t="s">
        <v>7361</v>
      </c>
      <c r="E134" s="149"/>
      <c r="F134" s="149"/>
      <c r="G134" s="149"/>
      <c r="H134" s="149"/>
      <c r="I134" s="150"/>
      <c r="K134" s="232">
        <f t="shared" si="22"/>
        <v>0</v>
      </c>
    </row>
    <row r="135" spans="1:13" s="87" customFormat="1">
      <c r="A135" s="232"/>
      <c r="B135" s="88" t="s">
        <v>8325</v>
      </c>
      <c r="C135" s="88" t="s">
        <v>6348</v>
      </c>
      <c r="D135" s="148" t="s">
        <v>8310</v>
      </c>
      <c r="E135" s="149"/>
      <c r="F135" s="149"/>
      <c r="G135" s="149"/>
      <c r="H135" s="149"/>
      <c r="I135" s="150"/>
      <c r="K135" s="232">
        <f t="shared" si="22"/>
        <v>0</v>
      </c>
    </row>
    <row r="136" spans="1:13" s="223" customFormat="1" ht="25.5">
      <c r="A136" s="232" t="s">
        <v>4543</v>
      </c>
      <c r="B136" s="324" t="s">
        <v>8340</v>
      </c>
      <c r="C136" s="454" t="s">
        <v>13509</v>
      </c>
      <c r="D136" s="451" t="str">
        <f>IF(A136="SERVIÇO",VLOOKUP(C136,SERVIÇOS!$A$6:$D$7645,2,0),IF(A136="INSUMO",VLOOKUP(C136,INSUMOS!$A$6:$D$6961,2,0),IF('036.01-20-SERV. GERAIS'!A136="COTAÇÃO",VLOOKUP('036.01-20-SERV. GERAIS'!C136,'036-20-Cotação'!$A$9:$G$529,2,0),IF('036.01-20-SERV. GERAIS'!A136="CCU",VLOOKUP('036.01-20-SERV. GERAIS'!C136,'036-20-CCU''s'!$B$9:$H$1962,2,0)))))</f>
        <v>LIMPEZA EM SUPERFICIE DE CONCRETO COM JATEAMENTO D'ÁGUA SOB PRESSÃO</v>
      </c>
      <c r="E136" s="452" t="str">
        <f>IF(A136="SERVIÇO",VLOOKUP(C136,SERVIÇOS!$A$6:$D$7645,3,0),IF(A136="INSUMO",VLOOKUP(C136,INSUMOS!$A$6:$D$6961,3,0),IF('036.01-20-SERV. GERAIS'!A136="COTAÇÃO",VLOOKUP('036.01-20-SERV. GERAIS'!C136,'036-20-Cotação'!$A$9:$G$529,4,0),IF('036.01-20-SERV. GERAIS'!A136="CCU",VLOOKUP('036.01-20-SERV. GERAIS'!C136,'036-20-CCU''s'!$B$9:$H$1962,4,0)))))</f>
        <v>M2</v>
      </c>
      <c r="F136" s="537">
        <v>8390.11</v>
      </c>
      <c r="G136" s="534">
        <f>IF(A136="SERVIÇO",VLOOKUP(C136,SERVIÇOS!$A$6:$D$7645,4,0),IF(A136="INSUMO",VLOOKUP(C136,INSUMOS!$A$6:$D$6961,4,0),IF('036.01-20-SERV. GERAIS'!A136="COTAÇÃO",VLOOKUP('036.01-20-SERV. GERAIS'!C136,'036-20-Cotação'!$A$9:$G$529,3,0),IF('036.01-20-SERV. GERAIS'!A136="CCU",VLOOKUP('036.01-20-SERV. GERAIS'!C136,'036-20-CCU''s'!$B$9:$H$1962,7,0)))))</f>
        <v>2.7163414430424733</v>
      </c>
      <c r="H136" s="528">
        <f>BDI_O.A.E!$H$22</f>
        <v>0.18201100192553743</v>
      </c>
      <c r="I136" s="535">
        <f>F136*(G136*(1+H136))</f>
        <v>26938.507680860101</v>
      </c>
      <c r="K136" s="232">
        <f t="shared" si="22"/>
        <v>26938.507680860101</v>
      </c>
    </row>
    <row r="137" spans="1:13" s="87" customFormat="1" ht="25.5">
      <c r="A137" s="232" t="s">
        <v>4543</v>
      </c>
      <c r="B137" s="324" t="s">
        <v>8341</v>
      </c>
      <c r="C137" s="324">
        <v>4915639</v>
      </c>
      <c r="D137" s="451" t="str">
        <f>IF(A137="SERVIÇO",VLOOKUP(C137,SERVIÇOS!$A$6:$D$7645,2,0),IF(A137="INSUMO",VLOOKUP(C137,INSUMOS!$A$6:$D$6961,2,0),IF('036.01-20-SERV. GERAIS'!A137="COTAÇÃO",VLOOKUP('036.01-20-SERV. GERAIS'!C137,'036-20-Cotação'!$A$9:$G$529,2,0),IF('036.01-20-SERV. GERAIS'!A137="CCU",VLOOKUP('036.01-20-SERV. GERAIS'!C137,'036-20-CCU''s'!$B$9:$H$1962,2,0)))))</f>
        <v>LIMPEZA EM SUPERFÍCIE DE CONCRETO COM ESCOVA DE AÇO</v>
      </c>
      <c r="E137" s="452" t="str">
        <f>IF(A137="SERVIÇO",VLOOKUP(C137,SERVIÇOS!$A$6:$D$7645,3,0),IF(A137="INSUMO",VLOOKUP(C137,INSUMOS!$A$6:$D$6961,3,0),IF('036.01-20-SERV. GERAIS'!A137="COTAÇÃO",VLOOKUP('036.01-20-SERV. GERAIS'!C137,'036-20-Cotação'!$A$9:$G$529,4,0),IF('036.01-20-SERV. GERAIS'!A137="CCU",VLOOKUP('036.01-20-SERV. GERAIS'!C137,'036-20-CCU''s'!$B$9:$H$1962,4,0)))))</f>
        <v>M2</v>
      </c>
      <c r="F137" s="453">
        <v>322.55</v>
      </c>
      <c r="G137" s="534">
        <f>IF(A137="SERVIÇO",VLOOKUP(C137,SERVIÇOS!$A$6:$D$7645,4,0),IF(A137="INSUMO",VLOOKUP(C137,INSUMOS!$A$6:$D$6961,4,0),IF('036.01-20-SERV. GERAIS'!A137="COTAÇÃO",VLOOKUP('036.01-20-SERV. GERAIS'!C137,'036-20-Cotação'!$A$9:$G$529,3,0),IF('036.01-20-SERV. GERAIS'!A137="CCU",VLOOKUP('036.01-20-SERV. GERAIS'!C137,'036-20-CCU''s'!$B$9:$H$1962,7,0)))))</f>
        <v>3.1274999999999999</v>
      </c>
      <c r="H137" s="528">
        <f>BDI_O.A.E!$H$22</f>
        <v>0.18201100192553743</v>
      </c>
      <c r="I137" s="535">
        <f t="shared" ref="I137:I139" si="40">F137*(G137*(1+H137))</f>
        <v>1192.3832962188094</v>
      </c>
      <c r="K137" s="232">
        <f t="shared" si="22"/>
        <v>1192.3832962188094</v>
      </c>
    </row>
    <row r="138" spans="1:13" s="87" customFormat="1" ht="38.25">
      <c r="A138" s="232" t="s">
        <v>4543</v>
      </c>
      <c r="B138" s="324" t="s">
        <v>8342</v>
      </c>
      <c r="C138" s="324" t="s">
        <v>8314</v>
      </c>
      <c r="D138" s="451" t="str">
        <f>IF(A138="SERVIÇO",VLOOKUP(C138,SERVIÇOS!$A$6:$D$7645,2,0),IF(A138="INSUMO",VLOOKUP(C138,INSUMOS!$A$6:$D$6961,2,0),IF('036.01-20-SERV. GERAIS'!A138="COTAÇÃO",VLOOKUP('036.01-20-SERV. GERAIS'!C138,'036-20-Cotação'!$A$9:$G$529,2,0),IF('036.01-20-SERV. GERAIS'!A138="CCU",VLOOKUP('036.01-20-SERV. GERAIS'!C138,'036-20-CCU''s'!$B$9:$H$1962,2,0)))))</f>
        <v>ABERTURA DE CAVIDADE EM CONCRETO, COM O EMPREGO DE MÁQUINA DE CORTE E DISCO ADIAMANTADO</v>
      </c>
      <c r="E138" s="452" t="str">
        <f>IF(A138="SERVIÇO",VLOOKUP(C138,SERVIÇOS!$A$6:$D$7645,3,0),IF(A138="INSUMO",VLOOKUP(C138,INSUMOS!$A$6:$D$6961,3,0),IF('036.01-20-SERV. GERAIS'!A138="COTAÇÃO",VLOOKUP('036.01-20-SERV. GERAIS'!C138,'036-20-Cotação'!$A$9:$G$529,4,0),IF('036.01-20-SERV. GERAIS'!A138="CCU",VLOOKUP('036.01-20-SERV. GERAIS'!C138,'036-20-CCU''s'!$B$9:$H$1962,4,0)))))</f>
        <v>M</v>
      </c>
      <c r="F138" s="453">
        <v>4300.7</v>
      </c>
      <c r="G138" s="534">
        <f>IF(A138="SERVIÇO",VLOOKUP(C138,SERVIÇOS!$A$6:$D$7645,4,0),IF(A138="INSUMO",VLOOKUP(C138,INSUMOS!$A$6:$D$6961,4,0),IF('036.01-20-SERV. GERAIS'!A138="COTAÇÃO",VLOOKUP('036.01-20-SERV. GERAIS'!C138,'036-20-Cotação'!$A$9:$G$529,3,0),IF('036.01-20-SERV. GERAIS'!A138="CCU",VLOOKUP('036.01-20-SERV. GERAIS'!C138,'036-20-CCU''s'!$B$9:$H$1962,7,0)))))</f>
        <v>4.0309375000000003</v>
      </c>
      <c r="H138" s="528">
        <f>BDI_O.A.E!$H$22</f>
        <v>0.18201100192553743</v>
      </c>
      <c r="I138" s="535">
        <f t="shared" si="40"/>
        <v>20491.168862950301</v>
      </c>
      <c r="K138" s="232">
        <f t="shared" si="22"/>
        <v>20491.168862950301</v>
      </c>
      <c r="M138" s="87">
        <f>F138*0.01*1</f>
        <v>43.006999999999998</v>
      </c>
    </row>
    <row r="139" spans="1:13" s="87" customFormat="1">
      <c r="A139" s="232" t="s">
        <v>4543</v>
      </c>
      <c r="B139" s="324" t="s">
        <v>8342</v>
      </c>
      <c r="C139" s="324" t="s">
        <v>8315</v>
      </c>
      <c r="D139" s="451" t="str">
        <f>IF(A139="SERVIÇO",VLOOKUP(C139,SERVIÇOS!$A$6:$D$7645,2,0),IF(A139="INSUMO",VLOOKUP(C139,INSUMOS!$A$6:$D$6961,2,0),IF('036.01-20-SERV. GERAIS'!A139="COTAÇÃO",VLOOKUP('036.01-20-SERV. GERAIS'!C139,'036-20-Cotação'!$A$9:$G$529,2,0),IF('036.01-20-SERV. GERAIS'!A139="CCU",VLOOKUP('036.01-20-SERV. GERAIS'!C139,'036-20-CCU''s'!$B$9:$H$1962,2,0)))))</f>
        <v>LIMPEZA DE SUPERFÍCIE COM JATO DE AR</v>
      </c>
      <c r="E139" s="452" t="str">
        <f>IF(A139="SERVIÇO",VLOOKUP(C139,SERVIÇOS!$A$6:$D$7645,3,0),IF(A139="INSUMO",VLOOKUP(C139,INSUMOS!$A$6:$D$6961,3,0),IF('036.01-20-SERV. GERAIS'!A139="COTAÇÃO",VLOOKUP('036.01-20-SERV. GERAIS'!C139,'036-20-Cotação'!$A$9:$G$529,4,0),IF('036.01-20-SERV. GERAIS'!A139="CCU",VLOOKUP('036.01-20-SERV. GERAIS'!C139,'036-20-CCU''s'!$B$9:$H$1962,4,0)))))</f>
        <v>M2</v>
      </c>
      <c r="F139" s="453">
        <v>1290.21</v>
      </c>
      <c r="G139" s="534">
        <f>IF(A139="SERVIÇO",VLOOKUP(C139,SERVIÇOS!$A$6:$D$7645,4,0),IF(A139="INSUMO",VLOOKUP(C139,INSUMOS!$A$6:$D$6961,4,0),IF('036.01-20-SERV. GERAIS'!A139="COTAÇÃO",VLOOKUP('036.01-20-SERV. GERAIS'!C139,'036-20-Cotação'!$A$9:$G$529,3,0),IF('036.01-20-SERV. GERAIS'!A139="CCU",VLOOKUP('036.01-20-SERV. GERAIS'!C139,'036-20-CCU''s'!$B$9:$H$1962,7,0)))))</f>
        <v>1.6306919999999998</v>
      </c>
      <c r="H139" s="528">
        <f>BDI_O.A.E!$H$22</f>
        <v>0.18201100192553743</v>
      </c>
      <c r="I139" s="535">
        <f t="shared" si="40"/>
        <v>2486.8744654658244</v>
      </c>
      <c r="K139" s="232">
        <f t="shared" si="22"/>
        <v>2486.8744654658244</v>
      </c>
    </row>
    <row r="140" spans="1:13" s="87" customFormat="1">
      <c r="A140" s="232"/>
      <c r="B140" s="88" t="s">
        <v>8326</v>
      </c>
      <c r="C140" s="88" t="s">
        <v>6348</v>
      </c>
      <c r="D140" s="148" t="s">
        <v>7933</v>
      </c>
      <c r="E140" s="149"/>
      <c r="F140" s="149"/>
      <c r="G140" s="149"/>
      <c r="H140" s="149"/>
      <c r="I140" s="150"/>
      <c r="K140" s="232">
        <f t="shared" si="22"/>
        <v>0</v>
      </c>
    </row>
    <row r="141" spans="1:13" s="87" customFormat="1" ht="38.25">
      <c r="A141" s="232" t="s">
        <v>4543</v>
      </c>
      <c r="B141" s="324" t="s">
        <v>8327</v>
      </c>
      <c r="C141" s="324" t="s">
        <v>8319</v>
      </c>
      <c r="D141" s="451" t="str">
        <f>IF(A141="SERVIÇO",VLOOKUP(C141,SERVIÇOS!$A$6:$D$7645,2,0),IF(A141="INSUMO",VLOOKUP(C141,INSUMOS!$A$6:$D$6961,2,0),IF('036.01-20-SERV. GERAIS'!A141="COTAÇÃO",VLOOKUP('036.01-20-SERV. GERAIS'!C141,'036-20-Cotação'!$A$9:$G$529,2,0),IF('036.01-20-SERV. GERAIS'!A141="CCU",VLOOKUP('036.01-20-SERV. GERAIS'!C141,'036-20-CCU''s'!$B$9:$H$1962,2,0)))))</f>
        <v>COLMATAÇÃO DAS FISSURAS COM RESINA EPOXI (MC DUR 1300 PLUS OU EQUIVALENTE TÉCNICO)</v>
      </c>
      <c r="E141" s="452" t="str">
        <f>IF(A141="SERVIÇO",VLOOKUP(C141,SERVIÇOS!$A$6:$D$7645,3,0),IF(A141="INSUMO",VLOOKUP(C141,INSUMOS!$A$6:$D$6961,3,0),IF('036.01-20-SERV. GERAIS'!A141="COTAÇÃO",VLOOKUP('036.01-20-SERV. GERAIS'!C141,'036-20-Cotação'!$A$9:$G$529,4,0),IF('036.01-20-SERV. GERAIS'!A141="CCU",VLOOKUP('036.01-20-SERV. GERAIS'!C141,'036-20-CCU''s'!$B$9:$H$1962,4,0)))))</f>
        <v>M2</v>
      </c>
      <c r="F141" s="453">
        <v>215.04</v>
      </c>
      <c r="G141" s="534">
        <f>IF(A141="SERVIÇO",VLOOKUP(C141,SERVIÇOS!$A$6:$D$7645,4,0),IF(A141="INSUMO",VLOOKUP(C141,INSUMOS!$A$6:$D$6961,4,0),IF('036.01-20-SERV. GERAIS'!A141="COTAÇÃO",VLOOKUP('036.01-20-SERV. GERAIS'!C141,'036-20-Cotação'!$A$9:$G$529,3,0),IF('036.01-20-SERV. GERAIS'!A141="CCU",VLOOKUP('036.01-20-SERV. GERAIS'!C141,'036-20-CCU''s'!$B$9:$H$1962,7,0)))))</f>
        <v>67.359143251981834</v>
      </c>
      <c r="H141" s="528">
        <f>BDI_O.A.E!$H$22</f>
        <v>0.18201100192553743</v>
      </c>
      <c r="I141" s="535">
        <f t="shared" ref="I141" si="41">F141*(G141*(1+H141))</f>
        <v>17121.323176822149</v>
      </c>
      <c r="K141" s="232">
        <f t="shared" si="22"/>
        <v>17121.323176822149</v>
      </c>
    </row>
    <row r="142" spans="1:13" s="87" customFormat="1" ht="38.25">
      <c r="A142" s="232" t="s">
        <v>4543</v>
      </c>
      <c r="B142" s="324" t="s">
        <v>8328</v>
      </c>
      <c r="C142" s="324" t="s">
        <v>8329</v>
      </c>
      <c r="D142" s="451" t="str">
        <f>IF(A142="SERVIÇO",VLOOKUP(C142,SERVIÇOS!$A$6:$D$7645,2,0),IF(A142="INSUMO",VLOOKUP(C142,INSUMOS!$A$6:$D$6961,2,0),IF('036.01-20-SERV. GERAIS'!A142="COTAÇÃO",VLOOKUP('036.01-20-SERV. GERAIS'!C142,'036-20-Cotação'!$A$9:$G$529,2,0),IF('036.01-20-SERV. GERAIS'!A142="CCU",VLOOKUP('036.01-20-SERV. GERAIS'!C142,'036-20-CCU''s'!$B$9:$H$1962,2,0)))))</f>
        <v>INJEÇÃO DAS FISSURAS COM DURÕMETRO EPOXÍDICO - MC BAUCHEMIE MC INJEKT 1264 COMPACT OU EQUIVALENTE</v>
      </c>
      <c r="E142" s="452" t="str">
        <f>IF(A142="SERVIÇO",VLOOKUP(C142,SERVIÇOS!$A$6:$D$7645,3,0),IF(A142="INSUMO",VLOOKUP(C142,INSUMOS!$A$6:$D$6961,3,0),IF('036.01-20-SERV. GERAIS'!A142="COTAÇÃO",VLOOKUP('036.01-20-SERV. GERAIS'!C142,'036-20-Cotação'!$A$9:$G$529,4,0),IF('036.01-20-SERV. GERAIS'!A142="CCU",VLOOKUP('036.01-20-SERV. GERAIS'!C142,'036-20-CCU''s'!$B$9:$H$1962,4,0)))))</f>
        <v>KG</v>
      </c>
      <c r="F142" s="453">
        <v>5832</v>
      </c>
      <c r="G142" s="534">
        <f>IF(A142="SERVIÇO",VLOOKUP(C142,SERVIÇOS!$A$6:$D$7645,4,0),IF(A142="INSUMO",VLOOKUP(C142,INSUMOS!$A$6:$D$6961,4,0),IF('036.01-20-SERV. GERAIS'!A142="COTAÇÃO",VLOOKUP('036.01-20-SERV. GERAIS'!C142,'036-20-Cotação'!$A$9:$G$529,3,0),IF('036.01-20-SERV. GERAIS'!A142="CCU",VLOOKUP('036.01-20-SERV. GERAIS'!C142,'036-20-CCU''s'!$B$9:$H$1962,7,0)))))</f>
        <v>353.31324129526598</v>
      </c>
      <c r="H142" s="528">
        <f>BDI_O.A.E!$H$22</f>
        <v>0.18201100192553743</v>
      </c>
      <c r="I142" s="535">
        <f t="shared" ref="I142" si="42">F142*(G142*(1+H142))</f>
        <v>2435560.6467812466</v>
      </c>
      <c r="K142" s="232">
        <f t="shared" si="22"/>
        <v>2435560.6467812466</v>
      </c>
    </row>
    <row r="143" spans="1:13" s="87" customFormat="1">
      <c r="A143" s="232"/>
      <c r="B143" s="88" t="s">
        <v>8336</v>
      </c>
      <c r="C143" s="88" t="s">
        <v>6348</v>
      </c>
      <c r="D143" s="364" t="s">
        <v>8337</v>
      </c>
      <c r="E143" s="149"/>
      <c r="F143" s="149"/>
      <c r="G143" s="149"/>
      <c r="H143" s="149"/>
      <c r="I143" s="150"/>
      <c r="K143" s="232">
        <f t="shared" si="22"/>
        <v>0</v>
      </c>
    </row>
    <row r="144" spans="1:13" s="87" customFormat="1" ht="25.5">
      <c r="A144" s="232" t="s">
        <v>4543</v>
      </c>
      <c r="B144" s="324" t="s">
        <v>8338</v>
      </c>
      <c r="C144" s="324" t="s">
        <v>8353</v>
      </c>
      <c r="D144" s="451" t="str">
        <f>IF(A144="SERVIÇO",VLOOKUP(C144,SERVIÇOS!$A$6:$D$7645,2,0),IF(A144="INSUMO",VLOOKUP(C144,INSUMOS!$A$6:$D$6961,2,0),IF('036.01-20-SERV. GERAIS'!A144="COTAÇÃO",VLOOKUP('036.01-20-SERV. GERAIS'!C144,'036-20-Cotação'!$A$9:$G$529,2,0),IF('036.01-20-SERV. GERAIS'!A144="CCU",VLOOKUP('036.01-20-SERV. GERAIS'!C144,'036-20-CCU''s'!$B$9:$H$1962,2,0)))))</f>
        <v>REMOÇÃO DA COLMATAÇÃO DAS FISSURAS COM UTILIZAÇÃO DE LIXAMENTO MECÂNICO</v>
      </c>
      <c r="E144" s="452" t="str">
        <f>IF(A144="SERVIÇO",VLOOKUP(C144,SERVIÇOS!$A$6:$D$7645,3,0),IF(A144="INSUMO",VLOOKUP(C144,INSUMOS!$A$6:$D$6961,3,0),IF('036.01-20-SERV. GERAIS'!A144="COTAÇÃO",VLOOKUP('036.01-20-SERV. GERAIS'!C144,'036-20-Cotação'!$A$9:$G$529,4,0),IF('036.01-20-SERV. GERAIS'!A144="CCU",VLOOKUP('036.01-20-SERV. GERAIS'!C144,'036-20-CCU''s'!$B$9:$H$1962,4,0)))))</f>
        <v>M2</v>
      </c>
      <c r="F144" s="453">
        <v>215.04</v>
      </c>
      <c r="G144" s="534">
        <f>IF(A144="SERVIÇO",VLOOKUP(C144,SERVIÇOS!$A$6:$D$7645,4,0),IF(A144="INSUMO",VLOOKUP(C144,INSUMOS!$A$6:$D$6961,4,0),IF('036.01-20-SERV. GERAIS'!A144="COTAÇÃO",VLOOKUP('036.01-20-SERV. GERAIS'!C144,'036-20-Cotação'!$A$9:$G$529,3,0),IF('036.01-20-SERV. GERAIS'!A144="CCU",VLOOKUP('036.01-20-SERV. GERAIS'!C144,'036-20-CCU''s'!$B$9:$H$1962,7,0)))))</f>
        <v>10.675561999999999</v>
      </c>
      <c r="H144" s="528">
        <f>BDI_O.A.E!$H$22</f>
        <v>0.18201100192553743</v>
      </c>
      <c r="I144" s="535">
        <f t="shared" ref="I144:I145" si="43">F144*(G144*(1+H144))</f>
        <v>2713.5105684531409</v>
      </c>
      <c r="K144" s="232">
        <f t="shared" si="22"/>
        <v>2713.5105684531409</v>
      </c>
    </row>
    <row r="145" spans="1:13" s="87" customFormat="1" ht="51">
      <c r="A145" s="232" t="s">
        <v>4543</v>
      </c>
      <c r="B145" s="324" t="s">
        <v>8339</v>
      </c>
      <c r="C145" s="324" t="s">
        <v>8354</v>
      </c>
      <c r="D145" s="451" t="str">
        <f>IF(A145="SERVIÇO",VLOOKUP(C145,SERVIÇOS!$A$6:$D$7645,2,0),IF(A145="INSUMO",VLOOKUP(C145,INSUMOS!$A$6:$D$6961,2,0),IF('036.01-20-SERV. GERAIS'!A145="COTAÇÃO",VLOOKUP('036.01-20-SERV. GERAIS'!C145,'036-20-Cotação'!$A$9:$G$529,2,0),IF('036.01-20-SERV. GERAIS'!A145="CCU",VLOOKUP('036.01-20-SERV. GERAIS'!C145,'036-20-CCU''s'!$B$9:$H$1962,2,0)))))</f>
        <v>REGULARIZAÇÃO DE SUPERFÍCIE DE CONCRETO COM ARGAMASSA POLIMÉRICA - REF: MC ZENTRIFIX CR OU EQUIVALENTE TÉCNICO.</v>
      </c>
      <c r="E145" s="452" t="str">
        <f>IF(A145="SERVIÇO",VLOOKUP(C145,SERVIÇOS!$A$6:$D$7645,3,0),IF(A145="INSUMO",VLOOKUP(C145,INSUMOS!$A$6:$D$6961,3,0),IF('036.01-20-SERV. GERAIS'!A145="COTAÇÃO",VLOOKUP('036.01-20-SERV. GERAIS'!C145,'036-20-Cotação'!$A$9:$G$529,4,0),IF('036.01-20-SERV. GERAIS'!A145="CCU",VLOOKUP('036.01-20-SERV. GERAIS'!C145,'036-20-CCU''s'!$B$9:$H$1962,4,0)))))</f>
        <v>M2</v>
      </c>
      <c r="F145" s="453">
        <v>215.04</v>
      </c>
      <c r="G145" s="534">
        <f>IF(A145="SERVIÇO",VLOOKUP(C145,SERVIÇOS!$A$6:$D$7645,4,0),IF(A145="INSUMO",VLOOKUP(C145,INSUMOS!$A$6:$D$6961,4,0),IF('036.01-20-SERV. GERAIS'!A145="COTAÇÃO",VLOOKUP('036.01-20-SERV. GERAIS'!C145,'036-20-Cotação'!$A$9:$G$529,3,0),IF('036.01-20-SERV. GERAIS'!A145="CCU",VLOOKUP('036.01-20-SERV. GERAIS'!C145,'036-20-CCU''s'!$B$9:$H$1962,7,0)))))</f>
        <v>31.925548914328647</v>
      </c>
      <c r="H145" s="528">
        <f>BDI_O.A.E!$H$22</f>
        <v>0.18201100192553743</v>
      </c>
      <c r="I145" s="535">
        <f t="shared" si="43"/>
        <v>8114.8247167407671</v>
      </c>
      <c r="K145" s="232">
        <f t="shared" si="22"/>
        <v>8114.8247167407671</v>
      </c>
    </row>
    <row r="146" spans="1:13" s="87" customFormat="1">
      <c r="A146" s="232"/>
      <c r="B146" s="88" t="s">
        <v>8349</v>
      </c>
      <c r="C146" s="88" t="s">
        <v>6348</v>
      </c>
      <c r="D146" s="364" t="s">
        <v>8362</v>
      </c>
      <c r="E146" s="149"/>
      <c r="F146" s="149"/>
      <c r="G146" s="149"/>
      <c r="H146" s="149"/>
      <c r="I146" s="150"/>
      <c r="K146" s="232">
        <f t="shared" ref="K146:K219" si="44">F146*(G146*(1+H146))</f>
        <v>0</v>
      </c>
    </row>
    <row r="147" spans="1:13" s="87" customFormat="1" ht="51">
      <c r="A147" s="232" t="s">
        <v>4543</v>
      </c>
      <c r="B147" s="324" t="s">
        <v>8350</v>
      </c>
      <c r="C147" s="324" t="s">
        <v>7411</v>
      </c>
      <c r="D147" s="451" t="str">
        <f>IF(A147="SERVIÇO",VLOOKUP(C147,SERVIÇOS!$A$6:$D$7645,2,0),IF(A147="INSUMO",VLOOKUP(C147,INSUMOS!$A$6:$D$6961,2,0),IF('036.01-20-SERV. GERAIS'!A147="COTAÇÃO",VLOOKUP('036.01-20-SERV. GERAIS'!C147,'036-20-Cotação'!$A$9:$G$529,2,0),IF('036.01-20-SERV. GERAIS'!A147="CCU",VLOOKUP('036.01-20-SERV. GERAIS'!C147,'036-20-CCU''s'!$B$9:$H$1962,2,0)))))</f>
        <v>TRANSPORTE HORIZONTAL COM CARRINHO PLATAFORMA DE MATERIAIS PARA INJEÇÃO DE FISSURAS E ADITIVOS CRISTALIZANTES ATÉ 200M</v>
      </c>
      <c r="E147" s="452" t="str">
        <f>IF(A147="SERVIÇO",VLOOKUP(C147,SERVIÇOS!$A$6:$D$7645,3,0),IF(A147="INSUMO",VLOOKUP(C147,INSUMOS!$A$6:$D$6961,3,0),IF('036.01-20-SERV. GERAIS'!A147="COTAÇÃO",VLOOKUP('036.01-20-SERV. GERAIS'!C147,'036-20-Cotação'!$A$9:$G$529,4,0),IF('036.01-20-SERV. GERAIS'!A147="CCU",VLOOKUP('036.01-20-SERV. GERAIS'!C147,'036-20-CCU''s'!$B$9:$H$1962,4,0)))))</f>
        <v>KGXKM</v>
      </c>
      <c r="F147" s="453">
        <f>9373.46*0.2</f>
        <v>1874.692</v>
      </c>
      <c r="G147" s="534">
        <f>IF(A147="SERVIÇO",VLOOKUP(C147,SERVIÇOS!$A$6:$D$7645,4,0),IF(A147="INSUMO",VLOOKUP(C147,INSUMOS!$A$6:$D$6961,4,0),IF('036.01-20-SERV. GERAIS'!A147="COTAÇÃO",VLOOKUP('036.01-20-SERV. GERAIS'!C147,'036-20-Cotação'!$A$9:$G$529,3,0),IF('036.01-20-SERV. GERAIS'!A147="CCU",VLOOKUP('036.01-20-SERV. GERAIS'!C147,'036-20-CCU''s'!$B$9:$H$1962,7,0)))))</f>
        <v>0.20016</v>
      </c>
      <c r="H147" s="528">
        <f>BDI_O.A.E!$H$22</f>
        <v>0.18201100192553743</v>
      </c>
      <c r="I147" s="535">
        <f>F147*(G147*(1+H147))</f>
        <v>443.53585889543342</v>
      </c>
      <c r="K147" s="232">
        <f t="shared" si="44"/>
        <v>443.53585889543342</v>
      </c>
    </row>
    <row r="148" spans="1:13" s="87" customFormat="1">
      <c r="A148" s="232"/>
      <c r="B148" s="88" t="s">
        <v>13485</v>
      </c>
      <c r="C148" s="88" t="s">
        <v>6348</v>
      </c>
      <c r="D148" s="364" t="s">
        <v>13488</v>
      </c>
      <c r="E148" s="152"/>
      <c r="F148" s="152"/>
      <c r="G148" s="152"/>
      <c r="H148" s="152"/>
      <c r="I148" s="153"/>
      <c r="K148" s="232">
        <f>F148*(G148*(1+H148))</f>
        <v>0</v>
      </c>
    </row>
    <row r="149" spans="1:13" s="87" customFormat="1" ht="25.5">
      <c r="A149" s="232" t="s">
        <v>4543</v>
      </c>
      <c r="B149" s="324" t="s">
        <v>13486</v>
      </c>
      <c r="C149" s="324">
        <v>5914640</v>
      </c>
      <c r="D149" s="451" t="str">
        <f>IF(A149="SERVIÇO",VLOOKUP(C149,SERVIÇOS!$A$6:$D$7645,2,0),IF(A149="INSUMO",VLOOKUP(C149,INSUMOS!$A$6:$D$6961,2,0),IF('036.01-20-SERV. GERAIS'!A149="COTAÇÃO",VLOOKUP('036.01-20-SERV. GERAIS'!C149,'036-20-Cotação'!$A$9:$G$529,2,0),IF('036.01-20-SERV. GERAIS'!A149="CCU",VLOOKUP('036.01-20-SERV. GERAIS'!C149,'036-20-CCU''s'!$B$9:$H$1962,2,0)))))</f>
        <v>TRANSPORTE COM CAVALO MECÂNICO DE 30 T - RODOVIA PAVIMENTADA</v>
      </c>
      <c r="E149" s="452" t="str">
        <f>IF(A149="SERVIÇO",VLOOKUP(C149,SERVIÇOS!$A$6:$D$7645,3,0),IF(A149="INSUMO",VLOOKUP(C149,INSUMOS!$A$6:$D$6961,3,0),IF('036.01-20-SERV. GERAIS'!A149="COTAÇÃO",VLOOKUP('036.01-20-SERV. GERAIS'!C149,'036-20-Cotação'!$A$9:$G$529,4,0),IF('036.01-20-SERV. GERAIS'!A149="CCU",VLOOKUP('036.01-20-SERV. GERAIS'!C149,'036-20-CCU''s'!$B$9:$H$1962,4,0)))))</f>
        <v>T.KM</v>
      </c>
      <c r="F149" s="453">
        <f>27.17*1014</f>
        <v>27550.38</v>
      </c>
      <c r="G149" s="534">
        <f>IF(A149="SERVIÇO",VLOOKUP(C149,SERVIÇOS!$A$6:$D$7645,4,0),IF(A149="INSUMO",VLOOKUP(C149,INSUMOS!$A$6:$D$6961,4,0),IF('036.01-20-SERV. GERAIS'!A149="COTAÇÃO",VLOOKUP('036.01-20-SERV. GERAIS'!C149,'036-20-Cotação'!$A$9:$G$529,3,0),IF('036.01-20-SERV. GERAIS'!A149="CCU",VLOOKUP('036.01-20-SERV. GERAIS'!C149,'036-20-CCU''s'!$B$9:$H$1962,7,0)))))</f>
        <v>0.31865663998274985</v>
      </c>
      <c r="H149" s="528">
        <f>BDI_O.A.E!$H$22</f>
        <v>0.18201100192553743</v>
      </c>
      <c r="I149" s="535">
        <f>F149*(G149*(1+H149))</f>
        <v>10377.006405009919</v>
      </c>
      <c r="K149" s="232">
        <f>F149*(G149*(1+H149))</f>
        <v>10377.006405009919</v>
      </c>
      <c r="M149" s="87" t="s">
        <v>7869</v>
      </c>
    </row>
    <row r="150" spans="1:13" s="87" customFormat="1" ht="76.5">
      <c r="A150" s="232" t="s">
        <v>4543</v>
      </c>
      <c r="B150" s="324" t="s">
        <v>13487</v>
      </c>
      <c r="C150" s="324" t="s">
        <v>8224</v>
      </c>
      <c r="D150" s="451" t="str">
        <f>IF(A150="SERVIÇO",VLOOKUP(C150,SERVIÇOS!$A$6:$D$7645,2,0),IF(A150="INSUMO",VLOOKUP(C150,INSUMOS!$A$6:$D$6961,2,0),IF('036.01-20-SERV. GERAIS'!A150="COTAÇÃO",VLOOKUP('036.01-20-SERV. GERAIS'!C150,'036-20-Cotação'!$A$9:$G$529,2,0),IF('036.01-20-SERV. GERAIS'!A150="CCU",VLOOKUP('036.01-20-SERV. GERAIS'!C150,'036-20-CCU''s'!$B$9:$H$1962,2,0)))))</f>
        <v xml:space="preserve">DESPESAS COM PEDÁGIO PARA TRANSPORTE DOS MATERIAIS DE PROTENSÃO E RECUPERAÇÃO ESTRUTURAL DE SÃO PAULO PARA BRASÍLIA. EXCLUSO CP-177. BR-040, BR-050 E BANDEIRANTES. DUAS CARRETAS IDA (5 EIXOS) E VOLTA (4 EIXOS). </v>
      </c>
      <c r="E150" s="452" t="str">
        <f>IF(A150="SERVIÇO",VLOOKUP(C150,SERVIÇOS!$A$6:$D$7645,3,0),IF(A150="INSUMO",VLOOKUP(C150,INSUMOS!$A$6:$D$6961,3,0),IF('036.01-20-SERV. GERAIS'!A150="COTAÇÃO",VLOOKUP('036.01-20-SERV. GERAIS'!C150,'036-20-Cotação'!$A$9:$G$529,4,0),IF('036.01-20-SERV. GERAIS'!A150="CCU",VLOOKUP('036.01-20-SERV. GERAIS'!C150,'036-20-CCU''s'!$B$9:$H$1962,4,0)))))</f>
        <v xml:space="preserve">UN    </v>
      </c>
      <c r="F150" s="453">
        <v>1</v>
      </c>
      <c r="G150" s="534">
        <f>IF(A150="SERVIÇO",VLOOKUP(C150,SERVIÇOS!$A$6:$D$7645,4,0),IF(A150="INSUMO",VLOOKUP(C150,INSUMOS!$A$6:$D$6961,4,0),IF('036.01-20-SERV. GERAIS'!A150="COTAÇÃO",VLOOKUP('036.01-20-SERV. GERAIS'!C150,'036-20-Cotação'!$A$9:$G$529,3,0),IF('036.01-20-SERV. GERAIS'!A150="CCU",VLOOKUP('036.01-20-SERV. GERAIS'!C150,'036-20-CCU''s'!$B$9:$H$1962,7,0)))))</f>
        <v>642.6</v>
      </c>
      <c r="H150" s="528">
        <f>BDI_O.A.E!$H$22</f>
        <v>0.18201100192553743</v>
      </c>
      <c r="I150" s="535">
        <f>F150*(G150*(1+H150))</f>
        <v>759.56026983735035</v>
      </c>
      <c r="K150" s="232">
        <f>F150*(G150*(1+H150))</f>
        <v>759.56026983735035</v>
      </c>
    </row>
    <row r="151" spans="1:13" s="87" customFormat="1">
      <c r="A151" s="232"/>
      <c r="B151" s="88" t="s">
        <v>7514</v>
      </c>
      <c r="C151" s="88" t="s">
        <v>6348</v>
      </c>
      <c r="D151" s="148" t="s">
        <v>8058</v>
      </c>
      <c r="E151" s="149"/>
      <c r="F151" s="149"/>
      <c r="G151" s="149"/>
      <c r="H151" s="149"/>
      <c r="I151" s="150"/>
      <c r="K151" s="232">
        <f t="shared" si="44"/>
        <v>0</v>
      </c>
    </row>
    <row r="152" spans="1:13" s="87" customFormat="1">
      <c r="A152" s="232"/>
      <c r="B152" s="88" t="s">
        <v>8057</v>
      </c>
      <c r="C152" s="88" t="s">
        <v>6348</v>
      </c>
      <c r="D152" s="148" t="s">
        <v>8111</v>
      </c>
      <c r="E152" s="149"/>
      <c r="F152" s="149"/>
      <c r="G152" s="149"/>
      <c r="H152" s="149"/>
      <c r="I152" s="150"/>
      <c r="K152" s="232">
        <f t="shared" si="44"/>
        <v>0</v>
      </c>
    </row>
    <row r="153" spans="1:13" s="87" customFormat="1" ht="38.25">
      <c r="A153" s="232" t="s">
        <v>4543</v>
      </c>
      <c r="B153" s="324" t="s">
        <v>8059</v>
      </c>
      <c r="C153" s="324" t="s">
        <v>7415</v>
      </c>
      <c r="D153" s="451" t="str">
        <f>IF(A153="SERVIÇO",VLOOKUP(C153,SERVIÇOS!$A$6:$D$7645,2,0),IF(A153="INSUMO",VLOOKUP(C153,INSUMOS!$A$6:$D$6961,2,0),IF('036.01-20-SERV. GERAIS'!A153="COTAÇÃO",VLOOKUP('036.01-20-SERV. GERAIS'!C153,'036-20-Cotação'!$A$9:$G$529,2,0),IF('036.01-20-SERV. GERAIS'!A153="CCU",VLOOKUP('036.01-20-SERV. GERAIS'!C153,'036-20-CCU''s'!$B$9:$H$1962,2,0)))))</f>
        <v>REMOÇÃO DE APARELHO DE APOIO METÁLICO INCLUSIVE APOIO NÁUTICO - EXECUÇÃO</v>
      </c>
      <c r="E153" s="452" t="str">
        <f>IF(A153="SERVIÇO",VLOOKUP(C153,SERVIÇOS!$A$6:$D$7645,3,0),IF(A153="INSUMO",VLOOKUP(C153,INSUMOS!$A$6:$D$6961,3,0),IF('036.01-20-SERV. GERAIS'!A153="COTAÇÃO",VLOOKUP('036.01-20-SERV. GERAIS'!C153,'036-20-Cotação'!$A$9:$G$529,4,0),IF('036.01-20-SERV. GERAIS'!A153="CCU",VLOOKUP('036.01-20-SERV. GERAIS'!C153,'036-20-CCU''s'!$B$9:$H$1962,4,0)))))</f>
        <v xml:space="preserve">UN    </v>
      </c>
      <c r="F153" s="453">
        <v>28</v>
      </c>
      <c r="G153" s="534">
        <f>IF(A153="SERVIÇO",VLOOKUP(C153,SERVIÇOS!$A$6:$D$7645,4,0),IF(A153="INSUMO",VLOOKUP(C153,INSUMOS!$A$6:$D$6961,4,0),IF('036.01-20-SERV. GERAIS'!A153="COTAÇÃO",VLOOKUP('036.01-20-SERV. GERAIS'!C153,'036-20-Cotação'!$A$9:$G$529,3,0),IF('036.01-20-SERV. GERAIS'!A153="CCU",VLOOKUP('036.01-20-SERV. GERAIS'!C153,'036-20-CCU''s'!$B$9:$H$1962,7,0)))))</f>
        <v>411.53178618620638</v>
      </c>
      <c r="H153" s="528">
        <f>BDI_O.A.E!$H$22</f>
        <v>0.18201100192553743</v>
      </c>
      <c r="I153" s="535">
        <f>F153*(G153*(1+H153))</f>
        <v>13620.182769596588</v>
      </c>
      <c r="K153" s="232">
        <f t="shared" si="44"/>
        <v>13620.182769596588</v>
      </c>
    </row>
    <row r="154" spans="1:13" s="87" customFormat="1" ht="51">
      <c r="A154" s="232" t="s">
        <v>4543</v>
      </c>
      <c r="B154" s="324" t="s">
        <v>8060</v>
      </c>
      <c r="C154" s="324">
        <v>5915373</v>
      </c>
      <c r="D154" s="451" t="str">
        <f>IF(A154="SERVIÇO",VLOOKUP(C154,SERVIÇOS!$A$6:$D$7645,2,0),IF(A154="INSUMO",VLOOKUP(C154,INSUMOS!$A$6:$D$6961,2,0),IF('036.01-20-SERV. GERAIS'!A154="COTAÇÃO",VLOOKUP('036.01-20-SERV. GERAIS'!C154,'036-20-Cotação'!$A$9:$G$529,2,0),IF('036.01-20-SERV. GERAIS'!A154="CCU",VLOOKUP('036.01-20-SERV. GERAIS'!C154,'036-20-CCU''s'!$B$9:$H$1962,2,0)))))</f>
        <v>CARGA, MANOBRA E DESCARGA DE MATERIAIS DIVERSOS EM CAMINHÃO CARROCERIA COM GUINDAUTO COM CAPACIDADE DE 20 T.M</v>
      </c>
      <c r="E154" s="452" t="str">
        <f>IF(A154="SERVIÇO",VLOOKUP(C154,SERVIÇOS!$A$6:$D$7645,3,0),IF(A154="INSUMO",VLOOKUP(C154,INSUMOS!$A$6:$D$6961,3,0),IF('036.01-20-SERV. GERAIS'!A154="COTAÇÃO",VLOOKUP('036.01-20-SERV. GERAIS'!C154,'036-20-Cotação'!$A$9:$G$529,4,0),IF('036.01-20-SERV. GERAIS'!A154="CCU",VLOOKUP('036.01-20-SERV. GERAIS'!C154,'036-20-CCU''s'!$B$9:$H$1962,4,0)))))</f>
        <v>T</v>
      </c>
      <c r="F154" s="453">
        <f>4004/1000</f>
        <v>4.0039999999999996</v>
      </c>
      <c r="G154" s="534">
        <f>IF(A154="SERVIÇO",VLOOKUP(C154,SERVIÇOS!$A$6:$D$7645,4,0),IF(A154="INSUMO",VLOOKUP(C154,INSUMOS!$A$6:$D$6961,4,0),IF('036.01-20-SERV. GERAIS'!A154="COTAÇÃO",VLOOKUP('036.01-20-SERV. GERAIS'!C154,'036-20-Cotação'!$A$9:$G$529,3,0),IF('036.01-20-SERV. GERAIS'!A154="CCU",VLOOKUP('036.01-20-SERV. GERAIS'!C154,'036-20-CCU''s'!$B$9:$H$1962,7,0)))))</f>
        <v>9.3722463139635721</v>
      </c>
      <c r="H154" s="528">
        <f>BDI_O.A.E!$H$22</f>
        <v>0.18201100192553743</v>
      </c>
      <c r="I154" s="535">
        <f>F154*(G154*(1+H154))</f>
        <v>44.35670541646747</v>
      </c>
      <c r="K154" s="232">
        <f t="shared" si="44"/>
        <v>44.35670541646747</v>
      </c>
    </row>
    <row r="155" spans="1:13" s="87" customFormat="1" ht="25.5">
      <c r="A155" s="232" t="s">
        <v>4543</v>
      </c>
      <c r="B155" s="324" t="s">
        <v>8061</v>
      </c>
      <c r="C155" s="324">
        <v>5914434</v>
      </c>
      <c r="D155" s="451" t="str">
        <f>IF(A155="SERVIÇO",VLOOKUP(C155,SERVIÇOS!$A$6:$D$7645,2,0),IF(A155="INSUMO",VLOOKUP(C155,INSUMOS!$A$6:$D$6961,2,0),IF('036.01-20-SERV. GERAIS'!A155="COTAÇÃO",VLOOKUP('036.01-20-SERV. GERAIS'!C155,'036-20-Cotação'!$A$9:$G$529,2,0),IF('036.01-20-SERV. GERAIS'!A155="CCU",VLOOKUP('036.01-20-SERV. GERAIS'!C155,'036-20-CCU''s'!$B$9:$H$1962,2,0)))))</f>
        <v>TRANSPORTE COM CAMINHÃO CARROCERIA DE 9 T - RODOVIA PAVIMENTADA</v>
      </c>
      <c r="E155" s="452" t="str">
        <f>IF(A155="SERVIÇO",VLOOKUP(C155,SERVIÇOS!$A$6:$D$7645,3,0),IF(A155="INSUMO",VLOOKUP(C155,INSUMOS!$A$6:$D$6961,3,0),IF('036.01-20-SERV. GERAIS'!A155="COTAÇÃO",VLOOKUP('036.01-20-SERV. GERAIS'!C155,'036-20-Cotação'!$A$9:$G$529,4,0),IF('036.01-20-SERV. GERAIS'!A155="CCU",VLOOKUP('036.01-20-SERV. GERAIS'!C155,'036-20-CCU''s'!$B$9:$H$1962,4,0)))))</f>
        <v>T.KM</v>
      </c>
      <c r="F155" s="453">
        <f>F154*20</f>
        <v>80.079999999999984</v>
      </c>
      <c r="G155" s="534">
        <f>IF(A155="SERVIÇO",VLOOKUP(C155,SERVIÇOS!$A$6:$D$7645,4,0),IF(A155="INSUMO",VLOOKUP(C155,INSUMOS!$A$6:$D$6961,4,0),IF('036.01-20-SERV. GERAIS'!A155="COTAÇÃO",VLOOKUP('036.01-20-SERV. GERAIS'!C155,'036-20-Cotação'!$A$9:$G$529,3,0),IF('036.01-20-SERV. GERAIS'!A155="CCU",VLOOKUP('036.01-20-SERV. GERAIS'!C155,'036-20-CCU''s'!$B$9:$H$1962,7,0)))))</f>
        <v>0.48409103078982602</v>
      </c>
      <c r="H155" s="528">
        <f>BDI_O.A.E!$H$22</f>
        <v>0.18201100192553743</v>
      </c>
      <c r="I155" s="535">
        <f>F155*(G155*(1+H155))</f>
        <v>45.821850020110027</v>
      </c>
      <c r="K155" s="232">
        <f t="shared" si="44"/>
        <v>45.821850020110027</v>
      </c>
      <c r="M155" s="223" t="s">
        <v>7864</v>
      </c>
    </row>
    <row r="156" spans="1:13" s="87" customFormat="1">
      <c r="A156" s="232"/>
      <c r="B156" s="88" t="s">
        <v>8113</v>
      </c>
      <c r="C156" s="88" t="s">
        <v>6348</v>
      </c>
      <c r="D156" s="151" t="s">
        <v>8220</v>
      </c>
      <c r="E156" s="152"/>
      <c r="F156" s="152"/>
      <c r="G156" s="152"/>
      <c r="H156" s="152"/>
      <c r="I156" s="153"/>
      <c r="K156" s="232">
        <f t="shared" si="44"/>
        <v>0</v>
      </c>
    </row>
    <row r="157" spans="1:13" s="87" customFormat="1" ht="38.25">
      <c r="A157" s="232" t="s">
        <v>4543</v>
      </c>
      <c r="B157" s="324" t="s">
        <v>8114</v>
      </c>
      <c r="C157" s="324" t="s">
        <v>7416</v>
      </c>
      <c r="D157" s="451" t="str">
        <f>IF(A157="SERVIÇO",VLOOKUP(C157,SERVIÇOS!$A$6:$D$7645,2,0),IF(A157="INSUMO",VLOOKUP(C157,INSUMOS!$A$6:$D$6961,2,0),IF('036.01-20-SERV. GERAIS'!A157="COTAÇÃO",VLOOKUP('036.01-20-SERV. GERAIS'!C157,'036-20-Cotação'!$A$9:$G$529,2,0),IF('036.01-20-SERV. GERAIS'!A157="CCU",VLOOKUP('036.01-20-SERV. GERAIS'!C157,'036-20-CCU''s'!$B$9:$H$1962,2,0)))))</f>
        <v>BERÇO METÁLICO PARA OS APARELHOS DE APOIO CONFORME PROJETO BÁSICO - EXECUÇÃO E INSTALAÇÃO</v>
      </c>
      <c r="E157" s="452" t="str">
        <f>IF(A157="SERVIÇO",VLOOKUP(C157,SERVIÇOS!$A$6:$D$7645,3,0),IF(A157="INSUMO",VLOOKUP(C157,INSUMOS!$A$6:$D$6961,3,0),IF('036.01-20-SERV. GERAIS'!A157="COTAÇÃO",VLOOKUP('036.01-20-SERV. GERAIS'!C157,'036-20-Cotação'!$A$9:$G$529,4,0),IF('036.01-20-SERV. GERAIS'!A157="CCU",VLOOKUP('036.01-20-SERV. GERAIS'!C157,'036-20-CCU''s'!$B$9:$H$1962,4,0)))))</f>
        <v xml:space="preserve">UN    </v>
      </c>
      <c r="F157" s="453">
        <v>28</v>
      </c>
      <c r="G157" s="534">
        <f>IF(A157="SERVIÇO",VLOOKUP(C157,SERVIÇOS!$A$6:$D$7645,4,0),IF(A157="INSUMO",VLOOKUP(C157,INSUMOS!$A$6:$D$6961,4,0),IF('036.01-20-SERV. GERAIS'!A157="COTAÇÃO",VLOOKUP('036.01-20-SERV. GERAIS'!C157,'036-20-Cotação'!$A$9:$G$529,3,0),IF('036.01-20-SERV. GERAIS'!A157="CCU",VLOOKUP('036.01-20-SERV. GERAIS'!C157,'036-20-CCU''s'!$B$9:$H$1962,7,0)))))</f>
        <v>14532.625077863613</v>
      </c>
      <c r="H157" s="528">
        <f>BDI_O.A.E!$H$22</f>
        <v>0.18201100192553743</v>
      </c>
      <c r="I157" s="535">
        <f>F157*(G157*(1+H157))</f>
        <v>480976.23640902532</v>
      </c>
      <c r="K157" s="232">
        <f t="shared" si="44"/>
        <v>480976.23640902532</v>
      </c>
    </row>
    <row r="158" spans="1:13" s="223" customFormat="1" ht="25.5">
      <c r="A158" s="232" t="s">
        <v>4543</v>
      </c>
      <c r="B158" s="324" t="s">
        <v>8213</v>
      </c>
      <c r="C158" s="324">
        <v>2408070</v>
      </c>
      <c r="D158" s="451" t="str">
        <f>IF(A158="SERVIÇO",VLOOKUP(C158,SERVIÇOS!$A$6:$D$7645,2,0),IF(A158="INSUMO",VLOOKUP(C158,INSUMOS!$A$6:$D$6961,2,0),IF('036.01-20-SERV. GERAIS'!A158="COTAÇÃO",VLOOKUP('036.01-20-SERV. GERAIS'!C158,'036-20-Cotação'!$A$9:$G$529,2,0),IF('036.01-20-SERV. GERAIS'!A158="CCU",VLOOKUP('036.01-20-SERV. GERAIS'!C158,'036-20-CCU''s'!$B$9:$H$1962,2,0)))))</f>
        <v>PINTURA EPOXI EM CHAPA DE AÇO COM PISTOLA A AR COMPRIMIDO</v>
      </c>
      <c r="E158" s="452" t="str">
        <f>IF(A158="SERVIÇO",VLOOKUP(C158,SERVIÇOS!$A$6:$D$7645,3,0),IF(A158="INSUMO",VLOOKUP(C158,INSUMOS!$A$6:$D$6961,3,0),IF('036.01-20-SERV. GERAIS'!A158="COTAÇÃO",VLOOKUP('036.01-20-SERV. GERAIS'!C158,'036-20-Cotação'!$A$9:$G$529,4,0),IF('036.01-20-SERV. GERAIS'!A158="CCU",VLOOKUP('036.01-20-SERV. GERAIS'!C158,'036-20-CCU''s'!$B$9:$H$1962,4,0)))))</f>
        <v>M2</v>
      </c>
      <c r="F158" s="537">
        <v>269.22000000000003</v>
      </c>
      <c r="G158" s="534">
        <f>IF(A158="SERVIÇO",VLOOKUP(C158,SERVIÇOS!$A$6:$D$7645,4,0),IF(A158="INSUMO",VLOOKUP(C158,INSUMOS!$A$6:$D$6961,4,0),IF('036.01-20-SERV. GERAIS'!A158="COTAÇÃO",VLOOKUP('036.01-20-SERV. GERAIS'!C158,'036-20-Cotação'!$A$9:$G$529,3,0),IF('036.01-20-SERV. GERAIS'!A158="CCU",VLOOKUP('036.01-20-SERV. GERAIS'!C158,'036-20-CCU''s'!$B$9:$H$1962,7,0)))))</f>
        <v>13.551773260592439</v>
      </c>
      <c r="H158" s="528">
        <f>BDI_O.A.E!$H$22</f>
        <v>0.18201100192553743</v>
      </c>
      <c r="I158" s="535">
        <f t="shared" ref="I158" si="45">F158*(G158*(1+H158))</f>
        <v>4312.4588650276528</v>
      </c>
      <c r="K158" s="232">
        <f t="shared" si="44"/>
        <v>4312.4588650276528</v>
      </c>
    </row>
    <row r="159" spans="1:13" s="87" customFormat="1">
      <c r="A159" s="232"/>
      <c r="B159" s="88" t="s">
        <v>8117</v>
      </c>
      <c r="C159" s="88" t="s">
        <v>6348</v>
      </c>
      <c r="D159" s="215" t="s">
        <v>8533</v>
      </c>
      <c r="E159" s="152"/>
      <c r="F159" s="152"/>
      <c r="G159" s="152"/>
      <c r="H159" s="152"/>
      <c r="I159" s="153"/>
      <c r="K159" s="232">
        <f t="shared" si="44"/>
        <v>0</v>
      </c>
    </row>
    <row r="160" spans="1:13" s="87" customFormat="1" ht="51">
      <c r="A160" s="232" t="s">
        <v>4543</v>
      </c>
      <c r="B160" s="324" t="s">
        <v>8118</v>
      </c>
      <c r="C160" s="324" t="s">
        <v>8120</v>
      </c>
      <c r="D160" s="451" t="str">
        <f>IF(A160="SERVIÇO",VLOOKUP(C160,SERVIÇOS!$A$6:$D$7645,2,0),IF(A160="INSUMO",VLOOKUP(C160,INSUMOS!$A$6:$D$6961,2,0),IF('036.01-20-SERV. GERAIS'!A160="COTAÇÃO",VLOOKUP('036.01-20-SERV. GERAIS'!C160,'036-20-Cotação'!$A$9:$G$529,2,0),IF('036.01-20-SERV. GERAIS'!A160="CCU",VLOOKUP('036.01-20-SERV. GERAIS'!C160,'036-20-CCU''s'!$B$9:$H$1962,2,0)))))</f>
        <v>APARELHO DE APOIO ESPECIAL (VASOFLON), TIPO ARTICULAÇÃO MÓVEL, MODELO VU-350, COM CAPACIDADE DE 3500 KN. FORNECIMENTO</v>
      </c>
      <c r="E160" s="452" t="str">
        <f>IF(A160="SERVIÇO",VLOOKUP(C160,SERVIÇOS!$A$6:$D$7645,3,0),IF(A160="INSUMO",VLOOKUP(C160,INSUMOS!$A$6:$D$6961,3,0),IF('036.01-20-SERV. GERAIS'!A160="COTAÇÃO",VLOOKUP('036.01-20-SERV. GERAIS'!C160,'036-20-Cotação'!$A$9:$G$529,4,0),IF('036.01-20-SERV. GERAIS'!A160="CCU",VLOOKUP('036.01-20-SERV. GERAIS'!C160,'036-20-CCU''s'!$B$9:$H$1962,4,0)))))</f>
        <v xml:space="preserve">UN    </v>
      </c>
      <c r="F160" s="453">
        <v>2</v>
      </c>
      <c r="G160" s="534">
        <f>IF(A160="SERVIÇO",VLOOKUP(C160,SERVIÇOS!$A$6:$D$7645,4,0),IF(A160="INSUMO",VLOOKUP(C160,INSUMOS!$A$6:$D$6961,4,0),IF('036.01-20-SERV. GERAIS'!A160="COTAÇÃO",VLOOKUP('036.01-20-SERV. GERAIS'!C160,'036-20-Cotação'!$A$9:$G$529,3,0),IF('036.01-20-SERV. GERAIS'!A160="CCU",VLOOKUP('036.01-20-SERV. GERAIS'!C160,'036-20-CCU''s'!$B$9:$H$1962,7,0)))))</f>
        <v>10583.92081194767</v>
      </c>
      <c r="H160" s="528">
        <f>BDI_Equipamentos!$H$22</f>
        <v>0.10890619719771655</v>
      </c>
      <c r="I160" s="535">
        <f>F160*(G160*(1+H160))</f>
        <v>23473.150758037318</v>
      </c>
      <c r="K160" s="232">
        <f t="shared" si="44"/>
        <v>23473.150758037318</v>
      </c>
    </row>
    <row r="161" spans="1:11" s="87" customFormat="1" ht="38.25">
      <c r="A161" s="232" t="s">
        <v>4543</v>
      </c>
      <c r="B161" s="324" t="s">
        <v>8137</v>
      </c>
      <c r="C161" s="324" t="s">
        <v>8122</v>
      </c>
      <c r="D161" s="451" t="str">
        <f>IF(A161="SERVIÇO",VLOOKUP(C161,SERVIÇOS!$A$6:$D$7645,2,0),IF(A161="INSUMO",VLOOKUP(C161,INSUMOS!$A$6:$D$6961,2,0),IF('036.01-20-SERV. GERAIS'!A161="COTAÇÃO",VLOOKUP('036.01-20-SERV. GERAIS'!C161,'036-20-Cotação'!$A$9:$G$529,2,0),IF('036.01-20-SERV. GERAIS'!A161="CCU",VLOOKUP('036.01-20-SERV. GERAIS'!C161,'036-20-CCU''s'!$B$9:$H$1962,2,0)))))</f>
        <v>APARELHO DE APOIO ESPECIAL (VASOFLON), TIPO ARTICULAÇÃO MÓVEL, MODELO VU-350, COM CAPACIDADE DE 3500 KN. INSTALAÇÃO</v>
      </c>
      <c r="E161" s="452" t="str">
        <f>IF(A161="SERVIÇO",VLOOKUP(C161,SERVIÇOS!$A$6:$D$7645,3,0),IF(A161="INSUMO",VLOOKUP(C161,INSUMOS!$A$6:$D$6961,3,0),IF('036.01-20-SERV. GERAIS'!A161="COTAÇÃO",VLOOKUP('036.01-20-SERV. GERAIS'!C161,'036-20-Cotação'!$A$9:$G$529,4,0),IF('036.01-20-SERV. GERAIS'!A161="CCU",VLOOKUP('036.01-20-SERV. GERAIS'!C161,'036-20-CCU''s'!$B$9:$H$1962,4,0)))))</f>
        <v xml:space="preserve">UN    </v>
      </c>
      <c r="F161" s="453">
        <v>2</v>
      </c>
      <c r="G161" s="534">
        <f>IF(A161="SERVIÇO",VLOOKUP(C161,SERVIÇOS!$A$6:$D$7645,4,0),IF(A161="INSUMO",VLOOKUP(C161,INSUMOS!$A$6:$D$6961,4,0),IF('036.01-20-SERV. GERAIS'!A161="COTAÇÃO",VLOOKUP('036.01-20-SERV. GERAIS'!C161,'036-20-Cotação'!$A$9:$G$529,3,0),IF('036.01-20-SERV. GERAIS'!A161="CCU",VLOOKUP('036.01-20-SERV. GERAIS'!C161,'036-20-CCU''s'!$B$9:$H$1962,7,0)))))</f>
        <v>238.24585504186655</v>
      </c>
      <c r="H161" s="528">
        <f>BDI_O.A.E!$H$22</f>
        <v>0.18201100192553743</v>
      </c>
      <c r="I161" s="535">
        <f>F161*(G161*(1+H161))</f>
        <v>563.21844364528602</v>
      </c>
      <c r="K161" s="232">
        <f t="shared" si="44"/>
        <v>563.21844364528602</v>
      </c>
    </row>
    <row r="162" spans="1:11" s="87" customFormat="1" ht="51">
      <c r="A162" s="232" t="s">
        <v>4543</v>
      </c>
      <c r="B162" s="324" t="s">
        <v>8138</v>
      </c>
      <c r="C162" s="324" t="s">
        <v>8119</v>
      </c>
      <c r="D162" s="451" t="str">
        <f>IF(A162="SERVIÇO",VLOOKUP(C162,SERVIÇOS!$A$6:$D$7645,2,0),IF(A162="INSUMO",VLOOKUP(C162,INSUMOS!$A$6:$D$6961,2,0),IF('036.01-20-SERV. GERAIS'!A162="COTAÇÃO",VLOOKUP('036.01-20-SERV. GERAIS'!C162,'036-20-Cotação'!$A$9:$G$529,2,0),IF('036.01-20-SERV. GERAIS'!A162="CCU",VLOOKUP('036.01-20-SERV. GERAIS'!C162,'036-20-CCU''s'!$B$9:$H$1962,2,0)))))</f>
        <v>APARELHO DE APOIO ESPECIAL (VASOFLON), TIPO ARTICULAÇÃO FIXA, MODELO VF-350, COM CAPACIDADE DE 3500 KN. FORNECIMENTO</v>
      </c>
      <c r="E162" s="452" t="str">
        <f>IF(A162="SERVIÇO",VLOOKUP(C162,SERVIÇOS!$A$6:$D$7645,3,0),IF(A162="INSUMO",VLOOKUP(C162,INSUMOS!$A$6:$D$6961,3,0),IF('036.01-20-SERV. GERAIS'!A162="COTAÇÃO",VLOOKUP('036.01-20-SERV. GERAIS'!C162,'036-20-Cotação'!$A$9:$G$529,4,0),IF('036.01-20-SERV. GERAIS'!A162="CCU",VLOOKUP('036.01-20-SERV. GERAIS'!C162,'036-20-CCU''s'!$B$9:$H$1962,4,0)))))</f>
        <v xml:space="preserve">UN    </v>
      </c>
      <c r="F162" s="453">
        <v>3</v>
      </c>
      <c r="G162" s="534">
        <f>IF(A162="SERVIÇO",VLOOKUP(C162,SERVIÇOS!$A$6:$D$7645,4,0),IF(A162="INSUMO",VLOOKUP(C162,INSUMOS!$A$6:$D$6961,4,0),IF('036.01-20-SERV. GERAIS'!A162="COTAÇÃO",VLOOKUP('036.01-20-SERV. GERAIS'!C162,'036-20-Cotação'!$A$9:$G$529,3,0),IF('036.01-20-SERV. GERAIS'!A162="CCU",VLOOKUP('036.01-20-SERV. GERAIS'!C162,'036-20-CCU''s'!$B$9:$H$1962,7,0)))))</f>
        <v>7289.7186740246198</v>
      </c>
      <c r="H162" s="528">
        <f>BDI_Equipamentos!$H$22</f>
        <v>0.10890619719771655</v>
      </c>
      <c r="I162" s="535">
        <f>F162*(G162*(1+H162))</f>
        <v>24250.842640361465</v>
      </c>
      <c r="K162" s="232">
        <f t="shared" si="44"/>
        <v>24250.842640361465</v>
      </c>
    </row>
    <row r="163" spans="1:11" s="87" customFormat="1" ht="38.25">
      <c r="A163" s="232" t="s">
        <v>4543</v>
      </c>
      <c r="B163" s="324" t="s">
        <v>8139</v>
      </c>
      <c r="C163" s="324" t="s">
        <v>8130</v>
      </c>
      <c r="D163" s="451" t="str">
        <f>IF(A163="SERVIÇO",VLOOKUP(C163,SERVIÇOS!$A$6:$D$7645,2,0),IF(A163="INSUMO",VLOOKUP(C163,INSUMOS!$A$6:$D$6961,2,0),IF('036.01-20-SERV. GERAIS'!A163="COTAÇÃO",VLOOKUP('036.01-20-SERV. GERAIS'!C163,'036-20-Cotação'!$A$9:$G$529,2,0),IF('036.01-20-SERV. GERAIS'!A163="CCU",VLOOKUP('036.01-20-SERV. GERAIS'!C163,'036-20-CCU''s'!$B$9:$H$1962,2,0)))))</f>
        <v>APARELHO DE APOIO ESPECIAL (VASOFLON), TIPO ARTICULAÇÃO FIXA, MODELO VF-350, COM CAPACIDADE DE 3500 KN. INSTALAÇÃO</v>
      </c>
      <c r="E163" s="452" t="str">
        <f>IF(A163="SERVIÇO",VLOOKUP(C163,SERVIÇOS!$A$6:$D$7645,3,0),IF(A163="INSUMO",VLOOKUP(C163,INSUMOS!$A$6:$D$6961,3,0),IF('036.01-20-SERV. GERAIS'!A163="COTAÇÃO",VLOOKUP('036.01-20-SERV. GERAIS'!C163,'036-20-Cotação'!$A$9:$G$529,4,0),IF('036.01-20-SERV. GERAIS'!A163="CCU",VLOOKUP('036.01-20-SERV. GERAIS'!C163,'036-20-CCU''s'!$B$9:$H$1962,4,0)))))</f>
        <v xml:space="preserve">UN    </v>
      </c>
      <c r="F163" s="453">
        <v>3</v>
      </c>
      <c r="G163" s="534">
        <f>IF(A163="SERVIÇO",VLOOKUP(C163,SERVIÇOS!$A$6:$D$7645,4,0),IF(A163="INSUMO",VLOOKUP(C163,INSUMOS!$A$6:$D$6961,4,0),IF('036.01-20-SERV. GERAIS'!A163="COTAÇÃO",VLOOKUP('036.01-20-SERV. GERAIS'!C163,'036-20-Cotação'!$A$9:$G$529,3,0),IF('036.01-20-SERV. GERAIS'!A163="CCU",VLOOKUP('036.01-20-SERV. GERAIS'!C163,'036-20-CCU''s'!$B$9:$H$1962,7,0)))))</f>
        <v>231.45579391133865</v>
      </c>
      <c r="H163" s="528">
        <f>BDI_O.A.E!$H$22</f>
        <v>0.18201100192553743</v>
      </c>
      <c r="I163" s="535">
        <f t="shared" ref="I163:I165" si="46">F163*(G163*(1+H163))</f>
        <v>820.74988458783628</v>
      </c>
      <c r="K163" s="232">
        <f t="shared" si="44"/>
        <v>820.74988458783628</v>
      </c>
    </row>
    <row r="164" spans="1:11" s="87" customFormat="1" ht="51">
      <c r="A164" s="232" t="s">
        <v>4543</v>
      </c>
      <c r="B164" s="324" t="s">
        <v>8140</v>
      </c>
      <c r="C164" s="324" t="s">
        <v>8152</v>
      </c>
      <c r="D164" s="451" t="str">
        <f>IF(A164="SERVIÇO",VLOOKUP(C164,SERVIÇOS!$A$6:$D$7645,2,0),IF(A164="INSUMO",VLOOKUP(C164,INSUMOS!$A$6:$D$6961,2,0),IF('036.01-20-SERV. GERAIS'!A164="COTAÇÃO",VLOOKUP('036.01-20-SERV. GERAIS'!C164,'036-20-Cotação'!$A$9:$G$529,2,0),IF('036.01-20-SERV. GERAIS'!A164="CCU",VLOOKUP('036.01-20-SERV. GERAIS'!C164,'036-20-CCU''s'!$B$9:$H$1962,2,0)))))</f>
        <v>APARELHO DE APOIO ESPECIAL (VASOFLON), TIPO ARTICULAÇÃO MULTIRECIONAL, MODELO VM-350, COM CAPACIDADE DE 3500 KN. FORNECIMENTO</v>
      </c>
      <c r="E164" s="452" t="str">
        <f>IF(A164="SERVIÇO",VLOOKUP(C164,SERVIÇOS!$A$6:$D$7645,3,0),IF(A164="INSUMO",VLOOKUP(C164,INSUMOS!$A$6:$D$6961,3,0),IF('036.01-20-SERV. GERAIS'!A164="COTAÇÃO",VLOOKUP('036.01-20-SERV. GERAIS'!C164,'036-20-Cotação'!$A$9:$G$529,4,0),IF('036.01-20-SERV. GERAIS'!A164="CCU",VLOOKUP('036.01-20-SERV. GERAIS'!C164,'036-20-CCU''s'!$B$9:$H$1962,4,0)))))</f>
        <v xml:space="preserve">UN    </v>
      </c>
      <c r="F164" s="453">
        <v>4</v>
      </c>
      <c r="G164" s="534">
        <f>IF(A164="SERVIÇO",VLOOKUP(C164,SERVIÇOS!$A$6:$D$7645,4,0),IF(A164="INSUMO",VLOOKUP(C164,INSUMOS!$A$6:$D$6961,4,0),IF('036.01-20-SERV. GERAIS'!A164="COTAÇÃO",VLOOKUP('036.01-20-SERV. GERAIS'!C164,'036-20-Cotação'!$A$9:$G$529,3,0),IF('036.01-20-SERV. GERAIS'!A164="CCU",VLOOKUP('036.01-20-SERV. GERAIS'!C164,'036-20-CCU''s'!$B$9:$H$1962,7,0)))))</f>
        <v>8949.1668274611184</v>
      </c>
      <c r="H164" s="528">
        <f>BDI_Equipamentos!$H$22</f>
        <v>0.10890619719771655</v>
      </c>
      <c r="I164" s="535">
        <f t="shared" si="46"/>
        <v>39695.146218911446</v>
      </c>
      <c r="K164" s="232">
        <f t="shared" si="44"/>
        <v>39695.146218911446</v>
      </c>
    </row>
    <row r="165" spans="1:11" s="87" customFormat="1" ht="51">
      <c r="A165" s="232" t="s">
        <v>4543</v>
      </c>
      <c r="B165" s="324" t="s">
        <v>8141</v>
      </c>
      <c r="C165" s="324" t="s">
        <v>8156</v>
      </c>
      <c r="D165" s="451" t="str">
        <f>IF(A165="SERVIÇO",VLOOKUP(C165,SERVIÇOS!$A$6:$D$7645,2,0),IF(A165="INSUMO",VLOOKUP(C165,INSUMOS!$A$6:$D$6961,2,0),IF('036.01-20-SERV. GERAIS'!A165="COTAÇÃO",VLOOKUP('036.01-20-SERV. GERAIS'!C165,'036-20-Cotação'!$A$9:$G$529,2,0),IF('036.01-20-SERV. GERAIS'!A165="CCU",VLOOKUP('036.01-20-SERV. GERAIS'!C165,'036-20-CCU''s'!$B$9:$H$1962,2,0)))))</f>
        <v>APARELHO DE APOIO ESPECIAL (VASOFLON), TIPO ARTICULAÇÃO MULTIRECIONAL, MODELO VM-350, COM CAPACIDADE DE 3500 KN. INSTALAÇÃO</v>
      </c>
      <c r="E165" s="452" t="str">
        <f>IF(A165="SERVIÇO",VLOOKUP(C165,SERVIÇOS!$A$6:$D$7645,3,0),IF(A165="INSUMO",VLOOKUP(C165,INSUMOS!$A$6:$D$6961,3,0),IF('036.01-20-SERV. GERAIS'!A165="COTAÇÃO",VLOOKUP('036.01-20-SERV. GERAIS'!C165,'036-20-Cotação'!$A$9:$G$529,4,0),IF('036.01-20-SERV. GERAIS'!A165="CCU",VLOOKUP('036.01-20-SERV. GERAIS'!C165,'036-20-CCU''s'!$B$9:$H$1962,4,0)))))</f>
        <v xml:space="preserve">UN    </v>
      </c>
      <c r="F165" s="453">
        <v>4</v>
      </c>
      <c r="G165" s="534">
        <f>IF(A165="SERVIÇO",VLOOKUP(C165,SERVIÇOS!$A$6:$D$7645,4,0),IF(A165="INSUMO",VLOOKUP(C165,INSUMOS!$A$6:$D$6961,4,0),IF('036.01-20-SERV. GERAIS'!A165="COTAÇÃO",VLOOKUP('036.01-20-SERV. GERAIS'!C165,'036-20-Cotação'!$A$9:$G$529,3,0),IF('036.01-20-SERV. GERAIS'!A165="CCU",VLOOKUP('036.01-20-SERV. GERAIS'!C165,'036-20-CCU''s'!$B$9:$H$1962,7,0)))))</f>
        <v>230.36675990148626</v>
      </c>
      <c r="H165" s="528">
        <f>BDI_O.A.E!$H$22</f>
        <v>0.18201100192553743</v>
      </c>
      <c r="I165" s="535">
        <f t="shared" si="46"/>
        <v>1089.1841787259821</v>
      </c>
      <c r="K165" s="232">
        <f t="shared" si="44"/>
        <v>1089.1841787259821</v>
      </c>
    </row>
    <row r="166" spans="1:11" s="87" customFormat="1" ht="51">
      <c r="A166" s="232" t="s">
        <v>4543</v>
      </c>
      <c r="B166" s="324" t="s">
        <v>8142</v>
      </c>
      <c r="C166" s="324" t="s">
        <v>8159</v>
      </c>
      <c r="D166" s="451" t="str">
        <f>IF(A166="SERVIÇO",VLOOKUP(C166,SERVIÇOS!$A$6:$D$7645,2,0),IF(A166="INSUMO",VLOOKUP(C166,INSUMOS!$A$6:$D$6961,2,0),IF('036.01-20-SERV. GERAIS'!A166="COTAÇÃO",VLOOKUP('036.01-20-SERV. GERAIS'!C166,'036-20-Cotação'!$A$9:$G$529,2,0),IF('036.01-20-SERV. GERAIS'!A166="CCU",VLOOKUP('036.01-20-SERV. GERAIS'!C166,'036-20-CCU''s'!$B$9:$H$1962,2,0)))))</f>
        <v>APARELHO DE APOIO ESPECIAL (VASOFLON), TIPO ARTICULAÇÃO FIXA, MODELO VF-400, COM CAPACIDADE DE 4000 KN. FORNECIMENTO</v>
      </c>
      <c r="E166" s="452" t="str">
        <f>IF(A166="SERVIÇO",VLOOKUP(C166,SERVIÇOS!$A$6:$D$7645,3,0),IF(A166="INSUMO",VLOOKUP(C166,INSUMOS!$A$6:$D$6961,3,0),IF('036.01-20-SERV. GERAIS'!A166="COTAÇÃO",VLOOKUP('036.01-20-SERV. GERAIS'!C166,'036-20-Cotação'!$A$9:$G$529,4,0),IF('036.01-20-SERV. GERAIS'!A166="CCU",VLOOKUP('036.01-20-SERV. GERAIS'!C166,'036-20-CCU''s'!$B$9:$H$1962,4,0)))))</f>
        <v xml:space="preserve">UN    </v>
      </c>
      <c r="F166" s="453">
        <v>2</v>
      </c>
      <c r="G166" s="534">
        <f>IF(A166="SERVIÇO",VLOOKUP(C166,SERVIÇOS!$A$6:$D$7645,4,0),IF(A166="INSUMO",VLOOKUP(C166,INSUMOS!$A$6:$D$6961,4,0),IF('036.01-20-SERV. GERAIS'!A166="COTAÇÃO",VLOOKUP('036.01-20-SERV. GERAIS'!C166,'036-20-Cotação'!$A$9:$G$529,3,0),IF('036.01-20-SERV. GERAIS'!A166="CCU",VLOOKUP('036.01-20-SERV. GERAIS'!C166,'036-20-CCU''s'!$B$9:$H$1962,7,0)))))</f>
        <v>8183.6475900127334</v>
      </c>
      <c r="H166" s="528">
        <f>BDI_Equipamentos!$H$22</f>
        <v>0.10890619719771655</v>
      </c>
      <c r="I166" s="535">
        <f t="shared" ref="I166:I167" si="47">F166*(G166*(1+H166))</f>
        <v>18149.795056494557</v>
      </c>
      <c r="K166" s="232">
        <f t="shared" si="44"/>
        <v>18149.795056494557</v>
      </c>
    </row>
    <row r="167" spans="1:11" s="87" customFormat="1" ht="38.25">
      <c r="A167" s="232" t="s">
        <v>4543</v>
      </c>
      <c r="B167" s="324" t="s">
        <v>8143</v>
      </c>
      <c r="C167" s="324" t="s">
        <v>8164</v>
      </c>
      <c r="D167" s="451" t="str">
        <f>IF(A167="SERVIÇO",VLOOKUP(C167,SERVIÇOS!$A$6:$D$7645,2,0),IF(A167="INSUMO",VLOOKUP(C167,INSUMOS!$A$6:$D$6961,2,0),IF('036.01-20-SERV. GERAIS'!A167="COTAÇÃO",VLOOKUP('036.01-20-SERV. GERAIS'!C167,'036-20-Cotação'!$A$9:$G$529,2,0),IF('036.01-20-SERV. GERAIS'!A167="CCU",VLOOKUP('036.01-20-SERV. GERAIS'!C167,'036-20-CCU''s'!$B$9:$H$1962,2,0)))))</f>
        <v>APARELHO DE APOIO ESPECIAL (VASOFLON), TIPO ARTICULAÇÃO FIXA, MODELO VF-400, COM CAPACIDADE DE 4000 KN. INSTALAÇÃO</v>
      </c>
      <c r="E167" s="452" t="str">
        <f>IF(A167="SERVIÇO",VLOOKUP(C167,SERVIÇOS!$A$6:$D$7645,3,0),IF(A167="INSUMO",VLOOKUP(C167,INSUMOS!$A$6:$D$6961,3,0),IF('036.01-20-SERV. GERAIS'!A167="COTAÇÃO",VLOOKUP('036.01-20-SERV. GERAIS'!C167,'036-20-Cotação'!$A$9:$G$529,4,0),IF('036.01-20-SERV. GERAIS'!A167="CCU",VLOOKUP('036.01-20-SERV. GERAIS'!C167,'036-20-CCU''s'!$B$9:$H$1962,4,0)))))</f>
        <v xml:space="preserve">UN    </v>
      </c>
      <c r="F167" s="453">
        <v>2</v>
      </c>
      <c r="G167" s="534">
        <f>IF(A167="SERVIÇO",VLOOKUP(C167,SERVIÇOS!$A$6:$D$7645,4,0),IF(A167="INSUMO",VLOOKUP(C167,INSUMOS!$A$6:$D$6961,4,0),IF('036.01-20-SERV. GERAIS'!A167="COTAÇÃO",VLOOKUP('036.01-20-SERV. GERAIS'!C167,'036-20-Cotação'!$A$9:$G$529,3,0),IF('036.01-20-SERV. GERAIS'!A167="CCU",VLOOKUP('036.01-20-SERV. GERAIS'!C167,'036-20-CCU''s'!$B$9:$H$1962,7,0)))))</f>
        <v>241.10761569201858</v>
      </c>
      <c r="H167" s="528">
        <f>BDI_O.A.E!$H$22</f>
        <v>0.18201100192553743</v>
      </c>
      <c r="I167" s="535">
        <f t="shared" si="47"/>
        <v>569.98370879200058</v>
      </c>
      <c r="K167" s="232">
        <f t="shared" si="44"/>
        <v>569.98370879200058</v>
      </c>
    </row>
    <row r="168" spans="1:11" s="87" customFormat="1" ht="51">
      <c r="A168" s="232" t="s">
        <v>4543</v>
      </c>
      <c r="B168" s="324" t="s">
        <v>8144</v>
      </c>
      <c r="C168" s="324" t="s">
        <v>8168</v>
      </c>
      <c r="D168" s="451" t="str">
        <f>IF(A168="SERVIÇO",VLOOKUP(C168,SERVIÇOS!$A$6:$D$7645,2,0),IF(A168="INSUMO",VLOOKUP(C168,INSUMOS!$A$6:$D$6961,2,0),IF('036.01-20-SERV. GERAIS'!A168="COTAÇÃO",VLOOKUP('036.01-20-SERV. GERAIS'!C168,'036-20-Cotação'!$A$9:$G$529,2,0),IF('036.01-20-SERV. GERAIS'!A168="CCU",VLOOKUP('036.01-20-SERV. GERAIS'!C168,'036-20-CCU''s'!$B$9:$H$1962,2,0)))))</f>
        <v>APARELHO DE APOIO ESPECIAL (VASOFLON), TIPO ARTICULAÇÃO MÓVEL, MODELO VUE-400, COM CAPACIDADE DE 4000 KN. FORNECIMENTO</v>
      </c>
      <c r="E168" s="452" t="str">
        <f>IF(A168="SERVIÇO",VLOOKUP(C168,SERVIÇOS!$A$6:$D$7645,3,0),IF(A168="INSUMO",VLOOKUP(C168,INSUMOS!$A$6:$D$6961,3,0),IF('036.01-20-SERV. GERAIS'!A168="COTAÇÃO",VLOOKUP('036.01-20-SERV. GERAIS'!C168,'036-20-Cotação'!$A$9:$G$529,4,0),IF('036.01-20-SERV. GERAIS'!A168="CCU",VLOOKUP('036.01-20-SERV. GERAIS'!C168,'036-20-CCU''s'!$B$9:$H$1962,4,0)))))</f>
        <v xml:space="preserve">UN    </v>
      </c>
      <c r="F168" s="453">
        <v>2</v>
      </c>
      <c r="G168" s="534">
        <f>IF(A168="SERVIÇO",VLOOKUP(C168,SERVIÇOS!$A$6:$D$7645,4,0),IF(A168="INSUMO",VLOOKUP(C168,INSUMOS!$A$6:$D$6961,4,0),IF('036.01-20-SERV. GERAIS'!A168="COTAÇÃO",VLOOKUP('036.01-20-SERV. GERAIS'!C168,'036-20-Cotação'!$A$9:$G$529,3,0),IF('036.01-20-SERV. GERAIS'!A168="CCU",VLOOKUP('036.01-20-SERV. GERAIS'!C168,'036-20-CCU''s'!$B$9:$H$1962,7,0)))))</f>
        <v>11892.711766294908</v>
      </c>
      <c r="H168" s="528">
        <f>BDI_Equipamentos!$H$22</f>
        <v>0.10890619719771655</v>
      </c>
      <c r="I168" s="535">
        <f>F168*(G168*(1+H168))</f>
        <v>26375.80355826125</v>
      </c>
      <c r="K168" s="232">
        <f t="shared" si="44"/>
        <v>26375.80355826125</v>
      </c>
    </row>
    <row r="169" spans="1:11" s="87" customFormat="1" ht="38.25">
      <c r="A169" s="232" t="s">
        <v>4543</v>
      </c>
      <c r="B169" s="324" t="s">
        <v>8145</v>
      </c>
      <c r="C169" s="324" t="s">
        <v>8169</v>
      </c>
      <c r="D169" s="451" t="str">
        <f>IF(A169="SERVIÇO",VLOOKUP(C169,SERVIÇOS!$A$6:$D$7645,2,0),IF(A169="INSUMO",VLOOKUP(C169,INSUMOS!$A$6:$D$6961,2,0),IF('036.01-20-SERV. GERAIS'!A169="COTAÇÃO",VLOOKUP('036.01-20-SERV. GERAIS'!C169,'036-20-Cotação'!$A$9:$G$529,2,0),IF('036.01-20-SERV. GERAIS'!A169="CCU",VLOOKUP('036.01-20-SERV. GERAIS'!C169,'036-20-CCU''s'!$B$9:$H$1962,2,0)))))</f>
        <v>APARELHO DE APOIO ESPECIAL (VASOFLON), TIPO ARTICULAÇÃO MÓVEL, MODELO VUE-400, COM CAPACIDADE DE 4000 KN. INSTALAÇÃO</v>
      </c>
      <c r="E169" s="452" t="str">
        <f>IF(A169="SERVIÇO",VLOOKUP(C169,SERVIÇOS!$A$6:$D$7645,3,0),IF(A169="INSUMO",VLOOKUP(C169,INSUMOS!$A$6:$D$6961,3,0),IF('036.01-20-SERV. GERAIS'!A169="COTAÇÃO",VLOOKUP('036.01-20-SERV. GERAIS'!C169,'036-20-Cotação'!$A$9:$G$529,4,0),IF('036.01-20-SERV. GERAIS'!A169="CCU",VLOOKUP('036.01-20-SERV. GERAIS'!C169,'036-20-CCU''s'!$B$9:$H$1962,4,0)))))</f>
        <v xml:space="preserve">UN    </v>
      </c>
      <c r="F169" s="453">
        <v>2</v>
      </c>
      <c r="G169" s="534">
        <f>IF(A169="SERVIÇO",VLOOKUP(C169,SERVIÇOS!$A$6:$D$7645,4,0),IF(A169="INSUMO",VLOOKUP(C169,INSUMOS!$A$6:$D$6961,4,0),IF('036.01-20-SERV. GERAIS'!A169="COTAÇÃO",VLOOKUP('036.01-20-SERV. GERAIS'!C169,'036-20-Cotação'!$A$9:$G$529,3,0),IF('036.01-20-SERV. GERAIS'!A169="CCU",VLOOKUP('036.01-20-SERV. GERAIS'!C169,'036-20-CCU''s'!$B$9:$H$1962,7,0)))))</f>
        <v>248.05357493985017</v>
      </c>
      <c r="H169" s="528">
        <f>BDI_O.A.E!$H$22</f>
        <v>0.18201100192553743</v>
      </c>
      <c r="I169" s="535">
        <f>F169*(G169*(1+H169))</f>
        <v>586.40410929172731</v>
      </c>
      <c r="K169" s="232">
        <f t="shared" si="44"/>
        <v>586.40410929172731</v>
      </c>
    </row>
    <row r="170" spans="1:11" s="87" customFormat="1" ht="51">
      <c r="A170" s="232" t="s">
        <v>4543</v>
      </c>
      <c r="B170" s="324" t="s">
        <v>8146</v>
      </c>
      <c r="C170" s="324" t="s">
        <v>8175</v>
      </c>
      <c r="D170" s="451" t="str">
        <f>IF(A170="SERVIÇO",VLOOKUP(C170,SERVIÇOS!$A$6:$D$7645,2,0),IF(A170="INSUMO",VLOOKUP(C170,INSUMOS!$A$6:$D$6961,2,0),IF('036.01-20-SERV. GERAIS'!A170="COTAÇÃO",VLOOKUP('036.01-20-SERV. GERAIS'!C170,'036-20-Cotação'!$A$9:$G$529,2,0),IF('036.01-20-SERV. GERAIS'!A170="CCU",VLOOKUP('036.01-20-SERV. GERAIS'!C170,'036-20-CCU''s'!$B$9:$H$1962,2,0)))))</f>
        <v>APARELHO DE APOIO ESPECIAL (VASOFLON), TIPO ARTICULAÇÃO MULTIDIRECIONAL, MODELO VM-400, COM CAPACIDADE DE 4000 KN. FORNECIMENTO</v>
      </c>
      <c r="E170" s="452" t="str">
        <f>IF(A170="SERVIÇO",VLOOKUP(C170,SERVIÇOS!$A$6:$D$7645,3,0),IF(A170="INSUMO",VLOOKUP(C170,INSUMOS!$A$6:$D$6961,3,0),IF('036.01-20-SERV. GERAIS'!A170="COTAÇÃO",VLOOKUP('036.01-20-SERV. GERAIS'!C170,'036-20-Cotação'!$A$9:$G$529,4,0),IF('036.01-20-SERV. GERAIS'!A170="CCU",VLOOKUP('036.01-20-SERV. GERAIS'!C170,'036-20-CCU''s'!$B$9:$H$1962,4,0)))))</f>
        <v xml:space="preserve">UN    </v>
      </c>
      <c r="F170" s="453">
        <v>4</v>
      </c>
      <c r="G170" s="534">
        <f>IF(A170="SERVIÇO",VLOOKUP(C170,SERVIÇOS!$A$6:$D$7645,4,0),IF(A170="INSUMO",VLOOKUP(C170,INSUMOS!$A$6:$D$6961,4,0),IF('036.01-20-SERV. GERAIS'!A170="COTAÇÃO",VLOOKUP('036.01-20-SERV. GERAIS'!C170,'036-20-Cotação'!$A$9:$G$529,3,0),IF('036.01-20-SERV. GERAIS'!A170="CCU",VLOOKUP('036.01-20-SERV. GERAIS'!C170,'036-20-CCU''s'!$B$9:$H$1962,7,0)))))</f>
        <v>10164.119939798555</v>
      </c>
      <c r="H170" s="528">
        <f>BDI_Equipamentos!$H$22</f>
        <v>0.10890619719771655</v>
      </c>
      <c r="I170" s="535">
        <f t="shared" ref="I170:I172" si="48">F170*(G170*(1+H170))</f>
        <v>45084.222361213993</v>
      </c>
      <c r="K170" s="232">
        <f t="shared" si="44"/>
        <v>45084.222361213993</v>
      </c>
    </row>
    <row r="171" spans="1:11" s="87" customFormat="1" ht="51">
      <c r="A171" s="232" t="s">
        <v>4543</v>
      </c>
      <c r="B171" s="324" t="s">
        <v>8147</v>
      </c>
      <c r="C171" s="324" t="s">
        <v>8176</v>
      </c>
      <c r="D171" s="451" t="str">
        <f>IF(A171="SERVIÇO",VLOOKUP(C171,SERVIÇOS!$A$6:$D$7645,2,0),IF(A171="INSUMO",VLOOKUP(C171,INSUMOS!$A$6:$D$6961,2,0),IF('036.01-20-SERV. GERAIS'!A171="COTAÇÃO",VLOOKUP('036.01-20-SERV. GERAIS'!C171,'036-20-Cotação'!$A$9:$G$529,2,0),IF('036.01-20-SERV. GERAIS'!A171="CCU",VLOOKUP('036.01-20-SERV. GERAIS'!C171,'036-20-CCU''s'!$B$9:$H$1962,2,0)))))</f>
        <v>APARELHO DE APOIO ESPECIAL (VASOFLON), TIPO ARTICULAÇÃO MULTIDIRECIONAL, MODELO VM-400, COM CAPACIDADE DE 4000 KN. INSTALAÇÃO</v>
      </c>
      <c r="E171" s="452" t="str">
        <f>IF(A171="SERVIÇO",VLOOKUP(C171,SERVIÇOS!$A$6:$D$7645,3,0),IF(A171="INSUMO",VLOOKUP(C171,INSUMOS!$A$6:$D$6961,3,0),IF('036.01-20-SERV. GERAIS'!A171="COTAÇÃO",VLOOKUP('036.01-20-SERV. GERAIS'!C171,'036-20-Cotação'!$A$9:$G$529,4,0),IF('036.01-20-SERV. GERAIS'!A171="CCU",VLOOKUP('036.01-20-SERV. GERAIS'!C171,'036-20-CCU''s'!$B$9:$H$1962,4,0)))))</f>
        <v xml:space="preserve">UN    </v>
      </c>
      <c r="F171" s="453">
        <v>4</v>
      </c>
      <c r="G171" s="534">
        <f>IF(A171="SERVIÇO",VLOOKUP(C171,SERVIÇOS!$A$6:$D$7645,4,0),IF(A171="INSUMO",VLOOKUP(C171,INSUMOS!$A$6:$D$6961,4,0),IF('036.01-20-SERV. GERAIS'!A171="COTAÇÃO",VLOOKUP('036.01-20-SERV. GERAIS'!C171,'036-20-Cotação'!$A$9:$G$529,3,0),IF('036.01-20-SERV. GERAIS'!A171="CCU",VLOOKUP('036.01-20-SERV. GERAIS'!C171,'036-20-CCU''s'!$B$9:$H$1962,7,0)))))</f>
        <v>238.70806134067084</v>
      </c>
      <c r="H171" s="528">
        <f>BDI_O.A.E!$H$22</f>
        <v>0.18201100192553743</v>
      </c>
      <c r="I171" s="535">
        <f t="shared" si="48"/>
        <v>1128.6222190119558</v>
      </c>
      <c r="K171" s="232">
        <f t="shared" si="44"/>
        <v>1128.6222190119558</v>
      </c>
    </row>
    <row r="172" spans="1:11" s="87" customFormat="1" ht="51">
      <c r="A172" s="232" t="s">
        <v>4543</v>
      </c>
      <c r="B172" s="324" t="s">
        <v>8148</v>
      </c>
      <c r="C172" s="324" t="s">
        <v>8186</v>
      </c>
      <c r="D172" s="451" t="str">
        <f>IF(A172="SERVIÇO",VLOOKUP(C172,SERVIÇOS!$A$6:$D$7645,2,0),IF(A172="INSUMO",VLOOKUP(C172,INSUMOS!$A$6:$D$6961,2,0),IF('036.01-20-SERV. GERAIS'!A172="COTAÇÃO",VLOOKUP('036.01-20-SERV. GERAIS'!C172,'036-20-Cotação'!$A$9:$G$529,2,0),IF('036.01-20-SERV. GERAIS'!A172="CCU",VLOOKUP('036.01-20-SERV. GERAIS'!C172,'036-20-CCU''s'!$B$9:$H$1962,2,0)))))</f>
        <v>APARELHO DE APOIO ESPECIAL (VASOFLON), TIPO ARTICULAÇÃO MULTIRECIONAL, MODELO VM-700, COM CAPACIDADE DE 7000 KN. FORNECIMENTO</v>
      </c>
      <c r="E172" s="452" t="str">
        <f>IF(A172="SERVIÇO",VLOOKUP(C172,SERVIÇOS!$A$6:$D$7645,3,0),IF(A172="INSUMO",VLOOKUP(C172,INSUMOS!$A$6:$D$6961,3,0),IF('036.01-20-SERV. GERAIS'!A172="COTAÇÃO",VLOOKUP('036.01-20-SERV. GERAIS'!C172,'036-20-Cotação'!$A$9:$G$529,4,0),IF('036.01-20-SERV. GERAIS'!A172="CCU",VLOOKUP('036.01-20-SERV. GERAIS'!C172,'036-20-CCU''s'!$B$9:$H$1962,4,0)))))</f>
        <v xml:space="preserve">UN    </v>
      </c>
      <c r="F172" s="453">
        <v>9</v>
      </c>
      <c r="G172" s="534">
        <f>IF(A172="SERVIÇO",VLOOKUP(C172,SERVIÇOS!$A$6:$D$7645,4,0),IF(A172="INSUMO",VLOOKUP(C172,INSUMOS!$A$6:$D$6961,4,0),IF('036.01-20-SERV. GERAIS'!A172="COTAÇÃO",VLOOKUP('036.01-20-SERV. GERAIS'!C172,'036-20-Cotação'!$A$9:$G$529,3,0),IF('036.01-20-SERV. GERAIS'!A172="CCU",VLOOKUP('036.01-20-SERV. GERAIS'!C172,'036-20-CCU''s'!$B$9:$H$1962,7,0)))))</f>
        <v>18604.586886890746</v>
      </c>
      <c r="H172" s="528">
        <f>BDI_Equipamentos!$H$22</f>
        <v>0.10890619719771655</v>
      </c>
      <c r="I172" s="535">
        <f t="shared" si="48"/>
        <v>185676.67525658867</v>
      </c>
      <c r="K172" s="232">
        <f t="shared" si="44"/>
        <v>185676.67525658867</v>
      </c>
    </row>
    <row r="173" spans="1:11" s="87" customFormat="1" ht="51">
      <c r="A173" s="232" t="s">
        <v>4543</v>
      </c>
      <c r="B173" s="324" t="s">
        <v>8149</v>
      </c>
      <c r="C173" s="324" t="s">
        <v>8193</v>
      </c>
      <c r="D173" s="451" t="str">
        <f>IF(A173="SERVIÇO",VLOOKUP(C173,SERVIÇOS!$A$6:$D$7645,2,0),IF(A173="INSUMO",VLOOKUP(C173,INSUMOS!$A$6:$D$6961,2,0),IF('036.01-20-SERV. GERAIS'!A173="COTAÇÃO",VLOOKUP('036.01-20-SERV. GERAIS'!C173,'036-20-Cotação'!$A$9:$G$529,2,0),IF('036.01-20-SERV. GERAIS'!A173="CCU",VLOOKUP('036.01-20-SERV. GERAIS'!C173,'036-20-CCU''s'!$B$9:$H$1962,2,0)))))</f>
        <v>APARELHO DE APOIO ESPECIAL (VASOFLON), TIPO ARTICULAÇÃO MULTIRECIONAL, MODELO VM-700, COM CAPACIDADE DE 7000 KN. INSTALAÇÃO</v>
      </c>
      <c r="E173" s="452" t="str">
        <f>IF(A173="SERVIÇO",VLOOKUP(C173,SERVIÇOS!$A$6:$D$7645,3,0),IF(A173="INSUMO",VLOOKUP(C173,INSUMOS!$A$6:$D$6961,3,0),IF('036.01-20-SERV. GERAIS'!A173="COTAÇÃO",VLOOKUP('036.01-20-SERV. GERAIS'!C173,'036-20-Cotação'!$A$9:$G$529,4,0),IF('036.01-20-SERV. GERAIS'!A173="CCU",VLOOKUP('036.01-20-SERV. GERAIS'!C173,'036-20-CCU''s'!$B$9:$H$1962,4,0)))))</f>
        <v xml:space="preserve">UN    </v>
      </c>
      <c r="F173" s="453">
        <v>9</v>
      </c>
      <c r="G173" s="534">
        <f>IF(A173="SERVIÇO",VLOOKUP(C173,SERVIÇOS!$A$6:$D$7645,4,0),IF(A173="INSUMO",VLOOKUP(C173,INSUMOS!$A$6:$D$6961,4,0),IF('036.01-20-SERV. GERAIS'!A173="COTAÇÃO",VLOOKUP('036.01-20-SERV. GERAIS'!C173,'036-20-Cotação'!$A$9:$G$529,3,0),IF('036.01-20-SERV. GERAIS'!A173="CCU",VLOOKUP('036.01-20-SERV. GERAIS'!C173,'036-20-CCU''s'!$B$9:$H$1962,7,0)))))</f>
        <v>301.51256805232811</v>
      </c>
      <c r="H173" s="528">
        <f>BDI_O.A.E!$H$22</f>
        <v>0.18201100192553743</v>
      </c>
      <c r="I173" s="535">
        <f t="shared" ref="I173:I175" si="49">F173*(G173*(1+H173))</f>
        <v>3207.5205539100671</v>
      </c>
      <c r="K173" s="232">
        <f t="shared" si="44"/>
        <v>3207.5205539100671</v>
      </c>
    </row>
    <row r="174" spans="1:11" s="87" customFormat="1" ht="51">
      <c r="A174" s="232" t="s">
        <v>4543</v>
      </c>
      <c r="B174" s="324" t="s">
        <v>8150</v>
      </c>
      <c r="C174" s="324" t="s">
        <v>8194</v>
      </c>
      <c r="D174" s="451" t="str">
        <f>IF(A174="SERVIÇO",VLOOKUP(C174,SERVIÇOS!$A$6:$D$7645,2,0),IF(A174="INSUMO",VLOOKUP(C174,INSUMOS!$A$6:$D$6961,2,0),IF('036.01-20-SERV. GERAIS'!A174="COTAÇÃO",VLOOKUP('036.01-20-SERV. GERAIS'!C174,'036-20-Cotação'!$A$9:$G$529,2,0),IF('036.01-20-SERV. GERAIS'!A174="CCU",VLOOKUP('036.01-20-SERV. GERAIS'!C174,'036-20-CCU''s'!$B$9:$H$1962,2,0)))))</f>
        <v>APARELHO DE APOIO ESPECIAL (VASOFLON), TIPO ARTICULAÇÃO MÓVEL, MODELO VUE-700, COM CAPACIDADE DE 7000 KN. FORNECIMENTO</v>
      </c>
      <c r="E174" s="452" t="str">
        <f>IF(A174="SERVIÇO",VLOOKUP(C174,SERVIÇOS!$A$6:$D$7645,3,0),IF(A174="INSUMO",VLOOKUP(C174,INSUMOS!$A$6:$D$6961,3,0),IF('036.01-20-SERV. GERAIS'!A174="COTAÇÃO",VLOOKUP('036.01-20-SERV. GERAIS'!C174,'036-20-Cotação'!$A$9:$G$529,4,0),IF('036.01-20-SERV. GERAIS'!A174="CCU",VLOOKUP('036.01-20-SERV. GERAIS'!C174,'036-20-CCU''s'!$B$9:$H$1962,4,0)))))</f>
        <v xml:space="preserve">UN    </v>
      </c>
      <c r="F174" s="453">
        <v>2</v>
      </c>
      <c r="G174" s="534">
        <f>IF(A174="SERVIÇO",VLOOKUP(C174,SERVIÇOS!$A$6:$D$7645,4,0),IF(A174="INSUMO",VLOOKUP(C174,INSUMOS!$A$6:$D$6961,4,0),IF('036.01-20-SERV. GERAIS'!A174="COTAÇÃO",VLOOKUP('036.01-20-SERV. GERAIS'!C174,'036-20-Cotação'!$A$9:$G$529,3,0),IF('036.01-20-SERV. GERAIS'!A174="CCU",VLOOKUP('036.01-20-SERV. GERAIS'!C174,'036-20-CCU''s'!$B$9:$H$1962,7,0)))))</f>
        <v>20915.961100605869</v>
      </c>
      <c r="H174" s="528">
        <f>BDI_Equipamentos!$H$22</f>
        <v>0.10890619719771655</v>
      </c>
      <c r="I174" s="535">
        <f t="shared" si="49"/>
        <v>46387.677769616443</v>
      </c>
      <c r="K174" s="232">
        <f t="shared" si="44"/>
        <v>46387.677769616443</v>
      </c>
    </row>
    <row r="175" spans="1:11" s="87" customFormat="1" ht="38.25">
      <c r="A175" s="232" t="s">
        <v>4543</v>
      </c>
      <c r="B175" s="324" t="s">
        <v>8151</v>
      </c>
      <c r="C175" s="324" t="s">
        <v>8195</v>
      </c>
      <c r="D175" s="451" t="str">
        <f>IF(A175="SERVIÇO",VLOOKUP(C175,SERVIÇOS!$A$6:$D$7645,2,0),IF(A175="INSUMO",VLOOKUP(C175,INSUMOS!$A$6:$D$6961,2,0),IF('036.01-20-SERV. GERAIS'!A175="COTAÇÃO",VLOOKUP('036.01-20-SERV. GERAIS'!C175,'036-20-Cotação'!$A$9:$G$529,2,0),IF('036.01-20-SERV. GERAIS'!A175="CCU",VLOOKUP('036.01-20-SERV. GERAIS'!C175,'036-20-CCU''s'!$B$9:$H$1962,2,0)))))</f>
        <v>APARELHO DE APOIO ESPECIAL (VASOFLON), TIPO ARTICULAÇÃO MÓVEL, MODELO VUE-700, COM CAPACIDADE DE 7000 KN. INSTALAÇÃO</v>
      </c>
      <c r="E175" s="452" t="str">
        <f>IF(A175="SERVIÇO",VLOOKUP(C175,SERVIÇOS!$A$6:$D$7645,3,0),IF(A175="INSUMO",VLOOKUP(C175,INSUMOS!$A$6:$D$6961,3,0),IF('036.01-20-SERV. GERAIS'!A175="COTAÇÃO",VLOOKUP('036.01-20-SERV. GERAIS'!C175,'036-20-Cotação'!$A$9:$G$529,4,0),IF('036.01-20-SERV. GERAIS'!A175="CCU",VLOOKUP('036.01-20-SERV. GERAIS'!C175,'036-20-CCU''s'!$B$9:$H$1962,4,0)))))</f>
        <v xml:space="preserve">UN    </v>
      </c>
      <c r="F175" s="453">
        <v>2</v>
      </c>
      <c r="G175" s="534">
        <f>IF(A175="SERVIÇO",VLOOKUP(C175,SERVIÇOS!$A$6:$D$7645,4,0),IF(A175="INSUMO",VLOOKUP(C175,INSUMOS!$A$6:$D$6961,4,0),IF('036.01-20-SERV. GERAIS'!A175="COTAÇÃO",VLOOKUP('036.01-20-SERV. GERAIS'!C175,'036-20-Cotação'!$A$9:$G$529,3,0),IF('036.01-20-SERV. GERAIS'!A175="CCU",VLOOKUP('036.01-20-SERV. GERAIS'!C175,'036-20-CCU''s'!$B$9:$H$1962,7,0)))))</f>
        <v>320.78748094308912</v>
      </c>
      <c r="H175" s="528">
        <f>BDI_O.A.E!$H$22</f>
        <v>0.18201100192553743</v>
      </c>
      <c r="I175" s="535">
        <f t="shared" si="49"/>
        <v>758.34866350942002</v>
      </c>
      <c r="K175" s="232">
        <f t="shared" si="44"/>
        <v>758.34866350942002</v>
      </c>
    </row>
    <row r="176" spans="1:11" s="87" customFormat="1">
      <c r="A176" s="232"/>
      <c r="B176" s="88" t="s">
        <v>8201</v>
      </c>
      <c r="C176" s="88" t="s">
        <v>6348</v>
      </c>
      <c r="D176" s="215" t="s">
        <v>8203</v>
      </c>
      <c r="E176" s="152"/>
      <c r="F176" s="152"/>
      <c r="G176" s="152"/>
      <c r="H176" s="152"/>
      <c r="I176" s="153"/>
      <c r="K176" s="232">
        <f t="shared" si="44"/>
        <v>0</v>
      </c>
    </row>
    <row r="177" spans="1:13" s="87" customFormat="1" ht="51">
      <c r="A177" s="232" t="s">
        <v>4543</v>
      </c>
      <c r="B177" s="324" t="s">
        <v>8202</v>
      </c>
      <c r="C177" s="324">
        <v>3806419</v>
      </c>
      <c r="D177" s="451" t="str">
        <f>IF(A177="SERVIÇO",VLOOKUP(C177,SERVIÇOS!$A$6:$D$7645,2,0),IF(A177="INSUMO",VLOOKUP(C177,INSUMOS!$A$6:$D$6961,2,0),IF('036.01-20-SERV. GERAIS'!A177="COTAÇÃO",VLOOKUP('036.01-20-SERV. GERAIS'!C177,'036-20-Cotação'!$A$9:$G$529,2,0),IF('036.01-20-SERV. GERAIS'!A177="CCU",VLOOKUP('036.01-20-SERV. GERAIS'!C177,'036-20-CCU''s'!$B$9:$H$1962,2,0)))))</f>
        <v>ELEVAÇÃO DE ESTRUTURAS DE 1.470 A 1.960 KN PARA SUBSTITUIÇÃO DE APARELHO DE APOIO COM A UTILIZAÇÃO DE MACACO HIDRÁULICO</v>
      </c>
      <c r="E177" s="452" t="str">
        <f>IF(A177="SERVIÇO",VLOOKUP(C177,SERVIÇOS!$A$6:$D$7645,3,0),IF(A177="INSUMO",VLOOKUP(C177,INSUMOS!$A$6:$D$6961,3,0),IF('036.01-20-SERV. GERAIS'!A177="COTAÇÃO",VLOOKUP('036.01-20-SERV. GERAIS'!C177,'036-20-Cotação'!$A$9:$G$529,4,0),IF('036.01-20-SERV. GERAIS'!A177="CCU",VLOOKUP('036.01-20-SERV. GERAIS'!C177,'036-20-CCU''s'!$B$9:$H$1962,4,0)))))</f>
        <v>UN</v>
      </c>
      <c r="F177" s="453">
        <v>28</v>
      </c>
      <c r="G177" s="534">
        <f>IF(A177="SERVIÇO",VLOOKUP(C177,SERVIÇOS!$A$6:$D$7645,4,0),IF(A177="INSUMO",VLOOKUP(C177,INSUMOS!$A$6:$D$6961,4,0),IF('036.01-20-SERV. GERAIS'!A177="COTAÇÃO",VLOOKUP('036.01-20-SERV. GERAIS'!C177,'036-20-Cotação'!$A$9:$G$529,3,0),IF('036.01-20-SERV. GERAIS'!A177="CCU",VLOOKUP('036.01-20-SERV. GERAIS'!C177,'036-20-CCU''s'!$B$9:$H$1962,7,0)))))</f>
        <v>84.936874999999986</v>
      </c>
      <c r="H177" s="528">
        <f>BDI_O.A.E!$H$22</f>
        <v>0.18201100192553743</v>
      </c>
      <c r="I177" s="535">
        <f>F177*(G177*(1+H177))</f>
        <v>2811.0969801368751</v>
      </c>
      <c r="K177" s="232">
        <f t="shared" si="44"/>
        <v>2811.0969801368751</v>
      </c>
    </row>
    <row r="178" spans="1:13" s="87" customFormat="1" ht="38.25">
      <c r="A178" s="232" t="s">
        <v>4543</v>
      </c>
      <c r="B178" s="324" t="s">
        <v>8427</v>
      </c>
      <c r="C178" s="324" t="s">
        <v>7414</v>
      </c>
      <c r="D178" s="451" t="str">
        <f>IF(A178="SERVIÇO",VLOOKUP(C178,SERVIÇOS!$A$6:$D$7645,2,0),IF(A178="INSUMO",VLOOKUP(C178,INSUMOS!$A$6:$D$6961,2,0),IF('036.01-20-SERV. GERAIS'!A178="COTAÇÃO",VLOOKUP('036.01-20-SERV. GERAIS'!C178,'036-20-Cotação'!$A$9:$G$529,2,0),IF('036.01-20-SERV. GERAIS'!A178="CCU",VLOOKUP('036.01-20-SERV. GERAIS'!C178,'036-20-CCU''s'!$B$9:$H$1962,2,0)))))</f>
        <v>REALINHAMETO DE APARELHO DE APOIO ESPECIAL (VASOFLON), CASO NÃO HAJA NESSECIDADE DE SUBSTITUIÇÃO</v>
      </c>
      <c r="E178" s="452" t="str">
        <f>IF(A178="SERVIÇO",VLOOKUP(C178,SERVIÇOS!$A$6:$D$7645,3,0),IF(A178="INSUMO",VLOOKUP(C178,INSUMOS!$A$6:$D$6961,3,0),IF('036.01-20-SERV. GERAIS'!A178="COTAÇÃO",VLOOKUP('036.01-20-SERV. GERAIS'!C178,'036-20-Cotação'!$A$9:$G$529,4,0),IF('036.01-20-SERV. GERAIS'!A178="CCU",VLOOKUP('036.01-20-SERV. GERAIS'!C178,'036-20-CCU''s'!$B$9:$H$1962,4,0)))))</f>
        <v xml:space="preserve">UN    </v>
      </c>
      <c r="F178" s="453">
        <v>28</v>
      </c>
      <c r="G178" s="534">
        <f>IF(A178="SERVIÇO",VLOOKUP(C178,SERVIÇOS!$A$6:$D$7645,4,0),IF(A178="INSUMO",VLOOKUP(C178,INSUMOS!$A$6:$D$6961,4,0),IF('036.01-20-SERV. GERAIS'!A178="COTAÇÃO",VLOOKUP('036.01-20-SERV. GERAIS'!C178,'036-20-Cotação'!$A$9:$G$529,3,0),IF('036.01-20-SERV. GERAIS'!A178="CCU",VLOOKUP('036.01-20-SERV. GERAIS'!C178,'036-20-CCU''s'!$B$9:$H$1962,7,0)))))</f>
        <v>236.46809447163355</v>
      </c>
      <c r="H178" s="528">
        <f>BDI_O.A.E!$H$22</f>
        <v>0.18201100192553743</v>
      </c>
      <c r="I178" s="535">
        <f>F178*(G178*(1+H178))</f>
        <v>7826.2208995554693</v>
      </c>
      <c r="K178" s="232">
        <f t="shared" si="44"/>
        <v>7826.2208995554693</v>
      </c>
    </row>
    <row r="179" spans="1:13" s="87" customFormat="1">
      <c r="A179" s="232"/>
      <c r="B179" s="88" t="s">
        <v>8204</v>
      </c>
      <c r="C179" s="88" t="s">
        <v>6348</v>
      </c>
      <c r="D179" s="148" t="s">
        <v>8205</v>
      </c>
      <c r="E179" s="152"/>
      <c r="F179" s="152"/>
      <c r="G179" s="152"/>
      <c r="H179" s="152"/>
      <c r="I179" s="153"/>
      <c r="K179" s="232">
        <f t="shared" si="44"/>
        <v>0</v>
      </c>
    </row>
    <row r="180" spans="1:13" s="87" customFormat="1" ht="25.5">
      <c r="A180" s="232" t="s">
        <v>4543</v>
      </c>
      <c r="B180" s="324" t="s">
        <v>7369</v>
      </c>
      <c r="C180" s="324">
        <v>5914640</v>
      </c>
      <c r="D180" s="451" t="str">
        <f>IF(A180="SERVIÇO",VLOOKUP(C180,SERVIÇOS!$A$6:$D$7645,2,0),IF(A180="INSUMO",VLOOKUP(C180,INSUMOS!$A$6:$D$6961,2,0),IF('036.01-20-SERV. GERAIS'!A180="COTAÇÃO",VLOOKUP('036.01-20-SERV. GERAIS'!C180,'036-20-Cotação'!$A$9:$G$529,2,0),IF('036.01-20-SERV. GERAIS'!A180="CCU",VLOOKUP('036.01-20-SERV. GERAIS'!C180,'036-20-CCU''s'!$B$9:$H$1962,2,0)))))</f>
        <v>TRANSPORTE COM CAVALO MECÂNICO DE 30 T - RODOVIA PAVIMENTADA</v>
      </c>
      <c r="E180" s="452" t="str">
        <f>IF(A180="SERVIÇO",VLOOKUP(C180,SERVIÇOS!$A$6:$D$7645,3,0),IF(A180="INSUMO",VLOOKUP(C180,INSUMOS!$A$6:$D$6961,3,0),IF('036.01-20-SERV. GERAIS'!A180="COTAÇÃO",VLOOKUP('036.01-20-SERV. GERAIS'!C180,'036-20-Cotação'!$A$9:$G$529,4,0),IF('036.01-20-SERV. GERAIS'!A180="CCU",VLOOKUP('036.01-20-SERV. GERAIS'!C180,'036-20-CCU''s'!$B$9:$H$1962,4,0)))))</f>
        <v>T.KM</v>
      </c>
      <c r="F180" s="453">
        <f>4*1014</f>
        <v>4056</v>
      </c>
      <c r="G180" s="534">
        <f>IF(A180="SERVIÇO",VLOOKUP(C180,SERVIÇOS!$A$6:$D$7645,4,0),IF(A180="INSUMO",VLOOKUP(C180,INSUMOS!$A$6:$D$6961,4,0),IF('036.01-20-SERV. GERAIS'!A180="COTAÇÃO",VLOOKUP('036.01-20-SERV. GERAIS'!C180,'036-20-Cotação'!$A$9:$G$529,3,0),IF('036.01-20-SERV. GERAIS'!A180="CCU",VLOOKUP('036.01-20-SERV. GERAIS'!C180,'036-20-CCU''s'!$B$9:$H$1962,7,0)))))</f>
        <v>0.31865663998274985</v>
      </c>
      <c r="H180" s="528">
        <f>BDI_O.A.E!$H$22</f>
        <v>0.18201100192553743</v>
      </c>
      <c r="I180" s="535">
        <f>F180*(G180*(1+H180))</f>
        <v>1527.7153338255309</v>
      </c>
      <c r="K180" s="232">
        <f t="shared" si="44"/>
        <v>1527.7153338255309</v>
      </c>
      <c r="M180" s="87" t="s">
        <v>7869</v>
      </c>
    </row>
    <row r="181" spans="1:13" s="87" customFormat="1" ht="63.75">
      <c r="A181" s="232" t="s">
        <v>4543</v>
      </c>
      <c r="B181" s="324" t="s">
        <v>8211</v>
      </c>
      <c r="C181" s="324" t="s">
        <v>8206</v>
      </c>
      <c r="D181" s="451" t="str">
        <f>IF(A181="SERVIÇO",VLOOKUP(C181,SERVIÇOS!$A$6:$D$7645,2,0),IF(A181="INSUMO",VLOOKUP(C181,INSUMOS!$A$6:$D$6961,2,0),IF('036.01-20-SERV. GERAIS'!A181="COTAÇÃO",VLOOKUP('036.01-20-SERV. GERAIS'!C181,'036-20-Cotação'!$A$9:$G$529,2,0),IF('036.01-20-SERV. GERAIS'!A181="CCU",VLOOKUP('036.01-20-SERV. GERAIS'!C181,'036-20-CCU''s'!$B$9:$H$1962,2,0)))))</f>
        <v xml:space="preserve">DESPESAS COM PEDÁGIO PARA TRANSPORTE DOS APARELHOS DE APOIO DE SÃO PAULO PARA BRASÍLIA. EXCLUSO CP-177. BR-040, BR-050 E BANDEIRANTES. DUAS CARRETAS IDA (5 EIXOS) E VOLTA (4 EIXOS). </v>
      </c>
      <c r="E181" s="452" t="str">
        <f>IF(A181="SERVIÇO",VLOOKUP(C181,SERVIÇOS!$A$6:$D$7645,3,0),IF(A181="INSUMO",VLOOKUP(C181,INSUMOS!$A$6:$D$6961,3,0),IF('036.01-20-SERV. GERAIS'!A181="COTAÇÃO",VLOOKUP('036.01-20-SERV. GERAIS'!C181,'036-20-Cotação'!$A$9:$G$529,4,0),IF('036.01-20-SERV. GERAIS'!A181="CCU",VLOOKUP('036.01-20-SERV. GERAIS'!C181,'036-20-CCU''s'!$B$9:$H$1962,4,0)))))</f>
        <v xml:space="preserve">UN    </v>
      </c>
      <c r="F181" s="453">
        <v>1</v>
      </c>
      <c r="G181" s="534">
        <f>IF(A181="SERVIÇO",VLOOKUP(C181,SERVIÇOS!$A$6:$D$7645,4,0),IF(A181="INSUMO",VLOOKUP(C181,INSUMOS!$A$6:$D$6961,4,0),IF('036.01-20-SERV. GERAIS'!A181="COTAÇÃO",VLOOKUP('036.01-20-SERV. GERAIS'!C181,'036-20-Cotação'!$A$9:$G$529,3,0),IF('036.01-20-SERV. GERAIS'!A181="CCU",VLOOKUP('036.01-20-SERV. GERAIS'!C181,'036-20-CCU''s'!$B$9:$H$1962,7,0)))))</f>
        <v>642.6</v>
      </c>
      <c r="H181" s="528">
        <f>BDI_O.A.E!$H$22</f>
        <v>0.18201100192553743</v>
      </c>
      <c r="I181" s="535">
        <f>F181*(G181*(1+H181))</f>
        <v>759.56026983735035</v>
      </c>
      <c r="K181" s="232">
        <f t="shared" si="44"/>
        <v>759.56026983735035</v>
      </c>
    </row>
    <row r="182" spans="1:13" s="87" customFormat="1">
      <c r="A182" s="232"/>
      <c r="B182" s="88" t="s">
        <v>8112</v>
      </c>
      <c r="C182" s="88" t="s">
        <v>6348</v>
      </c>
      <c r="D182" s="151" t="s">
        <v>8436</v>
      </c>
      <c r="E182" s="152"/>
      <c r="F182" s="152"/>
      <c r="G182" s="152"/>
      <c r="H182" s="152"/>
      <c r="I182" s="153"/>
      <c r="K182" s="232">
        <f t="shared" si="44"/>
        <v>0</v>
      </c>
    </row>
    <row r="183" spans="1:13" s="87" customFormat="1">
      <c r="A183" s="232"/>
      <c r="B183" s="88" t="s">
        <v>7513</v>
      </c>
      <c r="C183" s="88" t="s">
        <v>6348</v>
      </c>
      <c r="D183" s="215" t="s">
        <v>8464</v>
      </c>
      <c r="E183" s="152"/>
      <c r="F183" s="152"/>
      <c r="G183" s="152"/>
      <c r="H183" s="152"/>
      <c r="I183" s="153"/>
      <c r="K183" s="232">
        <f t="shared" si="44"/>
        <v>0</v>
      </c>
    </row>
    <row r="184" spans="1:13" s="87" customFormat="1" ht="25.5">
      <c r="A184" s="232" t="s">
        <v>4543</v>
      </c>
      <c r="B184" s="324" t="s">
        <v>7371</v>
      </c>
      <c r="C184" s="324" t="s">
        <v>7417</v>
      </c>
      <c r="D184" s="451" t="str">
        <f>IF(A184="SERVIÇO",VLOOKUP(C184,SERVIÇOS!$A$6:$D$7645,2,0),IF(A184="INSUMO",VLOOKUP(C184,INSUMOS!$A$6:$D$6961,2,0),IF('036.01-20-SERV. GERAIS'!A184="COTAÇÃO",VLOOKUP('036.01-20-SERV. GERAIS'!C184,'036-20-Cotação'!$A$9:$G$529,2,0),IF('036.01-20-SERV. GERAIS'!A184="CCU",VLOOKUP('036.01-20-SERV. GERAIS'!C184,'036-20-CCU''s'!$B$9:$H$1962,2,0)))))</f>
        <v>REMOÇÃO DE JUNTA METÁLICA TIPO FIP GPE 200 - EXECUÇÃO</v>
      </c>
      <c r="E184" s="452" t="str">
        <f>IF(A184="SERVIÇO",VLOOKUP(C184,SERVIÇOS!$A$6:$D$7645,3,0),IF(A184="INSUMO",VLOOKUP(C184,INSUMOS!$A$6:$D$6961,3,0),IF('036.01-20-SERV. GERAIS'!A184="COTAÇÃO",VLOOKUP('036.01-20-SERV. GERAIS'!C184,'036-20-Cotação'!$A$9:$G$529,4,0),IF('036.01-20-SERV. GERAIS'!A184="CCU",VLOOKUP('036.01-20-SERV. GERAIS'!C184,'036-20-CCU''s'!$B$9:$H$1962,4,0)))))</f>
        <v>M</v>
      </c>
      <c r="F184" s="453">
        <v>36</v>
      </c>
      <c r="G184" s="534">
        <f>IF(A184="SERVIÇO",VLOOKUP(C184,SERVIÇOS!$A$6:$D$7645,4,0),IF(A184="INSUMO",VLOOKUP(C184,INSUMOS!$A$6:$D$6961,4,0),IF('036.01-20-SERV. GERAIS'!A184="COTAÇÃO",VLOOKUP('036.01-20-SERV. GERAIS'!C184,'036-20-Cotação'!$A$9:$G$529,3,0),IF('036.01-20-SERV. GERAIS'!A184="CCU",VLOOKUP('036.01-20-SERV. GERAIS'!C184,'036-20-CCU''s'!$B$9:$H$1962,7,0)))))</f>
        <v>76.803875267692305</v>
      </c>
      <c r="H184" s="528">
        <f>BDI_O.A.E!$H$22</f>
        <v>0.18201100192553743</v>
      </c>
      <c r="I184" s="535">
        <f>F184*(G184*(1+H184))</f>
        <v>3268.1889200494438</v>
      </c>
      <c r="K184" s="232">
        <f t="shared" si="44"/>
        <v>3268.1889200494438</v>
      </c>
    </row>
    <row r="185" spans="1:13" s="87" customFormat="1">
      <c r="A185" s="232" t="s">
        <v>4543</v>
      </c>
      <c r="B185" s="324" t="s">
        <v>7372</v>
      </c>
      <c r="C185" s="324" t="s">
        <v>13478</v>
      </c>
      <c r="D185" s="451" t="str">
        <f>IF(A185="SERVIÇO",VLOOKUP(C185,SERVIÇOS!$A$6:$D$7645,2,0),IF(A185="INSUMO",VLOOKUP(C185,INSUMOS!$A$6:$D$6961,2,0),IF('036.01-20-SERV. GERAIS'!A185="COTAÇÃO",VLOOKUP('036.01-20-SERV. GERAIS'!C185,'036-20-Cotação'!$A$9:$G$529,2,0),IF('036.01-20-SERV. GERAIS'!A185="CCU",VLOOKUP('036.01-20-SERV. GERAIS'!C185,'036-20-CCU''s'!$B$9:$H$1962,2,0)))))</f>
        <v>LIMPEZA DE JUNTA DE DILATAÇÃO</v>
      </c>
      <c r="E185" s="452" t="str">
        <f>IF(A185="SERVIÇO",VLOOKUP(C185,SERVIÇOS!$A$6:$D$7645,3,0),IF(A185="INSUMO",VLOOKUP(C185,INSUMOS!$A$6:$D$6961,3,0),IF('036.01-20-SERV. GERAIS'!A185="COTAÇÃO",VLOOKUP('036.01-20-SERV. GERAIS'!C185,'036-20-Cotação'!$A$9:$G$529,4,0),IF('036.01-20-SERV. GERAIS'!A185="CCU",VLOOKUP('036.01-20-SERV. GERAIS'!C185,'036-20-CCU''s'!$B$9:$H$1962,4,0)))))</f>
        <v>M</v>
      </c>
      <c r="F185" s="453">
        <v>36</v>
      </c>
      <c r="G185" s="534">
        <f>IF(A185="SERVIÇO",VLOOKUP(C185,SERVIÇOS!$A$6:$D$7645,4,0),IF(A185="INSUMO",VLOOKUP(C185,INSUMOS!$A$6:$D$6961,4,0),IF('036.01-20-SERV. GERAIS'!A185="COTAÇÃO",VLOOKUP('036.01-20-SERV. GERAIS'!C185,'036-20-Cotação'!$A$9:$G$529,3,0),IF('036.01-20-SERV. GERAIS'!A185="CCU",VLOOKUP('036.01-20-SERV. GERAIS'!C185,'036-20-CCU''s'!$B$9:$H$1962,7,0)))))</f>
        <v>4.7363597734340299</v>
      </c>
      <c r="H185" s="528">
        <f>BDI_O.A.E!$H$22</f>
        <v>0.18201100192553743</v>
      </c>
      <c r="I185" s="535">
        <f t="shared" ref="I185:I195" si="50">F185*(G185*(1+H185))</f>
        <v>201.5434570059565</v>
      </c>
      <c r="K185" s="232">
        <f t="shared" si="44"/>
        <v>201.5434570059565</v>
      </c>
    </row>
    <row r="186" spans="1:13" s="87" customFormat="1" ht="25.5">
      <c r="A186" s="232" t="s">
        <v>4543</v>
      </c>
      <c r="B186" s="324" t="s">
        <v>7373</v>
      </c>
      <c r="C186" s="324" t="s">
        <v>7418</v>
      </c>
      <c r="D186" s="451" t="str">
        <f>IF(A186="SERVIÇO",VLOOKUP(C186,SERVIÇOS!$A$6:$D$7645,2,0),IF(A186="INSUMO",VLOOKUP(C186,INSUMOS!$A$6:$D$6961,2,0),IF('036.01-20-SERV. GERAIS'!A186="COTAÇÃO",VLOOKUP('036.01-20-SERV. GERAIS'!C186,'036-20-Cotação'!$A$9:$G$529,2,0),IF('036.01-20-SERV. GERAIS'!A186="CCU",VLOOKUP('036.01-20-SERV. GERAIS'!C186,'036-20-CCU''s'!$B$9:$H$1962,2,0)))))</f>
        <v>PREENCHIMENTO DE TUBO COM CERA DE INJEÇÃO</v>
      </c>
      <c r="E186" s="452" t="str">
        <f>IF(A186="SERVIÇO",VLOOKUP(C186,SERVIÇOS!$A$6:$D$7645,3,0),IF(A186="INSUMO",VLOOKUP(C186,INSUMOS!$A$6:$D$6961,3,0),IF('036.01-20-SERV. GERAIS'!A186="COTAÇÃO",VLOOKUP('036.01-20-SERV. GERAIS'!C186,'036-20-Cotação'!$A$9:$G$529,4,0),IF('036.01-20-SERV. GERAIS'!A186="CCU",VLOOKUP('036.01-20-SERV. GERAIS'!C186,'036-20-CCU''s'!$B$9:$H$1962,4,0)))))</f>
        <v>KG</v>
      </c>
      <c r="F186" s="453">
        <v>30</v>
      </c>
      <c r="G186" s="534">
        <f>IF(A186="SERVIÇO",VLOOKUP(C186,SERVIÇOS!$A$6:$D$7645,4,0),IF(A186="INSUMO",VLOOKUP(C186,INSUMOS!$A$6:$D$6961,4,0),IF('036.01-20-SERV. GERAIS'!A186="COTAÇÃO",VLOOKUP('036.01-20-SERV. GERAIS'!C186,'036-20-Cotação'!$A$9:$G$529,3,0),IF('036.01-20-SERV. GERAIS'!A186="CCU",VLOOKUP('036.01-20-SERV. GERAIS'!C186,'036-20-CCU''s'!$B$9:$H$1962,7,0)))))</f>
        <v>16.118281828000001</v>
      </c>
      <c r="H186" s="528">
        <f>BDI_O.A.E!$H$22</f>
        <v>0.18201100192553743</v>
      </c>
      <c r="I186" s="535">
        <f t="shared" si="50"/>
        <v>571.55959358497387</v>
      </c>
      <c r="K186" s="232">
        <f t="shared" si="44"/>
        <v>571.55959358497387</v>
      </c>
    </row>
    <row r="187" spans="1:13" s="87" customFormat="1" ht="63.75">
      <c r="A187" s="232" t="s">
        <v>4543</v>
      </c>
      <c r="B187" s="324" t="s">
        <v>7374</v>
      </c>
      <c r="C187" s="324" t="s">
        <v>7419</v>
      </c>
      <c r="D187" s="451" t="str">
        <f>IF(A187="SERVIÇO",VLOOKUP(C187,SERVIÇOS!$A$6:$D$7645,2,0),IF(A187="INSUMO",VLOOKUP(C187,INSUMOS!$A$6:$D$6961,2,0),IF('036.01-20-SERV. GERAIS'!A187="COTAÇÃO",VLOOKUP('036.01-20-SERV. GERAIS'!C187,'036-20-Cotação'!$A$9:$G$529,2,0),IF('036.01-20-SERV. GERAIS'!A187="CCU",VLOOKUP('036.01-20-SERV. GERAIS'!C187,'036-20-CCU''s'!$B$9:$H$1962,2,0)))))</f>
        <v>TUBO EM AÇO CARBONO SEM COSTURA Ø 1 1/2", E= 3,68MM, SCHEDULE 40, COMPRIMENTO DE 150MM, PARA ENCAMISAMENTO DOS PARAFUSOS DE FIXAÇÃO</v>
      </c>
      <c r="E187" s="452" t="str">
        <f>IF(A187="SERVIÇO",VLOOKUP(C187,SERVIÇOS!$A$6:$D$7645,3,0),IF(A187="INSUMO",VLOOKUP(C187,INSUMOS!$A$6:$D$6961,3,0),IF('036.01-20-SERV. GERAIS'!A187="COTAÇÃO",VLOOKUP('036.01-20-SERV. GERAIS'!C187,'036-20-Cotação'!$A$9:$G$529,4,0),IF('036.01-20-SERV. GERAIS'!A187="CCU",VLOOKUP('036.01-20-SERV. GERAIS'!C187,'036-20-CCU''s'!$B$9:$H$1962,4,0)))))</f>
        <v>KG</v>
      </c>
      <c r="F187" s="453">
        <v>175</v>
      </c>
      <c r="G187" s="534">
        <f>IF(A187="SERVIÇO",VLOOKUP(C187,SERVIÇOS!$A$6:$D$7645,4,0),IF(A187="INSUMO",VLOOKUP(C187,INSUMOS!$A$6:$D$6961,4,0),IF('036.01-20-SERV. GERAIS'!A187="COTAÇÃO",VLOOKUP('036.01-20-SERV. GERAIS'!C187,'036-20-Cotação'!$A$9:$G$529,3,0),IF('036.01-20-SERV. GERAIS'!A187="CCU",VLOOKUP('036.01-20-SERV. GERAIS'!C187,'036-20-CCU''s'!$B$9:$H$1962,7,0)))))</f>
        <v>31.85698672799484</v>
      </c>
      <c r="H187" s="528">
        <f>BDI_O.A.E!$H$22</f>
        <v>0.18201100192553743</v>
      </c>
      <c r="I187" s="535">
        <f t="shared" ref="I187:I192" si="51">F187*(G187*(1+H187))</f>
        <v>6589.6790401200033</v>
      </c>
      <c r="K187" s="232">
        <f t="shared" si="44"/>
        <v>6589.6790401200033</v>
      </c>
      <c r="M187" s="87">
        <f>40320*6.32</f>
        <v>254822.40000000002</v>
      </c>
    </row>
    <row r="188" spans="1:13" s="87" customFormat="1">
      <c r="A188" s="232" t="s">
        <v>4543</v>
      </c>
      <c r="B188" s="324" t="s">
        <v>8528</v>
      </c>
      <c r="C188" s="324" t="s">
        <v>13477</v>
      </c>
      <c r="D188" s="451" t="str">
        <f>IF(A188="SERVIÇO",VLOOKUP(C188,SERVIÇOS!$A$6:$D$7645,2,0),IF(A188="INSUMO",VLOOKUP(C188,INSUMOS!$A$6:$D$6961,2,0),IF('036.01-20-SERV. GERAIS'!A188="COTAÇÃO",VLOOKUP('036.01-20-SERV. GERAIS'!C188,'036-20-Cotação'!$A$9:$G$529,2,0),IF('036.01-20-SERV. GERAIS'!A188="CCU",VLOOKUP('036.01-20-SERV. GERAIS'!C188,'036-20-CCU''s'!$B$9:$H$1962,2,0)))))</f>
        <v>APICOAMENTO MANUAL DE CONCRETO</v>
      </c>
      <c r="E188" s="452" t="str">
        <f>IF(A188="SERVIÇO",VLOOKUP(C188,SERVIÇOS!$A$6:$D$7645,3,0),IF(A188="INSUMO",VLOOKUP(C188,INSUMOS!$A$6:$D$6961,3,0),IF('036.01-20-SERV. GERAIS'!A188="COTAÇÃO",VLOOKUP('036.01-20-SERV. GERAIS'!C188,'036-20-Cotação'!$A$9:$G$529,4,0),IF('036.01-20-SERV. GERAIS'!A188="CCU",VLOOKUP('036.01-20-SERV. GERAIS'!C188,'036-20-CCU''s'!$B$9:$H$1962,4,0)))))</f>
        <v>M2</v>
      </c>
      <c r="F188" s="453">
        <f>0.35*36</f>
        <v>12.6</v>
      </c>
      <c r="G188" s="534">
        <f>IF(A188="SERVIÇO",VLOOKUP(C188,SERVIÇOS!$A$6:$D$7645,4,0),IF(A188="INSUMO",VLOOKUP(C188,INSUMOS!$A$6:$D$6961,4,0),IF('036.01-20-SERV. GERAIS'!A188="COTAÇÃO",VLOOKUP('036.01-20-SERV. GERAIS'!C188,'036-20-Cotação'!$A$9:$G$529,3,0),IF('036.01-20-SERV. GERAIS'!A188="CCU",VLOOKUP('036.01-20-SERV. GERAIS'!C188,'036-20-CCU''s'!$B$9:$H$1962,7,0)))))</f>
        <v>15.464981785714286</v>
      </c>
      <c r="H188" s="528">
        <f>BDI_O.A.E!$H$22</f>
        <v>0.18201100192553743</v>
      </c>
      <c r="I188" s="535">
        <f t="shared" si="51"/>
        <v>230.32521055268333</v>
      </c>
      <c r="K188" s="232">
        <f t="shared" ref="K188:K189" si="52">F188*(G188*(1+H188))</f>
        <v>230.32521055268333</v>
      </c>
    </row>
    <row r="189" spans="1:13" s="87" customFormat="1" ht="38.25">
      <c r="A189" s="232" t="s">
        <v>4543</v>
      </c>
      <c r="B189" s="324" t="s">
        <v>8529</v>
      </c>
      <c r="C189" s="324" t="s">
        <v>13471</v>
      </c>
      <c r="D189" s="451" t="str">
        <f>IF(A189="SERVIÇO",VLOOKUP(C189,SERVIÇOS!$A$6:$D$7645,2,0),IF(A189="INSUMO",VLOOKUP(C189,INSUMOS!$A$6:$D$6961,2,0),IF('036.01-20-SERV. GERAIS'!A189="COTAÇÃO",VLOOKUP('036.01-20-SERV. GERAIS'!C189,'036-20-Cotação'!$A$9:$G$529,2,0),IF('036.01-20-SERV. GERAIS'!A189="CCU",VLOOKUP('036.01-20-SERV. GERAIS'!C189,'036-20-CCU''s'!$B$9:$H$1962,2,0)))))</f>
        <v>PREPARO DE SUBSTRATO POR ESCARIFICAÇÃO MECÂNICA (ESP.= 7MM) COM DISCO DE DESBASTE</v>
      </c>
      <c r="E189" s="452" t="str">
        <f>IF(A189="SERVIÇO",VLOOKUP(C189,SERVIÇOS!$A$6:$D$7645,3,0),IF(A189="INSUMO",VLOOKUP(C189,INSUMOS!$A$6:$D$6961,3,0),IF('036.01-20-SERV. GERAIS'!A189="COTAÇÃO",VLOOKUP('036.01-20-SERV. GERAIS'!C189,'036-20-Cotação'!$A$9:$G$529,4,0),IF('036.01-20-SERV. GERAIS'!A189="CCU",VLOOKUP('036.01-20-SERV. GERAIS'!C189,'036-20-CCU''s'!$B$9:$H$1962,4,0)))))</f>
        <v>M2</v>
      </c>
      <c r="F189" s="453">
        <v>25.2</v>
      </c>
      <c r="G189" s="534">
        <f>IF(A189="SERVIÇO",VLOOKUP(C189,SERVIÇOS!$A$6:$D$7645,4,0),IF(A189="INSUMO",VLOOKUP(C189,INSUMOS!$A$6:$D$6961,4,0),IF('036.01-20-SERV. GERAIS'!A189="COTAÇÃO",VLOOKUP('036.01-20-SERV. GERAIS'!C189,'036-20-Cotação'!$A$9:$G$529,3,0),IF('036.01-20-SERV. GERAIS'!A189="CCU",VLOOKUP('036.01-20-SERV. GERAIS'!C189,'036-20-CCU''s'!$B$9:$H$1962,7,0)))))</f>
        <v>88.008390750000004</v>
      </c>
      <c r="H189" s="528">
        <f>BDI_O.A.E!$H$22</f>
        <v>0.18201100192553743</v>
      </c>
      <c r="I189" s="535">
        <f t="shared" ref="I189" si="53">F189*(G189*(1+H189))</f>
        <v>2621.4775304321952</v>
      </c>
      <c r="K189" s="232">
        <f t="shared" si="52"/>
        <v>2621.4775304321952</v>
      </c>
    </row>
    <row r="190" spans="1:13" s="87" customFormat="1" ht="25.5">
      <c r="A190" s="232" t="s">
        <v>4543</v>
      </c>
      <c r="B190" s="324" t="s">
        <v>8530</v>
      </c>
      <c r="C190" s="324" t="s">
        <v>13472</v>
      </c>
      <c r="D190" s="451" t="str">
        <f>IF(A190="SERVIÇO",VLOOKUP(C190,SERVIÇOS!$A$6:$D$7645,2,0),IF(A190="INSUMO",VLOOKUP(C190,INSUMOS!$A$6:$D$6961,2,0),IF('036.01-20-SERV. GERAIS'!A190="COTAÇÃO",VLOOKUP('036.01-20-SERV. GERAIS'!C190,'036-20-Cotação'!$A$9:$G$529,2,0),IF('036.01-20-SERV. GERAIS'!A190="CCU",VLOOKUP('036.01-20-SERV. GERAIS'!C190,'036-20-CCU''s'!$B$9:$H$1962,2,0)))))</f>
        <v>MICROCONCRETO AUTOADENSÁVEL PARA REPAROS E GROUTEAMENTO</v>
      </c>
      <c r="E190" s="452" t="str">
        <f>IF(A190="SERVIÇO",VLOOKUP(C190,SERVIÇOS!$A$6:$D$7645,3,0),IF(A190="INSUMO",VLOOKUP(C190,INSUMOS!$A$6:$D$6961,3,0),IF('036.01-20-SERV. GERAIS'!A190="COTAÇÃO",VLOOKUP('036.01-20-SERV. GERAIS'!C190,'036-20-Cotação'!$A$9:$G$529,4,0),IF('036.01-20-SERV. GERAIS'!A190="CCU",VLOOKUP('036.01-20-SERV. GERAIS'!C190,'036-20-CCU''s'!$B$9:$H$1962,4,0)))))</f>
        <v>M3</v>
      </c>
      <c r="F190" s="453">
        <f>0.35*36*0.01</f>
        <v>0.126</v>
      </c>
      <c r="G190" s="534">
        <f>IF(A190="SERVIÇO",VLOOKUP(C190,SERVIÇOS!$A$6:$D$7645,4,0),IF(A190="INSUMO",VLOOKUP(C190,INSUMOS!$A$6:$D$6961,4,0),IF('036.01-20-SERV. GERAIS'!A190="COTAÇÃO",VLOOKUP('036.01-20-SERV. GERAIS'!C190,'036-20-Cotação'!$A$9:$G$529,3,0),IF('036.01-20-SERV. GERAIS'!A190="CCU",VLOOKUP('036.01-20-SERV. GERAIS'!C190,'036-20-CCU''s'!$B$9:$H$1962,7,0)))))</f>
        <v>2661.3112410715453</v>
      </c>
      <c r="H190" s="528">
        <f>BDI_O.A.E!$H$22</f>
        <v>0.18201100192553743</v>
      </c>
      <c r="I190" s="535">
        <f t="shared" ref="I190" si="54">F190*(G190*(1+H190))</f>
        <v>396.35809497832878</v>
      </c>
      <c r="K190" s="232">
        <f t="shared" ref="K190" si="55">F190*(G190*(1+H190))</f>
        <v>396.35809497832878</v>
      </c>
      <c r="M190" s="87" t="s">
        <v>13475</v>
      </c>
    </row>
    <row r="191" spans="1:13" s="87" customFormat="1" ht="25.5">
      <c r="A191" s="232" t="s">
        <v>4543</v>
      </c>
      <c r="B191" s="324" t="s">
        <v>8531</v>
      </c>
      <c r="C191" s="324" t="s">
        <v>13480</v>
      </c>
      <c r="D191" s="451" t="str">
        <f>IF(A191="SERVIÇO",VLOOKUP(C191,SERVIÇOS!$A$6:$D$7645,2,0),IF(A191="INSUMO",VLOOKUP(C191,INSUMOS!$A$6:$D$6961,2,0),IF('036.01-20-SERV. GERAIS'!A191="COTAÇÃO",VLOOKUP('036.01-20-SERV. GERAIS'!C191,'036-20-Cotação'!$A$9:$G$529,2,0),IF('036.01-20-SERV. GERAIS'!A191="CCU",VLOOKUP('036.01-20-SERV. GERAIS'!C191,'036-20-CCU''s'!$B$9:$H$1962,2,0)))))</f>
        <v>FORNECIMENTO E APLICAÇÃO DE ADESIVO ESTRUTURAL À BASE DE RESINA EPÓXI</v>
      </c>
      <c r="E191" s="452" t="str">
        <f>IF(A191="SERVIÇO",VLOOKUP(C191,SERVIÇOS!$A$6:$D$7645,3,0),IF(A191="INSUMO",VLOOKUP(C191,INSUMOS!$A$6:$D$6961,3,0),IF('036.01-20-SERV. GERAIS'!A191="COTAÇÃO",VLOOKUP('036.01-20-SERV. GERAIS'!C191,'036-20-Cotação'!$A$9:$G$529,4,0),IF('036.01-20-SERV. GERAIS'!A191="CCU",VLOOKUP('036.01-20-SERV. GERAIS'!C191,'036-20-CCU''s'!$B$9:$H$1962,4,0)))))</f>
        <v>KG</v>
      </c>
      <c r="F191" s="453">
        <v>220</v>
      </c>
      <c r="G191" s="534">
        <f>IF(A191="SERVIÇO",VLOOKUP(C191,SERVIÇOS!$A$6:$D$7645,4,0),IF(A191="INSUMO",VLOOKUP(C191,INSUMOS!$A$6:$D$6961,4,0),IF('036.01-20-SERV. GERAIS'!A191="COTAÇÃO",VLOOKUP('036.01-20-SERV. GERAIS'!C191,'036-20-Cotação'!$A$9:$G$529,3,0),IF('036.01-20-SERV. GERAIS'!A191="CCU",VLOOKUP('036.01-20-SERV. GERAIS'!C191,'036-20-CCU''s'!$B$9:$H$1962,7,0)))))</f>
        <v>48.909482790080531</v>
      </c>
      <c r="H191" s="528">
        <f>BDI_O.A.E!$H$22</f>
        <v>0.18201100192553743</v>
      </c>
      <c r="I191" s="535">
        <f t="shared" ref="I191" si="56">F191*(G191*(1+H191))</f>
        <v>12718.540286399841</v>
      </c>
      <c r="K191" s="232">
        <f t="shared" ref="K191" si="57">F191*(G191*(1+H191))</f>
        <v>12718.540286399841</v>
      </c>
      <c r="M191" s="87" t="s">
        <v>13475</v>
      </c>
    </row>
    <row r="192" spans="1:13" s="87" customFormat="1" ht="63.75">
      <c r="A192" s="232" t="s">
        <v>4543</v>
      </c>
      <c r="B192" s="324" t="s">
        <v>13459</v>
      </c>
      <c r="C192" s="324" t="s">
        <v>13454</v>
      </c>
      <c r="D192" s="451" t="str">
        <f>IF(A192="SERVIÇO",VLOOKUP(C192,SERVIÇOS!$A$6:$D$7645,2,0),IF(A192="INSUMO",VLOOKUP(C192,INSUMOS!$A$6:$D$6961,2,0),IF('036.01-20-SERV. GERAIS'!A192="COTAÇÃO",VLOOKUP('036.01-20-SERV. GERAIS'!C192,'036-20-Cotação'!$A$9:$G$529,2,0),IF('036.01-20-SERV. GERAIS'!A192="CCU",VLOOKUP('036.01-20-SERV. GERAIS'!C192,'036-20-CCU''s'!$B$9:$H$1962,2,0)))))</f>
        <v>SERVIÇO DE APOIO PARA INSTALAÇÃO DA JUNTA DE DILATAÇÃO METÁLICA DE MOVIMENTAÇÃO TIPO AGFLEXJ 200 (AGOM INTERNATIONAL), COM DIMENSÕES TRANSVERSAIS DE 802X71MM</v>
      </c>
      <c r="E192" s="452" t="str">
        <f>IF(A192="SERVIÇO",VLOOKUP(C192,SERVIÇOS!$A$6:$D$7645,3,0),IF(A192="INSUMO",VLOOKUP(C192,INSUMOS!$A$6:$D$6961,3,0),IF('036.01-20-SERV. GERAIS'!A192="COTAÇÃO",VLOOKUP('036.01-20-SERV. GERAIS'!C192,'036-20-Cotação'!$A$9:$G$529,4,0),IF('036.01-20-SERV. GERAIS'!A192="CCU",VLOOKUP('036.01-20-SERV. GERAIS'!C192,'036-20-CCU''s'!$B$9:$H$1962,4,0)))))</f>
        <v>M</v>
      </c>
      <c r="F192" s="453">
        <v>36</v>
      </c>
      <c r="G192" s="534">
        <f>IF(A192="SERVIÇO",VLOOKUP(C192,SERVIÇOS!$A$6:$D$7645,4,0),IF(A192="INSUMO",VLOOKUP(C192,INSUMOS!$A$6:$D$6961,4,0),IF('036.01-20-SERV. GERAIS'!A192="COTAÇÃO",VLOOKUP('036.01-20-SERV. GERAIS'!C192,'036-20-Cotação'!$A$9:$G$529,3,0),IF('036.01-20-SERV. GERAIS'!A192="CCU",VLOOKUP('036.01-20-SERV. GERAIS'!C192,'036-20-CCU''s'!$B$9:$H$1962,7,0)))))</f>
        <v>112.53644451606843</v>
      </c>
      <c r="H192" s="528">
        <f>BDI_O.A.E!$H$22</f>
        <v>0.18201100192553743</v>
      </c>
      <c r="I192" s="535">
        <f t="shared" si="51"/>
        <v>4788.6953592807249</v>
      </c>
      <c r="K192" s="232">
        <f t="shared" ref="K192" si="58">F192*(G192*(1+H192))</f>
        <v>4788.6953592807249</v>
      </c>
    </row>
    <row r="193" spans="1:13" s="87" customFormat="1" ht="63.75">
      <c r="A193" s="232" t="s">
        <v>4543</v>
      </c>
      <c r="B193" s="324" t="s">
        <v>26993</v>
      </c>
      <c r="C193" s="324" t="s">
        <v>7420</v>
      </c>
      <c r="D193" s="451" t="str">
        <f>IF(A193="SERVIÇO",VLOOKUP(C193,SERVIÇOS!$A$6:$D$7645,2,0),IF(A193="INSUMO",VLOOKUP(C193,INSUMOS!$A$6:$D$6961,2,0),IF('036.01-20-SERV. GERAIS'!A193="COTAÇÃO",VLOOKUP('036.01-20-SERV. GERAIS'!C193,'036-20-Cotação'!$A$9:$G$529,2,0),IF('036.01-20-SERV. GERAIS'!A193="CCU",VLOOKUP('036.01-20-SERV. GERAIS'!C193,'036-20-CCU''s'!$B$9:$H$1962,2,0)))))</f>
        <v>JUNTA DE DILATAÇÃO METÁLICA DE MOVIMENTAÇÃO TIPO AGFLEXJ 200 (AGOM INTERNATIONAL), COM DIMENSÕES TRANSVERSAIS DE 802X71MM - EXCLUINDO A JUNTA</v>
      </c>
      <c r="E193" s="452" t="str">
        <f>IF(A193="SERVIÇO",VLOOKUP(C193,SERVIÇOS!$A$6:$D$7645,3,0),IF(A193="INSUMO",VLOOKUP(C193,INSUMOS!$A$6:$D$6961,3,0),IF('036.01-20-SERV. GERAIS'!A193="COTAÇÃO",VLOOKUP('036.01-20-SERV. GERAIS'!C193,'036-20-Cotação'!$A$9:$G$529,4,0),IF('036.01-20-SERV. GERAIS'!A193="CCU",VLOOKUP('036.01-20-SERV. GERAIS'!C193,'036-20-CCU''s'!$B$9:$H$1962,4,0)))))</f>
        <v>M</v>
      </c>
      <c r="F193" s="453">
        <v>36</v>
      </c>
      <c r="G193" s="534">
        <f>IF(A193="SERVIÇO",VLOOKUP(C193,SERVIÇOS!$A$6:$D$7645,4,0),IF(A193="INSUMO",VLOOKUP(C193,INSUMOS!$A$6:$D$6961,4,0),IF('036.01-20-SERV. GERAIS'!A193="COTAÇÃO",VLOOKUP('036.01-20-SERV. GERAIS'!C193,'036-20-Cotação'!$A$9:$G$529,3,0),IF('036.01-20-SERV. GERAIS'!A193="CCU",VLOOKUP('036.01-20-SERV. GERAIS'!C193,'036-20-CCU''s'!$B$9:$H$1962,7,0)))))</f>
        <v>97.114555298638209</v>
      </c>
      <c r="H193" s="528">
        <f>BDI_O.A.E!$H$22</f>
        <v>0.18201100192553743</v>
      </c>
      <c r="I193" s="535">
        <f t="shared" ref="I193" si="59">F193*(G193*(1+H193))</f>
        <v>4132.4570211634691</v>
      </c>
      <c r="K193" s="232">
        <f t="shared" si="44"/>
        <v>4132.4570211634691</v>
      </c>
    </row>
    <row r="194" spans="1:13" s="87" customFormat="1" ht="63.75">
      <c r="A194" s="232" t="s">
        <v>4543</v>
      </c>
      <c r="B194" s="324" t="s">
        <v>26994</v>
      </c>
      <c r="C194" s="324" t="s">
        <v>7421</v>
      </c>
      <c r="D194" s="451" t="str">
        <f>IF(A194="SERVIÇO",VLOOKUP(C194,SERVIÇOS!$A$6:$D$7645,2,0),IF(A194="INSUMO",VLOOKUP(C194,INSUMOS!$A$6:$D$6961,2,0),IF('036.01-20-SERV. GERAIS'!A194="COTAÇÃO",VLOOKUP('036.01-20-SERV. GERAIS'!C194,'036-20-Cotação'!$A$9:$G$529,2,0),IF('036.01-20-SERV. GERAIS'!A194="CCU",VLOOKUP('036.01-20-SERV. GERAIS'!C194,'036-20-CCU''s'!$B$9:$H$1962,2,0)))))</f>
        <v>JUNTA DE DILATAÇÃO METÁLICA DE MOVIMENTAÇÃO TIPO AGFLEXJ 200 (AGOM INTERNATIONAL), COM DIMENSÕES TRANSVERSAIS DE 802X71MM - FORNECIMENTO</v>
      </c>
      <c r="E194" s="452" t="str">
        <f>IF(A194="SERVIÇO",VLOOKUP(C194,SERVIÇOS!$A$6:$D$7645,3,0),IF(A194="INSUMO",VLOOKUP(C194,INSUMOS!$A$6:$D$6961,3,0),IF('036.01-20-SERV. GERAIS'!A194="COTAÇÃO",VLOOKUP('036.01-20-SERV. GERAIS'!C194,'036-20-Cotação'!$A$9:$G$529,4,0),IF('036.01-20-SERV. GERAIS'!A194="CCU",VLOOKUP('036.01-20-SERV. GERAIS'!C194,'036-20-CCU''s'!$B$9:$H$1962,4,0)))))</f>
        <v>M</v>
      </c>
      <c r="F194" s="453">
        <v>36</v>
      </c>
      <c r="G194" s="534">
        <f>IF(A194="SERVIÇO",VLOOKUP(C194,SERVIÇOS!$A$6:$D$7645,4,0),IF(A194="INSUMO",VLOOKUP(C194,INSUMOS!$A$6:$D$6961,4,0),IF('036.01-20-SERV. GERAIS'!A194="COTAÇÃO",VLOOKUP('036.01-20-SERV. GERAIS'!C194,'036-20-Cotação'!$A$9:$G$529,3,0),IF('036.01-20-SERV. GERAIS'!A194="CCU",VLOOKUP('036.01-20-SERV. GERAIS'!C194,'036-20-CCU''s'!$B$9:$H$1962,7,0)))))</f>
        <v>6104.1334624975279</v>
      </c>
      <c r="H194" s="528">
        <f>BDI_Equipamentos!$H$22</f>
        <v>0.10890619719771655</v>
      </c>
      <c r="I194" s="535">
        <f>F194*(G194*(1+H194))</f>
        <v>243680.81130307668</v>
      </c>
      <c r="K194" s="232">
        <f t="shared" si="44"/>
        <v>243680.81130307668</v>
      </c>
    </row>
    <row r="195" spans="1:13" s="87" customFormat="1" ht="25.5">
      <c r="A195" s="232" t="s">
        <v>4543</v>
      </c>
      <c r="B195" s="324" t="s">
        <v>26995</v>
      </c>
      <c r="C195" s="324" t="s">
        <v>7422</v>
      </c>
      <c r="D195" s="451" t="str">
        <f>IF(A195="SERVIÇO",VLOOKUP(C195,SERVIÇOS!$A$6:$D$7645,2,0),IF(A195="INSUMO",VLOOKUP(C195,INSUMOS!$A$6:$D$6961,2,0),IF('036.01-20-SERV. GERAIS'!A195="COTAÇÃO",VLOOKUP('036.01-20-SERV. GERAIS'!C195,'036-20-Cotação'!$A$9:$G$529,2,0),IF('036.01-20-SERV. GERAIS'!A195="CCU",VLOOKUP('036.01-20-SERV. GERAIS'!C195,'036-20-CCU''s'!$B$9:$H$1962,2,0)))))</f>
        <v>PORCA E ARRUELA M20 ASTM GR8 - FORNECIMENTO E INSTALAÇÃO</v>
      </c>
      <c r="E195" s="452" t="str">
        <f>IF(A195="SERVIÇO",VLOOKUP(C195,SERVIÇOS!$A$6:$D$7645,3,0),IF(A195="INSUMO",VLOOKUP(C195,INSUMOS!$A$6:$D$6961,3,0),IF('036.01-20-SERV. GERAIS'!A195="COTAÇÃO",VLOOKUP('036.01-20-SERV. GERAIS'!C195,'036-20-Cotação'!$A$9:$G$529,4,0),IF('036.01-20-SERV. GERAIS'!A195="CCU",VLOOKUP('036.01-20-SERV. GERAIS'!C195,'036-20-CCU''s'!$B$9:$H$1962,4,0)))))</f>
        <v xml:space="preserve">UN    </v>
      </c>
      <c r="F195" s="453">
        <f>486/2</f>
        <v>243</v>
      </c>
      <c r="G195" s="534">
        <f>IF(A195="SERVIÇO",VLOOKUP(C195,SERVIÇOS!$A$6:$D$7645,4,0),IF(A195="INSUMO",VLOOKUP(C195,INSUMOS!$A$6:$D$6961,4,0),IF('036.01-20-SERV. GERAIS'!A195="COTAÇÃO",VLOOKUP('036.01-20-SERV. GERAIS'!C195,'036-20-Cotação'!$A$9:$G$529,3,0),IF('036.01-20-SERV. GERAIS'!A195="CCU",VLOOKUP('036.01-20-SERV. GERAIS'!C195,'036-20-CCU''s'!$B$9:$H$1962,7,0)))))</f>
        <v>5.8684692588550575</v>
      </c>
      <c r="H195" s="528">
        <f>BDI_O.A.E!$H$22</f>
        <v>0.18201100192553743</v>
      </c>
      <c r="I195" s="535">
        <f t="shared" si="50"/>
        <v>1685.5926405081213</v>
      </c>
      <c r="K195" s="232">
        <f t="shared" si="44"/>
        <v>1685.5926405081213</v>
      </c>
    </row>
    <row r="196" spans="1:13" s="87" customFormat="1">
      <c r="A196" s="232"/>
      <c r="B196" s="88" t="s">
        <v>13214</v>
      </c>
      <c r="C196" s="88" t="s">
        <v>6348</v>
      </c>
      <c r="D196" s="148" t="s">
        <v>13217</v>
      </c>
      <c r="E196" s="152"/>
      <c r="F196" s="152"/>
      <c r="G196" s="152"/>
      <c r="H196" s="152"/>
      <c r="I196" s="153"/>
      <c r="K196" s="232">
        <f t="shared" ref="K196:K198" si="60">F196*(G196*(1+H196))</f>
        <v>0</v>
      </c>
    </row>
    <row r="197" spans="1:13" s="87" customFormat="1" ht="25.5">
      <c r="A197" s="232" t="s">
        <v>4543</v>
      </c>
      <c r="B197" s="324" t="s">
        <v>13215</v>
      </c>
      <c r="C197" s="324">
        <v>5914479</v>
      </c>
      <c r="D197" s="451" t="str">
        <f>IF(A197="SERVIÇO",VLOOKUP(C197,SERVIÇOS!$A$6:$D$7645,2,0),IF(A197="INSUMO",VLOOKUP(C197,INSUMOS!$A$6:$D$6961,2,0),IF('036.01-20-SERV. GERAIS'!A197="COTAÇÃO",VLOOKUP('036.01-20-SERV. GERAIS'!C197,'036-20-Cotação'!$A$9:$G$529,2,0),IF('036.01-20-SERV. GERAIS'!A197="CCU",VLOOKUP('036.01-20-SERV. GERAIS'!C197,'036-20-CCU''s'!$B$9:$H$1962,2,0)))))</f>
        <v>TRANSPORTE COM CAMINHÃO CARROCERIA DE 15 T - RODOVIA PAVIMENTADA</v>
      </c>
      <c r="E197" s="452" t="str">
        <f>IF(A197="SERVIÇO",VLOOKUP(C197,SERVIÇOS!$A$6:$D$7645,3,0),IF(A197="INSUMO",VLOOKUP(C197,INSUMOS!$A$6:$D$6961,3,0),IF('036.01-20-SERV. GERAIS'!A197="COTAÇÃO",VLOOKUP('036.01-20-SERV. GERAIS'!C197,'036-20-Cotação'!$A$9:$G$529,4,0),IF('036.01-20-SERV. GERAIS'!A197="CCU",VLOOKUP('036.01-20-SERV. GERAIS'!C197,'036-20-CCU''s'!$B$9:$H$1962,4,0)))))</f>
        <v>T.KM</v>
      </c>
      <c r="F197" s="453">
        <f>4.86*1014</f>
        <v>4928.04</v>
      </c>
      <c r="G197" s="534">
        <f>IF(A197="SERVIÇO",VLOOKUP(C197,SERVIÇOS!$A$6:$D$7645,4,0),IF(A197="INSUMO",VLOOKUP(C197,INSUMOS!$A$6:$D$6961,4,0),IF('036.01-20-SERV. GERAIS'!A197="COTAÇÃO",VLOOKUP('036.01-20-SERV. GERAIS'!C197,'036-20-Cotação'!$A$9:$G$529,3,0),IF('036.01-20-SERV. GERAIS'!A197="CCU",VLOOKUP('036.01-20-SERV. GERAIS'!C197,'036-20-CCU''s'!$B$9:$H$1962,7,0)))))</f>
        <v>0.41662034805890225</v>
      </c>
      <c r="H197" s="528">
        <f>BDI_O.A.E!$H$22</f>
        <v>0.18201100192553743</v>
      </c>
      <c r="I197" s="535">
        <f>F197*(G197*(1+H197))</f>
        <v>2426.8124850294671</v>
      </c>
      <c r="K197" s="232">
        <f t="shared" si="60"/>
        <v>2426.8124850294671</v>
      </c>
      <c r="M197" s="87" t="s">
        <v>7869</v>
      </c>
    </row>
    <row r="198" spans="1:13" s="87" customFormat="1" ht="76.5">
      <c r="A198" s="232" t="s">
        <v>4543</v>
      </c>
      <c r="B198" s="324" t="s">
        <v>13216</v>
      </c>
      <c r="C198" s="324" t="s">
        <v>13218</v>
      </c>
      <c r="D198" s="451" t="str">
        <f>IF(A198="SERVIÇO",VLOOKUP(C198,SERVIÇOS!$A$6:$D$7645,2,0),IF(A198="INSUMO",VLOOKUP(C198,INSUMOS!$A$6:$D$6961,2,0),IF('036.01-20-SERV. GERAIS'!A198="COTAÇÃO",VLOOKUP('036.01-20-SERV. GERAIS'!C198,'036-20-Cotação'!$A$9:$G$529,2,0),IF('036.01-20-SERV. GERAIS'!A198="CCU",VLOOKUP('036.01-20-SERV. GERAIS'!C198,'036-20-CCU''s'!$B$9:$H$1962,2,0)))))</f>
        <v xml:space="preserve">DESPESAS COM PEDÁGIO PARA TRANSPORTE DOS JUNTAS DE DILATAÇÃO DE SÃO PAULO PARA BRASÍLIA. EXCLUSO CP-177. BR-040, BR-050 E BANDEIRANTES. UM CAMINHÃO CARROCERIA IDA (3 EIXOS) E VOLTA (2 EIXOS). </v>
      </c>
      <c r="E198" s="452" t="str">
        <f>IF(A198="SERVIÇO",VLOOKUP(C198,SERVIÇOS!$A$6:$D$7645,3,0),IF(A198="INSUMO",VLOOKUP(C198,INSUMOS!$A$6:$D$6961,3,0),IF('036.01-20-SERV. GERAIS'!A198="COTAÇÃO",VLOOKUP('036.01-20-SERV. GERAIS'!C198,'036-20-Cotação'!$A$9:$G$529,4,0),IF('036.01-20-SERV. GERAIS'!A198="CCU",VLOOKUP('036.01-20-SERV. GERAIS'!C198,'036-20-CCU''s'!$B$9:$H$1962,4,0)))))</f>
        <v xml:space="preserve">UN    </v>
      </c>
      <c r="F198" s="453">
        <v>1</v>
      </c>
      <c r="G198" s="534">
        <f>IF(A198="SERVIÇO",VLOOKUP(C198,SERVIÇOS!$A$6:$D$7645,4,0),IF(A198="INSUMO",VLOOKUP(C198,INSUMOS!$A$6:$D$6961,4,0),IF('036.01-20-SERV. GERAIS'!A198="COTAÇÃO",VLOOKUP('036.01-20-SERV. GERAIS'!C198,'036-20-Cotação'!$A$9:$G$529,3,0),IF('036.01-20-SERV. GERAIS'!A198="CCU",VLOOKUP('036.01-20-SERV. GERAIS'!C198,'036-20-CCU''s'!$B$9:$H$1962,7,0)))))</f>
        <v>357</v>
      </c>
      <c r="H198" s="528">
        <f>BDI_O.A.E!$H$22</f>
        <v>0.18201100192553743</v>
      </c>
      <c r="I198" s="535">
        <f>F198*(G198*(1+H198))</f>
        <v>421.97792768741687</v>
      </c>
      <c r="K198" s="232">
        <f t="shared" si="60"/>
        <v>421.97792768741687</v>
      </c>
    </row>
    <row r="199" spans="1:13" s="87" customFormat="1">
      <c r="A199" s="232"/>
      <c r="B199" s="88" t="s">
        <v>7512</v>
      </c>
      <c r="C199" s="88" t="s">
        <v>6348</v>
      </c>
      <c r="D199" s="148" t="s">
        <v>7377</v>
      </c>
      <c r="E199" s="149"/>
      <c r="F199" s="149"/>
      <c r="G199" s="149"/>
      <c r="H199" s="149"/>
      <c r="I199" s="150"/>
      <c r="K199" s="232">
        <f t="shared" si="44"/>
        <v>0</v>
      </c>
    </row>
    <row r="200" spans="1:13" s="87" customFormat="1">
      <c r="A200" s="232"/>
      <c r="B200" s="88" t="s">
        <v>7511</v>
      </c>
      <c r="C200" s="88" t="s">
        <v>6348</v>
      </c>
      <c r="D200" s="148" t="s">
        <v>7378</v>
      </c>
      <c r="E200" s="149"/>
      <c r="F200" s="149"/>
      <c r="G200" s="149"/>
      <c r="H200" s="149"/>
      <c r="I200" s="150"/>
      <c r="K200" s="232">
        <f t="shared" si="44"/>
        <v>0</v>
      </c>
    </row>
    <row r="201" spans="1:13" s="87" customFormat="1" ht="38.25">
      <c r="A201" s="232" t="s">
        <v>4543</v>
      </c>
      <c r="B201" s="324" t="s">
        <v>7379</v>
      </c>
      <c r="C201" s="324" t="s">
        <v>7423</v>
      </c>
      <c r="D201" s="451" t="str">
        <f>IF(A201="SERVIÇO",VLOOKUP(C201,SERVIÇOS!$A$6:$D$7645,2,0),IF(A201="INSUMO",VLOOKUP(C201,INSUMOS!$A$6:$D$6961,2,0),IF('036.01-20-SERV. GERAIS'!A201="COTAÇÃO",VLOOKUP('036.01-20-SERV. GERAIS'!C201,'036-20-Cotação'!$A$9:$G$529,2,0),IF('036.01-20-SERV. GERAIS'!A201="CCU",VLOOKUP('036.01-20-SERV. GERAIS'!C201,'036-20-CCU''s'!$B$9:$H$1962,2,0)))))</f>
        <v>REMOÇÃO E INSTALAÇÃO DA TAMPA DOS NICHOS DE ANCORAGEM PASSIVA DOS TIRANTES. EXECUÇÃO</v>
      </c>
      <c r="E201" s="452" t="str">
        <f>IF(A201="SERVIÇO",VLOOKUP(C201,SERVIÇOS!$A$6:$D$7645,3,0),IF(A201="INSUMO",VLOOKUP(C201,INSUMOS!$A$6:$D$6961,3,0),IF('036.01-20-SERV. GERAIS'!A201="COTAÇÃO",VLOOKUP('036.01-20-SERV. GERAIS'!C201,'036-20-Cotação'!$A$9:$G$529,4,0),IF('036.01-20-SERV. GERAIS'!A201="CCU",VLOOKUP('036.01-20-SERV. GERAIS'!C201,'036-20-CCU''s'!$B$9:$H$1962,4,0)))))</f>
        <v xml:space="preserve">UN    </v>
      </c>
      <c r="F201" s="453">
        <v>48</v>
      </c>
      <c r="G201" s="534">
        <f>IF(A201="SERVIÇO",VLOOKUP(C201,SERVIÇOS!$A$6:$D$7645,4,0),IF(A201="INSUMO",VLOOKUP(C201,INSUMOS!$A$6:$D$6961,4,0),IF('036.01-20-SERV. GERAIS'!A201="COTAÇÃO",VLOOKUP('036.01-20-SERV. GERAIS'!C201,'036-20-Cotação'!$A$9:$G$529,3,0),IF('036.01-20-SERV. GERAIS'!A201="CCU",VLOOKUP('036.01-20-SERV. GERAIS'!C201,'036-20-CCU''s'!$B$9:$H$1962,7,0)))))</f>
        <v>127.6147</v>
      </c>
      <c r="H201" s="528">
        <f>BDI_O.A.E!$H$22</f>
        <v>0.18201100192553743</v>
      </c>
      <c r="I201" s="535">
        <f t="shared" ref="I201:I205" si="61">F201*(G201*(1+H201))</f>
        <v>7240.4150115564908</v>
      </c>
      <c r="K201" s="232">
        <f t="shared" si="44"/>
        <v>7240.4150115564908</v>
      </c>
    </row>
    <row r="202" spans="1:13" s="87" customFormat="1" ht="25.5">
      <c r="A202" s="232" t="s">
        <v>4543</v>
      </c>
      <c r="B202" s="324" t="s">
        <v>7381</v>
      </c>
      <c r="C202" s="324" t="s">
        <v>7424</v>
      </c>
      <c r="D202" s="451" t="str">
        <f>IF(A202="SERVIÇO",VLOOKUP(C202,SERVIÇOS!$A$6:$D$7645,2,0),IF(A202="INSUMO",VLOOKUP(C202,INSUMOS!$A$6:$D$6961,2,0),IF('036.01-20-SERV. GERAIS'!A202="COTAÇÃO",VLOOKUP('036.01-20-SERV. GERAIS'!C202,'036-20-Cotação'!$A$9:$G$529,2,0),IF('036.01-20-SERV. GERAIS'!A202="CCU",VLOOKUP('036.01-20-SERV. GERAIS'!C202,'036-20-CCU''s'!$B$9:$H$1962,2,0)))))</f>
        <v>REMOÇÃO DE TUBO PEAD PARA ESTAIS - D = 225 MM - EXECUÇÃO</v>
      </c>
      <c r="E202" s="452" t="str">
        <f>IF(A202="SERVIÇO",VLOOKUP(C202,SERVIÇOS!$A$6:$D$7645,3,0),IF(A202="INSUMO",VLOOKUP(C202,INSUMOS!$A$6:$D$6961,3,0),IF('036.01-20-SERV. GERAIS'!A202="COTAÇÃO",VLOOKUP('036.01-20-SERV. GERAIS'!C202,'036-20-Cotação'!$A$9:$G$529,4,0),IF('036.01-20-SERV. GERAIS'!A202="CCU",VLOOKUP('036.01-20-SERV. GERAIS'!C202,'036-20-CCU''s'!$B$9:$H$1962,4,0)))))</f>
        <v>M</v>
      </c>
      <c r="F202" s="453">
        <v>1686.97</v>
      </c>
      <c r="G202" s="534">
        <f>IF(A202="SERVIÇO",VLOOKUP(C202,SERVIÇOS!$A$6:$D$7645,4,0),IF(A202="INSUMO",VLOOKUP(C202,INSUMOS!$A$6:$D$6961,4,0),IF('036.01-20-SERV. GERAIS'!A202="COTAÇÃO",VLOOKUP('036.01-20-SERV. GERAIS'!C202,'036-20-Cotação'!$A$9:$G$529,3,0),IF('036.01-20-SERV. GERAIS'!A202="CCU",VLOOKUP('036.01-20-SERV. GERAIS'!C202,'036-20-CCU''s'!$B$9:$H$1962,7,0)))))</f>
        <v>45.964322733879712</v>
      </c>
      <c r="H202" s="528">
        <f>BDI_O.A.E!$H$22</f>
        <v>0.18201100192553743</v>
      </c>
      <c r="I202" s="535">
        <f t="shared" si="61"/>
        <v>91653.645517520708</v>
      </c>
      <c r="K202" s="232">
        <f t="shared" si="44"/>
        <v>91653.645517520708</v>
      </c>
    </row>
    <row r="203" spans="1:13" s="87" customFormat="1" ht="38.25">
      <c r="A203" s="232" t="s">
        <v>4543</v>
      </c>
      <c r="B203" s="324" t="s">
        <v>7382</v>
      </c>
      <c r="C203" s="324" t="s">
        <v>7425</v>
      </c>
      <c r="D203" s="451" t="str">
        <f>IF(A203="SERVIÇO",VLOOKUP(C203,SERVIÇOS!$A$6:$D$7645,2,0),IF(A203="INSUMO",VLOOKUP(C203,INSUMOS!$A$6:$D$6961,2,0),IF('036.01-20-SERV. GERAIS'!A203="COTAÇÃO",VLOOKUP('036.01-20-SERV. GERAIS'!C203,'036-20-Cotação'!$A$9:$G$529,2,0),IF('036.01-20-SERV. GERAIS'!A203="CCU",VLOOKUP('036.01-20-SERV. GERAIS'!C203,'036-20-CCU''s'!$B$9:$H$1962,2,0)))))</f>
        <v xml:space="preserve">DESMONTAGEM DE ANCORAGEM FIXA PARA 43 CORDOALHAS NO TABULEIRO COM AUXILIO DE GUINDASTE. EXECUÇÃO </v>
      </c>
      <c r="E203" s="452" t="str">
        <f>IF(A203="SERVIÇO",VLOOKUP(C203,SERVIÇOS!$A$6:$D$7645,3,0),IF(A203="INSUMO",VLOOKUP(C203,INSUMOS!$A$6:$D$6961,3,0),IF('036.01-20-SERV. GERAIS'!A203="COTAÇÃO",VLOOKUP('036.01-20-SERV. GERAIS'!C203,'036-20-Cotação'!$A$9:$G$529,4,0),IF('036.01-20-SERV. GERAIS'!A203="CCU",VLOOKUP('036.01-20-SERV. GERAIS'!C203,'036-20-CCU''s'!$B$9:$H$1962,4,0)))))</f>
        <v xml:space="preserve">UN    </v>
      </c>
      <c r="F203" s="453">
        <v>18</v>
      </c>
      <c r="G203" s="534">
        <f>IF(A203="SERVIÇO",VLOOKUP(C203,SERVIÇOS!$A$6:$D$7645,4,0),IF(A203="INSUMO",VLOOKUP(C203,INSUMOS!$A$6:$D$6961,4,0),IF('036.01-20-SERV. GERAIS'!A203="COTAÇÃO",VLOOKUP('036.01-20-SERV. GERAIS'!C203,'036-20-Cotação'!$A$9:$G$529,3,0),IF('036.01-20-SERV. GERAIS'!A203="CCU",VLOOKUP('036.01-20-SERV. GERAIS'!C203,'036-20-CCU''s'!$B$9:$H$1962,7,0)))))</f>
        <v>345.39179999999999</v>
      </c>
      <c r="H203" s="528">
        <f>BDI_O.A.E!$H$22</f>
        <v>0.18201100192553743</v>
      </c>
      <c r="I203" s="535">
        <f t="shared" si="61"/>
        <v>7348.6243363475669</v>
      </c>
      <c r="K203" s="232">
        <f t="shared" si="44"/>
        <v>7348.6243363475669</v>
      </c>
    </row>
    <row r="204" spans="1:13" s="87" customFormat="1" ht="38.25">
      <c r="A204" s="232" t="s">
        <v>4543</v>
      </c>
      <c r="B204" s="324" t="s">
        <v>7383</v>
      </c>
      <c r="C204" s="324" t="s">
        <v>7426</v>
      </c>
      <c r="D204" s="451" t="str">
        <f>IF(A204="SERVIÇO",VLOOKUP(C204,SERVIÇOS!$A$6:$D$7645,2,0),IF(A204="INSUMO",VLOOKUP(C204,INSUMOS!$A$6:$D$6961,2,0),IF('036.01-20-SERV. GERAIS'!A204="COTAÇÃO",VLOOKUP('036.01-20-SERV. GERAIS'!C204,'036-20-Cotação'!$A$9:$G$529,2,0),IF('036.01-20-SERV. GERAIS'!A204="CCU",VLOOKUP('036.01-20-SERV. GERAIS'!C204,'036-20-CCU''s'!$B$9:$H$1962,2,0)))))</f>
        <v xml:space="preserve">DESMONTAGEM DA ANCORAGEM ATIVA/REGULAVEL DE 55 CORDOALHAS NOS ARCOS. EXECUÇÃO  </v>
      </c>
      <c r="E204" s="452" t="str">
        <f>IF(A204="SERVIÇO",VLOOKUP(C204,SERVIÇOS!$A$6:$D$7645,3,0),IF(A204="INSUMO",VLOOKUP(C204,INSUMOS!$A$6:$D$6961,3,0),IF('036.01-20-SERV. GERAIS'!A204="COTAÇÃO",VLOOKUP('036.01-20-SERV. GERAIS'!C204,'036-20-Cotação'!$A$9:$G$529,4,0),IF('036.01-20-SERV. GERAIS'!A204="CCU",VLOOKUP('036.01-20-SERV. GERAIS'!C204,'036-20-CCU''s'!$B$9:$H$1962,4,0)))))</f>
        <v xml:space="preserve">UN    </v>
      </c>
      <c r="F204" s="453">
        <v>18</v>
      </c>
      <c r="G204" s="534">
        <f>IF(A204="SERVIÇO",VLOOKUP(C204,SERVIÇOS!$A$6:$D$7645,4,0),IF(A204="INSUMO",VLOOKUP(C204,INSUMOS!$A$6:$D$6961,4,0),IF('036.01-20-SERV. GERAIS'!A204="COTAÇÃO",VLOOKUP('036.01-20-SERV. GERAIS'!C204,'036-20-Cotação'!$A$9:$G$529,3,0),IF('036.01-20-SERV. GERAIS'!A204="CCU",VLOOKUP('036.01-20-SERV. GERAIS'!C204,'036-20-CCU''s'!$B$9:$H$1962,7,0)))))</f>
        <v>270.86689999999999</v>
      </c>
      <c r="H204" s="528">
        <f>BDI_O.A.E!$H$22</f>
        <v>0.18201100192553743</v>
      </c>
      <c r="I204" s="535">
        <f t="shared" si="61"/>
        <v>5763.0178054343587</v>
      </c>
      <c r="K204" s="232">
        <f t="shared" si="44"/>
        <v>5763.0178054343587</v>
      </c>
    </row>
    <row r="205" spans="1:13" s="87" customFormat="1" ht="38.25">
      <c r="A205" s="232" t="s">
        <v>4543</v>
      </c>
      <c r="B205" s="324" t="s">
        <v>7384</v>
      </c>
      <c r="C205" s="324" t="s">
        <v>7427</v>
      </c>
      <c r="D205" s="451" t="str">
        <f>IF(A205="SERVIÇO",VLOOKUP(C205,SERVIÇOS!$A$6:$D$7645,2,0),IF(A205="INSUMO",VLOOKUP(C205,INSUMOS!$A$6:$D$6961,2,0),IF('036.01-20-SERV. GERAIS'!A205="COTAÇÃO",VLOOKUP('036.01-20-SERV. GERAIS'!C205,'036-20-Cotação'!$A$9:$G$529,2,0),IF('036.01-20-SERV. GERAIS'!A205="CCU",VLOOKUP('036.01-20-SERV. GERAIS'!C205,'036-20-CCU''s'!$B$9:$H$1962,2,0)))))</f>
        <v xml:space="preserve">DESMONTAGEM DE ANCORAGEM, FIXA, NO TABULEIRO PARA 31 CORDOALHAS. SERVIÇO DE DESMONTAGEM </v>
      </c>
      <c r="E205" s="452" t="str">
        <f>IF(A205="SERVIÇO",VLOOKUP(C205,SERVIÇOS!$A$6:$D$7645,3,0),IF(A205="INSUMO",VLOOKUP(C205,INSUMOS!$A$6:$D$6961,3,0),IF('036.01-20-SERV. GERAIS'!A205="COTAÇÃO",VLOOKUP('036.01-20-SERV. GERAIS'!C205,'036-20-Cotação'!$A$9:$G$529,4,0),IF('036.01-20-SERV. GERAIS'!A205="CCU",VLOOKUP('036.01-20-SERV. GERAIS'!C205,'036-20-CCU''s'!$B$9:$H$1962,4,0)))))</f>
        <v xml:space="preserve">UN    </v>
      </c>
      <c r="F205" s="453">
        <v>30</v>
      </c>
      <c r="G205" s="534">
        <f>IF(A205="SERVIÇO",VLOOKUP(C205,SERVIÇOS!$A$6:$D$7645,4,0),IF(A205="INSUMO",VLOOKUP(C205,INSUMOS!$A$6:$D$6961,4,0),IF('036.01-20-SERV. GERAIS'!A205="COTAÇÃO",VLOOKUP('036.01-20-SERV. GERAIS'!C205,'036-20-Cotação'!$A$9:$G$529,3,0),IF('036.01-20-SERV. GERAIS'!A205="CCU",VLOOKUP('036.01-20-SERV. GERAIS'!C205,'036-20-CCU''s'!$B$9:$H$1962,7,0)))))</f>
        <v>276.31344000000001</v>
      </c>
      <c r="H205" s="528">
        <f>BDI_O.A.E!$H$22</f>
        <v>0.18201100192553743</v>
      </c>
      <c r="I205" s="535">
        <f t="shared" si="61"/>
        <v>9798.1657817967571</v>
      </c>
      <c r="K205" s="232">
        <f t="shared" si="44"/>
        <v>9798.1657817967571</v>
      </c>
    </row>
    <row r="206" spans="1:13" s="87" customFormat="1" ht="25.5">
      <c r="A206" s="232" t="s">
        <v>4543</v>
      </c>
      <c r="B206" s="324" t="s">
        <v>7395</v>
      </c>
      <c r="C206" s="324" t="s">
        <v>7428</v>
      </c>
      <c r="D206" s="451" t="str">
        <f>IF(A206="SERVIÇO",VLOOKUP(C206,SERVIÇOS!$A$6:$D$7645,2,0),IF(A206="INSUMO",VLOOKUP(C206,INSUMOS!$A$6:$D$6961,2,0),IF('036.01-20-SERV. GERAIS'!A206="COTAÇÃO",VLOOKUP('036.01-20-SERV. GERAIS'!C206,'036-20-Cotação'!$A$9:$G$529,2,0),IF('036.01-20-SERV. GERAIS'!A206="CCU",VLOOKUP('036.01-20-SERV. GERAIS'!C206,'036-20-CCU''s'!$B$9:$H$1962,2,0)))))</f>
        <v xml:space="preserve">DESMONTAGEM DE ANCORAGEM ATIVA PARA 31 CORDOALHAS NOS ARCOS. EXECUÇÃO  </v>
      </c>
      <c r="E206" s="452" t="str">
        <f>IF(A206="SERVIÇO",VLOOKUP(C206,SERVIÇOS!$A$6:$D$7645,3,0),IF(A206="INSUMO",VLOOKUP(C206,INSUMOS!$A$6:$D$6961,3,0),IF('036.01-20-SERV. GERAIS'!A206="COTAÇÃO",VLOOKUP('036.01-20-SERV. GERAIS'!C206,'036-20-Cotação'!$A$9:$G$529,4,0),IF('036.01-20-SERV. GERAIS'!A206="CCU",VLOOKUP('036.01-20-SERV. GERAIS'!C206,'036-20-CCU''s'!$B$9:$H$1962,4,0)))))</f>
        <v xml:space="preserve">UN    </v>
      </c>
      <c r="F206" s="453">
        <v>30</v>
      </c>
      <c r="G206" s="534">
        <f>IF(A206="SERVIÇO",VLOOKUP(C206,SERVIÇOS!$A$6:$D$7645,4,0),IF(A206="INSUMO",VLOOKUP(C206,INSUMOS!$A$6:$D$6961,4,0),IF('036.01-20-SERV. GERAIS'!A206="COTAÇÃO",VLOOKUP('036.01-20-SERV. GERAIS'!C206,'036-20-Cotação'!$A$9:$G$529,3,0),IF('036.01-20-SERV. GERAIS'!A206="CCU",VLOOKUP('036.01-20-SERV. GERAIS'!C206,'036-20-CCU''s'!$B$9:$H$1962,7,0)))))</f>
        <v>216.69351999999998</v>
      </c>
      <c r="H206" s="528">
        <f>BDI_O.A.E!$H$22</f>
        <v>0.18201100192553743</v>
      </c>
      <c r="I206" s="535">
        <f t="shared" ref="I206:I208" si="62">F206*(G206*(1+H206))</f>
        <v>7684.023740579144</v>
      </c>
      <c r="K206" s="232">
        <f t="shared" si="44"/>
        <v>7684.023740579144</v>
      </c>
    </row>
    <row r="207" spans="1:13" s="87" customFormat="1" ht="38.25">
      <c r="A207" s="232" t="s">
        <v>4543</v>
      </c>
      <c r="B207" s="324" t="s">
        <v>7396</v>
      </c>
      <c r="C207" s="324" t="s">
        <v>7429</v>
      </c>
      <c r="D207" s="451" t="str">
        <f>IF(A207="SERVIÇO",VLOOKUP(C207,SERVIÇOS!$A$6:$D$7645,2,0),IF(A207="INSUMO",VLOOKUP(C207,INSUMOS!$A$6:$D$6961,2,0),IF('036.01-20-SERV. GERAIS'!A207="COTAÇÃO",VLOOKUP('036.01-20-SERV. GERAIS'!C207,'036-20-Cotação'!$A$9:$G$529,2,0),IF('036.01-20-SERV. GERAIS'!A207="CCU",VLOOKUP('036.01-20-SERV. GERAIS'!C207,'036-20-CCU''s'!$B$9:$H$1962,2,0)))))</f>
        <v>REMOÇÃO DE TUBO ANTIVANDALISMO PARA ESTAIS EM AÇO GALVANIZADO PARA 43 CORDOALHAS D = 15,7 MM - EXECUÇÃO</v>
      </c>
      <c r="E207" s="452" t="str">
        <f>IF(A207="SERVIÇO",VLOOKUP(C207,SERVIÇOS!$A$6:$D$7645,3,0),IF(A207="INSUMO",VLOOKUP(C207,INSUMOS!$A$6:$D$6961,3,0),IF('036.01-20-SERV. GERAIS'!A207="COTAÇÃO",VLOOKUP('036.01-20-SERV. GERAIS'!C207,'036-20-Cotação'!$A$9:$G$529,4,0),IF('036.01-20-SERV. GERAIS'!A207="CCU",VLOOKUP('036.01-20-SERV. GERAIS'!C207,'036-20-CCU''s'!$B$9:$H$1962,4,0)))))</f>
        <v>M</v>
      </c>
      <c r="F207" s="453">
        <v>137.11000000000001</v>
      </c>
      <c r="G207" s="534">
        <f>IF(A207="SERVIÇO",VLOOKUP(C207,SERVIÇOS!$A$6:$D$7645,4,0),IF(A207="INSUMO",VLOOKUP(C207,INSUMOS!$A$6:$D$6961,4,0),IF('036.01-20-SERV. GERAIS'!A207="COTAÇÃO",VLOOKUP('036.01-20-SERV. GERAIS'!C207,'036-20-Cotação'!$A$9:$G$529,3,0),IF('036.01-20-SERV. GERAIS'!A207="CCU",VLOOKUP('036.01-20-SERV. GERAIS'!C207,'036-20-CCU''s'!$B$9:$H$1962,7,0)))))</f>
        <v>153.54755999999998</v>
      </c>
      <c r="H207" s="528">
        <f>BDI_O.A.E!$H$22</f>
        <v>0.18201100192553743</v>
      </c>
      <c r="I207" s="535">
        <f t="shared" si="62"/>
        <v>24884.766457294827</v>
      </c>
      <c r="K207" s="232">
        <f t="shared" si="44"/>
        <v>24884.766457294827</v>
      </c>
    </row>
    <row r="208" spans="1:13" s="87" customFormat="1" ht="25.5">
      <c r="A208" s="232" t="s">
        <v>4543</v>
      </c>
      <c r="B208" s="324" t="s">
        <v>7397</v>
      </c>
      <c r="C208" s="324" t="s">
        <v>7430</v>
      </c>
      <c r="D208" s="451" t="str">
        <f>IF(A208="SERVIÇO",VLOOKUP(C208,SERVIÇOS!$A$6:$D$7645,2,0),IF(A208="INSUMO",VLOOKUP(C208,INSUMOS!$A$6:$D$6961,2,0),IF('036.01-20-SERV. GERAIS'!A208="COTAÇÃO",VLOOKUP('036.01-20-SERV. GERAIS'!C208,'036-20-Cotação'!$A$9:$G$529,2,0),IF('036.01-20-SERV. GERAIS'!A208="CCU",VLOOKUP('036.01-20-SERV. GERAIS'!C208,'036-20-CCU''s'!$B$9:$H$1962,2,0)))))</f>
        <v xml:space="preserve">RETIRADA DE CORDOALHA DOS ESTAIS COM CORTE EM OXIACETILENO. EXECUÇÃO </v>
      </c>
      <c r="E208" s="452" t="str">
        <f>IF(A208="SERVIÇO",VLOOKUP(C208,SERVIÇOS!$A$6:$D$7645,3,0),IF(A208="INSUMO",VLOOKUP(C208,INSUMOS!$A$6:$D$6961,3,0),IF('036.01-20-SERV. GERAIS'!A208="COTAÇÃO",VLOOKUP('036.01-20-SERV. GERAIS'!C208,'036-20-Cotação'!$A$9:$G$529,4,0),IF('036.01-20-SERV. GERAIS'!A208="CCU",VLOOKUP('036.01-20-SERV. GERAIS'!C208,'036-20-CCU''s'!$B$9:$H$1962,4,0)))))</f>
        <v>KG</v>
      </c>
      <c r="F208" s="453">
        <v>87889.44</v>
      </c>
      <c r="G208" s="534">
        <f>IF(A208="SERVIÇO",VLOOKUP(C208,SERVIÇOS!$A$6:$D$7645,4,0),IF(A208="INSUMO",VLOOKUP(C208,INSUMOS!$A$6:$D$6961,4,0),IF('036.01-20-SERV. GERAIS'!A208="COTAÇÃO",VLOOKUP('036.01-20-SERV. GERAIS'!C208,'036-20-Cotação'!$A$9:$G$529,3,0),IF('036.01-20-SERV. GERAIS'!A208="CCU",VLOOKUP('036.01-20-SERV. GERAIS'!C208,'036-20-CCU''s'!$B$9:$H$1962,7,0)))))</f>
        <v>1.2719707191631224</v>
      </c>
      <c r="H208" s="528">
        <f>BDI_O.A.E!$H$22</f>
        <v>0.18201100192553743</v>
      </c>
      <c r="I208" s="535">
        <f t="shared" si="62"/>
        <v>132140.31268470478</v>
      </c>
      <c r="K208" s="232">
        <f t="shared" si="44"/>
        <v>132140.31268470478</v>
      </c>
    </row>
    <row r="209" spans="1:13" s="87" customFormat="1" ht="51">
      <c r="A209" s="232" t="s">
        <v>4543</v>
      </c>
      <c r="B209" s="324" t="s">
        <v>7398</v>
      </c>
      <c r="C209" s="324">
        <v>5915373</v>
      </c>
      <c r="D209" s="451" t="str">
        <f>IF(A209="SERVIÇO",VLOOKUP(C209,SERVIÇOS!$A$6:$D$7645,2,0),IF(A209="INSUMO",VLOOKUP(C209,INSUMOS!$A$6:$D$6961,2,0),IF('036.01-20-SERV. GERAIS'!A209="COTAÇÃO",VLOOKUP('036.01-20-SERV. GERAIS'!C209,'036-20-Cotação'!$A$9:$G$529,2,0),IF('036.01-20-SERV. GERAIS'!A209="CCU",VLOOKUP('036.01-20-SERV. GERAIS'!C209,'036-20-CCU''s'!$B$9:$H$1962,2,0)))))</f>
        <v>CARGA, MANOBRA E DESCARGA DE MATERIAIS DIVERSOS EM CAMINHÃO CARROCERIA COM GUINDAUTO COM CAPACIDADE DE 20 T.M</v>
      </c>
      <c r="E209" s="452" t="str">
        <f>IF(A209="SERVIÇO",VLOOKUP(C209,SERVIÇOS!$A$6:$D$7645,3,0),IF(A209="INSUMO",VLOOKUP(C209,INSUMOS!$A$6:$D$6961,3,0),IF('036.01-20-SERV. GERAIS'!A209="COTAÇÃO",VLOOKUP('036.01-20-SERV. GERAIS'!C209,'036-20-Cotação'!$A$9:$G$529,4,0),IF('036.01-20-SERV. GERAIS'!A209="CCU",VLOOKUP('036.01-20-SERV. GERAIS'!C209,'036-20-CCU''s'!$B$9:$H$1962,4,0)))))</f>
        <v>T</v>
      </c>
      <c r="F209" s="453">
        <v>128.13</v>
      </c>
      <c r="G209" s="534">
        <f>IF(A209="SERVIÇO",VLOOKUP(C209,SERVIÇOS!$A$6:$D$7645,4,0),IF(A209="INSUMO",VLOOKUP(C209,INSUMOS!$A$6:$D$6961,4,0),IF('036.01-20-SERV. GERAIS'!A209="COTAÇÃO",VLOOKUP('036.01-20-SERV. GERAIS'!C209,'036-20-Cotação'!$A$9:$G$529,3,0),IF('036.01-20-SERV. GERAIS'!A209="CCU",VLOOKUP('036.01-20-SERV. GERAIS'!C209,'036-20-CCU''s'!$B$9:$H$1962,7,0)))))</f>
        <v>9.3722463139635721</v>
      </c>
      <c r="H209" s="528">
        <f>BDI_O.A.E!$H$22</f>
        <v>0.18201100192553743</v>
      </c>
      <c r="I209" s="535">
        <f t="shared" ref="I209:I210" si="63">F209*(G209*(1+H209))</f>
        <v>1419.4367295234708</v>
      </c>
      <c r="K209" s="232">
        <f t="shared" si="44"/>
        <v>1419.4367295234708</v>
      </c>
      <c r="M209" s="87" t="s">
        <v>7878</v>
      </c>
    </row>
    <row r="210" spans="1:13" s="87" customFormat="1" ht="25.5">
      <c r="A210" s="232" t="s">
        <v>4543</v>
      </c>
      <c r="B210" s="324" t="s">
        <v>7399</v>
      </c>
      <c r="C210" s="324">
        <v>5914434</v>
      </c>
      <c r="D210" s="451" t="str">
        <f>IF(A210="SERVIÇO",VLOOKUP(C210,SERVIÇOS!$A$6:$D$7645,2,0),IF(A210="INSUMO",VLOOKUP(C210,INSUMOS!$A$6:$D$6961,2,0),IF('036.01-20-SERV. GERAIS'!A210="COTAÇÃO",VLOOKUP('036.01-20-SERV. GERAIS'!C210,'036-20-Cotação'!$A$9:$G$529,2,0),IF('036.01-20-SERV. GERAIS'!A210="CCU",VLOOKUP('036.01-20-SERV. GERAIS'!C210,'036-20-CCU''s'!$B$9:$H$1962,2,0)))))</f>
        <v>TRANSPORTE COM CAMINHÃO CARROCERIA DE 9 T - RODOVIA PAVIMENTADA</v>
      </c>
      <c r="E210" s="452" t="str">
        <f>IF(A210="SERVIÇO",VLOOKUP(C210,SERVIÇOS!$A$6:$D$7645,3,0),IF(A210="INSUMO",VLOOKUP(C210,INSUMOS!$A$6:$D$6961,3,0),IF('036.01-20-SERV. GERAIS'!A210="COTAÇÃO",VLOOKUP('036.01-20-SERV. GERAIS'!C210,'036-20-Cotação'!$A$9:$G$529,4,0),IF('036.01-20-SERV. GERAIS'!A210="CCU",VLOOKUP('036.01-20-SERV. GERAIS'!C210,'036-20-CCU''s'!$B$9:$H$1962,4,0)))))</f>
        <v>T.KM</v>
      </c>
      <c r="F210" s="453">
        <f>F209*20</f>
        <v>2562.6</v>
      </c>
      <c r="G210" s="534">
        <f>IF(A210="SERVIÇO",VLOOKUP(C210,SERVIÇOS!$A$6:$D$7645,4,0),IF(A210="INSUMO",VLOOKUP(C210,INSUMOS!$A$6:$D$6961,4,0),IF('036.01-20-SERV. GERAIS'!A210="COTAÇÃO",VLOOKUP('036.01-20-SERV. GERAIS'!C210,'036-20-Cotação'!$A$9:$G$529,3,0),IF('036.01-20-SERV. GERAIS'!A210="CCU",VLOOKUP('036.01-20-SERV. GERAIS'!C210,'036-20-CCU''s'!$B$9:$H$1962,7,0)))))</f>
        <v>0.48409103078982602</v>
      </c>
      <c r="H210" s="528">
        <f>BDI_O.A.E!$H$22</f>
        <v>0.18201100192553743</v>
      </c>
      <c r="I210" s="535">
        <f t="shared" si="63"/>
        <v>1466.3220886804941</v>
      </c>
      <c r="K210" s="232">
        <f t="shared" si="44"/>
        <v>1466.3220886804941</v>
      </c>
      <c r="M210" s="223" t="s">
        <v>7864</v>
      </c>
    </row>
    <row r="211" spans="1:13" s="87" customFormat="1">
      <c r="A211" s="232"/>
      <c r="B211" s="88" t="s">
        <v>7510</v>
      </c>
      <c r="C211" s="88" t="s">
        <v>6348</v>
      </c>
      <c r="D211" s="148" t="s">
        <v>7400</v>
      </c>
      <c r="E211" s="149"/>
      <c r="F211" s="149"/>
      <c r="G211" s="149"/>
      <c r="H211" s="149"/>
      <c r="I211" s="150"/>
      <c r="K211" s="232">
        <f t="shared" si="44"/>
        <v>0</v>
      </c>
    </row>
    <row r="212" spans="1:13" s="87" customFormat="1">
      <c r="A212" s="232"/>
      <c r="B212" s="88" t="s">
        <v>7509</v>
      </c>
      <c r="C212" s="88" t="s">
        <v>6348</v>
      </c>
      <c r="D212" s="148" t="s">
        <v>7401</v>
      </c>
      <c r="E212" s="149"/>
      <c r="F212" s="149"/>
      <c r="G212" s="149"/>
      <c r="H212" s="149"/>
      <c r="I212" s="150"/>
      <c r="K212" s="232">
        <f t="shared" si="44"/>
        <v>0</v>
      </c>
    </row>
    <row r="213" spans="1:13" s="87" customFormat="1" ht="51">
      <c r="A213" s="232" t="s">
        <v>4543</v>
      </c>
      <c r="B213" s="324" t="s">
        <v>7402</v>
      </c>
      <c r="C213" s="324" t="s">
        <v>7431</v>
      </c>
      <c r="D213" s="451" t="str">
        <f>IF(A213="SERVIÇO",VLOOKUP(C213,SERVIÇOS!$A$6:$D$7645,2,0),IF(A213="INSUMO",VLOOKUP(C213,INSUMOS!$A$6:$D$6961,2,0),IF('036.01-20-SERV. GERAIS'!A213="COTAÇÃO",VLOOKUP('036.01-20-SERV. GERAIS'!C213,'036-20-Cotação'!$A$9:$G$529,2,0),IF('036.01-20-SERV. GERAIS'!A213="CCU",VLOOKUP('036.01-20-SERV. GERAIS'!C213,'036-20-CCU''s'!$B$9:$H$1962,2,0)))))</f>
        <v>EXECUÇÃO DA ANCORAGEM PARA ESTAIS, FIXA, PARA 43 CORDOALHAS D = 15,7 MM COM INJEÇÃO DE CERA. EXCLUINDO A ANCORAGEM.</v>
      </c>
      <c r="E213" s="452" t="str">
        <f>IF(A213="SERVIÇO",VLOOKUP(C213,SERVIÇOS!$A$6:$D$7645,3,0),IF(A213="INSUMO",VLOOKUP(C213,INSUMOS!$A$6:$D$6961,3,0),IF('036.01-20-SERV. GERAIS'!A213="COTAÇÃO",VLOOKUP('036.01-20-SERV. GERAIS'!C213,'036-20-Cotação'!$A$9:$G$529,4,0),IF('036.01-20-SERV. GERAIS'!A213="CCU",VLOOKUP('036.01-20-SERV. GERAIS'!C213,'036-20-CCU''s'!$B$9:$H$1962,4,0)))))</f>
        <v xml:space="preserve">UN    </v>
      </c>
      <c r="F213" s="453">
        <v>18</v>
      </c>
      <c r="G213" s="534">
        <f>IF(A213="SERVIÇO",VLOOKUP(C213,SERVIÇOS!$A$6:$D$7645,4,0),IF(A213="INSUMO",VLOOKUP(C213,INSUMOS!$A$6:$D$6961,4,0),IF('036.01-20-SERV. GERAIS'!A213="COTAÇÃO",VLOOKUP('036.01-20-SERV. GERAIS'!C213,'036-20-Cotação'!$A$9:$G$529,3,0),IF('036.01-20-SERV. GERAIS'!A213="CCU",VLOOKUP('036.01-20-SERV. GERAIS'!C213,'036-20-CCU''s'!$B$9:$H$1962,7,0)))))</f>
        <v>572.28909263694391</v>
      </c>
      <c r="H213" s="528">
        <f>BDI_O.A.E!$H$22</f>
        <v>0.18201100192553743</v>
      </c>
      <c r="I213" s="535">
        <f t="shared" ref="I213:I220" si="64">F213*(G213*(1+H213))</f>
        <v>12176.136068019314</v>
      </c>
      <c r="K213" s="232">
        <f t="shared" si="44"/>
        <v>12176.136068019314</v>
      </c>
    </row>
    <row r="214" spans="1:13" s="87" customFormat="1" ht="63.75">
      <c r="A214" s="232" t="s">
        <v>4543</v>
      </c>
      <c r="B214" s="324" t="s">
        <v>7403</v>
      </c>
      <c r="C214" s="324" t="s">
        <v>7435</v>
      </c>
      <c r="D214" s="451" t="str">
        <f>IF(A214="SERVIÇO",VLOOKUP(C214,SERVIÇOS!$A$6:$D$7645,2,0),IF(A214="INSUMO",VLOOKUP(C214,INSUMOS!$A$6:$D$6961,2,0),IF('036.01-20-SERV. GERAIS'!A214="COTAÇÃO",VLOOKUP('036.01-20-SERV. GERAIS'!C214,'036-20-Cotação'!$A$9:$G$529,2,0),IF('036.01-20-SERV. GERAIS'!A214="CCU",VLOOKUP('036.01-20-SERV. GERAIS'!C214,'036-20-CCU''s'!$B$9:$H$1962,2,0)))))</f>
        <v>EXECUÇÃO DE ANCORAGEM PARA ESTAIS, REGULÁVEL, PARA 43 CORDOALHAS D = 15,7 MM COM PROTENSÃO, INJEÇÃO DE CERA E REGULAGEM FINAL. EXCLUINDO A ANCORAGEM.</v>
      </c>
      <c r="E214" s="452" t="str">
        <f>IF(A214="SERVIÇO",VLOOKUP(C214,SERVIÇOS!$A$6:$D$7645,3,0),IF(A214="INSUMO",VLOOKUP(C214,INSUMOS!$A$6:$D$6961,3,0),IF('036.01-20-SERV. GERAIS'!A214="COTAÇÃO",VLOOKUP('036.01-20-SERV. GERAIS'!C214,'036-20-Cotação'!$A$9:$G$529,4,0),IF('036.01-20-SERV. GERAIS'!A214="CCU",VLOOKUP('036.01-20-SERV. GERAIS'!C214,'036-20-CCU''s'!$B$9:$H$1962,4,0)))))</f>
        <v xml:space="preserve">UN    </v>
      </c>
      <c r="F214" s="453">
        <v>18</v>
      </c>
      <c r="G214" s="534">
        <f>IF(A214="SERVIÇO",VLOOKUP(C214,SERVIÇOS!$A$6:$D$7645,4,0),IF(A214="INSUMO",VLOOKUP(C214,INSUMOS!$A$6:$D$6961,4,0),IF('036.01-20-SERV. GERAIS'!A214="COTAÇÃO",VLOOKUP('036.01-20-SERV. GERAIS'!C214,'036-20-Cotação'!$A$9:$G$529,3,0),IF('036.01-20-SERV. GERAIS'!A214="CCU",VLOOKUP('036.01-20-SERV. GERAIS'!C214,'036-20-CCU''s'!$B$9:$H$1962,7,0)))))</f>
        <v>1249.1741099535104</v>
      </c>
      <c r="H214" s="528">
        <f>BDI_O.A.E!$H$22</f>
        <v>0.18201100192553743</v>
      </c>
      <c r="I214" s="535">
        <f t="shared" si="64"/>
        <v>26577.675743140626</v>
      </c>
      <c r="K214" s="232">
        <f t="shared" si="44"/>
        <v>26577.675743140626</v>
      </c>
    </row>
    <row r="215" spans="1:13" s="87" customFormat="1" ht="51">
      <c r="A215" s="232" t="s">
        <v>4543</v>
      </c>
      <c r="B215" s="324" t="s">
        <v>7404</v>
      </c>
      <c r="C215" s="324" t="s">
        <v>7440</v>
      </c>
      <c r="D215" s="451" t="str">
        <f>IF(A215="SERVIÇO",VLOOKUP(C215,SERVIÇOS!$A$6:$D$7645,2,0),IF(A215="INSUMO",VLOOKUP(C215,INSUMOS!$A$6:$D$6961,2,0),IF('036.01-20-SERV. GERAIS'!A215="COTAÇÃO",VLOOKUP('036.01-20-SERV. GERAIS'!C215,'036-20-Cotação'!$A$9:$G$529,2,0),IF('036.01-20-SERV. GERAIS'!A215="CCU",VLOOKUP('036.01-20-SERV. GERAIS'!C215,'036-20-CCU''s'!$B$9:$H$1962,2,0)))))</f>
        <v>EXECUÇÃO DE ANCORAGEM PARA ESTAIS, FIXA, PARA 31 CORDOALHAS D = 15,7 MM COM INJEÇÃO DE CERA. EXCLUINDO A ANCORAGEM.</v>
      </c>
      <c r="E215" s="452" t="str">
        <f>IF(A215="SERVIÇO",VLOOKUP(C215,SERVIÇOS!$A$6:$D$7645,3,0),IF(A215="INSUMO",VLOOKUP(C215,INSUMOS!$A$6:$D$6961,3,0),IF('036.01-20-SERV. GERAIS'!A215="COTAÇÃO",VLOOKUP('036.01-20-SERV. GERAIS'!C215,'036-20-Cotação'!$A$9:$G$529,4,0),IF('036.01-20-SERV. GERAIS'!A215="CCU",VLOOKUP('036.01-20-SERV. GERAIS'!C215,'036-20-CCU''s'!$B$9:$H$1962,4,0)))))</f>
        <v xml:space="preserve">UN    </v>
      </c>
      <c r="F215" s="453">
        <v>30</v>
      </c>
      <c r="G215" s="534">
        <f>IF(A215="SERVIÇO",VLOOKUP(C215,SERVIÇOS!$A$6:$D$7645,4,0),IF(A215="INSUMO",VLOOKUP(C215,INSUMOS!$A$6:$D$6961,4,0),IF('036.01-20-SERV. GERAIS'!A215="COTAÇÃO",VLOOKUP('036.01-20-SERV. GERAIS'!C215,'036-20-Cotação'!$A$9:$G$529,3,0),IF('036.01-20-SERV. GERAIS'!A215="CCU",VLOOKUP('036.01-20-SERV. GERAIS'!C215,'036-20-CCU''s'!$B$9:$H$1962,7,0)))))</f>
        <v>505.41964142184196</v>
      </c>
      <c r="H215" s="528">
        <f>BDI_O.A.E!$H$22</f>
        <v>0.18201100192553743</v>
      </c>
      <c r="I215" s="535">
        <f t="shared" si="64"/>
        <v>17922.34730249632</v>
      </c>
      <c r="K215" s="232">
        <f t="shared" si="44"/>
        <v>17922.34730249632</v>
      </c>
    </row>
    <row r="216" spans="1:13" s="87" customFormat="1" ht="63.75">
      <c r="A216" s="232" t="s">
        <v>4543</v>
      </c>
      <c r="B216" s="324" t="s">
        <v>7405</v>
      </c>
      <c r="C216" s="324" t="s">
        <v>7447</v>
      </c>
      <c r="D216" s="451" t="str">
        <f>IF(A216="SERVIÇO",VLOOKUP(C216,SERVIÇOS!$A$6:$D$7645,2,0),IF(A216="INSUMO",VLOOKUP(C216,INSUMOS!$A$6:$D$6961,2,0),IF('036.01-20-SERV. GERAIS'!A216="COTAÇÃO",VLOOKUP('036.01-20-SERV. GERAIS'!C216,'036-20-Cotação'!$A$9:$G$529,2,0),IF('036.01-20-SERV. GERAIS'!A216="CCU",VLOOKUP('036.01-20-SERV. GERAIS'!C216,'036-20-CCU''s'!$B$9:$H$1962,2,0)))))</f>
        <v>EXECUÇÃO ANCORAGEM PARA ESTAIS, REGULÁVEL, PARA 31 CORDOALHAS D = 15,7 MM COM PROTENSÃO, INJEÇÃO DE CERA E REGULAGEM FINAL. EXCLUINDO A ANCORAGEM.</v>
      </c>
      <c r="E216" s="452" t="str">
        <f>IF(A216="SERVIÇO",VLOOKUP(C216,SERVIÇOS!$A$6:$D$7645,3,0),IF(A216="INSUMO",VLOOKUP(C216,INSUMOS!$A$6:$D$6961,3,0),IF('036.01-20-SERV. GERAIS'!A216="COTAÇÃO",VLOOKUP('036.01-20-SERV. GERAIS'!C216,'036-20-Cotação'!$A$9:$G$529,4,0),IF('036.01-20-SERV. GERAIS'!A216="CCU",VLOOKUP('036.01-20-SERV. GERAIS'!C216,'036-20-CCU''s'!$B$9:$H$1962,4,0)))))</f>
        <v xml:space="preserve">UN    </v>
      </c>
      <c r="F216" s="453">
        <v>30</v>
      </c>
      <c r="G216" s="534">
        <f>IF(A216="SERVIÇO",VLOOKUP(C216,SERVIÇOS!$A$6:$D$7645,4,0),IF(A216="INSUMO",VLOOKUP(C216,INSUMOS!$A$6:$D$6961,4,0),IF('036.01-20-SERV. GERAIS'!A216="COTAÇÃO",VLOOKUP('036.01-20-SERV. GERAIS'!C216,'036-20-Cotação'!$A$9:$G$529,3,0),IF('036.01-20-SERV. GERAIS'!A216="CCU",VLOOKUP('036.01-20-SERV. GERAIS'!C216,'036-20-CCU''s'!$B$9:$H$1962,7,0)))))</f>
        <v>1076.8972102274429</v>
      </c>
      <c r="H216" s="528">
        <f>BDI_O.A.E!$H$22</f>
        <v>0.18201100192553743</v>
      </c>
      <c r="I216" s="535">
        <f t="shared" si="64"/>
        <v>38187.130512952674</v>
      </c>
      <c r="K216" s="232">
        <f t="shared" si="44"/>
        <v>38187.130512952674</v>
      </c>
    </row>
    <row r="217" spans="1:13" s="87" customFormat="1" ht="38.25">
      <c r="A217" s="232" t="s">
        <v>4543</v>
      </c>
      <c r="B217" s="324" t="s">
        <v>7406</v>
      </c>
      <c r="C217" s="324" t="s">
        <v>7448</v>
      </c>
      <c r="D217" s="451" t="str">
        <f>IF(A217="SERVIÇO",VLOOKUP(C217,SERVIÇOS!$A$6:$D$7645,2,0),IF(A217="INSUMO",VLOOKUP(C217,INSUMOS!$A$6:$D$6961,2,0),IF('036.01-20-SERV. GERAIS'!A217="COTAÇÃO",VLOOKUP('036.01-20-SERV. GERAIS'!C217,'036-20-Cotação'!$A$9:$G$529,2,0),IF('036.01-20-SERV. GERAIS'!A217="CCU",VLOOKUP('036.01-20-SERV. GERAIS'!C217,'036-20-CCU''s'!$B$9:$H$1962,2,0)))))</f>
        <v>ANCORAGEM PARA ESTAIS, FIXA, PARA 43 CORDOALHAS D = 15,7 MM . FORNECIMENTO E TRANSPORTE</v>
      </c>
      <c r="E217" s="452" t="str">
        <f>IF(A217="SERVIÇO",VLOOKUP(C217,SERVIÇOS!$A$6:$D$7645,3,0),IF(A217="INSUMO",VLOOKUP(C217,INSUMOS!$A$6:$D$6961,3,0),IF('036.01-20-SERV. GERAIS'!A217="COTAÇÃO",VLOOKUP('036.01-20-SERV. GERAIS'!C217,'036-20-Cotação'!$A$9:$G$529,4,0),IF('036.01-20-SERV. GERAIS'!A217="CCU",VLOOKUP('036.01-20-SERV. GERAIS'!C217,'036-20-CCU''s'!$B$9:$H$1962,4,0)))))</f>
        <v xml:space="preserve">UN    </v>
      </c>
      <c r="F217" s="453">
        <v>18</v>
      </c>
      <c r="G217" s="534">
        <f>IF(A217="SERVIÇO",VLOOKUP(C217,SERVIÇOS!$A$6:$D$7645,4,0),IF(A217="INSUMO",VLOOKUP(C217,INSUMOS!$A$6:$D$6961,4,0),IF('036.01-20-SERV. GERAIS'!A217="COTAÇÃO",VLOOKUP('036.01-20-SERV. GERAIS'!C217,'036-20-Cotação'!$A$9:$G$529,3,0),IF('036.01-20-SERV. GERAIS'!A217="CCU",VLOOKUP('036.01-20-SERV. GERAIS'!C217,'036-20-CCU''s'!$B$9:$H$1962,7,0)))))</f>
        <v>26884.9411</v>
      </c>
      <c r="H217" s="528">
        <f>BDI_Equipamentos!$H$22</f>
        <v>0.10890619719771655</v>
      </c>
      <c r="I217" s="535">
        <f t="shared" si="64"/>
        <v>536631.80034754076</v>
      </c>
      <c r="K217" s="232">
        <f t="shared" si="44"/>
        <v>536631.80034754076</v>
      </c>
    </row>
    <row r="218" spans="1:13" s="87" customFormat="1" ht="38.25">
      <c r="A218" s="232" t="s">
        <v>4543</v>
      </c>
      <c r="B218" s="324" t="s">
        <v>7407</v>
      </c>
      <c r="C218" s="324" t="s">
        <v>7451</v>
      </c>
      <c r="D218" s="451" t="str">
        <f>IF(A218="SERVIÇO",VLOOKUP(C218,SERVIÇOS!$A$6:$D$7645,2,0),IF(A218="INSUMO",VLOOKUP(C218,INSUMOS!$A$6:$D$6961,2,0),IF('036.01-20-SERV. GERAIS'!A218="COTAÇÃO",VLOOKUP('036.01-20-SERV. GERAIS'!C218,'036-20-Cotação'!$A$9:$G$529,2,0),IF('036.01-20-SERV. GERAIS'!A218="CCU",VLOOKUP('036.01-20-SERV. GERAIS'!C218,'036-20-CCU''s'!$B$9:$H$1962,2,0)))))</f>
        <v xml:space="preserve">ANCORAGEM PARA ESTAIS, REGULÁVEL, PARA 43 CORDOALHAS D=15,7MM. FORNECIMENTO E TRANSPORTE </v>
      </c>
      <c r="E218" s="452" t="str">
        <f>IF(A218="SERVIÇO",VLOOKUP(C218,SERVIÇOS!$A$6:$D$7645,3,0),IF(A218="INSUMO",VLOOKUP(C218,INSUMOS!$A$6:$D$6961,3,0),IF('036.01-20-SERV. GERAIS'!A218="COTAÇÃO",VLOOKUP('036.01-20-SERV. GERAIS'!C218,'036-20-Cotação'!$A$9:$G$529,4,0),IF('036.01-20-SERV. GERAIS'!A218="CCU",VLOOKUP('036.01-20-SERV. GERAIS'!C218,'036-20-CCU''s'!$B$9:$H$1962,4,0)))))</f>
        <v xml:space="preserve">UN    </v>
      </c>
      <c r="F218" s="453">
        <v>18</v>
      </c>
      <c r="G218" s="534">
        <f>IF(A218="SERVIÇO",VLOOKUP(C218,SERVIÇOS!$A$6:$D$7645,4,0),IF(A218="INSUMO",VLOOKUP(C218,INSUMOS!$A$6:$D$6961,4,0),IF('036.01-20-SERV. GERAIS'!A218="COTAÇÃO",VLOOKUP('036.01-20-SERV. GERAIS'!C218,'036-20-Cotação'!$A$9:$G$529,3,0),IF('036.01-20-SERV. GERAIS'!A218="CCU",VLOOKUP('036.01-20-SERV. GERAIS'!C218,'036-20-CCU''s'!$B$9:$H$1962,7,0)))))</f>
        <v>31243.2827</v>
      </c>
      <c r="H218" s="528">
        <f>BDI_Equipamentos!$H$22</f>
        <v>0.10890619719771655</v>
      </c>
      <c r="I218" s="535">
        <f t="shared" si="64"/>
        <v>623625.65652294364</v>
      </c>
      <c r="K218" s="232">
        <f t="shared" si="44"/>
        <v>623625.65652294364</v>
      </c>
    </row>
    <row r="219" spans="1:13" s="87" customFormat="1" ht="38.25">
      <c r="A219" s="232" t="s">
        <v>4543</v>
      </c>
      <c r="B219" s="324" t="s">
        <v>7408</v>
      </c>
      <c r="C219" s="324" t="s">
        <v>7456</v>
      </c>
      <c r="D219" s="451" t="str">
        <f>IF(A219="SERVIÇO",VLOOKUP(C219,SERVIÇOS!$A$6:$D$7645,2,0),IF(A219="INSUMO",VLOOKUP(C219,INSUMOS!$A$6:$D$6961,2,0),IF('036.01-20-SERV. GERAIS'!A219="COTAÇÃO",VLOOKUP('036.01-20-SERV. GERAIS'!C219,'036-20-Cotação'!$A$9:$G$529,2,0),IF('036.01-20-SERV. GERAIS'!A219="CCU",VLOOKUP('036.01-20-SERV. GERAIS'!C219,'036-20-CCU''s'!$B$9:$H$1962,2,0)))))</f>
        <v xml:space="preserve">ANCORAGEM PARA ESTAIS FIXA TSR PARA 31 CORDOALHAS - D = 15,7. FORNECIMENTO E TRANSPORTE </v>
      </c>
      <c r="E219" s="452" t="str">
        <f>IF(A219="SERVIÇO",VLOOKUP(C219,SERVIÇOS!$A$6:$D$7645,3,0),IF(A219="INSUMO",VLOOKUP(C219,INSUMOS!$A$6:$D$6961,3,0),IF('036.01-20-SERV. GERAIS'!A219="COTAÇÃO",VLOOKUP('036.01-20-SERV. GERAIS'!C219,'036-20-Cotação'!$A$9:$G$529,4,0),IF('036.01-20-SERV. GERAIS'!A219="CCU",VLOOKUP('036.01-20-SERV. GERAIS'!C219,'036-20-CCU''s'!$B$9:$H$1962,4,0)))))</f>
        <v xml:space="preserve">UN    </v>
      </c>
      <c r="F219" s="453">
        <v>30</v>
      </c>
      <c r="G219" s="534">
        <f>IF(A219="SERVIÇO",VLOOKUP(C219,SERVIÇOS!$A$6:$D$7645,4,0),IF(A219="INSUMO",VLOOKUP(C219,INSUMOS!$A$6:$D$6961,4,0),IF('036.01-20-SERV. GERAIS'!A219="COTAÇÃO",VLOOKUP('036.01-20-SERV. GERAIS'!C219,'036-20-Cotação'!$A$9:$G$529,3,0),IF('036.01-20-SERV. GERAIS'!A219="CCU",VLOOKUP('036.01-20-SERV. GERAIS'!C219,'036-20-CCU''s'!$B$9:$H$1962,7,0)))))</f>
        <v>19381.448100000001</v>
      </c>
      <c r="H219" s="528">
        <f>BDI_Equipamentos!$H$22</f>
        <v>0.10890619719771655</v>
      </c>
      <c r="I219" s="535">
        <f t="shared" si="64"/>
        <v>644766.23726267728</v>
      </c>
      <c r="K219" s="232">
        <f t="shared" si="44"/>
        <v>644766.23726267728</v>
      </c>
    </row>
    <row r="220" spans="1:13" s="87" customFormat="1" ht="38.25">
      <c r="A220" s="232" t="s">
        <v>4543</v>
      </c>
      <c r="B220" s="324" t="s">
        <v>7409</v>
      </c>
      <c r="C220" s="324" t="s">
        <v>7463</v>
      </c>
      <c r="D220" s="451" t="str">
        <f>IF(A220="SERVIÇO",VLOOKUP(C220,SERVIÇOS!$A$6:$D$7645,2,0),IF(A220="INSUMO",VLOOKUP(C220,INSUMOS!$A$6:$D$6961,2,0),IF('036.01-20-SERV. GERAIS'!A220="COTAÇÃO",VLOOKUP('036.01-20-SERV. GERAIS'!C220,'036-20-Cotação'!$A$9:$G$529,2,0),IF('036.01-20-SERV. GERAIS'!A220="CCU",VLOOKUP('036.01-20-SERV. GERAIS'!C220,'036-20-CCU''s'!$B$9:$H$1962,2,0)))))</f>
        <v xml:space="preserve">ANCORAGEM PARA ESTAIS, REGULÁVEL, PARA 31 CORDOALHAS D = 15,7MM. FORNECIMENTO E TRANSPORTE  </v>
      </c>
      <c r="E220" s="452" t="str">
        <f>IF(A220="SERVIÇO",VLOOKUP(C220,SERVIÇOS!$A$6:$D$7645,3,0),IF(A220="INSUMO",VLOOKUP(C220,INSUMOS!$A$6:$D$6961,3,0),IF('036.01-20-SERV. GERAIS'!A220="COTAÇÃO",VLOOKUP('036.01-20-SERV. GERAIS'!C220,'036-20-Cotação'!$A$9:$G$529,4,0),IF('036.01-20-SERV. GERAIS'!A220="CCU",VLOOKUP('036.01-20-SERV. GERAIS'!C220,'036-20-CCU''s'!$B$9:$H$1962,4,0)))))</f>
        <v xml:space="preserve">UN    </v>
      </c>
      <c r="F220" s="453">
        <v>30</v>
      </c>
      <c r="G220" s="534">
        <f>IF(A220="SERVIÇO",VLOOKUP(C220,SERVIÇOS!$A$6:$D$7645,4,0),IF(A220="INSUMO",VLOOKUP(C220,INSUMOS!$A$6:$D$6961,4,0),IF('036.01-20-SERV. GERAIS'!A220="COTAÇÃO",VLOOKUP('036.01-20-SERV. GERAIS'!C220,'036-20-Cotação'!$A$9:$G$529,3,0),IF('036.01-20-SERV. GERAIS'!A220="CCU",VLOOKUP('036.01-20-SERV. GERAIS'!C220,'036-20-CCU''s'!$B$9:$H$1962,7,0)))))</f>
        <v>22523.569200000002</v>
      </c>
      <c r="H220" s="528">
        <f>BDI_Equipamentos!$H$22</f>
        <v>0.10890619719771655</v>
      </c>
      <c r="I220" s="535">
        <f t="shared" si="64"/>
        <v>749295.76406674855</v>
      </c>
      <c r="K220" s="232">
        <f t="shared" ref="K220:K289" si="65">F220*(G220*(1+H220))</f>
        <v>749295.76406674855</v>
      </c>
    </row>
    <row r="221" spans="1:13" s="87" customFormat="1">
      <c r="A221" s="232"/>
      <c r="B221" s="88" t="s">
        <v>7508</v>
      </c>
      <c r="C221" s="88" t="s">
        <v>6348</v>
      </c>
      <c r="D221" s="148" t="s">
        <v>7464</v>
      </c>
      <c r="E221" s="149"/>
      <c r="F221" s="149"/>
      <c r="G221" s="149"/>
      <c r="H221" s="149"/>
      <c r="I221" s="150"/>
      <c r="K221" s="232">
        <f t="shared" si="65"/>
        <v>0</v>
      </c>
    </row>
    <row r="222" spans="1:13" s="87" customFormat="1" ht="51">
      <c r="A222" s="232" t="s">
        <v>4543</v>
      </c>
      <c r="B222" s="324" t="s">
        <v>7468</v>
      </c>
      <c r="C222" s="324" t="s">
        <v>7465</v>
      </c>
      <c r="D222" s="451" t="str">
        <f>IF(A222="SERVIÇO",VLOOKUP(C222,SERVIÇOS!$A$6:$D$7645,2,0),IF(A222="INSUMO",VLOOKUP(C222,INSUMOS!$A$6:$D$6961,2,0),IF('036.01-20-SERV. GERAIS'!A222="COTAÇÃO",VLOOKUP('036.01-20-SERV. GERAIS'!C222,'036-20-Cotação'!$A$9:$G$529,2,0),IF('036.01-20-SERV. GERAIS'!A222="CCU",VLOOKUP('036.01-20-SERV. GERAIS'!C222,'036-20-CCU''s'!$B$9:$H$1962,2,0)))))</f>
        <v>INSTALAÇÃO DE TUBO ANTIVANDALISMO PARA ESTAIS EM AÇO GALVANIZADO PARA 43 CORDOALHAS D = 15,7 MM. EXCETO TUBO ANTIVANDALISMO</v>
      </c>
      <c r="E222" s="452" t="str">
        <f>IF(A222="SERVIÇO",VLOOKUP(C222,SERVIÇOS!$A$6:$D$7645,3,0),IF(A222="INSUMO",VLOOKUP(C222,INSUMOS!$A$6:$D$6961,3,0),IF('036.01-20-SERV. GERAIS'!A222="COTAÇÃO",VLOOKUP('036.01-20-SERV. GERAIS'!C222,'036-20-Cotação'!$A$9:$G$529,4,0),IF('036.01-20-SERV. GERAIS'!A222="CCU",VLOOKUP('036.01-20-SERV. GERAIS'!C222,'036-20-CCU''s'!$B$9:$H$1962,4,0)))))</f>
        <v>M</v>
      </c>
      <c r="F222" s="453">
        <v>137.11000000000001</v>
      </c>
      <c r="G222" s="534">
        <f>IF(A222="SERVIÇO",VLOOKUP(C222,SERVIÇOS!$A$6:$D$7645,4,0),IF(A222="INSUMO",VLOOKUP(C222,INSUMOS!$A$6:$D$6961,4,0),IF('036.01-20-SERV. GERAIS'!A222="COTAÇÃO",VLOOKUP('036.01-20-SERV. GERAIS'!C222,'036-20-Cotação'!$A$9:$G$529,3,0),IF('036.01-20-SERV. GERAIS'!A222="CCU",VLOOKUP('036.01-20-SERV. GERAIS'!C222,'036-20-CCU''s'!$B$9:$H$1962,7,0)))))</f>
        <v>75.074005671140924</v>
      </c>
      <c r="H222" s="528">
        <f>BDI_O.A.E!$H$22</f>
        <v>0.18201100192553743</v>
      </c>
      <c r="I222" s="535">
        <f t="shared" ref="I222:I225" si="66">F222*(G222*(1+H222))</f>
        <v>12166.908403754313</v>
      </c>
      <c r="K222" s="232">
        <f t="shared" si="65"/>
        <v>12166.908403754313</v>
      </c>
    </row>
    <row r="223" spans="1:13" s="87" customFormat="1" ht="38.25">
      <c r="A223" s="232" t="s">
        <v>4543</v>
      </c>
      <c r="B223" s="324" t="s">
        <v>7473</v>
      </c>
      <c r="C223" s="324" t="s">
        <v>7469</v>
      </c>
      <c r="D223" s="451" t="str">
        <f>IF(A223="SERVIÇO",VLOOKUP(C223,SERVIÇOS!$A$6:$D$7645,2,0),IF(A223="INSUMO",VLOOKUP(C223,INSUMOS!$A$6:$D$6961,2,0),IF('036.01-20-SERV. GERAIS'!A223="COTAÇÃO",VLOOKUP('036.01-20-SERV. GERAIS'!C223,'036-20-Cotação'!$A$9:$G$529,2,0),IF('036.01-20-SERV. GERAIS'!A223="CCU",VLOOKUP('036.01-20-SERV. GERAIS'!C223,'036-20-CCU''s'!$B$9:$H$1962,2,0)))))</f>
        <v xml:space="preserve">TUBO ANTIVANDALISMO PARA ESTAIS EM AÇO GALVANIZADO PARA 43 CORDOALHAS D = 15,7 MM - FORNECIMENTO E TRANSPORTE </v>
      </c>
      <c r="E223" s="452" t="str">
        <f>IF(A223="SERVIÇO",VLOOKUP(C223,SERVIÇOS!$A$6:$D$7645,3,0),IF(A223="INSUMO",VLOOKUP(C223,INSUMOS!$A$6:$D$6961,3,0),IF('036.01-20-SERV. GERAIS'!A223="COTAÇÃO",VLOOKUP('036.01-20-SERV. GERAIS'!C223,'036-20-Cotação'!$A$9:$G$529,4,0),IF('036.01-20-SERV. GERAIS'!A223="CCU",VLOOKUP('036.01-20-SERV. GERAIS'!C223,'036-20-CCU''s'!$B$9:$H$1962,4,0)))))</f>
        <v>M</v>
      </c>
      <c r="F223" s="453">
        <v>137.11000000000001</v>
      </c>
      <c r="G223" s="534">
        <f>IF(A223="SERVIÇO",VLOOKUP(C223,SERVIÇOS!$A$6:$D$7645,4,0),IF(A223="INSUMO",VLOOKUP(C223,INSUMOS!$A$6:$D$6961,4,0),IF('036.01-20-SERV. GERAIS'!A223="COTAÇÃO",VLOOKUP('036.01-20-SERV. GERAIS'!C223,'036-20-Cotação'!$A$9:$G$529,3,0),IF('036.01-20-SERV. GERAIS'!A223="CCU",VLOOKUP('036.01-20-SERV. GERAIS'!C223,'036-20-CCU''s'!$B$9:$H$1962,7,0)))))</f>
        <v>5550</v>
      </c>
      <c r="H223" s="528">
        <f>BDI_Equipamentos!$H$22</f>
        <v>0.10890619719771655</v>
      </c>
      <c r="I223" s="535">
        <f t="shared" si="66"/>
        <v>843833.81427267299</v>
      </c>
      <c r="K223" s="232">
        <f t="shared" si="65"/>
        <v>843833.81427267299</v>
      </c>
    </row>
    <row r="224" spans="1:13" s="87" customFormat="1">
      <c r="A224" s="232"/>
      <c r="B224" s="88" t="s">
        <v>7506</v>
      </c>
      <c r="C224" s="88" t="s">
        <v>6348</v>
      </c>
      <c r="D224" s="148" t="s">
        <v>7474</v>
      </c>
      <c r="E224" s="149"/>
      <c r="F224" s="149"/>
      <c r="G224" s="149"/>
      <c r="H224" s="149"/>
      <c r="I224" s="150"/>
      <c r="K224" s="232">
        <f t="shared" si="65"/>
        <v>0</v>
      </c>
    </row>
    <row r="225" spans="1:11" s="87" customFormat="1" ht="38.25">
      <c r="A225" s="232" t="s">
        <v>4543</v>
      </c>
      <c r="B225" s="324" t="s">
        <v>7485</v>
      </c>
      <c r="C225" s="324" t="s">
        <v>7479</v>
      </c>
      <c r="D225" s="451" t="str">
        <f>IF(A225="SERVIÇO",VLOOKUP(C225,SERVIÇOS!$A$6:$D$7645,2,0),IF(A225="INSUMO",VLOOKUP(C225,INSUMOS!$A$6:$D$6961,2,0),IF('036.01-20-SERV. GERAIS'!A225="COTAÇÃO",VLOOKUP('036.01-20-SERV. GERAIS'!C225,'036-20-Cotação'!$A$9:$G$529,2,0),IF('036.01-20-SERV. GERAIS'!A225="CCU",VLOOKUP('036.01-20-SERV. GERAIS'!C225,'036-20-CCU''s'!$B$9:$H$1962,2,0)))))</f>
        <v>EXECUÇÃO TUBO PEAD PARA ESTAIS - D = 225 MM. EXCLUINDO A ANCORAGEM. EXCETO TUBO PEAD.</v>
      </c>
      <c r="E225" s="452" t="str">
        <f>IF(A225="SERVIÇO",VLOOKUP(C225,SERVIÇOS!$A$6:$D$7645,3,0),IF(A225="INSUMO",VLOOKUP(C225,INSUMOS!$A$6:$D$6961,3,0),IF('036.01-20-SERV. GERAIS'!A225="COTAÇÃO",VLOOKUP('036.01-20-SERV. GERAIS'!C225,'036-20-Cotação'!$A$9:$G$529,4,0),IF('036.01-20-SERV. GERAIS'!A225="CCU",VLOOKUP('036.01-20-SERV. GERAIS'!C225,'036-20-CCU''s'!$B$9:$H$1962,4,0)))))</f>
        <v>M</v>
      </c>
      <c r="F225" s="453">
        <v>1686.97</v>
      </c>
      <c r="G225" s="534">
        <f>IF(A225="SERVIÇO",VLOOKUP(C225,SERVIÇOS!$A$6:$D$7645,4,0),IF(A225="INSUMO",VLOOKUP(C225,INSUMOS!$A$6:$D$6961,4,0),IF('036.01-20-SERV. GERAIS'!A225="COTAÇÃO",VLOOKUP('036.01-20-SERV. GERAIS'!C225,'036-20-Cotação'!$A$9:$G$529,3,0),IF('036.01-20-SERV. GERAIS'!A225="CCU",VLOOKUP('036.01-20-SERV. GERAIS'!C225,'036-20-CCU''s'!$B$9:$H$1962,7,0)))))</f>
        <v>45.964322733879712</v>
      </c>
      <c r="H225" s="528">
        <f>BDI_O.A.E!$H$22</f>
        <v>0.18201100192553743</v>
      </c>
      <c r="I225" s="535">
        <f t="shared" si="66"/>
        <v>91653.645517520708</v>
      </c>
      <c r="K225" s="232">
        <f t="shared" si="65"/>
        <v>91653.645517520708</v>
      </c>
    </row>
    <row r="226" spans="1:11" s="87" customFormat="1" ht="25.5">
      <c r="A226" s="232" t="s">
        <v>4543</v>
      </c>
      <c r="B226" s="324" t="s">
        <v>7486</v>
      </c>
      <c r="C226" s="324" t="s">
        <v>7480</v>
      </c>
      <c r="D226" s="451" t="str">
        <f>IF(A226="SERVIÇO",VLOOKUP(C226,SERVIÇOS!$A$6:$D$7645,2,0),IF(A226="INSUMO",VLOOKUP(C226,INSUMOS!$A$6:$D$6961,2,0),IF('036.01-20-SERV. GERAIS'!A226="COTAÇÃO",VLOOKUP('036.01-20-SERV. GERAIS'!C226,'036-20-Cotação'!$A$9:$G$529,2,0),IF('036.01-20-SERV. GERAIS'!A226="CCU",VLOOKUP('036.01-20-SERV. GERAIS'!C226,'036-20-CCU''s'!$B$9:$H$1962,2,0)))))</f>
        <v>TUBO PEAD PARA ESTAIS - D = 225 MM - FORNECIMENTO E TRANSPORTE</v>
      </c>
      <c r="E226" s="452" t="str">
        <f>IF(A226="SERVIÇO",VLOOKUP(C226,SERVIÇOS!$A$6:$D$7645,3,0),IF(A226="INSUMO",VLOOKUP(C226,INSUMOS!$A$6:$D$6961,3,0),IF('036.01-20-SERV. GERAIS'!A226="COTAÇÃO",VLOOKUP('036.01-20-SERV. GERAIS'!C226,'036-20-Cotação'!$A$9:$G$529,4,0),IF('036.01-20-SERV. GERAIS'!A226="CCU",VLOOKUP('036.01-20-SERV. GERAIS'!C226,'036-20-CCU''s'!$B$9:$H$1962,4,0)))))</f>
        <v>M</v>
      </c>
      <c r="F226" s="453">
        <v>1686.97</v>
      </c>
      <c r="G226" s="534">
        <f>IF(A226="SERVIÇO",VLOOKUP(C226,SERVIÇOS!$A$6:$D$7645,4,0),IF(A226="INSUMO",VLOOKUP(C226,INSUMOS!$A$6:$D$6961,4,0),IF('036.01-20-SERV. GERAIS'!A226="COTAÇÃO",VLOOKUP('036.01-20-SERV. GERAIS'!C226,'036-20-Cotação'!$A$9:$G$529,3,0),IF('036.01-20-SERV. GERAIS'!A226="CCU",VLOOKUP('036.01-20-SERV. GERAIS'!C226,'036-20-CCU''s'!$B$9:$H$1962,7,0)))))</f>
        <v>133.62</v>
      </c>
      <c r="H226" s="528">
        <f>BDI_Equipamentos!$H$22</f>
        <v>0.10890619719771655</v>
      </c>
      <c r="I226" s="535">
        <f t="shared" ref="I226" si="67">F226*(G226*(1+H226))</f>
        <v>249961.79655796377</v>
      </c>
      <c r="K226" s="232">
        <f t="shared" si="65"/>
        <v>249961.79655796377</v>
      </c>
    </row>
    <row r="227" spans="1:11" s="87" customFormat="1">
      <c r="A227" s="232"/>
      <c r="B227" s="88" t="s">
        <v>7505</v>
      </c>
      <c r="C227" s="88" t="s">
        <v>6348</v>
      </c>
      <c r="D227" s="148" t="s">
        <v>7484</v>
      </c>
      <c r="E227" s="149"/>
      <c r="F227" s="149"/>
      <c r="G227" s="149"/>
      <c r="H227" s="149"/>
      <c r="I227" s="150"/>
      <c r="K227" s="232">
        <f t="shared" si="65"/>
        <v>0</v>
      </c>
    </row>
    <row r="228" spans="1:11" s="87" customFormat="1" ht="25.5">
      <c r="A228" s="232" t="s">
        <v>4543</v>
      </c>
      <c r="B228" s="324" t="s">
        <v>7487</v>
      </c>
      <c r="C228" s="324" t="s">
        <v>7489</v>
      </c>
      <c r="D228" s="451" t="str">
        <f>IF(A228="SERVIÇO",VLOOKUP(C228,SERVIÇOS!$A$6:$D$7645,2,0),IF(A228="INSUMO",VLOOKUP(C228,INSUMOS!$A$6:$D$6961,2,0),IF('036.01-20-SERV. GERAIS'!A228="COTAÇÃO",VLOOKUP('036.01-20-SERV. GERAIS'!C228,'036-20-Cotação'!$A$9:$G$529,2,0),IF('036.01-20-SERV. GERAIS'!A228="CCU",VLOOKUP('036.01-20-SERV. GERAIS'!C228,'036-20-CCU''s'!$B$9:$H$1962,2,0)))))</f>
        <v xml:space="preserve">CORDOALHA PARA ESTAIS CP 177 RB D = 15,7 MM -  PREPARO E COLOCAÇÃO  </v>
      </c>
      <c r="E228" s="452" t="str">
        <f>IF(A228="SERVIÇO",VLOOKUP(C228,SERVIÇOS!$A$6:$D$7645,3,0),IF(A228="INSUMO",VLOOKUP(C228,INSUMOS!$A$6:$D$6961,3,0),IF('036.01-20-SERV. GERAIS'!A228="COTAÇÃO",VLOOKUP('036.01-20-SERV. GERAIS'!C228,'036-20-Cotação'!$A$9:$G$529,4,0),IF('036.01-20-SERV. GERAIS'!A228="CCU",VLOOKUP('036.01-20-SERV. GERAIS'!C228,'036-20-CCU''s'!$B$9:$H$1962,4,0)))))</f>
        <v>KG</v>
      </c>
      <c r="F228" s="453">
        <v>87889.44</v>
      </c>
      <c r="G228" s="534">
        <f>IF(A228="SERVIÇO",VLOOKUP(C228,SERVIÇOS!$A$6:$D$7645,4,0),IF(A228="INSUMO",VLOOKUP(C228,INSUMOS!$A$6:$D$6961,4,0),IF('036.01-20-SERV. GERAIS'!A228="COTAÇÃO",VLOOKUP('036.01-20-SERV. GERAIS'!C228,'036-20-Cotação'!$A$9:$G$529,3,0),IF('036.01-20-SERV. GERAIS'!A228="CCU",VLOOKUP('036.01-20-SERV. GERAIS'!C228,'036-20-CCU''s'!$B$9:$H$1962,7,0)))))</f>
        <v>1.2515031393600637</v>
      </c>
      <c r="H228" s="528">
        <f>BDI_O.A.E!$H$22</f>
        <v>0.18201100192553743</v>
      </c>
      <c r="I228" s="535">
        <f>F228*(G228*(1+H228))</f>
        <v>130014.01185534702</v>
      </c>
      <c r="K228" s="232">
        <f t="shared" si="65"/>
        <v>130014.01185534702</v>
      </c>
    </row>
    <row r="229" spans="1:11" s="87" customFormat="1" ht="25.5">
      <c r="A229" s="232" t="s">
        <v>4543</v>
      </c>
      <c r="B229" s="324" t="s">
        <v>7488</v>
      </c>
      <c r="C229" s="324" t="s">
        <v>7496</v>
      </c>
      <c r="D229" s="451" t="str">
        <f>IF(A229="SERVIÇO",VLOOKUP(C229,SERVIÇOS!$A$6:$D$7645,2,0),IF(A229="INSUMO",VLOOKUP(C229,INSUMOS!$A$6:$D$6961,2,0),IF('036.01-20-SERV. GERAIS'!A229="COTAÇÃO",VLOOKUP('036.01-20-SERV. GERAIS'!C229,'036-20-Cotação'!$A$9:$G$529,2,0),IF('036.01-20-SERV. GERAIS'!A229="CCU",VLOOKUP('036.01-20-SERV. GERAIS'!C229,'036-20-CCU''s'!$B$9:$H$1962,2,0)))))</f>
        <v>CORDOALHA PARA ESTAIS CP 177 RB D=15,7 MM - FORNECIMENTO</v>
      </c>
      <c r="E229" s="452" t="str">
        <f>IF(A229="SERVIÇO",VLOOKUP(C229,SERVIÇOS!$A$6:$D$7645,3,0),IF(A229="INSUMO",VLOOKUP(C229,INSUMOS!$A$6:$D$6961,3,0),IF('036.01-20-SERV. GERAIS'!A229="COTAÇÃO",VLOOKUP('036.01-20-SERV. GERAIS'!C229,'036-20-Cotação'!$A$9:$G$529,4,0),IF('036.01-20-SERV. GERAIS'!A229="CCU",VLOOKUP('036.01-20-SERV. GERAIS'!C229,'036-20-CCU''s'!$B$9:$H$1962,4,0)))))</f>
        <v>KG</v>
      </c>
      <c r="F229" s="453">
        <v>87889.44</v>
      </c>
      <c r="G229" s="534">
        <f>IF(A229="SERVIÇO",VLOOKUP(C229,SERVIÇOS!$A$6:$D$7645,4,0),IF(A229="INSUMO",VLOOKUP(C229,INSUMOS!$A$6:$D$6961,4,0),IF('036.01-20-SERV. GERAIS'!A229="COTAÇÃO",VLOOKUP('036.01-20-SERV. GERAIS'!C229,'036-20-Cotação'!$A$9:$G$529,3,0),IF('036.01-20-SERV. GERAIS'!A229="CCU",VLOOKUP('036.01-20-SERV. GERAIS'!C229,'036-20-CCU''s'!$B$9:$H$1962,7,0)))))</f>
        <v>23.46246</v>
      </c>
      <c r="H229" s="528">
        <f>BDI_Equipamentos!$H$22</f>
        <v>0.10890619719771655</v>
      </c>
      <c r="I229" s="535">
        <f>F229*(G229*(1+H229))</f>
        <v>2286678.2087081205</v>
      </c>
      <c r="K229" s="232">
        <f t="shared" si="65"/>
        <v>2286678.2087081205</v>
      </c>
    </row>
    <row r="230" spans="1:11" s="87" customFormat="1">
      <c r="A230" s="232"/>
      <c r="B230" s="88" t="s">
        <v>7507</v>
      </c>
      <c r="C230" s="88" t="s">
        <v>6348</v>
      </c>
      <c r="D230" s="148" t="s">
        <v>7501</v>
      </c>
      <c r="E230" s="149"/>
      <c r="F230" s="149"/>
      <c r="G230" s="149"/>
      <c r="H230" s="149"/>
      <c r="I230" s="150"/>
      <c r="K230" s="232">
        <f t="shared" si="65"/>
        <v>0</v>
      </c>
    </row>
    <row r="231" spans="1:11" s="87" customFormat="1" ht="25.5">
      <c r="A231" s="232" t="s">
        <v>4543</v>
      </c>
      <c r="B231" s="324" t="s">
        <v>7504</v>
      </c>
      <c r="C231" s="324" t="s">
        <v>7503</v>
      </c>
      <c r="D231" s="451" t="str">
        <f>IF(A231="SERVIÇO",VLOOKUP(C231,SERVIÇOS!$A$6:$D$7645,2,0),IF(A231="INSUMO",VLOOKUP(C231,INSUMOS!$A$6:$D$6961,2,0),IF('036.01-20-SERV. GERAIS'!A231="COTAÇÃO",VLOOKUP('036.01-20-SERV. GERAIS'!C231,'036-20-Cotação'!$A$9:$G$529,2,0),IF('036.01-20-SERV. GERAIS'!A231="CCU",VLOOKUP('036.01-20-SERV. GERAIS'!C231,'036-20-CCU''s'!$B$9:$H$1962,2,0)))))</f>
        <v>TRANSPORTE DE MATERIAIS NO INTERIOR DOS ARCOS COM GUINCHO</v>
      </c>
      <c r="E231" s="452" t="str">
        <f>IF(A231="SERVIÇO",VLOOKUP(C231,SERVIÇOS!$A$6:$D$7645,3,0),IF(A231="INSUMO",VLOOKUP(C231,INSUMOS!$A$6:$D$6961,3,0),IF('036.01-20-SERV. GERAIS'!A231="COTAÇÃO",VLOOKUP('036.01-20-SERV. GERAIS'!C231,'036-20-Cotação'!$A$9:$G$529,4,0),IF('036.01-20-SERV. GERAIS'!A231="CCU",VLOOKUP('036.01-20-SERV. GERAIS'!C231,'036-20-CCU''s'!$B$9:$H$1962,4,0)))))</f>
        <v>KG</v>
      </c>
      <c r="F231" s="453">
        <v>21589</v>
      </c>
      <c r="G231" s="534">
        <f>IF(A231="SERVIÇO",VLOOKUP(C231,SERVIÇOS!$A$6:$D$7645,4,0),IF(A231="INSUMO",VLOOKUP(C231,INSUMOS!$A$6:$D$6961,4,0),IF('036.01-20-SERV. GERAIS'!A231="COTAÇÃO",VLOOKUP('036.01-20-SERV. GERAIS'!C231,'036-20-Cotação'!$A$9:$G$529,3,0),IF('036.01-20-SERV. GERAIS'!A231="CCU",VLOOKUP('036.01-20-SERV. GERAIS'!C231,'036-20-CCU''s'!$B$9:$H$1962,7,0)))))</f>
        <v>0.22779661591999997</v>
      </c>
      <c r="H231" s="528">
        <f>BDI_O.A.E!$H$22</f>
        <v>0.18201100192553743</v>
      </c>
      <c r="I231" s="535">
        <f t="shared" ref="I231" si="68">F231*(G231*(1+H231))</f>
        <v>5813.0132551586657</v>
      </c>
      <c r="K231" s="232">
        <f t="shared" si="65"/>
        <v>5813.0132551586657</v>
      </c>
    </row>
    <row r="232" spans="1:11" s="87" customFormat="1">
      <c r="A232" s="232"/>
      <c r="B232" s="144"/>
      <c r="C232" s="144"/>
      <c r="D232" s="144"/>
      <c r="E232" s="145"/>
      <c r="F232" s="146"/>
      <c r="G232" s="146"/>
      <c r="H232" s="146"/>
      <c r="I232" s="147"/>
      <c r="K232" s="232">
        <f t="shared" si="65"/>
        <v>0</v>
      </c>
    </row>
    <row r="233" spans="1:11" s="87" customFormat="1">
      <c r="A233" s="232"/>
      <c r="B233" s="193"/>
      <c r="C233" s="194"/>
      <c r="D233" s="194"/>
      <c r="E233" s="194"/>
      <c r="F233" s="194"/>
      <c r="G233" s="196" t="s">
        <v>70</v>
      </c>
      <c r="H233" s="332"/>
      <c r="I233" s="89">
        <f>SUM(I83:I232)</f>
        <v>17495449.550022807</v>
      </c>
      <c r="K233" s="232"/>
    </row>
    <row r="234" spans="1:11" s="87" customFormat="1">
      <c r="A234" s="232"/>
      <c r="B234" s="144"/>
      <c r="C234" s="144"/>
      <c r="D234" s="144"/>
      <c r="E234" s="145"/>
      <c r="F234" s="146"/>
      <c r="G234" s="146"/>
      <c r="H234" s="146"/>
      <c r="I234" s="147"/>
      <c r="K234" s="232">
        <f t="shared" si="65"/>
        <v>0</v>
      </c>
    </row>
    <row r="235" spans="1:11" s="87" customFormat="1">
      <c r="A235" s="232"/>
      <c r="B235" s="88" t="s">
        <v>143</v>
      </c>
      <c r="C235" s="88"/>
      <c r="D235" s="148" t="s">
        <v>144</v>
      </c>
      <c r="E235" s="149"/>
      <c r="F235" s="149"/>
      <c r="G235" s="149"/>
      <c r="H235" s="149"/>
      <c r="I235" s="150"/>
      <c r="K235" s="232">
        <f t="shared" si="65"/>
        <v>0</v>
      </c>
    </row>
    <row r="236" spans="1:11" s="87" customFormat="1">
      <c r="A236" s="232"/>
      <c r="B236" s="88" t="s">
        <v>153</v>
      </c>
      <c r="C236" s="88"/>
      <c r="D236" s="151" t="s">
        <v>154</v>
      </c>
      <c r="E236" s="152"/>
      <c r="F236" s="152"/>
      <c r="G236" s="152"/>
      <c r="H236" s="152"/>
      <c r="I236" s="153"/>
      <c r="K236" s="232">
        <f t="shared" si="65"/>
        <v>0</v>
      </c>
    </row>
    <row r="237" spans="1:11" s="87" customFormat="1">
      <c r="A237" s="232"/>
      <c r="B237" s="88" t="s">
        <v>8241</v>
      </c>
      <c r="C237" s="324"/>
      <c r="D237" s="151" t="s">
        <v>8240</v>
      </c>
      <c r="E237" s="152"/>
      <c r="F237" s="152"/>
      <c r="G237" s="152"/>
      <c r="H237" s="152"/>
      <c r="I237" s="153"/>
      <c r="K237" s="232">
        <f t="shared" si="65"/>
        <v>0</v>
      </c>
    </row>
    <row r="238" spans="1:11" s="87" customFormat="1">
      <c r="A238" s="232"/>
      <c r="B238" s="88" t="s">
        <v>8255</v>
      </c>
      <c r="C238" s="324"/>
      <c r="D238" s="151" t="s">
        <v>8256</v>
      </c>
      <c r="E238" s="152"/>
      <c r="F238" s="152"/>
      <c r="G238" s="152"/>
      <c r="H238" s="152"/>
      <c r="I238" s="153"/>
      <c r="K238" s="232">
        <f t="shared" si="65"/>
        <v>0</v>
      </c>
    </row>
    <row r="239" spans="1:11" s="223" customFormat="1" ht="25.5">
      <c r="A239" s="232" t="s">
        <v>4543</v>
      </c>
      <c r="B239" s="454" t="s">
        <v>8242</v>
      </c>
      <c r="C239" s="454" t="s">
        <v>13509</v>
      </c>
      <c r="D239" s="451" t="str">
        <f>IF(A239="SERVIÇO",VLOOKUP(C239,SERVIÇOS!$A$6:$D$7645,2,0),IF(A239="INSUMO",VLOOKUP(C239,INSUMOS!$A$6:$D$6961,2,0),IF('036.01-20-SERV. GERAIS'!A239="COTAÇÃO",VLOOKUP('036.01-20-SERV. GERAIS'!C239,'036-20-Cotação'!$A$9:$G$529,2,0),IF('036.01-20-SERV. GERAIS'!A239="CCU",VLOOKUP('036.01-20-SERV. GERAIS'!C239,'036-20-CCU''s'!$B$9:$H$1962,2,0)))))</f>
        <v>LIMPEZA EM SUPERFICIE DE CONCRETO COM JATEAMENTO D'ÁGUA SOB PRESSÃO</v>
      </c>
      <c r="E239" s="452" t="str">
        <f>IF(A239="SERVIÇO",VLOOKUP(C239,SERVIÇOS!$A$6:$D$7645,3,0),IF(A239="INSUMO",VLOOKUP(C239,INSUMOS!$A$6:$D$6961,3,0),IF('036.01-20-SERV. GERAIS'!A239="COTAÇÃO",VLOOKUP('036.01-20-SERV. GERAIS'!C239,'036-20-Cotação'!$A$9:$G$529,4,0),IF('036.01-20-SERV. GERAIS'!A239="CCU",VLOOKUP('036.01-20-SERV. GERAIS'!C239,'036-20-CCU''s'!$B$9:$H$1962,4,0)))))</f>
        <v>M2</v>
      </c>
      <c r="F239" s="537">
        <v>17330.11</v>
      </c>
      <c r="G239" s="534">
        <f>IF(A239="SERVIÇO",VLOOKUP(C239,SERVIÇOS!$A$6:$D$7645,4,0),IF(A239="INSUMO",VLOOKUP(C239,INSUMOS!$A$6:$D$6961,4,0),IF('036.01-20-SERV. GERAIS'!A239="COTAÇÃO",VLOOKUP('036.01-20-SERV. GERAIS'!C239,'036-20-Cotação'!$A$9:$G$529,3,0),IF('036.01-20-SERV. GERAIS'!A239="CCU",VLOOKUP('036.01-20-SERV. GERAIS'!C239,'036-20-CCU''s'!$B$9:$H$1962,7,0)))))</f>
        <v>2.7163414430424733</v>
      </c>
      <c r="H239" s="528">
        <f>BDI_O.A.E!$H$22</f>
        <v>0.18201100192553743</v>
      </c>
      <c r="I239" s="535">
        <f>F239*(G239*(1+H239))</f>
        <v>55642.572188582795</v>
      </c>
      <c r="K239" s="232">
        <f t="shared" si="65"/>
        <v>55642.572188582795</v>
      </c>
    </row>
    <row r="240" spans="1:11" s="223" customFormat="1" ht="25.5">
      <c r="A240" s="232" t="s">
        <v>4543</v>
      </c>
      <c r="B240" s="454" t="s">
        <v>8243</v>
      </c>
      <c r="C240" s="324" t="s">
        <v>6294</v>
      </c>
      <c r="D240" s="451" t="str">
        <f>IF(A240="SERVIÇO",VLOOKUP(C240,SERVIÇOS!$A$6:$D$7645,2,0),IF(A240="INSUMO",VLOOKUP(C240,INSUMOS!$A$6:$D$6961,2,0),IF('036.01-20-SERV. GERAIS'!A240="COTAÇÃO",VLOOKUP('036.01-20-SERV. GERAIS'!C240,'036-20-Cotação'!$A$9:$G$529,2,0),IF('036.01-20-SERV. GERAIS'!A240="CCU",VLOOKUP('036.01-20-SERV. GERAIS'!C240,'036-20-CCU''s'!$B$9:$H$1962,2,0)))))</f>
        <v>PREPARO DE SUPERFICIE METÁLICA COM JATEAMENTO D'ÁGUA SOB PRESSÃO</v>
      </c>
      <c r="E240" s="452" t="str">
        <f>IF(A240="SERVIÇO",VLOOKUP(C240,SERVIÇOS!$A$6:$D$7645,3,0),IF(A240="INSUMO",VLOOKUP(C240,INSUMOS!$A$6:$D$6961,3,0),IF('036.01-20-SERV. GERAIS'!A240="COTAÇÃO",VLOOKUP('036.01-20-SERV. GERAIS'!C240,'036-20-Cotação'!$A$9:$G$529,4,0),IF('036.01-20-SERV. GERAIS'!A240="CCU",VLOOKUP('036.01-20-SERV. GERAIS'!C240,'036-20-CCU''s'!$B$9:$H$1962,4,0)))))</f>
        <v>M2</v>
      </c>
      <c r="F240" s="537">
        <v>51783.28</v>
      </c>
      <c r="G240" s="534">
        <f>IF(A240="SERVIÇO",VLOOKUP(C240,SERVIÇOS!$A$6:$D$7645,4,0),IF(A240="INSUMO",VLOOKUP(C240,INSUMOS!$A$6:$D$6961,4,0),IF('036.01-20-SERV. GERAIS'!A240="COTAÇÃO",VLOOKUP('036.01-20-SERV. GERAIS'!C240,'036-20-Cotação'!$A$9:$G$529,3,0),IF('036.01-20-SERV. GERAIS'!A240="CCU",VLOOKUP('036.01-20-SERV. GERAIS'!C240,'036-20-CCU''s'!$B$9:$H$1962,7,0)))))</f>
        <v>4.6725596765594455</v>
      </c>
      <c r="H240" s="528">
        <f>BDI_O.A.E!$H$22</f>
        <v>0.18201100192553743</v>
      </c>
      <c r="I240" s="535">
        <f>F240*(G240*(1+H240))</f>
        <v>285999.93289975129</v>
      </c>
      <c r="K240" s="232">
        <f t="shared" si="65"/>
        <v>285999.93289975129</v>
      </c>
    </row>
    <row r="241" spans="1:13" s="87" customFormat="1">
      <c r="A241" s="232"/>
      <c r="B241" s="88" t="s">
        <v>8245</v>
      </c>
      <c r="C241" s="324"/>
      <c r="D241" s="215" t="s">
        <v>8244</v>
      </c>
      <c r="E241" s="152"/>
      <c r="F241" s="152"/>
      <c r="G241" s="152"/>
      <c r="H241" s="152"/>
      <c r="I241" s="153"/>
      <c r="K241" s="232">
        <f t="shared" si="65"/>
        <v>0</v>
      </c>
    </row>
    <row r="242" spans="1:13" s="87" customFormat="1" ht="90" customHeight="1">
      <c r="A242" s="232" t="s">
        <v>4543</v>
      </c>
      <c r="B242" s="324" t="s">
        <v>8248</v>
      </c>
      <c r="C242" s="324" t="s">
        <v>6287</v>
      </c>
      <c r="D242" s="451" t="str">
        <f>IF(A242="SERVIÇO",VLOOKUP(C242,SERVIÇOS!$A$6:$D$7645,2,0),IF(A242="INSUMO",VLOOKUP(C242,INSUMOS!$A$6:$D$6961,2,0),IF('036.01-20-SERV. GERAIS'!A242="COTAÇÃO",VLOOKUP('036.01-20-SERV. GERAIS'!C242,'036-20-Cotação'!$A$9:$G$529,2,0),IF('036.01-20-SERV. GERAIS'!A242="CCU",VLOOKUP('036.01-20-SERV. GERAIS'!C242,'036-20-CCU''s'!$B$9:$H$1962,2,0)))))</f>
        <v xml:space="preserve">PINTURA DE FUNDO (1ª DEMÃO) EM SUPERFÍCIE METÁLICA COM (120 μm) COM TINTA A BASE DE EPÓXI TOLERANTE DE SUPERFÍCIE (PRIMER), DE ALTOS SÓLIDOS, ALTA ESPESSURA E COM PIGNENTAÇÃO ANTICORROSIVA A BASE DE ALUMÍNIO. PRODUTO DE REFERÊNCIA: INTERSEAL 670HS EGA230 OU EQUIVALENTE. </v>
      </c>
      <c r="E242" s="452" t="str">
        <f>IF(A242="SERVIÇO",VLOOKUP(C242,SERVIÇOS!$A$6:$D$7645,3,0),IF(A242="INSUMO",VLOOKUP(C242,INSUMOS!$A$6:$D$6961,3,0),IF('036.01-20-SERV. GERAIS'!A242="COTAÇÃO",VLOOKUP('036.01-20-SERV. GERAIS'!C242,'036-20-Cotação'!$A$9:$G$529,4,0),IF('036.01-20-SERV. GERAIS'!A242="CCU",VLOOKUP('036.01-20-SERV. GERAIS'!C242,'036-20-CCU''s'!$B$9:$H$1962,4,0)))))</f>
        <v>M2</v>
      </c>
      <c r="F242" s="538">
        <v>49623.28</v>
      </c>
      <c r="G242" s="534">
        <f>IF(A242="SERVIÇO",VLOOKUP(C242,SERVIÇOS!$A$6:$D$7645,4,0),IF(A242="INSUMO",VLOOKUP(C242,INSUMOS!$A$6:$D$6961,4,0),IF('036.01-20-SERV. GERAIS'!A242="COTAÇÃO",VLOOKUP('036.01-20-SERV. GERAIS'!C242,'036-20-Cotação'!$A$9:$G$529,3,0),IF('036.01-20-SERV. GERAIS'!A242="CCU",VLOOKUP('036.01-20-SERV. GERAIS'!C242,'036-20-CCU''s'!$B$9:$H$1962,7,0)))))</f>
        <v>7.9329294010281828</v>
      </c>
      <c r="H242" s="528">
        <f>BDI_O.A.E!$H$22</f>
        <v>0.18201100192553743</v>
      </c>
      <c r="I242" s="535">
        <f t="shared" ref="I242:I247" si="69">F242*(G242*(1+H242))</f>
        <v>465308.05967671931</v>
      </c>
      <c r="K242" s="232">
        <f t="shared" si="65"/>
        <v>465308.05967671931</v>
      </c>
      <c r="L242" s="87">
        <f>0.17*F242</f>
        <v>8435.9575999999997</v>
      </c>
    </row>
    <row r="243" spans="1:13" s="87" customFormat="1" ht="78" customHeight="1">
      <c r="A243" s="232" t="s">
        <v>4543</v>
      </c>
      <c r="B243" s="324" t="s">
        <v>8250</v>
      </c>
      <c r="C243" s="324" t="s">
        <v>6288</v>
      </c>
      <c r="D243" s="451" t="str">
        <f>IF(A243="SERVIÇO",VLOOKUP(C243,SERVIÇOS!$A$6:$D$7645,2,0),IF(A243="INSUMO",VLOOKUP(C243,INSUMOS!$A$6:$D$6961,2,0),IF('036.01-20-SERV. GERAIS'!A243="COTAÇÃO",VLOOKUP('036.01-20-SERV. GERAIS'!C243,'036-20-Cotação'!$A$9:$G$529,2,0),IF('036.01-20-SERV. GERAIS'!A243="CCU",VLOOKUP('036.01-20-SERV. GERAIS'!C243,'036-20-CCU''s'!$B$9:$H$1962,2,0)))))</f>
        <v>PINTURA DE FUNDO (2ª DEMÃO) EM SUPERFÍCIE METÁLICA COM (180 μm) COM TINTA A BASE DE EPÓXI TOLERANTE DE SUPERFÍCIE (PRIMER) NA COR BRANCA, DE ALTOS SÓLIDOS E ALTA ESPESSURA. PRODUTO DE REFERÊNCIA: INTERSEAL 670HS EGB000 OU EQUIVALENTE.</v>
      </c>
      <c r="E243" s="452" t="str">
        <f>IF(A243="SERVIÇO",VLOOKUP(C243,SERVIÇOS!$A$6:$D$7645,3,0),IF(A243="INSUMO",VLOOKUP(C243,INSUMOS!$A$6:$D$6961,3,0),IF('036.01-20-SERV. GERAIS'!A243="COTAÇÃO",VLOOKUP('036.01-20-SERV. GERAIS'!C243,'036-20-Cotação'!$A$9:$G$529,4,0),IF('036.01-20-SERV. GERAIS'!A243="CCU",VLOOKUP('036.01-20-SERV. GERAIS'!C243,'036-20-CCU''s'!$B$9:$H$1962,4,0)))))</f>
        <v>M2</v>
      </c>
      <c r="F243" s="538">
        <v>49623.28</v>
      </c>
      <c r="G243" s="534">
        <f>IF(A243="SERVIÇO",VLOOKUP(C243,SERVIÇOS!$A$6:$D$7645,4,0),IF(A243="INSUMO",VLOOKUP(C243,INSUMOS!$A$6:$D$6961,4,0),IF('036.01-20-SERV. GERAIS'!A243="COTAÇÃO",VLOOKUP('036.01-20-SERV. GERAIS'!C243,'036-20-Cotação'!$A$9:$G$529,3,0),IF('036.01-20-SERV. GERAIS'!A243="CCU",VLOOKUP('036.01-20-SERV. GERAIS'!C243,'036-20-CCU''s'!$B$9:$H$1962,7,0)))))</f>
        <v>12.499629785209933</v>
      </c>
      <c r="H243" s="528">
        <f>BDI_O.A.E!$H$22</f>
        <v>0.18201100192553743</v>
      </c>
      <c r="I243" s="535">
        <f t="shared" si="69"/>
        <v>733169.07134954841</v>
      </c>
      <c r="K243" s="232">
        <f t="shared" si="65"/>
        <v>733169.07134954841</v>
      </c>
    </row>
    <row r="244" spans="1:13" s="223" customFormat="1" ht="63.75">
      <c r="A244" s="232" t="s">
        <v>4543</v>
      </c>
      <c r="B244" s="324" t="s">
        <v>8257</v>
      </c>
      <c r="C244" s="324" t="s">
        <v>6289</v>
      </c>
      <c r="D244" s="451" t="str">
        <f>IF(A244="SERVIÇO",VLOOKUP(C244,SERVIÇOS!$A$6:$D$7645,2,0),IF(A244="INSUMO",VLOOKUP(C244,INSUMOS!$A$6:$D$6961,2,0),IF('036.01-20-SERV. GERAIS'!A244="COTAÇÃO",VLOOKUP('036.01-20-SERV. GERAIS'!C244,'036-20-Cotação'!$A$9:$G$529,2,0),IF('036.01-20-SERV. GERAIS'!A244="CCU",VLOOKUP('036.01-20-SERV. GERAIS'!C244,'036-20-CCU''s'!$B$9:$H$1962,2,0)))))</f>
        <v>PINTURA DE ACABAMENTO EM SUPERFÍCIE METÁLICA COM (60 μm) COM TINTA A BASE DE POLISILOXANO ACRÍLICO NA COR BRANCA OU CINZA. PRODUTO DE REFERÊNCIA: INTERFINE 878 OU EQUIVALENTE.</v>
      </c>
      <c r="E244" s="452" t="str">
        <f>IF(A244="SERVIÇO",VLOOKUP(C244,SERVIÇOS!$A$6:$D$7645,3,0),IF(A244="INSUMO",VLOOKUP(C244,INSUMOS!$A$6:$D$6961,3,0),IF('036.01-20-SERV. GERAIS'!A244="COTAÇÃO",VLOOKUP('036.01-20-SERV. GERAIS'!C244,'036-20-Cotação'!$A$9:$G$529,4,0),IF('036.01-20-SERV. GERAIS'!A244="CCU",VLOOKUP('036.01-20-SERV. GERAIS'!C244,'036-20-CCU''s'!$B$9:$H$1962,4,0)))))</f>
        <v>M2</v>
      </c>
      <c r="F244" s="538">
        <v>49623.28</v>
      </c>
      <c r="G244" s="534">
        <f>IF(A244="SERVIÇO",VLOOKUP(C244,SERVIÇOS!$A$6:$D$7645,4,0),IF(A244="INSUMO",VLOOKUP(C244,INSUMOS!$A$6:$D$6961,4,0),IF('036.01-20-SERV. GERAIS'!A244="COTAÇÃO",VLOOKUP('036.01-20-SERV. GERAIS'!C244,'036-20-Cotação'!$A$9:$G$529,3,0),IF('036.01-20-SERV. GERAIS'!A244="CCU",VLOOKUP('036.01-20-SERV. GERAIS'!C244,'036-20-CCU''s'!$B$9:$H$1962,7,0)))))</f>
        <v>17.562350857918293</v>
      </c>
      <c r="H244" s="528">
        <f>BDI_O.A.E!$H$22</f>
        <v>0.18201100192553743</v>
      </c>
      <c r="I244" s="535">
        <f t="shared" si="69"/>
        <v>1030124.3069175143</v>
      </c>
      <c r="K244" s="232">
        <f t="shared" si="65"/>
        <v>1030124.3069175143</v>
      </c>
    </row>
    <row r="245" spans="1:13" s="87" customFormat="1">
      <c r="A245" s="232"/>
      <c r="B245" s="88" t="s">
        <v>8258</v>
      </c>
      <c r="C245" s="324"/>
      <c r="D245" s="215" t="s">
        <v>8246</v>
      </c>
      <c r="E245" s="152"/>
      <c r="F245" s="152"/>
      <c r="G245" s="152"/>
      <c r="H245" s="152"/>
      <c r="I245" s="153"/>
      <c r="K245" s="232">
        <f t="shared" si="65"/>
        <v>0</v>
      </c>
    </row>
    <row r="246" spans="1:13" s="223" customFormat="1" ht="76.5">
      <c r="A246" s="232" t="s">
        <v>4543</v>
      </c>
      <c r="B246" s="324" t="s">
        <v>8249</v>
      </c>
      <c r="C246" s="324" t="s">
        <v>6290</v>
      </c>
      <c r="D246" s="451" t="str">
        <f>IF(A246="SERVIÇO",VLOOKUP(C246,SERVIÇOS!$A$6:$D$7645,2,0),IF(A246="INSUMO",VLOOKUP(C246,INSUMOS!$A$6:$D$6961,2,0),IF('036.01-20-SERV. GERAIS'!A246="COTAÇÃO",VLOOKUP('036.01-20-SERV. GERAIS'!C246,'036-20-Cotação'!$A$9:$G$529,2,0),IF('036.01-20-SERV. GERAIS'!A246="CCU",VLOOKUP('036.01-20-SERV. GERAIS'!C246,'036-20-CCU''s'!$B$9:$H$1962,2,0)))))</f>
        <v>PINTURA DE ACABAMENTO DE SUPERFÍCIE COM DISPERSÃO AQUOSA PARA CONCRETO APARENTE NA COR CINZA CONCRETO, ESPESSURA FINAL (120µm) - REFERÊNCIA: MC-REPACRYL CINZA CONCRETO - MC BAUCHEMIE OU EQUIVALENTE.</v>
      </c>
      <c r="E246" s="452" t="str">
        <f>IF(A246="SERVIÇO",VLOOKUP(C246,SERVIÇOS!$A$6:$D$7645,3,0),IF(A246="INSUMO",VLOOKUP(C246,INSUMOS!$A$6:$D$6961,3,0),IF('036.01-20-SERV. GERAIS'!A246="COTAÇÃO",VLOOKUP('036.01-20-SERV. GERAIS'!C246,'036-20-Cotação'!$A$9:$G$529,4,0),IF('036.01-20-SERV. GERAIS'!A246="CCU",VLOOKUP('036.01-20-SERV. GERAIS'!C246,'036-20-CCU''s'!$B$9:$H$1962,4,0)))))</f>
        <v>M2</v>
      </c>
      <c r="F246" s="537">
        <v>9206.4599999999991</v>
      </c>
      <c r="G246" s="534">
        <f>IF(A246="SERVIÇO",VLOOKUP(C246,SERVIÇOS!$A$6:$D$7645,4,0),IF(A246="INSUMO",VLOOKUP(C246,INSUMOS!$A$6:$D$6961,4,0),IF('036.01-20-SERV. GERAIS'!A246="COTAÇÃO",VLOOKUP('036.01-20-SERV. GERAIS'!C246,'036-20-Cotação'!$A$9:$G$529,3,0),IF('036.01-20-SERV. GERAIS'!A246="CCU",VLOOKUP('036.01-20-SERV. GERAIS'!C246,'036-20-CCU''s'!$B$9:$H$1962,7,0)))))</f>
        <v>5.3689586549916095</v>
      </c>
      <c r="H246" s="528">
        <f>BDI_O.A.E!$H$22</f>
        <v>0.18201100192553743</v>
      </c>
      <c r="I246" s="535">
        <f t="shared" si="69"/>
        <v>58425.74367813352</v>
      </c>
      <c r="K246" s="232">
        <f t="shared" si="65"/>
        <v>58425.74367813352</v>
      </c>
    </row>
    <row r="247" spans="1:13" s="223" customFormat="1" ht="89.25">
      <c r="A247" s="232" t="s">
        <v>4543</v>
      </c>
      <c r="B247" s="324" t="s">
        <v>8254</v>
      </c>
      <c r="C247" s="324" t="s">
        <v>6303</v>
      </c>
      <c r="D247" s="451" t="str">
        <f>IF(A247="SERVIÇO",VLOOKUP(C247,SERVIÇOS!$A$6:$D$7645,2,0),IF(A247="INSUMO",VLOOKUP(C247,INSUMOS!$A$6:$D$6961,2,0),IF('036.01-20-SERV. GERAIS'!A247="COTAÇÃO",VLOOKUP('036.01-20-SERV. GERAIS'!C247,'036-20-Cotação'!$A$9:$G$529,2,0),IF('036.01-20-SERV. GERAIS'!A247="CCU",VLOOKUP('036.01-20-SERV. GERAIS'!C247,'036-20-CCU''s'!$B$9:$H$1962,2,0)))))</f>
        <v>PINTURA DE PROTEÇÃO EM SUPERFÍCIE DE CONCRETO COM RESINA POLIURETANO BICOMPONENTE, TRANSPARENTE, ALTO DESEMPENHO, ANTI-GRAFITE,  ESPESSURA FINAL (160µm). PRODUTO DE REFERÊNCIA MC-COLOR PROOF VISION – MC BAUCHEMIE OU EQUIVALENTE.</v>
      </c>
      <c r="E247" s="452" t="str">
        <f>IF(A247="SERVIÇO",VLOOKUP(C247,SERVIÇOS!$A$6:$D$7645,3,0),IF(A247="INSUMO",VLOOKUP(C247,INSUMOS!$A$6:$D$6961,3,0),IF('036.01-20-SERV. GERAIS'!A247="COTAÇÃO",VLOOKUP('036.01-20-SERV. GERAIS'!C247,'036-20-Cotação'!$A$9:$G$529,4,0),IF('036.01-20-SERV. GERAIS'!A247="CCU",VLOOKUP('036.01-20-SERV. GERAIS'!C247,'036-20-CCU''s'!$B$9:$H$1962,4,0)))))</f>
        <v>M2</v>
      </c>
      <c r="F247" s="537">
        <v>9206.4599999999991</v>
      </c>
      <c r="G247" s="534">
        <f>IF(A247="SERVIÇO",VLOOKUP(C247,SERVIÇOS!$A$6:$D$7645,4,0),IF(A247="INSUMO",VLOOKUP(C247,INSUMOS!$A$6:$D$6961,4,0),IF('036.01-20-SERV. GERAIS'!A247="COTAÇÃO",VLOOKUP('036.01-20-SERV. GERAIS'!C247,'036-20-Cotação'!$A$9:$G$529,3,0),IF('036.01-20-SERV. GERAIS'!A247="CCU",VLOOKUP('036.01-20-SERV. GERAIS'!C247,'036-20-CCU''s'!$B$9:$H$1962,7,0)))))</f>
        <v>57.83265903667791</v>
      </c>
      <c r="H247" s="528">
        <f>BDI_O.A.E!$H$22</f>
        <v>0.18201100192553743</v>
      </c>
      <c r="I247" s="535">
        <f t="shared" si="69"/>
        <v>629342.91921961471</v>
      </c>
      <c r="K247" s="232">
        <f t="shared" si="65"/>
        <v>629342.91921961471</v>
      </c>
    </row>
    <row r="248" spans="1:13" s="223" customFormat="1" ht="89.25">
      <c r="A248" s="232" t="s">
        <v>4543</v>
      </c>
      <c r="B248" s="324" t="s">
        <v>8286</v>
      </c>
      <c r="C248" s="324" t="s">
        <v>6291</v>
      </c>
      <c r="D248" s="451" t="str">
        <f>IF(A248="SERVIÇO",VLOOKUP(C248,SERVIÇOS!$A$6:$D$7645,2,0),IF(A248="INSUMO",VLOOKUP(C248,INSUMOS!$A$6:$D$6961,2,0),IF('036.01-20-SERV. GERAIS'!A248="COTAÇÃO",VLOOKUP('036.01-20-SERV. GERAIS'!C248,'036-20-Cotação'!$A$9:$G$529,2,0),IF('036.01-20-SERV. GERAIS'!A248="CCU",VLOOKUP('036.01-20-SERV. GERAIS'!C248,'036-20-CCU''s'!$B$9:$H$1962,2,0)))))</f>
        <v>PINTURA DE PROTEÇÃO EM SUPERFÍCIE DE CONCRETO COM RESINA POLIURETANO BICOMPONENTE, COR BRANCO, ALTO DESEMPENHO, ANTI-GRAFITE,  ESPESSURA FINAL (160µm). PRODUTO DE REFERÊNCIA MC-COLOR FLAIR VISION – MC BAUCHEMIE OU EQUIVALENTE.</v>
      </c>
      <c r="E248" s="452" t="str">
        <f>IF(A248="SERVIÇO",VLOOKUP(C248,SERVIÇOS!$A$6:$D$7645,3,0),IF(A248="INSUMO",VLOOKUP(C248,INSUMOS!$A$6:$D$6961,3,0),IF('036.01-20-SERV. GERAIS'!A248="COTAÇÃO",VLOOKUP('036.01-20-SERV. GERAIS'!C248,'036-20-Cotação'!$A$9:$G$529,4,0),IF('036.01-20-SERV. GERAIS'!A248="CCU",VLOOKUP('036.01-20-SERV. GERAIS'!C248,'036-20-CCU''s'!$B$9:$H$1962,4,0)))))</f>
        <v>M2</v>
      </c>
      <c r="F248" s="537">
        <v>6683.65</v>
      </c>
      <c r="G248" s="534">
        <f>IF(A248="SERVIÇO",VLOOKUP(C248,SERVIÇOS!$A$6:$D$7645,4,0),IF(A248="INSUMO",VLOOKUP(C248,INSUMOS!$A$6:$D$6961,4,0),IF('036.01-20-SERV. GERAIS'!A248="COTAÇÃO",VLOOKUP('036.01-20-SERV. GERAIS'!C248,'036-20-Cotação'!$A$9:$G$529,3,0),IF('036.01-20-SERV. GERAIS'!A248="CCU",VLOOKUP('036.01-20-SERV. GERAIS'!C248,'036-20-CCU''s'!$B$9:$H$1962,7,0)))))</f>
        <v>59.603774028286608</v>
      </c>
      <c r="H248" s="528">
        <f>BDI_O.A.E!$H$22</f>
        <v>0.18201100192553743</v>
      </c>
      <c r="I248" s="535">
        <f t="shared" ref="I248" si="70">F248*(G248*(1+H248))</f>
        <v>470878.62622935948</v>
      </c>
      <c r="K248" s="232">
        <f t="shared" si="65"/>
        <v>470878.62622935948</v>
      </c>
    </row>
    <row r="249" spans="1:13" s="87" customFormat="1">
      <c r="A249" s="232"/>
      <c r="B249" s="88" t="s">
        <v>8259</v>
      </c>
      <c r="C249" s="324"/>
      <c r="D249" s="215" t="s">
        <v>8247</v>
      </c>
      <c r="E249" s="152"/>
      <c r="F249" s="152"/>
      <c r="G249" s="152"/>
      <c r="H249" s="152"/>
      <c r="I249" s="153"/>
      <c r="K249" s="232">
        <f t="shared" si="65"/>
        <v>0</v>
      </c>
    </row>
    <row r="250" spans="1:13" s="223" customFormat="1" ht="76.5">
      <c r="A250" s="232" t="s">
        <v>4543</v>
      </c>
      <c r="B250" s="324" t="s">
        <v>8260</v>
      </c>
      <c r="C250" s="324" t="s">
        <v>6292</v>
      </c>
      <c r="D250" s="451" t="str">
        <f>IF(A250="SERVIÇO",VLOOKUP(C250,SERVIÇOS!$A$6:$D$7645,2,0),IF(A250="INSUMO",VLOOKUP(C250,INSUMOS!$A$6:$D$6961,2,0),IF('036.01-20-SERV. GERAIS'!A250="COTAÇÃO",VLOOKUP('036.01-20-SERV. GERAIS'!C250,'036-20-Cotação'!$A$9:$G$529,2,0),IF('036.01-20-SERV. GERAIS'!A250="CCU",VLOOKUP('036.01-20-SERV. GERAIS'!C250,'036-20-CCU''s'!$B$9:$H$1962,2,0)))))</f>
        <v>PINTURA DE PREPARO DE SUPERFÍCIE EM PRIMER EPÓXI POLIAMIDA BICOMPONENTE DE  (150 μm), REFERÊNCIA DO PRODUTO WEGPOXI WET SURFACE 89 PW OU EQUIVALENTE, INCLUSIVE DILUENTE EPOXI 3005 OU EQUIVALENTE.</v>
      </c>
      <c r="E250" s="452" t="str">
        <f>IF(A250="SERVIÇO",VLOOKUP(C250,SERVIÇOS!$A$6:$D$7645,3,0),IF(A250="INSUMO",VLOOKUP(C250,INSUMOS!$A$6:$D$6961,3,0),IF('036.01-20-SERV. GERAIS'!A250="COTAÇÃO",VLOOKUP('036.01-20-SERV. GERAIS'!C250,'036-20-Cotação'!$A$9:$G$529,4,0),IF('036.01-20-SERV. GERAIS'!A250="CCU",VLOOKUP('036.01-20-SERV. GERAIS'!C250,'036-20-CCU''s'!$B$9:$H$1962,4,0)))))</f>
        <v>M2</v>
      </c>
      <c r="F250" s="537">
        <v>3600</v>
      </c>
      <c r="G250" s="534">
        <f>IF(A250="SERVIÇO",VLOOKUP(C250,SERVIÇOS!$A$6:$D$7645,4,0),IF(A250="INSUMO",VLOOKUP(C250,INSUMOS!$A$6:$D$6961,4,0),IF('036.01-20-SERV. GERAIS'!A250="COTAÇÃO",VLOOKUP('036.01-20-SERV. GERAIS'!C250,'036-20-Cotação'!$A$9:$G$529,3,0),IF('036.01-20-SERV. GERAIS'!A250="CCU",VLOOKUP('036.01-20-SERV. GERAIS'!C250,'036-20-CCU''s'!$B$9:$H$1962,7,0)))))</f>
        <v>9.1243509874592856</v>
      </c>
      <c r="H250" s="528">
        <f>BDI_O.A.E!$H$22</f>
        <v>0.18201100192553743</v>
      </c>
      <c r="I250" s="535">
        <f t="shared" ref="I250" si="71">F250*(G250*(1+H250))</f>
        <v>38826.299709385261</v>
      </c>
      <c r="K250" s="232">
        <f t="shared" si="65"/>
        <v>38826.299709385261</v>
      </c>
    </row>
    <row r="251" spans="1:13" s="223" customFormat="1" ht="63.75">
      <c r="A251" s="232" t="s">
        <v>4543</v>
      </c>
      <c r="B251" s="324" t="s">
        <v>8261</v>
      </c>
      <c r="C251" s="324" t="s">
        <v>6293</v>
      </c>
      <c r="D251" s="451" t="str">
        <f>IF(A251="SERVIÇO",VLOOKUP(C251,SERVIÇOS!$A$6:$D$7645,2,0),IF(A251="INSUMO",VLOOKUP(C251,INSUMOS!$A$6:$D$6961,2,0),IF('036.01-20-SERV. GERAIS'!A251="COTAÇÃO",VLOOKUP('036.01-20-SERV. GERAIS'!C251,'036-20-Cotação'!$A$9:$G$529,2,0),IF('036.01-20-SERV. GERAIS'!A251="CCU",VLOOKUP('036.01-20-SERV. GERAIS'!C251,'036-20-CCU''s'!$B$9:$H$1962,2,0)))))</f>
        <v>PINTURA DE ACABAMENTO ANTIDERRAPANTE EM EPÓXI POLIAMIDA BICOMPONENTE DE  (450 μm), REFERÊNCIA DO PRODUTO WEGPOXI ADA 314 OU EQUIVALENTE, INCLUSIVE DILUENTE EPOXI 3005 OU EQUIVALENTE.</v>
      </c>
      <c r="E251" s="452" t="str">
        <f>IF(A251="SERVIÇO",VLOOKUP(C251,SERVIÇOS!$A$6:$D$7645,3,0),IF(A251="INSUMO",VLOOKUP(C251,INSUMOS!$A$6:$D$6961,3,0),IF('036.01-20-SERV. GERAIS'!A251="COTAÇÃO",VLOOKUP('036.01-20-SERV. GERAIS'!C251,'036-20-Cotação'!$A$9:$G$529,4,0),IF('036.01-20-SERV. GERAIS'!A251="CCU",VLOOKUP('036.01-20-SERV. GERAIS'!C251,'036-20-CCU''s'!$B$9:$H$1962,4,0)))))</f>
        <v>M2</v>
      </c>
      <c r="F251" s="537">
        <v>3600</v>
      </c>
      <c r="G251" s="534">
        <f>IF(A251="SERVIÇO",VLOOKUP(C251,SERVIÇOS!$A$6:$D$7645,4,0),IF(A251="INSUMO",VLOOKUP(C251,INSUMOS!$A$6:$D$6961,4,0),IF('036.01-20-SERV. GERAIS'!A251="COTAÇÃO",VLOOKUP('036.01-20-SERV. GERAIS'!C251,'036-20-Cotação'!$A$9:$G$529,3,0),IF('036.01-20-SERV. GERAIS'!A251="CCU",VLOOKUP('036.01-20-SERV. GERAIS'!C251,'036-20-CCU''s'!$B$9:$H$1962,7,0)))))</f>
        <v>36.158424476233954</v>
      </c>
      <c r="H251" s="528">
        <f>BDI_O.A.E!$H$22</f>
        <v>0.18201100192553743</v>
      </c>
      <c r="I251" s="535">
        <f t="shared" ref="I251" si="72">F251*(G251*(1+H251))</f>
        <v>153862.75995552781</v>
      </c>
      <c r="K251" s="232">
        <f t="shared" si="65"/>
        <v>153862.75995552781</v>
      </c>
    </row>
    <row r="252" spans="1:13" s="87" customFormat="1">
      <c r="A252" s="232"/>
      <c r="B252" s="88" t="s">
        <v>13493</v>
      </c>
      <c r="C252" s="88"/>
      <c r="D252" s="148" t="s">
        <v>8205</v>
      </c>
      <c r="E252" s="149"/>
      <c r="F252" s="149"/>
      <c r="G252" s="149"/>
      <c r="H252" s="149"/>
      <c r="I252" s="150"/>
      <c r="K252" s="232">
        <f>F252*(G252*(1+H252))</f>
        <v>0</v>
      </c>
    </row>
    <row r="253" spans="1:13" s="87" customFormat="1" ht="25.5">
      <c r="A253" s="232" t="s">
        <v>4543</v>
      </c>
      <c r="B253" s="324" t="s">
        <v>8292</v>
      </c>
      <c r="C253" s="324">
        <v>5914640</v>
      </c>
      <c r="D253" s="451" t="str">
        <f>IF(A253="SERVIÇO",VLOOKUP(C253,SERVIÇOS!$A$6:$D$7645,2,0),IF(A253="INSUMO",VLOOKUP(C253,INSUMOS!$A$6:$D$6961,2,0),IF('036.01-20-SERV. GERAIS'!A253="COTAÇÃO",VLOOKUP('036.01-20-SERV. GERAIS'!C253,'036-20-Cotação'!$A$9:$G$529,2,0),IF('036.01-20-SERV. GERAIS'!A253="CCU",VLOOKUP('036.01-20-SERV. GERAIS'!C253,'036-20-CCU''s'!$B$9:$H$1962,2,0)))))</f>
        <v>TRANSPORTE COM CAVALO MECÂNICO DE 30 T - RODOVIA PAVIMENTADA</v>
      </c>
      <c r="E253" s="452" t="str">
        <f>IF(A253="SERVIÇO",VLOOKUP(C253,SERVIÇOS!$A$6:$D$7645,3,0),IF(A253="INSUMO",VLOOKUP(C253,INSUMOS!$A$6:$D$6961,3,0),IF('036.01-20-SERV. GERAIS'!A253="COTAÇÃO",VLOOKUP('036.01-20-SERV. GERAIS'!C253,'036-20-Cotação'!$A$9:$G$529,4,0),IF('036.01-20-SERV. GERAIS'!A253="CCU",VLOOKUP('036.01-20-SERV. GERAIS'!C253,'036-20-CCU''s'!$B$9:$H$1962,4,0)))))</f>
        <v>T.KM</v>
      </c>
      <c r="F253" s="453">
        <f>57.37*1014</f>
        <v>58173.18</v>
      </c>
      <c r="G253" s="534">
        <f>IF(A253="SERVIÇO",VLOOKUP(C253,SERVIÇOS!$A$6:$D$7645,4,0),IF(A253="INSUMO",VLOOKUP(C253,INSUMOS!$A$6:$D$6961,4,0),IF('036.01-20-SERV. GERAIS'!A253="COTAÇÃO",VLOOKUP('036.01-20-SERV. GERAIS'!C253,'036-20-Cotação'!$A$9:$G$529,3,0),IF('036.01-20-SERV. GERAIS'!A253="CCU",VLOOKUP('036.01-20-SERV. GERAIS'!C253,'036-20-CCU''s'!$B$9:$H$1962,7,0)))))</f>
        <v>0.31865663998274985</v>
      </c>
      <c r="H253" s="528">
        <f>BDI_O.A.E!$H$22</f>
        <v>0.18201100192553743</v>
      </c>
      <c r="I253" s="535">
        <f>F253*(G253*(1+H253))</f>
        <v>21911.257175392679</v>
      </c>
      <c r="K253" s="232">
        <f>F253*(G253*(1+H253))</f>
        <v>21911.257175392679</v>
      </c>
      <c r="M253" s="87" t="s">
        <v>7869</v>
      </c>
    </row>
    <row r="254" spans="1:13" s="87" customFormat="1" ht="63.75">
      <c r="A254" s="232" t="s">
        <v>4543</v>
      </c>
      <c r="B254" s="324" t="s">
        <v>13496</v>
      </c>
      <c r="C254" s="324" t="s">
        <v>13489</v>
      </c>
      <c r="D254" s="451" t="str">
        <f>IF(A254="SERVIÇO",VLOOKUP(C254,SERVIÇOS!$A$6:$D$7645,2,0),IF(A254="INSUMO",VLOOKUP(C254,INSUMOS!$A$6:$D$6961,2,0),IF('036.01-20-SERV. GERAIS'!A254="COTAÇÃO",VLOOKUP('036.01-20-SERV. GERAIS'!C254,'036-20-Cotação'!$A$9:$G$529,2,0),IF('036.01-20-SERV. GERAIS'!A254="CCU",VLOOKUP('036.01-20-SERV. GERAIS'!C254,'036-20-CCU''s'!$B$9:$H$1962,2,0)))))</f>
        <v xml:space="preserve">DESPESAS COM PEDÁGIO PARA TRANSPORTE DOS MATERIÁIS DE PINTURA DE SÃO PAULO PARA BRASÍLIA. EXCLUSO CP-177. BR-040, BR-050 E BANDEIRANTES. DUAS CARRETAS IDA (5 EIXOS) E VOLTA (4 EIXOS). </v>
      </c>
      <c r="E254" s="452" t="str">
        <f>IF(A254="SERVIÇO",VLOOKUP(C254,SERVIÇOS!$A$6:$D$7645,3,0),IF(A254="INSUMO",VLOOKUP(C254,INSUMOS!$A$6:$D$6961,3,0),IF('036.01-20-SERV. GERAIS'!A254="COTAÇÃO",VLOOKUP('036.01-20-SERV. GERAIS'!C254,'036-20-Cotação'!$A$9:$G$529,4,0),IF('036.01-20-SERV. GERAIS'!A254="CCU",VLOOKUP('036.01-20-SERV. GERAIS'!C254,'036-20-CCU''s'!$B$9:$H$1962,4,0)))))</f>
        <v xml:space="preserve">UN    </v>
      </c>
      <c r="F254" s="453">
        <v>1</v>
      </c>
      <c r="G254" s="534">
        <f>IF(A254="SERVIÇO",VLOOKUP(C254,SERVIÇOS!$A$6:$D$7645,4,0),IF(A254="INSUMO",VLOOKUP(C254,INSUMOS!$A$6:$D$6961,4,0),IF('036.01-20-SERV. GERAIS'!A254="COTAÇÃO",VLOOKUP('036.01-20-SERV. GERAIS'!C254,'036-20-Cotação'!$A$9:$G$529,3,0),IF('036.01-20-SERV. GERAIS'!A254="CCU",VLOOKUP('036.01-20-SERV. GERAIS'!C254,'036-20-CCU''s'!$B$9:$H$1962,7,0)))))</f>
        <v>1285.2</v>
      </c>
      <c r="H254" s="528">
        <f>BDI_O.A.E!$H$22</f>
        <v>0.18201100192553743</v>
      </c>
      <c r="I254" s="535">
        <f>F254*(G254*(1+H254))</f>
        <v>1519.1205396747007</v>
      </c>
      <c r="K254" s="232">
        <f>F254*(G254*(1+H254))</f>
        <v>1519.1205396747007</v>
      </c>
    </row>
    <row r="255" spans="1:13" s="87" customFormat="1">
      <c r="A255" s="232"/>
      <c r="B255" s="88" t="s">
        <v>13494</v>
      </c>
      <c r="C255" s="324"/>
      <c r="D255" s="215" t="s">
        <v>8291</v>
      </c>
      <c r="E255" s="152"/>
      <c r="F255" s="152"/>
      <c r="G255" s="152"/>
      <c r="H255" s="152"/>
      <c r="I255" s="153"/>
      <c r="K255" s="232">
        <f t="shared" si="65"/>
        <v>0</v>
      </c>
    </row>
    <row r="256" spans="1:13" s="87" customFormat="1" ht="38.25">
      <c r="A256" s="232" t="s">
        <v>4543</v>
      </c>
      <c r="B256" s="324" t="s">
        <v>13495</v>
      </c>
      <c r="C256" s="324" t="s">
        <v>6304</v>
      </c>
      <c r="D256" s="451" t="str">
        <f>IF(A256="SERVIÇO",VLOOKUP(C256,SERVIÇOS!$A$6:$D$7645,2,0),IF(A256="INSUMO",VLOOKUP(C256,INSUMOS!$A$6:$D$6961,2,0),IF('036.01-20-SERV. GERAIS'!A256="COTAÇÃO",VLOOKUP('036.01-20-SERV. GERAIS'!C256,'036-20-Cotação'!$A$9:$G$529,2,0),IF('036.01-20-SERV. GERAIS'!A256="CCU",VLOOKUP('036.01-20-SERV. GERAIS'!C256,'036-20-CCU''s'!$B$9:$H$1962,2,0)))))</f>
        <v>TRANSPORTE HORIZONTAL DE MATERIAIS PARA PINTURA COM CARRINHO PLATAFORMA ATÉ 200M</v>
      </c>
      <c r="E256" s="452" t="str">
        <f>IF(A256="SERVIÇO",VLOOKUP(C256,SERVIÇOS!$A$6:$D$7645,3,0),IF(A256="INSUMO",VLOOKUP(C256,INSUMOS!$A$6:$D$6961,3,0),IF('036.01-20-SERV. GERAIS'!A256="COTAÇÃO",VLOOKUP('036.01-20-SERV. GERAIS'!C256,'036-20-Cotação'!$A$9:$G$529,4,0),IF('036.01-20-SERV. GERAIS'!A256="CCU",VLOOKUP('036.01-20-SERV. GERAIS'!C256,'036-20-CCU''s'!$B$9:$H$1962,4,0)))))</f>
        <v>LXKM</v>
      </c>
      <c r="F256" s="453">
        <f>39674.83*0.2</f>
        <v>7934.9660000000003</v>
      </c>
      <c r="G256" s="534">
        <f>IF(A256="SERVIÇO",VLOOKUP(C256,SERVIÇOS!$A$6:$D$7645,4,0),IF(A256="INSUMO",VLOOKUP(C256,INSUMOS!$A$6:$D$6961,4,0),IF('036.01-20-SERV. GERAIS'!A256="COTAÇÃO",VLOOKUP('036.01-20-SERV. GERAIS'!C256,'036-20-Cotação'!$A$9:$G$529,3,0),IF('036.01-20-SERV. GERAIS'!A256="CCU",VLOOKUP('036.01-20-SERV. GERAIS'!C256,'036-20-CCU''s'!$B$9:$H$1962,7,0)))))</f>
        <v>0.50196374999999993</v>
      </c>
      <c r="H256" s="528">
        <f>BDI_O.A.E!$H$22</f>
        <v>0.18201100192553743</v>
      </c>
      <c r="I256" s="535">
        <f>F256*(G256*(1+H256))</f>
        <v>4708.02699355604</v>
      </c>
      <c r="K256" s="232">
        <f t="shared" si="65"/>
        <v>4708.02699355604</v>
      </c>
    </row>
    <row r="257" spans="1:13" s="87" customFormat="1">
      <c r="A257" s="232"/>
      <c r="B257" s="88" t="s">
        <v>8473</v>
      </c>
      <c r="C257" s="324"/>
      <c r="D257" s="215" t="s">
        <v>8534</v>
      </c>
      <c r="E257" s="152"/>
      <c r="F257" s="152"/>
      <c r="G257" s="152"/>
      <c r="H257" s="152"/>
      <c r="I257" s="153"/>
      <c r="K257" s="232">
        <f t="shared" si="65"/>
        <v>0</v>
      </c>
    </row>
    <row r="258" spans="1:13" s="87" customFormat="1" ht="25.5">
      <c r="A258" s="232" t="s">
        <v>4543</v>
      </c>
      <c r="B258" s="324" t="s">
        <v>8474</v>
      </c>
      <c r="C258" s="324" t="s">
        <v>8475</v>
      </c>
      <c r="D258" s="451" t="str">
        <f>IF(A258="SERVIÇO",VLOOKUP(C258,SERVIÇOS!$A$6:$D$7645,2,0),IF(A258="INSUMO",VLOOKUP(C258,INSUMOS!$A$6:$D$6961,2,0),IF('036.01-20-SERV. GERAIS'!A258="COTAÇÃO",VLOOKUP('036.01-20-SERV. GERAIS'!C258,'036-20-Cotação'!$A$9:$G$529,2,0),IF('036.01-20-SERV. GERAIS'!A258="CCU",VLOOKUP('036.01-20-SERV. GERAIS'!C258,'036-20-CCU''s'!$B$9:$H$1962,2,0)))))</f>
        <v>REPOSIÇÃO DE CABO DE AÇO 3/16" REVESTIDO EM PVC EM GUARDA CORPO</v>
      </c>
      <c r="E258" s="452" t="str">
        <f>IF(A258="SERVIÇO",VLOOKUP(C258,SERVIÇOS!$A$6:$D$7645,3,0),IF(A258="INSUMO",VLOOKUP(C258,INSUMOS!$A$6:$D$6961,3,0),IF('036.01-20-SERV. GERAIS'!A258="COTAÇÃO",VLOOKUP('036.01-20-SERV. GERAIS'!C258,'036-20-Cotação'!$A$9:$G$529,4,0),IF('036.01-20-SERV. GERAIS'!A258="CCU",VLOOKUP('036.01-20-SERV. GERAIS'!C258,'036-20-CCU''s'!$B$9:$H$1962,4,0)))))</f>
        <v>M</v>
      </c>
      <c r="F258" s="453">
        <v>720</v>
      </c>
      <c r="G258" s="534">
        <f>IF(A258="SERVIÇO",VLOOKUP(C258,SERVIÇOS!$A$6:$D$7645,4,0),IF(A258="INSUMO",VLOOKUP(C258,INSUMOS!$A$6:$D$6961,4,0),IF('036.01-20-SERV. GERAIS'!A258="COTAÇÃO",VLOOKUP('036.01-20-SERV. GERAIS'!C258,'036-20-Cotação'!$A$9:$G$529,3,0),IF('036.01-20-SERV. GERAIS'!A258="CCU",VLOOKUP('036.01-20-SERV. GERAIS'!C258,'036-20-CCU''s'!$B$9:$H$1962,7,0)))))</f>
        <v>12.677197331668363</v>
      </c>
      <c r="H258" s="528">
        <f>BDI_O.A.E!$H$22</f>
        <v>0.18201100192553743</v>
      </c>
      <c r="I258" s="535">
        <f>F258*(G258*(1+H258))</f>
        <v>10788.902438121411</v>
      </c>
      <c r="K258" s="232">
        <f t="shared" si="65"/>
        <v>10788.902438121411</v>
      </c>
    </row>
    <row r="259" spans="1:13" s="87" customFormat="1">
      <c r="A259" s="232"/>
      <c r="B259" s="88" t="s">
        <v>7542</v>
      </c>
      <c r="C259" s="324" t="s">
        <v>6348</v>
      </c>
      <c r="D259" s="151" t="s">
        <v>7543</v>
      </c>
      <c r="E259" s="152"/>
      <c r="F259" s="152"/>
      <c r="G259" s="152"/>
      <c r="H259" s="152"/>
      <c r="I259" s="153"/>
      <c r="K259" s="232">
        <f t="shared" si="65"/>
        <v>0</v>
      </c>
    </row>
    <row r="260" spans="1:13" s="87" customFormat="1">
      <c r="A260" s="232"/>
      <c r="B260" s="88" t="s">
        <v>7544</v>
      </c>
      <c r="C260" s="324" t="s">
        <v>6348</v>
      </c>
      <c r="D260" s="151" t="s">
        <v>13404</v>
      </c>
      <c r="E260" s="152"/>
      <c r="F260" s="152"/>
      <c r="G260" s="152"/>
      <c r="H260" s="152"/>
      <c r="I260" s="153"/>
      <c r="K260" s="232">
        <f t="shared" si="65"/>
        <v>0</v>
      </c>
    </row>
    <row r="261" spans="1:13" s="223" customFormat="1" ht="51">
      <c r="A261" s="232" t="s">
        <v>4543</v>
      </c>
      <c r="B261" s="454" t="s">
        <v>7545</v>
      </c>
      <c r="C261" s="324" t="s">
        <v>6295</v>
      </c>
      <c r="D261" s="451" t="str">
        <f>IF(A261="SERVIÇO",VLOOKUP(C261,SERVIÇOS!$A$6:$D$7645,2,0),IF(A261="INSUMO",VLOOKUP(C261,INSUMOS!$A$6:$D$6961,2,0),IF('036.01-20-SERV. GERAIS'!A261="COTAÇÃO",VLOOKUP('036.01-20-SERV. GERAIS'!C261,'036-20-Cotação'!$A$9:$G$529,2,0),IF('036.01-20-SERV. GERAIS'!A261="CCU",VLOOKUP('036.01-20-SERV. GERAIS'!C261,'036-20-CCU''s'!$B$9:$H$1962,2,0)))))</f>
        <v xml:space="preserve">REMOÇÃO DE PLACAS EXISTENTENTES DA INAUGURAÇÃO DA OBRA. INCLUSO: 1 (UMA) PLACA 1980X1180MM E 2 (DUAS) 260X360. CONFORME PROJETOS </v>
      </c>
      <c r="E261" s="452" t="str">
        <f>IF(A261="SERVIÇO",VLOOKUP(C261,SERVIÇOS!$A$6:$D$7645,3,0),IF(A261="INSUMO",VLOOKUP(C261,INSUMOS!$A$6:$D$6961,3,0),IF('036.01-20-SERV. GERAIS'!A261="COTAÇÃO",VLOOKUP('036.01-20-SERV. GERAIS'!C261,'036-20-Cotação'!$A$9:$G$529,4,0),IF('036.01-20-SERV. GERAIS'!A261="CCU",VLOOKUP('036.01-20-SERV. GERAIS'!C261,'036-20-CCU''s'!$B$9:$H$1962,4,0)))))</f>
        <v xml:space="preserve">UN    </v>
      </c>
      <c r="F261" s="537">
        <v>3</v>
      </c>
      <c r="G261" s="534">
        <f>IF(A261="SERVIÇO",VLOOKUP(C261,SERVIÇOS!$A$6:$D$7645,4,0),IF(A261="INSUMO",VLOOKUP(C261,INSUMOS!$A$6:$D$6961,4,0),IF('036.01-20-SERV. GERAIS'!A261="COTAÇÃO",VLOOKUP('036.01-20-SERV. GERAIS'!C261,'036-20-Cotação'!$A$9:$G$529,3,0),IF('036.01-20-SERV. GERAIS'!A261="CCU",VLOOKUP('036.01-20-SERV. GERAIS'!C261,'036-20-CCU''s'!$B$9:$H$1962,7,0)))))</f>
        <v>22.37106</v>
      </c>
      <c r="H261" s="528">
        <f>BDI_O.A.E!$H$22</f>
        <v>0.18201100192553743</v>
      </c>
      <c r="I261" s="535">
        <f t="shared" ref="I261:I275" si="73">F261*(G261*(1+H261))</f>
        <v>79.328517134208937</v>
      </c>
      <c r="K261" s="232">
        <f t="shared" si="65"/>
        <v>79.328517134208937</v>
      </c>
    </row>
    <row r="262" spans="1:13" s="223" customFormat="1" ht="39" customHeight="1">
      <c r="A262" s="232" t="s">
        <v>4543</v>
      </c>
      <c r="B262" s="454" t="s">
        <v>13411</v>
      </c>
      <c r="C262" s="324" t="s">
        <v>13407</v>
      </c>
      <c r="D262" s="451" t="str">
        <f>IF(A262="SERVIÇO",VLOOKUP(C262,SERVIÇOS!$A$6:$D$7645,2,0),IF(A262="INSUMO",VLOOKUP(C262,INSUMOS!$A$6:$D$6961,2,0),IF('036.01-20-SERV. GERAIS'!A262="COTAÇÃO",VLOOKUP('036.01-20-SERV. GERAIS'!C262,'036-20-Cotação'!$A$9:$G$529,2,0),IF('036.01-20-SERV. GERAIS'!A262="CCU",VLOOKUP('036.01-20-SERV. GERAIS'!C262,'036-20-CCU''s'!$B$9:$H$1962,2,0)))))</f>
        <v>RECUPERAÇÃO DA ESTRUTURA DE CONCRETO DE FIXAÇÃO DAS PLACAS DE INAUGURAÇÃO 260X360MM, COM ESTUQUE E LIXAMENTO</v>
      </c>
      <c r="E262" s="452" t="str">
        <f>IF(A262="SERVIÇO",VLOOKUP(C262,SERVIÇOS!$A$6:$D$7645,3,0),IF(A262="INSUMO",VLOOKUP(C262,INSUMOS!$A$6:$D$6961,3,0),IF('036.01-20-SERV. GERAIS'!A262="COTAÇÃO",VLOOKUP('036.01-20-SERV. GERAIS'!C262,'036-20-Cotação'!$A$9:$G$529,4,0),IF('036.01-20-SERV. GERAIS'!A262="CCU",VLOOKUP('036.01-20-SERV. GERAIS'!C262,'036-20-CCU''s'!$B$9:$H$1962,4,0)))))</f>
        <v>M2</v>
      </c>
      <c r="F262" s="537">
        <f>((1.34*0.67)+(1.28*0.67)+(0.09*0.67)+(0.09*1.34*2))</f>
        <v>2.0569000000000002</v>
      </c>
      <c r="G262" s="534">
        <f>IF(A262="SERVIÇO",VLOOKUP(C262,SERVIÇOS!$A$6:$D$7645,4,0),IF(A262="INSUMO",VLOOKUP(C262,INSUMOS!$A$6:$D$6961,4,0),IF('036.01-20-SERV. GERAIS'!A262="COTAÇÃO",VLOOKUP('036.01-20-SERV. GERAIS'!C262,'036-20-Cotação'!$A$9:$G$529,3,0),IF('036.01-20-SERV. GERAIS'!A262="CCU",VLOOKUP('036.01-20-SERV. GERAIS'!C262,'036-20-CCU''s'!$B$9:$H$1962,7,0)))))</f>
        <v>29.466349999999998</v>
      </c>
      <c r="H262" s="528">
        <f>BDI_O.A.E!$H$22</f>
        <v>0.18201100192553743</v>
      </c>
      <c r="I262" s="535">
        <f t="shared" ref="I262:I263" si="74">F262*(G262*(1+H262))</f>
        <v>71.640901161724017</v>
      </c>
      <c r="K262" s="232">
        <f t="shared" ref="K262:K263" si="75">F262*(G262*(1+H262))</f>
        <v>71.640901161724017</v>
      </c>
    </row>
    <row r="263" spans="1:13" s="223" customFormat="1" ht="51">
      <c r="A263" s="232" t="s">
        <v>4543</v>
      </c>
      <c r="B263" s="454" t="s">
        <v>13417</v>
      </c>
      <c r="C263" s="324" t="s">
        <v>13449</v>
      </c>
      <c r="D263" s="451" t="str">
        <f>IF(A263="SERVIÇO",VLOOKUP(C263,SERVIÇOS!$A$6:$D$7645,2,0),IF(A263="INSUMO",VLOOKUP(C263,INSUMOS!$A$6:$D$6961,2,0),IF('036.01-20-SERV. GERAIS'!A263="COTAÇÃO",VLOOKUP('036.01-20-SERV. GERAIS'!C263,'036-20-Cotação'!$A$9:$G$529,2,0),IF('036.01-20-SERV. GERAIS'!A263="CCU",VLOOKUP('036.01-20-SERV. GERAIS'!C263,'036-20-CCU''s'!$B$9:$H$1962,2,0)))))</f>
        <v>PINTURA DA ESTRUTURA METÁLICA DE SUATENTAÇÃO DA PLACA DE INAUGURAÇÃO 1980X1180MM COM TINTA EPOXI COM PISTOLA A AR COMPRIMIDO</v>
      </c>
      <c r="E263" s="452" t="str">
        <f>IF(A263="SERVIÇO",VLOOKUP(C263,SERVIÇOS!$A$6:$D$7645,3,0),IF(A263="INSUMO",VLOOKUP(C263,INSUMOS!$A$6:$D$6961,3,0),IF('036.01-20-SERV. GERAIS'!A263="COTAÇÃO",VLOOKUP('036.01-20-SERV. GERAIS'!C263,'036-20-Cotação'!$A$9:$G$529,4,0),IF('036.01-20-SERV. GERAIS'!A263="CCU",VLOOKUP('036.01-20-SERV. GERAIS'!C263,'036-20-CCU''s'!$B$9:$H$1962,4,0)))))</f>
        <v>M2</v>
      </c>
      <c r="F263" s="537">
        <f>((2.05*1.25)*2)*1.5</f>
        <v>7.6875</v>
      </c>
      <c r="G263" s="534">
        <f>IF(A263="SERVIÇO",VLOOKUP(C263,SERVIÇOS!$A$6:$D$7645,4,0),IF(A263="INSUMO",VLOOKUP(C263,INSUMOS!$A$6:$D$6961,4,0),IF('036.01-20-SERV. GERAIS'!A263="COTAÇÃO",VLOOKUP('036.01-20-SERV. GERAIS'!C263,'036-20-Cotação'!$A$9:$G$529,3,0),IF('036.01-20-SERV. GERAIS'!A263="CCU",VLOOKUP('036.01-20-SERV. GERAIS'!C263,'036-20-CCU''s'!$B$9:$H$1962,7,0)))))</f>
        <v>13.551773260592439</v>
      </c>
      <c r="H263" s="528">
        <f>BDI_O.A.E!$H$22</f>
        <v>0.18201100192553743</v>
      </c>
      <c r="I263" s="535">
        <f t="shared" si="74"/>
        <v>123.1410278764582</v>
      </c>
      <c r="K263" s="232">
        <f t="shared" si="75"/>
        <v>123.1410278764582</v>
      </c>
    </row>
    <row r="264" spans="1:13" s="223" customFormat="1" ht="38.25">
      <c r="A264" s="232" t="s">
        <v>4543</v>
      </c>
      <c r="B264" s="454" t="s">
        <v>13418</v>
      </c>
      <c r="C264" s="324" t="s">
        <v>13410</v>
      </c>
      <c r="D264" s="451" t="str">
        <f>IF(A264="SERVIÇO",VLOOKUP(C264,SERVIÇOS!$A$6:$D$7645,2,0),IF(A264="INSUMO",VLOOKUP(C264,INSUMOS!$A$6:$D$6961,2,0),IF('036.01-20-SERV. GERAIS'!A264="COTAÇÃO",VLOOKUP('036.01-20-SERV. GERAIS'!C264,'036-20-Cotação'!$A$9:$G$529,2,0),IF('036.01-20-SERV. GERAIS'!A264="CCU",VLOOKUP('036.01-20-SERV. GERAIS'!C264,'036-20-CCU''s'!$B$9:$H$1962,2,0)))))</f>
        <v xml:space="preserve">INSTALAÇÃO DE PLACAS DA INAUGURAÇÃO DA OBRA, CONFECCIONADA EM AÇO INÓX 260X360MM. CONFORME PROJETOS </v>
      </c>
      <c r="E264" s="452" t="str">
        <f>IF(A264="SERVIÇO",VLOOKUP(C264,SERVIÇOS!$A$6:$D$7645,3,0),IF(A264="INSUMO",VLOOKUP(C264,INSUMOS!$A$6:$D$6961,3,0),IF('036.01-20-SERV. GERAIS'!A264="COTAÇÃO",VLOOKUP('036.01-20-SERV. GERAIS'!C264,'036-20-Cotação'!$A$9:$G$529,4,0),IF('036.01-20-SERV. GERAIS'!A264="CCU",VLOOKUP('036.01-20-SERV. GERAIS'!C264,'036-20-CCU''s'!$B$9:$H$1962,4,0)))))</f>
        <v xml:space="preserve">UN    </v>
      </c>
      <c r="F264" s="537">
        <v>2</v>
      </c>
      <c r="G264" s="534">
        <f>IF(A264="SERVIÇO",VLOOKUP(C264,SERVIÇOS!$A$6:$D$7645,4,0),IF(A264="INSUMO",VLOOKUP(C264,INSUMOS!$A$6:$D$6961,4,0),IF('036.01-20-SERV. GERAIS'!A264="COTAÇÃO",VLOOKUP('036.01-20-SERV. GERAIS'!C264,'036-20-Cotação'!$A$9:$G$529,3,0),IF('036.01-20-SERV. GERAIS'!A264="CCU",VLOOKUP('036.01-20-SERV. GERAIS'!C264,'036-20-CCU''s'!$B$9:$H$1962,7,0)))))</f>
        <v>218.58903955794625</v>
      </c>
      <c r="H264" s="528">
        <f>BDI_O.A.E!$H$22</f>
        <v>0.18201100192553743</v>
      </c>
      <c r="I264" s="535">
        <f t="shared" ref="I264" si="76">F264*(G264*(1+H264))</f>
        <v>516.74929931565794</v>
      </c>
      <c r="K264" s="232">
        <f t="shared" ref="K264" si="77">F264*(G264*(1+H264))</f>
        <v>516.74929931565794</v>
      </c>
    </row>
    <row r="265" spans="1:13" s="223" customFormat="1" ht="38.25">
      <c r="A265" s="232" t="s">
        <v>4543</v>
      </c>
      <c r="B265" s="454" t="s">
        <v>13419</v>
      </c>
      <c r="C265" s="324" t="s">
        <v>13412</v>
      </c>
      <c r="D265" s="451" t="str">
        <f>IF(A265="SERVIÇO",VLOOKUP(C265,SERVIÇOS!$A$6:$D$7645,2,0),IF(A265="INSUMO",VLOOKUP(C265,INSUMOS!$A$6:$D$6961,2,0),IF('036.01-20-SERV. GERAIS'!A265="COTAÇÃO",VLOOKUP('036.01-20-SERV. GERAIS'!C265,'036-20-Cotação'!$A$9:$G$529,2,0),IF('036.01-20-SERV. GERAIS'!A265="CCU",VLOOKUP('036.01-20-SERV. GERAIS'!C265,'036-20-CCU''s'!$B$9:$H$1962,2,0)))))</f>
        <v xml:space="preserve">INSTALAÇÃO DE PLACAS DA INAUGURAÇÃO DA OBRA, CONFECCIONADA EM AÇO INÓX 810X500MM. CONFORME PROJETOS </v>
      </c>
      <c r="E265" s="452" t="str">
        <f>IF(A265="SERVIÇO",VLOOKUP(C265,SERVIÇOS!$A$6:$D$7645,3,0),IF(A265="INSUMO",VLOOKUP(C265,INSUMOS!$A$6:$D$6961,3,0),IF('036.01-20-SERV. GERAIS'!A265="COTAÇÃO",VLOOKUP('036.01-20-SERV. GERAIS'!C265,'036-20-Cotação'!$A$9:$G$529,4,0),IF('036.01-20-SERV. GERAIS'!A265="CCU",VLOOKUP('036.01-20-SERV. GERAIS'!C265,'036-20-CCU''s'!$B$9:$H$1962,4,0)))))</f>
        <v xml:space="preserve">UN    </v>
      </c>
      <c r="F265" s="537">
        <v>1</v>
      </c>
      <c r="G265" s="534">
        <f>IF(A265="SERVIÇO",VLOOKUP(C265,SERVIÇOS!$A$6:$D$7645,4,0),IF(A265="INSUMO",VLOOKUP(C265,INSUMOS!$A$6:$D$6961,4,0),IF('036.01-20-SERV. GERAIS'!A265="COTAÇÃO",VLOOKUP('036.01-20-SERV. GERAIS'!C265,'036-20-Cotação'!$A$9:$G$529,3,0),IF('036.01-20-SERV. GERAIS'!A265="CCU",VLOOKUP('036.01-20-SERV. GERAIS'!C265,'036-20-CCU''s'!$B$9:$H$1962,7,0)))))</f>
        <v>711.59250228295855</v>
      </c>
      <c r="H265" s="528">
        <f>BDI_O.A.E!$H$22</f>
        <v>0.18201100192553743</v>
      </c>
      <c r="I265" s="535">
        <f t="shared" ref="I265" si="78">F265*(G265*(1+H265))</f>
        <v>841.11016658618007</v>
      </c>
      <c r="K265" s="232">
        <f t="shared" ref="K265" si="79">F265*(G265*(1+H265))</f>
        <v>841.11016658618007</v>
      </c>
    </row>
    <row r="266" spans="1:13" s="223" customFormat="1" ht="38.25">
      <c r="A266" s="232" t="s">
        <v>4543</v>
      </c>
      <c r="B266" s="454" t="s">
        <v>13450</v>
      </c>
      <c r="C266" s="324" t="s">
        <v>13415</v>
      </c>
      <c r="D266" s="451" t="str">
        <f>IF(A266="SERVIÇO",VLOOKUP(C266,SERVIÇOS!$A$6:$D$7645,2,0),IF(A266="INSUMO",VLOOKUP(C266,INSUMOS!$A$6:$D$6961,2,0),IF('036.01-20-SERV. GERAIS'!A266="COTAÇÃO",VLOOKUP('036.01-20-SERV. GERAIS'!C266,'036-20-Cotação'!$A$9:$G$529,2,0),IF('036.01-20-SERV. GERAIS'!A266="CCU",VLOOKUP('036.01-20-SERV. GERAIS'!C266,'036-20-CCU''s'!$B$9:$H$1962,2,0)))))</f>
        <v xml:space="preserve">INSTALAÇÃO DE PLACAS DA INAUGURAÇÃO DA OBRA, CONFECCIONADA EM AÇO INÓX 1980X1180MM. CONFORME PROJETOS </v>
      </c>
      <c r="E266" s="452" t="str">
        <f>IF(A266="SERVIÇO",VLOOKUP(C266,SERVIÇOS!$A$6:$D$7645,3,0),IF(A266="INSUMO",VLOOKUP(C266,INSUMOS!$A$6:$D$6961,3,0),IF('036.01-20-SERV. GERAIS'!A266="COTAÇÃO",VLOOKUP('036.01-20-SERV. GERAIS'!C266,'036-20-Cotação'!$A$9:$G$529,4,0),IF('036.01-20-SERV. GERAIS'!A266="CCU",VLOOKUP('036.01-20-SERV. GERAIS'!C266,'036-20-CCU''s'!$B$9:$H$1962,4,0)))))</f>
        <v xml:space="preserve">UN    </v>
      </c>
      <c r="F266" s="537">
        <v>1</v>
      </c>
      <c r="G266" s="534">
        <f>IF(A266="SERVIÇO",VLOOKUP(C266,SERVIÇOS!$A$6:$D$7645,4,0),IF(A266="INSUMO",VLOOKUP(C266,INSUMOS!$A$6:$D$6961,4,0),IF('036.01-20-SERV. GERAIS'!A266="COTAÇÃO",VLOOKUP('036.01-20-SERV. GERAIS'!C266,'036-20-Cotação'!$A$9:$G$529,3,0),IF('036.01-20-SERV. GERAIS'!A266="CCU",VLOOKUP('036.01-20-SERV. GERAIS'!C266,'036-20-CCU''s'!$B$9:$H$1962,7,0)))))</f>
        <v>2673.03326564895</v>
      </c>
      <c r="H266" s="528">
        <f>BDI_O.A.E!$H$22</f>
        <v>0.18201100192553743</v>
      </c>
      <c r="I266" s="535">
        <f t="shared" ref="I266" si="80">F266*(G266*(1+H266))</f>
        <v>3159.5547285100065</v>
      </c>
      <c r="K266" s="232">
        <f t="shared" ref="K266" si="81">F266*(G266*(1+H266))</f>
        <v>3159.5547285100065</v>
      </c>
    </row>
    <row r="267" spans="1:13" s="87" customFormat="1">
      <c r="A267" s="232"/>
      <c r="B267" s="88" t="s">
        <v>7546</v>
      </c>
      <c r="C267" s="324" t="s">
        <v>6348</v>
      </c>
      <c r="D267" s="151" t="s">
        <v>7547</v>
      </c>
      <c r="E267" s="152"/>
      <c r="F267" s="152"/>
      <c r="G267" s="152"/>
      <c r="H267" s="152"/>
      <c r="I267" s="153"/>
      <c r="K267" s="232">
        <f t="shared" si="65"/>
        <v>0</v>
      </c>
    </row>
    <row r="268" spans="1:13" s="87" customFormat="1">
      <c r="A268" s="232"/>
      <c r="B268" s="88" t="s">
        <v>7548</v>
      </c>
      <c r="C268" s="324" t="s">
        <v>6348</v>
      </c>
      <c r="D268" s="151" t="s">
        <v>7549</v>
      </c>
      <c r="E268" s="152"/>
      <c r="F268" s="152"/>
      <c r="G268" s="152"/>
      <c r="H268" s="152"/>
      <c r="I268" s="153"/>
      <c r="K268" s="232">
        <f t="shared" si="65"/>
        <v>0</v>
      </c>
    </row>
    <row r="269" spans="1:13" s="223" customFormat="1" ht="26.25" customHeight="1">
      <c r="A269" s="232" t="s">
        <v>4543</v>
      </c>
      <c r="B269" s="454" t="s">
        <v>7550</v>
      </c>
      <c r="C269" s="454">
        <v>4011415</v>
      </c>
      <c r="D269" s="451" t="str">
        <f>IF(A269="SERVIÇO",VLOOKUP(C269,SERVIÇOS!$A$6:$D$7645,2,0),IF(A269="INSUMO",VLOOKUP(C269,INSUMOS!$A$6:$D$6961,2,0),IF('036.01-20-SERV. GERAIS'!A269="COTAÇÃO",VLOOKUP('036.01-20-SERV. GERAIS'!C269,'036-20-Cotação'!$A$9:$G$529,2,0),IF('036.01-20-SERV. GERAIS'!A269="CCU",VLOOKUP('036.01-20-SERV. GERAIS'!C269,'036-20-CCU''s'!$B$9:$H$1962,2,0)))))</f>
        <v>MICRO PRÉ-MISTURADO A QUENTE COM ASFALTO POLÍMERO - BRITA COMECIAL - (CAUQ)</v>
      </c>
      <c r="E269" s="452" t="str">
        <f>IF(A269="SERVIÇO",VLOOKUP(C269,SERVIÇOS!$A$6:$D$7645,3,0),IF(A269="INSUMO",VLOOKUP(C269,INSUMOS!$A$6:$D$6961,3,0),IF('036.01-20-SERV. GERAIS'!A269="COTAÇÃO",VLOOKUP('036.01-20-SERV. GERAIS'!C269,'036-20-Cotação'!$A$9:$G$529,4,0),IF('036.01-20-SERV. GERAIS'!A269="CCU",VLOOKUP('036.01-20-SERV. GERAIS'!C269,'036-20-CCU''s'!$B$9:$H$1962,4,0)))))</f>
        <v>T</v>
      </c>
      <c r="F269" s="537">
        <f>10090.86*0.02*2.4</f>
        <v>484.36128000000002</v>
      </c>
      <c r="G269" s="534">
        <f>IF(A269="SERVIÇO",VLOOKUP(C269,SERVIÇOS!$A$6:$D$7645,4,0),IF(A269="INSUMO",VLOOKUP(C269,INSUMOS!$A$6:$D$6961,4,0),IF('036.01-20-SERV. GERAIS'!A269="COTAÇÃO",VLOOKUP('036.01-20-SERV. GERAIS'!C269,'036-20-Cotação'!$A$9:$G$529,3,0),IF('036.01-20-SERV. GERAIS'!A269="CCU",VLOOKUP('036.01-20-SERV. GERAIS'!C269,'036-20-CCU''s'!$B$9:$H$1962,7,0)))))</f>
        <v>121.10972317720001</v>
      </c>
      <c r="H269" s="528">
        <f>BDI_O.A.E!$H$22</f>
        <v>0.18201100192553743</v>
      </c>
      <c r="I269" s="535">
        <f t="shared" si="73"/>
        <v>69337.782538990752</v>
      </c>
      <c r="K269" s="232">
        <f t="shared" si="65"/>
        <v>69337.782538990752</v>
      </c>
      <c r="L269" s="233"/>
      <c r="M269" s="233" t="s">
        <v>7863</v>
      </c>
    </row>
    <row r="270" spans="1:13" s="223" customFormat="1" ht="25.5">
      <c r="A270" s="232" t="s">
        <v>4543</v>
      </c>
      <c r="B270" s="454" t="s">
        <v>7551</v>
      </c>
      <c r="C270" s="454">
        <v>5914613</v>
      </c>
      <c r="D270" s="451" t="str">
        <f>IF(A270="SERVIÇO",VLOOKUP(C270,SERVIÇOS!$A$6:$D$7645,2,0),IF(A270="INSUMO",VLOOKUP(C270,INSUMOS!$A$6:$D$6961,2,0),IF('036.01-20-SERV. GERAIS'!A270="COTAÇÃO",VLOOKUP('036.01-20-SERV. GERAIS'!C270,'036-20-Cotação'!$A$9:$G$529,2,0),IF('036.01-20-SERV. GERAIS'!A270="CCU",VLOOKUP('036.01-20-SERV. GERAIS'!C270,'036-20-CCU''s'!$B$9:$H$1962,2,0)))))</f>
        <v>TRANSPORTE DE MISTURA BETUMINOSA EM CAMINHÃO COM CAÇAMBA TÉRMICA - (CAUQ)</v>
      </c>
      <c r="E270" s="452" t="str">
        <f>IF(A270="SERVIÇO",VLOOKUP(C270,SERVIÇOS!$A$6:$D$7645,3,0),IF(A270="INSUMO",VLOOKUP(C270,INSUMOS!$A$6:$D$6961,3,0),IF('036.01-20-SERV. GERAIS'!A270="COTAÇÃO",VLOOKUP('036.01-20-SERV. GERAIS'!C270,'036-20-Cotação'!$A$9:$G$529,4,0),IF('036.01-20-SERV. GERAIS'!A270="CCU",VLOOKUP('036.01-20-SERV. GERAIS'!C270,'036-20-CCU''s'!$B$9:$H$1962,4,0)))))</f>
        <v>T.KM</v>
      </c>
      <c r="F270" s="537">
        <f>F269*20</f>
        <v>9687.2255999999998</v>
      </c>
      <c r="G270" s="534">
        <f>IF(A270="SERVIÇO",VLOOKUP(C270,SERVIÇOS!$A$6:$D$7645,4,0),IF(A270="INSUMO",VLOOKUP(C270,INSUMOS!$A$6:$D$6961,4,0),IF('036.01-20-SERV. GERAIS'!A270="COTAÇÃO",VLOOKUP('036.01-20-SERV. GERAIS'!C270,'036-20-Cotação'!$A$9:$G$529,3,0),IF('036.01-20-SERV. GERAIS'!A270="CCU",VLOOKUP('036.01-20-SERV. GERAIS'!C270,'036-20-CCU''s'!$B$9:$H$1962,7,0)))))</f>
        <v>0.55812416331994652</v>
      </c>
      <c r="H270" s="528">
        <f>BDI_O.A.E!$H$22</f>
        <v>0.18201100192553743</v>
      </c>
      <c r="I270" s="535">
        <f t="shared" si="73"/>
        <v>6390.7489590100986</v>
      </c>
      <c r="K270" s="232">
        <f t="shared" si="65"/>
        <v>6390.7489590100986</v>
      </c>
      <c r="L270" s="233"/>
      <c r="M270" s="223" t="s">
        <v>7864</v>
      </c>
    </row>
    <row r="271" spans="1:13" s="223" customFormat="1" ht="25.5">
      <c r="A271" s="232" t="s">
        <v>4543</v>
      </c>
      <c r="B271" s="454" t="s">
        <v>7552</v>
      </c>
      <c r="C271" s="454">
        <v>4011354</v>
      </c>
      <c r="D271" s="451" t="str">
        <f>IF(A271="SERVIÇO",VLOOKUP(C271,SERVIÇOS!$A$6:$D$7645,2,0),IF(A271="INSUMO",VLOOKUP(C271,INSUMOS!$A$6:$D$6961,2,0),IF('036.01-20-SERV. GERAIS'!A271="COTAÇÃO",VLOOKUP('036.01-20-SERV. GERAIS'!C271,'036-20-Cotação'!$A$9:$G$529,2,0),IF('036.01-20-SERV. GERAIS'!A271="CCU",VLOOKUP('036.01-20-SERV. GERAIS'!C271,'036-20-CCU''s'!$B$9:$H$1962,2,0)))))</f>
        <v>PINTURA DE LIGAÇÃO - EMULSÃO COM POLÍMERO</v>
      </c>
      <c r="E271" s="452" t="str">
        <f>IF(A271="SERVIÇO",VLOOKUP(C271,SERVIÇOS!$A$6:$D$7645,3,0),IF(A271="INSUMO",VLOOKUP(C271,INSUMOS!$A$6:$D$6961,3,0),IF('036.01-20-SERV. GERAIS'!A271="COTAÇÃO",VLOOKUP('036.01-20-SERV. GERAIS'!C271,'036-20-Cotação'!$A$9:$G$529,4,0),IF('036.01-20-SERV. GERAIS'!A271="CCU",VLOOKUP('036.01-20-SERV. GERAIS'!C271,'036-20-CCU''s'!$B$9:$H$1962,4,0)))))</f>
        <v>M2</v>
      </c>
      <c r="F271" s="537">
        <v>10090.86</v>
      </c>
      <c r="G271" s="534">
        <f>IF(A271="SERVIÇO",VLOOKUP(C271,SERVIÇOS!$A$6:$D$7645,4,0),IF(A271="INSUMO",VLOOKUP(C271,INSUMOS!$A$6:$D$6961,4,0),IF('036.01-20-SERV. GERAIS'!A271="COTAÇÃO",VLOOKUP('036.01-20-SERV. GERAIS'!C271,'036-20-Cotação'!$A$9:$G$529,3,0),IF('036.01-20-SERV. GERAIS'!A271="CCU",VLOOKUP('036.01-20-SERV. GERAIS'!C271,'036-20-CCU''s'!$B$9:$H$1962,7,0)))))</f>
        <v>0.20350842756425999</v>
      </c>
      <c r="H271" s="528">
        <f>BDI_O.A.E!$H$22</f>
        <v>0.18201100192553743</v>
      </c>
      <c r="I271" s="535">
        <f t="shared" si="73"/>
        <v>2427.3483040004276</v>
      </c>
      <c r="K271" s="232">
        <f t="shared" si="65"/>
        <v>2427.3483040004276</v>
      </c>
      <c r="L271" s="233"/>
    </row>
    <row r="272" spans="1:13" s="223" customFormat="1" ht="25.5">
      <c r="A272" s="232" t="s">
        <v>4543</v>
      </c>
      <c r="B272" s="454" t="s">
        <v>7553</v>
      </c>
      <c r="C272" s="324" t="s">
        <v>6296</v>
      </c>
      <c r="D272" s="451" t="str">
        <f>IF(A272="SERVIÇO",VLOOKUP(C272,SERVIÇOS!$A$6:$D$7645,2,0),IF(A272="INSUMO",VLOOKUP(C272,INSUMOS!$A$6:$D$6961,2,0),IF('036.01-20-SERV. GERAIS'!A272="COTAÇÃO",VLOOKUP('036.01-20-SERV. GERAIS'!C272,'036-20-Cotação'!$A$9:$G$529,2,0),IF('036.01-20-SERV. GERAIS'!A272="CCU",VLOOKUP('036.01-20-SERV. GERAIS'!C272,'036-20-CCU''s'!$B$9:$H$1962,2,0)))))</f>
        <v>FORNECIMENTO CIMENTO ASFÁLTICO CAP 50/70 - COM POLÍMERO - INCLUSO ICMS</v>
      </c>
      <c r="E272" s="452" t="str">
        <f>IF(A272="SERVIÇO",VLOOKUP(C272,SERVIÇOS!$A$6:$D$7645,3,0),IF(A272="INSUMO",VLOOKUP(C272,INSUMOS!$A$6:$D$6961,3,0),IF('036.01-20-SERV. GERAIS'!A272="COTAÇÃO",VLOOKUP('036.01-20-SERV. GERAIS'!C272,'036-20-Cotação'!$A$9:$G$529,4,0),IF('036.01-20-SERV. GERAIS'!A272="CCU",VLOOKUP('036.01-20-SERV. GERAIS'!C272,'036-20-CCU''s'!$B$9:$H$1962,4,0)))))</f>
        <v>T</v>
      </c>
      <c r="F272" s="537">
        <f>0.0566*F269</f>
        <v>27.414848448000001</v>
      </c>
      <c r="G272" s="534">
        <f>IF(A272="SERVIÇO",VLOOKUP(C272,SERVIÇOS!$A$6:$D$7645,4,0),IF(A272="INSUMO",VLOOKUP(C272,INSUMOS!$A$6:$D$6961,4,0),IF('036.01-20-SERV. GERAIS'!A272="COTAÇÃO",VLOOKUP('036.01-20-SERV. GERAIS'!C272,'036-20-Cotação'!$A$9:$G$529,3,0),IF('036.01-20-SERV. GERAIS'!A272="CCU",VLOOKUP('036.01-20-SERV. GERAIS'!C272,'036-20-CCU''s'!$B$9:$H$1962,7,0)))))</f>
        <v>3901.49</v>
      </c>
      <c r="H272" s="528">
        <f>BDI_Equipamentos!$H$22</f>
        <v>0.10890619719771655</v>
      </c>
      <c r="I272" s="535">
        <f t="shared" si="73"/>
        <v>118607.2285610267</v>
      </c>
      <c r="K272" s="232">
        <f t="shared" si="65"/>
        <v>118607.2285610267</v>
      </c>
      <c r="L272" s="233"/>
      <c r="M272" s="223" t="s">
        <v>7861</v>
      </c>
    </row>
    <row r="273" spans="1:13" s="223" customFormat="1" ht="25.5">
      <c r="A273" s="232" t="s">
        <v>4543</v>
      </c>
      <c r="B273" s="454" t="s">
        <v>7554</v>
      </c>
      <c r="C273" s="324" t="s">
        <v>6297</v>
      </c>
      <c r="D273" s="451" t="str">
        <f>IF(A273="SERVIÇO",VLOOKUP(C273,SERVIÇOS!$A$6:$D$7645,2,0),IF(A273="INSUMO",VLOOKUP(C273,INSUMOS!$A$6:$D$6961,2,0),IF('036.01-20-SERV. GERAIS'!A273="COTAÇÃO",VLOOKUP('036.01-20-SERV. GERAIS'!C273,'036-20-Cotação'!$A$9:$G$529,2,0),IF('036.01-20-SERV. GERAIS'!A273="CCU",VLOOKUP('036.01-20-SERV. GERAIS'!C273,'036-20-CCU''s'!$B$9:$H$1962,2,0)))))</f>
        <v xml:space="preserve">FORNECIMENTO DE EMUSÃO ASFALTI CA RC1-C COM POLÍMERO - INCLUSO ICMS </v>
      </c>
      <c r="E273" s="452" t="str">
        <f>IF(A273="SERVIÇO",VLOOKUP(C273,SERVIÇOS!$A$6:$D$7645,3,0),IF(A273="INSUMO",VLOOKUP(C273,INSUMOS!$A$6:$D$6961,3,0),IF('036.01-20-SERV. GERAIS'!A273="COTAÇÃO",VLOOKUP('036.01-20-SERV. GERAIS'!C273,'036-20-Cotação'!$A$9:$G$529,4,0),IF('036.01-20-SERV. GERAIS'!A273="CCU",VLOOKUP('036.01-20-SERV. GERAIS'!C273,'036-20-CCU''s'!$B$9:$H$1962,4,0)))))</f>
        <v>T</v>
      </c>
      <c r="F273" s="537">
        <f>F271*0.00045</f>
        <v>4.5408870000000006</v>
      </c>
      <c r="G273" s="534">
        <f>IF(A273="SERVIÇO",VLOOKUP(C273,SERVIÇOS!$A$6:$D$7645,4,0),IF(A273="INSUMO",VLOOKUP(C273,INSUMOS!$A$6:$D$6961,4,0),IF('036.01-20-SERV. GERAIS'!A273="COTAÇÃO",VLOOKUP('036.01-20-SERV. GERAIS'!C273,'036-20-Cotação'!$A$9:$G$529,3,0),IF('036.01-20-SERV. GERAIS'!A273="CCU",VLOOKUP('036.01-20-SERV. GERAIS'!C273,'036-20-CCU''s'!$B$9:$H$1962,7,0)))))</f>
        <v>3070.05</v>
      </c>
      <c r="H273" s="528">
        <f>BDI_Equipamentos!$H$22</f>
        <v>0.10890619719771655</v>
      </c>
      <c r="I273" s="535">
        <f t="shared" si="73"/>
        <v>15458.984217565618</v>
      </c>
      <c r="K273" s="232">
        <f t="shared" si="65"/>
        <v>15458.984217565618</v>
      </c>
      <c r="L273" s="233"/>
      <c r="M273" s="223" t="s">
        <v>7862</v>
      </c>
    </row>
    <row r="274" spans="1:13" s="223" customFormat="1">
      <c r="A274" s="232" t="s">
        <v>4543</v>
      </c>
      <c r="B274" s="454" t="s">
        <v>7555</v>
      </c>
      <c r="C274" s="324" t="s">
        <v>6298</v>
      </c>
      <c r="D274" s="451" t="str">
        <f>IF(A274="SERVIÇO",VLOOKUP(C274,SERVIÇOS!$A$6:$D$7645,2,0),IF(A274="INSUMO",VLOOKUP(C274,INSUMOS!$A$6:$D$6961,2,0),IF('036.01-20-SERV. GERAIS'!A274="COTAÇÃO",VLOOKUP('036.01-20-SERV. GERAIS'!C274,'036-20-Cotação'!$A$9:$G$529,2,0),IF('036.01-20-SERV. GERAIS'!A274="CCU",VLOOKUP('036.01-20-SERV. GERAIS'!C274,'036-20-CCU''s'!$B$9:$H$1962,2,0)))))</f>
        <v>TRANSPORTE CAP 50/70</v>
      </c>
      <c r="E274" s="452" t="str">
        <f>IF(A274="SERVIÇO",VLOOKUP(C274,SERVIÇOS!$A$6:$D$7645,3,0),IF(A274="INSUMO",VLOOKUP(C274,INSUMOS!$A$6:$D$6961,3,0),IF('036.01-20-SERV. GERAIS'!A274="COTAÇÃO",VLOOKUP('036.01-20-SERV. GERAIS'!C274,'036-20-Cotação'!$A$9:$G$529,4,0),IF('036.01-20-SERV. GERAIS'!A274="CCU",VLOOKUP('036.01-20-SERV. GERAIS'!C274,'036-20-CCU''s'!$B$9:$H$1962,4,0)))))</f>
        <v>T</v>
      </c>
      <c r="F274" s="537">
        <f>F272</f>
        <v>27.414848448000001</v>
      </c>
      <c r="G274" s="534">
        <f>IF(A274="SERVIÇO",VLOOKUP(C274,SERVIÇOS!$A$6:$D$7645,4,0),IF(A274="INSUMO",VLOOKUP(C274,INSUMOS!$A$6:$D$6961,4,0),IF('036.01-20-SERV. GERAIS'!A274="COTAÇÃO",VLOOKUP('036.01-20-SERV. GERAIS'!C274,'036-20-Cotação'!$A$9:$G$529,3,0),IF('036.01-20-SERV. GERAIS'!A274="CCU",VLOOKUP('036.01-20-SERV. GERAIS'!C274,'036-20-CCU''s'!$B$9:$H$1962,7,0)))))</f>
        <v>128.97999999999999</v>
      </c>
      <c r="H274" s="528">
        <f>BDI_O.A.E!$H$22</f>
        <v>0.18201100192553743</v>
      </c>
      <c r="I274" s="535">
        <f t="shared" si="73"/>
        <v>4179.5520770841513</v>
      </c>
      <c r="K274" s="232">
        <f t="shared" si="65"/>
        <v>4179.5520770841513</v>
      </c>
      <c r="L274" s="233"/>
    </row>
    <row r="275" spans="1:13" s="223" customFormat="1">
      <c r="A275" s="232" t="s">
        <v>4543</v>
      </c>
      <c r="B275" s="454" t="s">
        <v>7556</v>
      </c>
      <c r="C275" s="324" t="s">
        <v>6299</v>
      </c>
      <c r="D275" s="451" t="str">
        <f>IF(A275="SERVIÇO",VLOOKUP(C275,SERVIÇOS!$A$6:$D$7645,2,0),IF(A275="INSUMO",VLOOKUP(C275,INSUMOS!$A$6:$D$6961,2,0),IF('036.01-20-SERV. GERAIS'!A275="COTAÇÃO",VLOOKUP('036.01-20-SERV. GERAIS'!C275,'036-20-Cotação'!$A$9:$G$529,2,0),IF('036.01-20-SERV. GERAIS'!A275="CCU",VLOOKUP('036.01-20-SERV. GERAIS'!C275,'036-20-CCU''s'!$B$9:$H$1962,2,0)))))</f>
        <v>TRANSPORTE RC1C-E</v>
      </c>
      <c r="E275" s="452" t="str">
        <f>IF(A275="SERVIÇO",VLOOKUP(C275,SERVIÇOS!$A$6:$D$7645,3,0),IF(A275="INSUMO",VLOOKUP(C275,INSUMOS!$A$6:$D$6961,3,0),IF('036.01-20-SERV. GERAIS'!A275="COTAÇÃO",VLOOKUP('036.01-20-SERV. GERAIS'!C275,'036-20-Cotação'!$A$9:$G$529,4,0),IF('036.01-20-SERV. GERAIS'!A275="CCU",VLOOKUP('036.01-20-SERV. GERAIS'!C275,'036-20-CCU''s'!$B$9:$H$1962,4,0)))))</f>
        <v>T</v>
      </c>
      <c r="F275" s="537">
        <f>F273</f>
        <v>4.5408870000000006</v>
      </c>
      <c r="G275" s="534">
        <f>IF(A275="SERVIÇO",VLOOKUP(C275,SERVIÇOS!$A$6:$D$7645,4,0),IF(A275="INSUMO",VLOOKUP(C275,INSUMOS!$A$6:$D$6961,4,0),IF('036.01-20-SERV. GERAIS'!A275="COTAÇÃO",VLOOKUP('036.01-20-SERV. GERAIS'!C275,'036-20-Cotação'!$A$9:$G$529,3,0),IF('036.01-20-SERV. GERAIS'!A275="CCU",VLOOKUP('036.01-20-SERV. GERAIS'!C275,'036-20-CCU''s'!$B$9:$H$1962,7,0)))))</f>
        <v>128.97999999999999</v>
      </c>
      <c r="H275" s="528">
        <f>BDI_O.A.E!$H$22</f>
        <v>0.18201100192553743</v>
      </c>
      <c r="I275" s="535">
        <f t="shared" si="73"/>
        <v>692.28446506473358</v>
      </c>
      <c r="K275" s="232">
        <f t="shared" si="65"/>
        <v>692.28446506473358</v>
      </c>
      <c r="L275" s="233"/>
    </row>
    <row r="276" spans="1:13" s="87" customFormat="1">
      <c r="A276" s="232"/>
      <c r="B276" s="88" t="s">
        <v>7885</v>
      </c>
      <c r="C276" s="88"/>
      <c r="D276" s="148" t="s">
        <v>7497</v>
      </c>
      <c r="E276" s="149"/>
      <c r="F276" s="149"/>
      <c r="G276" s="149"/>
      <c r="H276" s="149"/>
      <c r="I276" s="150"/>
      <c r="K276" s="232">
        <f t="shared" si="65"/>
        <v>0</v>
      </c>
    </row>
    <row r="277" spans="1:13" s="87" customFormat="1" ht="51">
      <c r="A277" s="232" t="s">
        <v>4543</v>
      </c>
      <c r="B277" s="324" t="s">
        <v>7886</v>
      </c>
      <c r="C277" s="324" t="s">
        <v>6300</v>
      </c>
      <c r="D277" s="451" t="str">
        <f>IF(A277="SERVIÇO",VLOOKUP(C277,SERVIÇOS!$A$6:$D$7645,2,0),IF(A277="INSUMO",VLOOKUP(C277,INSUMOS!$A$6:$D$6961,2,0),IF('036.01-20-SERV. GERAIS'!A277="COTAÇÃO",VLOOKUP('036.01-20-SERV. GERAIS'!C277,'036-20-Cotação'!$A$9:$G$529,2,0),IF('036.01-20-SERV. GERAIS'!A277="CCU",VLOOKUP('036.01-20-SERV. GERAIS'!C277,'036-20-CCU''s'!$B$9:$H$1962,2,0)))))</f>
        <v xml:space="preserve">DESPESAS COM PEDÁGIO PARA TRANSPORTE DOS MATERIÁIS ASFÁLTICOS DE GOIÂNIA PARA BRASÍLIA. DUAS CARRETAS IDA (5 EIXOS) E VOLTA (4 EIXOS). </v>
      </c>
      <c r="E277" s="452" t="str">
        <f>IF(A277="SERVIÇO",VLOOKUP(C277,SERVIÇOS!$A$6:$D$7645,3,0),IF(A277="INSUMO",VLOOKUP(C277,INSUMOS!$A$6:$D$6961,3,0),IF('036.01-20-SERV. GERAIS'!A277="COTAÇÃO",VLOOKUP('036.01-20-SERV. GERAIS'!C277,'036-20-Cotação'!$A$9:$G$529,4,0),IF('036.01-20-SERV. GERAIS'!A277="CCU",VLOOKUP('036.01-20-SERV. GERAIS'!C277,'036-20-CCU''s'!$B$9:$H$1962,4,0)))))</f>
        <v xml:space="preserve">UN    </v>
      </c>
      <c r="F277" s="453">
        <v>1</v>
      </c>
      <c r="G277" s="534">
        <f>IF(A277="SERVIÇO",VLOOKUP(C277,SERVIÇOS!$A$6:$D$7645,4,0),IF(A277="INSUMO",VLOOKUP(C277,INSUMOS!$A$6:$D$6961,4,0),IF('036.01-20-SERV. GERAIS'!A277="COTAÇÃO",VLOOKUP('036.01-20-SERV. GERAIS'!C277,'036-20-Cotação'!$A$9:$G$529,3,0),IF('036.01-20-SERV. GERAIS'!A277="CCU",VLOOKUP('036.01-20-SERV. GERAIS'!C277,'036-20-CCU''s'!$B$9:$H$1962,7,0)))))</f>
        <v>142.19999999999999</v>
      </c>
      <c r="H277" s="528">
        <f>BDI_O.A.E!$H$22</f>
        <v>0.18201100192553743</v>
      </c>
      <c r="I277" s="535">
        <f t="shared" ref="I277" si="82">F277*(G277*(1+H277))</f>
        <v>168.08196447381141</v>
      </c>
      <c r="K277" s="232">
        <f t="shared" si="65"/>
        <v>168.08196447381141</v>
      </c>
    </row>
    <row r="278" spans="1:13" s="87" customFormat="1">
      <c r="A278" s="232"/>
      <c r="B278" s="88" t="s">
        <v>7567</v>
      </c>
      <c r="C278" s="88" t="s">
        <v>6348</v>
      </c>
      <c r="D278" s="151" t="s">
        <v>7568</v>
      </c>
      <c r="E278" s="152"/>
      <c r="F278" s="152"/>
      <c r="G278" s="152"/>
      <c r="H278" s="152"/>
      <c r="I278" s="153"/>
      <c r="K278" s="232">
        <f t="shared" si="65"/>
        <v>0</v>
      </c>
    </row>
    <row r="279" spans="1:13" s="223" customFormat="1" ht="89.25">
      <c r="A279" s="232" t="s">
        <v>4543</v>
      </c>
      <c r="B279" s="454" t="s">
        <v>7569</v>
      </c>
      <c r="C279" s="324" t="s">
        <v>6301</v>
      </c>
      <c r="D279" s="451" t="str">
        <f>IF(A279="SERVIÇO",VLOOKUP(C279,SERVIÇOS!$A$6:$D$7645,2,0),IF(A279="INSUMO",VLOOKUP(C279,INSUMOS!$A$6:$D$6961,2,0),IF('036.01-20-SERV. GERAIS'!A279="COTAÇÃO",VLOOKUP('036.01-20-SERV. GERAIS'!C279,'036-20-Cotação'!$A$9:$G$529,2,0),IF('036.01-20-SERV. GERAIS'!A279="CCU",VLOOKUP('036.01-20-SERV. GERAIS'!C279,'036-20-CCU''s'!$B$9:$H$1962,2,0)))))</f>
        <v xml:space="preserve">REVESTIMENTO MONOLÍTICO ANTIDERRAPENTE APLICADO EM SUPERFICIE METÁLICA ESPESSURA 8MM DERMASFALT WP-80, AGREGADO GC-80 E AGREGADO BSA. INCLUSO FORNECIMENTO E TRANSPORTE DO DO MATERIAL, EXECUÇÃO DO SERVIÇO E MOB E DESMOB DE EQUIPAMETOS E EQUIPE. </v>
      </c>
      <c r="E279" s="452" t="str">
        <f>IF(A279="SERVIÇO",VLOOKUP(C279,SERVIÇOS!$A$6:$D$7645,3,0),IF(A279="INSUMO",VLOOKUP(C279,INSUMOS!$A$6:$D$6961,3,0),IF('036.01-20-SERV. GERAIS'!A279="COTAÇÃO",VLOOKUP('036.01-20-SERV. GERAIS'!C279,'036-20-Cotação'!$A$9:$G$529,4,0),IF('036.01-20-SERV. GERAIS'!A279="CCU",VLOOKUP('036.01-20-SERV. GERAIS'!C279,'036-20-CCU''s'!$B$9:$H$1962,4,0)))))</f>
        <v>M2</v>
      </c>
      <c r="F279" s="537">
        <v>13429.14</v>
      </c>
      <c r="G279" s="534">
        <f>IF(A279="SERVIÇO",VLOOKUP(C279,SERVIÇOS!$A$6:$D$7645,4,0),IF(A279="INSUMO",VLOOKUP(C279,INSUMOS!$A$6:$D$6961,4,0),IF('036.01-20-SERV. GERAIS'!A279="COTAÇÃO",VLOOKUP('036.01-20-SERV. GERAIS'!C279,'036-20-Cotação'!$A$9:$G$529,3,0),IF('036.01-20-SERV. GERAIS'!A279="CCU",VLOOKUP('036.01-20-SERV. GERAIS'!C279,'036-20-CCU''s'!$B$9:$H$1962,7,0)))))</f>
        <v>712.26499999999999</v>
      </c>
      <c r="H279" s="528">
        <f>BDI_Equipamentos!$H$22</f>
        <v>0.10890619719771655</v>
      </c>
      <c r="I279" s="535">
        <f t="shared" ref="I279:I284" si="83">F279*(G279*(1+H279))</f>
        <v>10606805.766144244</v>
      </c>
      <c r="K279" s="232">
        <f t="shared" si="65"/>
        <v>10606805.766144244</v>
      </c>
      <c r="M279" s="539">
        <f>G279*F279</f>
        <v>9565106.4020999987</v>
      </c>
    </row>
    <row r="280" spans="1:13" s="223" customFormat="1" ht="114.75">
      <c r="A280" s="232" t="s">
        <v>4543</v>
      </c>
      <c r="B280" s="454" t="s">
        <v>7570</v>
      </c>
      <c r="C280" s="324" t="s">
        <v>6302</v>
      </c>
      <c r="D280" s="451" t="str">
        <f>IF(A280="SERVIÇO",VLOOKUP(C280,SERVIÇOS!$A$6:$D$7645,2,0),IF(A280="INSUMO",VLOOKUP(C280,INSUMOS!$A$6:$D$6961,2,0),IF('036.01-20-SERV. GERAIS'!A280="COTAÇÃO",VLOOKUP('036.01-20-SERV. GERAIS'!C280,'036-20-Cotação'!$A$9:$G$529,2,0),IF('036.01-20-SERV. GERAIS'!A280="CCU",VLOOKUP('036.01-20-SERV. GERAIS'!C280,'036-20-CCU''s'!$B$9:$H$1962,2,0)))))</f>
        <v>REMOÇÃO DE PAVIMENTO DERMASFALT COM TUNEL DE AQUECIEMTO TERMOFUSOR INCLUSIVE LIMPEZA PARA APLICAÇÃO DO NOVO PAVIMENTO E TRANSPORTE DO MATERIAL REMOVIDO ATÉ O LOCAL DE ARMAZENAMENTO NO CANTERIO DE OBRAS. INCLUSO MÃO DE OBRA, EQUIPAMENTOS E FERRAMENTAS CONFORME PROPOSTA COMERCIAL</v>
      </c>
      <c r="E280" s="452" t="str">
        <f>IF(A280="SERVIÇO",VLOOKUP(C280,SERVIÇOS!$A$6:$D$7645,3,0),IF(A280="INSUMO",VLOOKUP(C280,INSUMOS!$A$6:$D$6961,3,0),IF('036.01-20-SERV. GERAIS'!A280="COTAÇÃO",VLOOKUP('036.01-20-SERV. GERAIS'!C280,'036-20-Cotação'!$A$9:$G$529,4,0),IF('036.01-20-SERV. GERAIS'!A280="CCU",VLOOKUP('036.01-20-SERV. GERAIS'!C280,'036-20-CCU''s'!$B$9:$H$1962,4,0)))))</f>
        <v>M2</v>
      </c>
      <c r="F280" s="537">
        <v>13429.14</v>
      </c>
      <c r="G280" s="534">
        <f>IF(A280="SERVIÇO",VLOOKUP(C280,SERVIÇOS!$A$6:$D$7645,4,0),IF(A280="INSUMO",VLOOKUP(C280,INSUMOS!$A$6:$D$6961,4,0),IF('036.01-20-SERV. GERAIS'!A280="COTAÇÃO",VLOOKUP('036.01-20-SERV. GERAIS'!C280,'036-20-Cotação'!$A$9:$G$529,3,0),IF('036.01-20-SERV. GERAIS'!A280="CCU",VLOOKUP('036.01-20-SERV. GERAIS'!C280,'036-20-CCU''s'!$B$9:$H$1962,7,0)))))</f>
        <v>188</v>
      </c>
      <c r="H280" s="528">
        <f>BDI_Equipamentos!$H$22</f>
        <v>0.10890619719771655</v>
      </c>
      <c r="I280" s="535">
        <f>F280*(G280*(1+H280))</f>
        <v>2799631.4349787193</v>
      </c>
      <c r="K280" s="232">
        <f t="shared" si="65"/>
        <v>2799631.4349787193</v>
      </c>
      <c r="M280" s="539">
        <f>G280*F280</f>
        <v>2524678.3199999998</v>
      </c>
    </row>
    <row r="281" spans="1:13" s="87" customFormat="1">
      <c r="A281" s="232"/>
      <c r="B281" s="88" t="s">
        <v>7581</v>
      </c>
      <c r="C281" s="324" t="s">
        <v>6348</v>
      </c>
      <c r="D281" s="151" t="s">
        <v>7582</v>
      </c>
      <c r="E281" s="152"/>
      <c r="F281" s="152"/>
      <c r="G281" s="152"/>
      <c r="H281" s="152"/>
      <c r="I281" s="153"/>
      <c r="K281" s="232">
        <f t="shared" si="65"/>
        <v>0</v>
      </c>
    </row>
    <row r="282" spans="1:13" s="87" customFormat="1">
      <c r="A282" s="232"/>
      <c r="B282" s="88" t="s">
        <v>7583</v>
      </c>
      <c r="C282" s="324" t="s">
        <v>6348</v>
      </c>
      <c r="D282" s="151" t="s">
        <v>7584</v>
      </c>
      <c r="E282" s="152"/>
      <c r="F282" s="152"/>
      <c r="G282" s="152"/>
      <c r="H282" s="152"/>
      <c r="I282" s="153"/>
      <c r="K282" s="232">
        <f t="shared" si="65"/>
        <v>0</v>
      </c>
    </row>
    <row r="283" spans="1:13" s="223" customFormat="1" ht="25.5">
      <c r="A283" s="232" t="s">
        <v>4543</v>
      </c>
      <c r="B283" s="454" t="s">
        <v>7587</v>
      </c>
      <c r="C283" s="454">
        <v>5213400</v>
      </c>
      <c r="D283" s="451" t="str">
        <f>IF(A283="SERVIÇO",VLOOKUP(C283,SERVIÇOS!$A$6:$D$7645,2,0),IF(A283="INSUMO",VLOOKUP(C283,INSUMOS!$A$6:$D$6961,2,0),IF('036.01-20-SERV. GERAIS'!A283="COTAÇÃO",VLOOKUP('036.01-20-SERV. GERAIS'!C283,'036-20-Cotação'!$A$9:$G$529,2,0),IF('036.01-20-SERV. GERAIS'!A283="CCU",VLOOKUP('036.01-20-SERV. GERAIS'!C283,'036-20-CCU''s'!$B$9:$H$1962,2,0)))))</f>
        <v>PINTURA DE FAIXA - TINTA BASE ACRÍLICA - ESPESSURA DE 0,4 MM</v>
      </c>
      <c r="E283" s="452" t="str">
        <f>IF(A283="SERVIÇO",VLOOKUP(C283,SERVIÇOS!$A$6:$D$7645,3,0),IF(A283="INSUMO",VLOOKUP(C283,INSUMOS!$A$6:$D$6961,3,0),IF('036.01-20-SERV. GERAIS'!A283="COTAÇÃO",VLOOKUP('036.01-20-SERV. GERAIS'!C283,'036-20-Cotação'!$A$9:$G$529,4,0),IF('036.01-20-SERV. GERAIS'!A283="CCU",VLOOKUP('036.01-20-SERV. GERAIS'!C283,'036-20-CCU''s'!$B$9:$H$1962,4,0)))))</f>
        <v>M2</v>
      </c>
      <c r="F283" s="453">
        <v>772.38</v>
      </c>
      <c r="G283" s="534">
        <f>IF(A283="SERVIÇO",VLOOKUP(C283,SERVIÇOS!$A$6:$D$7645,4,0),IF(A283="INSUMO",VLOOKUP(C283,INSUMOS!$A$6:$D$6961,4,0),IF('036.01-20-SERV. GERAIS'!A283="COTAÇÃO",VLOOKUP('036.01-20-SERV. GERAIS'!C283,'036-20-Cotação'!$A$9:$G$529,3,0),IF('036.01-20-SERV. GERAIS'!A283="CCU",VLOOKUP('036.01-20-SERV. GERAIS'!C283,'036-20-CCU''s'!$B$9:$H$1962,7,0)))))</f>
        <v>17.489104809715336</v>
      </c>
      <c r="H283" s="528">
        <f>BDI_O.A.E!$H$22</f>
        <v>0.18201100192553743</v>
      </c>
      <c r="I283" s="535">
        <f t="shared" si="83"/>
        <v>15966.882118193927</v>
      </c>
      <c r="K283" s="232">
        <f t="shared" si="65"/>
        <v>15966.882118193927</v>
      </c>
    </row>
    <row r="284" spans="1:13" s="223" customFormat="1" ht="25.5">
      <c r="A284" s="232" t="s">
        <v>4543</v>
      </c>
      <c r="B284" s="454" t="s">
        <v>7588</v>
      </c>
      <c r="C284" s="454">
        <v>5213359</v>
      </c>
      <c r="D284" s="451" t="str">
        <f>IF(A284="SERVIÇO",VLOOKUP(C284,SERVIÇOS!$A$6:$D$7645,2,0),IF(A284="INSUMO",VLOOKUP(C284,INSUMOS!$A$6:$D$6961,2,0),IF('036.01-20-SERV. GERAIS'!A284="COTAÇÃO",VLOOKUP('036.01-20-SERV. GERAIS'!C284,'036-20-Cotação'!$A$9:$G$529,2,0),IF('036.01-20-SERV. GERAIS'!A284="CCU",VLOOKUP('036.01-20-SERV. GERAIS'!C284,'036-20-CCU''s'!$B$9:$H$1962,2,0)))))</f>
        <v>TACHA REFLETIVA MONODIRECIONAL - FORNECIMENTO E COLOCAÇÃO</v>
      </c>
      <c r="E284" s="452" t="str">
        <f>IF(A284="SERVIÇO",VLOOKUP(C284,SERVIÇOS!$A$6:$D$7645,3,0),IF(A284="INSUMO",VLOOKUP(C284,INSUMOS!$A$6:$D$6961,3,0),IF('036.01-20-SERV. GERAIS'!A284="COTAÇÃO",VLOOKUP('036.01-20-SERV. GERAIS'!C284,'036-20-Cotação'!$A$9:$G$529,4,0),IF('036.01-20-SERV. GERAIS'!A284="CCU",VLOOKUP('036.01-20-SERV. GERAIS'!C284,'036-20-CCU''s'!$B$9:$H$1962,4,0)))))</f>
        <v>UN</v>
      </c>
      <c r="F284" s="453">
        <v>938</v>
      </c>
      <c r="G284" s="534">
        <f>IF(A284="SERVIÇO",VLOOKUP(C284,SERVIÇOS!$A$6:$D$7645,4,0),IF(A284="INSUMO",VLOOKUP(C284,INSUMOS!$A$6:$D$6961,4,0),IF('036.01-20-SERV. GERAIS'!A284="COTAÇÃO",VLOOKUP('036.01-20-SERV. GERAIS'!C284,'036-20-Cotação'!$A$9:$G$529,3,0),IF('036.01-20-SERV. GERAIS'!A284="CCU",VLOOKUP('036.01-20-SERV. GERAIS'!C284,'036-20-CCU''s'!$B$9:$H$1962,7,0)))))</f>
        <v>14.663153949334497</v>
      </c>
      <c r="H284" s="528">
        <f>BDI_O.A.E!$H$22</f>
        <v>0.18201100192553743</v>
      </c>
      <c r="I284" s="535">
        <f t="shared" si="83"/>
        <v>16257.424714996712</v>
      </c>
      <c r="K284" s="232">
        <f t="shared" si="65"/>
        <v>16257.424714996712</v>
      </c>
    </row>
    <row r="285" spans="1:13" s="87" customFormat="1">
      <c r="A285" s="232"/>
      <c r="B285" s="88" t="s">
        <v>7585</v>
      </c>
      <c r="C285" s="88" t="s">
        <v>6348</v>
      </c>
      <c r="D285" s="151" t="s">
        <v>7586</v>
      </c>
      <c r="E285" s="152"/>
      <c r="F285" s="152"/>
      <c r="G285" s="152"/>
      <c r="H285" s="152"/>
      <c r="I285" s="153"/>
      <c r="K285" s="232">
        <f t="shared" si="65"/>
        <v>0</v>
      </c>
    </row>
    <row r="286" spans="1:13" s="223" customFormat="1" ht="38.25">
      <c r="A286" s="232" t="s">
        <v>4543</v>
      </c>
      <c r="B286" s="454" t="s">
        <v>7589</v>
      </c>
      <c r="C286" s="454">
        <v>5213441</v>
      </c>
      <c r="D286" s="451" t="str">
        <f>IF(A286="SERVIÇO",VLOOKUP(C286,SERVIÇOS!$A$6:$D$7645,2,0),IF(A286="INSUMO",VLOOKUP(C286,INSUMOS!$A$6:$D$6961,2,0),IF('036.01-20-SERV. GERAIS'!A286="COTAÇÃO",VLOOKUP('036.01-20-SERV. GERAIS'!C286,'036-20-Cotação'!$A$9:$G$529,2,0),IF('036.01-20-SERV. GERAIS'!A286="CCU",VLOOKUP('036.01-20-SERV. GERAIS'!C286,'036-20-CCU''s'!$B$9:$H$1962,2,0)))))</f>
        <v>FORNECIMENTO E IMPLANTAÇÃO DE PLACA DE REGULAMENTAÇÃO EM AÇO D = 0,80 M - PELÍCULA RETRORREFLETIVA TIPO I + SI</v>
      </c>
      <c r="E286" s="452" t="str">
        <f>IF(A286="SERVIÇO",VLOOKUP(C286,SERVIÇOS!$A$6:$D$7645,3,0),IF(A286="INSUMO",VLOOKUP(C286,INSUMOS!$A$6:$D$6961,3,0),IF('036.01-20-SERV. GERAIS'!A286="COTAÇÃO",VLOOKUP('036.01-20-SERV. GERAIS'!C286,'036-20-Cotação'!$A$9:$G$529,4,0),IF('036.01-20-SERV. GERAIS'!A286="CCU",VLOOKUP('036.01-20-SERV. GERAIS'!C286,'036-20-CCU''s'!$B$9:$H$1962,4,0)))))</f>
        <v>UN</v>
      </c>
      <c r="F286" s="537">
        <v>2</v>
      </c>
      <c r="G286" s="534">
        <f>IF(A286="SERVIÇO",VLOOKUP(C286,SERVIÇOS!$A$6:$D$7645,4,0),IF(A286="INSUMO",VLOOKUP(C286,INSUMOS!$A$6:$D$6961,4,0),IF('036.01-20-SERV. GERAIS'!A286="COTAÇÃO",VLOOKUP('036.01-20-SERV. GERAIS'!C286,'036-20-Cotação'!$A$9:$G$529,3,0),IF('036.01-20-SERV. GERAIS'!A286="CCU",VLOOKUP('036.01-20-SERV. GERAIS'!C286,'036-20-CCU''s'!$B$9:$H$1962,7,0)))))</f>
        <v>232.76881662170868</v>
      </c>
      <c r="H286" s="528">
        <f>BDI_O.A.E!$H$22</f>
        <v>0.18201100192553743</v>
      </c>
      <c r="I286" s="535">
        <f t="shared" ref="I286:I288" si="84">F286*(G286*(1+H286))</f>
        <v>550.27060430409517</v>
      </c>
      <c r="K286" s="232">
        <f t="shared" si="65"/>
        <v>550.27060430409517</v>
      </c>
    </row>
    <row r="287" spans="1:13" s="223" customFormat="1" ht="38.25">
      <c r="A287" s="232" t="s">
        <v>4543</v>
      </c>
      <c r="B287" s="454" t="s">
        <v>7590</v>
      </c>
      <c r="C287" s="454">
        <v>5213833</v>
      </c>
      <c r="D287" s="451" t="str">
        <f>IF(A287="SERVIÇO",VLOOKUP(C287,SERVIÇOS!$A$6:$D$7645,2,0),IF(A287="INSUMO",VLOOKUP(C287,INSUMOS!$A$6:$D$6961,2,0),IF('036.01-20-SERV. GERAIS'!A287="COTAÇÃO",VLOOKUP('036.01-20-SERV. GERAIS'!C287,'036-20-Cotação'!$A$9:$G$529,2,0),IF('036.01-20-SERV. GERAIS'!A287="CCU",VLOOKUP('036.01-20-SERV. GERAIS'!C287,'036-20-CCU''s'!$B$9:$H$1962,2,0)))))</f>
        <v>BARREIRA PLÁSTICA MONOBLOCO PARA CANALIZAÇÃO DE TRÂNSITO MESINDO 101 X 50 X 55 CM - UTILIZAÇÃO 10 VEZES</v>
      </c>
      <c r="E287" s="452" t="str">
        <f>IF(A287="SERVIÇO",VLOOKUP(C287,SERVIÇOS!$A$6:$D$7645,3,0),IF(A287="INSUMO",VLOOKUP(C287,INSUMOS!$A$6:$D$6961,3,0),IF('036.01-20-SERV. GERAIS'!A287="COTAÇÃO",VLOOKUP('036.01-20-SERV. GERAIS'!C287,'036-20-Cotação'!$A$9:$G$529,4,0),IF('036.01-20-SERV. GERAIS'!A287="CCU",VLOOKUP('036.01-20-SERV. GERAIS'!C287,'036-20-CCU''s'!$B$9:$H$1962,4,0)))))</f>
        <v>UN</v>
      </c>
      <c r="F287" s="537">
        <v>85</v>
      </c>
      <c r="G287" s="534">
        <f>IF(A287="SERVIÇO",VLOOKUP(C287,SERVIÇOS!$A$6:$D$7645,4,0),IF(A287="INSUMO",VLOOKUP(C287,INSUMOS!$A$6:$D$6961,4,0),IF('036.01-20-SERV. GERAIS'!A287="COTAÇÃO",VLOOKUP('036.01-20-SERV. GERAIS'!C287,'036-20-Cotação'!$A$9:$G$529,3,0),IF('036.01-20-SERV. GERAIS'!A287="CCU",VLOOKUP('036.01-20-SERV. GERAIS'!C287,'036-20-CCU''s'!$B$9:$H$1962,7,0)))))</f>
        <v>103.7000343383089</v>
      </c>
      <c r="H287" s="528">
        <f>BDI_O.A.E!$H$22</f>
        <v>0.18201100192553743</v>
      </c>
      <c r="I287" s="535">
        <f t="shared" si="84"/>
        <v>10418.839426474657</v>
      </c>
      <c r="K287" s="232">
        <f t="shared" si="65"/>
        <v>10418.839426474657</v>
      </c>
    </row>
    <row r="288" spans="1:13" s="223" customFormat="1" ht="38.25">
      <c r="A288" s="232" t="s">
        <v>4543</v>
      </c>
      <c r="B288" s="454" t="s">
        <v>7591</v>
      </c>
      <c r="C288" s="454">
        <v>5213450</v>
      </c>
      <c r="D288" s="451" t="str">
        <f>IF(A288="SERVIÇO",VLOOKUP(C288,SERVIÇOS!$A$6:$D$7645,2,0),IF(A288="INSUMO",VLOOKUP(C288,INSUMOS!$A$6:$D$6961,2,0),IF('036.01-20-SERV. GERAIS'!A288="COTAÇÃO",VLOOKUP('036.01-20-SERV. GERAIS'!C288,'036-20-Cotação'!$A$9:$G$529,2,0),IF('036.01-20-SERV. GERAIS'!A288="CCU",VLOOKUP('036.01-20-SERV. GERAIS'!C288,'036-20-CCU''s'!$B$9:$H$1962,2,0)))))</f>
        <v>FORNECIMENTO E IMPLANTAÇÃO DE PLACA DE REGULAMENTAÇÃO EM AÇO, R2 LADO 1,00 M - PELÍCULA RETRORREFLETIVA TIPO I + SI</v>
      </c>
      <c r="E288" s="452" t="str">
        <f>IF(A288="SERVIÇO",VLOOKUP(C288,SERVIÇOS!$A$6:$D$7645,3,0),IF(A288="INSUMO",VLOOKUP(C288,INSUMOS!$A$6:$D$6961,3,0),IF('036.01-20-SERV. GERAIS'!A288="COTAÇÃO",VLOOKUP('036.01-20-SERV. GERAIS'!C288,'036-20-Cotação'!$A$9:$G$529,4,0),IF('036.01-20-SERV. GERAIS'!A288="CCU",VLOOKUP('036.01-20-SERV. GERAIS'!C288,'036-20-CCU''s'!$B$9:$H$1962,4,0)))))</f>
        <v>UN</v>
      </c>
      <c r="F288" s="537">
        <v>2</v>
      </c>
      <c r="G288" s="534">
        <f>IF(A288="SERVIÇO",VLOOKUP(C288,SERVIÇOS!$A$6:$D$7645,4,0),IF(A288="INSUMO",VLOOKUP(C288,INSUMOS!$A$6:$D$6961,4,0),IF('036.01-20-SERV. GERAIS'!A288="COTAÇÃO",VLOOKUP('036.01-20-SERV. GERAIS'!C288,'036-20-Cotação'!$A$9:$G$529,3,0),IF('036.01-20-SERV. GERAIS'!A288="CCU",VLOOKUP('036.01-20-SERV. GERAIS'!C288,'036-20-CCU''s'!$B$9:$H$1962,7,0)))))</f>
        <v>205.3508393240497</v>
      </c>
      <c r="H288" s="528">
        <f>BDI_O.A.E!$H$22</f>
        <v>0.18201100192553743</v>
      </c>
      <c r="I288" s="535">
        <f t="shared" si="84"/>
        <v>485.45390267134007</v>
      </c>
      <c r="K288" s="232">
        <f t="shared" si="65"/>
        <v>485.45390267134007</v>
      </c>
    </row>
    <row r="289" spans="1:11" s="87" customFormat="1">
      <c r="A289" s="232"/>
      <c r="B289" s="144"/>
      <c r="C289" s="144"/>
      <c r="D289" s="144"/>
      <c r="E289" s="145"/>
      <c r="F289" s="146"/>
      <c r="G289" s="146"/>
      <c r="H289" s="146"/>
      <c r="I289" s="147"/>
      <c r="K289" s="232">
        <f t="shared" si="65"/>
        <v>0</v>
      </c>
    </row>
    <row r="290" spans="1:11" s="223" customFormat="1">
      <c r="A290" s="233"/>
      <c r="B290" s="195"/>
      <c r="C290" s="195"/>
      <c r="D290" s="195"/>
      <c r="E290" s="195"/>
      <c r="F290" s="195"/>
      <c r="G290" s="196" t="s">
        <v>70</v>
      </c>
      <c r="H290" s="332"/>
      <c r="I290" s="132">
        <f>SUM(I236:I289)</f>
        <v>17632677.206588291</v>
      </c>
      <c r="K290" s="232"/>
    </row>
    <row r="291" spans="1:11" s="87" customFormat="1">
      <c r="A291" s="232"/>
      <c r="B291" s="144"/>
      <c r="C291" s="144"/>
      <c r="D291" s="144"/>
      <c r="E291" s="145"/>
      <c r="F291" s="146"/>
      <c r="G291" s="146"/>
      <c r="H291" s="146"/>
      <c r="I291" s="147"/>
      <c r="K291" s="232">
        <f t="shared" ref="K291:K362" si="85">F291*(G291*(1+H291))</f>
        <v>0</v>
      </c>
    </row>
    <row r="292" spans="1:11" s="87" customFormat="1">
      <c r="A292" s="232"/>
      <c r="B292" s="143" t="s">
        <v>8408</v>
      </c>
      <c r="C292" s="143"/>
      <c r="D292" s="148" t="s">
        <v>8409</v>
      </c>
      <c r="E292" s="149"/>
      <c r="F292" s="149"/>
      <c r="G292" s="149"/>
      <c r="H292" s="149"/>
      <c r="I292" s="150"/>
      <c r="K292" s="232">
        <f t="shared" si="85"/>
        <v>0</v>
      </c>
    </row>
    <row r="293" spans="1:11" s="87" customFormat="1">
      <c r="A293" s="232"/>
      <c r="B293" s="88" t="s">
        <v>8410</v>
      </c>
      <c r="C293" s="88"/>
      <c r="D293" s="148" t="s">
        <v>8548</v>
      </c>
      <c r="E293" s="149"/>
      <c r="F293" s="149"/>
      <c r="G293" s="149"/>
      <c r="H293" s="149"/>
      <c r="I293" s="150"/>
      <c r="K293" s="232">
        <f t="shared" si="85"/>
        <v>0</v>
      </c>
    </row>
    <row r="294" spans="1:11" s="87" customFormat="1" ht="63.75">
      <c r="A294" s="232" t="s">
        <v>4543</v>
      </c>
      <c r="B294" s="324" t="s">
        <v>8411</v>
      </c>
      <c r="C294" s="454" t="s">
        <v>8412</v>
      </c>
      <c r="D294" s="451" t="str">
        <f>IF(A294="SERVIÇO",VLOOKUP(C294,SERVIÇOS!$A$6:$D$7645,2,0),IF(A294="INSUMO",VLOOKUP(C294,INSUMOS!$A$6:$D$6961,2,0),IF('036.01-20-SERV. GERAIS'!A294="COTAÇÃO",VLOOKUP('036.01-20-SERV. GERAIS'!C294,'036-20-Cotação'!$A$9:$G$529,2,0),IF('036.01-20-SERV. GERAIS'!A294="CCU",VLOOKUP('036.01-20-SERV. GERAIS'!C294,'036-20-CCU''s'!$B$9:$H$1962,2,0)))))</f>
        <v>BALIZAMENTO AUTÔNOMO, TIPO BALIZADOR NOTURNO, COMPOSTO POR SINALIZADOR, PAINEL SOLAR E GABINETE COM CONTROLADOR DE CARGA DAS BATERIAS, CONFORME CAD. ESPECIFICAÇÕES.</v>
      </c>
      <c r="E294" s="452" t="str">
        <f>IF(A294="SERVIÇO",VLOOKUP(C294,SERVIÇOS!$A$6:$D$7645,3,0),IF(A294="INSUMO",VLOOKUP(C294,INSUMOS!$A$6:$D$6961,3,0),IF('036.01-20-SERV. GERAIS'!A294="COTAÇÃO",VLOOKUP('036.01-20-SERV. GERAIS'!C294,'036-20-Cotação'!$A$9:$G$529,4,0),IF('036.01-20-SERV. GERAIS'!A294="CCU",VLOOKUP('036.01-20-SERV. GERAIS'!C294,'036-20-CCU''s'!$B$9:$H$1962,4,0)))))</f>
        <v xml:space="preserve">UN    </v>
      </c>
      <c r="F294" s="453">
        <v>3</v>
      </c>
      <c r="G294" s="534">
        <f>IF(A294="SERVIÇO",VLOOKUP(C294,SERVIÇOS!$A$6:$D$7645,4,0),IF(A294="INSUMO",VLOOKUP(C294,INSUMOS!$A$6:$D$6961,4,0),IF('036.01-20-SERV. GERAIS'!A294="COTAÇÃO",VLOOKUP('036.01-20-SERV. GERAIS'!C294,'036-20-Cotação'!$A$9:$G$529,3,0),IF('036.01-20-SERV. GERAIS'!A294="CCU",VLOOKUP('036.01-20-SERV. GERAIS'!C294,'036-20-CCU''s'!$B$9:$H$1962,7,0)))))</f>
        <v>2584.4988358433839</v>
      </c>
      <c r="H294" s="528">
        <f>BDI_O.A.E!$H$22</f>
        <v>0.18201100192553743</v>
      </c>
      <c r="I294" s="535">
        <f t="shared" ref="I294" si="86">F294*(G294*(1+H294))</f>
        <v>9164.7181752918696</v>
      </c>
      <c r="K294" s="232">
        <f t="shared" si="85"/>
        <v>9164.7181752918696</v>
      </c>
    </row>
    <row r="295" spans="1:11" s="87" customFormat="1">
      <c r="A295" s="232"/>
      <c r="B295" s="144"/>
      <c r="C295" s="144"/>
      <c r="D295" s="144"/>
      <c r="E295" s="145"/>
      <c r="F295" s="146"/>
      <c r="G295" s="146"/>
      <c r="H295" s="146"/>
      <c r="I295" s="147"/>
      <c r="K295" s="232">
        <f t="shared" si="85"/>
        <v>0</v>
      </c>
    </row>
    <row r="296" spans="1:11" s="87" customFormat="1">
      <c r="A296" s="232"/>
      <c r="B296" s="193"/>
      <c r="C296" s="194"/>
      <c r="D296" s="194"/>
      <c r="E296" s="194"/>
      <c r="F296" s="194"/>
      <c r="G296" s="196" t="s">
        <v>70</v>
      </c>
      <c r="H296" s="332"/>
      <c r="I296" s="89">
        <f>SUM(I293:I295)</f>
        <v>9164.7181752918696</v>
      </c>
      <c r="K296" s="232"/>
    </row>
    <row r="297" spans="1:11" s="87" customFormat="1">
      <c r="A297" s="232"/>
      <c r="B297" s="144"/>
      <c r="C297" s="144"/>
      <c r="D297" s="144"/>
      <c r="E297" s="145"/>
      <c r="F297" s="146"/>
      <c r="G297" s="146"/>
      <c r="H297" s="146"/>
      <c r="I297" s="147"/>
      <c r="K297" s="232">
        <f t="shared" si="85"/>
        <v>0</v>
      </c>
    </row>
    <row r="298" spans="1:11" s="87" customFormat="1">
      <c r="A298" s="232"/>
      <c r="B298" s="143" t="s">
        <v>76</v>
      </c>
      <c r="C298" s="143"/>
      <c r="D298" s="148" t="s">
        <v>77</v>
      </c>
      <c r="E298" s="149"/>
      <c r="F298" s="149"/>
      <c r="G298" s="149"/>
      <c r="H298" s="149"/>
      <c r="I298" s="150"/>
      <c r="K298" s="232">
        <f t="shared" si="85"/>
        <v>0</v>
      </c>
    </row>
    <row r="299" spans="1:11" s="87" customFormat="1">
      <c r="A299" s="232"/>
      <c r="B299" s="88" t="s">
        <v>13180</v>
      </c>
      <c r="C299" s="88"/>
      <c r="D299" s="148" t="s">
        <v>78</v>
      </c>
      <c r="E299" s="149"/>
      <c r="F299" s="149"/>
      <c r="G299" s="149"/>
      <c r="H299" s="149"/>
      <c r="I299" s="150"/>
      <c r="K299" s="232">
        <f t="shared" si="85"/>
        <v>0</v>
      </c>
    </row>
    <row r="300" spans="1:11" s="87" customFormat="1">
      <c r="A300" s="232" t="s">
        <v>4543</v>
      </c>
      <c r="B300" s="324" t="s">
        <v>81</v>
      </c>
      <c r="C300" s="454">
        <v>4915672</v>
      </c>
      <c r="D300" s="451" t="str">
        <f>IF(A300="SERVIÇO",VLOOKUP(C300,SERVIÇOS!$A$6:$D$7645,2,0),IF(A300="INSUMO",VLOOKUP(C300,INSUMOS!$A$6:$D$6961,2,0),IF('036.01-20-SERV. GERAIS'!A300="COTAÇÃO",VLOOKUP('036.01-20-SERV. GERAIS'!C300,'036-20-Cotação'!$A$9:$G$529,2,0),IF('036.01-20-SERV. GERAIS'!A300="CCU",VLOOKUP('036.01-20-SERV. GERAIS'!C300,'036-20-CCU''s'!$B$9:$H$1962,2,0)))))</f>
        <v>LIMPEZA DE PONTE</v>
      </c>
      <c r="E300" s="452" t="str">
        <f>IF(A300="SERVIÇO",VLOOKUP(C300,SERVIÇOS!$A$6:$D$7645,3,0),IF(A300="INSUMO",VLOOKUP(C300,INSUMOS!$A$6:$D$6961,3,0),IF('036.01-20-SERV. GERAIS'!A300="COTAÇÃO",VLOOKUP('036.01-20-SERV. GERAIS'!C300,'036-20-Cotação'!$A$9:$G$529,4,0),IF('036.01-20-SERV. GERAIS'!A300="CCU",VLOOKUP('036.01-20-SERV. GERAIS'!C300,'036-20-CCU''s'!$B$9:$H$1962,4,0)))))</f>
        <v>M</v>
      </c>
      <c r="F300" s="453">
        <v>1200</v>
      </c>
      <c r="G300" s="534">
        <f>IF(A300="SERVIÇO",VLOOKUP(C300,SERVIÇOS!$A$6:$D$7645,4,0),IF(A300="INSUMO",VLOOKUP(C300,INSUMOS!$A$6:$D$6961,4,0),IF('036.01-20-SERV. GERAIS'!A300="COTAÇÃO",VLOOKUP('036.01-20-SERV. GERAIS'!C300,'036-20-Cotação'!$A$9:$G$529,3,0),IF('036.01-20-SERV. GERAIS'!A300="CCU",VLOOKUP('036.01-20-SERV. GERAIS'!C300,'036-20-CCU''s'!$B$9:$H$1962,7,0)))))</f>
        <v>3.1274999999999999</v>
      </c>
      <c r="H300" s="528">
        <f>BDI_O.A.E!$H$22</f>
        <v>0.18201100192553743</v>
      </c>
      <c r="I300" s="535">
        <f t="shared" ref="I300" si="87">F300*(G300*(1+H300))</f>
        <v>4436.0872902265419</v>
      </c>
      <c r="K300" s="232">
        <f t="shared" si="85"/>
        <v>4436.0872902265419</v>
      </c>
    </row>
    <row r="301" spans="1:11" s="87" customFormat="1">
      <c r="A301" s="232"/>
      <c r="B301" s="88" t="s">
        <v>13181</v>
      </c>
      <c r="C301" s="88"/>
      <c r="D301" s="148" t="s">
        <v>13179</v>
      </c>
      <c r="E301" s="149"/>
      <c r="F301" s="149"/>
      <c r="G301" s="149"/>
      <c r="H301" s="149"/>
      <c r="I301" s="150"/>
      <c r="K301" s="232">
        <f t="shared" ref="K301:K302" si="88">F301*(G301*(1+H301))</f>
        <v>0</v>
      </c>
    </row>
    <row r="302" spans="1:11" s="87" customFormat="1">
      <c r="A302" s="232" t="s">
        <v>12</v>
      </c>
      <c r="B302" s="324" t="s">
        <v>13182</v>
      </c>
      <c r="C302" s="454" t="s">
        <v>13190</v>
      </c>
      <c r="D302" s="451" t="str">
        <f>IF(A302="SERVIÇO",VLOOKUP(C302,SERVIÇOS!$A$6:$D$7645,2,0),IF(A302="INSUMO",VLOOKUP(C302,INSUMOS!$A$6:$D$6961,2,0),IF('036.01-20-SERV. GERAIS'!A302="COTAÇÃO",VLOOKUP('036.01-20-SERV. GERAIS'!C302,'036-20-Cotação'!$A$9:$G$529,2,0),IF('036.01-20-SERV. GERAIS'!A302="CCU",VLOOKUP('036.01-20-SERV. GERAIS'!C302,'036-20-CCU''s'!$B$9:$H$1962,2,0)))))</f>
        <v>CÓPIA DE PROJETOS</v>
      </c>
      <c r="E302" s="452" t="str">
        <f>IF(A302="SERVIÇO",VLOOKUP(C302,SERVIÇOS!$A$6:$D$7645,3,0),IF(A302="INSUMO",VLOOKUP(C302,INSUMOS!$A$6:$D$6961,3,0),IF('036.01-20-SERV. GERAIS'!A302="COTAÇÃO",VLOOKUP('036.01-20-SERV. GERAIS'!C302,'036-20-Cotação'!$A$9:$G$529,4,0),IF('036.01-20-SERV. GERAIS'!A302="CCU",VLOOKUP('036.01-20-SERV. GERAIS'!C302,'036-20-CCU''s'!$B$9:$H$1962,4,0)))))</f>
        <v>M</v>
      </c>
      <c r="F302" s="453">
        <f>30*6</f>
        <v>180</v>
      </c>
      <c r="G302" s="534">
        <f>IF(A302="SERVIÇO",VLOOKUP(C302,SERVIÇOS!$A$6:$D$7645,4,0),IF(A302="INSUMO",VLOOKUP(C302,INSUMOS!$A$6:$D$6961,4,0),IF('036.01-20-SERV. GERAIS'!A302="COTAÇÃO",VLOOKUP('036.01-20-SERV. GERAIS'!C302,'036-20-Cotação'!$A$9:$G$529,3,0),IF('036.01-20-SERV. GERAIS'!A302="CCU",VLOOKUP('036.01-20-SERV. GERAIS'!C302,'036-20-CCU''s'!$B$9:$H$1962,7,0)))))</f>
        <v>7.5381285774031479</v>
      </c>
      <c r="H302" s="528">
        <f>BDI_O.A.E!$H$22</f>
        <v>0.18201100192553743</v>
      </c>
      <c r="I302" s="535">
        <f t="shared" ref="I302" si="89">F302*(G302*(1+H302))</f>
        <v>1603.8271642355678</v>
      </c>
      <c r="K302" s="232">
        <f t="shared" si="88"/>
        <v>1603.8271642355678</v>
      </c>
    </row>
    <row r="303" spans="1:11" s="87" customFormat="1">
      <c r="A303" s="232"/>
      <c r="B303" s="88" t="s">
        <v>8513</v>
      </c>
      <c r="C303" s="88" t="s">
        <v>6348</v>
      </c>
      <c r="D303" s="151" t="s">
        <v>7699</v>
      </c>
      <c r="E303" s="152"/>
      <c r="F303" s="152"/>
      <c r="G303" s="152"/>
      <c r="H303" s="152"/>
      <c r="I303" s="153"/>
      <c r="K303" s="232">
        <f t="shared" ref="K303:K308" si="90">F303*(G303*(1+H303))</f>
        <v>0</v>
      </c>
    </row>
    <row r="304" spans="1:11" s="87" customFormat="1" ht="25.5">
      <c r="A304" s="232" t="s">
        <v>4543</v>
      </c>
      <c r="B304" s="324" t="s">
        <v>8514</v>
      </c>
      <c r="C304" s="324" t="s">
        <v>8485</v>
      </c>
      <c r="D304" s="451" t="str">
        <f>IF(A304="SERVIÇO",VLOOKUP(C304,SERVIÇOS!$A$6:$D$7645,2,0),IF(A304="INSUMO",VLOOKUP(C304,INSUMOS!$A$6:$D$6961,2,0),IF('036.01-20-SERV. GERAIS'!A304="COTAÇÃO",VLOOKUP('036.01-20-SERV. GERAIS'!C304,'036-20-Cotação'!$A$9:$G$529,2,0),IF('036.01-20-SERV. GERAIS'!A304="CCU",VLOOKUP('036.01-20-SERV. GERAIS'!C304,'036-20-CCU''s'!$B$9:$H$1962,2,0)))))</f>
        <v>APOIO NÁUTICO AUXILIO SERVIÇO  ESTAIS/TIRANTES - TRANSPORTE</v>
      </c>
      <c r="E304" s="452" t="str">
        <f>IF(A304="SERVIÇO",VLOOKUP(C304,SERVIÇOS!$A$6:$D$7645,3,0),IF(A304="INSUMO",VLOOKUP(C304,INSUMOS!$A$6:$D$6961,3,0),IF('036.01-20-SERV. GERAIS'!A304="COTAÇÃO",VLOOKUP('036.01-20-SERV. GERAIS'!C304,'036-20-Cotação'!$A$9:$G$529,4,0),IF('036.01-20-SERV. GERAIS'!A304="CCU",VLOOKUP('036.01-20-SERV. GERAIS'!C304,'036-20-CCU''s'!$B$9:$H$1962,4,0)))))</f>
        <v>KG</v>
      </c>
      <c r="F304" s="453">
        <v>21589.200000000001</v>
      </c>
      <c r="G304" s="534">
        <f>IF(A304="SERVIÇO",VLOOKUP(C304,SERVIÇOS!$A$6:$D$7645,4,0),IF(A304="INSUMO",VLOOKUP(C304,INSUMOS!$A$6:$D$6961,4,0),IF('036.01-20-SERV. GERAIS'!A304="COTAÇÃO",VLOOKUP('036.01-20-SERV. GERAIS'!C304,'036-20-Cotação'!$A$9:$G$529,3,0),IF('036.01-20-SERV. GERAIS'!A304="CCU",VLOOKUP('036.01-20-SERV. GERAIS'!C304,'036-20-CCU''s'!$B$9:$H$1962,7,0)))))</f>
        <v>0.60807136077314705</v>
      </c>
      <c r="H304" s="528">
        <f>BDI_O.A.E!$H$22</f>
        <v>0.18201100192553743</v>
      </c>
      <c r="I304" s="535">
        <f t="shared" ref="I304:I309" si="91">F304*(G304*(1+H304))</f>
        <v>15517.17356120275</v>
      </c>
      <c r="K304" s="232">
        <f t="shared" si="90"/>
        <v>15517.17356120275</v>
      </c>
    </row>
    <row r="305" spans="1:13" s="87" customFormat="1" ht="38.25">
      <c r="A305" s="232" t="s">
        <v>4543</v>
      </c>
      <c r="B305" s="324" t="s">
        <v>8515</v>
      </c>
      <c r="C305" s="324" t="s">
        <v>8486</v>
      </c>
      <c r="D305" s="451" t="str">
        <f>IF(A305="SERVIÇO",VLOOKUP(C305,SERVIÇOS!$A$6:$D$7645,2,0),IF(A305="INSUMO",VLOOKUP(C305,INSUMOS!$A$6:$D$6961,2,0),IF('036.01-20-SERV. GERAIS'!A305="COTAÇÃO",VLOOKUP('036.01-20-SERV. GERAIS'!C305,'036-20-Cotação'!$A$9:$G$529,2,0),IF('036.01-20-SERV. GERAIS'!A305="CCU",VLOOKUP('036.01-20-SERV. GERAIS'!C305,'036-20-CCU''s'!$B$9:$H$1962,2,0)))))</f>
        <v>APOIO NÁUTICO AUXILIO SERVIÇO BERÇOS METÁLICOS E APARELHOS DE APOIO - TRANSPORTE</v>
      </c>
      <c r="E305" s="452" t="str">
        <f>IF(A305="SERVIÇO",VLOOKUP(C305,SERVIÇOS!$A$6:$D$7645,3,0),IF(A305="INSUMO",VLOOKUP(C305,INSUMOS!$A$6:$D$6961,3,0),IF('036.01-20-SERV. GERAIS'!A305="COTAÇÃO",VLOOKUP('036.01-20-SERV. GERAIS'!C305,'036-20-Cotação'!$A$9:$G$529,4,0),IF('036.01-20-SERV. GERAIS'!A305="CCU",VLOOKUP('036.01-20-SERV. GERAIS'!C305,'036-20-CCU''s'!$B$9:$H$1962,4,0)))))</f>
        <v>KG</v>
      </c>
      <c r="F305" s="453">
        <f>4004+26051.2</f>
        <v>30055.200000000001</v>
      </c>
      <c r="G305" s="534">
        <f>IF(A305="SERVIÇO",VLOOKUP(C305,SERVIÇOS!$A$6:$D$7645,4,0),IF(A305="INSUMO",VLOOKUP(C305,INSUMOS!$A$6:$D$6961,4,0),IF('036.01-20-SERV. GERAIS'!A305="COTAÇÃO",VLOOKUP('036.01-20-SERV. GERAIS'!C305,'036-20-Cotação'!$A$9:$G$529,3,0),IF('036.01-20-SERV. GERAIS'!A305="CCU",VLOOKUP('036.01-20-SERV. GERAIS'!C305,'036-20-CCU''s'!$B$9:$H$1962,7,0)))))</f>
        <v>0.60807136077314705</v>
      </c>
      <c r="H305" s="528">
        <f>BDI_O.A.E!$H$22</f>
        <v>0.18201100192553743</v>
      </c>
      <c r="I305" s="535">
        <f t="shared" si="91"/>
        <v>21602.085988209885</v>
      </c>
      <c r="K305" s="232">
        <f t="shared" si="90"/>
        <v>21602.085988209885</v>
      </c>
    </row>
    <row r="306" spans="1:13" s="87" customFormat="1" ht="25.5">
      <c r="A306" s="232" t="s">
        <v>4543</v>
      </c>
      <c r="B306" s="324" t="s">
        <v>8516</v>
      </c>
      <c r="C306" s="324" t="s">
        <v>8487</v>
      </c>
      <c r="D306" s="451" t="str">
        <f>IF(A306="SERVIÇO",VLOOKUP(C306,SERVIÇOS!$A$6:$D$7645,2,0),IF(A306="INSUMO",VLOOKUP(C306,INSUMOS!$A$6:$D$6961,2,0),IF('036.01-20-SERV. GERAIS'!A306="COTAÇÃO",VLOOKUP('036.01-20-SERV. GERAIS'!C306,'036-20-Cotação'!$A$9:$G$529,2,0),IF('036.01-20-SERV. GERAIS'!A306="CCU",VLOOKUP('036.01-20-SERV. GERAIS'!C306,'036-20-CCU''s'!$B$9:$H$1962,2,0)))))</f>
        <v>APOIO NÁUTICO AUXILIO SERVIÇO  PINTURA - TRANSPORTE</v>
      </c>
      <c r="E306" s="452" t="str">
        <f>IF(A306="SERVIÇO",VLOOKUP(C306,SERVIÇOS!$A$6:$D$7645,3,0),IF(A306="INSUMO",VLOOKUP(C306,INSUMOS!$A$6:$D$6961,3,0),IF('036.01-20-SERV. GERAIS'!A306="COTAÇÃO",VLOOKUP('036.01-20-SERV. GERAIS'!C306,'036-20-Cotação'!$A$9:$G$529,4,0),IF('036.01-20-SERV. GERAIS'!A306="CCU",VLOOKUP('036.01-20-SERV. GERAIS'!C306,'036-20-CCU''s'!$B$9:$H$1962,4,0)))))</f>
        <v>KG</v>
      </c>
      <c r="F306" s="453">
        <v>32591.99</v>
      </c>
      <c r="G306" s="534">
        <f>IF(A306="SERVIÇO",VLOOKUP(C306,SERVIÇOS!$A$6:$D$7645,4,0),IF(A306="INSUMO",VLOOKUP(C306,INSUMOS!$A$6:$D$6961,4,0),IF('036.01-20-SERV. GERAIS'!A306="COTAÇÃO",VLOOKUP('036.01-20-SERV. GERAIS'!C306,'036-20-Cotação'!$A$9:$G$529,3,0),IF('036.01-20-SERV. GERAIS'!A306="CCU",VLOOKUP('036.01-20-SERV. GERAIS'!C306,'036-20-CCU''s'!$B$9:$H$1962,7,0)))))</f>
        <v>0.60807136077314705</v>
      </c>
      <c r="H306" s="528">
        <f>BDI_O.A.E!$H$22</f>
        <v>0.18201100192553743</v>
      </c>
      <c r="I306" s="535">
        <f t="shared" si="91"/>
        <v>23425.396287726475</v>
      </c>
      <c r="K306" s="232">
        <f t="shared" si="90"/>
        <v>23425.396287726475</v>
      </c>
    </row>
    <row r="307" spans="1:13" s="87" customFormat="1" ht="38.25">
      <c r="A307" s="232" t="s">
        <v>4543</v>
      </c>
      <c r="B307" s="324" t="s">
        <v>8517</v>
      </c>
      <c r="C307" s="324" t="s">
        <v>8488</v>
      </c>
      <c r="D307" s="451" t="str">
        <f>IF(A307="SERVIÇO",VLOOKUP(C307,SERVIÇOS!$A$6:$D$7645,2,0),IF(A307="INSUMO",VLOOKUP(C307,INSUMOS!$A$6:$D$6961,2,0),IF('036.01-20-SERV. GERAIS'!A307="COTAÇÃO",VLOOKUP('036.01-20-SERV. GERAIS'!C307,'036-20-Cotação'!$A$9:$G$529,2,0),IF('036.01-20-SERV. GERAIS'!A307="CCU",VLOOKUP('036.01-20-SERV. GERAIS'!C307,'036-20-CCU''s'!$B$9:$H$1962,2,0)))))</f>
        <v>APOIO NÁUTICO AUXILIO SERVIÇO  RECUPERAÇÃO DE BLOCOS E PILARES - TRANSPORTE</v>
      </c>
      <c r="E307" s="452" t="str">
        <f>IF(A307="SERVIÇO",VLOOKUP(C307,SERVIÇOS!$A$6:$D$7645,3,0),IF(A307="INSUMO",VLOOKUP(C307,INSUMOS!$A$6:$D$6961,3,0),IF('036.01-20-SERV. GERAIS'!A307="COTAÇÃO",VLOOKUP('036.01-20-SERV. GERAIS'!C307,'036-20-Cotação'!$A$9:$G$529,4,0),IF('036.01-20-SERV. GERAIS'!A307="CCU",VLOOKUP('036.01-20-SERV. GERAIS'!C307,'036-20-CCU''s'!$B$9:$H$1962,4,0)))))</f>
        <v>KG</v>
      </c>
      <c r="F307" s="453">
        <f>39995.6+9373.46</f>
        <v>49369.06</v>
      </c>
      <c r="G307" s="534">
        <f>IF(A307="SERVIÇO",VLOOKUP(C307,SERVIÇOS!$A$6:$D$7645,4,0),IF(A307="INSUMO",VLOOKUP(C307,INSUMOS!$A$6:$D$6961,4,0),IF('036.01-20-SERV. GERAIS'!A307="COTAÇÃO",VLOOKUP('036.01-20-SERV. GERAIS'!C307,'036-20-Cotação'!$A$9:$G$529,3,0),IF('036.01-20-SERV. GERAIS'!A307="CCU",VLOOKUP('036.01-20-SERV. GERAIS'!C307,'036-20-CCU''s'!$B$9:$H$1962,7,0)))))</f>
        <v>0.60807136077314705</v>
      </c>
      <c r="H307" s="528">
        <f>BDI_O.A.E!$H$22</f>
        <v>0.18201100192553743</v>
      </c>
      <c r="I307" s="535">
        <f t="shared" si="91"/>
        <v>35483.86566308303</v>
      </c>
      <c r="K307" s="232">
        <f t="shared" si="90"/>
        <v>35483.86566308303</v>
      </c>
    </row>
    <row r="308" spans="1:13" s="87" customFormat="1" ht="26.25" customHeight="1">
      <c r="A308" s="232" t="s">
        <v>4543</v>
      </c>
      <c r="B308" s="324" t="s">
        <v>8518</v>
      </c>
      <c r="C308" s="324" t="s">
        <v>8489</v>
      </c>
      <c r="D308" s="451" t="str">
        <f>IF(A308="SERVIÇO",VLOOKUP(C308,SERVIÇOS!$A$6:$D$7645,2,0),IF(A308="INSUMO",VLOOKUP(C308,INSUMOS!$A$6:$D$6961,2,0),IF('036.01-20-SERV. GERAIS'!A308="COTAÇÃO",VLOOKUP('036.01-20-SERV. GERAIS'!C308,'036-20-Cotação'!$A$9:$G$529,2,0),IF('036.01-20-SERV. GERAIS'!A308="CCU",VLOOKUP('036.01-20-SERV. GERAIS'!C308,'036-20-CCU''s'!$B$9:$H$1962,2,0)))))</f>
        <v>APOIO NÁUTICO AUXILIO SERVIÇO  DEMOLIÇÃO DE ESTRUTURA DE CONCRETO - TRANSPORTE</v>
      </c>
      <c r="E308" s="452" t="str">
        <f>IF(A308="SERVIÇO",VLOOKUP(C308,SERVIÇOS!$A$6:$D$7645,3,0),IF(A308="INSUMO",VLOOKUP(C308,INSUMOS!$A$6:$D$6961,3,0),IF('036.01-20-SERV. GERAIS'!A308="COTAÇÃO",VLOOKUP('036.01-20-SERV. GERAIS'!C308,'036-20-Cotação'!$A$9:$G$529,4,0),IF('036.01-20-SERV. GERAIS'!A308="CCU",VLOOKUP('036.01-20-SERV. GERAIS'!C308,'036-20-CCU''s'!$B$9:$H$1962,4,0)))))</f>
        <v>KG</v>
      </c>
      <c r="F308" s="453">
        <f>((F70+(F72/2))*1500)</f>
        <v>152175</v>
      </c>
      <c r="G308" s="534">
        <f>IF(A308="SERVIÇO",VLOOKUP(C308,SERVIÇOS!$A$6:$D$7645,4,0),IF(A308="INSUMO",VLOOKUP(C308,INSUMOS!$A$6:$D$6961,4,0),IF('036.01-20-SERV. GERAIS'!A308="COTAÇÃO",VLOOKUP('036.01-20-SERV. GERAIS'!C308,'036-20-Cotação'!$A$9:$G$529,3,0),IF('036.01-20-SERV. GERAIS'!A308="CCU",VLOOKUP('036.01-20-SERV. GERAIS'!C308,'036-20-CCU''s'!$B$9:$H$1962,7,0)))))</f>
        <v>0.60807136077314705</v>
      </c>
      <c r="H308" s="528">
        <f>BDI_O.A.E!$H$22</f>
        <v>0.18201100192553743</v>
      </c>
      <c r="I308" s="535">
        <f t="shared" si="91"/>
        <v>109375.33056695145</v>
      </c>
      <c r="K308" s="232">
        <f t="shared" si="90"/>
        <v>109375.33056695145</v>
      </c>
    </row>
    <row r="309" spans="1:13" s="87" customFormat="1" ht="38.25">
      <c r="A309" s="232" t="s">
        <v>4543</v>
      </c>
      <c r="B309" s="324" t="s">
        <v>8519</v>
      </c>
      <c r="C309" s="324" t="s">
        <v>8511</v>
      </c>
      <c r="D309" s="451" t="str">
        <f>IF(A309="SERVIÇO",VLOOKUP(C309,SERVIÇOS!$A$6:$D$7645,2,0),IF(A309="INSUMO",VLOOKUP(C309,INSUMOS!$A$6:$D$6961,2,0),IF('036.01-20-SERV. GERAIS'!A309="COTAÇÃO",VLOOKUP('036.01-20-SERV. GERAIS'!C309,'036-20-Cotação'!$A$9:$G$529,2,0),IF('036.01-20-SERV. GERAIS'!A309="CCU",VLOOKUP('036.01-20-SERV. GERAIS'!C309,'036-20-CCU''s'!$B$9:$H$1962,2,0)))))</f>
        <v>APOIO NÁUTICO AUXILIO SERVIÇO  PERFÍS "W" TRAVAMENTO DAS ENSECADEIRA - TRANSPORTE</v>
      </c>
      <c r="E309" s="452" t="str">
        <f>IF(A309="SERVIÇO",VLOOKUP(C309,SERVIÇOS!$A$6:$D$7645,3,0),IF(A309="INSUMO",VLOOKUP(C309,INSUMOS!$A$6:$D$6961,3,0),IF('036.01-20-SERV. GERAIS'!A309="COTAÇÃO",VLOOKUP('036.01-20-SERV. GERAIS'!C309,'036-20-Cotação'!$A$9:$G$529,4,0),IF('036.01-20-SERV. GERAIS'!A309="CCU",VLOOKUP('036.01-20-SERV. GERAIS'!C309,'036-20-CCU''s'!$B$9:$H$1962,4,0)))))</f>
        <v>KG</v>
      </c>
      <c r="F309" s="453">
        <f>F88</f>
        <v>29200</v>
      </c>
      <c r="G309" s="534">
        <f>IF(A309="SERVIÇO",VLOOKUP(C309,SERVIÇOS!$A$6:$D$7645,4,0),IF(A309="INSUMO",VLOOKUP(C309,INSUMOS!$A$6:$D$6961,4,0),IF('036.01-20-SERV. GERAIS'!A309="COTAÇÃO",VLOOKUP('036.01-20-SERV. GERAIS'!C309,'036-20-Cotação'!$A$9:$G$529,3,0),IF('036.01-20-SERV. GERAIS'!A309="CCU",VLOOKUP('036.01-20-SERV. GERAIS'!C309,'036-20-CCU''s'!$B$9:$H$1962,7,0)))))</f>
        <v>0.60807136077314705</v>
      </c>
      <c r="H309" s="528">
        <f>BDI_O.A.E!$H$22</f>
        <v>0.18201100192553743</v>
      </c>
      <c r="I309" s="535">
        <f t="shared" si="91"/>
        <v>20987.413520979018</v>
      </c>
      <c r="K309" s="232">
        <f t="shared" ref="K309:K311" si="92">F309*(G309*(1+H309))</f>
        <v>20987.413520979018</v>
      </c>
    </row>
    <row r="310" spans="1:13" s="87" customFormat="1">
      <c r="A310" s="232"/>
      <c r="B310" s="88" t="s">
        <v>8554</v>
      </c>
      <c r="C310" s="88" t="s">
        <v>6348</v>
      </c>
      <c r="D310" s="151" t="s">
        <v>13398</v>
      </c>
      <c r="E310" s="152"/>
      <c r="F310" s="152"/>
      <c r="G310" s="152"/>
      <c r="H310" s="152"/>
      <c r="I310" s="153"/>
      <c r="K310" s="232">
        <f t="shared" si="92"/>
        <v>0</v>
      </c>
    </row>
    <row r="311" spans="1:13" s="87" customFormat="1" ht="38.25">
      <c r="A311" s="232" t="s">
        <v>4543</v>
      </c>
      <c r="B311" s="324" t="s">
        <v>8555</v>
      </c>
      <c r="C311" s="324" t="s">
        <v>8556</v>
      </c>
      <c r="D311" s="451" t="str">
        <f>IF(A311="SERVIÇO",VLOOKUP(C311,SERVIÇOS!$A$6:$D$7645,2,0),IF(A311="INSUMO",VLOOKUP(C311,INSUMOS!$A$6:$D$6961,2,0),IF('036.01-20-SERV. GERAIS'!A311="COTAÇÃO",VLOOKUP('036.01-20-SERV. GERAIS'!C311,'036-20-Cotação'!$A$9:$G$529,2,0),IF('036.01-20-SERV. GERAIS'!A311="CCU",VLOOKUP('036.01-20-SERV. GERAIS'!C311,'036-20-CCU''s'!$B$9:$H$1962,2,0)))))</f>
        <v>TRANSPORTE VERTICAL DE MATERIAS COM UTILIZAÇÃO DE GUINDASTE - (BERÇOS E APARELHOS DE APOIO, ESTAIS E PINTURA)</v>
      </c>
      <c r="E311" s="452" t="str">
        <f>IF(A311="SERVIÇO",VLOOKUP(C311,SERVIÇOS!$A$6:$D$7645,3,0),IF(A311="INSUMO",VLOOKUP(C311,INSUMOS!$A$6:$D$6961,3,0),IF('036.01-20-SERV. GERAIS'!A311="COTAÇÃO",VLOOKUP('036.01-20-SERV. GERAIS'!C311,'036-20-Cotação'!$A$9:$G$529,4,0),IF('036.01-20-SERV. GERAIS'!A311="CCU",VLOOKUP('036.01-20-SERV. GERAIS'!C311,'036-20-CCU''s'!$B$9:$H$1962,4,0)))))</f>
        <v>KG</v>
      </c>
      <c r="F311" s="453">
        <f>F304+F305+F306</f>
        <v>84236.39</v>
      </c>
      <c r="G311" s="534">
        <f>IF(A311="SERVIÇO",VLOOKUP(C311,SERVIÇOS!$A$6:$D$7645,4,0),IF(A311="INSUMO",VLOOKUP(C311,INSUMOS!$A$6:$D$6961,4,0),IF('036.01-20-SERV. GERAIS'!A311="COTAÇÃO",VLOOKUP('036.01-20-SERV. GERAIS'!C311,'036-20-Cotação'!$A$9:$G$529,3,0),IF('036.01-20-SERV. GERAIS'!A311="CCU",VLOOKUP('036.01-20-SERV. GERAIS'!C311,'036-20-CCU''s'!$B$9:$H$1962,7,0)))))</f>
        <v>0.20083213000000003</v>
      </c>
      <c r="H311" s="528">
        <f>BDI_O.A.E!$H$22</f>
        <v>0.18201100192553743</v>
      </c>
      <c r="I311" s="535">
        <f t="shared" ref="I311" si="93">F311*(G311*(1+H311))</f>
        <v>19996.521751047985</v>
      </c>
      <c r="K311" s="232">
        <f t="shared" si="92"/>
        <v>19996.521751047985</v>
      </c>
    </row>
    <row r="312" spans="1:13" s="87" customFormat="1">
      <c r="A312" s="232"/>
      <c r="B312" s="144"/>
      <c r="C312" s="144"/>
      <c r="D312" s="144"/>
      <c r="E312" s="145"/>
      <c r="F312" s="146"/>
      <c r="G312" s="146"/>
      <c r="H312" s="146"/>
      <c r="I312" s="147"/>
      <c r="K312" s="232">
        <f t="shared" si="85"/>
        <v>0</v>
      </c>
    </row>
    <row r="313" spans="1:13" s="87" customFormat="1">
      <c r="A313" s="232"/>
      <c r="B313" s="193"/>
      <c r="C313" s="194"/>
      <c r="D313" s="194"/>
      <c r="E313" s="194"/>
      <c r="F313" s="194"/>
      <c r="G313" s="196" t="s">
        <v>70</v>
      </c>
      <c r="H313" s="332"/>
      <c r="I313" s="89">
        <f>SUM(I299:I312)</f>
        <v>252427.70179366271</v>
      </c>
      <c r="K313" s="232"/>
    </row>
    <row r="314" spans="1:13" s="87" customFormat="1">
      <c r="A314" s="232"/>
      <c r="B314" s="144"/>
      <c r="C314" s="144"/>
      <c r="D314" s="144"/>
      <c r="E314" s="145"/>
      <c r="F314" s="146"/>
      <c r="G314" s="146"/>
      <c r="H314" s="146"/>
      <c r="I314" s="147"/>
      <c r="K314" s="232">
        <f t="shared" si="85"/>
        <v>0</v>
      </c>
    </row>
    <row r="315" spans="1:13" s="87" customFormat="1">
      <c r="A315" s="232"/>
      <c r="B315" s="88" t="s">
        <v>7614</v>
      </c>
      <c r="C315" s="88" t="s">
        <v>6348</v>
      </c>
      <c r="D315" s="148" t="s">
        <v>7592</v>
      </c>
      <c r="E315" s="149"/>
      <c r="F315" s="149"/>
      <c r="G315" s="149"/>
      <c r="H315" s="149"/>
      <c r="I315" s="150"/>
      <c r="K315" s="232">
        <f t="shared" si="85"/>
        <v>0</v>
      </c>
    </row>
    <row r="316" spans="1:13" s="87" customFormat="1">
      <c r="A316" s="232"/>
      <c r="B316" s="88" t="s">
        <v>7615</v>
      </c>
      <c r="C316" s="88" t="s">
        <v>6348</v>
      </c>
      <c r="D316" s="151" t="s">
        <v>7593</v>
      </c>
      <c r="E316" s="152"/>
      <c r="F316" s="152"/>
      <c r="G316" s="152"/>
      <c r="H316" s="152"/>
      <c r="I316" s="153"/>
      <c r="K316" s="232">
        <f t="shared" si="85"/>
        <v>0</v>
      </c>
    </row>
    <row r="317" spans="1:13" s="87" customFormat="1">
      <c r="A317" s="232"/>
      <c r="B317" s="88" t="s">
        <v>7616</v>
      </c>
      <c r="C317" s="88" t="s">
        <v>6348</v>
      </c>
      <c r="D317" s="151" t="s">
        <v>7594</v>
      </c>
      <c r="E317" s="152"/>
      <c r="F317" s="152"/>
      <c r="G317" s="152"/>
      <c r="H317" s="152"/>
      <c r="I317" s="153"/>
      <c r="K317" s="232">
        <f t="shared" si="85"/>
        <v>0</v>
      </c>
    </row>
    <row r="318" spans="1:13" s="87" customFormat="1">
      <c r="A318" s="232"/>
      <c r="B318" s="88" t="s">
        <v>7617</v>
      </c>
      <c r="C318" s="88" t="s">
        <v>6348</v>
      </c>
      <c r="D318" s="151" t="s">
        <v>7595</v>
      </c>
      <c r="E318" s="152"/>
      <c r="F318" s="152"/>
      <c r="G318" s="152"/>
      <c r="H318" s="152"/>
      <c r="I318" s="153"/>
      <c r="K318" s="232">
        <f t="shared" si="85"/>
        <v>0</v>
      </c>
    </row>
    <row r="319" spans="1:13" s="87" customFormat="1">
      <c r="A319" s="232" t="s">
        <v>4543</v>
      </c>
      <c r="B319" s="324" t="s">
        <v>7596</v>
      </c>
      <c r="C319" s="324" t="s">
        <v>6327</v>
      </c>
      <c r="D319" s="451" t="str">
        <f>IF(A319="SERVIÇO",VLOOKUP(C319,SERVIÇOS!$A$6:$D$7645,2,0),IF(A319="INSUMO",VLOOKUP(C319,INSUMOS!$A$6:$D$6961,2,0),IF('036.01-20-SERV. GERAIS'!A319="COTAÇÃO",VLOOKUP('036.01-20-SERV. GERAIS'!C319,'036-20-Cotação'!$A$9:$G$529,2,0),IF('036.01-20-SERV. GERAIS'!A319="CCU",VLOOKUP('036.01-20-SERV. GERAIS'!C319,'036-20-CCU''s'!$B$9:$H$1962,2,0)))))</f>
        <v xml:space="preserve">EQUIPE DE MANUTENÇÃO DO CANTEIRO </v>
      </c>
      <c r="E319" s="452" t="str">
        <f>IF(A319="SERVIÇO",VLOOKUP(C319,SERVIÇOS!$A$6:$D$7645,3,0),IF(A319="INSUMO",VLOOKUP(C319,INSUMOS!$A$6:$D$6961,3,0),IF('036.01-20-SERV. GERAIS'!A319="COTAÇÃO",VLOOKUP('036.01-20-SERV. GERAIS'!C319,'036-20-Cotação'!$A$9:$G$529,4,0),IF('036.01-20-SERV. GERAIS'!A319="CCU",VLOOKUP('036.01-20-SERV. GERAIS'!C319,'036-20-CCU''s'!$B$9:$H$1962,4,0)))))</f>
        <v>MÊS</v>
      </c>
      <c r="F319" s="453">
        <v>6</v>
      </c>
      <c r="G319" s="534">
        <f>IF(A319="SERVIÇO",VLOOKUP(C319,SERVIÇOS!$A$6:$D$7645,4,0),IF(A319="INSUMO",VLOOKUP(C319,INSUMOS!$A$6:$D$6961,4,0),IF('036.01-20-SERV. GERAIS'!A319="COTAÇÃO",VLOOKUP('036.01-20-SERV. GERAIS'!C319,'036-20-Cotação'!$A$9:$G$529,3,0),IF('036.01-20-SERV. GERAIS'!A319="CCU",VLOOKUP('036.01-20-SERV. GERAIS'!C319,'036-20-CCU''s'!$B$9:$H$1962,7,0)))))</f>
        <v>2193.3399400000003</v>
      </c>
      <c r="H319" s="528">
        <f>BDI_O.A.E!$H$22</f>
        <v>0.18201100192553743</v>
      </c>
      <c r="I319" s="535">
        <f t="shared" ref="I319:I336" si="94">F319*(G319*(1+H319))</f>
        <v>15555.31164025619</v>
      </c>
      <c r="K319" s="232">
        <f t="shared" si="85"/>
        <v>15555.31164025619</v>
      </c>
      <c r="M319" s="232"/>
    </row>
    <row r="320" spans="1:13" s="87" customFormat="1">
      <c r="A320" s="232"/>
      <c r="B320" s="88" t="s">
        <v>7618</v>
      </c>
      <c r="C320" s="88" t="s">
        <v>6348</v>
      </c>
      <c r="D320" s="151" t="s">
        <v>7601</v>
      </c>
      <c r="E320" s="152"/>
      <c r="F320" s="152"/>
      <c r="G320" s="152"/>
      <c r="H320" s="152"/>
      <c r="I320" s="153"/>
      <c r="K320" s="232">
        <f t="shared" si="85"/>
        <v>0</v>
      </c>
      <c r="M320" s="232"/>
    </row>
    <row r="321" spans="1:13" s="87" customFormat="1">
      <c r="A321" s="232" t="s">
        <v>4542</v>
      </c>
      <c r="B321" s="324" t="s">
        <v>7604</v>
      </c>
      <c r="C321" s="324" t="s">
        <v>7602</v>
      </c>
      <c r="D321" s="451" t="str">
        <f>IF(A321="SERVIÇO",VLOOKUP(C321,SERVIÇOS!$A$6:$D$7645,2,0),IF(A321="INSUMO",VLOOKUP(C321,INSUMOS!$A$6:$D$6961,2,0),IF('036.01-20-SERV. GERAIS'!A321="COTAÇÃO",VLOOKUP('036.01-20-SERV. GERAIS'!C321,'036-20-Cotação'!$A$9:$G$529,2,0),IF('036.01-20-SERV. GERAIS'!A321="CCU",VLOOKUP('036.01-20-SERV. GERAIS'!C321,'036-20-CCU''s'!$B$9:$H$1962,2,0)))))</f>
        <v>ALMOXARIFE</v>
      </c>
      <c r="E321" s="452" t="str">
        <f>IF(A321="SERVIÇO",VLOOKUP(C321,SERVIÇOS!$A$6:$D$7645,3,0),IF(A321="INSUMO",VLOOKUP(C321,INSUMOS!$A$6:$D$6961,3,0),IF('036.01-20-SERV. GERAIS'!A321="COTAÇÃO",VLOOKUP('036.01-20-SERV. GERAIS'!C321,'036-20-Cotação'!$A$9:$G$529,4,0),IF('036.01-20-SERV. GERAIS'!A321="CCU",VLOOKUP('036.01-20-SERV. GERAIS'!C321,'036-20-CCU''s'!$B$9:$H$1962,4,0)))))</f>
        <v>MÊS</v>
      </c>
      <c r="F321" s="453">
        <v>19</v>
      </c>
      <c r="G321" s="534">
        <f>IF(A321="SERVIÇO",VLOOKUP(C321,SERVIÇOS!$A$6:$D$7645,4,0),IF(A321="INSUMO",VLOOKUP(C321,INSUMOS!$A$6:$D$6961,4,0),IF('036.01-20-SERV. GERAIS'!A321="COTAÇÃO",VLOOKUP('036.01-20-SERV. GERAIS'!C321,'036-20-Cotação'!$A$9:$G$529,3,0),IF('036.01-20-SERV. GERAIS'!A321="CCU",VLOOKUP('036.01-20-SERV. GERAIS'!C321,'036-20-CCU''s'!$B$9:$H$1962,7,0)))))</f>
        <v>3953.2040999999999</v>
      </c>
      <c r="H321" s="528">
        <f>BDI_O.A.E!$H$22</f>
        <v>0.18201100192553743</v>
      </c>
      <c r="I321" s="535">
        <f t="shared" si="94"/>
        <v>88781.884042085701</v>
      </c>
      <c r="K321" s="232">
        <f t="shared" si="85"/>
        <v>88781.884042085701</v>
      </c>
      <c r="M321" s="232" t="s">
        <v>8492</v>
      </c>
    </row>
    <row r="322" spans="1:13" s="87" customFormat="1">
      <c r="A322" s="232"/>
      <c r="B322" s="88" t="s">
        <v>7619</v>
      </c>
      <c r="C322" s="88" t="s">
        <v>6348</v>
      </c>
      <c r="D322" s="151" t="s">
        <v>7603</v>
      </c>
      <c r="E322" s="152"/>
      <c r="F322" s="152"/>
      <c r="G322" s="152"/>
      <c r="H322" s="152"/>
      <c r="I322" s="153"/>
      <c r="K322" s="232">
        <f t="shared" si="85"/>
        <v>0</v>
      </c>
      <c r="M322" s="232"/>
    </row>
    <row r="323" spans="1:13" s="87" customFormat="1">
      <c r="A323" s="232" t="s">
        <v>4542</v>
      </c>
      <c r="B323" s="324" t="s">
        <v>7608</v>
      </c>
      <c r="C323" s="324" t="s">
        <v>7605</v>
      </c>
      <c r="D323" s="451" t="str">
        <f>IF(A323="SERVIÇO",VLOOKUP(C323,SERVIÇOS!$A$6:$D$7645,2,0),IF(A323="INSUMO",VLOOKUP(C323,INSUMOS!$A$6:$D$6961,2,0),IF('036.01-20-SERV. GERAIS'!A323="COTAÇÃO",VLOOKUP('036.01-20-SERV. GERAIS'!C323,'036-20-Cotação'!$A$9:$G$529,2,0),IF('036.01-20-SERV. GERAIS'!A323="CCU",VLOOKUP('036.01-20-SERV. GERAIS'!C323,'036-20-CCU''s'!$B$9:$H$1962,2,0)))))</f>
        <v>APONTADOR</v>
      </c>
      <c r="E323" s="452" t="str">
        <f>IF(A323="SERVIÇO",VLOOKUP(C323,SERVIÇOS!$A$6:$D$7645,3,0),IF(A323="INSUMO",VLOOKUP(C323,INSUMOS!$A$6:$D$6961,3,0),IF('036.01-20-SERV. GERAIS'!A323="COTAÇÃO",VLOOKUP('036.01-20-SERV. GERAIS'!C323,'036-20-Cotação'!$A$9:$G$529,4,0),IF('036.01-20-SERV. GERAIS'!A323="CCU",VLOOKUP('036.01-20-SERV. GERAIS'!C323,'036-20-CCU''s'!$B$9:$H$1962,4,0)))))</f>
        <v>MÊS</v>
      </c>
      <c r="F323" s="453">
        <v>18</v>
      </c>
      <c r="G323" s="534">
        <f>IF(A323="SERVIÇO",VLOOKUP(C323,SERVIÇOS!$A$6:$D$7645,4,0),IF(A323="INSUMO",VLOOKUP(C323,INSUMOS!$A$6:$D$6961,4,0),IF('036.01-20-SERV. GERAIS'!A323="COTAÇÃO",VLOOKUP('036.01-20-SERV. GERAIS'!C323,'036-20-Cotação'!$A$9:$G$529,3,0),IF('036.01-20-SERV. GERAIS'!A323="CCU",VLOOKUP('036.01-20-SERV. GERAIS'!C323,'036-20-CCU''s'!$B$9:$H$1962,7,0)))))</f>
        <v>3775.1203999999998</v>
      </c>
      <c r="H323" s="528">
        <f>BDI_O.A.E!$H$22</f>
        <v>0.18201100192553743</v>
      </c>
      <c r="I323" s="535">
        <f t="shared" si="94"/>
        <v>80320.209235083646</v>
      </c>
      <c r="K323" s="232">
        <f t="shared" si="85"/>
        <v>80320.209235083646</v>
      </c>
      <c r="M323" s="232" t="s">
        <v>8493</v>
      </c>
    </row>
    <row r="324" spans="1:13" s="87" customFormat="1">
      <c r="A324" s="232"/>
      <c r="B324" s="88" t="s">
        <v>7620</v>
      </c>
      <c r="C324" s="88" t="s">
        <v>6348</v>
      </c>
      <c r="D324" s="151" t="s">
        <v>7606</v>
      </c>
      <c r="E324" s="152"/>
      <c r="F324" s="152"/>
      <c r="G324" s="152"/>
      <c r="H324" s="152"/>
      <c r="I324" s="153"/>
      <c r="K324" s="232">
        <f t="shared" si="85"/>
        <v>0</v>
      </c>
      <c r="M324" s="232"/>
    </row>
    <row r="325" spans="1:13" s="87" customFormat="1" ht="25.5">
      <c r="A325" s="232" t="s">
        <v>4543</v>
      </c>
      <c r="B325" s="324" t="s">
        <v>7609</v>
      </c>
      <c r="C325" s="324" t="s">
        <v>26996</v>
      </c>
      <c r="D325" s="451" t="str">
        <f>IF(A325="SERVIÇO",VLOOKUP(C325,SERVIÇOS!$A$6:$D$7645,2,0),IF(A325="INSUMO",VLOOKUP(C325,INSUMOS!$A$6:$D$6961,2,0),IF('036.01-20-SERV. GERAIS'!A325="COTAÇÃO",VLOOKUP('036.01-20-SERV. GERAIS'!C325,'036-20-Cotação'!$A$9:$G$529,2,0),IF('036.01-20-SERV. GERAIS'!A325="CCU",VLOOKUP('036.01-20-SERV. GERAIS'!C325,'036-20-CCU''s'!$B$9:$H$1962,2,0)))))</f>
        <v>ENCARREGADO DE OBRAS DE ARTES ESPECIAIS (3X)</v>
      </c>
      <c r="E325" s="452" t="str">
        <f>IF(A325="SERVIÇO",VLOOKUP(C325,SERVIÇOS!$A$6:$D$7645,3,0),IF(A325="INSUMO",VLOOKUP(C325,INSUMOS!$A$6:$D$6961,3,0),IF('036.01-20-SERV. GERAIS'!A325="COTAÇÃO",VLOOKUP('036.01-20-SERV. GERAIS'!C325,'036-20-Cotação'!$A$9:$G$529,4,0),IF('036.01-20-SERV. GERAIS'!A325="CCU",VLOOKUP('036.01-20-SERV. GERAIS'!C325,'036-20-CCU''s'!$B$9:$H$1962,4,0)))))</f>
        <v>MÊS</v>
      </c>
      <c r="F325" s="453">
        <v>18</v>
      </c>
      <c r="G325" s="534">
        <f>IF(A325="SERVIÇO",VLOOKUP(C325,SERVIÇOS!$A$6:$D$7645,4,0),IF(A325="INSUMO",VLOOKUP(C325,INSUMOS!$A$6:$D$6961,4,0),IF('036.01-20-SERV. GERAIS'!A325="COTAÇÃO",VLOOKUP('036.01-20-SERV. GERAIS'!C325,'036-20-Cotação'!$A$9:$G$529,3,0),IF('036.01-20-SERV. GERAIS'!A325="CCU",VLOOKUP('036.01-20-SERV. GERAIS'!C325,'036-20-CCU''s'!$B$9:$H$1962,7,0)))))</f>
        <v>20625.572400000001</v>
      </c>
      <c r="H325" s="528">
        <f>BDI_O.A.E!$H$22</f>
        <v>0.18201100192553743</v>
      </c>
      <c r="I325" s="535">
        <f t="shared" si="94"/>
        <v>438833.76296061079</v>
      </c>
      <c r="K325" s="232">
        <f t="shared" si="85"/>
        <v>438833.76296061079</v>
      </c>
      <c r="M325" s="232" t="s">
        <v>26998</v>
      </c>
    </row>
    <row r="326" spans="1:13" s="87" customFormat="1">
      <c r="A326" s="232"/>
      <c r="B326" s="88" t="s">
        <v>27025</v>
      </c>
      <c r="C326" s="88" t="s">
        <v>6348</v>
      </c>
      <c r="D326" s="151" t="s">
        <v>27026</v>
      </c>
      <c r="E326" s="152"/>
      <c r="F326" s="152"/>
      <c r="G326" s="152"/>
      <c r="H326" s="152"/>
      <c r="I326" s="153"/>
      <c r="K326" s="232">
        <f t="shared" si="85"/>
        <v>0</v>
      </c>
      <c r="M326" s="232"/>
    </row>
    <row r="327" spans="1:13" s="87" customFormat="1">
      <c r="A327" s="232" t="s">
        <v>4543</v>
      </c>
      <c r="B327" s="324" t="s">
        <v>27027</v>
      </c>
      <c r="C327" s="324" t="s">
        <v>27028</v>
      </c>
      <c r="D327" s="451" t="str">
        <f>IF(A327="SERVIÇO",VLOOKUP(C327,SERVIÇOS!$A$6:$D$7645,2,0),IF(A327="INSUMO",VLOOKUP(C327,INSUMOS!$A$6:$D$6961,2,0),IF('036.01-20-SERV. GERAIS'!A327="COTAÇÃO",VLOOKUP('036.01-20-SERV. GERAIS'!C327,'036-20-Cotação'!$A$9:$G$529,2,0),IF('036.01-20-SERV. GERAIS'!A327="CCU",VLOOKUP('036.01-20-SERV. GERAIS'!C327,'036-20-CCU''s'!$B$9:$H$1962,2,0)))))</f>
        <v>MESTRE DE OBRAS (2X)</v>
      </c>
      <c r="E327" s="452" t="str">
        <f>IF(A327="SERVIÇO",VLOOKUP(C327,SERVIÇOS!$A$6:$D$7645,3,0),IF(A327="INSUMO",VLOOKUP(C327,INSUMOS!$A$6:$D$6961,3,0),IF('036.01-20-SERV. GERAIS'!A327="COTAÇÃO",VLOOKUP('036.01-20-SERV. GERAIS'!C327,'036-20-Cotação'!$A$9:$G$529,4,0),IF('036.01-20-SERV. GERAIS'!A327="CCU",VLOOKUP('036.01-20-SERV. GERAIS'!C327,'036-20-CCU''s'!$B$9:$H$1962,4,0)))))</f>
        <v>MÊS</v>
      </c>
      <c r="F327" s="453">
        <v>17</v>
      </c>
      <c r="G327" s="534">
        <f>IF(A327="SERVIÇO",VLOOKUP(C327,SERVIÇOS!$A$6:$D$7645,4,0),IF(A327="INSUMO",VLOOKUP(C327,INSUMOS!$A$6:$D$6961,4,0),IF('036.01-20-SERV. GERAIS'!A327="COTAÇÃO",VLOOKUP('036.01-20-SERV. GERAIS'!C327,'036-20-Cotação'!$A$9:$G$529,3,0),IF('036.01-20-SERV. GERAIS'!A327="CCU",VLOOKUP('036.01-20-SERV. GERAIS'!C327,'036-20-CCU''s'!$B$9:$H$1962,7,0)))))</f>
        <v>9528.6200000000008</v>
      </c>
      <c r="H327" s="528">
        <f>BDI_O.A.E!$H$22</f>
        <v>0.18201100192553743</v>
      </c>
      <c r="I327" s="535">
        <f t="shared" ref="I327" si="95">F327*(G327*(1+H327))</f>
        <v>191469.87244385117</v>
      </c>
      <c r="K327" s="232">
        <f t="shared" si="85"/>
        <v>191469.87244385117</v>
      </c>
      <c r="M327" s="232" t="s">
        <v>27029</v>
      </c>
    </row>
    <row r="328" spans="1:13" s="87" customFormat="1">
      <c r="A328" s="232"/>
      <c r="B328" s="88" t="s">
        <v>7621</v>
      </c>
      <c r="C328" s="88" t="s">
        <v>6348</v>
      </c>
      <c r="D328" s="151" t="s">
        <v>7610</v>
      </c>
      <c r="E328" s="152"/>
      <c r="F328" s="152"/>
      <c r="G328" s="152"/>
      <c r="H328" s="152"/>
      <c r="I328" s="153"/>
      <c r="K328" s="232">
        <f t="shared" si="85"/>
        <v>0</v>
      </c>
      <c r="M328" s="232"/>
    </row>
    <row r="329" spans="1:13" s="87" customFormat="1">
      <c r="A329" s="232" t="s">
        <v>4543</v>
      </c>
      <c r="B329" s="324" t="s">
        <v>7611</v>
      </c>
      <c r="C329" s="324" t="s">
        <v>7697</v>
      </c>
      <c r="D329" s="451" t="str">
        <f>IF(A329="SERVIÇO",VLOOKUP(C329,SERVIÇOS!$A$6:$D$7645,2,0),IF(A329="INSUMO",VLOOKUP(C329,INSUMOS!$A$6:$D$6961,2,0),IF('036.01-20-SERV. GERAIS'!A329="COTAÇÃO",VLOOKUP('036.01-20-SERV. GERAIS'!C329,'036-20-Cotação'!$A$9:$G$529,2,0),IF('036.01-20-SERV. GERAIS'!A329="CCU",VLOOKUP('036.01-20-SERV. GERAIS'!C329,'036-20-CCU''s'!$B$9:$H$1962,2,0)))))</f>
        <v>MOTORISTA</v>
      </c>
      <c r="E329" s="452" t="str">
        <f>IF(A329="SERVIÇO",VLOOKUP(C329,SERVIÇOS!$A$6:$D$7645,3,0),IF(A329="INSUMO",VLOOKUP(C329,INSUMOS!$A$6:$D$6961,3,0),IF('036.01-20-SERV. GERAIS'!A329="COTAÇÃO",VLOOKUP('036.01-20-SERV. GERAIS'!C329,'036-20-Cotação'!$A$9:$G$529,4,0),IF('036.01-20-SERV. GERAIS'!A329="CCU",VLOOKUP('036.01-20-SERV. GERAIS'!C329,'036-20-CCU''s'!$B$9:$H$1962,4,0)))))</f>
        <v>MÊS</v>
      </c>
      <c r="F329" s="453">
        <v>18</v>
      </c>
      <c r="G329" s="534">
        <f>IF(A329="SERVIÇO",VLOOKUP(C329,SERVIÇOS!$A$6:$D$7645,4,0),IF(A329="INSUMO",VLOOKUP(C329,INSUMOS!$A$6:$D$6961,4,0),IF('036.01-20-SERV. GERAIS'!A329="COTAÇÃO",VLOOKUP('036.01-20-SERV. GERAIS'!C329,'036-20-Cotação'!$A$9:$G$529,3,0),IF('036.01-20-SERV. GERAIS'!A329="CCU",VLOOKUP('036.01-20-SERV. GERAIS'!C329,'036-20-CCU''s'!$B$9:$H$1962,7,0)))))</f>
        <v>1641.4340400000001</v>
      </c>
      <c r="H329" s="528">
        <f>BDI_O.A.E!$H$22</f>
        <v>0.18201100192553743</v>
      </c>
      <c r="I329" s="535">
        <f t="shared" si="94"/>
        <v>34923.475695871486</v>
      </c>
      <c r="K329" s="232">
        <f t="shared" si="85"/>
        <v>34923.475695871486</v>
      </c>
      <c r="M329" s="232" t="s">
        <v>8493</v>
      </c>
    </row>
    <row r="330" spans="1:13" s="87" customFormat="1">
      <c r="A330" s="232"/>
      <c r="B330" s="88" t="s">
        <v>7622</v>
      </c>
      <c r="C330" s="88" t="s">
        <v>6348</v>
      </c>
      <c r="D330" s="151" t="s">
        <v>7613</v>
      </c>
      <c r="E330" s="152"/>
      <c r="F330" s="152"/>
      <c r="G330" s="152"/>
      <c r="H330" s="152"/>
      <c r="I330" s="153"/>
      <c r="K330" s="232">
        <f t="shared" si="85"/>
        <v>0</v>
      </c>
      <c r="M330" s="232"/>
    </row>
    <row r="331" spans="1:13" s="87" customFormat="1">
      <c r="A331" s="232" t="s">
        <v>4543</v>
      </c>
      <c r="B331" s="324" t="s">
        <v>7625</v>
      </c>
      <c r="C331" s="324" t="s">
        <v>6329</v>
      </c>
      <c r="D331" s="451" t="str">
        <f>IF(A331="SERVIÇO",VLOOKUP(C331,SERVIÇOS!$A$6:$D$7645,2,0),IF(A331="INSUMO",VLOOKUP(C331,INSUMOS!$A$6:$D$6961,2,0),IF('036.01-20-SERV. GERAIS'!A331="COTAÇÃO",VLOOKUP('036.01-20-SERV. GERAIS'!C331,'036-20-Cotação'!$A$9:$G$529,2,0),IF('036.01-20-SERV. GERAIS'!A331="CCU",VLOOKUP('036.01-20-SERV. GERAIS'!C331,'036-20-CCU''s'!$B$9:$H$1962,2,0)))))</f>
        <v xml:space="preserve">EQUIPE DE CONTROLE E MANEJO AMBIENTAL </v>
      </c>
      <c r="E331" s="452" t="str">
        <f>IF(A331="SERVIÇO",VLOOKUP(C331,SERVIÇOS!$A$6:$D$7645,3,0),IF(A331="INSUMO",VLOOKUP(C331,INSUMOS!$A$6:$D$6961,3,0),IF('036.01-20-SERV. GERAIS'!A331="COTAÇÃO",VLOOKUP('036.01-20-SERV. GERAIS'!C331,'036-20-Cotação'!$A$9:$G$529,4,0),IF('036.01-20-SERV. GERAIS'!A331="CCU",VLOOKUP('036.01-20-SERV. GERAIS'!C331,'036-20-CCU''s'!$B$9:$H$1962,4,0)))))</f>
        <v>MÊS</v>
      </c>
      <c r="F331" s="453">
        <v>9</v>
      </c>
      <c r="G331" s="534">
        <f>IF(A331="SERVIÇO",VLOOKUP(C331,SERVIÇOS!$A$6:$D$7645,4,0),IF(A331="INSUMO",VLOOKUP(C331,INSUMOS!$A$6:$D$6961,4,0),IF('036.01-20-SERV. GERAIS'!A331="COTAÇÃO",VLOOKUP('036.01-20-SERV. GERAIS'!C331,'036-20-Cotação'!$A$9:$G$529,3,0),IF('036.01-20-SERV. GERAIS'!A331="CCU",VLOOKUP('036.01-20-SERV. GERAIS'!C331,'036-20-CCU''s'!$B$9:$H$1962,7,0)))))</f>
        <v>12438.28758</v>
      </c>
      <c r="H331" s="528">
        <f>BDI_O.A.E!$H$22</f>
        <v>0.18201100192553743</v>
      </c>
      <c r="I331" s="535">
        <f t="shared" si="94"/>
        <v>132319.7348820639</v>
      </c>
      <c r="K331" s="232">
        <f t="shared" si="85"/>
        <v>132319.7348820639</v>
      </c>
      <c r="M331" s="232" t="s">
        <v>13420</v>
      </c>
    </row>
    <row r="332" spans="1:13" s="87" customFormat="1">
      <c r="A332" s="232"/>
      <c r="B332" s="88" t="s">
        <v>7626</v>
      </c>
      <c r="C332" s="88" t="s">
        <v>6348</v>
      </c>
      <c r="D332" s="151" t="s">
        <v>7628</v>
      </c>
      <c r="E332" s="152"/>
      <c r="F332" s="152"/>
      <c r="G332" s="152"/>
      <c r="H332" s="152"/>
      <c r="I332" s="153"/>
      <c r="K332" s="232">
        <f t="shared" si="85"/>
        <v>0</v>
      </c>
      <c r="M332" s="232"/>
    </row>
    <row r="333" spans="1:13" s="87" customFormat="1">
      <c r="A333" s="232" t="s">
        <v>4542</v>
      </c>
      <c r="B333" s="324" t="s">
        <v>7627</v>
      </c>
      <c r="C333" s="324" t="s">
        <v>7629</v>
      </c>
      <c r="D333" s="451" t="str">
        <f>IF(A333="SERVIÇO",VLOOKUP(C333,SERVIÇOS!$A$6:$D$7645,2,0),IF(A333="INSUMO",VLOOKUP(C333,INSUMOS!$A$6:$D$6961,2,0),IF('036.01-20-SERV. GERAIS'!A333="COTAÇÃO",VLOOKUP('036.01-20-SERV. GERAIS'!C333,'036-20-Cotação'!$A$9:$G$529,2,0),IF('036.01-20-SERV. GERAIS'!A333="CCU",VLOOKUP('036.01-20-SERV. GERAIS'!C333,'036-20-CCU''s'!$B$9:$H$1962,2,0)))))</f>
        <v>TÉCNICO DE SEGURANÇA DO TRABALHO</v>
      </c>
      <c r="E333" s="452" t="str">
        <f>IF(A333="SERVIÇO",VLOOKUP(C333,SERVIÇOS!$A$6:$D$7645,3,0),IF(A333="INSUMO",VLOOKUP(C333,INSUMOS!$A$6:$D$6961,3,0),IF('036.01-20-SERV. GERAIS'!A333="COTAÇÃO",VLOOKUP('036.01-20-SERV. GERAIS'!C333,'036-20-Cotação'!$A$9:$G$529,4,0),IF('036.01-20-SERV. GERAIS'!A333="CCU",VLOOKUP('036.01-20-SERV. GERAIS'!C333,'036-20-CCU''s'!$B$9:$H$1962,4,0)))))</f>
        <v>MÊS</v>
      </c>
      <c r="F333" s="453">
        <v>18</v>
      </c>
      <c r="G333" s="534">
        <f>IF(A333="SERVIÇO",VLOOKUP(C333,SERVIÇOS!$A$6:$D$7645,4,0),IF(A333="INSUMO",VLOOKUP(C333,INSUMOS!$A$6:$D$6961,4,0),IF('036.01-20-SERV. GERAIS'!A333="COTAÇÃO",VLOOKUP('036.01-20-SERV. GERAIS'!C333,'036-20-Cotação'!$A$9:$G$529,3,0),IF('036.01-20-SERV. GERAIS'!A333="CCU",VLOOKUP('036.01-20-SERV. GERAIS'!C333,'036-20-CCU''s'!$B$9:$H$1962,7,0)))))</f>
        <v>5093.9991</v>
      </c>
      <c r="H333" s="528">
        <f>BDI_O.A.E!$H$22</f>
        <v>0.18201100192553743</v>
      </c>
      <c r="I333" s="535">
        <f t="shared" si="94"/>
        <v>108380.93363997815</v>
      </c>
      <c r="K333" s="232">
        <f t="shared" si="85"/>
        <v>108380.93363997815</v>
      </c>
      <c r="M333" s="232" t="s">
        <v>8493</v>
      </c>
    </row>
    <row r="334" spans="1:13" s="87" customFormat="1">
      <c r="A334" s="232" t="s">
        <v>4543</v>
      </c>
      <c r="B334" s="324" t="s">
        <v>7631</v>
      </c>
      <c r="C334" s="324" t="s">
        <v>8165</v>
      </c>
      <c r="D334" s="451" t="str">
        <f>IF(A334="SERVIÇO",VLOOKUP(C334,SERVIÇOS!$A$6:$D$7645,2,0),IF(A334="INSUMO",VLOOKUP(C334,INSUMOS!$A$6:$D$6961,2,0),IF('036.01-20-SERV. GERAIS'!A334="COTAÇÃO",VLOOKUP('036.01-20-SERV. GERAIS'!C334,'036-20-Cotação'!$A$9:$G$529,2,0),IF('036.01-20-SERV. GERAIS'!A334="CCU",VLOOKUP('036.01-20-SERV. GERAIS'!C334,'036-20-CCU''s'!$B$9:$H$1962,2,0)))))</f>
        <v>ENGENHEIRO DE SEGURANÇA DO TRABALHO</v>
      </c>
      <c r="E334" s="452" t="str">
        <f>IF(A334="SERVIÇO",VLOOKUP(C334,SERVIÇOS!$A$6:$D$7645,3,0),IF(A334="INSUMO",VLOOKUP(C334,INSUMOS!$A$6:$D$6961,3,0),IF('036.01-20-SERV. GERAIS'!A334="COTAÇÃO",VLOOKUP('036.01-20-SERV. GERAIS'!C334,'036-20-Cotação'!$A$9:$G$529,4,0),IF('036.01-20-SERV. GERAIS'!A334="CCU",VLOOKUP('036.01-20-SERV. GERAIS'!C334,'036-20-CCU''s'!$B$9:$H$1962,4,0)))))</f>
        <v>MÊS</v>
      </c>
      <c r="F334" s="453">
        <v>18</v>
      </c>
      <c r="G334" s="534">
        <f>IF(A334="SERVIÇO",VLOOKUP(C334,SERVIÇOS!$A$6:$D$7645,4,0),IF(A334="INSUMO",VLOOKUP(C334,INSUMOS!$A$6:$D$6961,4,0),IF('036.01-20-SERV. GERAIS'!A334="COTAÇÃO",VLOOKUP('036.01-20-SERV. GERAIS'!C334,'036-20-Cotação'!$A$9:$G$529,3,0),IF('036.01-20-SERV. GERAIS'!A334="CCU",VLOOKUP('036.01-20-SERV. GERAIS'!C334,'036-20-CCU''s'!$B$9:$H$1962,7,0)))))</f>
        <v>3767.1317199999999</v>
      </c>
      <c r="H334" s="528">
        <f>BDI_O.A.E!$H$22</f>
        <v>0.18201100192553743</v>
      </c>
      <c r="I334" s="535">
        <f t="shared" si="94"/>
        <v>80150.240497368111</v>
      </c>
      <c r="K334" s="232">
        <f t="shared" si="85"/>
        <v>80150.240497368111</v>
      </c>
      <c r="M334" s="232" t="s">
        <v>8493</v>
      </c>
    </row>
    <row r="335" spans="1:13" s="87" customFormat="1">
      <c r="A335" s="232"/>
      <c r="B335" s="88" t="s">
        <v>7632</v>
      </c>
      <c r="C335" s="88" t="s">
        <v>6348</v>
      </c>
      <c r="D335" s="151" t="s">
        <v>7633</v>
      </c>
      <c r="E335" s="152"/>
      <c r="F335" s="152"/>
      <c r="G335" s="152"/>
      <c r="H335" s="152"/>
      <c r="I335" s="153"/>
      <c r="K335" s="232">
        <f t="shared" si="85"/>
        <v>0</v>
      </c>
      <c r="M335" s="232"/>
    </row>
    <row r="336" spans="1:13" s="87" customFormat="1">
      <c r="A336" s="232" t="s">
        <v>4542</v>
      </c>
      <c r="B336" s="324" t="s">
        <v>7634</v>
      </c>
      <c r="C336" s="324" t="s">
        <v>7635</v>
      </c>
      <c r="D336" s="451" t="str">
        <f>IF(A336="SERVIÇO",VLOOKUP(C336,SERVIÇOS!$A$6:$D$7645,2,0),IF(A336="INSUMO",VLOOKUP(C336,INSUMOS!$A$6:$D$6961,2,0),IF('036.01-20-SERV. GERAIS'!A336="COTAÇÃO",VLOOKUP('036.01-20-SERV. GERAIS'!C336,'036-20-Cotação'!$A$9:$G$529,2,0),IF('036.01-20-SERV. GERAIS'!A336="CCU",VLOOKUP('036.01-20-SERV. GERAIS'!C336,'036-20-CCU''s'!$B$9:$H$1962,2,0)))))</f>
        <v>FAXINEIRO</v>
      </c>
      <c r="E336" s="452" t="str">
        <f>IF(A336="SERVIÇO",VLOOKUP(C336,SERVIÇOS!$A$6:$D$7645,3,0),IF(A336="INSUMO",VLOOKUP(C336,INSUMOS!$A$6:$D$6961,3,0),IF('036.01-20-SERV. GERAIS'!A336="COTAÇÃO",VLOOKUP('036.01-20-SERV. GERAIS'!C336,'036-20-Cotação'!$A$9:$G$529,4,0),IF('036.01-20-SERV. GERAIS'!A336="CCU",VLOOKUP('036.01-20-SERV. GERAIS'!C336,'036-20-CCU''s'!$B$9:$H$1962,4,0)))))</f>
        <v>MÊS</v>
      </c>
      <c r="F336" s="453">
        <v>9</v>
      </c>
      <c r="G336" s="534">
        <f>IF(A336="SERVIÇO",VLOOKUP(C336,SERVIÇOS!$A$6:$D$7645,4,0),IF(A336="INSUMO",VLOOKUP(C336,INSUMOS!$A$6:$D$6961,4,0),IF('036.01-20-SERV. GERAIS'!A336="COTAÇÃO",VLOOKUP('036.01-20-SERV. GERAIS'!C336,'036-20-Cotação'!$A$9:$G$529,3,0),IF('036.01-20-SERV. GERAIS'!A336="CCU",VLOOKUP('036.01-20-SERV. GERAIS'!C336,'036-20-CCU''s'!$B$9:$H$1962,7,0)))))</f>
        <v>2935.3508999999999</v>
      </c>
      <c r="H336" s="528">
        <f>BDI_O.A.E!$H$22</f>
        <v>0.18201100192553743</v>
      </c>
      <c r="I336" s="535">
        <f t="shared" si="94"/>
        <v>31226.553524808252</v>
      </c>
      <c r="K336" s="232">
        <f t="shared" si="85"/>
        <v>31226.553524808252</v>
      </c>
      <c r="M336" s="232" t="s">
        <v>8494</v>
      </c>
    </row>
    <row r="337" spans="1:13" s="87" customFormat="1">
      <c r="A337" s="232"/>
      <c r="B337" s="88" t="s">
        <v>7636</v>
      </c>
      <c r="C337" s="88" t="s">
        <v>6348</v>
      </c>
      <c r="D337" s="151" t="s">
        <v>7637</v>
      </c>
      <c r="E337" s="152"/>
      <c r="F337" s="152"/>
      <c r="G337" s="152"/>
      <c r="H337" s="152"/>
      <c r="I337" s="153"/>
      <c r="K337" s="232">
        <f t="shared" si="85"/>
        <v>0</v>
      </c>
      <c r="M337" s="232"/>
    </row>
    <row r="338" spans="1:13" s="87" customFormat="1">
      <c r="A338" s="232" t="s">
        <v>4543</v>
      </c>
      <c r="B338" s="324" t="s">
        <v>7640</v>
      </c>
      <c r="C338" s="324" t="s">
        <v>7638</v>
      </c>
      <c r="D338" s="451" t="str">
        <f>IF(A338="SERVIÇO",VLOOKUP(C338,SERVIÇOS!$A$6:$D$7645,2,0),IF(A338="INSUMO",VLOOKUP(C338,INSUMOS!$A$6:$D$6961,2,0),IF('036.01-20-SERV. GERAIS'!A338="COTAÇÃO",VLOOKUP('036.01-20-SERV. GERAIS'!C338,'036-20-Cotação'!$A$9:$G$529,2,0),IF('036.01-20-SERV. GERAIS'!A338="CCU",VLOOKUP('036.01-20-SERV. GERAIS'!C338,'036-20-CCU''s'!$B$9:$H$1962,2,0)))))</f>
        <v xml:space="preserve">EQUIPE DE TOPOGRAFIA  </v>
      </c>
      <c r="E338" s="452" t="str">
        <f>IF(A338="SERVIÇO",VLOOKUP(C338,SERVIÇOS!$A$6:$D$7645,3,0),IF(A338="INSUMO",VLOOKUP(C338,INSUMOS!$A$6:$D$6961,3,0),IF('036.01-20-SERV. GERAIS'!A338="COTAÇÃO",VLOOKUP('036.01-20-SERV. GERAIS'!C338,'036-20-Cotação'!$A$9:$G$529,4,0),IF('036.01-20-SERV. GERAIS'!A338="CCU",VLOOKUP('036.01-20-SERV. GERAIS'!C338,'036-20-CCU''s'!$B$9:$H$1962,4,0)))))</f>
        <v>MÊS</v>
      </c>
      <c r="F338" s="453">
        <v>2</v>
      </c>
      <c r="G338" s="534">
        <f>IF(A338="SERVIÇO",VLOOKUP(C338,SERVIÇOS!$A$6:$D$7645,4,0),IF(A338="INSUMO",VLOOKUP(C338,INSUMOS!$A$6:$D$6961,4,0),IF('036.01-20-SERV. GERAIS'!A338="COTAÇÃO",VLOOKUP('036.01-20-SERV. GERAIS'!C338,'036-20-Cotação'!$A$9:$G$529,3,0),IF('036.01-20-SERV. GERAIS'!A338="CCU",VLOOKUP('036.01-20-SERV. GERAIS'!C338,'036-20-CCU''s'!$B$9:$H$1962,7,0)))))</f>
        <v>3666.9342899999997</v>
      </c>
      <c r="H338" s="528">
        <f>BDI_O.A.E!$H$22</f>
        <v>0.18201100192553743</v>
      </c>
      <c r="I338" s="535">
        <f>F338*(G338*(1+H338))</f>
        <v>8668.7133482360168</v>
      </c>
      <c r="K338" s="232">
        <f t="shared" si="85"/>
        <v>8668.7133482360168</v>
      </c>
      <c r="M338" s="232"/>
    </row>
    <row r="339" spans="1:13" s="87" customFormat="1">
      <c r="A339" s="232"/>
      <c r="B339" s="88" t="s">
        <v>7641</v>
      </c>
      <c r="C339" s="88" t="s">
        <v>6348</v>
      </c>
      <c r="D339" s="151" t="s">
        <v>7642</v>
      </c>
      <c r="E339" s="152"/>
      <c r="F339" s="152"/>
      <c r="G339" s="152"/>
      <c r="H339" s="152"/>
      <c r="I339" s="153"/>
      <c r="K339" s="232">
        <f t="shared" si="85"/>
        <v>0</v>
      </c>
      <c r="M339" s="232"/>
    </row>
    <row r="340" spans="1:13" s="87" customFormat="1" ht="25.5">
      <c r="A340" s="232" t="s">
        <v>4543</v>
      </c>
      <c r="B340" s="324" t="s">
        <v>7647</v>
      </c>
      <c r="C340" s="324" t="s">
        <v>7643</v>
      </c>
      <c r="D340" s="451" t="str">
        <f>IF(A340="SERVIÇO",VLOOKUP(C340,SERVIÇOS!$A$6:$D$7645,2,0),IF(A340="INSUMO",VLOOKUP(C340,INSUMOS!$A$6:$D$6961,2,0),IF('036.01-20-SERV. GERAIS'!A340="COTAÇÃO",VLOOKUP('036.01-20-SERV. GERAIS'!C340,'036-20-Cotação'!$A$9:$G$529,2,0),IF('036.01-20-SERV. GERAIS'!A340="CCU",VLOOKUP('036.01-20-SERV. GERAIS'!C340,'036-20-CCU''s'!$B$9:$H$1962,2,0)))))</f>
        <v xml:space="preserve">EQUIPE DE LABORATÓRIO DE CONCRETO E ASFALTO </v>
      </c>
      <c r="E340" s="452" t="str">
        <f>IF(A340="SERVIÇO",VLOOKUP(C340,SERVIÇOS!$A$6:$D$7645,3,0),IF(A340="INSUMO",VLOOKUP(C340,INSUMOS!$A$6:$D$6961,3,0),IF('036.01-20-SERV. GERAIS'!A340="COTAÇÃO",VLOOKUP('036.01-20-SERV. GERAIS'!C340,'036-20-Cotação'!$A$9:$G$529,4,0),IF('036.01-20-SERV. GERAIS'!A340="CCU",VLOOKUP('036.01-20-SERV. GERAIS'!C340,'036-20-CCU''s'!$B$9:$H$1962,4,0)))))</f>
        <v>MÊS</v>
      </c>
      <c r="F340" s="453">
        <v>4</v>
      </c>
      <c r="G340" s="534">
        <f>IF(A340="SERVIÇO",VLOOKUP(C340,SERVIÇOS!$A$6:$D$7645,4,0),IF(A340="INSUMO",VLOOKUP(C340,INSUMOS!$A$6:$D$6961,4,0),IF('036.01-20-SERV. GERAIS'!A340="COTAÇÃO",VLOOKUP('036.01-20-SERV. GERAIS'!C340,'036-20-Cotação'!$A$9:$G$529,3,0),IF('036.01-20-SERV. GERAIS'!A340="CCU",VLOOKUP('036.01-20-SERV. GERAIS'!C340,'036-20-CCU''s'!$B$9:$H$1962,7,0)))))</f>
        <v>2294.0928600000002</v>
      </c>
      <c r="H340" s="528">
        <f>BDI_O.A.E!$H$22</f>
        <v>0.18201100192553743</v>
      </c>
      <c r="I340" s="535">
        <f t="shared" ref="I340:I357" si="96">F340*(G340*(1+H340))</f>
        <v>10846.571999835287</v>
      </c>
      <c r="K340" s="232">
        <f t="shared" si="85"/>
        <v>10846.571999835287</v>
      </c>
      <c r="M340" s="232"/>
    </row>
    <row r="341" spans="1:13" s="87" customFormat="1">
      <c r="A341" s="232"/>
      <c r="B341" s="88" t="s">
        <v>7648</v>
      </c>
      <c r="C341" s="88" t="s">
        <v>6348</v>
      </c>
      <c r="D341" s="151" t="s">
        <v>7649</v>
      </c>
      <c r="E341" s="152"/>
      <c r="F341" s="152"/>
      <c r="G341" s="152"/>
      <c r="H341" s="152"/>
      <c r="I341" s="153"/>
      <c r="K341" s="232">
        <f t="shared" si="85"/>
        <v>0</v>
      </c>
      <c r="M341" s="232"/>
    </row>
    <row r="342" spans="1:13" s="87" customFormat="1">
      <c r="A342" s="232"/>
      <c r="B342" s="88" t="s">
        <v>7650</v>
      </c>
      <c r="C342" s="88" t="s">
        <v>6348</v>
      </c>
      <c r="D342" s="151" t="s">
        <v>7651</v>
      </c>
      <c r="E342" s="152"/>
      <c r="F342" s="152"/>
      <c r="G342" s="152"/>
      <c r="H342" s="152"/>
      <c r="I342" s="153"/>
      <c r="K342" s="232">
        <f t="shared" si="85"/>
        <v>0</v>
      </c>
      <c r="M342" s="232"/>
    </row>
    <row r="343" spans="1:13" s="87" customFormat="1">
      <c r="A343" s="232" t="s">
        <v>4542</v>
      </c>
      <c r="B343" s="324" t="s">
        <v>7652</v>
      </c>
      <c r="C343" s="324" t="s">
        <v>7654</v>
      </c>
      <c r="D343" s="451" t="str">
        <f>IF(A343="SERVIÇO",VLOOKUP(C343,SERVIÇOS!$A$6:$D$7645,2,0),IF(A343="INSUMO",VLOOKUP(C343,INSUMOS!$A$6:$D$6961,2,0),IF('036.01-20-SERV. GERAIS'!A343="COTAÇÃO",VLOOKUP('036.01-20-SERV. GERAIS'!C343,'036-20-Cotação'!$A$9:$G$529,2,0),IF('036.01-20-SERV. GERAIS'!A343="CCU",VLOOKUP('036.01-20-SERV. GERAIS'!C343,'036-20-CCU''s'!$B$9:$H$1962,2,0)))))</f>
        <v>ENGENHEIRO PLENO</v>
      </c>
      <c r="E343" s="452" t="str">
        <f>IF(A343="SERVIÇO",VLOOKUP(C343,SERVIÇOS!$A$6:$D$7645,3,0),IF(A343="INSUMO",VLOOKUP(C343,INSUMOS!$A$6:$D$6961,3,0),IF('036.01-20-SERV. GERAIS'!A343="COTAÇÃO",VLOOKUP('036.01-20-SERV. GERAIS'!C343,'036-20-Cotação'!$A$9:$G$529,4,0),IF('036.01-20-SERV. GERAIS'!A343="CCU",VLOOKUP('036.01-20-SERV. GERAIS'!C343,'036-20-CCU''s'!$B$9:$H$1962,4,0)))))</f>
        <v>MÊS</v>
      </c>
      <c r="F343" s="453">
        <v>14</v>
      </c>
      <c r="G343" s="534">
        <f>IF(A343="SERVIÇO",VLOOKUP(C343,SERVIÇOS!$A$6:$D$7645,4,0),IF(A343="INSUMO",VLOOKUP(C343,INSUMOS!$A$6:$D$6961,4,0),IF('036.01-20-SERV. GERAIS'!A343="COTAÇÃO",VLOOKUP('036.01-20-SERV. GERAIS'!C343,'036-20-Cotação'!$A$9:$G$529,3,0),IF('036.01-20-SERV. GERAIS'!A343="CCU",VLOOKUP('036.01-20-SERV. GERAIS'!C343,'036-20-CCU''s'!$B$9:$H$1962,7,0)))))</f>
        <v>21731.673900000002</v>
      </c>
      <c r="H343" s="528">
        <f>BDI_O.A.E!$H$22</f>
        <v>0.18201100192553743</v>
      </c>
      <c r="I343" s="535">
        <f t="shared" si="96"/>
        <v>359619.08696081274</v>
      </c>
      <c r="K343" s="232">
        <f t="shared" si="85"/>
        <v>359619.08696081274</v>
      </c>
      <c r="M343" s="232" t="s">
        <v>13421</v>
      </c>
    </row>
    <row r="344" spans="1:13" s="87" customFormat="1">
      <c r="A344" s="232" t="s">
        <v>4543</v>
      </c>
      <c r="B344" s="324" t="s">
        <v>7653</v>
      </c>
      <c r="C344" s="324" t="s">
        <v>26999</v>
      </c>
      <c r="D344" s="451" t="str">
        <f>IF(A344="SERVIÇO",VLOOKUP(C344,SERVIÇOS!$A$6:$D$7645,2,0),IF(A344="INSUMO",VLOOKUP(C344,INSUMOS!$A$6:$D$6961,2,0),IF('036.01-20-SERV. GERAIS'!A344="COTAÇÃO",VLOOKUP('036.01-20-SERV. GERAIS'!C344,'036-20-Cotação'!$A$9:$G$529,2,0),IF('036.01-20-SERV. GERAIS'!A344="CCU",VLOOKUP('036.01-20-SERV. GERAIS'!C344,'036-20-CCU''s'!$B$9:$H$1962,2,0)))))</f>
        <v>ENGENHEIRO DE OBRA (2X)</v>
      </c>
      <c r="E344" s="452" t="str">
        <f>IF(A344="SERVIÇO",VLOOKUP(C344,SERVIÇOS!$A$6:$D$7645,3,0),IF(A344="INSUMO",VLOOKUP(C344,INSUMOS!$A$6:$D$6961,3,0),IF('036.01-20-SERV. GERAIS'!A344="COTAÇÃO",VLOOKUP('036.01-20-SERV. GERAIS'!C344,'036-20-Cotação'!$A$9:$G$529,4,0),IF('036.01-20-SERV. GERAIS'!A344="CCU",VLOOKUP('036.01-20-SERV. GERAIS'!C344,'036-20-CCU''s'!$B$9:$H$1962,4,0)))))</f>
        <v>MÊS</v>
      </c>
      <c r="F344" s="453">
        <v>19</v>
      </c>
      <c r="G344" s="534">
        <f>IF(A344="SERVIÇO",VLOOKUP(C344,SERVIÇOS!$A$6:$D$7645,4,0),IF(A344="INSUMO",VLOOKUP(C344,INSUMOS!$A$6:$D$6961,4,0),IF('036.01-20-SERV. GERAIS'!A344="COTAÇÃO",VLOOKUP('036.01-20-SERV. GERAIS'!C344,'036-20-Cotação'!$A$9:$G$529,3,0),IF('036.01-20-SERV. GERAIS'!A344="CCU",VLOOKUP('036.01-20-SERV. GERAIS'!C344,'036-20-CCU''s'!$B$9:$H$1962,7,0)))))</f>
        <v>35149.885799999996</v>
      </c>
      <c r="H344" s="528">
        <f>BDI_O.A.E!$H$22</f>
        <v>0.18201100192553743</v>
      </c>
      <c r="I344" s="535">
        <f t="shared" si="96"/>
        <v>789403.48290849803</v>
      </c>
      <c r="K344" s="232">
        <f t="shared" si="85"/>
        <v>789403.48290849803</v>
      </c>
      <c r="M344" s="232" t="s">
        <v>13422</v>
      </c>
    </row>
    <row r="345" spans="1:13" s="87" customFormat="1">
      <c r="A345" s="232"/>
      <c r="B345" s="88" t="s">
        <v>7656</v>
      </c>
      <c r="C345" s="88" t="s">
        <v>6348</v>
      </c>
      <c r="D345" s="151" t="s">
        <v>7657</v>
      </c>
      <c r="E345" s="152"/>
      <c r="F345" s="152"/>
      <c r="G345" s="152"/>
      <c r="H345" s="152"/>
      <c r="I345" s="153"/>
      <c r="K345" s="232">
        <f t="shared" si="85"/>
        <v>0</v>
      </c>
      <c r="M345" s="232"/>
    </row>
    <row r="346" spans="1:13" s="87" customFormat="1">
      <c r="A346" s="232" t="s">
        <v>4542</v>
      </c>
      <c r="B346" s="324" t="s">
        <v>7658</v>
      </c>
      <c r="C346" s="324" t="s">
        <v>6821</v>
      </c>
      <c r="D346" s="451" t="str">
        <f>IF(A346="SERVIÇO",VLOOKUP(C346,SERVIÇOS!$A$6:$D$7645,2,0),IF(A346="INSUMO",VLOOKUP(C346,INSUMOS!$A$6:$D$6961,2,0),IF('036.01-20-SERV. GERAIS'!A346="COTAÇÃO",VLOOKUP('036.01-20-SERV. GERAIS'!C346,'036-20-Cotação'!$A$9:$G$529,2,0),IF('036.01-20-SERV. GERAIS'!A346="CCU",VLOOKUP('036.01-20-SERV. GERAIS'!C346,'036-20-CCU''s'!$B$9:$H$1962,2,0)))))</f>
        <v>AUXILIAR TÉCNICO</v>
      </c>
      <c r="E346" s="452" t="str">
        <f>IF(A346="SERVIÇO",VLOOKUP(C346,SERVIÇOS!$A$6:$D$7645,3,0),IF(A346="INSUMO",VLOOKUP(C346,INSUMOS!$A$6:$D$6961,3,0),IF('036.01-20-SERV. GERAIS'!A346="COTAÇÃO",VLOOKUP('036.01-20-SERV. GERAIS'!C346,'036-20-Cotação'!$A$9:$G$529,4,0),IF('036.01-20-SERV. GERAIS'!A346="CCU",VLOOKUP('036.01-20-SERV. GERAIS'!C346,'036-20-CCU''s'!$B$9:$H$1962,4,0)))))</f>
        <v>MÊS</v>
      </c>
      <c r="F346" s="453">
        <v>19</v>
      </c>
      <c r="G346" s="534">
        <f>IF(A346="SERVIÇO",VLOOKUP(C346,SERVIÇOS!$A$6:$D$7645,4,0),IF(A346="INSUMO",VLOOKUP(C346,INSUMOS!$A$6:$D$6961,4,0),IF('036.01-20-SERV. GERAIS'!A346="COTAÇÃO",VLOOKUP('036.01-20-SERV. GERAIS'!C346,'036-20-Cotação'!$A$9:$G$529,3,0),IF('036.01-20-SERV. GERAIS'!A346="CCU",VLOOKUP('036.01-20-SERV. GERAIS'!C346,'036-20-CCU''s'!$B$9:$H$1962,7,0)))))</f>
        <v>3702.5675999999999</v>
      </c>
      <c r="H346" s="528">
        <f>BDI_O.A.E!$H$22</f>
        <v>0.18201100192553743</v>
      </c>
      <c r="I346" s="535">
        <f t="shared" si="96"/>
        <v>83153.037132887621</v>
      </c>
      <c r="K346" s="232">
        <f t="shared" si="85"/>
        <v>83153.037132887621</v>
      </c>
      <c r="M346" s="232" t="s">
        <v>8492</v>
      </c>
    </row>
    <row r="347" spans="1:13" s="87" customFormat="1">
      <c r="A347" s="232"/>
      <c r="B347" s="88" t="s">
        <v>7659</v>
      </c>
      <c r="C347" s="88" t="s">
        <v>6348</v>
      </c>
      <c r="D347" s="151" t="s">
        <v>7660</v>
      </c>
      <c r="E347" s="152"/>
      <c r="F347" s="152"/>
      <c r="G347" s="152"/>
      <c r="H347" s="152"/>
      <c r="I347" s="153"/>
      <c r="K347" s="232">
        <f t="shared" si="85"/>
        <v>0</v>
      </c>
      <c r="M347" s="232"/>
    </row>
    <row r="348" spans="1:13" s="87" customFormat="1">
      <c r="A348" s="232" t="s">
        <v>4543</v>
      </c>
      <c r="B348" s="324" t="s">
        <v>27001</v>
      </c>
      <c r="C348" s="324" t="s">
        <v>7661</v>
      </c>
      <c r="D348" s="451" t="str">
        <f>IF(A348="SERVIÇO",VLOOKUP(C348,SERVIÇOS!$A$6:$D$7645,2,0),IF(A348="INSUMO",VLOOKUP(C348,INSUMOS!$A$6:$D$6961,2,0),IF('036.01-20-SERV. GERAIS'!A348="COTAÇÃO",VLOOKUP('036.01-20-SERV. GERAIS'!C348,'036-20-Cotação'!$A$9:$G$529,2,0),IF('036.01-20-SERV. GERAIS'!A348="CCU",VLOOKUP('036.01-20-SERV. GERAIS'!C348,'036-20-CCU''s'!$B$9:$H$1962,2,0)))))</f>
        <v xml:space="preserve">VIGILÂNCIA (2 VIGIAS)    </v>
      </c>
      <c r="E348" s="452" t="str">
        <f>IF(A348="SERVIÇO",VLOOKUP(C348,SERVIÇOS!$A$6:$D$7645,3,0),IF(A348="INSUMO",VLOOKUP(C348,INSUMOS!$A$6:$D$6961,3,0),IF('036.01-20-SERV. GERAIS'!A348="COTAÇÃO",VLOOKUP('036.01-20-SERV. GERAIS'!C348,'036-20-Cotação'!$A$9:$G$529,4,0),IF('036.01-20-SERV. GERAIS'!A348="CCU",VLOOKUP('036.01-20-SERV. GERAIS'!C348,'036-20-CCU''s'!$B$9:$H$1962,4,0)))))</f>
        <v>MÊS</v>
      </c>
      <c r="F348" s="453">
        <v>19</v>
      </c>
      <c r="G348" s="534">
        <f>IF(A348="SERVIÇO",VLOOKUP(C348,SERVIÇOS!$A$6:$D$7645,4,0),IF(A348="INSUMO",VLOOKUP(C348,INSUMOS!$A$6:$D$6961,4,0),IF('036.01-20-SERV. GERAIS'!A348="COTAÇÃO",VLOOKUP('036.01-20-SERV. GERAIS'!C348,'036-20-Cotação'!$A$9:$G$529,3,0),IF('036.01-20-SERV. GERAIS'!A348="CCU",VLOOKUP('036.01-20-SERV. GERAIS'!C348,'036-20-CCU''s'!$B$9:$H$1962,7,0)))))</f>
        <v>7265.9579999999996</v>
      </c>
      <c r="H348" s="528">
        <f>BDI_O.A.E!$H$22</f>
        <v>0.18201100192553743</v>
      </c>
      <c r="I348" s="535">
        <f t="shared" si="96"/>
        <v>163180.40361504859</v>
      </c>
      <c r="K348" s="232">
        <f t="shared" si="85"/>
        <v>163180.40361504859</v>
      </c>
      <c r="M348" s="232" t="s">
        <v>8492</v>
      </c>
    </row>
    <row r="349" spans="1:13" s="87" customFormat="1">
      <c r="A349" s="232"/>
      <c r="B349" s="88" t="s">
        <v>7664</v>
      </c>
      <c r="C349" s="88" t="s">
        <v>6348</v>
      </c>
      <c r="D349" s="151" t="s">
        <v>7665</v>
      </c>
      <c r="E349" s="152"/>
      <c r="F349" s="152"/>
      <c r="G349" s="152"/>
      <c r="H349" s="152"/>
      <c r="I349" s="153"/>
      <c r="K349" s="232">
        <f t="shared" si="85"/>
        <v>0</v>
      </c>
      <c r="M349" s="232"/>
    </row>
    <row r="350" spans="1:13" s="87" customFormat="1">
      <c r="A350" s="232" t="s">
        <v>4542</v>
      </c>
      <c r="B350" s="324" t="s">
        <v>7666</v>
      </c>
      <c r="C350" s="324" t="s">
        <v>7667</v>
      </c>
      <c r="D350" s="451" t="str">
        <f>IF(A350="SERVIÇO",VLOOKUP(C350,SERVIÇOS!$A$6:$D$7645,2,0),IF(A350="INSUMO",VLOOKUP(C350,INSUMOS!$A$6:$D$6961,2,0),IF('036.01-20-SERV. GERAIS'!A350="COTAÇÃO",VLOOKUP('036.01-20-SERV. GERAIS'!C350,'036-20-Cotação'!$A$9:$G$529,2,0),IF('036.01-20-SERV. GERAIS'!A350="CCU",VLOOKUP('036.01-20-SERV. GERAIS'!C350,'036-20-CCU''s'!$B$9:$H$1962,2,0)))))</f>
        <v>PORTEIRO</v>
      </c>
      <c r="E350" s="452" t="str">
        <f>IF(A350="SERVIÇO",VLOOKUP(C350,SERVIÇOS!$A$6:$D$7645,3,0),IF(A350="INSUMO",VLOOKUP(C350,INSUMOS!$A$6:$D$6961,3,0),IF('036.01-20-SERV. GERAIS'!A350="COTAÇÃO",VLOOKUP('036.01-20-SERV. GERAIS'!C350,'036-20-Cotação'!$A$9:$G$529,4,0),IF('036.01-20-SERV. GERAIS'!A350="CCU",VLOOKUP('036.01-20-SERV. GERAIS'!C350,'036-20-CCU''s'!$B$9:$H$1962,4,0)))))</f>
        <v>MÊS</v>
      </c>
      <c r="F350" s="453">
        <v>19</v>
      </c>
      <c r="G350" s="534">
        <f>IF(A350="SERVIÇO",VLOOKUP(C350,SERVIÇOS!$A$6:$D$7645,4,0),IF(A350="INSUMO",VLOOKUP(C350,INSUMOS!$A$6:$D$6961,4,0),IF('036.01-20-SERV. GERAIS'!A350="COTAÇÃO",VLOOKUP('036.01-20-SERV. GERAIS'!C350,'036-20-Cotação'!$A$9:$G$529,3,0),IF('036.01-20-SERV. GERAIS'!A350="CCU",VLOOKUP('036.01-20-SERV. GERAIS'!C350,'036-20-CCU''s'!$B$9:$H$1962,7,0)))))</f>
        <v>3164.3766000000001</v>
      </c>
      <c r="H350" s="528">
        <f>BDI_O.A.E!$H$22</f>
        <v>0.18201100192553743</v>
      </c>
      <c r="I350" s="535">
        <f t="shared" si="96"/>
        <v>71066.231153278786</v>
      </c>
      <c r="K350" s="232">
        <f t="shared" si="85"/>
        <v>71066.231153278786</v>
      </c>
      <c r="M350" s="232" t="s">
        <v>8492</v>
      </c>
    </row>
    <row r="351" spans="1:13" s="87" customFormat="1">
      <c r="A351" s="232"/>
      <c r="B351" s="88" t="s">
        <v>7669</v>
      </c>
      <c r="C351" s="88" t="s">
        <v>6348</v>
      </c>
      <c r="D351" s="151" t="s">
        <v>7670</v>
      </c>
      <c r="E351" s="152"/>
      <c r="F351" s="152"/>
      <c r="G351" s="152"/>
      <c r="H351" s="152"/>
      <c r="I351" s="153"/>
      <c r="K351" s="232">
        <f t="shared" si="85"/>
        <v>0</v>
      </c>
      <c r="M351" s="232"/>
    </row>
    <row r="352" spans="1:13" s="87" customFormat="1">
      <c r="A352" s="232" t="s">
        <v>4542</v>
      </c>
      <c r="B352" s="324" t="s">
        <v>27002</v>
      </c>
      <c r="C352" s="324" t="s">
        <v>7668</v>
      </c>
      <c r="D352" s="451" t="str">
        <f>IF(A352="SERVIÇO",VLOOKUP(C352,SERVIÇOS!$A$6:$D$7645,2,0),IF(A352="INSUMO",VLOOKUP(C352,INSUMOS!$A$6:$D$6961,2,0),IF('036.01-20-SERV. GERAIS'!A352="COTAÇÃO",VLOOKUP('036.01-20-SERV. GERAIS'!C352,'036-20-Cotação'!$A$9:$G$529,2,0),IF('036.01-20-SERV. GERAIS'!A352="CCU",VLOOKUP('036.01-20-SERV. GERAIS'!C352,'036-20-CCU''s'!$B$9:$H$1962,2,0)))))</f>
        <v>AUXILIAR ADMINISTRATIVO</v>
      </c>
      <c r="E352" s="452" t="str">
        <f>IF(A352="SERVIÇO",VLOOKUP(C352,SERVIÇOS!$A$6:$D$7645,3,0),IF(A352="INSUMO",VLOOKUP(C352,INSUMOS!$A$6:$D$6961,3,0),IF('036.01-20-SERV. GERAIS'!A352="COTAÇÃO",VLOOKUP('036.01-20-SERV. GERAIS'!C352,'036-20-Cotação'!$A$9:$G$529,4,0),IF('036.01-20-SERV. GERAIS'!A352="CCU",VLOOKUP('036.01-20-SERV. GERAIS'!C352,'036-20-CCU''s'!$B$9:$H$1962,4,0)))))</f>
        <v>MÊS</v>
      </c>
      <c r="F352" s="453">
        <v>18</v>
      </c>
      <c r="G352" s="534">
        <f>IF(A352="SERVIÇO",VLOOKUP(C352,SERVIÇOS!$A$6:$D$7645,4,0),IF(A352="INSUMO",VLOOKUP(C352,INSUMOS!$A$6:$D$6961,4,0),IF('036.01-20-SERV. GERAIS'!A352="COTAÇÃO",VLOOKUP('036.01-20-SERV. GERAIS'!C352,'036-20-Cotação'!$A$9:$G$529,3,0),IF('036.01-20-SERV. GERAIS'!A352="CCU",VLOOKUP('036.01-20-SERV. GERAIS'!C352,'036-20-CCU''s'!$B$9:$H$1962,7,0)))))</f>
        <v>3662.0540999999998</v>
      </c>
      <c r="H352" s="528">
        <f>BDI_O.A.E!$H$22</f>
        <v>0.18201100192553743</v>
      </c>
      <c r="I352" s="535">
        <f t="shared" si="96"/>
        <v>77914.588245237406</v>
      </c>
      <c r="K352" s="232">
        <f t="shared" si="85"/>
        <v>77914.588245237406</v>
      </c>
      <c r="M352" s="232" t="s">
        <v>8493</v>
      </c>
    </row>
    <row r="353" spans="1:13" s="87" customFormat="1">
      <c r="A353" s="232"/>
      <c r="B353" s="88" t="s">
        <v>7671</v>
      </c>
      <c r="C353" s="88" t="s">
        <v>6348</v>
      </c>
      <c r="D353" s="151" t="s">
        <v>7672</v>
      </c>
      <c r="E353" s="152"/>
      <c r="F353" s="152"/>
      <c r="G353" s="152"/>
      <c r="H353" s="152"/>
      <c r="I353" s="153"/>
      <c r="K353" s="232">
        <f t="shared" si="85"/>
        <v>0</v>
      </c>
      <c r="M353" s="232"/>
    </row>
    <row r="354" spans="1:13" s="87" customFormat="1">
      <c r="A354" s="232"/>
      <c r="B354" s="88" t="s">
        <v>7673</v>
      </c>
      <c r="C354" s="88" t="s">
        <v>6348</v>
      </c>
      <c r="D354" s="151" t="s">
        <v>7674</v>
      </c>
      <c r="E354" s="152"/>
      <c r="F354" s="152"/>
      <c r="G354" s="152"/>
      <c r="H354" s="152"/>
      <c r="I354" s="153"/>
      <c r="K354" s="232">
        <f t="shared" si="85"/>
        <v>0</v>
      </c>
      <c r="M354" s="232"/>
    </row>
    <row r="355" spans="1:13" s="87" customFormat="1">
      <c r="A355" s="232" t="s">
        <v>4543</v>
      </c>
      <c r="B355" s="324" t="s">
        <v>7678</v>
      </c>
      <c r="C355" s="324" t="s">
        <v>7675</v>
      </c>
      <c r="D355" s="451" t="str">
        <f>IF(A355="SERVIÇO",VLOOKUP(C355,SERVIÇOS!$A$6:$D$7645,2,0),IF(A355="INSUMO",VLOOKUP(C355,INSUMOS!$A$6:$D$6961,2,0),IF('036.01-20-SERV. GERAIS'!A355="COTAÇÃO",VLOOKUP('036.01-20-SERV. GERAIS'!C355,'036-20-Cotação'!$A$9:$G$529,2,0),IF('036.01-20-SERV. GERAIS'!A355="CCU",VLOOKUP('036.01-20-SERV. GERAIS'!C355,'036-20-CCU''s'!$B$9:$H$1962,2,0)))))</f>
        <v xml:space="preserve">DESPESAS DIVERSAS                      </v>
      </c>
      <c r="E355" s="452" t="str">
        <f>IF(A355="SERVIÇO",VLOOKUP(C355,SERVIÇOS!$A$6:$D$7645,3,0),IF(A355="INSUMO",VLOOKUP(C355,INSUMOS!$A$6:$D$6961,3,0),IF('036.01-20-SERV. GERAIS'!A355="COTAÇÃO",VLOOKUP('036.01-20-SERV. GERAIS'!C355,'036-20-Cotação'!$A$9:$G$529,4,0),IF('036.01-20-SERV. GERAIS'!A355="CCU",VLOOKUP('036.01-20-SERV. GERAIS'!C355,'036-20-CCU''s'!$B$9:$H$1962,4,0)))))</f>
        <v>MÊS</v>
      </c>
      <c r="F355" s="453">
        <v>20</v>
      </c>
      <c r="G355" s="534">
        <f>IF(A355="SERVIÇO",VLOOKUP(C355,SERVIÇOS!$A$6:$D$7645,4,0),IF(A355="INSUMO",VLOOKUP(C355,INSUMOS!$A$6:$D$6961,4,0),IF('036.01-20-SERV. GERAIS'!A355="COTAÇÃO",VLOOKUP('036.01-20-SERV. GERAIS'!C355,'036-20-Cotação'!$A$9:$G$529,3,0),IF('036.01-20-SERV. GERAIS'!A355="CCU",VLOOKUP('036.01-20-SERV. GERAIS'!C355,'036-20-CCU''s'!$B$9:$H$1962,7,0)))))</f>
        <v>6502.9154716499997</v>
      </c>
      <c r="H355" s="528">
        <f>BDI_O.A.E!$H$22</f>
        <v>0.18201100192553743</v>
      </c>
      <c r="I355" s="535">
        <f t="shared" si="96"/>
        <v>153730.35264164189</v>
      </c>
      <c r="K355" s="232">
        <f t="shared" si="85"/>
        <v>153730.35264164189</v>
      </c>
      <c r="M355" s="232"/>
    </row>
    <row r="356" spans="1:13" s="87" customFormat="1">
      <c r="A356" s="232"/>
      <c r="B356" s="88" t="s">
        <v>7679</v>
      </c>
      <c r="C356" s="88" t="s">
        <v>6348</v>
      </c>
      <c r="D356" s="151" t="s">
        <v>7680</v>
      </c>
      <c r="E356" s="152"/>
      <c r="F356" s="152"/>
      <c r="G356" s="152"/>
      <c r="H356" s="152"/>
      <c r="I356" s="153"/>
      <c r="K356" s="232">
        <f t="shared" si="85"/>
        <v>0</v>
      </c>
      <c r="M356" s="232"/>
    </row>
    <row r="357" spans="1:13" s="87" customFormat="1">
      <c r="A357" s="232" t="s">
        <v>4543</v>
      </c>
      <c r="B357" s="324" t="s">
        <v>7684</v>
      </c>
      <c r="C357" s="324" t="s">
        <v>7681</v>
      </c>
      <c r="D357" s="451" t="str">
        <f>IF(A357="SERVIÇO",VLOOKUP(C357,SERVIÇOS!$A$6:$D$7645,2,0),IF(A357="INSUMO",VLOOKUP(C357,INSUMOS!$A$6:$D$6961,2,0),IF('036.01-20-SERV. GERAIS'!A357="COTAÇÃO",VLOOKUP('036.01-20-SERV. GERAIS'!C357,'036-20-Cotação'!$A$9:$G$529,2,0),IF('036.01-20-SERV. GERAIS'!A357="CCU",VLOOKUP('036.01-20-SERV. GERAIS'!C357,'036-20-CCU''s'!$B$9:$H$1962,2,0)))))</f>
        <v xml:space="preserve">MOBILIÁRIO DO CANTEIRO                               </v>
      </c>
      <c r="E357" s="452" t="str">
        <f>IF(A357="SERVIÇO",VLOOKUP(C357,SERVIÇOS!$A$6:$D$7645,3,0),IF(A357="INSUMO",VLOOKUP(C357,INSUMOS!$A$6:$D$6961,3,0),IF('036.01-20-SERV. GERAIS'!A357="COTAÇÃO",VLOOKUP('036.01-20-SERV. GERAIS'!C357,'036-20-Cotação'!$A$9:$G$529,4,0),IF('036.01-20-SERV. GERAIS'!A357="CCU",VLOOKUP('036.01-20-SERV. GERAIS'!C357,'036-20-CCU''s'!$B$9:$H$1962,4,0)))))</f>
        <v>MÊS</v>
      </c>
      <c r="F357" s="453">
        <v>18</v>
      </c>
      <c r="G357" s="534">
        <f>IF(A357="SERVIÇO",VLOOKUP(C357,SERVIÇOS!$A$6:$D$7645,4,0),IF(A357="INSUMO",VLOOKUP(C357,INSUMOS!$A$6:$D$6961,4,0),IF('036.01-20-SERV. GERAIS'!A357="COTAÇÃO",VLOOKUP('036.01-20-SERV. GERAIS'!C357,'036-20-Cotação'!$A$9:$G$529,3,0),IF('036.01-20-SERV. GERAIS'!A357="CCU",VLOOKUP('036.01-20-SERV. GERAIS'!C357,'036-20-CCU''s'!$B$9:$H$1962,7,0)))))</f>
        <v>664.99</v>
      </c>
      <c r="H357" s="528">
        <f>BDI_O.A.E!$H$22</f>
        <v>0.18201100192553743</v>
      </c>
      <c r="I357" s="535">
        <f t="shared" si="96"/>
        <v>14148.458931068337</v>
      </c>
      <c r="K357" s="232">
        <f t="shared" si="85"/>
        <v>14148.458931068337</v>
      </c>
      <c r="M357" s="232" t="s">
        <v>8493</v>
      </c>
    </row>
    <row r="358" spans="1:13" s="87" customFormat="1">
      <c r="A358" s="232"/>
      <c r="B358" s="88" t="s">
        <v>7685</v>
      </c>
      <c r="C358" s="88" t="s">
        <v>6348</v>
      </c>
      <c r="D358" s="148" t="s">
        <v>7686</v>
      </c>
      <c r="E358" s="149"/>
      <c r="F358" s="149"/>
      <c r="G358" s="149"/>
      <c r="H358" s="149"/>
      <c r="I358" s="150"/>
      <c r="K358" s="232">
        <f t="shared" si="85"/>
        <v>0</v>
      </c>
      <c r="M358" s="232"/>
    </row>
    <row r="359" spans="1:13" s="87" customFormat="1">
      <c r="A359" s="232"/>
      <c r="B359" s="88" t="s">
        <v>7687</v>
      </c>
      <c r="C359" s="88" t="s">
        <v>6348</v>
      </c>
      <c r="D359" s="151" t="s">
        <v>7688</v>
      </c>
      <c r="E359" s="152"/>
      <c r="F359" s="152"/>
      <c r="G359" s="152"/>
      <c r="H359" s="152"/>
      <c r="I359" s="153"/>
      <c r="K359" s="232">
        <f t="shared" si="85"/>
        <v>0</v>
      </c>
      <c r="M359" s="232"/>
    </row>
    <row r="360" spans="1:13" s="87" customFormat="1" ht="25.5">
      <c r="A360" s="232" t="s">
        <v>4543</v>
      </c>
      <c r="B360" s="324" t="s">
        <v>27003</v>
      </c>
      <c r="C360" s="324" t="s">
        <v>7689</v>
      </c>
      <c r="D360" s="451" t="str">
        <f>IF(A360="SERVIÇO",VLOOKUP(C360,SERVIÇOS!$A$6:$D$7645,2,0),IF(A360="INSUMO",VLOOKUP(C360,INSUMOS!$A$6:$D$6961,2,0),IF('036.01-20-SERV. GERAIS'!A360="COTAÇÃO",VLOOKUP('036.01-20-SERV. GERAIS'!C360,'036-20-Cotação'!$A$9:$G$529,2,0),IF('036.01-20-SERV. GERAIS'!A360="CCU",VLOOKUP('036.01-20-SERV. GERAIS'!C360,'036-20-CCU''s'!$B$9:$H$1962,2,0)))))</f>
        <v>EQUIP. LABORATÓRIO DE CONCRETO E ASFALTO</v>
      </c>
      <c r="E360" s="452" t="str">
        <f>IF(A360="SERVIÇO",VLOOKUP(C360,SERVIÇOS!$A$6:$D$7645,3,0),IF(A360="INSUMO",VLOOKUP(C360,INSUMOS!$A$6:$D$6961,3,0),IF('036.01-20-SERV. GERAIS'!A360="COTAÇÃO",VLOOKUP('036.01-20-SERV. GERAIS'!C360,'036-20-Cotação'!$A$9:$G$529,4,0),IF('036.01-20-SERV. GERAIS'!A360="CCU",VLOOKUP('036.01-20-SERV. GERAIS'!C360,'036-20-CCU''s'!$B$9:$H$1962,4,0)))))</f>
        <v>MÊS</v>
      </c>
      <c r="F360" s="453">
        <v>5</v>
      </c>
      <c r="G360" s="534">
        <f>IF(A360="SERVIÇO",VLOOKUP(C360,SERVIÇOS!$A$6:$D$7645,4,0),IF(A360="INSUMO",VLOOKUP(C360,INSUMOS!$A$6:$D$6961,4,0),IF('036.01-20-SERV. GERAIS'!A360="COTAÇÃO",VLOOKUP('036.01-20-SERV. GERAIS'!C360,'036-20-Cotação'!$A$9:$G$529,3,0),IF('036.01-20-SERV. GERAIS'!A360="CCU",VLOOKUP('036.01-20-SERV. GERAIS'!C360,'036-20-CCU''s'!$B$9:$H$1962,7,0)))))</f>
        <v>6205.16</v>
      </c>
      <c r="H360" s="528">
        <f>BDI_O.A.E!$H$22</f>
        <v>0.18201100192553743</v>
      </c>
      <c r="I360" s="535">
        <f t="shared" ref="I360:I362" si="97">F360*(G360*(1+H360))</f>
        <v>36672.836943541341</v>
      </c>
      <c r="K360" s="232">
        <f t="shared" si="85"/>
        <v>36672.836943541341</v>
      </c>
      <c r="M360" s="232"/>
    </row>
    <row r="361" spans="1:13" s="87" customFormat="1">
      <c r="A361" s="232"/>
      <c r="B361" s="88" t="s">
        <v>7692</v>
      </c>
      <c r="C361" s="88" t="s">
        <v>6348</v>
      </c>
      <c r="D361" s="151" t="s">
        <v>7693</v>
      </c>
      <c r="E361" s="152"/>
      <c r="F361" s="152"/>
      <c r="G361" s="152"/>
      <c r="H361" s="152"/>
      <c r="I361" s="153"/>
      <c r="K361" s="232">
        <f t="shared" si="85"/>
        <v>0</v>
      </c>
      <c r="M361" s="232"/>
    </row>
    <row r="362" spans="1:13" s="87" customFormat="1" ht="25.5">
      <c r="A362" s="232" t="s">
        <v>4543</v>
      </c>
      <c r="B362" s="324" t="s">
        <v>7694</v>
      </c>
      <c r="C362" s="324" t="s">
        <v>7695</v>
      </c>
      <c r="D362" s="451" t="str">
        <f>IF(A362="SERVIÇO",VLOOKUP(C362,SERVIÇOS!$A$6:$D$7645,2,0),IF(A362="INSUMO",VLOOKUP(C362,INSUMOS!$A$6:$D$6961,2,0),IF('036.01-20-SERV. GERAIS'!A362="COTAÇÃO",VLOOKUP('036.01-20-SERV. GERAIS'!C362,'036-20-Cotação'!$A$9:$G$529,2,0),IF('036.01-20-SERV. GERAIS'!A362="CCU",VLOOKUP('036.01-20-SERV. GERAIS'!C362,'036-20-CCU''s'!$B$9:$H$1962,2,0)))))</f>
        <v>EQUIPAMENTOS DE MANUTENÇÃO DO CANTEIRO</v>
      </c>
      <c r="E362" s="452" t="str">
        <f>IF(A362="SERVIÇO",VLOOKUP(C362,SERVIÇOS!$A$6:$D$7645,3,0),IF(A362="INSUMO",VLOOKUP(C362,INSUMOS!$A$6:$D$6961,3,0),IF('036.01-20-SERV. GERAIS'!A362="COTAÇÃO",VLOOKUP('036.01-20-SERV. GERAIS'!C362,'036-20-Cotação'!$A$9:$G$529,4,0),IF('036.01-20-SERV. GERAIS'!A362="CCU",VLOOKUP('036.01-20-SERV. GERAIS'!C362,'036-20-CCU''s'!$B$9:$H$1962,4,0)))))</f>
        <v>MÊS</v>
      </c>
      <c r="F362" s="453">
        <v>14</v>
      </c>
      <c r="G362" s="534">
        <f>IF(A362="SERVIÇO",VLOOKUP(C362,SERVIÇOS!$A$6:$D$7645,4,0),IF(A362="INSUMO",VLOOKUP(C362,INSUMOS!$A$6:$D$6961,4,0),IF('036.01-20-SERV. GERAIS'!A362="COTAÇÃO",VLOOKUP('036.01-20-SERV. GERAIS'!C362,'036-20-Cotação'!$A$9:$G$529,3,0),IF('036.01-20-SERV. GERAIS'!A362="CCU",VLOOKUP('036.01-20-SERV. GERAIS'!C362,'036-20-CCU''s'!$B$9:$H$1962,7,0)))))</f>
        <v>5093.4416000000001</v>
      </c>
      <c r="H362" s="528">
        <f>BDI_O.A.E!$H$22</f>
        <v>0.18201100192553743</v>
      </c>
      <c r="I362" s="535">
        <f t="shared" si="97"/>
        <v>84287.056124112976</v>
      </c>
      <c r="K362" s="232">
        <f t="shared" si="85"/>
        <v>84287.056124112976</v>
      </c>
      <c r="M362" s="232"/>
    </row>
    <row r="363" spans="1:13" s="87" customFormat="1">
      <c r="A363" s="232"/>
      <c r="B363" s="88" t="s">
        <v>7700</v>
      </c>
      <c r="C363" s="88" t="s">
        <v>6348</v>
      </c>
      <c r="D363" s="151" t="s">
        <v>7701</v>
      </c>
      <c r="E363" s="152"/>
      <c r="F363" s="152"/>
      <c r="G363" s="152"/>
      <c r="H363" s="152"/>
      <c r="I363" s="153"/>
      <c r="K363" s="232">
        <f t="shared" ref="K363:K377" si="98">F363*(G363*(1+H363))</f>
        <v>0</v>
      </c>
      <c r="M363" s="232"/>
    </row>
    <row r="364" spans="1:13" s="87" customFormat="1">
      <c r="A364" s="232" t="s">
        <v>4543</v>
      </c>
      <c r="B364" s="324" t="s">
        <v>7703</v>
      </c>
      <c r="C364" s="324" t="s">
        <v>7702</v>
      </c>
      <c r="D364" s="451" t="str">
        <f>IF(A364="SERVIÇO",VLOOKUP(C364,SERVIÇOS!$A$6:$D$7645,2,0),IF(A364="INSUMO",VLOOKUP(C364,INSUMOS!$A$6:$D$6961,2,0),IF('036.01-20-SERV. GERAIS'!A364="COTAÇÃO",VLOOKUP('036.01-20-SERV. GERAIS'!C364,'036-20-Cotação'!$A$9:$G$529,2,0),IF('036.01-20-SERV. GERAIS'!A364="CCU",VLOOKUP('036.01-20-SERV. GERAIS'!C364,'036-20-CCU''s'!$B$9:$H$1962,2,0)))))</f>
        <v>EQUIPAMENTOS DE TOPOGRAFIA</v>
      </c>
      <c r="E364" s="452" t="str">
        <f>IF(A364="SERVIÇO",VLOOKUP(C364,SERVIÇOS!$A$6:$D$7645,3,0),IF(A364="INSUMO",VLOOKUP(C364,INSUMOS!$A$6:$D$6961,3,0),IF('036.01-20-SERV. GERAIS'!A364="COTAÇÃO",VLOOKUP('036.01-20-SERV. GERAIS'!C364,'036-20-Cotação'!$A$9:$G$529,4,0),IF('036.01-20-SERV. GERAIS'!A364="CCU",VLOOKUP('036.01-20-SERV. GERAIS'!C364,'036-20-CCU''s'!$B$9:$H$1962,4,0)))))</f>
        <v>MÊS</v>
      </c>
      <c r="F364" s="453">
        <v>4</v>
      </c>
      <c r="G364" s="534">
        <f>IF(A364="SERVIÇO",VLOOKUP(C364,SERVIÇOS!$A$6:$D$7645,4,0),IF(A364="INSUMO",VLOOKUP(C364,INSUMOS!$A$6:$D$6961,4,0),IF('036.01-20-SERV. GERAIS'!A364="COTAÇÃO",VLOOKUP('036.01-20-SERV. GERAIS'!C364,'036-20-Cotação'!$A$9:$G$529,3,0),IF('036.01-20-SERV. GERAIS'!A364="CCU",VLOOKUP('036.01-20-SERV. GERAIS'!C364,'036-20-CCU''s'!$B$9:$H$1962,7,0)))))</f>
        <v>1826.25</v>
      </c>
      <c r="H364" s="528">
        <f>BDI_O.A.E!$H$22</f>
        <v>0.18201100192553743</v>
      </c>
      <c r="I364" s="535">
        <f t="shared" ref="I364" si="99">F364*(G364*(1+H364))</f>
        <v>8634.5903690660507</v>
      </c>
      <c r="K364" s="232">
        <f t="shared" si="98"/>
        <v>8634.5903690660507</v>
      </c>
      <c r="M364" s="232"/>
    </row>
    <row r="365" spans="1:13" s="87" customFormat="1">
      <c r="A365" s="232"/>
      <c r="B365" s="88" t="s">
        <v>7706</v>
      </c>
      <c r="C365" s="88" t="s">
        <v>6348</v>
      </c>
      <c r="D365" s="148" t="s">
        <v>7707</v>
      </c>
      <c r="E365" s="149"/>
      <c r="F365" s="149"/>
      <c r="G365" s="149"/>
      <c r="H365" s="149"/>
      <c r="I365" s="150"/>
      <c r="K365" s="232">
        <f t="shared" si="98"/>
        <v>0</v>
      </c>
      <c r="M365" s="232"/>
    </row>
    <row r="366" spans="1:13" s="87" customFormat="1">
      <c r="A366" s="232"/>
      <c r="B366" s="88" t="s">
        <v>7708</v>
      </c>
      <c r="C366" s="88" t="s">
        <v>6348</v>
      </c>
      <c r="D366" s="148" t="s">
        <v>7709</v>
      </c>
      <c r="E366" s="149"/>
      <c r="F366" s="149"/>
      <c r="G366" s="149"/>
      <c r="H366" s="149"/>
      <c r="I366" s="150"/>
      <c r="K366" s="232">
        <f t="shared" si="98"/>
        <v>0</v>
      </c>
      <c r="M366" s="232"/>
    </row>
    <row r="367" spans="1:13" s="87" customFormat="1">
      <c r="A367" s="232" t="s">
        <v>4543</v>
      </c>
      <c r="B367" s="324" t="s">
        <v>7710</v>
      </c>
      <c r="C367" s="324" t="s">
        <v>7711</v>
      </c>
      <c r="D367" s="451" t="str">
        <f>IF(A367="SERVIÇO",VLOOKUP(C367,SERVIÇOS!$A$6:$D$7645,2,0),IF(A367="INSUMO",VLOOKUP(C367,INSUMOS!$A$6:$D$6961,2,0),IF('036.01-20-SERV. GERAIS'!A367="COTAÇÃO",VLOOKUP('036.01-20-SERV. GERAIS'!C367,'036-20-Cotação'!$A$9:$G$529,2,0),IF('036.01-20-SERV. GERAIS'!A367="CCU",VLOOKUP('036.01-20-SERV. GERAIS'!C367,'036-20-CCU''s'!$B$9:$H$1962,2,0)))))</f>
        <v>VEÍCULOS DE APOIO A ADMINISTRAÇÃO</v>
      </c>
      <c r="E367" s="452" t="str">
        <f>IF(A367="SERVIÇO",VLOOKUP(C367,SERVIÇOS!$A$6:$D$7645,3,0),IF(A367="INSUMO",VLOOKUP(C367,INSUMOS!$A$6:$D$6961,3,0),IF('036.01-20-SERV. GERAIS'!A367="COTAÇÃO",VLOOKUP('036.01-20-SERV. GERAIS'!C367,'036-20-Cotação'!$A$9:$G$529,4,0),IF('036.01-20-SERV. GERAIS'!A367="CCU",VLOOKUP('036.01-20-SERV. GERAIS'!C367,'036-20-CCU''s'!$B$9:$H$1962,4,0)))))</f>
        <v>MÊS</v>
      </c>
      <c r="F367" s="453">
        <v>16</v>
      </c>
      <c r="G367" s="534">
        <f>IF(A367="SERVIÇO",VLOOKUP(C367,SERVIÇOS!$A$6:$D$7645,4,0),IF(A367="INSUMO",VLOOKUP(C367,INSUMOS!$A$6:$D$6961,4,0),IF('036.01-20-SERV. GERAIS'!A367="COTAÇÃO",VLOOKUP('036.01-20-SERV. GERAIS'!C367,'036-20-Cotação'!$A$9:$G$529,3,0),IF('036.01-20-SERV. GERAIS'!A367="CCU",VLOOKUP('036.01-20-SERV. GERAIS'!C367,'036-20-CCU''s'!$B$9:$H$1962,7,0)))))</f>
        <v>3882.1119999999996</v>
      </c>
      <c r="H367" s="528">
        <f>BDI_O.A.E!$H$22</f>
        <v>0.18201100192553743</v>
      </c>
      <c r="I367" s="535">
        <f>F367*(G367*(1+H367))</f>
        <v>73419.185515314428</v>
      </c>
      <c r="K367" s="232">
        <f t="shared" si="98"/>
        <v>73419.185515314428</v>
      </c>
      <c r="M367" s="232" t="s">
        <v>8496</v>
      </c>
    </row>
    <row r="368" spans="1:13" s="87" customFormat="1">
      <c r="A368" s="232"/>
      <c r="B368" s="88" t="s">
        <v>7714</v>
      </c>
      <c r="C368" s="88" t="s">
        <v>6348</v>
      </c>
      <c r="D368" s="148" t="s">
        <v>7715</v>
      </c>
      <c r="E368" s="149"/>
      <c r="F368" s="149"/>
      <c r="G368" s="149"/>
      <c r="H368" s="149"/>
      <c r="I368" s="150"/>
      <c r="K368" s="232">
        <f t="shared" si="98"/>
        <v>0</v>
      </c>
      <c r="M368" s="232"/>
    </row>
    <row r="369" spans="1:13" s="87" customFormat="1" ht="38.25">
      <c r="A369" s="232" t="s">
        <v>4543</v>
      </c>
      <c r="B369" s="324" t="s">
        <v>7716</v>
      </c>
      <c r="C369" s="324" t="s">
        <v>7713</v>
      </c>
      <c r="D369" s="451" t="str">
        <f>IF(A369="SERVIÇO",VLOOKUP(C369,SERVIÇOS!$A$6:$D$7645,2,0),IF(A369="INSUMO",VLOOKUP(C369,INSUMOS!$A$6:$D$6961,2,0),IF('036.01-20-SERV. GERAIS'!A369="COTAÇÃO",VLOOKUP('036.01-20-SERV. GERAIS'!C369,'036-20-Cotação'!$A$9:$G$529,2,0),IF('036.01-20-SERV. GERAIS'!A369="CCU",VLOOKUP('036.01-20-SERV. GERAIS'!C369,'036-20-CCU''s'!$B$9:$H$1962,2,0)))))</f>
        <v xml:space="preserve">TRANSPORTE DE OPERADOR/MARINHEIRO/CAPITÃO/ MESTRE FLUVIAL DO APOIO NÁUTICO. IDA E VOLTA </v>
      </c>
      <c r="E369" s="452" t="str">
        <f>IF(A369="SERVIÇO",VLOOKUP(C369,SERVIÇOS!$A$6:$D$7645,3,0),IF(A369="INSUMO",VLOOKUP(C369,INSUMOS!$A$6:$D$6961,3,0),IF('036.01-20-SERV. GERAIS'!A369="COTAÇÃO",VLOOKUP('036.01-20-SERV. GERAIS'!C369,'036-20-Cotação'!$A$9:$G$529,4,0),IF('036.01-20-SERV. GERAIS'!A369="CCU",VLOOKUP('036.01-20-SERV. GERAIS'!C369,'036-20-CCU''s'!$B$9:$H$1962,4,0)))))</f>
        <v>MÊS</v>
      </c>
      <c r="F369" s="453">
        <v>14</v>
      </c>
      <c r="G369" s="534">
        <f>IF(A369="SERVIÇO",VLOOKUP(C369,SERVIÇOS!$A$6:$D$7645,4,0),IF(A369="INSUMO",VLOOKUP(C369,INSUMOS!$A$6:$D$6961,4,0),IF('036.01-20-SERV. GERAIS'!A369="COTAÇÃO",VLOOKUP('036.01-20-SERV. GERAIS'!C369,'036-20-Cotação'!$A$9:$G$529,3,0),IF('036.01-20-SERV. GERAIS'!A369="CCU",VLOOKUP('036.01-20-SERV. GERAIS'!C369,'036-20-CCU''s'!$B$9:$H$1962,7,0)))))</f>
        <v>800</v>
      </c>
      <c r="H369" s="528">
        <f>BDI_O.A.E!$H$22</f>
        <v>0.18201100192553743</v>
      </c>
      <c r="I369" s="535">
        <f>F369*(G369*(1+H369))</f>
        <v>13238.523221566018</v>
      </c>
      <c r="K369" s="232">
        <f t="shared" si="98"/>
        <v>13238.523221566018</v>
      </c>
      <c r="M369" s="232" t="s">
        <v>13423</v>
      </c>
    </row>
    <row r="370" spans="1:13" s="87" customFormat="1" ht="25.5">
      <c r="A370" s="232"/>
      <c r="B370" s="88" t="s">
        <v>7721</v>
      </c>
      <c r="C370" s="88" t="s">
        <v>6348</v>
      </c>
      <c r="D370" s="148" t="s">
        <v>7722</v>
      </c>
      <c r="E370" s="149"/>
      <c r="F370" s="149"/>
      <c r="G370" s="149"/>
      <c r="H370" s="149"/>
      <c r="I370" s="150"/>
      <c r="K370" s="232">
        <f t="shared" si="98"/>
        <v>0</v>
      </c>
      <c r="M370" s="232"/>
    </row>
    <row r="371" spans="1:13" s="87" customFormat="1" ht="25.5">
      <c r="A371" s="232" t="s">
        <v>4543</v>
      </c>
      <c r="B371" s="324" t="s">
        <v>6328</v>
      </c>
      <c r="C371" s="324" t="s">
        <v>7719</v>
      </c>
      <c r="D371" s="451" t="str">
        <f>IF(A371="SERVIÇO",VLOOKUP(C371,SERVIÇOS!$A$6:$D$7645,2,0),IF(A371="INSUMO",VLOOKUP(C371,INSUMOS!$A$6:$D$6961,2,0),IF('036.01-20-SERV. GERAIS'!A371="COTAÇÃO",VLOOKUP('036.01-20-SERV. GERAIS'!C371,'036-20-Cotação'!$A$9:$G$529,2,0),IF('036.01-20-SERV. GERAIS'!A371="CCU",VLOOKUP('036.01-20-SERV. GERAIS'!C371,'036-20-CCU''s'!$B$9:$H$1962,2,0)))))</f>
        <v>MOBILIZAÇÃO DE EQUIPAMENTOS    APOIO NÁUTICO</v>
      </c>
      <c r="E371" s="452" t="str">
        <f>IF(A371="SERVIÇO",VLOOKUP(C371,SERVIÇOS!$A$6:$D$7645,3,0),IF(A371="INSUMO",VLOOKUP(C371,INSUMOS!$A$6:$D$6961,3,0),IF('036.01-20-SERV. GERAIS'!A371="COTAÇÃO",VLOOKUP('036.01-20-SERV. GERAIS'!C371,'036-20-Cotação'!$A$9:$G$529,4,0),IF('036.01-20-SERV. GERAIS'!A371="CCU",VLOOKUP('036.01-20-SERV. GERAIS'!C371,'036-20-CCU''s'!$B$9:$H$1962,4,0)))))</f>
        <v xml:space="preserve">UN    </v>
      </c>
      <c r="F371" s="453">
        <v>1</v>
      </c>
      <c r="G371" s="534">
        <f>IF(A371="SERVIÇO",VLOOKUP(C371,SERVIÇOS!$A$6:$D$7645,4,0),IF(A371="INSUMO",VLOOKUP(C371,INSUMOS!$A$6:$D$6961,4,0),IF('036.01-20-SERV. GERAIS'!A371="COTAÇÃO",VLOOKUP('036.01-20-SERV. GERAIS'!C371,'036-20-Cotação'!$A$9:$G$529,3,0),IF('036.01-20-SERV. GERAIS'!A371="CCU",VLOOKUP('036.01-20-SERV. GERAIS'!C371,'036-20-CCU''s'!$B$9:$H$1962,7,0)))))</f>
        <v>20080.120650000001</v>
      </c>
      <c r="H371" s="528">
        <f>BDI_O.A.E!$H$22</f>
        <v>0.18201100192553743</v>
      </c>
      <c r="I371" s="535">
        <f>F371*(G371*(1+H371))</f>
        <v>23734.923528292176</v>
      </c>
      <c r="K371" s="232">
        <f t="shared" si="98"/>
        <v>23734.923528292176</v>
      </c>
      <c r="M371" s="232"/>
    </row>
    <row r="372" spans="1:13" s="87" customFormat="1" ht="25.5">
      <c r="A372" s="232" t="s">
        <v>4543</v>
      </c>
      <c r="B372" s="324" t="s">
        <v>7723</v>
      </c>
      <c r="C372" s="324" t="s">
        <v>7720</v>
      </c>
      <c r="D372" s="451" t="str">
        <f>IF(A372="SERVIÇO",VLOOKUP(C372,SERVIÇOS!$A$6:$D$7645,2,0),IF(A372="INSUMO",VLOOKUP(C372,INSUMOS!$A$6:$D$6961,2,0),IF('036.01-20-SERV. GERAIS'!A372="COTAÇÃO",VLOOKUP('036.01-20-SERV. GERAIS'!C372,'036-20-Cotação'!$A$9:$G$529,2,0),IF('036.01-20-SERV. GERAIS'!A372="CCU",VLOOKUP('036.01-20-SERV. GERAIS'!C372,'036-20-CCU''s'!$B$9:$H$1962,2,0)))))</f>
        <v>DESMOBILIZAÇÃO DE EQUIPAMENTOS APOIO NÁUTICO</v>
      </c>
      <c r="E372" s="452" t="str">
        <f>IF(A372="SERVIÇO",VLOOKUP(C372,SERVIÇOS!$A$6:$D$7645,3,0),IF(A372="INSUMO",VLOOKUP(C372,INSUMOS!$A$6:$D$6961,3,0),IF('036.01-20-SERV. GERAIS'!A372="COTAÇÃO",VLOOKUP('036.01-20-SERV. GERAIS'!C372,'036-20-Cotação'!$A$9:$G$529,4,0),IF('036.01-20-SERV. GERAIS'!A372="CCU",VLOOKUP('036.01-20-SERV. GERAIS'!C372,'036-20-CCU''s'!$B$9:$H$1962,4,0)))))</f>
        <v xml:space="preserve">UN    </v>
      </c>
      <c r="F372" s="453">
        <v>1</v>
      </c>
      <c r="G372" s="534">
        <f>IF(A372="SERVIÇO",VLOOKUP(C372,SERVIÇOS!$A$6:$D$7645,4,0),IF(A372="INSUMO",VLOOKUP(C372,INSUMOS!$A$6:$D$6961,4,0),IF('036.01-20-SERV. GERAIS'!A372="COTAÇÃO",VLOOKUP('036.01-20-SERV. GERAIS'!C372,'036-20-Cotação'!$A$9:$G$529,3,0),IF('036.01-20-SERV. GERAIS'!A372="CCU",VLOOKUP('036.01-20-SERV. GERAIS'!C372,'036-20-CCU''s'!$B$9:$H$1962,7,0)))))</f>
        <v>20080.120650000001</v>
      </c>
      <c r="H372" s="528">
        <f>BDI_O.A.E!$H$22</f>
        <v>0.18201100192553743</v>
      </c>
      <c r="I372" s="535">
        <f>F372*(G372*(1+H372))</f>
        <v>23734.923528292176</v>
      </c>
      <c r="K372" s="232">
        <f t="shared" si="98"/>
        <v>23734.923528292176</v>
      </c>
      <c r="M372" s="232"/>
    </row>
    <row r="373" spans="1:13" s="87" customFormat="1">
      <c r="A373" s="232"/>
      <c r="B373" s="88" t="s">
        <v>7729</v>
      </c>
      <c r="C373" s="88" t="s">
        <v>6348</v>
      </c>
      <c r="D373" s="148" t="s">
        <v>7730</v>
      </c>
      <c r="E373" s="149"/>
      <c r="F373" s="149"/>
      <c r="G373" s="149"/>
      <c r="H373" s="149"/>
      <c r="I373" s="150"/>
      <c r="K373" s="232">
        <f t="shared" si="98"/>
        <v>0</v>
      </c>
      <c r="M373" s="232"/>
    </row>
    <row r="374" spans="1:13" s="87" customFormat="1" ht="25.5">
      <c r="A374" s="232" t="s">
        <v>4543</v>
      </c>
      <c r="B374" s="324" t="s">
        <v>7731</v>
      </c>
      <c r="C374" s="324" t="s">
        <v>7728</v>
      </c>
      <c r="D374" s="451" t="str">
        <f>IF(A374="SERVIÇO",VLOOKUP(C374,SERVIÇOS!$A$6:$D$7645,2,0),IF(A374="INSUMO",VLOOKUP(C374,INSUMOS!$A$6:$D$6961,2,0),IF('036.01-20-SERV. GERAIS'!A374="COTAÇÃO",VLOOKUP('036.01-20-SERV. GERAIS'!C374,'036-20-Cotação'!$A$9:$G$529,2,0),IF('036.01-20-SERV. GERAIS'!A374="CCU",VLOOKUP('036.01-20-SERV. GERAIS'!C374,'036-20-CCU''s'!$B$9:$H$1962,2,0)))))</f>
        <v>ALUGUEL DE RESIDENCIA PARA EQUIPE APOIO NÁUTICO</v>
      </c>
      <c r="E374" s="452" t="str">
        <f>IF(A374="SERVIÇO",VLOOKUP(C374,SERVIÇOS!$A$6:$D$7645,3,0),IF(A374="INSUMO",VLOOKUP(C374,INSUMOS!$A$6:$D$6961,3,0),IF('036.01-20-SERV. GERAIS'!A374="COTAÇÃO",VLOOKUP('036.01-20-SERV. GERAIS'!C374,'036-20-Cotação'!$A$9:$G$529,4,0),IF('036.01-20-SERV. GERAIS'!A374="CCU",VLOOKUP('036.01-20-SERV. GERAIS'!C374,'036-20-CCU''s'!$B$9:$H$1962,4,0)))))</f>
        <v>MÊS</v>
      </c>
      <c r="F374" s="453">
        <v>14</v>
      </c>
      <c r="G374" s="534">
        <f>IF(A374="SERVIÇO",VLOOKUP(C374,SERVIÇOS!$A$6:$D$7645,4,0),IF(A374="INSUMO",VLOOKUP(C374,INSUMOS!$A$6:$D$6961,4,0),IF('036.01-20-SERV. GERAIS'!A374="COTAÇÃO",VLOOKUP('036.01-20-SERV. GERAIS'!C374,'036-20-Cotação'!$A$9:$G$529,3,0),IF('036.01-20-SERV. GERAIS'!A374="CCU",VLOOKUP('036.01-20-SERV. GERAIS'!C374,'036-20-CCU''s'!$B$9:$H$1962,7,0)))))</f>
        <v>1377.55</v>
      </c>
      <c r="H374" s="528">
        <f>BDI_O.A.E!$H$22</f>
        <v>0.18201100192553743</v>
      </c>
      <c r="I374" s="535">
        <f>F374*(G374*(1+H374))</f>
        <v>22795.909579835337</v>
      </c>
      <c r="K374" s="232">
        <f t="shared" si="98"/>
        <v>22795.909579835337</v>
      </c>
      <c r="M374" s="232" t="s">
        <v>13423</v>
      </c>
    </row>
    <row r="375" spans="1:13" s="87" customFormat="1">
      <c r="A375" s="232"/>
      <c r="B375" s="144"/>
      <c r="C375" s="144"/>
      <c r="D375" s="144"/>
      <c r="E375" s="145"/>
      <c r="F375" s="146"/>
      <c r="G375" s="146"/>
      <c r="H375" s="334"/>
      <c r="I375" s="335"/>
      <c r="K375" s="232">
        <f t="shared" si="98"/>
        <v>0</v>
      </c>
    </row>
    <row r="376" spans="1:13" s="87" customFormat="1">
      <c r="A376" s="232"/>
      <c r="B376" s="198"/>
      <c r="C376" s="198"/>
      <c r="D376" s="198"/>
      <c r="E376" s="198"/>
      <c r="F376" s="198"/>
      <c r="G376" s="330" t="s">
        <v>70</v>
      </c>
      <c r="H376" s="337"/>
      <c r="I376" s="338">
        <f>SUM(I316:I375)</f>
        <v>3220210.8543085428</v>
      </c>
      <c r="K376" s="232"/>
    </row>
    <row r="377" spans="1:13" s="87" customFormat="1">
      <c r="A377" s="232"/>
      <c r="B377" s="198"/>
      <c r="C377" s="198"/>
      <c r="D377" s="198"/>
      <c r="E377" s="198"/>
      <c r="F377" s="198"/>
      <c r="G377" s="330"/>
      <c r="H377" s="341"/>
      <c r="I377" s="336"/>
      <c r="J377" s="307"/>
      <c r="K377" s="225">
        <f t="shared" si="98"/>
        <v>0</v>
      </c>
    </row>
    <row r="378" spans="1:13" s="223" customFormat="1" ht="15" customHeight="1">
      <c r="A378" s="233"/>
      <c r="B378" s="197"/>
      <c r="C378" s="197"/>
      <c r="D378" s="197"/>
      <c r="E378" s="197"/>
      <c r="F378" s="197"/>
      <c r="G378" s="331" t="s">
        <v>71</v>
      </c>
      <c r="H378" s="339"/>
      <c r="I378" s="340">
        <f>I376+I296+I313+I290+I233+I82+I53</f>
        <v>42385897.530704193</v>
      </c>
      <c r="K378" s="233">
        <f>SUM(K12:K377)</f>
        <v>42385897.530704178</v>
      </c>
    </row>
    <row r="380" spans="1:13" s="54" customFormat="1" ht="58.5" customHeight="1">
      <c r="B380" s="671" t="str">
        <f>'036-20-CAPA'!B40:E40</f>
        <v>ENG. GILMAR DA MOTA FERNANDES
CREA 23785/D-DF
ART: 0720200027743</v>
      </c>
      <c r="C380" s="671"/>
      <c r="D380" s="671"/>
      <c r="E380" s="671"/>
      <c r="F380" s="671"/>
      <c r="G380" s="671"/>
      <c r="H380" s="671"/>
      <c r="I380" s="671"/>
    </row>
    <row r="385" spans="1:11">
      <c r="A385" s="56"/>
      <c r="D385" s="57"/>
      <c r="F385" s="56"/>
      <c r="G385" s="56"/>
      <c r="H385" s="56"/>
      <c r="I385" s="56"/>
      <c r="K385" s="56"/>
    </row>
    <row r="386" spans="1:11">
      <c r="A386" s="56"/>
      <c r="D386" s="57"/>
      <c r="F386" s="56"/>
      <c r="G386" s="56"/>
      <c r="H386" s="56"/>
      <c r="I386" s="56"/>
      <c r="K386" s="56"/>
    </row>
  </sheetData>
  <autoFilter ref="B11:I381"/>
  <mergeCells count="13">
    <mergeCell ref="B380:I380"/>
    <mergeCell ref="B1:I1"/>
    <mergeCell ref="B6:C6"/>
    <mergeCell ref="D6:E6"/>
    <mergeCell ref="B7:C7"/>
    <mergeCell ref="B8:C8"/>
    <mergeCell ref="B9:C9"/>
    <mergeCell ref="B2:I2"/>
    <mergeCell ref="B3:I3"/>
    <mergeCell ref="B4:I4"/>
    <mergeCell ref="B5:I5"/>
    <mergeCell ref="D7:F7"/>
    <mergeCell ref="D8:F8"/>
  </mergeCells>
  <phoneticPr fontId="75" type="noConversion"/>
  <printOptions horizontalCentered="1"/>
  <pageMargins left="0.78740157480314965" right="0.78740157480314965" top="0.39370078740157483" bottom="0.39370078740157483" header="0.19685039370078741" footer="0.19685039370078741"/>
  <pageSetup paperSize="9" scale="64" orientation="portrait" r:id="rId1"/>
  <headerFooter>
    <oddHeader>&amp;C&amp;F</oddHeader>
    <oddFooter>&amp;R&amp;"Verdana,Negrito itálico"&amp;10Página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sheetPr>
    <tabColor rgb="FFFF0000"/>
  </sheetPr>
  <dimension ref="A1:Q206"/>
  <sheetViews>
    <sheetView showGridLines="0" view="pageBreakPreview" topLeftCell="A186" zoomScaleNormal="100" zoomScaleSheetLayoutView="100" workbookViewId="0">
      <selection activeCell="N135" sqref="N135"/>
    </sheetView>
  </sheetViews>
  <sheetFormatPr defaultColWidth="9.140625" defaultRowHeight="12.75"/>
  <cols>
    <col min="1" max="1" width="11.42578125" style="189" customWidth="1"/>
    <col min="2" max="2" width="12.7109375" style="356" customWidth="1"/>
    <col min="3" max="3" width="13.7109375" style="56" customWidth="1"/>
    <col min="4" max="4" width="44.7109375" style="56" customWidth="1"/>
    <col min="5" max="5" width="7.7109375" style="56" customWidth="1"/>
    <col min="6" max="6" width="9.42578125" style="57" customWidth="1"/>
    <col min="7" max="8" width="11.7109375" style="57" customWidth="1"/>
    <col min="9" max="9" width="17.7109375" style="57" customWidth="1"/>
    <col min="10" max="10" width="9.140625" style="56"/>
    <col min="11" max="11" width="20.140625" style="189" customWidth="1"/>
    <col min="12" max="13" width="10.28515625" style="56" bestFit="1" customWidth="1"/>
    <col min="14" max="16384" width="9.140625" style="56"/>
  </cols>
  <sheetData>
    <row r="1" spans="1:17" s="76" customFormat="1" ht="15.75">
      <c r="B1" s="688"/>
      <c r="C1" s="688"/>
      <c r="D1" s="688"/>
      <c r="E1" s="688"/>
      <c r="F1" s="688"/>
      <c r="G1" s="688"/>
      <c r="H1" s="688"/>
      <c r="I1" s="688"/>
      <c r="J1" s="77"/>
    </row>
    <row r="2" spans="1:17" s="48" customFormat="1" ht="18.75">
      <c r="A2" s="214"/>
      <c r="B2" s="692" t="s">
        <v>5071</v>
      </c>
      <c r="C2" s="692"/>
      <c r="D2" s="692"/>
      <c r="E2" s="692"/>
      <c r="F2" s="692"/>
      <c r="G2" s="692"/>
      <c r="H2" s="692"/>
      <c r="I2" s="692"/>
      <c r="J2" s="47"/>
      <c r="K2" s="54"/>
      <c r="L2" s="46"/>
      <c r="M2" s="46"/>
      <c r="N2" s="46"/>
      <c r="O2" s="46"/>
      <c r="P2" s="46"/>
    </row>
    <row r="3" spans="1:17" s="48" customFormat="1" ht="18.75">
      <c r="A3" s="214"/>
      <c r="B3" s="692" t="s">
        <v>5072</v>
      </c>
      <c r="C3" s="692"/>
      <c r="D3" s="692"/>
      <c r="E3" s="692"/>
      <c r="F3" s="692"/>
      <c r="G3" s="692"/>
      <c r="H3" s="692"/>
      <c r="I3" s="692"/>
      <c r="J3" s="47"/>
      <c r="K3" s="54"/>
      <c r="L3" s="46"/>
      <c r="M3" s="46"/>
      <c r="N3" s="46"/>
      <c r="O3" s="46"/>
      <c r="P3" s="46"/>
    </row>
    <row r="4" spans="1:17" s="48" customFormat="1" ht="18.75">
      <c r="A4" s="214"/>
      <c r="B4" s="692" t="s">
        <v>5074</v>
      </c>
      <c r="C4" s="692"/>
      <c r="D4" s="692"/>
      <c r="E4" s="692"/>
      <c r="F4" s="692"/>
      <c r="G4" s="692"/>
      <c r="H4" s="692"/>
      <c r="I4" s="692"/>
      <c r="J4" s="46"/>
      <c r="K4" s="54"/>
      <c r="L4" s="46"/>
      <c r="M4" s="46"/>
      <c r="N4" s="46"/>
      <c r="O4" s="46"/>
      <c r="P4" s="46"/>
    </row>
    <row r="5" spans="1:17" s="48" customFormat="1" ht="18.75">
      <c r="A5" s="214"/>
      <c r="B5" s="692" t="s">
        <v>6347</v>
      </c>
      <c r="C5" s="692"/>
      <c r="D5" s="692"/>
      <c r="E5" s="692"/>
      <c r="F5" s="692"/>
      <c r="G5" s="692"/>
      <c r="H5" s="692"/>
      <c r="I5" s="692"/>
      <c r="J5" s="46"/>
      <c r="K5" s="54"/>
      <c r="L5" s="46"/>
      <c r="M5" s="46"/>
      <c r="N5" s="46"/>
      <c r="O5" s="46"/>
      <c r="P5" s="46"/>
    </row>
    <row r="6" spans="1:17" s="48" customFormat="1" ht="12.75" customHeight="1">
      <c r="A6" s="214"/>
      <c r="B6" s="689" t="s">
        <v>61</v>
      </c>
      <c r="C6" s="689"/>
      <c r="D6" s="690" t="s">
        <v>8522</v>
      </c>
      <c r="E6" s="690"/>
      <c r="G6" s="49"/>
      <c r="H6" s="49" t="s">
        <v>62</v>
      </c>
      <c r="I6" s="200">
        <f>'036-20-CAPA'!C19</f>
        <v>44370</v>
      </c>
      <c r="J6" s="47"/>
      <c r="K6" s="54"/>
      <c r="L6" s="46"/>
      <c r="M6" s="46"/>
      <c r="N6" s="46"/>
      <c r="O6" s="46"/>
      <c r="P6" s="46"/>
      <c r="Q6" s="46"/>
    </row>
    <row r="7" spans="1:17" s="48" customFormat="1" ht="41.45" customHeight="1">
      <c r="A7" s="214"/>
      <c r="B7" s="689" t="s">
        <v>63</v>
      </c>
      <c r="C7" s="689"/>
      <c r="D7" s="693" t="s">
        <v>8375</v>
      </c>
      <c r="E7" s="693"/>
      <c r="F7" s="693"/>
      <c r="G7" s="50"/>
      <c r="H7" s="50" t="s">
        <v>16</v>
      </c>
      <c r="I7" s="133" t="s">
        <v>8374</v>
      </c>
      <c r="J7" s="46"/>
      <c r="K7" s="54"/>
      <c r="L7" s="46"/>
      <c r="M7" s="46"/>
      <c r="N7" s="46"/>
      <c r="O7" s="46"/>
      <c r="P7" s="46"/>
    </row>
    <row r="8" spans="1:17" s="48" customFormat="1" ht="28.5" customHeight="1">
      <c r="A8" s="214"/>
      <c r="B8" s="691" t="s">
        <v>18</v>
      </c>
      <c r="C8" s="689" t="s">
        <v>64</v>
      </c>
      <c r="D8" s="694" t="s">
        <v>6338</v>
      </c>
      <c r="E8" s="694"/>
      <c r="F8" s="694"/>
      <c r="G8" s="326"/>
      <c r="H8" s="326" t="s">
        <v>65</v>
      </c>
      <c r="I8" s="327" t="s">
        <v>6341</v>
      </c>
      <c r="J8" s="47"/>
      <c r="K8" s="54"/>
      <c r="L8" s="46"/>
      <c r="M8" s="46"/>
      <c r="N8" s="46"/>
      <c r="O8" s="46"/>
      <c r="P8" s="46"/>
      <c r="Q8" s="46"/>
    </row>
    <row r="9" spans="1:17" s="48" customFormat="1" ht="24.75" customHeight="1">
      <c r="A9" s="214"/>
      <c r="B9" s="689" t="s">
        <v>66</v>
      </c>
      <c r="C9" s="689"/>
      <c r="D9" s="53" t="s">
        <v>13516</v>
      </c>
      <c r="E9" s="51" t="s">
        <v>67</v>
      </c>
      <c r="F9" s="245" t="s">
        <v>6345</v>
      </c>
      <c r="G9" s="52"/>
      <c r="H9" s="52" t="s">
        <v>69</v>
      </c>
      <c r="I9" s="612" t="s">
        <v>13515</v>
      </c>
      <c r="J9" s="47"/>
      <c r="K9" s="54"/>
      <c r="L9" s="46"/>
      <c r="M9" s="46"/>
      <c r="N9" s="46"/>
      <c r="O9" s="46"/>
      <c r="P9" s="46"/>
      <c r="Q9" s="46"/>
    </row>
    <row r="10" spans="1:17" s="48" customFormat="1" ht="12.75" customHeight="1">
      <c r="A10" s="214"/>
      <c r="B10" s="345"/>
      <c r="C10" s="220"/>
      <c r="D10" s="53"/>
      <c r="E10" s="51"/>
      <c r="F10" s="222"/>
      <c r="G10" s="52"/>
      <c r="H10" s="52"/>
      <c r="I10" s="221"/>
      <c r="J10" s="47"/>
      <c r="K10" s="54"/>
      <c r="L10" s="46"/>
      <c r="M10" s="46"/>
      <c r="N10" s="46"/>
      <c r="O10" s="46"/>
      <c r="P10" s="46"/>
      <c r="Q10" s="46"/>
    </row>
    <row r="11" spans="1:17" s="1" customFormat="1" ht="30">
      <c r="A11" s="64"/>
      <c r="B11" s="353" t="s">
        <v>72</v>
      </c>
      <c r="C11" s="328" t="s">
        <v>0</v>
      </c>
      <c r="D11" s="328" t="s">
        <v>1</v>
      </c>
      <c r="E11" s="329" t="s">
        <v>135</v>
      </c>
      <c r="F11" s="329" t="s">
        <v>2</v>
      </c>
      <c r="G11" s="329" t="s">
        <v>6344</v>
      </c>
      <c r="H11" s="329" t="s">
        <v>6346</v>
      </c>
      <c r="I11" s="329" t="s">
        <v>139</v>
      </c>
      <c r="K11" s="64"/>
    </row>
    <row r="12" spans="1:17" s="223" customFormat="1">
      <c r="A12" s="233"/>
      <c r="B12" s="224" t="s">
        <v>6377</v>
      </c>
      <c r="C12" s="224" t="s">
        <v>6348</v>
      </c>
      <c r="D12" s="226" t="s">
        <v>6349</v>
      </c>
      <c r="E12" s="227"/>
      <c r="F12" s="227"/>
      <c r="G12" s="227"/>
      <c r="H12" s="227"/>
      <c r="I12" s="228"/>
      <c r="K12" s="232">
        <f t="shared" ref="K12:K15" si="0">G12*F12</f>
        <v>0</v>
      </c>
    </row>
    <row r="13" spans="1:17" s="223" customFormat="1">
      <c r="A13" s="233"/>
      <c r="B13" s="224" t="s">
        <v>6378</v>
      </c>
      <c r="C13" s="224" t="s">
        <v>6348</v>
      </c>
      <c r="D13" s="229" t="s">
        <v>6350</v>
      </c>
      <c r="E13" s="230"/>
      <c r="F13" s="230"/>
      <c r="G13" s="230"/>
      <c r="H13" s="230"/>
      <c r="I13" s="231"/>
      <c r="K13" s="232">
        <f t="shared" si="0"/>
        <v>0</v>
      </c>
    </row>
    <row r="14" spans="1:17" s="223" customFormat="1">
      <c r="A14" s="233"/>
      <c r="B14" s="224" t="s">
        <v>6379</v>
      </c>
      <c r="C14" s="224" t="s">
        <v>6348</v>
      </c>
      <c r="D14" s="226" t="s">
        <v>6351</v>
      </c>
      <c r="E14" s="227"/>
      <c r="F14" s="227"/>
      <c r="G14" s="227"/>
      <c r="H14" s="227"/>
      <c r="I14" s="228"/>
      <c r="K14" s="232">
        <f t="shared" si="0"/>
        <v>0</v>
      </c>
    </row>
    <row r="15" spans="1:17" s="223" customFormat="1">
      <c r="A15" s="233"/>
      <c r="B15" s="224" t="s">
        <v>6380</v>
      </c>
      <c r="C15" s="224" t="s">
        <v>6348</v>
      </c>
      <c r="D15" s="229" t="s">
        <v>6352</v>
      </c>
      <c r="E15" s="230"/>
      <c r="F15" s="230"/>
      <c r="G15" s="230"/>
      <c r="H15" s="230"/>
      <c r="I15" s="231"/>
      <c r="K15" s="232">
        <f t="shared" si="0"/>
        <v>0</v>
      </c>
    </row>
    <row r="16" spans="1:17" s="223" customFormat="1" ht="51">
      <c r="A16" s="233" t="s">
        <v>4542</v>
      </c>
      <c r="B16" s="454" t="s">
        <v>6353</v>
      </c>
      <c r="C16" s="540">
        <v>93207</v>
      </c>
      <c r="D16" s="451" t="str">
        <f>IF(A16="SERVIÇO",VLOOKUP(C16,SERVIÇOS!$A$6:$D$7645,2,0),IF(A16="INSUMO",VLOOKUP(C16,INSUMOS!$A$6:$D$6961,2,0),IF('036.02-20-CANTEIRO.'!A16="COTAÇÃO",VLOOKUP('036.02-20-CANTEIRO.'!C16,'036-20-Cotação'!$A$9:$G$529,2,0),IF('036.02-20-CANTEIRO.'!A16="CCU",VLOOKUP('036.02-20-CANTEIRO.'!C16,'036-20-CCU''s'!$B$9:$H$1962,2,0)))))&amp;" - ESCRITÓRIO CONSTRUTOR"</f>
        <v>EXECUÇÃO DE ESCRITÓRIO EM CANTEIRO DE OBRA EM CHAPA DE MADEIRA COMPENSADA, NÃO INCLUSO MOBILIÁRIO E EQUIPAMENTOS. AF_02/2016 - ESCRITÓRIO CONSTRUTOR</v>
      </c>
      <c r="E16" s="452" t="str">
        <f>IF(A16="SERVIÇO",VLOOKUP(C16,SERVIÇOS!$A$6:$D$7645,3,0),IF(A16="INSUMO",VLOOKUP(C16,INSUMOS!$A$6:$D$6961,3,0),IF('036.02-20-CANTEIRO.'!A16="COTAÇÃO",VLOOKUP('036.02-20-CANTEIRO.'!C16,'036-20-Cotação'!$A$9:$G$529,4,0),IF('036.02-20-CANTEIRO.'!A16="CCU",VLOOKUP('036.02-20-CANTEIRO.'!C16,'036-20-CCU''s'!$B$9:$H$1962,4,0)))))</f>
        <v>M2</v>
      </c>
      <c r="F16" s="453">
        <v>45</v>
      </c>
      <c r="G16" s="534" t="str">
        <f>IF(A16="SERVIÇO",VLOOKUP(C16,SERVIÇOS!$A$6:$D$7645,4,0),IF(A16="INSUMO",VLOOKUP(C16,INSUMOS!$A$6:$D$6961,4,0),IF('036.02-20-CANTEIRO.'!A16="COTAÇÃO",VLOOKUP('036.02-20-CANTEIRO.'!C16,'036-20-Cotação'!$A$9:$G$529,3,0),IF('036.02-20-CANTEIRO.'!A16="CCU",VLOOKUP('036.02-20-CANTEIRO.'!C16,'036-20-CCU''s'!$B$9:$H$1962,7,0)))))</f>
        <v>772,07</v>
      </c>
      <c r="H16" s="528">
        <f>BDI_O.A.E!$H$22</f>
        <v>0.18201100192553743</v>
      </c>
      <c r="I16" s="535">
        <f>F16*(G16*(1+H16))</f>
        <v>41066.785541549238</v>
      </c>
      <c r="K16" s="232">
        <f>F16*(G16*(1+H16))</f>
        <v>41066.785541549238</v>
      </c>
      <c r="L16" s="539"/>
      <c r="M16" s="539"/>
    </row>
    <row r="17" spans="1:13" s="223" customFormat="1" ht="51">
      <c r="A17" s="233" t="s">
        <v>4542</v>
      </c>
      <c r="B17" s="454" t="s">
        <v>6354</v>
      </c>
      <c r="C17" s="540">
        <v>93207</v>
      </c>
      <c r="D17" s="451" t="str">
        <f>IF(A17="SERVIÇO",VLOOKUP(C17,SERVIÇOS!$A$6:$D$7645,2,0),IF(A17="INSUMO",VLOOKUP(C17,INSUMOS!$A$6:$D$6961,2,0),IF('036.02-20-CANTEIRO.'!A17="COTAÇÃO",VLOOKUP('036.02-20-CANTEIRO.'!C17,'036-20-Cotação'!$A$9:$G$529,2,0),IF('036.02-20-CANTEIRO.'!A17="CCU",VLOOKUP('036.02-20-CANTEIRO.'!C17,'036-20-CCU''s'!$B$9:$H$1962,2,0)))))&amp;" - ESCRITÓRIO CONSULTOR"</f>
        <v>EXECUÇÃO DE ESCRITÓRIO EM CANTEIRO DE OBRA EM CHAPA DE MADEIRA COMPENSADA, NÃO INCLUSO MOBILIÁRIO E EQUIPAMENTOS. AF_02/2016 - ESCRITÓRIO CONSULTOR</v>
      </c>
      <c r="E17" s="452" t="str">
        <f>IF(A17="SERVIÇO",VLOOKUP(C17,SERVIÇOS!$A$6:$D$7645,3,0),IF(A17="INSUMO",VLOOKUP(C17,INSUMOS!$A$6:$D$6961,3,0),IF('036.02-20-CANTEIRO.'!A17="COTAÇÃO",VLOOKUP('036.02-20-CANTEIRO.'!C17,'036-20-Cotação'!$A$9:$G$529,4,0),IF('036.02-20-CANTEIRO.'!A17="CCU",VLOOKUP('036.02-20-CANTEIRO.'!C17,'036-20-CCU''s'!$B$9:$H$1962,4,0)))))</f>
        <v>M2</v>
      </c>
      <c r="F17" s="453">
        <v>15</v>
      </c>
      <c r="G17" s="534" t="str">
        <f>IF(A17="SERVIÇO",VLOOKUP(C17,SERVIÇOS!$A$6:$D$7645,4,0),IF(A17="INSUMO",VLOOKUP(C17,INSUMOS!$A$6:$D$6961,4,0),IF('036.02-20-CANTEIRO.'!A17="COTAÇÃO",VLOOKUP('036.02-20-CANTEIRO.'!C17,'036-20-Cotação'!$A$9:$G$529,3,0),IF('036.02-20-CANTEIRO.'!A17="CCU",VLOOKUP('036.02-20-CANTEIRO.'!C17,'036-20-CCU''s'!$B$9:$H$1962,7,0)))))</f>
        <v>772,07</v>
      </c>
      <c r="H17" s="528">
        <f>BDI_O.A.E!$H$22</f>
        <v>0.18201100192553743</v>
      </c>
      <c r="I17" s="535">
        <f t="shared" ref="I17:I41" si="1">F17*(G17*(1+H17))</f>
        <v>13688.928513849747</v>
      </c>
      <c r="K17" s="232">
        <f t="shared" ref="K17:K80" si="2">F17*(G17*(1+H17))</f>
        <v>13688.928513849747</v>
      </c>
      <c r="L17" s="539"/>
      <c r="M17" s="539"/>
    </row>
    <row r="18" spans="1:13" s="223" customFormat="1" ht="51">
      <c r="A18" s="233" t="s">
        <v>4542</v>
      </c>
      <c r="B18" s="454" t="s">
        <v>6355</v>
      </c>
      <c r="C18" s="540">
        <v>93207</v>
      </c>
      <c r="D18" s="451" t="str">
        <f>IF(A18="SERVIÇO",VLOOKUP(C18,SERVIÇOS!$A$6:$D$7645,2,0),IF(A18="INSUMO",VLOOKUP(C18,INSUMOS!$A$6:$D$6961,2,0),IF('036.02-20-CANTEIRO.'!A18="COTAÇÃO",VLOOKUP('036.02-20-CANTEIRO.'!C18,'036-20-Cotação'!$A$9:$G$529,2,0),IF('036.02-20-CANTEIRO.'!A18="CCU",VLOOKUP('036.02-20-CANTEIRO.'!C18,'036-20-CCU''s'!$B$9:$H$1962,2,0)))))&amp;" - ESCRITÓRIO FISCALIZAÇÃO"</f>
        <v>EXECUÇÃO DE ESCRITÓRIO EM CANTEIRO DE OBRA EM CHAPA DE MADEIRA COMPENSADA, NÃO INCLUSO MOBILIÁRIO E EQUIPAMENTOS. AF_02/2016 - ESCRITÓRIO FISCALIZAÇÃO</v>
      </c>
      <c r="E18" s="452" t="str">
        <f>IF(A18="SERVIÇO",VLOOKUP(C18,SERVIÇOS!$A$6:$D$7645,3,0),IF(A18="INSUMO",VLOOKUP(C18,INSUMOS!$A$6:$D$6961,3,0),IF('036.02-20-CANTEIRO.'!A18="COTAÇÃO",VLOOKUP('036.02-20-CANTEIRO.'!C18,'036-20-Cotação'!$A$9:$G$529,4,0),IF('036.02-20-CANTEIRO.'!A18="CCU",VLOOKUP('036.02-20-CANTEIRO.'!C18,'036-20-CCU''s'!$B$9:$H$1962,4,0)))))</f>
        <v>M2</v>
      </c>
      <c r="F18" s="453">
        <v>20</v>
      </c>
      <c r="G18" s="534" t="str">
        <f>IF(A18="SERVIÇO",VLOOKUP(C18,SERVIÇOS!$A$6:$D$7645,4,0),IF(A18="INSUMO",VLOOKUP(C18,INSUMOS!$A$6:$D$6961,4,0),IF('036.02-20-CANTEIRO.'!A18="COTAÇÃO",VLOOKUP('036.02-20-CANTEIRO.'!C18,'036-20-Cotação'!$A$9:$G$529,3,0),IF('036.02-20-CANTEIRO.'!A18="CCU",VLOOKUP('036.02-20-CANTEIRO.'!C18,'036-20-CCU''s'!$B$9:$H$1962,7,0)))))</f>
        <v>772,07</v>
      </c>
      <c r="H18" s="528">
        <f>BDI_O.A.E!$H$22</f>
        <v>0.18201100192553743</v>
      </c>
      <c r="I18" s="535">
        <f t="shared" si="1"/>
        <v>18251.904685132995</v>
      </c>
      <c r="K18" s="232">
        <f t="shared" si="2"/>
        <v>18251.904685132995</v>
      </c>
      <c r="L18" s="539"/>
      <c r="M18" s="539"/>
    </row>
    <row r="19" spans="1:13" s="223" customFormat="1">
      <c r="A19" s="233"/>
      <c r="B19" s="224" t="s">
        <v>6376</v>
      </c>
      <c r="C19" s="224" t="s">
        <v>6348</v>
      </c>
      <c r="D19" s="229" t="s">
        <v>6356</v>
      </c>
      <c r="E19" s="230"/>
      <c r="F19" s="230"/>
      <c r="G19" s="230"/>
      <c r="H19" s="342"/>
      <c r="I19" s="231"/>
      <c r="K19" s="232">
        <f t="shared" si="2"/>
        <v>0</v>
      </c>
    </row>
    <row r="20" spans="1:13" s="223" customFormat="1" ht="63.75">
      <c r="A20" s="233" t="s">
        <v>4542</v>
      </c>
      <c r="B20" s="454" t="s">
        <v>6381</v>
      </c>
      <c r="C20" s="324">
        <v>93208</v>
      </c>
      <c r="D20" s="451" t="str">
        <f>IF(A20="SERVIÇO",VLOOKUP(C20,SERVIÇOS!$A$6:$D$7645,2,0),IF(A20="INSUMO",VLOOKUP(C20,INSUMOS!$A$6:$D$6961,2,0),IF('036.02-20-CANTEIRO.'!A20="COTAÇÃO",VLOOKUP('036.02-20-CANTEIRO.'!C20,'036-20-Cotação'!$A$9:$G$529,2,0),IF('036.02-20-CANTEIRO.'!A20="CCU",VLOOKUP('036.02-20-CANTEIRO.'!C20,'036-20-CCU''s'!$B$9:$H$1962,2,0)))))&amp;" - ALMOXARIFADO E DEPÓSITO DE CIMENTO"</f>
        <v>EXECUÇÃO DE ALMOXARIFADO EM CANTEIRO DE OBRA EM CHAPA DE MADEIRA COMPENSADA, INCLUSO PRATELEIRAS. AF_02/2016 - ALMOXARIFADO E DEPÓSITO DE CIMENTO</v>
      </c>
      <c r="E20" s="452" t="str">
        <f>IF(A20="SERVIÇO",VLOOKUP(C20,SERVIÇOS!$A$6:$D$7645,3,0),IF(A20="INSUMO",VLOOKUP(C20,INSUMOS!$A$6:$D$6961,3,0),IF('036.02-20-CANTEIRO.'!A20="COTAÇÃO",VLOOKUP('036.02-20-CANTEIRO.'!C20,'036-20-Cotação'!$A$9:$G$529,4,0),IF('036.02-20-CANTEIRO.'!A20="CCU",VLOOKUP('036.02-20-CANTEIRO.'!C20,'036-20-CCU''s'!$B$9:$H$1962,4,0)))))</f>
        <v>M2</v>
      </c>
      <c r="F20" s="453">
        <v>50</v>
      </c>
      <c r="G20" s="534" t="str">
        <f>IF(A20="SERVIÇO",VLOOKUP(C20,SERVIÇOS!$A$6:$D$7645,4,0),IF(A20="INSUMO",VLOOKUP(C20,INSUMOS!$A$6:$D$6961,4,0),IF('036.02-20-CANTEIRO.'!A20="COTAÇÃO",VLOOKUP('036.02-20-CANTEIRO.'!C20,'036-20-Cotação'!$A$9:$G$529,3,0),IF('036.02-20-CANTEIRO.'!A20="CCU",VLOOKUP('036.02-20-CANTEIRO.'!C20,'036-20-CCU''s'!$B$9:$H$1962,7,0)))))</f>
        <v>595,28</v>
      </c>
      <c r="H20" s="528">
        <f>BDI_O.A.E!$H$22</f>
        <v>0.18201100192553743</v>
      </c>
      <c r="I20" s="535">
        <f t="shared" si="1"/>
        <v>35181.375461311691</v>
      </c>
      <c r="K20" s="232">
        <f t="shared" si="2"/>
        <v>35181.375461311691</v>
      </c>
    </row>
    <row r="21" spans="1:13" s="223" customFormat="1" ht="25.5">
      <c r="A21" s="233" t="s">
        <v>4543</v>
      </c>
      <c r="B21" s="454" t="s">
        <v>6382</v>
      </c>
      <c r="C21" s="324" t="s">
        <v>6262</v>
      </c>
      <c r="D21" s="451" t="str">
        <f>IF(A21="SERVIÇO",VLOOKUP(C21,SERVIÇOS!$A$6:$D$7645,2,0),IF(A21="INSUMO",VLOOKUP(C21,INSUMOS!$A$6:$D$6961,2,0),IF('036.02-20-CANTEIRO.'!A21="COTAÇÃO",VLOOKUP('036.02-20-CANTEIRO.'!C21,'036-20-Cotação'!$A$9:$G$529,2,0),IF('036.02-20-CANTEIRO.'!A21="CCU",VLOOKUP('036.02-20-CANTEIRO.'!C21,'036-20-CCU''s'!$B$9:$H$1962,2,0)))))</f>
        <v>EXECUÇÃO DE ÁREA DE DESCARGA E DEPOSITO DE MATERIAIS DIVERSOS</v>
      </c>
      <c r="E21" s="452" t="str">
        <f>IF(A21="SERVIÇO",VLOOKUP(C21,SERVIÇOS!$A$6:$D$7645,3,0),IF(A21="INSUMO",VLOOKUP(C21,INSUMOS!$A$6:$D$6961,3,0),IF('036.02-20-CANTEIRO.'!A21="COTAÇÃO",VLOOKUP('036.02-20-CANTEIRO.'!C21,'036-20-Cotação'!$A$9:$G$529,4,0),IF('036.02-20-CANTEIRO.'!A21="CCU",VLOOKUP('036.02-20-CANTEIRO.'!C21,'036-20-CCU''s'!$B$9:$H$1962,4,0)))))</f>
        <v>M2</v>
      </c>
      <c r="F21" s="453">
        <v>108</v>
      </c>
      <c r="G21" s="534">
        <f>IF(A21="SERVIÇO",VLOOKUP(C21,SERVIÇOS!$A$6:$D$7645,4,0),IF(A21="INSUMO",VLOOKUP(C21,INSUMOS!$A$6:$D$6961,4,0),IF('036.02-20-CANTEIRO.'!A21="COTAÇÃO",VLOOKUP('036.02-20-CANTEIRO.'!C21,'036-20-Cotação'!$A$9:$G$529,3,0),IF('036.02-20-CANTEIRO.'!A21="CCU",VLOOKUP('036.02-20-CANTEIRO.'!C21,'036-20-CCU''s'!$B$9:$H$1962,7,0)))))</f>
        <v>192.81</v>
      </c>
      <c r="H21" s="528">
        <f>BDI_O.A.E!$H$22</f>
        <v>0.18201100192553743</v>
      </c>
      <c r="I21" s="535">
        <f t="shared" si="1"/>
        <v>24613.58245837639</v>
      </c>
      <c r="K21" s="232">
        <f t="shared" si="2"/>
        <v>24613.58245837639</v>
      </c>
    </row>
    <row r="22" spans="1:13" s="223" customFormat="1">
      <c r="A22" s="233"/>
      <c r="B22" s="224" t="s">
        <v>6383</v>
      </c>
      <c r="C22" s="224" t="s">
        <v>6348</v>
      </c>
      <c r="D22" s="229" t="s">
        <v>6388</v>
      </c>
      <c r="E22" s="230"/>
      <c r="F22" s="230"/>
      <c r="G22" s="230"/>
      <c r="H22" s="342"/>
      <c r="I22" s="231"/>
      <c r="K22" s="232">
        <f t="shared" si="2"/>
        <v>0</v>
      </c>
    </row>
    <row r="23" spans="1:13" s="223" customFormat="1" ht="51">
      <c r="A23" s="233" t="s">
        <v>4542</v>
      </c>
      <c r="B23" s="454" t="s">
        <v>6384</v>
      </c>
      <c r="C23" s="324">
        <v>93210</v>
      </c>
      <c r="D23" s="451" t="str">
        <f>IF(A23="SERVIÇO",VLOOKUP(C23,SERVIÇOS!$A$6:$D$7645,2,0),IF(A23="INSUMO",VLOOKUP(C23,INSUMOS!$A$6:$D$6961,2,0),IF('036.02-20-CANTEIRO.'!A23="COTAÇÃO",VLOOKUP('036.02-20-CANTEIRO.'!C23,'036-20-Cotação'!$A$9:$G$529,2,0),IF('036.02-20-CANTEIRO.'!A23="CCU",VLOOKUP('036.02-20-CANTEIRO.'!C23,'036-20-CCU''s'!$B$9:$H$1962,2,0)))))</f>
        <v>EXECUÇÃO DE REFEITÓRIO EM CANTEIRO DE OBRA EM CHAPA DE MADEIRA COMPENSADA, NÃO INCLUSO MOBILIÁRIO E EQUIPAMENTOS. AF_02/2016</v>
      </c>
      <c r="E23" s="452" t="str">
        <f>IF(A23="SERVIÇO",VLOOKUP(C23,SERVIÇOS!$A$6:$D$7645,3,0),IF(A23="INSUMO",VLOOKUP(C23,INSUMOS!$A$6:$D$6961,3,0),IF('036.02-20-CANTEIRO.'!A23="COTAÇÃO",VLOOKUP('036.02-20-CANTEIRO.'!C23,'036-20-Cotação'!$A$9:$G$529,4,0),IF('036.02-20-CANTEIRO.'!A23="CCU",VLOOKUP('036.02-20-CANTEIRO.'!C23,'036-20-CCU''s'!$B$9:$H$1962,4,0)))))</f>
        <v>M2</v>
      </c>
      <c r="F23" s="453">
        <v>24</v>
      </c>
      <c r="G23" s="534" t="str">
        <f>IF(A23="SERVIÇO",VLOOKUP(C23,SERVIÇOS!$A$6:$D$7645,4,0),IF(A23="INSUMO",VLOOKUP(C23,INSUMOS!$A$6:$D$6961,4,0),IF('036.02-20-CANTEIRO.'!A23="COTAÇÃO",VLOOKUP('036.02-20-CANTEIRO.'!C23,'036-20-Cotação'!$A$9:$G$529,3,0),IF('036.02-20-CANTEIRO.'!A23="CCU",VLOOKUP('036.02-20-CANTEIRO.'!C23,'036-20-CCU''s'!$B$9:$H$1962,7,0)))))</f>
        <v>388,42</v>
      </c>
      <c r="H23" s="528">
        <f>BDI_O.A.E!$H$22</f>
        <v>0.18201100192553743</v>
      </c>
      <c r="I23" s="535">
        <f t="shared" si="1"/>
        <v>11018.801120830014</v>
      </c>
      <c r="K23" s="232">
        <f t="shared" si="2"/>
        <v>11018.801120830014</v>
      </c>
    </row>
    <row r="24" spans="1:13" s="223" customFormat="1">
      <c r="A24" s="233"/>
      <c r="B24" s="224" t="s">
        <v>6385</v>
      </c>
      <c r="C24" s="224" t="s">
        <v>6348</v>
      </c>
      <c r="D24" s="229" t="s">
        <v>6389</v>
      </c>
      <c r="E24" s="230"/>
      <c r="F24" s="230"/>
      <c r="G24" s="230"/>
      <c r="H24" s="342"/>
      <c r="I24" s="231"/>
      <c r="K24" s="232">
        <f t="shared" si="2"/>
        <v>0</v>
      </c>
    </row>
    <row r="25" spans="1:13" s="223" customFormat="1" ht="51">
      <c r="A25" s="233" t="s">
        <v>4542</v>
      </c>
      <c r="B25" s="454" t="s">
        <v>6386</v>
      </c>
      <c r="C25" s="324">
        <v>93212</v>
      </c>
      <c r="D25" s="451" t="str">
        <f>IF(A25="SERVIÇO",VLOOKUP(C25,SERVIÇOS!$A$6:$D$7645,2,0),IF(A25="INSUMO",VLOOKUP(C25,INSUMOS!$A$6:$D$6961,2,0),IF('036.02-20-CANTEIRO.'!A25="COTAÇÃO",VLOOKUP('036.02-20-CANTEIRO.'!C25,'036-20-Cotação'!$A$9:$G$529,2,0),IF('036.02-20-CANTEIRO.'!A25="CCU",VLOOKUP('036.02-20-CANTEIRO.'!C25,'036-20-CCU''s'!$B$9:$H$1962,2,0)))))</f>
        <v>EXECUÇÃO DE SANITÁRIO E VESTIÁRIO EM CANTEIRO DE OBRA EM CHAPA DE MADEIRA COMPENSADA, NÃO INCLUSO MOBILIÁRIO. AF_02/2016</v>
      </c>
      <c r="E25" s="452" t="str">
        <f>IF(A25="SERVIÇO",VLOOKUP(C25,SERVIÇOS!$A$6:$D$7645,3,0),IF(A25="INSUMO",VLOOKUP(C25,INSUMOS!$A$6:$D$6961,3,0),IF('036.02-20-CANTEIRO.'!A25="COTAÇÃO",VLOOKUP('036.02-20-CANTEIRO.'!C25,'036-20-Cotação'!$A$9:$G$529,4,0),IF('036.02-20-CANTEIRO.'!A25="CCU",VLOOKUP('036.02-20-CANTEIRO.'!C25,'036-20-CCU''s'!$B$9:$H$1962,4,0)))))</f>
        <v>M2</v>
      </c>
      <c r="F25" s="453">
        <v>40</v>
      </c>
      <c r="G25" s="534" t="str">
        <f>IF(A25="SERVIÇO",VLOOKUP(C25,SERVIÇOS!$A$6:$D$7645,4,0),IF(A25="INSUMO",VLOOKUP(C25,INSUMOS!$A$6:$D$6961,4,0),IF('036.02-20-CANTEIRO.'!A25="COTAÇÃO",VLOOKUP('036.02-20-CANTEIRO.'!C25,'036-20-Cotação'!$A$9:$G$529,3,0),IF('036.02-20-CANTEIRO.'!A25="CCU",VLOOKUP('036.02-20-CANTEIRO.'!C25,'036-20-CCU''s'!$B$9:$H$1962,7,0)))))</f>
        <v>687,78</v>
      </c>
      <c r="H25" s="528">
        <f>BDI_O.A.E!$H$22</f>
        <v>0.18201100192553743</v>
      </c>
      <c r="I25" s="535">
        <f t="shared" si="1"/>
        <v>32518.541076173842</v>
      </c>
      <c r="K25" s="232">
        <f t="shared" si="2"/>
        <v>32518.541076173842</v>
      </c>
    </row>
    <row r="26" spans="1:13" s="223" customFormat="1" ht="25.5">
      <c r="A26" s="233" t="s">
        <v>12</v>
      </c>
      <c r="B26" s="454" t="s">
        <v>6395</v>
      </c>
      <c r="C26" s="324" t="s">
        <v>6396</v>
      </c>
      <c r="D26" s="451" t="str">
        <f>IF(A26="SERVIÇO",VLOOKUP(C26,SERVIÇOS!$A$6:$D$7645,2,0),IF(A26="INSUMO",VLOOKUP(C26,INSUMOS!$A$6:$D$6961,2,0),IF('036.02-20-CANTEIRO.'!A26="COTAÇÃO",VLOOKUP('036.02-20-CANTEIRO.'!C26,'036-20-Cotação'!$A$9:$G$529,2,0),IF('036.02-20-CANTEIRO.'!A26="CCU",VLOOKUP('036.02-20-CANTEIRO.'!C26,'036-20-CCU''s'!$B$9:$H$1962,2,0)))))</f>
        <v>LOCAÇÃO DE BANHEIRO ECOLOGICO  PARA CANTEIRO DE OBRAS - 2 UNDIDADES</v>
      </c>
      <c r="E26" s="452" t="str">
        <f>IF(A26="SERVIÇO",VLOOKUP(C26,SERVIÇOS!$A$6:$D$7645,3,0),IF(A26="INSUMO",VLOOKUP(C26,INSUMOS!$A$6:$D$6961,3,0),IF('036.02-20-CANTEIRO.'!A26="COTAÇÃO",VLOOKUP('036.02-20-CANTEIRO.'!C26,'036-20-Cotação'!$A$9:$G$529,4,0),IF('036.02-20-CANTEIRO.'!A26="CCU",VLOOKUP('036.02-20-CANTEIRO.'!C26,'036-20-CCU''s'!$B$9:$H$1962,4,0)))))</f>
        <v>MÊS</v>
      </c>
      <c r="F26" s="453">
        <v>14</v>
      </c>
      <c r="G26" s="534">
        <f>IF(A26="SERVIÇO",VLOOKUP(C26,SERVIÇOS!$A$6:$D$7645,4,0),IF(A26="INSUMO",VLOOKUP(C26,INSUMOS!$A$6:$D$6961,4,0),IF('036.02-20-CANTEIRO.'!A26="COTAÇÃO",VLOOKUP('036.02-20-CANTEIRO.'!C26,'036-20-Cotação'!$A$9:$G$529,3,0),IF('036.02-20-CANTEIRO.'!A26="CCU",VLOOKUP('036.02-20-CANTEIRO.'!C26,'036-20-CCU''s'!$B$9:$H$1962,7,0)))))</f>
        <v>1100</v>
      </c>
      <c r="H26" s="528">
        <f>BDI_Equipamentos!$H$22</f>
        <v>0.10890619719771655</v>
      </c>
      <c r="I26" s="535">
        <f t="shared" ref="I26" si="3">F26*(G26*(1+H26))</f>
        <v>17077.155436844834</v>
      </c>
      <c r="K26" s="232">
        <f t="shared" si="2"/>
        <v>17077.155436844834</v>
      </c>
    </row>
    <row r="27" spans="1:13" s="223" customFormat="1">
      <c r="A27" s="233"/>
      <c r="B27" s="224" t="s">
        <v>6387</v>
      </c>
      <c r="C27" s="224" t="s">
        <v>6348</v>
      </c>
      <c r="D27" s="229" t="s">
        <v>6390</v>
      </c>
      <c r="E27" s="230"/>
      <c r="F27" s="230"/>
      <c r="G27" s="230"/>
      <c r="H27" s="342"/>
      <c r="I27" s="231"/>
      <c r="K27" s="232">
        <f t="shared" si="2"/>
        <v>0</v>
      </c>
    </row>
    <row r="28" spans="1:13" s="223" customFormat="1" ht="38.25">
      <c r="A28" s="233" t="s">
        <v>4542</v>
      </c>
      <c r="B28" s="454" t="s">
        <v>6393</v>
      </c>
      <c r="C28" s="324">
        <v>93585</v>
      </c>
      <c r="D28" s="451" t="str">
        <f>IF(A28="SERVIÇO",VLOOKUP(C28,SERVIÇOS!$A$6:$D$7645,2,0),IF(A28="INSUMO",VLOOKUP(C28,INSUMOS!$A$6:$D$6961,2,0),IF('036.02-20-CANTEIRO.'!A28="COTAÇÃO",VLOOKUP('036.02-20-CANTEIRO.'!C28,'036-20-Cotação'!$A$9:$G$529,2,0),IF('036.02-20-CANTEIRO.'!A28="CCU",VLOOKUP('036.02-20-CANTEIRO.'!C28,'036-20-CCU''s'!$B$9:$H$1962,2,0)))))</f>
        <v>EXECUÇÃO DE GUARITA EM CANTEIRO DE OBRA EM CHAPA DE MADEIRA COMPENSADA, NÃO INCLUSO MOBILIÁRIO. AF_04/2016</v>
      </c>
      <c r="E28" s="452" t="str">
        <f>IF(A28="SERVIÇO",VLOOKUP(C28,SERVIÇOS!$A$6:$D$7645,3,0),IF(A28="INSUMO",VLOOKUP(C28,INSUMOS!$A$6:$D$6961,3,0),IF('036.02-20-CANTEIRO.'!A28="COTAÇÃO",VLOOKUP('036.02-20-CANTEIRO.'!C28,'036-20-Cotação'!$A$9:$G$529,4,0),IF('036.02-20-CANTEIRO.'!A28="CCU",VLOOKUP('036.02-20-CANTEIRO.'!C28,'036-20-CCU''s'!$B$9:$H$1962,4,0)))))</f>
        <v>M2</v>
      </c>
      <c r="F28" s="453">
        <v>6.25</v>
      </c>
      <c r="G28" s="534" t="str">
        <f>IF(A28="SERVIÇO",VLOOKUP(C28,SERVIÇOS!$A$6:$D$7645,4,0),IF(A28="INSUMO",VLOOKUP(C28,INSUMOS!$A$6:$D$6961,4,0),IF('036.02-20-CANTEIRO.'!A28="COTAÇÃO",VLOOKUP('036.02-20-CANTEIRO.'!C28,'036-20-Cotação'!$A$9:$G$529,3,0),IF('036.02-20-CANTEIRO.'!A28="CCU",VLOOKUP('036.02-20-CANTEIRO.'!C28,'036-20-CCU''s'!$B$9:$H$1962,7,0)))))</f>
        <v>853,67</v>
      </c>
      <c r="H28" s="528">
        <f>BDI_O.A.E!$H$22</f>
        <v>0.18201100192553743</v>
      </c>
      <c r="I28" s="535">
        <f t="shared" si="1"/>
        <v>6306.5458250860847</v>
      </c>
      <c r="K28" s="232">
        <f t="shared" si="2"/>
        <v>6306.5458250860847</v>
      </c>
    </row>
    <row r="29" spans="1:13" s="223" customFormat="1">
      <c r="A29" s="233"/>
      <c r="B29" s="224" t="s">
        <v>6391</v>
      </c>
      <c r="C29" s="224" t="s">
        <v>6348</v>
      </c>
      <c r="D29" s="229" t="s">
        <v>6394</v>
      </c>
      <c r="E29" s="230"/>
      <c r="F29" s="230"/>
      <c r="G29" s="230"/>
      <c r="H29" s="342"/>
      <c r="I29" s="231"/>
      <c r="K29" s="232">
        <f t="shared" si="2"/>
        <v>0</v>
      </c>
    </row>
    <row r="30" spans="1:13" s="223" customFormat="1" ht="38.25">
      <c r="A30" s="233" t="s">
        <v>4544</v>
      </c>
      <c r="B30" s="454" t="s">
        <v>6392</v>
      </c>
      <c r="C30" s="324">
        <v>10775</v>
      </c>
      <c r="D30" s="451" t="str">
        <f>IF(A30="SERVIÇO",VLOOKUP(C30,SERVIÇOS!$A$6:$D$7645,2,0),IF(A30="INSUMO",VLOOKUP(C30,INSUMOS!$A$6:$D$6961,2,0),IF('036.02-20-CANTEIRO.'!A30="COTAÇÃO",VLOOKUP('036.02-20-CANTEIRO.'!C30,'036-20-Cotação'!$A$9:$G$529,2,0),IF('036.02-20-CANTEIRO.'!A30="CCU",VLOOKUP('036.02-20-CANTEIRO.'!C30,'036-20-CCU''s'!$B$9:$H$1962,2,0)))))</f>
        <v xml:space="preserve">LOCACAO DE CONTAINER 2,30  X  6,00 M, ALT. 2,50 M, COM 1 SANITARIO, PARA ESCRITORIO, COMPLETO, SEM DIVISORIAS INTERNAS                                                                                                                                                                                                                                                                                                                                                                                    </v>
      </c>
      <c r="E30" s="452" t="str">
        <f>IF(A30="SERVIÇO",VLOOKUP(C30,SERVIÇOS!$A$6:$D$7645,3,0),IF(A30="INSUMO",VLOOKUP(C30,INSUMOS!$A$6:$D$6961,3,0),IF('036.02-20-CANTEIRO.'!A30="COTAÇÃO",VLOOKUP('036.02-20-CANTEIRO.'!C30,'036-20-Cotação'!$A$9:$G$529,4,0),IF('036.02-20-CANTEIRO.'!A30="CCU",VLOOKUP('036.02-20-CANTEIRO.'!C30,'036-20-CCU''s'!$B$9:$H$1962,4,0)))))</f>
        <v xml:space="preserve">MES   </v>
      </c>
      <c r="F30" s="453">
        <v>17</v>
      </c>
      <c r="G30" s="534" t="str">
        <f>IF(A30="SERVIÇO",VLOOKUP(C30,SERVIÇOS!$A$6:$D$7645,4,0),IF(A30="INSUMO",VLOOKUP(C30,INSUMOS!$A$6:$D$6961,4,0),IF('036.02-20-CANTEIRO.'!A30="COTAÇÃO",VLOOKUP('036.02-20-CANTEIRO.'!C30,'036-20-Cotação'!$A$9:$G$529,3,0),IF('036.02-20-CANTEIRO.'!A30="CCU",VLOOKUP('036.02-20-CANTEIRO.'!C30,'036-20-CCU''s'!$B$9:$H$1962,7,0)))))</f>
        <v>515,00</v>
      </c>
      <c r="H30" s="528">
        <f>BDI_Equipamentos!$H$22</f>
        <v>0.10890619719771655</v>
      </c>
      <c r="I30" s="535">
        <f t="shared" si="1"/>
        <v>9708.4737564660081</v>
      </c>
      <c r="K30" s="232">
        <f t="shared" si="2"/>
        <v>9708.4737564660081</v>
      </c>
    </row>
    <row r="31" spans="1:13" s="223" customFormat="1">
      <c r="A31" s="233"/>
      <c r="B31" s="224" t="s">
        <v>6399</v>
      </c>
      <c r="C31" s="224" t="s">
        <v>6348</v>
      </c>
      <c r="D31" s="229" t="s">
        <v>6400</v>
      </c>
      <c r="E31" s="230"/>
      <c r="F31" s="230"/>
      <c r="G31" s="230"/>
      <c r="H31" s="342"/>
      <c r="I31" s="231"/>
      <c r="K31" s="232">
        <f t="shared" si="2"/>
        <v>0</v>
      </c>
    </row>
    <row r="32" spans="1:13" s="223" customFormat="1">
      <c r="A32" s="233"/>
      <c r="B32" s="224" t="s">
        <v>6401</v>
      </c>
      <c r="C32" s="224" t="s">
        <v>6348</v>
      </c>
      <c r="D32" s="229" t="s">
        <v>6406</v>
      </c>
      <c r="E32" s="230"/>
      <c r="F32" s="230"/>
      <c r="G32" s="230"/>
      <c r="H32" s="342"/>
      <c r="I32" s="231"/>
      <c r="K32" s="232">
        <f t="shared" si="2"/>
        <v>0</v>
      </c>
    </row>
    <row r="33" spans="1:13" s="223" customFormat="1" ht="51">
      <c r="A33" s="233" t="s">
        <v>4542</v>
      </c>
      <c r="B33" s="454" t="s">
        <v>6402</v>
      </c>
      <c r="C33" s="324">
        <v>93583</v>
      </c>
      <c r="D33" s="451" t="str">
        <f>IF(A33="SERVIÇO",VLOOKUP(C33,SERVIÇOS!$A$6:$D$7645,2,0),IF(A33="INSUMO",VLOOKUP(C33,INSUMOS!$A$6:$D$6961,2,0),IF('036.02-20-CANTEIRO.'!A33="COTAÇÃO",VLOOKUP('036.02-20-CANTEIRO.'!C33,'036-20-Cotação'!$A$9:$G$529,2,0),IF('036.02-20-CANTEIRO.'!A33="CCU",VLOOKUP('036.02-20-CANTEIRO.'!C33,'036-20-CCU''s'!$B$9:$H$1962,2,0)))))</f>
        <v>EXECUÇÃO DE CENTRAL DE FÔRMAS, PRODUÇÃO DE ARGAMASSA OU CONCRETO EM CANTEIRO DE OBRA, NÃO INCLUSO MOBILIÁRIO E EQUIPAMENTOS. AF_04/2016</v>
      </c>
      <c r="E33" s="452" t="str">
        <f>IF(A33="SERVIÇO",VLOOKUP(C33,SERVIÇOS!$A$6:$D$7645,3,0),IF(A33="INSUMO",VLOOKUP(C33,INSUMOS!$A$6:$D$6961,3,0),IF('036.02-20-CANTEIRO.'!A33="COTAÇÃO",VLOOKUP('036.02-20-CANTEIRO.'!C33,'036-20-Cotação'!$A$9:$G$529,4,0),IF('036.02-20-CANTEIRO.'!A33="CCU",VLOOKUP('036.02-20-CANTEIRO.'!C33,'036-20-CCU''s'!$B$9:$H$1962,4,0)))))</f>
        <v>M2</v>
      </c>
      <c r="F33" s="453">
        <v>36</v>
      </c>
      <c r="G33" s="534" t="str">
        <f>IF(A33="SERVIÇO",VLOOKUP(C33,SERVIÇOS!$A$6:$D$7645,4,0),IF(A33="INSUMO",VLOOKUP(C33,INSUMOS!$A$6:$D$6961,4,0),IF('036.02-20-CANTEIRO.'!A33="COTAÇÃO",VLOOKUP('036.02-20-CANTEIRO.'!C33,'036-20-Cotação'!$A$9:$G$529,3,0),IF('036.02-20-CANTEIRO.'!A33="CCU",VLOOKUP('036.02-20-CANTEIRO.'!C33,'036-20-CCU''s'!$B$9:$H$1962,7,0)))))</f>
        <v>320,61</v>
      </c>
      <c r="H33" s="528">
        <f>BDI_O.A.E!$H$22</f>
        <v>0.18201100192553743</v>
      </c>
      <c r="I33" s="535">
        <f t="shared" si="1"/>
        <v>13642.723703784477</v>
      </c>
      <c r="K33" s="232">
        <f t="shared" si="2"/>
        <v>13642.723703784477</v>
      </c>
    </row>
    <row r="34" spans="1:13" s="223" customFormat="1">
      <c r="A34" s="233"/>
      <c r="B34" s="224" t="s">
        <v>6403</v>
      </c>
      <c r="C34" s="224" t="s">
        <v>6348</v>
      </c>
      <c r="D34" s="229" t="s">
        <v>6405</v>
      </c>
      <c r="E34" s="230"/>
      <c r="F34" s="230"/>
      <c r="G34" s="230"/>
      <c r="H34" s="342"/>
      <c r="I34" s="231"/>
      <c r="K34" s="232">
        <f t="shared" si="2"/>
        <v>0</v>
      </c>
    </row>
    <row r="35" spans="1:13" s="223" customFormat="1" ht="38.25">
      <c r="A35" s="233" t="s">
        <v>4542</v>
      </c>
      <c r="B35" s="454" t="s">
        <v>6404</v>
      </c>
      <c r="C35" s="324">
        <v>93582</v>
      </c>
      <c r="D35" s="451" t="str">
        <f>IF(A35="SERVIÇO",VLOOKUP(C35,SERVIÇOS!$A$6:$D$7645,2,0),IF(A35="INSUMO",VLOOKUP(C35,INSUMOS!$A$6:$D$6961,2,0),IF('036.02-20-CANTEIRO.'!A35="COTAÇÃO",VLOOKUP('036.02-20-CANTEIRO.'!C35,'036-20-Cotação'!$A$9:$G$529,2,0),IF('036.02-20-CANTEIRO.'!A35="CCU",VLOOKUP('036.02-20-CANTEIRO.'!C35,'036-20-CCU''s'!$B$9:$H$1962,2,0)))))</f>
        <v>EXECUÇÃO DE CENTRAL DE ARMADURA EM CANTEIRO DE OBRA, NÃO INCLUSO MOBILIÁRIO E EQUIPAMENTOS. AF_04/2016</v>
      </c>
      <c r="E35" s="452" t="str">
        <f>IF(A35="SERVIÇO",VLOOKUP(C35,SERVIÇOS!$A$6:$D$7645,3,0),IF(A35="INSUMO",VLOOKUP(C35,INSUMOS!$A$6:$D$6961,3,0),IF('036.02-20-CANTEIRO.'!A35="COTAÇÃO",VLOOKUP('036.02-20-CANTEIRO.'!C35,'036-20-Cotação'!$A$9:$G$529,4,0),IF('036.02-20-CANTEIRO.'!A35="CCU",VLOOKUP('036.02-20-CANTEIRO.'!C35,'036-20-CCU''s'!$B$9:$H$1962,4,0)))))</f>
        <v>M2</v>
      </c>
      <c r="F35" s="453">
        <v>100</v>
      </c>
      <c r="G35" s="534" t="str">
        <f>IF(A35="SERVIÇO",VLOOKUP(C35,SERVIÇOS!$A$6:$D$7645,4,0),IF(A35="INSUMO",VLOOKUP(C35,INSUMOS!$A$6:$D$6961,4,0),IF('036.02-20-CANTEIRO.'!A35="COTAÇÃO",VLOOKUP('036.02-20-CANTEIRO.'!C35,'036-20-Cotação'!$A$9:$G$529,3,0),IF('036.02-20-CANTEIRO.'!A35="CCU",VLOOKUP('036.02-20-CANTEIRO.'!C35,'036-20-CCU''s'!$B$9:$H$1962,7,0)))))</f>
        <v>192,70</v>
      </c>
      <c r="H35" s="528">
        <f>BDI_O.A.E!$H$22</f>
        <v>0.18201100192553743</v>
      </c>
      <c r="I35" s="535">
        <f t="shared" si="1"/>
        <v>22777.352007105106</v>
      </c>
      <c r="K35" s="232">
        <f t="shared" si="2"/>
        <v>22777.352007105106</v>
      </c>
    </row>
    <row r="36" spans="1:13" s="223" customFormat="1">
      <c r="A36" s="233"/>
      <c r="B36" s="224" t="s">
        <v>6407</v>
      </c>
      <c r="C36" s="224" t="s">
        <v>6348</v>
      </c>
      <c r="D36" s="229" t="s">
        <v>6409</v>
      </c>
      <c r="E36" s="230"/>
      <c r="F36" s="230"/>
      <c r="G36" s="230"/>
      <c r="H36" s="342"/>
      <c r="I36" s="231"/>
      <c r="K36" s="232">
        <f t="shared" si="2"/>
        <v>0</v>
      </c>
    </row>
    <row r="37" spans="1:13" s="223" customFormat="1" ht="25.5">
      <c r="A37" s="233" t="s">
        <v>4543</v>
      </c>
      <c r="B37" s="454" t="s">
        <v>6408</v>
      </c>
      <c r="C37" s="324" t="s">
        <v>6264</v>
      </c>
      <c r="D37" s="451" t="str">
        <f>IF(A37="SERVIÇO",VLOOKUP(C37,SERVIÇOS!$A$6:$D$7645,2,0),IF(A37="INSUMO",VLOOKUP(C37,INSUMOS!$A$6:$D$6961,2,0),IF('036.02-20-CANTEIRO.'!A37="COTAÇÃO",VLOOKUP('036.02-20-CANTEIRO.'!C37,'036-20-Cotação'!$A$9:$G$529,2,0),IF('036.02-20-CANTEIRO.'!A37="CCU",VLOOKUP('036.02-20-CANTEIRO.'!C37,'036-20-CCU''s'!$B$9:$H$1962,2,0)))))</f>
        <v>CENTRAL DE PROTENSÃO E DEPÓSITO DE BOBINAS E TUBOS PEAD 300MM</v>
      </c>
      <c r="E37" s="452" t="str">
        <f>IF(A37="SERVIÇO",VLOOKUP(C37,SERVIÇOS!$A$6:$D$7645,3,0),IF(A37="INSUMO",VLOOKUP(C37,INSUMOS!$A$6:$D$6961,3,0),IF('036.02-20-CANTEIRO.'!A37="COTAÇÃO",VLOOKUP('036.02-20-CANTEIRO.'!C37,'036-20-Cotação'!$A$9:$G$529,4,0),IF('036.02-20-CANTEIRO.'!A37="CCU",VLOOKUP('036.02-20-CANTEIRO.'!C37,'036-20-CCU''s'!$B$9:$H$1962,4,0)))))</f>
        <v>M2</v>
      </c>
      <c r="F37" s="453">
        <v>180</v>
      </c>
      <c r="G37" s="534">
        <f>IF(A37="SERVIÇO",VLOOKUP(C37,SERVIÇOS!$A$6:$D$7645,4,0),IF(A37="INSUMO",VLOOKUP(C37,INSUMOS!$A$6:$D$6961,4,0),IF('036.02-20-CANTEIRO.'!A37="COTAÇÃO",VLOOKUP('036.02-20-CANTEIRO.'!C37,'036-20-Cotação'!$A$9:$G$529,3,0),IF('036.02-20-CANTEIRO.'!A37="CCU",VLOOKUP('036.02-20-CANTEIRO.'!C37,'036-20-CCU''s'!$B$9:$H$1962,7,0)))))</f>
        <v>192.7</v>
      </c>
      <c r="H37" s="528">
        <f>BDI_O.A.E!$H$22</f>
        <v>0.18201100192553743</v>
      </c>
      <c r="I37" s="535">
        <f t="shared" ref="I37" si="4">F37*(G37*(1+H37))</f>
        <v>40999.23361278919</v>
      </c>
      <c r="K37" s="232">
        <f t="shared" si="2"/>
        <v>40999.23361278919</v>
      </c>
    </row>
    <row r="38" spans="1:13" s="223" customFormat="1">
      <c r="A38" s="233"/>
      <c r="B38" s="224" t="s">
        <v>6411</v>
      </c>
      <c r="C38" s="224" t="s">
        <v>6348</v>
      </c>
      <c r="D38" s="229" t="s">
        <v>6412</v>
      </c>
      <c r="E38" s="230"/>
      <c r="F38" s="230"/>
      <c r="G38" s="230"/>
      <c r="H38" s="342"/>
      <c r="I38" s="231"/>
      <c r="K38" s="232">
        <f t="shared" si="2"/>
        <v>0</v>
      </c>
    </row>
    <row r="39" spans="1:13" s="223" customFormat="1" ht="216.75">
      <c r="A39" s="233" t="s">
        <v>4543</v>
      </c>
      <c r="B39" s="454" t="s">
        <v>6413</v>
      </c>
      <c r="C39" s="324" t="s">
        <v>6266</v>
      </c>
      <c r="D39" s="451" t="str">
        <f>IF(A39="SERVIÇO",VLOOKUP(C39,SERVIÇOS!$A$6:$D$7645,2,0),IF(A39="INSUMO",VLOOKUP(C39,INSUMOS!$A$6:$D$6961,2,0),IF('036.02-20-CANTEIRO.'!A39="COTAÇÃO",VLOOKUP('036.02-20-CANTEIRO.'!C39,'036-20-Cotação'!$A$9:$G$529,2,0),IF('036.02-20-CANTEIRO.'!A39="CCU",VLOOKUP('036.02-20-CANTEIRO.'!C39,'036-20-CCU''s'!$B$9:$H$1962,2,0)))))</f>
        <v>ATRACADOURO/PIER PARA ATRACACAO DE EMBARCACOES ESTRUTURADO EM PECAS DE MADEIRA SERRADA, SENDO AS LONGARINAS DE 3 X9  E AS TRANSVERSINAS DE 3 X12 , FIXADAS POR BARRAS INOX ROSQUEADAS DE 1,00MX1/2 , ASSOALHO EM RIPAS DE MADEIRA APARELHADA DE (2,5X10)CM, FIXADAS POR PREGOS LVANIZADOS DE SECAO QUADRADA NAS DIMENSOES DE (4,38X79)MM. TODO CONJUNTO ASSENTADO SOBRE PILARES CIRCULARES COM DIAMETRO DE 40CM EM CONCRETO ESTRUTURAL FCK=20MPA, REVESTIDO EM TUBO DE PEAD RIGIDO DE 400MM. FORNECIMENTO DE TODOS MATERIAIS, COLOCACAO, INSTALACAO, TRANSPORTE, TOPOGRAFIA E MONTAGEM DE TODAS AS PECAS E ACABAMENTO FINAL.</v>
      </c>
      <c r="E39" s="452" t="str">
        <f>IF(A39="SERVIÇO",VLOOKUP(C39,SERVIÇOS!$A$6:$D$7645,3,0),IF(A39="INSUMO",VLOOKUP(C39,INSUMOS!$A$6:$D$6961,3,0),IF('036.02-20-CANTEIRO.'!A39="COTAÇÃO",VLOOKUP('036.02-20-CANTEIRO.'!C39,'036-20-Cotação'!$A$9:$G$529,4,0),IF('036.02-20-CANTEIRO.'!A39="CCU",VLOOKUP('036.02-20-CANTEIRO.'!C39,'036-20-CCU''s'!$B$9:$H$1962,4,0)))))</f>
        <v>M2</v>
      </c>
      <c r="F39" s="453">
        <v>420</v>
      </c>
      <c r="G39" s="534">
        <f>IF(A39="SERVIÇO",VLOOKUP(C39,SERVIÇOS!$A$6:$D$7645,4,0),IF(A39="INSUMO",VLOOKUP(C39,INSUMOS!$A$6:$D$6961,4,0),IF('036.02-20-CANTEIRO.'!A39="COTAÇÃO",VLOOKUP('036.02-20-CANTEIRO.'!C39,'036-20-Cotação'!$A$9:$G$529,3,0),IF('036.02-20-CANTEIRO.'!A39="CCU",VLOOKUP('036.02-20-CANTEIRO.'!C39,'036-20-CCU''s'!$B$9:$H$1962,7,0)))))</f>
        <v>620.4</v>
      </c>
      <c r="H39" s="528">
        <f>BDI_O.A.E!$H$22</f>
        <v>0.18201100192553743</v>
      </c>
      <c r="I39" s="535">
        <f t="shared" si="1"/>
        <v>307994.24274973344</v>
      </c>
      <c r="K39" s="232">
        <f t="shared" si="2"/>
        <v>307994.24274973344</v>
      </c>
      <c r="M39" s="223">
        <f>5800*3</f>
        <v>17400</v>
      </c>
    </row>
    <row r="40" spans="1:13" s="223" customFormat="1">
      <c r="A40" s="233"/>
      <c r="B40" s="224" t="s">
        <v>6414</v>
      </c>
      <c r="C40" s="224" t="s">
        <v>6348</v>
      </c>
      <c r="D40" s="229" t="s">
        <v>6415</v>
      </c>
      <c r="E40" s="230"/>
      <c r="F40" s="230"/>
      <c r="G40" s="230"/>
      <c r="H40" s="342"/>
      <c r="I40" s="231"/>
      <c r="K40" s="232">
        <f t="shared" si="2"/>
        <v>0</v>
      </c>
    </row>
    <row r="41" spans="1:13" s="223" customFormat="1">
      <c r="A41" s="233" t="s">
        <v>4543</v>
      </c>
      <c r="B41" s="454" t="s">
        <v>6417</v>
      </c>
      <c r="C41" s="324">
        <v>919210</v>
      </c>
      <c r="D41" s="451" t="str">
        <f>IF(A41="SERVIÇO",VLOOKUP(C41,SERVIÇOS!$A$6:$D$7645,2,0),IF(A41="INSUMO",VLOOKUP(C41,INSUMOS!$A$6:$D$6961,2,0),IF('036.02-20-CANTEIRO.'!A41="COTAÇÃO",VLOOKUP('036.02-20-CANTEIRO.'!C41,'036-20-Cotação'!$A$9:$G$529,2,0),IF('036.02-20-CANTEIRO.'!A41="CCU",VLOOKUP('036.02-20-CANTEIRO.'!C41,'036-20-CCU''s'!$B$9:$H$1962,2,0)))))</f>
        <v>RAMPA DE LAVAGEM - INCLUSIVE DEMOLIÇÃO</v>
      </c>
      <c r="E41" s="452" t="str">
        <f>IF(A41="SERVIÇO",VLOOKUP(C41,SERVIÇOS!$A$6:$D$7645,3,0),IF(A41="INSUMO",VLOOKUP(C41,INSUMOS!$A$6:$D$6961,3,0),IF('036.02-20-CANTEIRO.'!A41="COTAÇÃO",VLOOKUP('036.02-20-CANTEIRO.'!C41,'036-20-Cotação'!$A$9:$G$529,4,0),IF('036.02-20-CANTEIRO.'!A41="CCU",VLOOKUP('036.02-20-CANTEIRO.'!C41,'036-20-CCU''s'!$B$9:$H$1962,4,0)))))</f>
        <v>UN</v>
      </c>
      <c r="F41" s="453">
        <v>1</v>
      </c>
      <c r="G41" s="534">
        <f>IF(A41="SERVIÇO",VLOOKUP(C41,SERVIÇOS!$A$6:$D$7645,4,0),IF(A41="INSUMO",VLOOKUP(C41,INSUMOS!$A$6:$D$6961,4,0),IF('036.02-20-CANTEIRO.'!A41="COTAÇÃO",VLOOKUP('036.02-20-CANTEIRO.'!C41,'036-20-Cotação'!$A$9:$G$529,3,0),IF('036.02-20-CANTEIRO.'!A41="CCU",VLOOKUP('036.02-20-CANTEIRO.'!C41,'036-20-CCU''s'!$B$9:$H$1962,7,0)))))</f>
        <v>15738.202263675117</v>
      </c>
      <c r="H41" s="528">
        <f>BDI_O.A.E!$H$22</f>
        <v>0.18201100192553743</v>
      </c>
      <c r="I41" s="535">
        <f t="shared" si="1"/>
        <v>18602.728226193387</v>
      </c>
      <c r="K41" s="232">
        <f t="shared" si="2"/>
        <v>18602.728226193387</v>
      </c>
    </row>
    <row r="42" spans="1:13" s="87" customFormat="1">
      <c r="A42" s="232"/>
      <c r="B42" s="144"/>
      <c r="C42" s="144"/>
      <c r="D42" s="144"/>
      <c r="E42" s="145"/>
      <c r="F42" s="146"/>
      <c r="G42" s="146"/>
      <c r="H42" s="343"/>
      <c r="I42" s="147"/>
      <c r="K42" s="232">
        <f t="shared" si="2"/>
        <v>0</v>
      </c>
    </row>
    <row r="43" spans="1:13" s="87" customFormat="1">
      <c r="A43" s="232"/>
      <c r="B43" s="88" t="s">
        <v>74</v>
      </c>
      <c r="C43" s="88"/>
      <c r="D43" s="148" t="s">
        <v>75</v>
      </c>
      <c r="E43" s="149"/>
      <c r="F43" s="149"/>
      <c r="G43" s="149"/>
      <c r="H43" s="149"/>
      <c r="I43" s="150"/>
      <c r="K43" s="232">
        <f t="shared" si="2"/>
        <v>0</v>
      </c>
    </row>
    <row r="44" spans="1:13" s="223" customFormat="1">
      <c r="A44" s="233"/>
      <c r="B44" s="224" t="s">
        <v>6418</v>
      </c>
      <c r="C44" s="224"/>
      <c r="D44" s="310" t="s">
        <v>6419</v>
      </c>
      <c r="E44" s="230"/>
      <c r="F44" s="230"/>
      <c r="G44" s="230"/>
      <c r="H44" s="342"/>
      <c r="I44" s="231"/>
      <c r="K44" s="232">
        <f t="shared" si="2"/>
        <v>0</v>
      </c>
    </row>
    <row r="45" spans="1:13" s="87" customFormat="1" ht="63.75">
      <c r="A45" s="233" t="s">
        <v>4542</v>
      </c>
      <c r="B45" s="324" t="s">
        <v>6420</v>
      </c>
      <c r="C45" s="324">
        <v>94648</v>
      </c>
      <c r="D45" s="451" t="str">
        <f>IF(A45="SERVIÇO",VLOOKUP(C45,SERVIÇOS!$A$6:$D$7645,2,0),IF(A45="INSUMO",VLOOKUP(C45,INSUMOS!$A$6:$D$6961,2,0),IF('036.02-20-CANTEIRO.'!A45="COTAÇÃO",VLOOKUP('036.02-20-CANTEIRO.'!C45,'036-20-Cotação'!$A$9:$G$529,2,0),IF('036.02-20-CANTEIRO.'!A45="CCU",VLOOKUP('036.02-20-CANTEIRO.'!C45,'036-20-CCU''s'!$B$9:$H$1962,2,0)))))</f>
        <v>TUBO, PVC, SOLDÁVEL, DN  25 MM, INSTALADO EM RESERVAÇÃO DE ÁGUA DE EDIFICAÇÃO QUE POSSUA RESERVATÓRIO DE FIBRA/FIBROCIMENTO   FORNECIMENTO E INSTALAÇÃO. AF_06/2016</v>
      </c>
      <c r="E45" s="452" t="str">
        <f>IF(A45="SERVIÇO",VLOOKUP(C45,SERVIÇOS!$A$6:$D$7645,3,0),IF(A45="INSUMO",VLOOKUP(C45,INSUMOS!$A$6:$D$6961,3,0),IF('036.02-20-CANTEIRO.'!A45="COTAÇÃO",VLOOKUP('036.02-20-CANTEIRO.'!C45,'036-20-Cotação'!$A$9:$G$529,4,0),IF('036.02-20-CANTEIRO.'!A45="CCU",VLOOKUP('036.02-20-CANTEIRO.'!C45,'036-20-CCU''s'!$B$9:$H$1962,4,0)))))</f>
        <v>M</v>
      </c>
      <c r="F45" s="453">
        <v>45</v>
      </c>
      <c r="G45" s="534" t="str">
        <f>IF(A45="SERVIÇO",VLOOKUP(C45,SERVIÇOS!$A$6:$D$7645,4,0),IF(A45="INSUMO",VLOOKUP(C45,INSUMOS!$A$6:$D$6961,4,0),IF('036.02-20-CANTEIRO.'!A45="COTAÇÃO",VLOOKUP('036.02-20-CANTEIRO.'!C45,'036-20-Cotação'!$A$9:$G$529,3,0),IF('036.02-20-CANTEIRO.'!A45="CCU",VLOOKUP('036.02-20-CANTEIRO.'!C45,'036-20-CCU''s'!$B$9:$H$1962,7,0)))))</f>
        <v>8,06</v>
      </c>
      <c r="H45" s="528">
        <f>BDI_O.A.E!$H$22</f>
        <v>0.18201100192553743</v>
      </c>
      <c r="I45" s="535">
        <f t="shared" ref="I45:I47" si="5">F45*(G45*(1+H45))</f>
        <v>428.71539039839246</v>
      </c>
      <c r="K45" s="232">
        <f t="shared" si="2"/>
        <v>428.71539039839246</v>
      </c>
    </row>
    <row r="46" spans="1:13" s="87" customFormat="1" ht="63.75">
      <c r="A46" s="233" t="s">
        <v>4542</v>
      </c>
      <c r="B46" s="324" t="s">
        <v>6421</v>
      </c>
      <c r="C46" s="324">
        <v>94649</v>
      </c>
      <c r="D46" s="451" t="str">
        <f>IF(A46="SERVIÇO",VLOOKUP(C46,SERVIÇOS!$A$6:$D$7645,2,0),IF(A46="INSUMO",VLOOKUP(C46,INSUMOS!$A$6:$D$6961,2,0),IF('036.02-20-CANTEIRO.'!A46="COTAÇÃO",VLOOKUP('036.02-20-CANTEIRO.'!C46,'036-20-Cotação'!$A$9:$G$529,2,0),IF('036.02-20-CANTEIRO.'!A46="CCU",VLOOKUP('036.02-20-CANTEIRO.'!C46,'036-20-CCU''s'!$B$9:$H$1962,2,0)))))</f>
        <v>TUBO, PVC, SOLDÁVEL, DN 32 MM, INSTALADO EM RESERVAÇÃO DE ÁGUA DE EDIFICAÇÃO QUE POSSUA RESERVATÓRIO DE FIBRA/FIBROCIMENTO   FORNECIMENTO E INSTALAÇÃO. AF_06/2016</v>
      </c>
      <c r="E46" s="452" t="str">
        <f>IF(A46="SERVIÇO",VLOOKUP(C46,SERVIÇOS!$A$6:$D$7645,3,0),IF(A46="INSUMO",VLOOKUP(C46,INSUMOS!$A$6:$D$6961,3,0),IF('036.02-20-CANTEIRO.'!A46="COTAÇÃO",VLOOKUP('036.02-20-CANTEIRO.'!C46,'036-20-Cotação'!$A$9:$G$529,4,0),IF('036.02-20-CANTEIRO.'!A46="CCU",VLOOKUP('036.02-20-CANTEIRO.'!C46,'036-20-CCU''s'!$B$9:$H$1962,4,0)))))</f>
        <v>M</v>
      </c>
      <c r="F46" s="453">
        <v>45</v>
      </c>
      <c r="G46" s="534" t="str">
        <f>IF(A46="SERVIÇO",VLOOKUP(C46,SERVIÇOS!$A$6:$D$7645,4,0),IF(A46="INSUMO",VLOOKUP(C46,INSUMOS!$A$6:$D$6961,4,0),IF('036.02-20-CANTEIRO.'!A46="COTAÇÃO",VLOOKUP('036.02-20-CANTEIRO.'!C46,'036-20-Cotação'!$A$9:$G$529,3,0),IF('036.02-20-CANTEIRO.'!A46="CCU",VLOOKUP('036.02-20-CANTEIRO.'!C46,'036-20-CCU''s'!$B$9:$H$1962,7,0)))))</f>
        <v>11,63</v>
      </c>
      <c r="H46" s="528">
        <f>BDI_O.A.E!$H$22</f>
        <v>0.18201100192553743</v>
      </c>
      <c r="I46" s="535">
        <f t="shared" si="5"/>
        <v>618.60545785773002</v>
      </c>
      <c r="K46" s="232">
        <f t="shared" si="2"/>
        <v>618.60545785773002</v>
      </c>
    </row>
    <row r="47" spans="1:13" s="87" customFormat="1" ht="63.75">
      <c r="A47" s="233" t="s">
        <v>4542</v>
      </c>
      <c r="B47" s="324" t="s">
        <v>6422</v>
      </c>
      <c r="C47" s="324">
        <v>94650</v>
      </c>
      <c r="D47" s="451" t="str">
        <f>IF(A47="SERVIÇO",VLOOKUP(C47,SERVIÇOS!$A$6:$D$7645,2,0),IF(A47="INSUMO",VLOOKUP(C47,INSUMOS!$A$6:$D$6961,2,0),IF('036.02-20-CANTEIRO.'!A47="COTAÇÃO",VLOOKUP('036.02-20-CANTEIRO.'!C47,'036-20-Cotação'!$A$9:$G$529,2,0),IF('036.02-20-CANTEIRO.'!A47="CCU",VLOOKUP('036.02-20-CANTEIRO.'!C47,'036-20-CCU''s'!$B$9:$H$1962,2,0)))))</f>
        <v>TUBO, PVC, SOLDÁVEL, DN 40 MM, INSTALADO EM RESERVAÇÃO DE ÁGUA DE EDIFICAÇÃO QUE POSSUA RESERVATÓRIO DE FIBRA/FIBROCIMENTO   FORNECIMENTO E INSTALAÇÃO. AF_06/2016</v>
      </c>
      <c r="E47" s="452" t="str">
        <f>IF(A47="SERVIÇO",VLOOKUP(C47,SERVIÇOS!$A$6:$D$7645,3,0),IF(A47="INSUMO",VLOOKUP(C47,INSUMOS!$A$6:$D$6961,3,0),IF('036.02-20-CANTEIRO.'!A47="COTAÇÃO",VLOOKUP('036.02-20-CANTEIRO.'!C47,'036-20-Cotação'!$A$9:$G$529,4,0),IF('036.02-20-CANTEIRO.'!A47="CCU",VLOOKUP('036.02-20-CANTEIRO.'!C47,'036-20-CCU''s'!$B$9:$H$1962,4,0)))))</f>
        <v>M</v>
      </c>
      <c r="F47" s="453">
        <v>41</v>
      </c>
      <c r="G47" s="534" t="str">
        <f>IF(A47="SERVIÇO",VLOOKUP(C47,SERVIÇOS!$A$6:$D$7645,4,0),IF(A47="INSUMO",VLOOKUP(C47,INSUMOS!$A$6:$D$6961,4,0),IF('036.02-20-CANTEIRO.'!A47="COTAÇÃO",VLOOKUP('036.02-20-CANTEIRO.'!C47,'036-20-Cotação'!$A$9:$G$529,3,0),IF('036.02-20-CANTEIRO.'!A47="CCU",VLOOKUP('036.02-20-CANTEIRO.'!C47,'036-20-CCU''s'!$B$9:$H$1962,7,0)))))</f>
        <v>16,64</v>
      </c>
      <c r="H47" s="528">
        <f>BDI_O.A.E!$H$22</f>
        <v>0.18201100192553743</v>
      </c>
      <c r="I47" s="535">
        <f t="shared" si="5"/>
        <v>806.4151859536787</v>
      </c>
      <c r="K47" s="232">
        <f t="shared" si="2"/>
        <v>806.4151859536787</v>
      </c>
    </row>
    <row r="48" spans="1:13" s="87" customFormat="1" ht="63.75">
      <c r="A48" s="233" t="s">
        <v>4542</v>
      </c>
      <c r="B48" s="324" t="s">
        <v>6423</v>
      </c>
      <c r="C48" s="324">
        <v>94651</v>
      </c>
      <c r="D48" s="451" t="str">
        <f>IF(A48="SERVIÇO",VLOOKUP(C48,SERVIÇOS!$A$6:$D$7645,2,0),IF(A48="INSUMO",VLOOKUP(C48,INSUMOS!$A$6:$D$6961,2,0),IF('036.02-20-CANTEIRO.'!A48="COTAÇÃO",VLOOKUP('036.02-20-CANTEIRO.'!C48,'036-20-Cotação'!$A$9:$G$529,2,0),IF('036.02-20-CANTEIRO.'!A48="CCU",VLOOKUP('036.02-20-CANTEIRO.'!C48,'036-20-CCU''s'!$B$9:$H$1962,2,0)))))</f>
        <v>TUBO, PVC, SOLDÁVEL, DN 50 MM, INSTALADO EM RESERVAÇÃO DE ÁGUA DE EDIFICAÇÃO QUE POSSUA RESERVATÓRIO DE FIBRA/FIBROCIMENTO   FORNECIMENTO E INSTALAÇÃO. AF_06/2016</v>
      </c>
      <c r="E48" s="452" t="str">
        <f>IF(A48="SERVIÇO",VLOOKUP(C48,SERVIÇOS!$A$6:$D$7645,3,0),IF(A48="INSUMO",VLOOKUP(C48,INSUMOS!$A$6:$D$6961,3,0),IF('036.02-20-CANTEIRO.'!A48="COTAÇÃO",VLOOKUP('036.02-20-CANTEIRO.'!C48,'036-20-Cotação'!$A$9:$G$529,4,0),IF('036.02-20-CANTEIRO.'!A48="CCU",VLOOKUP('036.02-20-CANTEIRO.'!C48,'036-20-CCU''s'!$B$9:$H$1962,4,0)))))</f>
        <v>M</v>
      </c>
      <c r="F48" s="453">
        <v>29</v>
      </c>
      <c r="G48" s="534" t="str">
        <f>IF(A48="SERVIÇO",VLOOKUP(C48,SERVIÇOS!$A$6:$D$7645,4,0),IF(A48="INSUMO",VLOOKUP(C48,INSUMOS!$A$6:$D$6961,4,0),IF('036.02-20-CANTEIRO.'!A48="COTAÇÃO",VLOOKUP('036.02-20-CANTEIRO.'!C48,'036-20-Cotação'!$A$9:$G$529,3,0),IF('036.02-20-CANTEIRO.'!A48="CCU",VLOOKUP('036.02-20-CANTEIRO.'!C48,'036-20-CCU''s'!$B$9:$H$1962,7,0)))))</f>
        <v>17,98</v>
      </c>
      <c r="H48" s="528">
        <f>BDI_O.A.E!$H$22</f>
        <v>0.18201100192553743</v>
      </c>
      <c r="I48" s="535">
        <f t="shared" ref="I48:I54" si="6">F48*(G48*(1+H48))</f>
        <v>616.32417662401372</v>
      </c>
      <c r="K48" s="232">
        <f t="shared" si="2"/>
        <v>616.32417662401372</v>
      </c>
    </row>
    <row r="49" spans="1:11" s="87" customFormat="1" ht="63.75">
      <c r="A49" s="233" t="s">
        <v>4542</v>
      </c>
      <c r="B49" s="324" t="s">
        <v>6424</v>
      </c>
      <c r="C49" s="324">
        <v>94688</v>
      </c>
      <c r="D49" s="451" t="str">
        <f>IF(A49="SERVIÇO",VLOOKUP(C49,SERVIÇOS!$A$6:$D$7645,2,0),IF(A49="INSUMO",VLOOKUP(C49,INSUMOS!$A$6:$D$6961,2,0),IF('036.02-20-CANTEIRO.'!A49="COTAÇÃO",VLOOKUP('036.02-20-CANTEIRO.'!C49,'036-20-Cotação'!$A$9:$G$529,2,0),IF('036.02-20-CANTEIRO.'!A49="CCU",VLOOKUP('036.02-20-CANTEIRO.'!C49,'036-20-CCU''s'!$B$9:$H$1962,2,0)))))</f>
        <v>TÊ, PVC, SOLDÁVEL, DN  25 MM INSTALADO EM RESERVAÇÃO DE ÁGUA DE EDIFICAÇÃO QUE POSSUA RESERVATÓRIO DE FIBRA/FIBROCIMENTO   FORNECIMENTO E INSTALAÇÃO. AF_06/2016</v>
      </c>
      <c r="E49" s="452" t="str">
        <f>IF(A49="SERVIÇO",VLOOKUP(C49,SERVIÇOS!$A$6:$D$7645,3,0),IF(A49="INSUMO",VLOOKUP(C49,INSUMOS!$A$6:$D$6961,3,0),IF('036.02-20-CANTEIRO.'!A49="COTAÇÃO",VLOOKUP('036.02-20-CANTEIRO.'!C49,'036-20-Cotação'!$A$9:$G$529,4,0),IF('036.02-20-CANTEIRO.'!A49="CCU",VLOOKUP('036.02-20-CANTEIRO.'!C49,'036-20-CCU''s'!$B$9:$H$1962,4,0)))))</f>
        <v>UN</v>
      </c>
      <c r="F49" s="453">
        <v>2</v>
      </c>
      <c r="G49" s="534" t="str">
        <f>IF(A49="SERVIÇO",VLOOKUP(C49,SERVIÇOS!$A$6:$D$7645,4,0),IF(A49="INSUMO",VLOOKUP(C49,INSUMOS!$A$6:$D$6961,4,0),IF('036.02-20-CANTEIRO.'!A49="COTAÇÃO",VLOOKUP('036.02-20-CANTEIRO.'!C49,'036-20-Cotação'!$A$9:$G$529,3,0),IF('036.02-20-CANTEIRO.'!A49="CCU",VLOOKUP('036.02-20-CANTEIRO.'!C49,'036-20-CCU''s'!$B$9:$H$1962,7,0)))))</f>
        <v>8,96</v>
      </c>
      <c r="H49" s="528">
        <f>BDI_O.A.E!$H$22</f>
        <v>0.18201100192553743</v>
      </c>
      <c r="I49" s="535">
        <f t="shared" si="6"/>
        <v>21.181637154505633</v>
      </c>
      <c r="K49" s="232">
        <f t="shared" si="2"/>
        <v>21.181637154505633</v>
      </c>
    </row>
    <row r="50" spans="1:11" s="87" customFormat="1" ht="63.75">
      <c r="A50" s="233" t="s">
        <v>4542</v>
      </c>
      <c r="B50" s="324" t="s">
        <v>6425</v>
      </c>
      <c r="C50" s="324">
        <v>94690</v>
      </c>
      <c r="D50" s="451" t="str">
        <f>IF(A50="SERVIÇO",VLOOKUP(C50,SERVIÇOS!$A$6:$D$7645,2,0),IF(A50="INSUMO",VLOOKUP(C50,INSUMOS!$A$6:$D$6961,2,0),IF('036.02-20-CANTEIRO.'!A50="COTAÇÃO",VLOOKUP('036.02-20-CANTEIRO.'!C50,'036-20-Cotação'!$A$9:$G$529,2,0),IF('036.02-20-CANTEIRO.'!A50="CCU",VLOOKUP('036.02-20-CANTEIRO.'!C50,'036-20-CCU''s'!$B$9:$H$1962,2,0)))))</f>
        <v>TÊ, PVC, SOLDÁVEL, DN 32 MM INSTALADO EM RESERVAÇÃO DE ÁGUA DE EDIFICAÇÃO QUE POSSUA RESERVATÓRIO DE FIBRA/FIBROCIMENTO   FORNECIMENTO E INSTALAÇÃO. AF_06/2016</v>
      </c>
      <c r="E50" s="452" t="str">
        <f>IF(A50="SERVIÇO",VLOOKUP(C50,SERVIÇOS!$A$6:$D$7645,3,0),IF(A50="INSUMO",VLOOKUP(C50,INSUMOS!$A$6:$D$6961,3,0),IF('036.02-20-CANTEIRO.'!A50="COTAÇÃO",VLOOKUP('036.02-20-CANTEIRO.'!C50,'036-20-Cotação'!$A$9:$G$529,4,0),IF('036.02-20-CANTEIRO.'!A50="CCU",VLOOKUP('036.02-20-CANTEIRO.'!C50,'036-20-CCU''s'!$B$9:$H$1962,4,0)))))</f>
        <v>UN</v>
      </c>
      <c r="F50" s="453">
        <v>5</v>
      </c>
      <c r="G50" s="534" t="str">
        <f>IF(A50="SERVIÇO",VLOOKUP(C50,SERVIÇOS!$A$6:$D$7645,4,0),IF(A50="INSUMO",VLOOKUP(C50,INSUMOS!$A$6:$D$6961,4,0),IF('036.02-20-CANTEIRO.'!A50="COTAÇÃO",VLOOKUP('036.02-20-CANTEIRO.'!C50,'036-20-Cotação'!$A$9:$G$529,3,0),IF('036.02-20-CANTEIRO.'!A50="CCU",VLOOKUP('036.02-20-CANTEIRO.'!C50,'036-20-CCU''s'!$B$9:$H$1962,7,0)))))</f>
        <v>11,10</v>
      </c>
      <c r="H50" s="528">
        <f>BDI_O.A.E!$H$22</f>
        <v>0.18201100192553743</v>
      </c>
      <c r="I50" s="535">
        <f t="shared" si="6"/>
        <v>65.601610606867325</v>
      </c>
      <c r="K50" s="232">
        <f t="shared" si="2"/>
        <v>65.601610606867325</v>
      </c>
    </row>
    <row r="51" spans="1:11" s="87" customFormat="1" ht="63.75">
      <c r="A51" s="233" t="s">
        <v>4542</v>
      </c>
      <c r="B51" s="324" t="s">
        <v>6426</v>
      </c>
      <c r="C51" s="324">
        <v>94692</v>
      </c>
      <c r="D51" s="451" t="str">
        <f>IF(A51="SERVIÇO",VLOOKUP(C51,SERVIÇOS!$A$6:$D$7645,2,0),IF(A51="INSUMO",VLOOKUP(C51,INSUMOS!$A$6:$D$6961,2,0),IF('036.02-20-CANTEIRO.'!A51="COTAÇÃO",VLOOKUP('036.02-20-CANTEIRO.'!C51,'036-20-Cotação'!$A$9:$G$529,2,0),IF('036.02-20-CANTEIRO.'!A51="CCU",VLOOKUP('036.02-20-CANTEIRO.'!C51,'036-20-CCU''s'!$B$9:$H$1962,2,0)))))</f>
        <v>TÊ, PVC, SOLDÁVEL, DN 40 MM INSTALADO EM RESERVAÇÃO DE ÁGUA DE EDIFICAÇÃO QUE POSSUA RESERVATÓRIO DE FIBRA/FIBROCIMENTO   FORNECIMENTO E INSTALAÇÃO. AF_06/2016</v>
      </c>
      <c r="E51" s="452" t="str">
        <f>IF(A51="SERVIÇO",VLOOKUP(C51,SERVIÇOS!$A$6:$D$7645,3,0),IF(A51="INSUMO",VLOOKUP(C51,INSUMOS!$A$6:$D$6961,3,0),IF('036.02-20-CANTEIRO.'!A51="COTAÇÃO",VLOOKUP('036.02-20-CANTEIRO.'!C51,'036-20-Cotação'!$A$9:$G$529,4,0),IF('036.02-20-CANTEIRO.'!A51="CCU",VLOOKUP('036.02-20-CANTEIRO.'!C51,'036-20-CCU''s'!$B$9:$H$1962,4,0)))))</f>
        <v>UN</v>
      </c>
      <c r="F51" s="453">
        <v>3</v>
      </c>
      <c r="G51" s="534" t="str">
        <f>IF(A51="SERVIÇO",VLOOKUP(C51,SERVIÇOS!$A$6:$D$7645,4,0),IF(A51="INSUMO",VLOOKUP(C51,INSUMOS!$A$6:$D$6961,4,0),IF('036.02-20-CANTEIRO.'!A51="COTAÇÃO",VLOOKUP('036.02-20-CANTEIRO.'!C51,'036-20-Cotação'!$A$9:$G$529,3,0),IF('036.02-20-CANTEIRO.'!A51="CCU",VLOOKUP('036.02-20-CANTEIRO.'!C51,'036-20-CCU''s'!$B$9:$H$1962,7,0)))))</f>
        <v>18,88</v>
      </c>
      <c r="H51" s="528">
        <f>BDI_O.A.E!$H$22</f>
        <v>0.18201100192553743</v>
      </c>
      <c r="I51" s="535">
        <f t="shared" si="6"/>
        <v>66.949103149062438</v>
      </c>
      <c r="K51" s="232">
        <f t="shared" si="2"/>
        <v>66.949103149062438</v>
      </c>
    </row>
    <row r="52" spans="1:11" s="87" customFormat="1" ht="63.75">
      <c r="A52" s="233" t="s">
        <v>4542</v>
      </c>
      <c r="B52" s="324" t="s">
        <v>6427</v>
      </c>
      <c r="C52" s="324">
        <v>94694</v>
      </c>
      <c r="D52" s="451" t="str">
        <f>IF(A52="SERVIÇO",VLOOKUP(C52,SERVIÇOS!$A$6:$D$7645,2,0),IF(A52="INSUMO",VLOOKUP(C52,INSUMOS!$A$6:$D$6961,2,0),IF('036.02-20-CANTEIRO.'!A52="COTAÇÃO",VLOOKUP('036.02-20-CANTEIRO.'!C52,'036-20-Cotação'!$A$9:$G$529,2,0),IF('036.02-20-CANTEIRO.'!A52="CCU",VLOOKUP('036.02-20-CANTEIRO.'!C52,'036-20-CCU''s'!$B$9:$H$1962,2,0)))))</f>
        <v>TÊ, PVC, SOLDÁVEL, DN 50 MM INSTALADO EM RESERVAÇÃO DE ÁGUA DE EDIFICAÇÃO QUE POSSUA RESERVATÓRIO DE FIBRA/FIBROCIMENTO   FORNECIMENTO E INSTALAÇÃO. AF_06/2016</v>
      </c>
      <c r="E52" s="452" t="str">
        <f>IF(A52="SERVIÇO",VLOOKUP(C52,SERVIÇOS!$A$6:$D$7645,3,0),IF(A52="INSUMO",VLOOKUP(C52,INSUMOS!$A$6:$D$6961,3,0),IF('036.02-20-CANTEIRO.'!A52="COTAÇÃO",VLOOKUP('036.02-20-CANTEIRO.'!C52,'036-20-Cotação'!$A$9:$G$529,4,0),IF('036.02-20-CANTEIRO.'!A52="CCU",VLOOKUP('036.02-20-CANTEIRO.'!C52,'036-20-CCU''s'!$B$9:$H$1962,4,0)))))</f>
        <v>UN</v>
      </c>
      <c r="F52" s="453">
        <v>5</v>
      </c>
      <c r="G52" s="534" t="str">
        <f>IF(A52="SERVIÇO",VLOOKUP(C52,SERVIÇOS!$A$6:$D$7645,4,0),IF(A52="INSUMO",VLOOKUP(C52,INSUMOS!$A$6:$D$6961,4,0),IF('036.02-20-CANTEIRO.'!A52="COTAÇÃO",VLOOKUP('036.02-20-CANTEIRO.'!C52,'036-20-Cotação'!$A$9:$G$529,3,0),IF('036.02-20-CANTEIRO.'!A52="CCU",VLOOKUP('036.02-20-CANTEIRO.'!C52,'036-20-CCU''s'!$B$9:$H$1962,7,0)))))</f>
        <v>19,67</v>
      </c>
      <c r="H52" s="528">
        <f>BDI_O.A.E!$H$22</f>
        <v>0.18201100192553743</v>
      </c>
      <c r="I52" s="535">
        <f t="shared" si="6"/>
        <v>116.25078203937662</v>
      </c>
      <c r="K52" s="232">
        <f t="shared" si="2"/>
        <v>116.25078203937662</v>
      </c>
    </row>
    <row r="53" spans="1:11" s="87" customFormat="1" ht="38.25">
      <c r="A53" s="233" t="s">
        <v>4542</v>
      </c>
      <c r="B53" s="324" t="s">
        <v>6428</v>
      </c>
      <c r="C53" s="324">
        <v>89626</v>
      </c>
      <c r="D53" s="451" t="str">
        <f>IF(A53="SERVIÇO",VLOOKUP(C53,SERVIÇOS!$A$6:$D$7645,2,0),IF(A53="INSUMO",VLOOKUP(C53,INSUMOS!$A$6:$D$6961,2,0),IF('036.02-20-CANTEIRO.'!A53="COTAÇÃO",VLOOKUP('036.02-20-CANTEIRO.'!C53,'036-20-Cotação'!$A$9:$G$529,2,0),IF('036.02-20-CANTEIRO.'!A53="CCU",VLOOKUP('036.02-20-CANTEIRO.'!C53,'036-20-CCU''s'!$B$9:$H$1962,2,0)))))</f>
        <v>TÊ DE REDUÇÃO, PVC, SOLDÁVEL, DN 50MM X 40MM, INSTALADO EM PRUMADA DE ÁGUA - FORNECIMENTO E INSTALAÇÃO. AF_12/2014</v>
      </c>
      <c r="E53" s="452" t="str">
        <f>IF(A53="SERVIÇO",VLOOKUP(C53,SERVIÇOS!$A$6:$D$7645,3,0),IF(A53="INSUMO",VLOOKUP(C53,INSUMOS!$A$6:$D$6961,3,0),IF('036.02-20-CANTEIRO.'!A53="COTAÇÃO",VLOOKUP('036.02-20-CANTEIRO.'!C53,'036-20-Cotação'!$A$9:$G$529,4,0),IF('036.02-20-CANTEIRO.'!A53="CCU",VLOOKUP('036.02-20-CANTEIRO.'!C53,'036-20-CCU''s'!$B$9:$H$1962,4,0)))))</f>
        <v>UN</v>
      </c>
      <c r="F53" s="453">
        <v>2</v>
      </c>
      <c r="G53" s="534" t="str">
        <f>IF(A53="SERVIÇO",VLOOKUP(C53,SERVIÇOS!$A$6:$D$7645,4,0),IF(A53="INSUMO",VLOOKUP(C53,INSUMOS!$A$6:$D$6961,4,0),IF('036.02-20-CANTEIRO.'!A53="COTAÇÃO",VLOOKUP('036.02-20-CANTEIRO.'!C53,'036-20-Cotação'!$A$9:$G$529,3,0),IF('036.02-20-CANTEIRO.'!A53="CCU",VLOOKUP('036.02-20-CANTEIRO.'!C53,'036-20-CCU''s'!$B$9:$H$1962,7,0)))))</f>
        <v>22,03</v>
      </c>
      <c r="H53" s="528">
        <f>BDI_O.A.E!$H$22</f>
        <v>0.18201100192553743</v>
      </c>
      <c r="I53" s="535">
        <f t="shared" si="6"/>
        <v>52.079404744839181</v>
      </c>
      <c r="K53" s="232">
        <f t="shared" si="2"/>
        <v>52.079404744839181</v>
      </c>
    </row>
    <row r="54" spans="1:11" s="87" customFormat="1" ht="51">
      <c r="A54" s="233" t="s">
        <v>4542</v>
      </c>
      <c r="B54" s="324" t="s">
        <v>6429</v>
      </c>
      <c r="C54" s="324">
        <v>89408</v>
      </c>
      <c r="D54" s="451" t="str">
        <f>IF(A54="SERVIÇO",VLOOKUP(C54,SERVIÇOS!$A$6:$D$7645,2,0),IF(A54="INSUMO",VLOOKUP(C54,INSUMOS!$A$6:$D$6961,2,0),IF('036.02-20-CANTEIRO.'!A54="COTAÇÃO",VLOOKUP('036.02-20-CANTEIRO.'!C54,'036-20-Cotação'!$A$9:$G$529,2,0),IF('036.02-20-CANTEIRO.'!A54="CCU",VLOOKUP('036.02-20-CANTEIRO.'!C54,'036-20-CCU''s'!$B$9:$H$1962,2,0)))))</f>
        <v>JOELHO 90 GRAUS, PVC, SOLDÁVEL, DN 25MM, INSTALADO EM RAMAL DE DISTRIBUIÇÃO DE ÁGUA - FORNECIMENTO E INSTALAÇÃO. AF_12/2014</v>
      </c>
      <c r="E54" s="452" t="str">
        <f>IF(A54="SERVIÇO",VLOOKUP(C54,SERVIÇOS!$A$6:$D$7645,3,0),IF(A54="INSUMO",VLOOKUP(C54,INSUMOS!$A$6:$D$6961,3,0),IF('036.02-20-CANTEIRO.'!A54="COTAÇÃO",VLOOKUP('036.02-20-CANTEIRO.'!C54,'036-20-Cotação'!$A$9:$G$529,4,0),IF('036.02-20-CANTEIRO.'!A54="CCU",VLOOKUP('036.02-20-CANTEIRO.'!C54,'036-20-CCU''s'!$B$9:$H$1962,4,0)))))</f>
        <v>UN</v>
      </c>
      <c r="F54" s="453">
        <v>13</v>
      </c>
      <c r="G54" s="534" t="str">
        <f>IF(A54="SERVIÇO",VLOOKUP(C54,SERVIÇOS!$A$6:$D$7645,4,0),IF(A54="INSUMO",VLOOKUP(C54,INSUMOS!$A$6:$D$6961,4,0),IF('036.02-20-CANTEIRO.'!A54="COTAÇÃO",VLOOKUP('036.02-20-CANTEIRO.'!C54,'036-20-Cotação'!$A$9:$G$529,3,0),IF('036.02-20-CANTEIRO.'!A54="CCU",VLOOKUP('036.02-20-CANTEIRO.'!C54,'036-20-CCU''s'!$B$9:$H$1962,7,0)))))</f>
        <v>4,89</v>
      </c>
      <c r="H54" s="528">
        <f>BDI_O.A.E!$H$22</f>
        <v>0.18201100192553743</v>
      </c>
      <c r="I54" s="535">
        <f t="shared" si="6"/>
        <v>75.140439392406407</v>
      </c>
      <c r="K54" s="232">
        <f t="shared" si="2"/>
        <v>75.140439392406407</v>
      </c>
    </row>
    <row r="55" spans="1:11" s="87" customFormat="1" ht="63.75">
      <c r="A55" s="233" t="s">
        <v>4542</v>
      </c>
      <c r="B55" s="324" t="s">
        <v>6430</v>
      </c>
      <c r="C55" s="324">
        <v>94674</v>
      </c>
      <c r="D55" s="451" t="str">
        <f>IF(A55="SERVIÇO",VLOOKUP(C55,SERVIÇOS!$A$6:$D$7645,2,0),IF(A55="INSUMO",VLOOKUP(C55,INSUMOS!$A$6:$D$6961,2,0),IF('036.02-20-CANTEIRO.'!A55="COTAÇÃO",VLOOKUP('036.02-20-CANTEIRO.'!C55,'036-20-Cotação'!$A$9:$G$529,2,0),IF('036.02-20-CANTEIRO.'!A55="CCU",VLOOKUP('036.02-20-CANTEIRO.'!C55,'036-20-CCU''s'!$B$9:$H$1962,2,0)))))</f>
        <v>JOELHO 90 GRAUS, PVC, SOLDÁVEL, DN 32 MM INSTALADO EM RESERVAÇÃO DE ÁGUA DE EDIFICAÇÃO QUE POSSUA RESERVATÓRIO DE FIBRA/FIBROCIMENTO   FORNECIMENTO E INSTALAÇÃO. AF_06/2016</v>
      </c>
      <c r="E55" s="452" t="str">
        <f>IF(A55="SERVIÇO",VLOOKUP(C55,SERVIÇOS!$A$6:$D$7645,3,0),IF(A55="INSUMO",VLOOKUP(C55,INSUMOS!$A$6:$D$6961,3,0),IF('036.02-20-CANTEIRO.'!A55="COTAÇÃO",VLOOKUP('036.02-20-CANTEIRO.'!C55,'036-20-Cotação'!$A$9:$G$529,4,0),IF('036.02-20-CANTEIRO.'!A55="CCU",VLOOKUP('036.02-20-CANTEIRO.'!C55,'036-20-CCU''s'!$B$9:$H$1962,4,0)))))</f>
        <v>UN</v>
      </c>
      <c r="F55" s="453">
        <v>12</v>
      </c>
      <c r="G55" s="534" t="str">
        <f>IF(A55="SERVIÇO",VLOOKUP(C55,SERVIÇOS!$A$6:$D$7645,4,0),IF(A55="INSUMO",VLOOKUP(C55,INSUMOS!$A$6:$D$6961,4,0),IF('036.02-20-CANTEIRO.'!A55="COTAÇÃO",VLOOKUP('036.02-20-CANTEIRO.'!C55,'036-20-Cotação'!$A$9:$G$529,3,0),IF('036.02-20-CANTEIRO.'!A55="CCU",VLOOKUP('036.02-20-CANTEIRO.'!C55,'036-20-CCU''s'!$B$9:$H$1962,7,0)))))</f>
        <v>7,55</v>
      </c>
      <c r="H55" s="528">
        <f>BDI_O.A.E!$H$22</f>
        <v>0.18201100192553743</v>
      </c>
      <c r="I55" s="535">
        <f t="shared" ref="I55:I65" si="7">F55*(G55*(1+H55))</f>
        <v>107.09019677445369</v>
      </c>
      <c r="K55" s="232">
        <f t="shared" si="2"/>
        <v>107.09019677445369</v>
      </c>
    </row>
    <row r="56" spans="1:11" s="87" customFormat="1" ht="63.75">
      <c r="A56" s="233" t="s">
        <v>4542</v>
      </c>
      <c r="B56" s="324" t="s">
        <v>6431</v>
      </c>
      <c r="C56" s="324">
        <v>94676</v>
      </c>
      <c r="D56" s="451" t="str">
        <f>IF(A56="SERVIÇO",VLOOKUP(C56,SERVIÇOS!$A$6:$D$7645,2,0),IF(A56="INSUMO",VLOOKUP(C56,INSUMOS!$A$6:$D$6961,2,0),IF('036.02-20-CANTEIRO.'!A56="COTAÇÃO",VLOOKUP('036.02-20-CANTEIRO.'!C56,'036-20-Cotação'!$A$9:$G$529,2,0),IF('036.02-20-CANTEIRO.'!A56="CCU",VLOOKUP('036.02-20-CANTEIRO.'!C56,'036-20-CCU''s'!$B$9:$H$1962,2,0)))))</f>
        <v>JOELHO 90 GRAUS, PVC, SOLDÁVEL, DN 40 MM INSTALADO EM RESERVAÇÃO DE ÁGUA DE EDIFICAÇÃO QUE POSSUA RESERVATÓRIO DE FIBRA/FIBROCIMENTO   FORNECIMENTO E INSTALAÇÃO. AF_06/2016</v>
      </c>
      <c r="E56" s="452" t="str">
        <f>IF(A56="SERVIÇO",VLOOKUP(C56,SERVIÇOS!$A$6:$D$7645,3,0),IF(A56="INSUMO",VLOOKUP(C56,INSUMOS!$A$6:$D$6961,3,0),IF('036.02-20-CANTEIRO.'!A56="COTAÇÃO",VLOOKUP('036.02-20-CANTEIRO.'!C56,'036-20-Cotação'!$A$9:$G$529,4,0),IF('036.02-20-CANTEIRO.'!A56="CCU",VLOOKUP('036.02-20-CANTEIRO.'!C56,'036-20-CCU''s'!$B$9:$H$1962,4,0)))))</f>
        <v>UN</v>
      </c>
      <c r="F56" s="453">
        <v>1</v>
      </c>
      <c r="G56" s="534" t="str">
        <f>IF(A56="SERVIÇO",VLOOKUP(C56,SERVIÇOS!$A$6:$D$7645,4,0),IF(A56="INSUMO",VLOOKUP(C56,INSUMOS!$A$6:$D$6961,4,0),IF('036.02-20-CANTEIRO.'!A56="COTAÇÃO",VLOOKUP('036.02-20-CANTEIRO.'!C56,'036-20-Cotação'!$A$9:$G$529,3,0),IF('036.02-20-CANTEIRO.'!A56="CCU",VLOOKUP('036.02-20-CANTEIRO.'!C56,'036-20-CCU''s'!$B$9:$H$1962,7,0)))))</f>
        <v>12,71</v>
      </c>
      <c r="H56" s="528">
        <f>BDI_O.A.E!$H$22</f>
        <v>0.18201100192553743</v>
      </c>
      <c r="I56" s="535">
        <f t="shared" si="7"/>
        <v>15.023359834473581</v>
      </c>
      <c r="K56" s="232">
        <f t="shared" si="2"/>
        <v>15.023359834473581</v>
      </c>
    </row>
    <row r="57" spans="1:11" s="87" customFormat="1" ht="63.75">
      <c r="A57" s="233" t="s">
        <v>4542</v>
      </c>
      <c r="B57" s="324" t="s">
        <v>6432</v>
      </c>
      <c r="C57" s="324">
        <v>94678</v>
      </c>
      <c r="D57" s="451" t="str">
        <f>IF(A57="SERVIÇO",VLOOKUP(C57,SERVIÇOS!$A$6:$D$7645,2,0),IF(A57="INSUMO",VLOOKUP(C57,INSUMOS!$A$6:$D$6961,2,0),IF('036.02-20-CANTEIRO.'!A57="COTAÇÃO",VLOOKUP('036.02-20-CANTEIRO.'!C57,'036-20-Cotação'!$A$9:$G$529,2,0),IF('036.02-20-CANTEIRO.'!A57="CCU",VLOOKUP('036.02-20-CANTEIRO.'!C57,'036-20-CCU''s'!$B$9:$H$1962,2,0)))))</f>
        <v>JOELHO 90 GRAUS, PVC, SOLDÁVEL, DN 50 MM INSTALADO EM RESERVAÇÃO DE ÁGUA DE EDIFICAÇÃO QUE POSSUA RESERVATÓRIO DE FIBRA/FIBROCIMENTO   FORNECIMENTO E INSTALAÇÃO. AF_06/2016</v>
      </c>
      <c r="E57" s="452" t="str">
        <f>IF(A57="SERVIÇO",VLOOKUP(C57,SERVIÇOS!$A$6:$D$7645,3,0),IF(A57="INSUMO",VLOOKUP(C57,INSUMOS!$A$6:$D$6961,3,0),IF('036.02-20-CANTEIRO.'!A57="COTAÇÃO",VLOOKUP('036.02-20-CANTEIRO.'!C57,'036-20-Cotação'!$A$9:$G$529,4,0),IF('036.02-20-CANTEIRO.'!A57="CCU",VLOOKUP('036.02-20-CANTEIRO.'!C57,'036-20-CCU''s'!$B$9:$H$1962,4,0)))))</f>
        <v>UN</v>
      </c>
      <c r="F57" s="453">
        <v>3</v>
      </c>
      <c r="G57" s="534" t="str">
        <f>IF(A57="SERVIÇO",VLOOKUP(C57,SERVIÇOS!$A$6:$D$7645,4,0),IF(A57="INSUMO",VLOOKUP(C57,INSUMOS!$A$6:$D$6961,4,0),IF('036.02-20-CANTEIRO.'!A57="COTAÇÃO",VLOOKUP('036.02-20-CANTEIRO.'!C57,'036-20-Cotação'!$A$9:$G$529,3,0),IF('036.02-20-CANTEIRO.'!A57="CCU",VLOOKUP('036.02-20-CANTEIRO.'!C57,'036-20-CCU''s'!$B$9:$H$1962,7,0)))))</f>
        <v>13,02</v>
      </c>
      <c r="H57" s="528">
        <f>BDI_O.A.E!$H$22</f>
        <v>0.18201100192553743</v>
      </c>
      <c r="I57" s="535">
        <f t="shared" si="7"/>
        <v>46.16934973521149</v>
      </c>
      <c r="K57" s="232">
        <f t="shared" si="2"/>
        <v>46.16934973521149</v>
      </c>
    </row>
    <row r="58" spans="1:11" s="87" customFormat="1" ht="51">
      <c r="A58" s="233" t="s">
        <v>4542</v>
      </c>
      <c r="B58" s="324" t="s">
        <v>6433</v>
      </c>
      <c r="C58" s="324">
        <v>89412</v>
      </c>
      <c r="D58" s="451" t="str">
        <f>IF(A58="SERVIÇO",VLOOKUP(C58,SERVIÇOS!$A$6:$D$7645,2,0),IF(A58="INSUMO",VLOOKUP(C58,INSUMOS!$A$6:$D$6961,2,0),IF('036.02-20-CANTEIRO.'!A58="COTAÇÃO",VLOOKUP('036.02-20-CANTEIRO.'!C58,'036-20-Cotação'!$A$9:$G$529,2,0),IF('036.02-20-CANTEIRO.'!A58="CCU",VLOOKUP('036.02-20-CANTEIRO.'!C58,'036-20-CCU''s'!$B$9:$H$1962,2,0)))))</f>
        <v>JOELHO 90 GRAUS, PVC, SOLDÁVEL, DN 25MM, X 3/4 INSTALADO EM RAMAL DE DISTRIBUIÇÃO DE ÁGUA - FORNECIMENTO E INSTALAÇÃO. AF_12/2014</v>
      </c>
      <c r="E58" s="452" t="str">
        <f>IF(A58="SERVIÇO",VLOOKUP(C58,SERVIÇOS!$A$6:$D$7645,3,0),IF(A58="INSUMO",VLOOKUP(C58,INSUMOS!$A$6:$D$6961,3,0),IF('036.02-20-CANTEIRO.'!A58="COTAÇÃO",VLOOKUP('036.02-20-CANTEIRO.'!C58,'036-20-Cotação'!$A$9:$G$529,4,0),IF('036.02-20-CANTEIRO.'!A58="CCU",VLOOKUP('036.02-20-CANTEIRO.'!C58,'036-20-CCU''s'!$B$9:$H$1962,4,0)))))</f>
        <v>UN</v>
      </c>
      <c r="F58" s="453">
        <v>12</v>
      </c>
      <c r="G58" s="534" t="str">
        <f>IF(A58="SERVIÇO",VLOOKUP(C58,SERVIÇOS!$A$6:$D$7645,4,0),IF(A58="INSUMO",VLOOKUP(C58,INSUMOS!$A$6:$D$6961,4,0),IF('036.02-20-CANTEIRO.'!A58="COTAÇÃO",VLOOKUP('036.02-20-CANTEIRO.'!C58,'036-20-Cotação'!$A$9:$G$529,3,0),IF('036.02-20-CANTEIRO.'!A58="CCU",VLOOKUP('036.02-20-CANTEIRO.'!C58,'036-20-CCU''s'!$B$9:$H$1962,7,0)))))</f>
        <v>6,82</v>
      </c>
      <c r="H58" s="528">
        <f>BDI_O.A.E!$H$22</f>
        <v>0.18201100192553743</v>
      </c>
      <c r="I58" s="535">
        <f t="shared" si="7"/>
        <v>96.735780397585984</v>
      </c>
      <c r="K58" s="232">
        <f t="shared" si="2"/>
        <v>96.735780397585984</v>
      </c>
    </row>
    <row r="59" spans="1:11" s="87" customFormat="1" ht="51">
      <c r="A59" s="233" t="s">
        <v>4542</v>
      </c>
      <c r="B59" s="324" t="s">
        <v>6434</v>
      </c>
      <c r="C59" s="324">
        <v>89532</v>
      </c>
      <c r="D59" s="451" t="str">
        <f>IF(A59="SERVIÇO",VLOOKUP(C59,SERVIÇOS!$A$6:$D$7645,2,0),IF(A59="INSUMO",VLOOKUP(C59,INSUMOS!$A$6:$D$6961,2,0),IF('036.02-20-CANTEIRO.'!A59="COTAÇÃO",VLOOKUP('036.02-20-CANTEIRO.'!C59,'036-20-Cotação'!$A$9:$G$529,2,0),IF('036.02-20-CANTEIRO.'!A59="CCU",VLOOKUP('036.02-20-CANTEIRO.'!C59,'036-20-CCU''s'!$B$9:$H$1962,2,0)))))</f>
        <v>LUVA DE REDUÇÃO, PVC, SOLDÁVEL, DN 32MM X 25MM, INSTALADO EM PRUMADA DE ÁGUA - FORNECIMENTO E INSTALAÇÃO. AF_12/2014</v>
      </c>
      <c r="E59" s="452" t="str">
        <f>IF(A59="SERVIÇO",VLOOKUP(C59,SERVIÇOS!$A$6:$D$7645,3,0),IF(A59="INSUMO",VLOOKUP(C59,INSUMOS!$A$6:$D$6961,3,0),IF('036.02-20-CANTEIRO.'!A59="COTAÇÃO",VLOOKUP('036.02-20-CANTEIRO.'!C59,'036-20-Cotação'!$A$9:$G$529,4,0),IF('036.02-20-CANTEIRO.'!A59="CCU",VLOOKUP('036.02-20-CANTEIRO.'!C59,'036-20-CCU''s'!$B$9:$H$1962,4,0)))))</f>
        <v>UN</v>
      </c>
      <c r="F59" s="453">
        <v>4</v>
      </c>
      <c r="G59" s="534" t="str">
        <f>IF(A59="SERVIÇO",VLOOKUP(C59,SERVIÇOS!$A$6:$D$7645,4,0),IF(A59="INSUMO",VLOOKUP(C59,INSUMOS!$A$6:$D$6961,4,0),IF('036.02-20-CANTEIRO.'!A59="COTAÇÃO",VLOOKUP('036.02-20-CANTEIRO.'!C59,'036-20-Cotação'!$A$9:$G$529,3,0),IF('036.02-20-CANTEIRO.'!A59="CCU",VLOOKUP('036.02-20-CANTEIRO.'!C59,'036-20-CCU''s'!$B$9:$H$1962,7,0)))))</f>
        <v>5,08</v>
      </c>
      <c r="H59" s="528">
        <f>BDI_O.A.E!$H$22</f>
        <v>0.18201100192553743</v>
      </c>
      <c r="I59" s="535">
        <f t="shared" si="7"/>
        <v>24.018463559126921</v>
      </c>
      <c r="K59" s="232">
        <f t="shared" si="2"/>
        <v>24.018463559126921</v>
      </c>
    </row>
    <row r="60" spans="1:11" s="87" customFormat="1" ht="51">
      <c r="A60" s="233" t="s">
        <v>4542</v>
      </c>
      <c r="B60" s="324" t="s">
        <v>6435</v>
      </c>
      <c r="C60" s="324">
        <v>89562</v>
      </c>
      <c r="D60" s="451" t="str">
        <f>IF(A60="SERVIÇO",VLOOKUP(C60,SERVIÇOS!$A$6:$D$7645,2,0),IF(A60="INSUMO",VLOOKUP(C60,INSUMOS!$A$6:$D$6961,2,0),IF('036.02-20-CANTEIRO.'!A60="COTAÇÃO",VLOOKUP('036.02-20-CANTEIRO.'!C60,'036-20-Cotação'!$A$9:$G$529,2,0),IF('036.02-20-CANTEIRO.'!A60="CCU",VLOOKUP('036.02-20-CANTEIRO.'!C60,'036-20-CCU''s'!$B$9:$H$1962,2,0)))))</f>
        <v>LUVA DE REDUÇÃO, PVC, SOLDÁVEL, DN 40MM X 32MM, INSTALADO EM PRUMADA DE ÁGUA - FORNECIMENTO E INSTALAÇÃO. AF_12/2014</v>
      </c>
      <c r="E60" s="452" t="str">
        <f>IF(A60="SERVIÇO",VLOOKUP(C60,SERVIÇOS!$A$6:$D$7645,3,0),IF(A60="INSUMO",VLOOKUP(C60,INSUMOS!$A$6:$D$6961,3,0),IF('036.02-20-CANTEIRO.'!A60="COTAÇÃO",VLOOKUP('036.02-20-CANTEIRO.'!C60,'036-20-Cotação'!$A$9:$G$529,4,0),IF('036.02-20-CANTEIRO.'!A60="CCU",VLOOKUP('036.02-20-CANTEIRO.'!C60,'036-20-CCU''s'!$B$9:$H$1962,4,0)))))</f>
        <v>UN</v>
      </c>
      <c r="F60" s="453">
        <v>4</v>
      </c>
      <c r="G60" s="534" t="str">
        <f>IF(A60="SERVIÇO",VLOOKUP(C60,SERVIÇOS!$A$6:$D$7645,4,0),IF(A60="INSUMO",VLOOKUP(C60,INSUMOS!$A$6:$D$6961,4,0),IF('036.02-20-CANTEIRO.'!A60="COTAÇÃO",VLOOKUP('036.02-20-CANTEIRO.'!C60,'036-20-Cotação'!$A$9:$G$529,3,0),IF('036.02-20-CANTEIRO.'!A60="CCU",VLOOKUP('036.02-20-CANTEIRO.'!C60,'036-20-CCU''s'!$B$9:$H$1962,7,0)))))</f>
        <v>7,01</v>
      </c>
      <c r="H60" s="528">
        <f>BDI_O.A.E!$H$22</f>
        <v>0.18201100192553743</v>
      </c>
      <c r="I60" s="535">
        <f t="shared" si="7"/>
        <v>33.14358849399207</v>
      </c>
      <c r="K60" s="232">
        <f t="shared" si="2"/>
        <v>33.14358849399207</v>
      </c>
    </row>
    <row r="61" spans="1:11" s="87" customFormat="1" ht="51">
      <c r="A61" s="233" t="s">
        <v>4542</v>
      </c>
      <c r="B61" s="324" t="s">
        <v>6436</v>
      </c>
      <c r="C61" s="324">
        <v>89579</v>
      </c>
      <c r="D61" s="451" t="str">
        <f>IF(A61="SERVIÇO",VLOOKUP(C61,SERVIÇOS!$A$6:$D$7645,2,0),IF(A61="INSUMO",VLOOKUP(C61,INSUMOS!$A$6:$D$6961,2,0),IF('036.02-20-CANTEIRO.'!A61="COTAÇÃO",VLOOKUP('036.02-20-CANTEIRO.'!C61,'036-20-Cotação'!$A$9:$G$529,2,0),IF('036.02-20-CANTEIRO.'!A61="CCU",VLOOKUP('036.02-20-CANTEIRO.'!C61,'036-20-CCU''s'!$B$9:$H$1962,2,0)))))</f>
        <v>LUVA DE REDUÇÃO, PVC, SOLDÁVEL, DN 50MM X 25MM, INSTALADO EM PRUMADA DE ÁGUA   FORNECIMENTO E INSTALAÇÃO. AF_12/2014</v>
      </c>
      <c r="E61" s="452" t="str">
        <f>IF(A61="SERVIÇO",VLOOKUP(C61,SERVIÇOS!$A$6:$D$7645,3,0),IF(A61="INSUMO",VLOOKUP(C61,INSUMOS!$A$6:$D$6961,3,0),IF('036.02-20-CANTEIRO.'!A61="COTAÇÃO",VLOOKUP('036.02-20-CANTEIRO.'!C61,'036-20-Cotação'!$A$9:$G$529,4,0),IF('036.02-20-CANTEIRO.'!A61="CCU",VLOOKUP('036.02-20-CANTEIRO.'!C61,'036-20-CCU''s'!$B$9:$H$1962,4,0)))))</f>
        <v>UN</v>
      </c>
      <c r="F61" s="453">
        <v>2</v>
      </c>
      <c r="G61" s="534" t="str">
        <f>IF(A61="SERVIÇO",VLOOKUP(C61,SERVIÇOS!$A$6:$D$7645,4,0),IF(A61="INSUMO",VLOOKUP(C61,INSUMOS!$A$6:$D$6961,4,0),IF('036.02-20-CANTEIRO.'!A61="COTAÇÃO",VLOOKUP('036.02-20-CANTEIRO.'!C61,'036-20-Cotação'!$A$9:$G$529,3,0),IF('036.02-20-CANTEIRO.'!A61="CCU",VLOOKUP('036.02-20-CANTEIRO.'!C61,'036-20-CCU''s'!$B$9:$H$1962,7,0)))))</f>
        <v>8,55</v>
      </c>
      <c r="H61" s="528">
        <f>BDI_O.A.E!$H$22</f>
        <v>0.18201100192553743</v>
      </c>
      <c r="I61" s="535">
        <f t="shared" si="7"/>
        <v>20.212388132926691</v>
      </c>
      <c r="K61" s="232">
        <f t="shared" si="2"/>
        <v>20.212388132926691</v>
      </c>
    </row>
    <row r="62" spans="1:11" s="87" customFormat="1" ht="76.5">
      <c r="A62" s="233" t="s">
        <v>4542</v>
      </c>
      <c r="B62" s="324" t="s">
        <v>6437</v>
      </c>
      <c r="C62" s="324">
        <v>94704</v>
      </c>
      <c r="D62" s="451" t="str">
        <f>IF(A62="SERVIÇO",VLOOKUP(C62,SERVIÇOS!$A$6:$D$7645,2,0),IF(A62="INSUMO",VLOOKUP(C62,INSUMOS!$A$6:$D$6961,2,0),IF('036.02-20-CANTEIRO.'!A62="COTAÇÃO",VLOOKUP('036.02-20-CANTEIRO.'!C62,'036-20-Cotação'!$A$9:$G$529,2,0),IF('036.02-20-CANTEIRO.'!A62="CCU",VLOOKUP('036.02-20-CANTEIRO.'!C62,'036-20-CCU''s'!$B$9:$H$1962,2,0)))))</f>
        <v>ADAPTADOR COM FLANGE E ANEL DE VEDAÇÃO, PVC, SOLDÁVEL, DN 32 MM X 1 , INSTALADO EM RESERVAÇÃO DE ÁGUA DE EDIFICAÇÃO QUE POSSUA RESERVATÓRIO DE FIBRA/FIBROCIMENTO   FORNECIMENTO E INSTALAÇÃO. AF_06/2016</v>
      </c>
      <c r="E62" s="452" t="str">
        <f>IF(A62="SERVIÇO",VLOOKUP(C62,SERVIÇOS!$A$6:$D$7645,3,0),IF(A62="INSUMO",VLOOKUP(C62,INSUMOS!$A$6:$D$6961,3,0),IF('036.02-20-CANTEIRO.'!A62="COTAÇÃO",VLOOKUP('036.02-20-CANTEIRO.'!C62,'036-20-Cotação'!$A$9:$G$529,4,0),IF('036.02-20-CANTEIRO.'!A62="CCU",VLOOKUP('036.02-20-CANTEIRO.'!C62,'036-20-CCU''s'!$B$9:$H$1962,4,0)))))</f>
        <v>UN</v>
      </c>
      <c r="F62" s="453">
        <v>4</v>
      </c>
      <c r="G62" s="534" t="str">
        <f>IF(A62="SERVIÇO",VLOOKUP(C62,SERVIÇOS!$A$6:$D$7645,4,0),IF(A62="INSUMO",VLOOKUP(C62,INSUMOS!$A$6:$D$6961,4,0),IF('036.02-20-CANTEIRO.'!A62="COTAÇÃO",VLOOKUP('036.02-20-CANTEIRO.'!C62,'036-20-Cotação'!$A$9:$G$529,3,0),IF('036.02-20-CANTEIRO.'!A62="CCU",VLOOKUP('036.02-20-CANTEIRO.'!C62,'036-20-CCU''s'!$B$9:$H$1962,7,0)))))</f>
        <v>17,42</v>
      </c>
      <c r="H62" s="528">
        <f>BDI_O.A.E!$H$22</f>
        <v>0.18201100192553743</v>
      </c>
      <c r="I62" s="535">
        <f t="shared" si="7"/>
        <v>82.362526614171458</v>
      </c>
      <c r="K62" s="232">
        <f t="shared" si="2"/>
        <v>82.362526614171458</v>
      </c>
    </row>
    <row r="63" spans="1:11" s="87" customFormat="1" ht="76.5">
      <c r="A63" s="233" t="s">
        <v>4542</v>
      </c>
      <c r="B63" s="324" t="s">
        <v>6438</v>
      </c>
      <c r="C63" s="324">
        <v>94706</v>
      </c>
      <c r="D63" s="451" t="str">
        <f>IF(A63="SERVIÇO",VLOOKUP(C63,SERVIÇOS!$A$6:$D$7645,2,0),IF(A63="INSUMO",VLOOKUP(C63,INSUMOS!$A$6:$D$6961,2,0),IF('036.02-20-CANTEIRO.'!A63="COTAÇÃO",VLOOKUP('036.02-20-CANTEIRO.'!C63,'036-20-Cotação'!$A$9:$G$529,2,0),IF('036.02-20-CANTEIRO.'!A63="CCU",VLOOKUP('036.02-20-CANTEIRO.'!C63,'036-20-CCU''s'!$B$9:$H$1962,2,0)))))</f>
        <v>ADAPTADOR COM FLANGE E ANEL DE VEDAÇÃO, PVC, SOLDÁVEL, DN 50 MM X 1 1/2 , INSTALADO EM RESERVAÇÃO DE ÁGUA DE EDIFICAÇÃO QUE POSSUA RESERVATÓRIO DE FIBRA/FIBROCIMENTO   FORNECIMENTO E INSTALAÇÃO. AF_06/2016</v>
      </c>
      <c r="E63" s="452" t="str">
        <f>IF(A63="SERVIÇO",VLOOKUP(C63,SERVIÇOS!$A$6:$D$7645,3,0),IF(A63="INSUMO",VLOOKUP(C63,INSUMOS!$A$6:$D$6961,3,0),IF('036.02-20-CANTEIRO.'!A63="COTAÇÃO",VLOOKUP('036.02-20-CANTEIRO.'!C63,'036-20-Cotação'!$A$9:$G$529,4,0),IF('036.02-20-CANTEIRO.'!A63="CCU",VLOOKUP('036.02-20-CANTEIRO.'!C63,'036-20-CCU''s'!$B$9:$H$1962,4,0)))))</f>
        <v>UN</v>
      </c>
      <c r="F63" s="453">
        <v>4</v>
      </c>
      <c r="G63" s="534" t="str">
        <f>IF(A63="SERVIÇO",VLOOKUP(C63,SERVIÇOS!$A$6:$D$7645,4,0),IF(A63="INSUMO",VLOOKUP(C63,INSUMOS!$A$6:$D$6961,4,0),IF('036.02-20-CANTEIRO.'!A63="COTAÇÃO",VLOOKUP('036.02-20-CANTEIRO.'!C63,'036-20-Cotação'!$A$9:$G$529,3,0),IF('036.02-20-CANTEIRO.'!A63="CCU",VLOOKUP('036.02-20-CANTEIRO.'!C63,'036-20-CCU''s'!$B$9:$H$1962,7,0)))))</f>
        <v>30,68</v>
      </c>
      <c r="H63" s="528">
        <f>BDI_O.A.E!$H$22</f>
        <v>0.18201100192553743</v>
      </c>
      <c r="I63" s="535">
        <f t="shared" si="7"/>
        <v>145.05639015630194</v>
      </c>
      <c r="K63" s="232">
        <f t="shared" si="2"/>
        <v>145.05639015630194</v>
      </c>
    </row>
    <row r="64" spans="1:11" s="87" customFormat="1" ht="63.75">
      <c r="A64" s="233" t="s">
        <v>4542</v>
      </c>
      <c r="B64" s="324" t="s">
        <v>6439</v>
      </c>
      <c r="C64" s="324">
        <v>94490</v>
      </c>
      <c r="D64" s="451" t="str">
        <f>IF(A64="SERVIÇO",VLOOKUP(C64,SERVIÇOS!$A$6:$D$7645,2,0),IF(A64="INSUMO",VLOOKUP(C64,INSUMOS!$A$6:$D$6961,2,0),IF('036.02-20-CANTEIRO.'!A64="COTAÇÃO",VLOOKUP('036.02-20-CANTEIRO.'!C64,'036-20-Cotação'!$A$9:$G$529,2,0),IF('036.02-20-CANTEIRO.'!A64="CCU",VLOOKUP('036.02-20-CANTEIRO.'!C64,'036-20-CCU''s'!$B$9:$H$1962,2,0)))))</f>
        <v>REGISTRO DE ESFERA, PVC, SOLDÁVEL, DN  32 MM, INSTALADO EM RESERVAÇÃO DE ÁGUA DE EDIFICAÇÃO QUE POSSUA RESERVATÓRIO DE FIBRA/FIBROCIMENTO   FORNECIMENTO E INSTALAÇÃO. AF_06/2016</v>
      </c>
      <c r="E64" s="452" t="str">
        <f>IF(A64="SERVIÇO",VLOOKUP(C64,SERVIÇOS!$A$6:$D$7645,3,0),IF(A64="INSUMO",VLOOKUP(C64,INSUMOS!$A$6:$D$6961,3,0),IF('036.02-20-CANTEIRO.'!A64="COTAÇÃO",VLOOKUP('036.02-20-CANTEIRO.'!C64,'036-20-Cotação'!$A$9:$G$529,4,0),IF('036.02-20-CANTEIRO.'!A64="CCU",VLOOKUP('036.02-20-CANTEIRO.'!C64,'036-20-CCU''s'!$B$9:$H$1962,4,0)))))</f>
        <v>UN</v>
      </c>
      <c r="F64" s="453">
        <v>4</v>
      </c>
      <c r="G64" s="534" t="str">
        <f>IF(A64="SERVIÇO",VLOOKUP(C64,SERVIÇOS!$A$6:$D$7645,4,0),IF(A64="INSUMO",VLOOKUP(C64,INSUMOS!$A$6:$D$6961,4,0),IF('036.02-20-CANTEIRO.'!A64="COTAÇÃO",VLOOKUP('036.02-20-CANTEIRO.'!C64,'036-20-Cotação'!$A$9:$G$529,3,0),IF('036.02-20-CANTEIRO.'!A64="CCU",VLOOKUP('036.02-20-CANTEIRO.'!C64,'036-20-CCU''s'!$B$9:$H$1962,7,0)))))</f>
        <v>53,27</v>
      </c>
      <c r="H64" s="528">
        <f>BDI_O.A.E!$H$22</f>
        <v>0.18201100192553743</v>
      </c>
      <c r="I64" s="535">
        <f t="shared" si="7"/>
        <v>251.86290429029353</v>
      </c>
      <c r="K64" s="232">
        <f t="shared" si="2"/>
        <v>251.86290429029353</v>
      </c>
    </row>
    <row r="65" spans="1:11" s="87" customFormat="1" ht="63.75">
      <c r="A65" s="233" t="s">
        <v>4542</v>
      </c>
      <c r="B65" s="324" t="s">
        <v>6440</v>
      </c>
      <c r="C65" s="324">
        <v>94492</v>
      </c>
      <c r="D65" s="451" t="str">
        <f>IF(A65="SERVIÇO",VLOOKUP(C65,SERVIÇOS!$A$6:$D$7645,2,0),IF(A65="INSUMO",VLOOKUP(C65,INSUMOS!$A$6:$D$6961,2,0),IF('036.02-20-CANTEIRO.'!A65="COTAÇÃO",VLOOKUP('036.02-20-CANTEIRO.'!C65,'036-20-Cotação'!$A$9:$G$529,2,0),IF('036.02-20-CANTEIRO.'!A65="CCU",VLOOKUP('036.02-20-CANTEIRO.'!C65,'036-20-CCU''s'!$B$9:$H$1962,2,0)))))</f>
        <v>REGISTRO DE ESFERA, PVC, SOLDÁVEL, DN  50 MM, INSTALADO EM RESERVAÇÃO DE ÁGUA DE EDIFICAÇÃO QUE POSSUA RESERVATÓRIO DE FIBRA/FIBROCIMENTO   FORNECIMENTO E INSTALAÇÃO. AF_06/2016</v>
      </c>
      <c r="E65" s="452" t="str">
        <f>IF(A65="SERVIÇO",VLOOKUP(C65,SERVIÇOS!$A$6:$D$7645,3,0),IF(A65="INSUMO",VLOOKUP(C65,INSUMOS!$A$6:$D$6961,3,0),IF('036.02-20-CANTEIRO.'!A65="COTAÇÃO",VLOOKUP('036.02-20-CANTEIRO.'!C65,'036-20-Cotação'!$A$9:$G$529,4,0),IF('036.02-20-CANTEIRO.'!A65="CCU",VLOOKUP('036.02-20-CANTEIRO.'!C65,'036-20-CCU''s'!$B$9:$H$1962,4,0)))))</f>
        <v>UN</v>
      </c>
      <c r="F65" s="453">
        <v>4</v>
      </c>
      <c r="G65" s="534" t="str">
        <f>IF(A65="SERVIÇO",VLOOKUP(C65,SERVIÇOS!$A$6:$D$7645,4,0),IF(A65="INSUMO",VLOOKUP(C65,INSUMOS!$A$6:$D$6961,4,0),IF('036.02-20-CANTEIRO.'!A65="COTAÇÃO",VLOOKUP('036.02-20-CANTEIRO.'!C65,'036-20-Cotação'!$A$9:$G$529,3,0),IF('036.02-20-CANTEIRO.'!A65="CCU",VLOOKUP('036.02-20-CANTEIRO.'!C65,'036-20-CCU''s'!$B$9:$H$1962,7,0)))))</f>
        <v>74,66</v>
      </c>
      <c r="H65" s="528">
        <f>BDI_O.A.E!$H$22</f>
        <v>0.18201100192553743</v>
      </c>
      <c r="I65" s="535">
        <f t="shared" si="7"/>
        <v>352.9957656150425</v>
      </c>
      <c r="K65" s="232">
        <f t="shared" si="2"/>
        <v>352.9957656150425</v>
      </c>
    </row>
    <row r="66" spans="1:11" s="87" customFormat="1" ht="63.75">
      <c r="A66" s="233" t="s">
        <v>4542</v>
      </c>
      <c r="B66" s="324" t="s">
        <v>6441</v>
      </c>
      <c r="C66" s="324">
        <v>95644</v>
      </c>
      <c r="D66" s="451" t="str">
        <f>IF(A66="SERVIÇO",VLOOKUP(C66,SERVIÇOS!$A$6:$D$7645,2,0),IF(A66="INSUMO",VLOOKUP(C66,INSUMOS!$A$6:$D$6961,2,0),IF('036.02-20-CANTEIRO.'!A66="COTAÇÃO",VLOOKUP('036.02-20-CANTEIRO.'!C66,'036-20-Cotação'!$A$9:$G$529,2,0),IF('036.02-20-CANTEIRO.'!A66="CCU",VLOOKUP('036.02-20-CANTEIRO.'!C66,'036-20-CCU''s'!$B$9:$H$1962,2,0)))))</f>
        <v>KIT CAVALETE PARA MEDIÇÃO DE ÁGUA - ENTRADA INDIVIDUALIZADA, EM PVC DN 32 (1), PARA 1 MEDIDOR  FORNECIMENTO E INSTALAÇÃO (EXCLUSIVE HIDRÔMETRO). AF_11/2016</v>
      </c>
      <c r="E66" s="452" t="str">
        <f>IF(A66="SERVIÇO",VLOOKUP(C66,SERVIÇOS!$A$6:$D$7645,3,0),IF(A66="INSUMO",VLOOKUP(C66,INSUMOS!$A$6:$D$6961,3,0),IF('036.02-20-CANTEIRO.'!A66="COTAÇÃO",VLOOKUP('036.02-20-CANTEIRO.'!C66,'036-20-Cotação'!$A$9:$G$529,4,0),IF('036.02-20-CANTEIRO.'!A66="CCU",VLOOKUP('036.02-20-CANTEIRO.'!C66,'036-20-CCU''s'!$B$9:$H$1962,4,0)))))</f>
        <v>UN</v>
      </c>
      <c r="F66" s="453">
        <v>1</v>
      </c>
      <c r="G66" s="534" t="str">
        <f>IF(A66="SERVIÇO",VLOOKUP(C66,SERVIÇOS!$A$6:$D$7645,4,0),IF(A66="INSUMO",VLOOKUP(C66,INSUMOS!$A$6:$D$6961,4,0),IF('036.02-20-CANTEIRO.'!A66="COTAÇÃO",VLOOKUP('036.02-20-CANTEIRO.'!C66,'036-20-Cotação'!$A$9:$G$529,3,0),IF('036.02-20-CANTEIRO.'!A66="CCU",VLOOKUP('036.02-20-CANTEIRO.'!C66,'036-20-CCU''s'!$B$9:$H$1962,7,0)))))</f>
        <v>168,09</v>
      </c>
      <c r="H66" s="528">
        <f>BDI_O.A.E!$H$22</f>
        <v>0.18201100192553743</v>
      </c>
      <c r="I66" s="535">
        <f t="shared" ref="I66:I74" si="8">F66*(G66*(1+H66))</f>
        <v>198.68422931366359</v>
      </c>
      <c r="K66" s="232">
        <f t="shared" si="2"/>
        <v>198.68422931366359</v>
      </c>
    </row>
    <row r="67" spans="1:11" s="87" customFormat="1" ht="25.5">
      <c r="A67" s="233" t="s">
        <v>4542</v>
      </c>
      <c r="B67" s="324" t="s">
        <v>6442</v>
      </c>
      <c r="C67" s="324">
        <v>95675</v>
      </c>
      <c r="D67" s="451" t="str">
        <f>IF(A67="SERVIÇO",VLOOKUP(C67,SERVIÇOS!$A$6:$D$7645,2,0),IF(A67="INSUMO",VLOOKUP(C67,INSUMOS!$A$6:$D$6961,2,0),IF('036.02-20-CANTEIRO.'!A67="COTAÇÃO",VLOOKUP('036.02-20-CANTEIRO.'!C67,'036-20-Cotação'!$A$9:$G$529,2,0),IF('036.02-20-CANTEIRO.'!A67="CCU",VLOOKUP('036.02-20-CANTEIRO.'!C67,'036-20-CCU''s'!$B$9:$H$1962,2,0)))))</f>
        <v>HIDRÔMETRO DN 25 (¾ ), 5,0 M³/H FORNECIMENTO E INSTALAÇÃO. AF_11/2016</v>
      </c>
      <c r="E67" s="452" t="str">
        <f>IF(A67="SERVIÇO",VLOOKUP(C67,SERVIÇOS!$A$6:$D$7645,3,0),IF(A67="INSUMO",VLOOKUP(C67,INSUMOS!$A$6:$D$6961,3,0),IF('036.02-20-CANTEIRO.'!A67="COTAÇÃO",VLOOKUP('036.02-20-CANTEIRO.'!C67,'036-20-Cotação'!$A$9:$G$529,4,0),IF('036.02-20-CANTEIRO.'!A67="CCU",VLOOKUP('036.02-20-CANTEIRO.'!C67,'036-20-CCU''s'!$B$9:$H$1962,4,0)))))</f>
        <v>UN</v>
      </c>
      <c r="F67" s="453">
        <v>1</v>
      </c>
      <c r="G67" s="534" t="str">
        <f>IF(A67="SERVIÇO",VLOOKUP(C67,SERVIÇOS!$A$6:$D$7645,4,0),IF(A67="INSUMO",VLOOKUP(C67,INSUMOS!$A$6:$D$6961,4,0),IF('036.02-20-CANTEIRO.'!A67="COTAÇÃO",VLOOKUP('036.02-20-CANTEIRO.'!C67,'036-20-Cotação'!$A$9:$G$529,3,0),IF('036.02-20-CANTEIRO.'!A67="CCU",VLOOKUP('036.02-20-CANTEIRO.'!C67,'036-20-CCU''s'!$B$9:$H$1962,7,0)))))</f>
        <v>135,13</v>
      </c>
      <c r="H67" s="528">
        <f>BDI_O.A.E!$H$22</f>
        <v>0.18201100192553743</v>
      </c>
      <c r="I67" s="535">
        <f t="shared" si="8"/>
        <v>159.72514669019787</v>
      </c>
      <c r="K67" s="232">
        <f t="shared" si="2"/>
        <v>159.72514669019787</v>
      </c>
    </row>
    <row r="68" spans="1:11" s="87" customFormat="1" ht="25.5">
      <c r="A68" s="233" t="s">
        <v>4542</v>
      </c>
      <c r="B68" s="324" t="s">
        <v>6443</v>
      </c>
      <c r="C68" s="324">
        <v>83446</v>
      </c>
      <c r="D68" s="451" t="str">
        <f>IF(A68="SERVIÇO",VLOOKUP(C68,SERVIÇOS!$A$6:$D$7645,2,0),IF(A68="INSUMO",VLOOKUP(C68,INSUMOS!$A$6:$D$6961,2,0),IF('036.02-20-CANTEIRO.'!A68="COTAÇÃO",VLOOKUP('036.02-20-CANTEIRO.'!C68,'036-20-Cotação'!$A$9:$G$529,2,0),IF('036.02-20-CANTEIRO.'!A68="CCU",VLOOKUP('036.02-20-CANTEIRO.'!C68,'036-20-CCU''s'!$B$9:$H$1962,2,0)))))</f>
        <v>CAIXA DE PASSAGEM 30X30X40 COM TAMPA E DRENO BRITA</v>
      </c>
      <c r="E68" s="452" t="str">
        <f>IF(A68="SERVIÇO",VLOOKUP(C68,SERVIÇOS!$A$6:$D$7645,3,0),IF(A68="INSUMO",VLOOKUP(C68,INSUMOS!$A$6:$D$6961,3,0),IF('036.02-20-CANTEIRO.'!A68="COTAÇÃO",VLOOKUP('036.02-20-CANTEIRO.'!C68,'036-20-Cotação'!$A$9:$G$529,4,0),IF('036.02-20-CANTEIRO.'!A68="CCU",VLOOKUP('036.02-20-CANTEIRO.'!C68,'036-20-CCU''s'!$B$9:$H$1962,4,0)))))</f>
        <v>UN</v>
      </c>
      <c r="F68" s="453">
        <v>6</v>
      </c>
      <c r="G68" s="534" t="str">
        <f>IF(A68="SERVIÇO",VLOOKUP(C68,SERVIÇOS!$A$6:$D$7645,4,0),IF(A68="INSUMO",VLOOKUP(C68,INSUMOS!$A$6:$D$6961,4,0),IF('036.02-20-CANTEIRO.'!A68="COTAÇÃO",VLOOKUP('036.02-20-CANTEIRO.'!C68,'036-20-Cotação'!$A$9:$G$529,3,0),IF('036.02-20-CANTEIRO.'!A68="CCU",VLOOKUP('036.02-20-CANTEIRO.'!C68,'036-20-CCU''s'!$B$9:$H$1962,7,0)))))</f>
        <v>163,02</v>
      </c>
      <c r="H68" s="528">
        <f>BDI_O.A.E!$H$22</f>
        <v>0.18201100192553743</v>
      </c>
      <c r="I68" s="535">
        <f t="shared" si="8"/>
        <v>1156.1486012034068</v>
      </c>
      <c r="K68" s="232">
        <f t="shared" si="2"/>
        <v>1156.1486012034068</v>
      </c>
    </row>
    <row r="69" spans="1:11" s="87" customFormat="1" ht="25.5">
      <c r="A69" s="233" t="s">
        <v>4542</v>
      </c>
      <c r="B69" s="324" t="s">
        <v>6444</v>
      </c>
      <c r="C69" s="324">
        <v>86916</v>
      </c>
      <c r="D69" s="451" t="str">
        <f>IF(A69="SERVIÇO",VLOOKUP(C69,SERVIÇOS!$A$6:$D$7645,2,0),IF(A69="INSUMO",VLOOKUP(C69,INSUMOS!$A$6:$D$6961,2,0),IF('036.02-20-CANTEIRO.'!A69="COTAÇÃO",VLOOKUP('036.02-20-CANTEIRO.'!C69,'036-20-Cotação'!$A$9:$G$529,2,0),IF('036.02-20-CANTEIRO.'!A69="CCU",VLOOKUP('036.02-20-CANTEIRO.'!C69,'036-20-CCU''s'!$B$9:$H$1962,2,0)))))</f>
        <v>TORNEIRA PLÁSTICA 3/4 PARA TANQUE - FORNECIMENTO E INSTALAÇÃO. AF_01/2020</v>
      </c>
      <c r="E69" s="452" t="str">
        <f>IF(A69="SERVIÇO",VLOOKUP(C69,SERVIÇOS!$A$6:$D$7645,3,0),IF(A69="INSUMO",VLOOKUP(C69,INSUMOS!$A$6:$D$6961,3,0),IF('036.02-20-CANTEIRO.'!A69="COTAÇÃO",VLOOKUP('036.02-20-CANTEIRO.'!C69,'036-20-Cotação'!$A$9:$G$529,4,0),IF('036.02-20-CANTEIRO.'!A69="CCU",VLOOKUP('036.02-20-CANTEIRO.'!C69,'036-20-CCU''s'!$B$9:$H$1962,4,0)))))</f>
        <v>UN</v>
      </c>
      <c r="F69" s="453">
        <v>6</v>
      </c>
      <c r="G69" s="534" t="str">
        <f>IF(A69="SERVIÇO",VLOOKUP(C69,SERVIÇOS!$A$6:$D$7645,4,0),IF(A69="INSUMO",VLOOKUP(C69,INSUMOS!$A$6:$D$6961,4,0),IF('036.02-20-CANTEIRO.'!A69="COTAÇÃO",VLOOKUP('036.02-20-CANTEIRO.'!C69,'036-20-Cotação'!$A$9:$G$529,3,0),IF('036.02-20-CANTEIRO.'!A69="CCU",VLOOKUP('036.02-20-CANTEIRO.'!C69,'036-20-CCU''s'!$B$9:$H$1962,7,0)))))</f>
        <v>21,79</v>
      </c>
      <c r="H69" s="528">
        <f>BDI_O.A.E!$H$22</f>
        <v>0.18201100192553743</v>
      </c>
      <c r="I69" s="535">
        <f t="shared" si="8"/>
        <v>154.53611839174476</v>
      </c>
      <c r="K69" s="232">
        <f t="shared" si="2"/>
        <v>154.53611839174476</v>
      </c>
    </row>
    <row r="70" spans="1:11" s="87" customFormat="1" ht="38.25">
      <c r="A70" s="233" t="s">
        <v>4542</v>
      </c>
      <c r="B70" s="324" t="s">
        <v>6445</v>
      </c>
      <c r="C70" s="324">
        <v>98461</v>
      </c>
      <c r="D70" s="451" t="str">
        <f>IF(A70="SERVIÇO",VLOOKUP(C70,SERVIÇOS!$A$6:$D$7645,2,0),IF(A70="INSUMO",VLOOKUP(C70,INSUMOS!$A$6:$D$6961,2,0),IF('036.02-20-CANTEIRO.'!A70="COTAÇÃO",VLOOKUP('036.02-20-CANTEIRO.'!C70,'036-20-Cotação'!$A$9:$G$529,2,0),IF('036.02-20-CANTEIRO.'!A70="CCU",VLOOKUP('036.02-20-CANTEIRO.'!C70,'036-20-CCU''s'!$B$9:$H$1962,2,0)))))</f>
        <v>ESTRUTURA DE MADEIRA PROVISÓRIA PARA SUPORTE DE CAIXA DÁGUA ELEVADA DE 1000 LITROS. AF_05/2018</v>
      </c>
      <c r="E70" s="452" t="str">
        <f>IF(A70="SERVIÇO",VLOOKUP(C70,SERVIÇOS!$A$6:$D$7645,3,0),IF(A70="INSUMO",VLOOKUP(C70,INSUMOS!$A$6:$D$6961,3,0),IF('036.02-20-CANTEIRO.'!A70="COTAÇÃO",VLOOKUP('036.02-20-CANTEIRO.'!C70,'036-20-Cotação'!$A$9:$G$529,4,0),IF('036.02-20-CANTEIRO.'!A70="CCU",VLOOKUP('036.02-20-CANTEIRO.'!C70,'036-20-CCU''s'!$B$9:$H$1962,4,0)))))</f>
        <v>UN</v>
      </c>
      <c r="F70" s="453">
        <v>4</v>
      </c>
      <c r="G70" s="534" t="str">
        <f>IF(A70="SERVIÇO",VLOOKUP(C70,SERVIÇOS!$A$6:$D$7645,4,0),IF(A70="INSUMO",VLOOKUP(C70,INSUMOS!$A$6:$D$6961,4,0),IF('036.02-20-CANTEIRO.'!A70="COTAÇÃO",VLOOKUP('036.02-20-CANTEIRO.'!C70,'036-20-Cotação'!$A$9:$G$529,3,0),IF('036.02-20-CANTEIRO.'!A70="CCU",VLOOKUP('036.02-20-CANTEIRO.'!C70,'036-20-CCU''s'!$B$9:$H$1962,7,0)))))</f>
        <v>4.063,56</v>
      </c>
      <c r="H70" s="528">
        <f>BDI_O.A.E!$H$22</f>
        <v>0.18201100192553743</v>
      </c>
      <c r="I70" s="535">
        <f t="shared" si="8"/>
        <v>19212.690507938147</v>
      </c>
      <c r="K70" s="232">
        <f t="shared" si="2"/>
        <v>19212.690507938147</v>
      </c>
    </row>
    <row r="71" spans="1:11" s="87" customFormat="1" ht="25.5">
      <c r="A71" s="233" t="s">
        <v>4544</v>
      </c>
      <c r="B71" s="324" t="s">
        <v>6446</v>
      </c>
      <c r="C71" s="324">
        <v>34636</v>
      </c>
      <c r="D71" s="451" t="str">
        <f>IF(A71="SERVIÇO",VLOOKUP(C71,SERVIÇOS!$A$6:$D$7645,2,0),IF(A71="INSUMO",VLOOKUP(C71,INSUMOS!$A$6:$D$6961,2,0),IF('036.02-20-CANTEIRO.'!A71="COTAÇÃO",VLOOKUP('036.02-20-CANTEIRO.'!C71,'036-20-Cotação'!$A$9:$G$529,2,0),IF('036.02-20-CANTEIRO.'!A71="CCU",VLOOKUP('036.02-20-CANTEIRO.'!C71,'036-20-CCU''s'!$B$9:$H$1962,2,0)))))</f>
        <v xml:space="preserve">CAIXA D'AGUA EM POLIETILENO 1000 LITROS, COM TAMPA                                                                                                                                                                                                                                                                                                                                                                                                                                                        </v>
      </c>
      <c r="E71" s="452" t="str">
        <f>IF(A71="SERVIÇO",VLOOKUP(C71,SERVIÇOS!$A$6:$D$7645,3,0),IF(A71="INSUMO",VLOOKUP(C71,INSUMOS!$A$6:$D$6961,3,0),IF('036.02-20-CANTEIRO.'!A71="COTAÇÃO",VLOOKUP('036.02-20-CANTEIRO.'!C71,'036-20-Cotação'!$A$9:$G$529,4,0),IF('036.02-20-CANTEIRO.'!A71="CCU",VLOOKUP('036.02-20-CANTEIRO.'!C71,'036-20-CCU''s'!$B$9:$H$1962,4,0)))))</f>
        <v xml:space="preserve">UN    </v>
      </c>
      <c r="F71" s="453">
        <v>4</v>
      </c>
      <c r="G71" s="534" t="str">
        <f>IF(A71="SERVIÇO",VLOOKUP(C71,SERVIÇOS!$A$6:$D$7645,4,0),IF(A71="INSUMO",VLOOKUP(C71,INSUMOS!$A$6:$D$6961,4,0),IF('036.02-20-CANTEIRO.'!A71="COTAÇÃO",VLOOKUP('036.02-20-CANTEIRO.'!C71,'036-20-Cotação'!$A$9:$G$529,3,0),IF('036.02-20-CANTEIRO.'!A71="CCU",VLOOKUP('036.02-20-CANTEIRO.'!C71,'036-20-CCU''s'!$B$9:$H$1962,7,0)))))</f>
        <v>329,45</v>
      </c>
      <c r="H71" s="528">
        <f>BDI_O.A.E!$H$22</f>
        <v>0.18201100192553743</v>
      </c>
      <c r="I71" s="535">
        <f t="shared" si="8"/>
        <v>1557.6540983374732</v>
      </c>
      <c r="K71" s="232">
        <f t="shared" si="2"/>
        <v>1557.6540983374732</v>
      </c>
    </row>
    <row r="72" spans="1:11" s="87" customFormat="1" ht="38.25">
      <c r="A72" s="233" t="s">
        <v>4542</v>
      </c>
      <c r="B72" s="324" t="s">
        <v>6447</v>
      </c>
      <c r="C72" s="324">
        <v>93358</v>
      </c>
      <c r="D72" s="451" t="str">
        <f>IF(A72="SERVIÇO",VLOOKUP(C72,SERVIÇOS!$A$6:$D$7645,2,0),IF(A72="INSUMO",VLOOKUP(C72,INSUMOS!$A$6:$D$6961,2,0),IF('036.02-20-CANTEIRO.'!A72="COTAÇÃO",VLOOKUP('036.02-20-CANTEIRO.'!C72,'036-20-Cotação'!$A$9:$G$529,2,0),IF('036.02-20-CANTEIRO.'!A72="CCU",VLOOKUP('036.02-20-CANTEIRO.'!C72,'036-20-CCU''s'!$B$9:$H$1962,2,0)))))</f>
        <v>ESCAVAÇÃO MANUAL DE VALA COM PROFUNDIDADE MENOR OU IGUAL A 1,30 M. AF_03/2016</v>
      </c>
      <c r="E72" s="452" t="str">
        <f>IF(A72="SERVIÇO",VLOOKUP(C72,SERVIÇOS!$A$6:$D$7645,3,0),IF(A72="INSUMO",VLOOKUP(C72,INSUMOS!$A$6:$D$6961,3,0),IF('036.02-20-CANTEIRO.'!A72="COTAÇÃO",VLOOKUP('036.02-20-CANTEIRO.'!C72,'036-20-Cotação'!$A$9:$G$529,4,0),IF('036.02-20-CANTEIRO.'!A72="CCU",VLOOKUP('036.02-20-CANTEIRO.'!C72,'036-20-CCU''s'!$B$9:$H$1962,4,0)))))</f>
        <v>M3</v>
      </c>
      <c r="F72" s="453">
        <v>17.399999999999999</v>
      </c>
      <c r="G72" s="534" t="str">
        <f>IF(A72="SERVIÇO",VLOOKUP(C72,SERVIÇOS!$A$6:$D$7645,4,0),IF(A72="INSUMO",VLOOKUP(C72,INSUMOS!$A$6:$D$6961,4,0),IF('036.02-20-CANTEIRO.'!A72="COTAÇÃO",VLOOKUP('036.02-20-CANTEIRO.'!C72,'036-20-Cotação'!$A$9:$G$529,3,0),IF('036.02-20-CANTEIRO.'!A72="CCU",VLOOKUP('036.02-20-CANTEIRO.'!C72,'036-20-CCU''s'!$B$9:$H$1962,7,0)))))</f>
        <v>65,59</v>
      </c>
      <c r="H72" s="528">
        <f>BDI_O.A.E!$H$22</f>
        <v>0.18201100192553743</v>
      </c>
      <c r="I72" s="535">
        <f t="shared" si="8"/>
        <v>1348.9889681235502</v>
      </c>
      <c r="K72" s="232">
        <f t="shared" si="2"/>
        <v>1348.9889681235502</v>
      </c>
    </row>
    <row r="73" spans="1:11" s="87" customFormat="1" ht="38.25">
      <c r="A73" s="233" t="s">
        <v>4542</v>
      </c>
      <c r="B73" s="324" t="s">
        <v>6448</v>
      </c>
      <c r="C73" s="324">
        <v>94097</v>
      </c>
      <c r="D73" s="451" t="str">
        <f>IF(A73="SERVIÇO",VLOOKUP(C73,SERVIÇOS!$A$6:$D$7645,2,0),IF(A73="INSUMO",VLOOKUP(C73,INSUMOS!$A$6:$D$6961,2,0),IF('036.02-20-CANTEIRO.'!A73="COTAÇÃO",VLOOKUP('036.02-20-CANTEIRO.'!C73,'036-20-Cotação'!$A$9:$G$529,2,0),IF('036.02-20-CANTEIRO.'!A73="CCU",VLOOKUP('036.02-20-CANTEIRO.'!C73,'036-20-CCU''s'!$B$9:$H$1962,2,0)))))</f>
        <v>PREPARO DE FUNDO DE VALA COM LARGURA MENOR QUE 1,5 M, EM LOCAL COM NÍVEL BAIXO DE INTERFERÊNCIA. AF_06/2016</v>
      </c>
      <c r="E73" s="452" t="str">
        <f>IF(A73="SERVIÇO",VLOOKUP(C73,SERVIÇOS!$A$6:$D$7645,3,0),IF(A73="INSUMO",VLOOKUP(C73,INSUMOS!$A$6:$D$6961,3,0),IF('036.02-20-CANTEIRO.'!A73="COTAÇÃO",VLOOKUP('036.02-20-CANTEIRO.'!C73,'036-20-Cotação'!$A$9:$G$529,4,0),IF('036.02-20-CANTEIRO.'!A73="CCU",VLOOKUP('036.02-20-CANTEIRO.'!C73,'036-20-CCU''s'!$B$9:$H$1962,4,0)))))</f>
        <v>M2</v>
      </c>
      <c r="F73" s="453">
        <v>34.799999999999997</v>
      </c>
      <c r="G73" s="534" t="str">
        <f>IF(A73="SERVIÇO",VLOOKUP(C73,SERVIÇOS!$A$6:$D$7645,4,0),IF(A73="INSUMO",VLOOKUP(C73,INSUMOS!$A$6:$D$6961,4,0),IF('036.02-20-CANTEIRO.'!A73="COTAÇÃO",VLOOKUP('036.02-20-CANTEIRO.'!C73,'036-20-Cotação'!$A$9:$G$529,3,0),IF('036.02-20-CANTEIRO.'!A73="CCU",VLOOKUP('036.02-20-CANTEIRO.'!C73,'036-20-CCU''s'!$B$9:$H$1962,7,0)))))</f>
        <v>5,03</v>
      </c>
      <c r="H73" s="528">
        <f>BDI_O.A.E!$H$22</f>
        <v>0.18201100192553743</v>
      </c>
      <c r="I73" s="535">
        <f t="shared" si="8"/>
        <v>206.90393382105376</v>
      </c>
      <c r="K73" s="232">
        <f t="shared" si="2"/>
        <v>206.90393382105376</v>
      </c>
    </row>
    <row r="74" spans="1:11" s="87" customFormat="1" ht="25.5">
      <c r="A74" s="233" t="s">
        <v>4542</v>
      </c>
      <c r="B74" s="324" t="s">
        <v>6449</v>
      </c>
      <c r="C74" s="324">
        <v>93382</v>
      </c>
      <c r="D74" s="451" t="str">
        <f>IF(A74="SERVIÇO",VLOOKUP(C74,SERVIÇOS!$A$6:$D$7645,2,0),IF(A74="INSUMO",VLOOKUP(C74,INSUMOS!$A$6:$D$6961,2,0),IF('036.02-20-CANTEIRO.'!A74="COTAÇÃO",VLOOKUP('036.02-20-CANTEIRO.'!C74,'036-20-Cotação'!$A$9:$G$529,2,0),IF('036.02-20-CANTEIRO.'!A74="CCU",VLOOKUP('036.02-20-CANTEIRO.'!C74,'036-20-CCU''s'!$B$9:$H$1962,2,0)))))</f>
        <v>REATERRO MANUAL DE VALAS COM COMPACTAÇÃO MECANIZADA. AF_04/2016</v>
      </c>
      <c r="E74" s="452" t="str">
        <f>IF(A74="SERVIÇO",VLOOKUP(C74,SERVIÇOS!$A$6:$D$7645,3,0),IF(A74="INSUMO",VLOOKUP(C74,INSUMOS!$A$6:$D$6961,3,0),IF('036.02-20-CANTEIRO.'!A74="COTAÇÃO",VLOOKUP('036.02-20-CANTEIRO.'!C74,'036-20-Cotação'!$A$9:$G$529,4,0),IF('036.02-20-CANTEIRO.'!A74="CCU",VLOOKUP('036.02-20-CANTEIRO.'!C74,'036-20-CCU''s'!$B$9:$H$1962,4,0)))))</f>
        <v>M3</v>
      </c>
      <c r="F74" s="453">
        <v>17.3</v>
      </c>
      <c r="G74" s="534" t="str">
        <f>IF(A74="SERVIÇO",VLOOKUP(C74,SERVIÇOS!$A$6:$D$7645,4,0),IF(A74="INSUMO",VLOOKUP(C74,INSUMOS!$A$6:$D$6961,4,0),IF('036.02-20-CANTEIRO.'!A74="COTAÇÃO",VLOOKUP('036.02-20-CANTEIRO.'!C74,'036-20-Cotação'!$A$9:$G$529,3,0),IF('036.02-20-CANTEIRO.'!A74="CCU",VLOOKUP('036.02-20-CANTEIRO.'!C74,'036-20-CCU''s'!$B$9:$H$1962,7,0)))))</f>
        <v>23,32</v>
      </c>
      <c r="H74" s="528">
        <f>BDI_O.A.E!$H$22</f>
        <v>0.18201100192553743</v>
      </c>
      <c r="I74" s="535">
        <f t="shared" si="8"/>
        <v>476.86579057283114</v>
      </c>
      <c r="K74" s="232">
        <f t="shared" si="2"/>
        <v>476.86579057283114</v>
      </c>
    </row>
    <row r="75" spans="1:11" s="223" customFormat="1">
      <c r="A75" s="233" t="s">
        <v>4542</v>
      </c>
      <c r="B75" s="224" t="s">
        <v>6451</v>
      </c>
      <c r="C75" s="224"/>
      <c r="D75" s="229" t="s">
        <v>6450</v>
      </c>
      <c r="E75" s="230"/>
      <c r="F75" s="230"/>
      <c r="G75" s="230"/>
      <c r="H75" s="342"/>
      <c r="I75" s="231"/>
      <c r="K75" s="232">
        <f t="shared" si="2"/>
        <v>0</v>
      </c>
    </row>
    <row r="76" spans="1:11" s="87" customFormat="1" ht="63.75">
      <c r="A76" s="233" t="s">
        <v>4543</v>
      </c>
      <c r="B76" s="324" t="s">
        <v>6452</v>
      </c>
      <c r="C76" s="324" t="s">
        <v>6269</v>
      </c>
      <c r="D76" s="451" t="str">
        <f>IF(A76="SERVIÇO",VLOOKUP(C76,SERVIÇOS!$A$6:$D$7645,2,0),IF(A76="INSUMO",VLOOKUP(C76,INSUMOS!$A$6:$D$6961,2,0),IF('036.02-20-CANTEIRO.'!A76="COTAÇÃO",VLOOKUP('036.02-20-CANTEIRO.'!C76,'036-20-Cotação'!$A$9:$G$529,2,0),IF('036.02-20-CANTEIRO.'!A76="CCU",VLOOKUP('036.02-20-CANTEIRO.'!C76,'036-20-CCU''s'!$B$9:$H$1962,2,0)))))</f>
        <v>POSTE CONCRETO SEÇÃO CIRCULAR COMPRIMENTO=11M CARGA NOMINAL NO TOPO 200KG INCLUSIVE ESCAVACAO EXCLUSIVE TRANSPORTE - FORNECIMENTO E COLOCAÇÃO</v>
      </c>
      <c r="E76" s="452" t="str">
        <f>IF(A76="SERVIÇO",VLOOKUP(C76,SERVIÇOS!$A$6:$D$7645,3,0),IF(A76="INSUMO",VLOOKUP(C76,INSUMOS!$A$6:$D$6961,3,0),IF('036.02-20-CANTEIRO.'!A76="COTAÇÃO",VLOOKUP('036.02-20-CANTEIRO.'!C76,'036-20-Cotação'!$A$9:$G$529,4,0),IF('036.02-20-CANTEIRO.'!A76="CCU",VLOOKUP('036.02-20-CANTEIRO.'!C76,'036-20-CCU''s'!$B$9:$H$1962,4,0)))))</f>
        <v xml:space="preserve">UN    </v>
      </c>
      <c r="F76" s="453">
        <v>4</v>
      </c>
      <c r="G76" s="534">
        <f>IF(A76="SERVIÇO",VLOOKUP(C76,SERVIÇOS!$A$6:$D$7645,4,0),IF(A76="INSUMO",VLOOKUP(C76,INSUMOS!$A$6:$D$6961,4,0),IF('036.02-20-CANTEIRO.'!A76="COTAÇÃO",VLOOKUP('036.02-20-CANTEIRO.'!C76,'036-20-Cotação'!$A$9:$G$529,3,0),IF('036.02-20-CANTEIRO.'!A76="CCU",VLOOKUP('036.02-20-CANTEIRO.'!C76,'036-20-CCU''s'!$B$9:$H$1962,7,0)))))</f>
        <v>1083.3409999999999</v>
      </c>
      <c r="H76" s="528">
        <f>BDI_O.A.E!$H$22</f>
        <v>0.18201100192553743</v>
      </c>
      <c r="I76" s="535">
        <f>F76*(G76*(1+H76))</f>
        <v>5122.0839233480538</v>
      </c>
      <c r="K76" s="232">
        <f t="shared" si="2"/>
        <v>5122.0839233480538</v>
      </c>
    </row>
    <row r="77" spans="1:11" s="87" customFormat="1" ht="51">
      <c r="A77" s="233" t="s">
        <v>4543</v>
      </c>
      <c r="B77" s="324" t="s">
        <v>6453</v>
      </c>
      <c r="C77" s="324" t="s">
        <v>6270</v>
      </c>
      <c r="D77" s="451" t="str">
        <f>IF(A77="SERVIÇO",VLOOKUP(C77,SERVIÇOS!$A$6:$D$7645,2,0),IF(A77="INSUMO",VLOOKUP(C77,INSUMOS!$A$6:$D$6961,2,0),IF('036.02-20-CANTEIRO.'!A77="COTAÇÃO",VLOOKUP('036.02-20-CANTEIRO.'!C77,'036-20-Cotação'!$A$9:$G$529,2,0),IF('036.02-20-CANTEIRO.'!A77="CCU",VLOOKUP('036.02-20-CANTEIRO.'!C77,'036-20-CCU''s'!$B$9:$H$1962,2,0)))))</f>
        <v>CABO DE COBRE UNIPOLAR 50 MM2, BLINDADO, ISOLACAO 12/20 KV EPR, COBERTURA EM PVC - FORNECIMENTO E INSTALAÇÃO</v>
      </c>
      <c r="E77" s="452" t="str">
        <f>IF(A77="SERVIÇO",VLOOKUP(C77,SERVIÇOS!$A$6:$D$7645,3,0),IF(A77="INSUMO",VLOOKUP(C77,INSUMOS!$A$6:$D$6961,3,0),IF('036.02-20-CANTEIRO.'!A77="COTAÇÃO",VLOOKUP('036.02-20-CANTEIRO.'!C77,'036-20-Cotação'!$A$9:$G$529,4,0),IF('036.02-20-CANTEIRO.'!A77="CCU",VLOOKUP('036.02-20-CANTEIRO.'!C77,'036-20-CCU''s'!$B$9:$H$1962,4,0)))))</f>
        <v>M</v>
      </c>
      <c r="F77" s="453">
        <v>399.3</v>
      </c>
      <c r="G77" s="534">
        <f>IF(A77="SERVIÇO",VLOOKUP(C77,SERVIÇOS!$A$6:$D$7645,4,0),IF(A77="INSUMO",VLOOKUP(C77,INSUMOS!$A$6:$D$6961,4,0),IF('036.02-20-CANTEIRO.'!A77="COTAÇÃO",VLOOKUP('036.02-20-CANTEIRO.'!C77,'036-20-Cotação'!$A$9:$G$529,3,0),IF('036.02-20-CANTEIRO.'!A77="CCU",VLOOKUP('036.02-20-CANTEIRO.'!C77,'036-20-CCU''s'!$B$9:$H$1962,7,0)))))</f>
        <v>54.507899999999999</v>
      </c>
      <c r="H77" s="528">
        <f>BDI_O.A.E!$H$22</f>
        <v>0.18201100192553743</v>
      </c>
      <c r="I77" s="535">
        <f>F77*(G77*(1+H77))</f>
        <v>25726.474740498499</v>
      </c>
      <c r="K77" s="232">
        <f t="shared" si="2"/>
        <v>25726.474740498499</v>
      </c>
    </row>
    <row r="78" spans="1:11" s="87" customFormat="1" ht="51">
      <c r="A78" s="233" t="s">
        <v>4543</v>
      </c>
      <c r="B78" s="324" t="s">
        <v>6454</v>
      </c>
      <c r="C78" s="324" t="s">
        <v>6268</v>
      </c>
      <c r="D78" s="451" t="str">
        <f>IF(A78="SERVIÇO",VLOOKUP(C78,SERVIÇOS!$A$6:$D$7645,2,0),IF(A78="INSUMO",VLOOKUP(C78,INSUMOS!$A$6:$D$6961,2,0),IF('036.02-20-CANTEIRO.'!A78="COTAÇÃO",VLOOKUP('036.02-20-CANTEIRO.'!C78,'036-20-Cotação'!$A$9:$G$529,2,0),IF('036.02-20-CANTEIRO.'!A78="CCU",VLOOKUP('036.02-20-CANTEIRO.'!C78,'036-20-CCU''s'!$B$9:$H$1962,2,0)))))</f>
        <v>SUBESTAÇÃO AÉREA DE 90 KVA 380/220V COM CONJUNTO DE MEDIÇÃO TR, CONFORME DETALAMENTO EM PROJETO - FORNECIMENTO E INSTALACAO</v>
      </c>
      <c r="E78" s="452" t="str">
        <f>IF(A78="SERVIÇO",VLOOKUP(C78,SERVIÇOS!$A$6:$D$7645,3,0),IF(A78="INSUMO",VLOOKUP(C78,INSUMOS!$A$6:$D$6961,3,0),IF('036.02-20-CANTEIRO.'!A78="COTAÇÃO",VLOOKUP('036.02-20-CANTEIRO.'!C78,'036-20-Cotação'!$A$9:$G$529,4,0),IF('036.02-20-CANTEIRO.'!A78="CCU",VLOOKUP('036.02-20-CANTEIRO.'!C78,'036-20-CCU''s'!$B$9:$H$1962,4,0)))))</f>
        <v xml:space="preserve">UN </v>
      </c>
      <c r="F78" s="453">
        <v>1</v>
      </c>
      <c r="G78" s="534">
        <f>IF(A78="SERVIÇO",VLOOKUP(C78,SERVIÇOS!$A$6:$D$7645,4,0),IF(A78="INSUMO",VLOOKUP(C78,INSUMOS!$A$6:$D$6961,4,0),IF('036.02-20-CANTEIRO.'!A78="COTAÇÃO",VLOOKUP('036.02-20-CANTEIRO.'!C78,'036-20-Cotação'!$A$9:$G$529,3,0),IF('036.02-20-CANTEIRO.'!A78="CCU",VLOOKUP('036.02-20-CANTEIRO.'!C78,'036-20-CCU''s'!$B$9:$H$1962,7,0)))))</f>
        <v>28949.240400000002</v>
      </c>
      <c r="H78" s="528">
        <f>BDI_O.A.E!$H$22</f>
        <v>0.18201100192553743</v>
      </c>
      <c r="I78" s="535">
        <f>F78*(G78*(1+H78))</f>
        <v>34218.320650187248</v>
      </c>
      <c r="K78" s="232">
        <f t="shared" si="2"/>
        <v>34218.320650187248</v>
      </c>
    </row>
    <row r="79" spans="1:11" s="87" customFormat="1" ht="51">
      <c r="A79" s="233" t="s">
        <v>4543</v>
      </c>
      <c r="B79" s="324" t="s">
        <v>6455</v>
      </c>
      <c r="C79" s="324" t="s">
        <v>6267</v>
      </c>
      <c r="D79" s="451" t="str">
        <f>IF(A79="SERVIÇO",VLOOKUP(C79,SERVIÇOS!$A$6:$D$7645,2,0),IF(A79="INSUMO",VLOOKUP(C79,INSUMOS!$A$6:$D$6961,2,0),IF('036.02-20-CANTEIRO.'!A79="COTAÇÃO",VLOOKUP('036.02-20-CANTEIRO.'!C79,'036-20-Cotação'!$A$9:$G$529,2,0),IF('036.02-20-CANTEIRO.'!A79="CCU",VLOOKUP('036.02-20-CANTEIRO.'!C79,'036-20-CCU''s'!$B$9:$H$1962,2,0)))))</f>
        <v>MURETA EM ALVENARIA PARA INSTALAÇÃO DO CONJUNTO DE MEDIÇÃO TR COM DIMENÇÕES DE 2,13 M DE COMPRIMENTO, 0,46M DE LARGURA E 1,70M DE ALTURA.</v>
      </c>
      <c r="E79" s="452" t="str">
        <f>IF(A79="SERVIÇO",VLOOKUP(C79,SERVIÇOS!$A$6:$D$7645,3,0),IF(A79="INSUMO",VLOOKUP(C79,INSUMOS!$A$6:$D$6961,3,0),IF('036.02-20-CANTEIRO.'!A79="COTAÇÃO",VLOOKUP('036.02-20-CANTEIRO.'!C79,'036-20-Cotação'!$A$9:$G$529,4,0),IF('036.02-20-CANTEIRO.'!A79="CCU",VLOOKUP('036.02-20-CANTEIRO.'!C79,'036-20-CCU''s'!$B$9:$H$1962,4,0)))))</f>
        <v xml:space="preserve">UN </v>
      </c>
      <c r="F79" s="453">
        <v>1</v>
      </c>
      <c r="G79" s="534">
        <f>IF(A79="SERVIÇO",VLOOKUP(C79,SERVIÇOS!$A$6:$D$7645,4,0),IF(A79="INSUMO",VLOOKUP(C79,INSUMOS!$A$6:$D$6961,4,0),IF('036.02-20-CANTEIRO.'!A79="COTAÇÃO",VLOOKUP('036.02-20-CANTEIRO.'!C79,'036-20-Cotação'!$A$9:$G$529,3,0),IF('036.02-20-CANTEIRO.'!A79="CCU",VLOOKUP('036.02-20-CANTEIRO.'!C79,'036-20-CCU''s'!$B$9:$H$1962,7,0)))))</f>
        <v>992.1262246</v>
      </c>
      <c r="H79" s="528">
        <f>BDI_O.A.E!$H$22</f>
        <v>0.18201100192553743</v>
      </c>
      <c r="I79" s="535">
        <f t="shared" ref="I79:I92" si="9">F79*(G79*(1+H79))</f>
        <v>1172.7041127760467</v>
      </c>
      <c r="K79" s="232">
        <f t="shared" si="2"/>
        <v>1172.7041127760467</v>
      </c>
    </row>
    <row r="80" spans="1:11" s="87" customFormat="1" ht="76.5">
      <c r="A80" s="233" t="s">
        <v>4542</v>
      </c>
      <c r="B80" s="324" t="s">
        <v>6456</v>
      </c>
      <c r="C80" s="324" t="s">
        <v>2196</v>
      </c>
      <c r="D80" s="451" t="str">
        <f>IF(A80="SERVIÇO",VLOOKUP(C80,SERVIÇOS!$A$6:$D$7645,2,0),IF(A80="INSUMO",VLOOKUP(C80,INSUMOS!$A$6:$D$6961,2,0),IF('036.02-20-CANTEIRO.'!A80="COTAÇÃO",VLOOKUP('036.02-20-CANTEIRO.'!C80,'036-20-Cotação'!$A$9:$G$529,2,0),IF('036.02-20-CANTEIRO.'!A80="CCU",VLOOKUP('036.02-20-CANTEIRO.'!C80,'036-20-CCU''s'!$B$9:$H$1962,2,0)))))</f>
        <v>QUADRO DE DISTRIBUICAO DE ENERGIA DE EMBUTIR, EM CHAPA METALICA, PARA 32 DISJUNTORES TERMOMAGNETICOS MONOPOLARES, COM BARRAMENTO TRIFASICO E NEUTRO, FORNECIMENTO E INSTALACAO</v>
      </c>
      <c r="E80" s="452" t="str">
        <f>IF(A80="SERVIÇO",VLOOKUP(C80,SERVIÇOS!$A$6:$D$7645,3,0),IF(A80="INSUMO",VLOOKUP(C80,INSUMOS!$A$6:$D$6961,3,0),IF('036.02-20-CANTEIRO.'!A80="COTAÇÃO",VLOOKUP('036.02-20-CANTEIRO.'!C80,'036-20-Cotação'!$A$9:$G$529,4,0),IF('036.02-20-CANTEIRO.'!A80="CCU",VLOOKUP('036.02-20-CANTEIRO.'!C80,'036-20-CCU''s'!$B$9:$H$1962,4,0)))))</f>
        <v>UN</v>
      </c>
      <c r="F80" s="453">
        <v>1</v>
      </c>
      <c r="G80" s="534" t="str">
        <f>IF(A80="SERVIÇO",VLOOKUP(C80,SERVIÇOS!$A$6:$D$7645,4,0),IF(A80="INSUMO",VLOOKUP(C80,INSUMOS!$A$6:$D$6961,4,0),IF('036.02-20-CANTEIRO.'!A80="COTAÇÃO",VLOOKUP('036.02-20-CANTEIRO.'!C80,'036-20-Cotação'!$A$9:$G$529,3,0),IF('036.02-20-CANTEIRO.'!A80="CCU",VLOOKUP('036.02-20-CANTEIRO.'!C80,'036-20-CCU''s'!$B$9:$H$1962,7,0)))))</f>
        <v>467,38</v>
      </c>
      <c r="H80" s="528">
        <f>BDI_O.A.E!$H$22</f>
        <v>0.18201100192553743</v>
      </c>
      <c r="I80" s="535">
        <f t="shared" si="9"/>
        <v>552.44830207995767</v>
      </c>
      <c r="K80" s="232">
        <f t="shared" si="2"/>
        <v>552.44830207995767</v>
      </c>
    </row>
    <row r="81" spans="1:11" s="87" customFormat="1" ht="25.5">
      <c r="A81" s="233" t="s">
        <v>4542</v>
      </c>
      <c r="B81" s="324" t="s">
        <v>6457</v>
      </c>
      <c r="C81" s="324">
        <v>83446</v>
      </c>
      <c r="D81" s="451" t="str">
        <f>IF(A81="SERVIÇO",VLOOKUP(C81,SERVIÇOS!$A$6:$D$7645,2,0),IF(A81="INSUMO",VLOOKUP(C81,INSUMOS!$A$6:$D$6961,2,0),IF('036.02-20-CANTEIRO.'!A81="COTAÇÃO",VLOOKUP('036.02-20-CANTEIRO.'!C81,'036-20-Cotação'!$A$9:$G$529,2,0),IF('036.02-20-CANTEIRO.'!A81="CCU",VLOOKUP('036.02-20-CANTEIRO.'!C81,'036-20-CCU''s'!$B$9:$H$1962,2,0)))))</f>
        <v>CAIXA DE PASSAGEM 30X30X40 COM TAMPA E DRENO BRITA</v>
      </c>
      <c r="E81" s="452" t="str">
        <f>IF(A81="SERVIÇO",VLOOKUP(C81,SERVIÇOS!$A$6:$D$7645,3,0),IF(A81="INSUMO",VLOOKUP(C81,INSUMOS!$A$6:$D$6961,3,0),IF('036.02-20-CANTEIRO.'!A81="COTAÇÃO",VLOOKUP('036.02-20-CANTEIRO.'!C81,'036-20-Cotação'!$A$9:$G$529,4,0),IF('036.02-20-CANTEIRO.'!A81="CCU",VLOOKUP('036.02-20-CANTEIRO.'!C81,'036-20-CCU''s'!$B$9:$H$1962,4,0)))))</f>
        <v>UN</v>
      </c>
      <c r="F81" s="453">
        <v>52</v>
      </c>
      <c r="G81" s="534" t="str">
        <f>IF(A81="SERVIÇO",VLOOKUP(C81,SERVIÇOS!$A$6:$D$7645,4,0),IF(A81="INSUMO",VLOOKUP(C81,INSUMOS!$A$6:$D$6961,4,0),IF('036.02-20-CANTEIRO.'!A81="COTAÇÃO",VLOOKUP('036.02-20-CANTEIRO.'!C81,'036-20-Cotação'!$A$9:$G$529,3,0),IF('036.02-20-CANTEIRO.'!A81="CCU",VLOOKUP('036.02-20-CANTEIRO.'!C81,'036-20-CCU''s'!$B$9:$H$1962,7,0)))))</f>
        <v>163,02</v>
      </c>
      <c r="H81" s="528">
        <f>BDI_O.A.E!$H$22</f>
        <v>0.18201100192553743</v>
      </c>
      <c r="I81" s="535">
        <f t="shared" ref="I81" si="10">F81*(G81*(1+H81))</f>
        <v>10019.954543762859</v>
      </c>
      <c r="K81" s="232">
        <f t="shared" ref="K81:K144" si="11">F81*(G81*(1+H81))</f>
        <v>10019.954543762859</v>
      </c>
    </row>
    <row r="82" spans="1:11" s="87" customFormat="1" ht="51">
      <c r="A82" s="233" t="s">
        <v>4542</v>
      </c>
      <c r="B82" s="324" t="s">
        <v>6458</v>
      </c>
      <c r="C82" s="324">
        <v>97889</v>
      </c>
      <c r="D82" s="451" t="str">
        <f>IF(A82="SERVIÇO",VLOOKUP(C82,SERVIÇOS!$A$6:$D$7645,2,0),IF(A82="INSUMO",VLOOKUP(C82,INSUMOS!$A$6:$D$6961,2,0),IF('036.02-20-CANTEIRO.'!A82="COTAÇÃO",VLOOKUP('036.02-20-CANTEIRO.'!C82,'036-20-Cotação'!$A$9:$G$529,2,0),IF('036.02-20-CANTEIRO.'!A82="CCU",VLOOKUP('036.02-20-CANTEIRO.'!C82,'036-20-CCU''s'!$B$9:$H$1962,2,0)))))</f>
        <v>CAIXA ENTERRADA ELÉTRICA RETANGULAR, EM ALVENARIA COM TIJOLOS CERÂMICOS MACIÇOS, FUNDO COM BRITA, DIMENSÕES INTERNAS: 0,8X0,8X0,6 M. AF_05/2018</v>
      </c>
      <c r="E82" s="452" t="str">
        <f>IF(A82="SERVIÇO",VLOOKUP(C82,SERVIÇOS!$A$6:$D$7645,3,0),IF(A82="INSUMO",VLOOKUP(C82,INSUMOS!$A$6:$D$6961,3,0),IF('036.02-20-CANTEIRO.'!A82="COTAÇÃO",VLOOKUP('036.02-20-CANTEIRO.'!C82,'036-20-Cotação'!$A$9:$G$529,4,0),IF('036.02-20-CANTEIRO.'!A82="CCU",VLOOKUP('036.02-20-CANTEIRO.'!C82,'036-20-CCU''s'!$B$9:$H$1962,4,0)))))</f>
        <v>UN</v>
      </c>
      <c r="F82" s="453">
        <v>5</v>
      </c>
      <c r="G82" s="534" t="str">
        <f>IF(A82="SERVIÇO",VLOOKUP(C82,SERVIÇOS!$A$6:$D$7645,4,0),IF(A82="INSUMO",VLOOKUP(C82,INSUMOS!$A$6:$D$6961,4,0),IF('036.02-20-CANTEIRO.'!A82="COTAÇÃO",VLOOKUP('036.02-20-CANTEIRO.'!C82,'036-20-Cotação'!$A$9:$G$529,3,0),IF('036.02-20-CANTEIRO.'!A82="CCU",VLOOKUP('036.02-20-CANTEIRO.'!C82,'036-20-CCU''s'!$B$9:$H$1962,7,0)))))</f>
        <v>542,01</v>
      </c>
      <c r="H82" s="528">
        <f>BDI_O.A.E!$H$22</f>
        <v>0.18201100192553743</v>
      </c>
      <c r="I82" s="535">
        <f t="shared" si="9"/>
        <v>3203.3089157683025</v>
      </c>
      <c r="K82" s="232">
        <f t="shared" si="11"/>
        <v>3203.3089157683025</v>
      </c>
    </row>
    <row r="83" spans="1:11" s="87" customFormat="1" ht="38.25">
      <c r="A83" s="233" t="s">
        <v>4542</v>
      </c>
      <c r="B83" s="324" t="s">
        <v>6459</v>
      </c>
      <c r="C83" s="324">
        <v>98111</v>
      </c>
      <c r="D83" s="451" t="str">
        <f>IF(A83="SERVIÇO",VLOOKUP(C83,SERVIÇOS!$A$6:$D$7645,2,0),IF(A83="INSUMO",VLOOKUP(C83,INSUMOS!$A$6:$D$6961,2,0),IF('036.02-20-CANTEIRO.'!A83="COTAÇÃO",VLOOKUP('036.02-20-CANTEIRO.'!C83,'036-20-Cotação'!$A$9:$G$529,2,0),IF('036.02-20-CANTEIRO.'!A83="CCU",VLOOKUP('036.02-20-CANTEIRO.'!C83,'036-20-CCU''s'!$B$9:$H$1962,2,0)))))</f>
        <v>CAIXA DE INSPEÇÃO PARA ATERRAMENTO, CIRCULAR, EM POLIETILENO, DIÂMETRO INTERNO = 0,3 M. AF_05/2018</v>
      </c>
      <c r="E83" s="452" t="str">
        <f>IF(A83="SERVIÇO",VLOOKUP(C83,SERVIÇOS!$A$6:$D$7645,3,0),IF(A83="INSUMO",VLOOKUP(C83,INSUMOS!$A$6:$D$6961,3,0),IF('036.02-20-CANTEIRO.'!A83="COTAÇÃO",VLOOKUP('036.02-20-CANTEIRO.'!C83,'036-20-Cotação'!$A$9:$G$529,4,0),IF('036.02-20-CANTEIRO.'!A83="CCU",VLOOKUP('036.02-20-CANTEIRO.'!C83,'036-20-CCU''s'!$B$9:$H$1962,4,0)))))</f>
        <v>UN</v>
      </c>
      <c r="F83" s="453">
        <v>1</v>
      </c>
      <c r="G83" s="534" t="str">
        <f>IF(A83="SERVIÇO",VLOOKUP(C83,SERVIÇOS!$A$6:$D$7645,4,0),IF(A83="INSUMO",VLOOKUP(C83,INSUMOS!$A$6:$D$6961,4,0),IF('036.02-20-CANTEIRO.'!A83="COTAÇÃO",VLOOKUP('036.02-20-CANTEIRO.'!C83,'036-20-Cotação'!$A$9:$G$529,3,0),IF('036.02-20-CANTEIRO.'!A83="CCU",VLOOKUP('036.02-20-CANTEIRO.'!C83,'036-20-CCU''s'!$B$9:$H$1962,7,0)))))</f>
        <v>22,24</v>
      </c>
      <c r="H83" s="528">
        <f>BDI_O.A.E!$H$22</f>
        <v>0.18201100192553743</v>
      </c>
      <c r="I83" s="535">
        <f t="shared" si="9"/>
        <v>26.287924682823952</v>
      </c>
      <c r="K83" s="232">
        <f t="shared" si="11"/>
        <v>26.287924682823952</v>
      </c>
    </row>
    <row r="84" spans="1:11" s="87" customFormat="1" ht="25.5">
      <c r="A84" s="233" t="s">
        <v>4542</v>
      </c>
      <c r="B84" s="324" t="s">
        <v>6460</v>
      </c>
      <c r="C84" s="324">
        <v>96985</v>
      </c>
      <c r="D84" s="451" t="str">
        <f>IF(A84="SERVIÇO",VLOOKUP(C84,SERVIÇOS!$A$6:$D$7645,2,0),IF(A84="INSUMO",VLOOKUP(C84,INSUMOS!$A$6:$D$6961,2,0),IF('036.02-20-CANTEIRO.'!A84="COTAÇÃO",VLOOKUP('036.02-20-CANTEIRO.'!C84,'036-20-Cotação'!$A$9:$G$529,2,0),IF('036.02-20-CANTEIRO.'!A84="CCU",VLOOKUP('036.02-20-CANTEIRO.'!C84,'036-20-CCU''s'!$B$9:$H$1962,2,0)))))</f>
        <v>HASTE DE ATERRAMENTO 5/8  PARA SPDA - FORNECIMENTO E INSTALAÇÃO. AF_12/2017</v>
      </c>
      <c r="E84" s="452" t="str">
        <f>IF(A84="SERVIÇO",VLOOKUP(C84,SERVIÇOS!$A$6:$D$7645,3,0),IF(A84="INSUMO",VLOOKUP(C84,INSUMOS!$A$6:$D$6961,3,0),IF('036.02-20-CANTEIRO.'!A84="COTAÇÃO",VLOOKUP('036.02-20-CANTEIRO.'!C84,'036-20-Cotação'!$A$9:$G$529,4,0),IF('036.02-20-CANTEIRO.'!A84="CCU",VLOOKUP('036.02-20-CANTEIRO.'!C84,'036-20-CCU''s'!$B$9:$H$1962,4,0)))))</f>
        <v>UN</v>
      </c>
      <c r="F84" s="453">
        <v>6</v>
      </c>
      <c r="G84" s="534" t="str">
        <f>IF(A84="SERVIÇO",VLOOKUP(C84,SERVIÇOS!$A$6:$D$7645,4,0),IF(A84="INSUMO",VLOOKUP(C84,INSUMOS!$A$6:$D$6961,4,0),IF('036.02-20-CANTEIRO.'!A84="COTAÇÃO",VLOOKUP('036.02-20-CANTEIRO.'!C84,'036-20-Cotação'!$A$9:$G$529,3,0),IF('036.02-20-CANTEIRO.'!A84="CCU",VLOOKUP('036.02-20-CANTEIRO.'!C84,'036-20-CCU''s'!$B$9:$H$1962,7,0)))))</f>
        <v>56,83</v>
      </c>
      <c r="H84" s="528">
        <f>BDI_O.A.E!$H$22</f>
        <v>0.18201100192553743</v>
      </c>
      <c r="I84" s="535">
        <f t="shared" si="9"/>
        <v>403.04211143656977</v>
      </c>
      <c r="K84" s="232">
        <f t="shared" si="11"/>
        <v>403.04211143656977</v>
      </c>
    </row>
    <row r="85" spans="1:11" s="87" customFormat="1" ht="51">
      <c r="A85" s="233" t="s">
        <v>4542</v>
      </c>
      <c r="B85" s="324" t="s">
        <v>6461</v>
      </c>
      <c r="C85" s="324">
        <v>95781</v>
      </c>
      <c r="D85" s="451" t="str">
        <f>IF(A85="SERVIÇO",VLOOKUP(C85,SERVIÇOS!$A$6:$D$7645,2,0),IF(A85="INSUMO",VLOOKUP(C85,INSUMOS!$A$6:$D$6961,2,0),IF('036.02-20-CANTEIRO.'!A85="COTAÇÃO",VLOOKUP('036.02-20-CANTEIRO.'!C85,'036-20-Cotação'!$A$9:$G$529,2,0),IF('036.02-20-CANTEIRO.'!A85="CCU",VLOOKUP('036.02-20-CANTEIRO.'!C85,'036-20-CCU''s'!$B$9:$H$1962,2,0)))))</f>
        <v>CONDULETE DE ALUMÍNIO, TIPO C, PARA ELETRODUTO DE AÇO GALVANIZADO DN 25 MM (1''), APARENTE - FORNECIMENTO E INSTALAÇÃO. AF_11/2016_P</v>
      </c>
      <c r="E85" s="452" t="str">
        <f>IF(A85="SERVIÇO",VLOOKUP(C85,SERVIÇOS!$A$6:$D$7645,3,0),IF(A85="INSUMO",VLOOKUP(C85,INSUMOS!$A$6:$D$6961,3,0),IF('036.02-20-CANTEIRO.'!A85="COTAÇÃO",VLOOKUP('036.02-20-CANTEIRO.'!C85,'036-20-Cotação'!$A$9:$G$529,4,0),IF('036.02-20-CANTEIRO.'!A85="CCU",VLOOKUP('036.02-20-CANTEIRO.'!C85,'036-20-CCU''s'!$B$9:$H$1962,4,0)))))</f>
        <v>UN</v>
      </c>
      <c r="F85" s="453">
        <v>2</v>
      </c>
      <c r="G85" s="534" t="str">
        <f>IF(A85="SERVIÇO",VLOOKUP(C85,SERVIÇOS!$A$6:$D$7645,4,0),IF(A85="INSUMO",VLOOKUP(C85,INSUMOS!$A$6:$D$6961,4,0),IF('036.02-20-CANTEIRO.'!A85="COTAÇÃO",VLOOKUP('036.02-20-CANTEIRO.'!C85,'036-20-Cotação'!$A$9:$G$529,3,0),IF('036.02-20-CANTEIRO.'!A85="CCU",VLOOKUP('036.02-20-CANTEIRO.'!C85,'036-20-CCU''s'!$B$9:$H$1962,7,0)))))</f>
        <v>24,31</v>
      </c>
      <c r="H85" s="528">
        <f>BDI_O.A.E!$H$22</f>
        <v>0.18201100192553743</v>
      </c>
      <c r="I85" s="535">
        <f t="shared" si="9"/>
        <v>57.469374913619625</v>
      </c>
      <c r="K85" s="232">
        <f t="shared" si="11"/>
        <v>57.469374913619625</v>
      </c>
    </row>
    <row r="86" spans="1:11" s="87" customFormat="1" ht="51">
      <c r="A86" s="233" t="s">
        <v>4542</v>
      </c>
      <c r="B86" s="324" t="s">
        <v>6462</v>
      </c>
      <c r="C86" s="324">
        <v>95782</v>
      </c>
      <c r="D86" s="451" t="str">
        <f>IF(A86="SERVIÇO",VLOOKUP(C86,SERVIÇOS!$A$6:$D$7645,2,0),IF(A86="INSUMO",VLOOKUP(C86,INSUMOS!$A$6:$D$6961,2,0),IF('036.02-20-CANTEIRO.'!A86="COTAÇÃO",VLOOKUP('036.02-20-CANTEIRO.'!C86,'036-20-Cotação'!$A$9:$G$529,2,0),IF('036.02-20-CANTEIRO.'!A86="CCU",VLOOKUP('036.02-20-CANTEIRO.'!C86,'036-20-CCU''s'!$B$9:$H$1962,2,0)))))</f>
        <v>CONDULETE DE ALUMÍNIO, TIPO E, ELETRODUTO DE AÇO GALVANIZADO DN 25 MM (1''), APARENTE - FORNECIMENTO E INSTALAÇÃO. AF_11/2016_P</v>
      </c>
      <c r="E86" s="452" t="str">
        <f>IF(A86="SERVIÇO",VLOOKUP(C86,SERVIÇOS!$A$6:$D$7645,3,0),IF(A86="INSUMO",VLOOKUP(C86,INSUMOS!$A$6:$D$6961,3,0),IF('036.02-20-CANTEIRO.'!A86="COTAÇÃO",VLOOKUP('036.02-20-CANTEIRO.'!C86,'036-20-Cotação'!$A$9:$G$529,4,0),IF('036.02-20-CANTEIRO.'!A86="CCU",VLOOKUP('036.02-20-CANTEIRO.'!C86,'036-20-CCU''s'!$B$9:$H$1962,4,0)))))</f>
        <v>UN</v>
      </c>
      <c r="F86" s="453">
        <v>2</v>
      </c>
      <c r="G86" s="534" t="str">
        <f>IF(A86="SERVIÇO",VLOOKUP(C86,SERVIÇOS!$A$6:$D$7645,4,0),IF(A86="INSUMO",VLOOKUP(C86,INSUMOS!$A$6:$D$6961,4,0),IF('036.02-20-CANTEIRO.'!A86="COTAÇÃO",VLOOKUP('036.02-20-CANTEIRO.'!C86,'036-20-Cotação'!$A$9:$G$529,3,0),IF('036.02-20-CANTEIRO.'!A86="CCU",VLOOKUP('036.02-20-CANTEIRO.'!C86,'036-20-CCU''s'!$B$9:$H$1962,7,0)))))</f>
        <v>25,14</v>
      </c>
      <c r="H86" s="528">
        <f>BDI_O.A.E!$H$22</f>
        <v>0.18201100192553743</v>
      </c>
      <c r="I86" s="535">
        <f t="shared" si="9"/>
        <v>59.431513176816026</v>
      </c>
      <c r="K86" s="232">
        <f t="shared" si="11"/>
        <v>59.431513176816026</v>
      </c>
    </row>
    <row r="87" spans="1:11" s="87" customFormat="1" ht="51">
      <c r="A87" s="233" t="s">
        <v>4542</v>
      </c>
      <c r="B87" s="324" t="s">
        <v>6463</v>
      </c>
      <c r="C87" s="324">
        <v>95789</v>
      </c>
      <c r="D87" s="451" t="str">
        <f>IF(A87="SERVIÇO",VLOOKUP(C87,SERVIÇOS!$A$6:$D$7645,2,0),IF(A87="INSUMO",VLOOKUP(C87,INSUMOS!$A$6:$D$6961,2,0),IF('036.02-20-CANTEIRO.'!A87="COTAÇÃO",VLOOKUP('036.02-20-CANTEIRO.'!C87,'036-20-Cotação'!$A$9:$G$529,2,0),IF('036.02-20-CANTEIRO.'!A87="CCU",VLOOKUP('036.02-20-CANTEIRO.'!C87,'036-20-CCU''s'!$B$9:$H$1962,2,0)))))</f>
        <v>CONDULETE DE ALUMÍNIO, TIPO LR, PARA ELETRODUTO DE AÇO GALVANIZADO DN 25 MM (1''), APARENTE - FORNECIMENTO E INSTALAÇÃO. AF_11/2016_P</v>
      </c>
      <c r="E87" s="452" t="str">
        <f>IF(A87="SERVIÇO",VLOOKUP(C87,SERVIÇOS!$A$6:$D$7645,3,0),IF(A87="INSUMO",VLOOKUP(C87,INSUMOS!$A$6:$D$6961,3,0),IF('036.02-20-CANTEIRO.'!A87="COTAÇÃO",VLOOKUP('036.02-20-CANTEIRO.'!C87,'036-20-Cotação'!$A$9:$G$529,4,0),IF('036.02-20-CANTEIRO.'!A87="CCU",VLOOKUP('036.02-20-CANTEIRO.'!C87,'036-20-CCU''s'!$B$9:$H$1962,4,0)))))</f>
        <v>UN</v>
      </c>
      <c r="F87" s="453">
        <v>6</v>
      </c>
      <c r="G87" s="534" t="str">
        <f>IF(A87="SERVIÇO",VLOOKUP(C87,SERVIÇOS!$A$6:$D$7645,4,0),IF(A87="INSUMO",VLOOKUP(C87,INSUMOS!$A$6:$D$6961,4,0),IF('036.02-20-CANTEIRO.'!A87="COTAÇÃO",VLOOKUP('036.02-20-CANTEIRO.'!C87,'036-20-Cotação'!$A$9:$G$529,3,0),IF('036.02-20-CANTEIRO.'!A87="CCU",VLOOKUP('036.02-20-CANTEIRO.'!C87,'036-20-CCU''s'!$B$9:$H$1962,7,0)))))</f>
        <v>26,45</v>
      </c>
      <c r="H87" s="528">
        <f>BDI_O.A.E!$H$22</f>
        <v>0.18201100192553743</v>
      </c>
      <c r="I87" s="535">
        <f t="shared" si="9"/>
        <v>187.58514600558277</v>
      </c>
      <c r="K87" s="232">
        <f t="shared" si="11"/>
        <v>187.58514600558277</v>
      </c>
    </row>
    <row r="88" spans="1:11" s="87" customFormat="1" ht="51">
      <c r="A88" s="233" t="s">
        <v>4542</v>
      </c>
      <c r="B88" s="324" t="s">
        <v>6464</v>
      </c>
      <c r="C88" s="324">
        <v>95796</v>
      </c>
      <c r="D88" s="451" t="str">
        <f>IF(A88="SERVIÇO",VLOOKUP(C88,SERVIÇOS!$A$6:$D$7645,2,0),IF(A88="INSUMO",VLOOKUP(C88,INSUMOS!$A$6:$D$6961,2,0),IF('036.02-20-CANTEIRO.'!A88="COTAÇÃO",VLOOKUP('036.02-20-CANTEIRO.'!C88,'036-20-Cotação'!$A$9:$G$529,2,0),IF('036.02-20-CANTEIRO.'!A88="CCU",VLOOKUP('036.02-20-CANTEIRO.'!C88,'036-20-CCU''s'!$B$9:$H$1962,2,0)))))</f>
        <v>CONDULETE DE ALUMÍNIO, TIPO T, PARA ELETRODUTO DE AÇO GALVANIZADO DN 25 MM (1''), APARENTE - FORNECIMENTO E INSTALAÇÃO. AF_11/2016_P</v>
      </c>
      <c r="E88" s="452" t="str">
        <f>IF(A88="SERVIÇO",VLOOKUP(C88,SERVIÇOS!$A$6:$D$7645,3,0),IF(A88="INSUMO",VLOOKUP(C88,INSUMOS!$A$6:$D$6961,3,0),IF('036.02-20-CANTEIRO.'!A88="COTAÇÃO",VLOOKUP('036.02-20-CANTEIRO.'!C88,'036-20-Cotação'!$A$9:$G$529,4,0),IF('036.02-20-CANTEIRO.'!A88="CCU",VLOOKUP('036.02-20-CANTEIRO.'!C88,'036-20-CCU''s'!$B$9:$H$1962,4,0)))))</f>
        <v>UN</v>
      </c>
      <c r="F88" s="453">
        <v>1</v>
      </c>
      <c r="G88" s="534" t="str">
        <f>IF(A88="SERVIÇO",VLOOKUP(C88,SERVIÇOS!$A$6:$D$7645,4,0),IF(A88="INSUMO",VLOOKUP(C88,INSUMOS!$A$6:$D$6961,4,0),IF('036.02-20-CANTEIRO.'!A88="COTAÇÃO",VLOOKUP('036.02-20-CANTEIRO.'!C88,'036-20-Cotação'!$A$9:$G$529,3,0),IF('036.02-20-CANTEIRO.'!A88="CCU",VLOOKUP('036.02-20-CANTEIRO.'!C88,'036-20-CCU''s'!$B$9:$H$1962,7,0)))))</f>
        <v>31,10</v>
      </c>
      <c r="H88" s="528">
        <f>BDI_O.A.E!$H$22</f>
        <v>0.18201100192553743</v>
      </c>
      <c r="I88" s="535">
        <f t="shared" si="9"/>
        <v>36.760542159884217</v>
      </c>
      <c r="K88" s="232">
        <f t="shared" si="11"/>
        <v>36.760542159884217</v>
      </c>
    </row>
    <row r="89" spans="1:11" s="87" customFormat="1" ht="25.5">
      <c r="A89" s="233" t="s">
        <v>4543</v>
      </c>
      <c r="B89" s="324" t="s">
        <v>6465</v>
      </c>
      <c r="C89" s="324" t="s">
        <v>6271</v>
      </c>
      <c r="D89" s="451" t="str">
        <f>IF(A89="SERVIÇO",VLOOKUP(C89,SERVIÇOS!$A$6:$D$7645,2,0),IF(A89="INSUMO",VLOOKUP(C89,INSUMOS!$A$6:$D$6961,2,0),IF('036.02-20-CANTEIRO.'!A89="COTAÇÃO",VLOOKUP('036.02-20-CANTEIRO.'!C89,'036-20-Cotação'!$A$9:$G$529,2,0),IF('036.02-20-CANTEIRO.'!A89="CCU",VLOOKUP('036.02-20-CANTEIRO.'!C89,'036-20-CCU''s'!$B$9:$H$1962,2,0)))))</f>
        <v>CORDOALHA DE AÇO 9,54MM - FORNECIMENTO E INSTALAÇÃO</v>
      </c>
      <c r="E89" s="452" t="str">
        <f>IF(A89="SERVIÇO",VLOOKUP(C89,SERVIÇOS!$A$6:$D$7645,3,0),IF(A89="INSUMO",VLOOKUP(C89,INSUMOS!$A$6:$D$6961,3,0),IF('036.02-20-CANTEIRO.'!A89="COTAÇÃO",VLOOKUP('036.02-20-CANTEIRO.'!C89,'036-20-Cotação'!$A$9:$G$529,4,0),IF('036.02-20-CANTEIRO.'!A89="CCU",VLOOKUP('036.02-20-CANTEIRO.'!C89,'036-20-CCU''s'!$B$9:$H$1962,4,0)))))</f>
        <v>M</v>
      </c>
      <c r="F89" s="453">
        <v>133.1</v>
      </c>
      <c r="G89" s="534">
        <f>IF(A89="SERVIÇO",VLOOKUP(C89,SERVIÇOS!$A$6:$D$7645,4,0),IF(A89="INSUMO",VLOOKUP(C89,INSUMOS!$A$6:$D$6961,4,0),IF('036.02-20-CANTEIRO.'!A89="COTAÇÃO",VLOOKUP('036.02-20-CANTEIRO.'!C89,'036-20-Cotação'!$A$9:$G$529,3,0),IF('036.02-20-CANTEIRO.'!A89="CCU",VLOOKUP('036.02-20-CANTEIRO.'!C89,'036-20-CCU''s'!$B$9:$H$1962,7,0)))))</f>
        <v>11.010464800000001</v>
      </c>
      <c r="H89" s="528">
        <f>BDI_O.A.E!$H$22</f>
        <v>0.18201100192553743</v>
      </c>
      <c r="I89" s="535">
        <f t="shared" si="9"/>
        <v>1732.2286895315353</v>
      </c>
      <c r="K89" s="232">
        <f t="shared" si="11"/>
        <v>1732.2286895315353</v>
      </c>
    </row>
    <row r="90" spans="1:11" s="87" customFormat="1" ht="51">
      <c r="A90" s="233" t="s">
        <v>4542</v>
      </c>
      <c r="B90" s="324" t="s">
        <v>6466</v>
      </c>
      <c r="C90" s="324">
        <v>83475</v>
      </c>
      <c r="D90" s="451" t="str">
        <f>IF(A90="SERVIÇO",VLOOKUP(C90,SERVIÇOS!$A$6:$D$7645,2,0),IF(A90="INSUMO",VLOOKUP(C90,INSUMOS!$A$6:$D$6961,2,0),IF('036.02-20-CANTEIRO.'!A90="COTAÇÃO",VLOOKUP('036.02-20-CANTEIRO.'!C90,'036-20-Cotação'!$A$9:$G$529,2,0),IF('036.02-20-CANTEIRO.'!A90="CCU",VLOOKUP('036.02-20-CANTEIRO.'!C90,'036-20-CCU''s'!$B$9:$H$1962,2,0)))))</f>
        <v>LUMINARIA FECHADA PARA ILUMINACAO PUBLICA COM REATOR DE PARTIDA RAPIDA COM LAMPADA A VAPOR DE MERCURIO 250W - FORNECIMENTO E INSTALACAO</v>
      </c>
      <c r="E90" s="452" t="str">
        <f>IF(A90="SERVIÇO",VLOOKUP(C90,SERVIÇOS!$A$6:$D$7645,3,0),IF(A90="INSUMO",VLOOKUP(C90,INSUMOS!$A$6:$D$6961,3,0),IF('036.02-20-CANTEIRO.'!A90="COTAÇÃO",VLOOKUP('036.02-20-CANTEIRO.'!C90,'036-20-Cotação'!$A$9:$G$529,4,0),IF('036.02-20-CANTEIRO.'!A90="CCU",VLOOKUP('036.02-20-CANTEIRO.'!C90,'036-20-CCU''s'!$B$9:$H$1962,4,0)))))</f>
        <v>UN</v>
      </c>
      <c r="F90" s="453">
        <v>29</v>
      </c>
      <c r="G90" s="534" t="str">
        <f>IF(A90="SERVIÇO",VLOOKUP(C90,SERVIÇOS!$A$6:$D$7645,4,0),IF(A90="INSUMO",VLOOKUP(C90,INSUMOS!$A$6:$D$6961,4,0),IF('036.02-20-CANTEIRO.'!A90="COTAÇÃO",VLOOKUP('036.02-20-CANTEIRO.'!C90,'036-20-Cotação'!$A$9:$G$529,3,0),IF('036.02-20-CANTEIRO.'!A90="CCU",VLOOKUP('036.02-20-CANTEIRO.'!C90,'036-20-CCU''s'!$B$9:$H$1962,7,0)))))</f>
        <v>375,32</v>
      </c>
      <c r="H90" s="528">
        <f>BDI_O.A.E!$H$22</f>
        <v>0.18201100192553743</v>
      </c>
      <c r="I90" s="535">
        <f t="shared" si="9"/>
        <v>12865.338708038087</v>
      </c>
      <c r="K90" s="232">
        <f t="shared" si="11"/>
        <v>12865.338708038087</v>
      </c>
    </row>
    <row r="91" spans="1:11" s="87" customFormat="1" ht="38.25">
      <c r="A91" s="233" t="s">
        <v>4543</v>
      </c>
      <c r="B91" s="324" t="s">
        <v>6467</v>
      </c>
      <c r="C91" s="324" t="s">
        <v>6272</v>
      </c>
      <c r="D91" s="451" t="str">
        <f>IF(A91="SERVIÇO",VLOOKUP(C91,SERVIÇOS!$A$6:$D$7645,2,0),IF(A91="INSUMO",VLOOKUP(C91,INSUMOS!$A$6:$D$6961,2,0),IF('036.02-20-CANTEIRO.'!A91="COTAÇÃO",VLOOKUP('036.02-20-CANTEIRO.'!C91,'036-20-Cotação'!$A$9:$G$529,2,0),IF('036.02-20-CANTEIRO.'!A91="CCU",VLOOKUP('036.02-20-CANTEIRO.'!C91,'036-20-CCU''s'!$B$9:$H$1962,2,0)))))</f>
        <v>LUMINÁRIA ARANDELA TIPO TARTARUGA, COM GRADE, PARA 1 LÂMPADA DE 60 W - FORNECIMENTO E INSTALAÇÃO. AF_11/2017</v>
      </c>
      <c r="E91" s="452" t="str">
        <f>IF(A91="SERVIÇO",VLOOKUP(C91,SERVIÇOS!$A$6:$D$7645,3,0),IF(A91="INSUMO",VLOOKUP(C91,INSUMOS!$A$6:$D$6961,3,0),IF('036.02-20-CANTEIRO.'!A91="COTAÇÃO",VLOOKUP('036.02-20-CANTEIRO.'!C91,'036-20-Cotação'!$A$9:$G$529,4,0),IF('036.02-20-CANTEIRO.'!A91="CCU",VLOOKUP('036.02-20-CANTEIRO.'!C91,'036-20-CCU''s'!$B$9:$H$1962,4,0)))))</f>
        <v xml:space="preserve">UN    </v>
      </c>
      <c r="F91" s="453">
        <v>10</v>
      </c>
      <c r="G91" s="534">
        <f>IF(A91="SERVIÇO",VLOOKUP(C91,SERVIÇOS!$A$6:$D$7645,4,0),IF(A91="INSUMO",VLOOKUP(C91,INSUMOS!$A$6:$D$6961,4,0),IF('036.02-20-CANTEIRO.'!A91="COTAÇÃO",VLOOKUP('036.02-20-CANTEIRO.'!C91,'036-20-Cotação'!$A$9:$G$529,3,0),IF('036.02-20-CANTEIRO.'!A91="CCU",VLOOKUP('036.02-20-CANTEIRO.'!C91,'036-20-CCU''s'!$B$9:$H$1962,7,0)))))</f>
        <v>84.701522999999995</v>
      </c>
      <c r="H91" s="528">
        <f>BDI_O.A.E!$H$22</f>
        <v>0.18201100192553743</v>
      </c>
      <c r="I91" s="535">
        <f t="shared" si="9"/>
        <v>1001.1813206584894</v>
      </c>
      <c r="K91" s="232">
        <f t="shared" si="11"/>
        <v>1001.1813206584894</v>
      </c>
    </row>
    <row r="92" spans="1:11" s="87" customFormat="1" ht="25.5">
      <c r="A92" s="233" t="s">
        <v>4543</v>
      </c>
      <c r="B92" s="324" t="s">
        <v>6468</v>
      </c>
      <c r="C92" s="324" t="s">
        <v>6273</v>
      </c>
      <c r="D92" s="451" t="str">
        <f>IF(A92="SERVIÇO",VLOOKUP(C92,SERVIÇOS!$A$6:$D$7645,2,0),IF(A92="INSUMO",VLOOKUP(C92,INSUMOS!$A$6:$D$6961,2,0),IF('036.02-20-CANTEIRO.'!A92="COTAÇÃO",VLOOKUP('036.02-20-CANTEIRO.'!C92,'036-20-Cotação'!$A$9:$G$529,2,0),IF('036.02-20-CANTEIRO.'!A92="CCU",VLOOKUP('036.02-20-CANTEIRO.'!C92,'036-20-CCU''s'!$B$9:$H$1962,2,0)))))</f>
        <v>REFLETOR LED COM POTENCIA DE 30W - FORNECIMENTO E INSTALAÇÃO</v>
      </c>
      <c r="E92" s="452" t="str">
        <f>IF(A92="SERVIÇO",VLOOKUP(C92,SERVIÇOS!$A$6:$D$7645,3,0),IF(A92="INSUMO",VLOOKUP(C92,INSUMOS!$A$6:$D$6961,3,0),IF('036.02-20-CANTEIRO.'!A92="COTAÇÃO",VLOOKUP('036.02-20-CANTEIRO.'!C92,'036-20-Cotação'!$A$9:$G$529,4,0),IF('036.02-20-CANTEIRO.'!A92="CCU",VLOOKUP('036.02-20-CANTEIRO.'!C92,'036-20-CCU''s'!$B$9:$H$1962,4,0)))))</f>
        <v xml:space="preserve">UN    </v>
      </c>
      <c r="F92" s="453">
        <v>2</v>
      </c>
      <c r="G92" s="534">
        <f>IF(A92="SERVIÇO",VLOOKUP(C92,SERVIÇOS!$A$6:$D$7645,4,0),IF(A92="INSUMO",VLOOKUP(C92,INSUMOS!$A$6:$D$6961,4,0),IF('036.02-20-CANTEIRO.'!A92="COTAÇÃO",VLOOKUP('036.02-20-CANTEIRO.'!C92,'036-20-Cotação'!$A$9:$G$529,3,0),IF('036.02-20-CANTEIRO.'!A92="CCU",VLOOKUP('036.02-20-CANTEIRO.'!C92,'036-20-CCU''s'!$B$9:$H$1962,7,0)))))</f>
        <v>66.525000000000006</v>
      </c>
      <c r="H92" s="528">
        <f>BDI_O.A.E!$H$22</f>
        <v>0.18201100192553743</v>
      </c>
      <c r="I92" s="535">
        <f t="shared" si="9"/>
        <v>157.26656380619278</v>
      </c>
      <c r="K92" s="232">
        <f t="shared" si="11"/>
        <v>157.26656380619278</v>
      </c>
    </row>
    <row r="93" spans="1:11" s="87" customFormat="1" ht="51">
      <c r="A93" s="233" t="s">
        <v>4543</v>
      </c>
      <c r="B93" s="324" t="s">
        <v>6469</v>
      </c>
      <c r="C93" s="324" t="s">
        <v>6274</v>
      </c>
      <c r="D93" s="451" t="str">
        <f>IF(A93="SERVIÇO",VLOOKUP(C93,SERVIÇOS!$A$6:$D$7645,2,0),IF(A93="INSUMO",VLOOKUP(C93,INSUMOS!$A$6:$D$6961,2,0),IF('036.02-20-CANTEIRO.'!A93="COTAÇÃO",VLOOKUP('036.02-20-CANTEIRO.'!C93,'036-20-Cotação'!$A$9:$G$529,2,0),IF('036.02-20-CANTEIRO.'!A93="CCU",VLOOKUP('036.02-20-CANTEIRO.'!C93,'036-20-CCU''s'!$B$9:$H$1962,2,0)))))</f>
        <v>POSTE DE AÇO CONICO CONTÍNUO CURVO SIMPLES, FLANGEADO, COM JANELA DE INSPEÇÃO H=7M - FORNECIMENTO E INSTALACAO</v>
      </c>
      <c r="E93" s="452" t="str">
        <f>IF(A93="SERVIÇO",VLOOKUP(C93,SERVIÇOS!$A$6:$D$7645,3,0),IF(A93="INSUMO",VLOOKUP(C93,INSUMOS!$A$6:$D$6961,3,0),IF('036.02-20-CANTEIRO.'!A93="COTAÇÃO",VLOOKUP('036.02-20-CANTEIRO.'!C93,'036-20-Cotação'!$A$9:$G$529,4,0),IF('036.02-20-CANTEIRO.'!A93="CCU",VLOOKUP('036.02-20-CANTEIRO.'!C93,'036-20-CCU''s'!$B$9:$H$1962,4,0)))))</f>
        <v xml:space="preserve">UN    </v>
      </c>
      <c r="F93" s="453">
        <v>31</v>
      </c>
      <c r="G93" s="534">
        <f>IF(A93="SERVIÇO",VLOOKUP(C93,SERVIÇOS!$A$6:$D$7645,4,0),IF(A93="INSUMO",VLOOKUP(C93,INSUMOS!$A$6:$D$6961,4,0),IF('036.02-20-CANTEIRO.'!A93="COTAÇÃO",VLOOKUP('036.02-20-CANTEIRO.'!C93,'036-20-Cotação'!$A$9:$G$529,3,0),IF('036.02-20-CANTEIRO.'!A93="CCU",VLOOKUP('036.02-20-CANTEIRO.'!C93,'036-20-CCU''s'!$B$9:$H$1962,7,0)))))</f>
        <v>918.14</v>
      </c>
      <c r="H93" s="528">
        <f>BDI_O.A.E!$H$22</f>
        <v>0.18201100192553743</v>
      </c>
      <c r="I93" s="535">
        <f>F93*(G93*(1+H93))</f>
        <v>33642.799020545295</v>
      </c>
      <c r="K93" s="232">
        <f t="shared" si="11"/>
        <v>33642.799020545295</v>
      </c>
    </row>
    <row r="94" spans="1:11" s="87" customFormat="1" ht="51">
      <c r="A94" s="233" t="s">
        <v>4542</v>
      </c>
      <c r="B94" s="324" t="s">
        <v>6470</v>
      </c>
      <c r="C94" s="324">
        <v>95750</v>
      </c>
      <c r="D94" s="451" t="str">
        <f>IF(A94="SERVIÇO",VLOOKUP(C94,SERVIÇOS!$A$6:$D$7645,2,0),IF(A94="INSUMO",VLOOKUP(C94,INSUMOS!$A$6:$D$6961,2,0),IF('036.02-20-CANTEIRO.'!A94="COTAÇÃO",VLOOKUP('036.02-20-CANTEIRO.'!C94,'036-20-Cotação'!$A$9:$G$529,2,0),IF('036.02-20-CANTEIRO.'!A94="CCU",VLOOKUP('036.02-20-CANTEIRO.'!C94,'036-20-CCU''s'!$B$9:$H$1962,2,0)))))</f>
        <v>ELETRODUTO DE AÇO GALVANIZADO, CLASSE LEVE, DN 25 MM (1), APARENTE, INSTALADO EM PAREDE - FORNECIMENTO E INSTALAÇÃO. AF_11/2016_P</v>
      </c>
      <c r="E94" s="452" t="str">
        <f>IF(A94="SERVIÇO",VLOOKUP(C94,SERVIÇOS!$A$6:$D$7645,3,0),IF(A94="INSUMO",VLOOKUP(C94,INSUMOS!$A$6:$D$6961,3,0),IF('036.02-20-CANTEIRO.'!A94="COTAÇÃO",VLOOKUP('036.02-20-CANTEIRO.'!C94,'036-20-Cotação'!$A$9:$G$529,4,0),IF('036.02-20-CANTEIRO.'!A94="CCU",VLOOKUP('036.02-20-CANTEIRO.'!C94,'036-20-CCU''s'!$B$9:$H$1962,4,0)))))</f>
        <v>M</v>
      </c>
      <c r="F94" s="453">
        <v>117.5</v>
      </c>
      <c r="G94" s="534" t="str">
        <f>IF(A94="SERVIÇO",VLOOKUP(C94,SERVIÇOS!$A$6:$D$7645,4,0),IF(A94="INSUMO",VLOOKUP(C94,INSUMOS!$A$6:$D$6961,4,0),IF('036.02-20-CANTEIRO.'!A94="COTAÇÃO",VLOOKUP('036.02-20-CANTEIRO.'!C94,'036-20-Cotação'!$A$9:$G$529,3,0),IF('036.02-20-CANTEIRO.'!A94="CCU",VLOOKUP('036.02-20-CANTEIRO.'!C94,'036-20-CCU''s'!$B$9:$H$1962,7,0)))))</f>
        <v>26,74</v>
      </c>
      <c r="H94" s="528"/>
      <c r="I94" s="535">
        <f t="shared" ref="I94:I108" si="12">F94*(G94*(1+H94))</f>
        <v>3141.95</v>
      </c>
      <c r="K94" s="232">
        <f t="shared" si="11"/>
        <v>3141.95</v>
      </c>
    </row>
    <row r="95" spans="1:11" s="87" customFormat="1" ht="51">
      <c r="A95" s="233" t="s">
        <v>4542</v>
      </c>
      <c r="B95" s="324" t="s">
        <v>6471</v>
      </c>
      <c r="C95" s="324">
        <v>91849</v>
      </c>
      <c r="D95" s="451" t="str">
        <f>IF(A95="SERVIÇO",VLOOKUP(C95,SERVIÇOS!$A$6:$D$7645,2,0),IF(A95="INSUMO",VLOOKUP(C95,INSUMOS!$A$6:$D$6961,2,0),IF('036.02-20-CANTEIRO.'!A95="COTAÇÃO",VLOOKUP('036.02-20-CANTEIRO.'!C95,'036-20-Cotação'!$A$9:$G$529,2,0),IF('036.02-20-CANTEIRO.'!A95="CCU",VLOOKUP('036.02-20-CANTEIRO.'!C95,'036-20-CCU''s'!$B$9:$H$1962,2,0)))))</f>
        <v>ELETRODUTO FLEXÍVEL LISO, PEAD, DN 32 MM (1"), PARA CIRCUITOS TERMINAIS, INSTALADO EM LAJE - FORNECIMENTO E INSTALAÇÃO. AF_12/2015</v>
      </c>
      <c r="E95" s="452" t="str">
        <f>IF(A95="SERVIÇO",VLOOKUP(C95,SERVIÇOS!$A$6:$D$7645,3,0),IF(A95="INSUMO",VLOOKUP(C95,INSUMOS!$A$6:$D$6961,3,0),IF('036.02-20-CANTEIRO.'!A95="COTAÇÃO",VLOOKUP('036.02-20-CANTEIRO.'!C95,'036-20-Cotação'!$A$9:$G$529,4,0),IF('036.02-20-CANTEIRO.'!A95="CCU",VLOOKUP('036.02-20-CANTEIRO.'!C95,'036-20-CCU''s'!$B$9:$H$1962,4,0)))))</f>
        <v>M</v>
      </c>
      <c r="F95" s="453">
        <v>523</v>
      </c>
      <c r="G95" s="534" t="str">
        <f>IF(A95="SERVIÇO",VLOOKUP(C95,SERVIÇOS!$A$6:$D$7645,4,0),IF(A95="INSUMO",VLOOKUP(C95,INSUMOS!$A$6:$D$6961,4,0),IF('036.02-20-CANTEIRO.'!A95="COTAÇÃO",VLOOKUP('036.02-20-CANTEIRO.'!C95,'036-20-Cotação'!$A$9:$G$529,3,0),IF('036.02-20-CANTEIRO.'!A95="CCU",VLOOKUP('036.02-20-CANTEIRO.'!C95,'036-20-CCU''s'!$B$9:$H$1962,7,0)))))</f>
        <v>6,60</v>
      </c>
      <c r="H95" s="528">
        <f>BDI_O.A.E!$H$22</f>
        <v>0.18201100192553743</v>
      </c>
      <c r="I95" s="535">
        <f t="shared" si="12"/>
        <v>4080.06557644657</v>
      </c>
      <c r="K95" s="232">
        <f t="shared" si="11"/>
        <v>4080.06557644657</v>
      </c>
    </row>
    <row r="96" spans="1:11" s="87" customFormat="1" ht="51">
      <c r="A96" s="233" t="s">
        <v>4542</v>
      </c>
      <c r="B96" s="324" t="s">
        <v>6472</v>
      </c>
      <c r="C96" s="324">
        <v>91851</v>
      </c>
      <c r="D96" s="451" t="str">
        <f>IF(A96="SERVIÇO",VLOOKUP(C96,SERVIÇOS!$A$6:$D$7645,2,0),IF(A96="INSUMO",VLOOKUP(C96,INSUMOS!$A$6:$D$6961,2,0),IF('036.02-20-CANTEIRO.'!A96="COTAÇÃO",VLOOKUP('036.02-20-CANTEIRO.'!C96,'036-20-Cotação'!$A$9:$G$529,2,0),IF('036.02-20-CANTEIRO.'!A96="CCU",VLOOKUP('036.02-20-CANTEIRO.'!C96,'036-20-CCU''s'!$B$9:$H$1962,2,0)))))</f>
        <v>ELETRODUTO FLEXÍVEL LISO, PEAD, DN 40 MM (1 1/4"), PARA CIRCUITOS TERMINAIS, INSTALADO EM LAJE - FORNECIMENTO E INSTALAÇÃO. AF_12/2015</v>
      </c>
      <c r="E96" s="452" t="str">
        <f>IF(A96="SERVIÇO",VLOOKUP(C96,SERVIÇOS!$A$6:$D$7645,3,0),IF(A96="INSUMO",VLOOKUP(C96,INSUMOS!$A$6:$D$6961,3,0),IF('036.02-20-CANTEIRO.'!A96="COTAÇÃO",VLOOKUP('036.02-20-CANTEIRO.'!C96,'036-20-Cotação'!$A$9:$G$529,4,0),IF('036.02-20-CANTEIRO.'!A96="CCU",VLOOKUP('036.02-20-CANTEIRO.'!C96,'036-20-CCU''s'!$B$9:$H$1962,4,0)))))</f>
        <v>M</v>
      </c>
      <c r="F96" s="453">
        <v>257</v>
      </c>
      <c r="G96" s="534" t="str">
        <f>IF(A96="SERVIÇO",VLOOKUP(C96,SERVIÇOS!$A$6:$D$7645,4,0),IF(A96="INSUMO",VLOOKUP(C96,INSUMOS!$A$6:$D$6961,4,0),IF('036.02-20-CANTEIRO.'!A96="COTAÇÃO",VLOOKUP('036.02-20-CANTEIRO.'!C96,'036-20-Cotação'!$A$9:$G$529,3,0),IF('036.02-20-CANTEIRO.'!A96="CCU",VLOOKUP('036.02-20-CANTEIRO.'!C96,'036-20-CCU''s'!$B$9:$H$1962,7,0)))))</f>
        <v>8,22</v>
      </c>
      <c r="H96" s="528">
        <f>BDI_O.A.E!$H$22</f>
        <v>0.18201100192553743</v>
      </c>
      <c r="I96" s="535">
        <f t="shared" si="12"/>
        <v>2497.0455220077752</v>
      </c>
      <c r="K96" s="232">
        <f t="shared" si="11"/>
        <v>2497.0455220077752</v>
      </c>
    </row>
    <row r="97" spans="1:11" s="87" customFormat="1" ht="38.25">
      <c r="A97" s="233" t="s">
        <v>4542</v>
      </c>
      <c r="B97" s="324" t="s">
        <v>6473</v>
      </c>
      <c r="C97" s="324">
        <v>97667</v>
      </c>
      <c r="D97" s="451" t="str">
        <f>IF(A97="SERVIÇO",VLOOKUP(C97,SERVIÇOS!$A$6:$D$7645,2,0),IF(A97="INSUMO",VLOOKUP(C97,INSUMOS!$A$6:$D$6961,2,0),IF('036.02-20-CANTEIRO.'!A97="COTAÇÃO",VLOOKUP('036.02-20-CANTEIRO.'!C97,'036-20-Cotação'!$A$9:$G$529,2,0),IF('036.02-20-CANTEIRO.'!A97="CCU",VLOOKUP('036.02-20-CANTEIRO.'!C97,'036-20-CCU''s'!$B$9:$H$1962,2,0)))))</f>
        <v>ELETRODUTO FLEXÍVEL CORRUGADO, PEAD, DN 50 (1 ½)  - FORNECIMENTO E INSTALAÇÃO. AF_04/2016</v>
      </c>
      <c r="E97" s="452" t="str">
        <f>IF(A97="SERVIÇO",VLOOKUP(C97,SERVIÇOS!$A$6:$D$7645,3,0),IF(A97="INSUMO",VLOOKUP(C97,INSUMOS!$A$6:$D$6961,3,0),IF('036.02-20-CANTEIRO.'!A97="COTAÇÃO",VLOOKUP('036.02-20-CANTEIRO.'!C97,'036-20-Cotação'!$A$9:$G$529,4,0),IF('036.02-20-CANTEIRO.'!A97="CCU",VLOOKUP('036.02-20-CANTEIRO.'!C97,'036-20-CCU''s'!$B$9:$H$1962,4,0)))))</f>
        <v>M</v>
      </c>
      <c r="F97" s="453">
        <v>18</v>
      </c>
      <c r="G97" s="534" t="str">
        <f>IF(A97="SERVIÇO",VLOOKUP(C97,SERVIÇOS!$A$6:$D$7645,4,0),IF(A97="INSUMO",VLOOKUP(C97,INSUMOS!$A$6:$D$6961,4,0),IF('036.02-20-CANTEIRO.'!A97="COTAÇÃO",VLOOKUP('036.02-20-CANTEIRO.'!C97,'036-20-Cotação'!$A$9:$G$529,3,0),IF('036.02-20-CANTEIRO.'!A97="CCU",VLOOKUP('036.02-20-CANTEIRO.'!C97,'036-20-CCU''s'!$B$9:$H$1962,7,0)))))</f>
        <v>6,46</v>
      </c>
      <c r="H97" s="528">
        <f>BDI_O.A.E!$H$22</f>
        <v>0.18201100192553743</v>
      </c>
      <c r="I97" s="535">
        <f t="shared" si="12"/>
        <v>137.4442393039015</v>
      </c>
      <c r="K97" s="232">
        <f t="shared" si="11"/>
        <v>137.4442393039015</v>
      </c>
    </row>
    <row r="98" spans="1:11" s="87" customFormat="1" ht="38.25">
      <c r="A98" s="233" t="s">
        <v>4542</v>
      </c>
      <c r="B98" s="324" t="s">
        <v>6474</v>
      </c>
      <c r="C98" s="324">
        <v>97668</v>
      </c>
      <c r="D98" s="451" t="str">
        <f>IF(A98="SERVIÇO",VLOOKUP(C98,SERVIÇOS!$A$6:$D$7645,2,0),IF(A98="INSUMO",VLOOKUP(C98,INSUMOS!$A$6:$D$6961,2,0),IF('036.02-20-CANTEIRO.'!A98="COTAÇÃO",VLOOKUP('036.02-20-CANTEIRO.'!C98,'036-20-Cotação'!$A$9:$G$529,2,0),IF('036.02-20-CANTEIRO.'!A98="CCU",VLOOKUP('036.02-20-CANTEIRO.'!C98,'036-20-CCU''s'!$B$9:$H$1962,2,0)))))</f>
        <v>ELETRODUTO FLEXÍVEL CORRUGADO, PEAD, DN 63 (2")  - FORNECIMENTO E INSTALAÇÃO. AF_04/2016</v>
      </c>
      <c r="E98" s="452" t="str">
        <f>IF(A98="SERVIÇO",VLOOKUP(C98,SERVIÇOS!$A$6:$D$7645,3,0),IF(A98="INSUMO",VLOOKUP(C98,INSUMOS!$A$6:$D$6961,3,0),IF('036.02-20-CANTEIRO.'!A98="COTAÇÃO",VLOOKUP('036.02-20-CANTEIRO.'!C98,'036-20-Cotação'!$A$9:$G$529,4,0),IF('036.02-20-CANTEIRO.'!A98="CCU",VLOOKUP('036.02-20-CANTEIRO.'!C98,'036-20-CCU''s'!$B$9:$H$1962,4,0)))))</f>
        <v>M</v>
      </c>
      <c r="F98" s="453">
        <v>14</v>
      </c>
      <c r="G98" s="534" t="str">
        <f>IF(A98="SERVIÇO",VLOOKUP(C98,SERVIÇOS!$A$6:$D$7645,4,0),IF(A98="INSUMO",VLOOKUP(C98,INSUMOS!$A$6:$D$6961,4,0),IF('036.02-20-CANTEIRO.'!A98="COTAÇÃO",VLOOKUP('036.02-20-CANTEIRO.'!C98,'036-20-Cotação'!$A$9:$G$529,3,0),IF('036.02-20-CANTEIRO.'!A98="CCU",VLOOKUP('036.02-20-CANTEIRO.'!C98,'036-20-CCU''s'!$B$9:$H$1962,7,0)))))</f>
        <v>9,92</v>
      </c>
      <c r="H98" s="528">
        <f>BDI_O.A.E!$H$22</f>
        <v>0.18201100192553743</v>
      </c>
      <c r="I98" s="535">
        <f t="shared" si="12"/>
        <v>164.15768794741862</v>
      </c>
      <c r="K98" s="232">
        <f t="shared" si="11"/>
        <v>164.15768794741862</v>
      </c>
    </row>
    <row r="99" spans="1:11" s="87" customFormat="1" ht="38.25">
      <c r="A99" s="233" t="s">
        <v>4542</v>
      </c>
      <c r="B99" s="324" t="s">
        <v>6475</v>
      </c>
      <c r="C99" s="324">
        <v>97669</v>
      </c>
      <c r="D99" s="451" t="str">
        <f>IF(A99="SERVIÇO",VLOOKUP(C99,SERVIÇOS!$A$6:$D$7645,2,0),IF(A99="INSUMO",VLOOKUP(C99,INSUMOS!$A$6:$D$6961,2,0),IF('036.02-20-CANTEIRO.'!A99="COTAÇÃO",VLOOKUP('036.02-20-CANTEIRO.'!C99,'036-20-Cotação'!$A$9:$G$529,2,0),IF('036.02-20-CANTEIRO.'!A99="CCU",VLOOKUP('036.02-20-CANTEIRO.'!C99,'036-20-CCU''s'!$B$9:$H$1962,2,0)))))</f>
        <v>ELETRODUTO FLEXÍVEL CORRUGADO, PEAD, DN 90 (3) - FORNECIMENTO E INSTALAÇÃO. AF_04/2016</v>
      </c>
      <c r="E99" s="452" t="str">
        <f>IF(A99="SERVIÇO",VLOOKUP(C99,SERVIÇOS!$A$6:$D$7645,3,0),IF(A99="INSUMO",VLOOKUP(C99,INSUMOS!$A$6:$D$6961,3,0),IF('036.02-20-CANTEIRO.'!A99="COTAÇÃO",VLOOKUP('036.02-20-CANTEIRO.'!C99,'036-20-Cotação'!$A$9:$G$529,4,0),IF('036.02-20-CANTEIRO.'!A99="CCU",VLOOKUP('036.02-20-CANTEIRO.'!C99,'036-20-CCU''s'!$B$9:$H$1962,4,0)))))</f>
        <v>M</v>
      </c>
      <c r="F99" s="453">
        <v>17</v>
      </c>
      <c r="G99" s="534" t="str">
        <f>IF(A99="SERVIÇO",VLOOKUP(C99,SERVIÇOS!$A$6:$D$7645,4,0),IF(A99="INSUMO",VLOOKUP(C99,INSUMOS!$A$6:$D$6961,4,0),IF('036.02-20-CANTEIRO.'!A99="COTAÇÃO",VLOOKUP('036.02-20-CANTEIRO.'!C99,'036-20-Cotação'!$A$9:$G$529,3,0),IF('036.02-20-CANTEIRO.'!A99="CCU",VLOOKUP('036.02-20-CANTEIRO.'!C99,'036-20-CCU''s'!$B$9:$H$1962,7,0)))))</f>
        <v>15,88</v>
      </c>
      <c r="H99" s="528">
        <f>BDI_O.A.E!$H$22</f>
        <v>0.18201100192553743</v>
      </c>
      <c r="I99" s="535">
        <f t="shared" si="12"/>
        <v>319.0956900798181</v>
      </c>
      <c r="K99" s="232">
        <f t="shared" si="11"/>
        <v>319.0956900798181</v>
      </c>
    </row>
    <row r="100" spans="1:11" s="87" customFormat="1" ht="51">
      <c r="A100" s="233" t="s">
        <v>4542</v>
      </c>
      <c r="B100" s="324" t="s">
        <v>6476</v>
      </c>
      <c r="C100" s="324">
        <v>91929</v>
      </c>
      <c r="D100" s="451" t="str">
        <f>IF(A100="SERVIÇO",VLOOKUP(C100,SERVIÇOS!$A$6:$D$7645,2,0),IF(A100="INSUMO",VLOOKUP(C100,INSUMOS!$A$6:$D$6961,2,0),IF('036.02-20-CANTEIRO.'!A100="COTAÇÃO",VLOOKUP('036.02-20-CANTEIRO.'!C100,'036-20-Cotação'!$A$9:$G$529,2,0),IF('036.02-20-CANTEIRO.'!A100="CCU",VLOOKUP('036.02-20-CANTEIRO.'!C100,'036-20-CCU''s'!$B$9:$H$1962,2,0)))))</f>
        <v>CABO DE COBRE FLEXÍVEL ISOLADO, 4 MM², ANTI-CHAMA 0,6/1,0 KV, PARA CIRCUITOS TERMINAIS - FORNECIMENTO E INSTALAÇÃO. AF_12/2015</v>
      </c>
      <c r="E100" s="452" t="str">
        <f>IF(A100="SERVIÇO",VLOOKUP(C100,SERVIÇOS!$A$6:$D$7645,3,0),IF(A100="INSUMO",VLOOKUP(C100,INSUMOS!$A$6:$D$6961,3,0),IF('036.02-20-CANTEIRO.'!A100="COTAÇÃO",VLOOKUP('036.02-20-CANTEIRO.'!C100,'036-20-Cotação'!$A$9:$G$529,4,0),IF('036.02-20-CANTEIRO.'!A100="CCU",VLOOKUP('036.02-20-CANTEIRO.'!C100,'036-20-CCU''s'!$B$9:$H$1962,4,0)))))</f>
        <v>M</v>
      </c>
      <c r="F100" s="453">
        <v>1366.2</v>
      </c>
      <c r="G100" s="534" t="str">
        <f>IF(A100="SERVIÇO",VLOOKUP(C100,SERVIÇOS!$A$6:$D$7645,4,0),IF(A100="INSUMO",VLOOKUP(C100,INSUMOS!$A$6:$D$6961,4,0),IF('036.02-20-CANTEIRO.'!A100="COTAÇÃO",VLOOKUP('036.02-20-CANTEIRO.'!C100,'036-20-Cotação'!$A$9:$G$529,3,0),IF('036.02-20-CANTEIRO.'!A100="CCU",VLOOKUP('036.02-20-CANTEIRO.'!C100,'036-20-CCU''s'!$B$9:$H$1962,7,0)))))</f>
        <v>5,31</v>
      </c>
      <c r="H100" s="528">
        <f>BDI_O.A.E!$H$22</f>
        <v>0.18201100192553743</v>
      </c>
      <c r="I100" s="535">
        <f t="shared" si="12"/>
        <v>8574.9248177108529</v>
      </c>
      <c r="K100" s="232">
        <f t="shared" si="11"/>
        <v>8574.9248177108529</v>
      </c>
    </row>
    <row r="101" spans="1:11" s="87" customFormat="1" ht="51">
      <c r="A101" s="233" t="s">
        <v>4542</v>
      </c>
      <c r="B101" s="324" t="s">
        <v>6477</v>
      </c>
      <c r="C101" s="324">
        <v>91931</v>
      </c>
      <c r="D101" s="451" t="str">
        <f>IF(A101="SERVIÇO",VLOOKUP(C101,SERVIÇOS!$A$6:$D$7645,2,0),IF(A101="INSUMO",VLOOKUP(C101,INSUMOS!$A$6:$D$6961,2,0),IF('036.02-20-CANTEIRO.'!A101="COTAÇÃO",VLOOKUP('036.02-20-CANTEIRO.'!C101,'036-20-Cotação'!$A$9:$G$529,2,0),IF('036.02-20-CANTEIRO.'!A101="CCU",VLOOKUP('036.02-20-CANTEIRO.'!C101,'036-20-CCU''s'!$B$9:$H$1962,2,0)))))</f>
        <v>CABO DE COBRE FLEXÍVEL ISOLADO, 6 MM², ANTI-CHAMA 0,6/1,0 KV, PARA CIRCUITOS TERMINAIS - FORNECIMENTO E INSTALAÇÃO. AF_12/2015</v>
      </c>
      <c r="E101" s="452" t="str">
        <f>IF(A101="SERVIÇO",VLOOKUP(C101,SERVIÇOS!$A$6:$D$7645,3,0),IF(A101="INSUMO",VLOOKUP(C101,INSUMOS!$A$6:$D$6961,3,0),IF('036.02-20-CANTEIRO.'!A101="COTAÇÃO",VLOOKUP('036.02-20-CANTEIRO.'!C101,'036-20-Cotação'!$A$9:$G$529,4,0),IF('036.02-20-CANTEIRO.'!A101="CCU",VLOOKUP('036.02-20-CANTEIRO.'!C101,'036-20-CCU''s'!$B$9:$H$1962,4,0)))))</f>
        <v>M</v>
      </c>
      <c r="F101" s="453">
        <v>1367.8500000000001</v>
      </c>
      <c r="G101" s="534" t="str">
        <f>IF(A101="SERVIÇO",VLOOKUP(C101,SERVIÇOS!$A$6:$D$7645,4,0),IF(A101="INSUMO",VLOOKUP(C101,INSUMOS!$A$6:$D$6961,4,0),IF('036.02-20-CANTEIRO.'!A101="COTAÇÃO",VLOOKUP('036.02-20-CANTEIRO.'!C101,'036-20-Cotação'!$A$9:$G$529,3,0),IF('036.02-20-CANTEIRO.'!A101="CCU",VLOOKUP('036.02-20-CANTEIRO.'!C101,'036-20-CCU''s'!$B$9:$H$1962,7,0)))))</f>
        <v>7,14</v>
      </c>
      <c r="H101" s="528">
        <f>BDI_O.A.E!$H$22</f>
        <v>0.18201100192553743</v>
      </c>
      <c r="I101" s="535">
        <f t="shared" si="12"/>
        <v>11544.050167744665</v>
      </c>
      <c r="K101" s="232">
        <f t="shared" si="11"/>
        <v>11544.050167744665</v>
      </c>
    </row>
    <row r="102" spans="1:11" s="87" customFormat="1" ht="51">
      <c r="A102" s="233" t="s">
        <v>4542</v>
      </c>
      <c r="B102" s="324" t="s">
        <v>6478</v>
      </c>
      <c r="C102" s="324">
        <v>91933</v>
      </c>
      <c r="D102" s="451" t="str">
        <f>IF(A102="SERVIÇO",VLOOKUP(C102,SERVIÇOS!$A$6:$D$7645,2,0),IF(A102="INSUMO",VLOOKUP(C102,INSUMOS!$A$6:$D$6961,2,0),IF('036.02-20-CANTEIRO.'!A102="COTAÇÃO",VLOOKUP('036.02-20-CANTEIRO.'!C102,'036-20-Cotação'!$A$9:$G$529,2,0),IF('036.02-20-CANTEIRO.'!A102="CCU",VLOOKUP('036.02-20-CANTEIRO.'!C102,'036-20-CCU''s'!$B$9:$H$1962,2,0)))))</f>
        <v>CABO DE COBRE FLEXÍVEL ISOLADO, 10 MM², ANTI-CHAMA 0,6/1,0 KV, PARA CIRCUITOS TERMINAIS - FORNECIMENTO E INSTALAÇÃO. AF_12/2015</v>
      </c>
      <c r="E102" s="452" t="str">
        <f>IF(A102="SERVIÇO",VLOOKUP(C102,SERVIÇOS!$A$6:$D$7645,3,0),IF(A102="INSUMO",VLOOKUP(C102,INSUMOS!$A$6:$D$6961,3,0),IF('036.02-20-CANTEIRO.'!A102="COTAÇÃO",VLOOKUP('036.02-20-CANTEIRO.'!C102,'036-20-Cotação'!$A$9:$G$529,4,0),IF('036.02-20-CANTEIRO.'!A102="CCU",VLOOKUP('036.02-20-CANTEIRO.'!C102,'036-20-CCU''s'!$B$9:$H$1962,4,0)))))</f>
        <v>M</v>
      </c>
      <c r="F102" s="453">
        <v>803.55000000000007</v>
      </c>
      <c r="G102" s="534" t="str">
        <f>IF(A102="SERVIÇO",VLOOKUP(C102,SERVIÇOS!$A$6:$D$7645,4,0),IF(A102="INSUMO",VLOOKUP(C102,INSUMOS!$A$6:$D$6961,4,0),IF('036.02-20-CANTEIRO.'!A102="COTAÇÃO",VLOOKUP('036.02-20-CANTEIRO.'!C102,'036-20-Cotação'!$A$9:$G$529,3,0),IF('036.02-20-CANTEIRO.'!A102="CCU",VLOOKUP('036.02-20-CANTEIRO.'!C102,'036-20-CCU''s'!$B$9:$H$1962,7,0)))))</f>
        <v>11,18</v>
      </c>
      <c r="H102" s="528">
        <f>BDI_O.A.E!$H$22</f>
        <v>0.18201100192553743</v>
      </c>
      <c r="I102" s="535">
        <f t="shared" si="12"/>
        <v>10618.819235877429</v>
      </c>
      <c r="K102" s="232">
        <f t="shared" si="11"/>
        <v>10618.819235877429</v>
      </c>
    </row>
    <row r="103" spans="1:11" s="87" customFormat="1" ht="38.25">
      <c r="A103" s="233" t="s">
        <v>4542</v>
      </c>
      <c r="B103" s="324" t="s">
        <v>6479</v>
      </c>
      <c r="C103" s="324">
        <v>92986</v>
      </c>
      <c r="D103" s="451" t="str">
        <f>IF(A103="SERVIÇO",VLOOKUP(C103,SERVIÇOS!$A$6:$D$7645,2,0),IF(A103="INSUMO",VLOOKUP(C103,INSUMOS!$A$6:$D$6961,2,0),IF('036.02-20-CANTEIRO.'!A103="COTAÇÃO",VLOOKUP('036.02-20-CANTEIRO.'!C103,'036-20-Cotação'!$A$9:$G$529,2,0),IF('036.02-20-CANTEIRO.'!A103="CCU",VLOOKUP('036.02-20-CANTEIRO.'!C103,'036-20-CCU''s'!$B$9:$H$1962,2,0)))))</f>
        <v>CABO DE COBRE FLEXÍVEL ISOLADO, 35 MM², ANTI-CHAMA 0,6/1,0 KV, PARA DISTRIBUIÇÃO - FORNECIMENTO E INSTALAÇÃO. AF_12/2015</v>
      </c>
      <c r="E103" s="452" t="str">
        <f>IF(A103="SERVIÇO",VLOOKUP(C103,SERVIÇOS!$A$6:$D$7645,3,0),IF(A103="INSUMO",VLOOKUP(C103,INSUMOS!$A$6:$D$6961,3,0),IF('036.02-20-CANTEIRO.'!A103="COTAÇÃO",VLOOKUP('036.02-20-CANTEIRO.'!C103,'036-20-Cotação'!$A$9:$G$529,4,0),IF('036.02-20-CANTEIRO.'!A103="CCU",VLOOKUP('036.02-20-CANTEIRO.'!C103,'036-20-CCU''s'!$B$9:$H$1962,4,0)))))</f>
        <v>M</v>
      </c>
      <c r="F103" s="453">
        <v>18.700000000000003</v>
      </c>
      <c r="G103" s="534" t="str">
        <f>IF(A103="SERVIÇO",VLOOKUP(C103,SERVIÇOS!$A$6:$D$7645,4,0),IF(A103="INSUMO",VLOOKUP(C103,INSUMOS!$A$6:$D$6961,4,0),IF('036.02-20-CANTEIRO.'!A103="COTAÇÃO",VLOOKUP('036.02-20-CANTEIRO.'!C103,'036-20-Cotação'!$A$9:$G$529,3,0),IF('036.02-20-CANTEIRO.'!A103="CCU",VLOOKUP('036.02-20-CANTEIRO.'!C103,'036-20-CCU''s'!$B$9:$H$1962,7,0)))))</f>
        <v>25,12</v>
      </c>
      <c r="H103" s="528">
        <f>BDI_O.A.E!$H$22</f>
        <v>0.18201100192553743</v>
      </c>
      <c r="I103" s="535">
        <f t="shared" si="12"/>
        <v>555.24257608850974</v>
      </c>
      <c r="K103" s="232">
        <f t="shared" si="11"/>
        <v>555.24257608850974</v>
      </c>
    </row>
    <row r="104" spans="1:11" s="87" customFormat="1" ht="38.25">
      <c r="A104" s="233" t="s">
        <v>4542</v>
      </c>
      <c r="B104" s="324" t="s">
        <v>6480</v>
      </c>
      <c r="C104" s="324">
        <v>92990</v>
      </c>
      <c r="D104" s="451" t="str">
        <f>IF(A104="SERVIÇO",VLOOKUP(C104,SERVIÇOS!$A$6:$D$7645,2,0),IF(A104="INSUMO",VLOOKUP(C104,INSUMOS!$A$6:$D$6961,2,0),IF('036.02-20-CANTEIRO.'!A104="COTAÇÃO",VLOOKUP('036.02-20-CANTEIRO.'!C104,'036-20-Cotação'!$A$9:$G$529,2,0),IF('036.02-20-CANTEIRO.'!A104="CCU",VLOOKUP('036.02-20-CANTEIRO.'!C104,'036-20-CCU''s'!$B$9:$H$1962,2,0)))))</f>
        <v>CABO DE COBRE FLEXÍVEL ISOLADO, 70 MM², ANTI-CHAMA 0,6/1,0 KV, PARA DISTRIBUIÇÃO - FORNECIMENTO E INSTALAÇÃO. AF_12/2015</v>
      </c>
      <c r="E104" s="452" t="str">
        <f>IF(A104="SERVIÇO",VLOOKUP(C104,SERVIÇOS!$A$6:$D$7645,3,0),IF(A104="INSUMO",VLOOKUP(C104,INSUMOS!$A$6:$D$6961,3,0),IF('036.02-20-CANTEIRO.'!A104="COTAÇÃO",VLOOKUP('036.02-20-CANTEIRO.'!C104,'036-20-Cotação'!$A$9:$G$529,4,0),IF('036.02-20-CANTEIRO.'!A104="CCU",VLOOKUP('036.02-20-CANTEIRO.'!C104,'036-20-CCU''s'!$B$9:$H$1962,4,0)))))</f>
        <v>M</v>
      </c>
      <c r="F104" s="453">
        <v>74.800000000000011</v>
      </c>
      <c r="G104" s="534" t="str">
        <f>IF(A104="SERVIÇO",VLOOKUP(C104,SERVIÇOS!$A$6:$D$7645,4,0),IF(A104="INSUMO",VLOOKUP(C104,INSUMOS!$A$6:$D$6961,4,0),IF('036.02-20-CANTEIRO.'!A104="COTAÇÃO",VLOOKUP('036.02-20-CANTEIRO.'!C104,'036-20-Cotação'!$A$9:$G$529,3,0),IF('036.02-20-CANTEIRO.'!A104="CCU",VLOOKUP('036.02-20-CANTEIRO.'!C104,'036-20-CCU''s'!$B$9:$H$1962,7,0)))))</f>
        <v>48,01</v>
      </c>
      <c r="H104" s="528">
        <f>BDI_O.A.E!$H$22</f>
        <v>0.18201100192553743</v>
      </c>
      <c r="I104" s="535">
        <f t="shared" si="12"/>
        <v>4244.7764455428905</v>
      </c>
      <c r="K104" s="232">
        <f t="shared" si="11"/>
        <v>4244.7764455428905</v>
      </c>
    </row>
    <row r="105" spans="1:11" s="87" customFormat="1" ht="38.25">
      <c r="A105" s="233" t="s">
        <v>4542</v>
      </c>
      <c r="B105" s="324" t="s">
        <v>6481</v>
      </c>
      <c r="C105" s="324">
        <v>96977</v>
      </c>
      <c r="D105" s="451" t="str">
        <f>IF(A105="SERVIÇO",VLOOKUP(C105,SERVIÇOS!$A$6:$D$7645,2,0),IF(A105="INSUMO",VLOOKUP(C105,INSUMOS!$A$6:$D$6961,2,0),IF('036.02-20-CANTEIRO.'!A105="COTAÇÃO",VLOOKUP('036.02-20-CANTEIRO.'!C105,'036-20-Cotação'!$A$9:$G$529,2,0),IF('036.02-20-CANTEIRO.'!A105="CCU",VLOOKUP('036.02-20-CANTEIRO.'!C105,'036-20-CCU''s'!$B$9:$H$1962,2,0)))))</f>
        <v>CORDOALHA DE COBRE NU 50 MM², ENTERRADA, SEM ISOLADOR - FORNECIMENTO E INSTALAÇÃO. AF_12/2017</v>
      </c>
      <c r="E105" s="452" t="str">
        <f>IF(A105="SERVIÇO",VLOOKUP(C105,SERVIÇOS!$A$6:$D$7645,3,0),IF(A105="INSUMO",VLOOKUP(C105,INSUMOS!$A$6:$D$6961,3,0),IF('036.02-20-CANTEIRO.'!A105="COTAÇÃO",VLOOKUP('036.02-20-CANTEIRO.'!C105,'036-20-Cotação'!$A$9:$G$529,4,0),IF('036.02-20-CANTEIRO.'!A105="CCU",VLOOKUP('036.02-20-CANTEIRO.'!C105,'036-20-CCU''s'!$B$9:$H$1962,4,0)))))</f>
        <v>M</v>
      </c>
      <c r="F105" s="453">
        <v>18.149999999999999</v>
      </c>
      <c r="G105" s="534" t="str">
        <f>IF(A105="SERVIÇO",VLOOKUP(C105,SERVIÇOS!$A$6:$D$7645,4,0),IF(A105="INSUMO",VLOOKUP(C105,INSUMOS!$A$6:$D$6961,4,0),IF('036.02-20-CANTEIRO.'!A105="COTAÇÃO",VLOOKUP('036.02-20-CANTEIRO.'!C105,'036-20-Cotação'!$A$9:$G$529,3,0),IF('036.02-20-CANTEIRO.'!A105="CCU",VLOOKUP('036.02-20-CANTEIRO.'!C105,'036-20-CCU''s'!$B$9:$H$1962,7,0)))))</f>
        <v>25,99</v>
      </c>
      <c r="H105" s="528">
        <f>BDI_O.A.E!$H$22</f>
        <v>0.18201100192553743</v>
      </c>
      <c r="I105" s="535">
        <f t="shared" si="12"/>
        <v>557.57645681181157</v>
      </c>
      <c r="K105" s="232">
        <f t="shared" si="11"/>
        <v>557.57645681181157</v>
      </c>
    </row>
    <row r="106" spans="1:11" s="87" customFormat="1" ht="38.25">
      <c r="A106" s="233" t="s">
        <v>4542</v>
      </c>
      <c r="B106" s="324" t="s">
        <v>6482</v>
      </c>
      <c r="C106" s="324">
        <v>93358</v>
      </c>
      <c r="D106" s="451" t="str">
        <f>IF(A106="SERVIÇO",VLOOKUP(C106,SERVIÇOS!$A$6:$D$7645,2,0),IF(A106="INSUMO",VLOOKUP(C106,INSUMOS!$A$6:$D$6961,2,0),IF('036.02-20-CANTEIRO.'!A106="COTAÇÃO",VLOOKUP('036.02-20-CANTEIRO.'!C106,'036-20-Cotação'!$A$9:$G$529,2,0),IF('036.02-20-CANTEIRO.'!A106="CCU",VLOOKUP('036.02-20-CANTEIRO.'!C106,'036-20-CCU''s'!$B$9:$H$1962,2,0)))))</f>
        <v>ESCAVAÇÃO MANUAL DE VALA COM PROFUNDIDADE MENOR OU IGUAL A 1,30 M. AF_03/2016</v>
      </c>
      <c r="E106" s="452" t="str">
        <f>IF(A106="SERVIÇO",VLOOKUP(C106,SERVIÇOS!$A$6:$D$7645,3,0),IF(A106="INSUMO",VLOOKUP(C106,INSUMOS!$A$6:$D$6961,3,0),IF('036.02-20-CANTEIRO.'!A106="COTAÇÃO",VLOOKUP('036.02-20-CANTEIRO.'!C106,'036-20-Cotação'!$A$9:$G$529,4,0),IF('036.02-20-CANTEIRO.'!A106="CCU",VLOOKUP('036.02-20-CANTEIRO.'!C106,'036-20-CCU''s'!$B$9:$H$1962,4,0)))))</f>
        <v>M3</v>
      </c>
      <c r="F106" s="453">
        <v>115.95</v>
      </c>
      <c r="G106" s="534" t="str">
        <f>IF(A106="SERVIÇO",VLOOKUP(C106,SERVIÇOS!$A$6:$D$7645,4,0),IF(A106="INSUMO",VLOOKUP(C106,INSUMOS!$A$6:$D$6961,4,0),IF('036.02-20-CANTEIRO.'!A106="COTAÇÃO",VLOOKUP('036.02-20-CANTEIRO.'!C106,'036-20-Cotação'!$A$9:$G$529,3,0),IF('036.02-20-CANTEIRO.'!A106="CCU",VLOOKUP('036.02-20-CANTEIRO.'!C106,'036-20-CCU''s'!$B$9:$H$1962,7,0)))))</f>
        <v>65,59</v>
      </c>
      <c r="H106" s="528">
        <f>BDI_O.A.E!$H$22</f>
        <v>0.18201100192553743</v>
      </c>
      <c r="I106" s="535">
        <f t="shared" si="12"/>
        <v>8989.3833824095218</v>
      </c>
      <c r="K106" s="232">
        <f t="shared" si="11"/>
        <v>8989.3833824095218</v>
      </c>
    </row>
    <row r="107" spans="1:11" s="87" customFormat="1" ht="38.25">
      <c r="A107" s="233" t="s">
        <v>4542</v>
      </c>
      <c r="B107" s="324" t="s">
        <v>6483</v>
      </c>
      <c r="C107" s="324">
        <v>94097</v>
      </c>
      <c r="D107" s="451" t="str">
        <f>IF(A107="SERVIÇO",VLOOKUP(C107,SERVIÇOS!$A$6:$D$7645,2,0),IF(A107="INSUMO",VLOOKUP(C107,INSUMOS!$A$6:$D$6961,2,0),IF('036.02-20-CANTEIRO.'!A107="COTAÇÃO",VLOOKUP('036.02-20-CANTEIRO.'!C107,'036-20-Cotação'!$A$9:$G$529,2,0),IF('036.02-20-CANTEIRO.'!A107="CCU",VLOOKUP('036.02-20-CANTEIRO.'!C107,'036-20-CCU''s'!$B$9:$H$1962,2,0)))))</f>
        <v>PREPARO DE FUNDO DE VALA COM LARGURA MENOR QUE 1,5 M, EM LOCAL COM NÍVEL BAIXO DE INTERFERÊNCIA. AF_06/2016</v>
      </c>
      <c r="E107" s="452" t="str">
        <f>IF(A107="SERVIÇO",VLOOKUP(C107,SERVIÇOS!$A$6:$D$7645,3,0),IF(A107="INSUMO",VLOOKUP(C107,INSUMOS!$A$6:$D$6961,3,0),IF('036.02-20-CANTEIRO.'!A107="COTAÇÃO",VLOOKUP('036.02-20-CANTEIRO.'!C107,'036-20-Cotação'!$A$9:$G$529,4,0),IF('036.02-20-CANTEIRO.'!A107="CCU",VLOOKUP('036.02-20-CANTEIRO.'!C107,'036-20-CCU''s'!$B$9:$H$1962,4,0)))))</f>
        <v>M2</v>
      </c>
      <c r="F107" s="453">
        <v>231.9</v>
      </c>
      <c r="G107" s="534" t="str">
        <f>IF(A107="SERVIÇO",VLOOKUP(C107,SERVIÇOS!$A$6:$D$7645,4,0),IF(A107="INSUMO",VLOOKUP(C107,INSUMOS!$A$6:$D$6961,4,0),IF('036.02-20-CANTEIRO.'!A107="COTAÇÃO",VLOOKUP('036.02-20-CANTEIRO.'!C107,'036-20-Cotação'!$A$9:$G$529,3,0),IF('036.02-20-CANTEIRO.'!A107="CCU",VLOOKUP('036.02-20-CANTEIRO.'!C107,'036-20-CCU''s'!$B$9:$H$1962,7,0)))))</f>
        <v>5,03</v>
      </c>
      <c r="H107" s="528">
        <f>BDI_O.A.E!$H$22</f>
        <v>0.18201100192553743</v>
      </c>
      <c r="I107" s="535">
        <f t="shared" si="12"/>
        <v>1378.7650072730567</v>
      </c>
      <c r="K107" s="232">
        <f t="shared" si="11"/>
        <v>1378.7650072730567</v>
      </c>
    </row>
    <row r="108" spans="1:11" s="87" customFormat="1" ht="25.5">
      <c r="A108" s="233" t="s">
        <v>4542</v>
      </c>
      <c r="B108" s="324" t="s">
        <v>6484</v>
      </c>
      <c r="C108" s="324">
        <v>93382</v>
      </c>
      <c r="D108" s="451" t="str">
        <f>IF(A108="SERVIÇO",VLOOKUP(C108,SERVIÇOS!$A$6:$D$7645,2,0),IF(A108="INSUMO",VLOOKUP(C108,INSUMOS!$A$6:$D$6961,2,0),IF('036.02-20-CANTEIRO.'!A108="COTAÇÃO",VLOOKUP('036.02-20-CANTEIRO.'!C108,'036-20-Cotação'!$A$9:$G$529,2,0),IF('036.02-20-CANTEIRO.'!A108="CCU",VLOOKUP('036.02-20-CANTEIRO.'!C108,'036-20-CCU''s'!$B$9:$H$1962,2,0)))))</f>
        <v>REATERRO MANUAL DE VALAS COM COMPACTAÇÃO MECANIZADA. AF_04/2016</v>
      </c>
      <c r="E108" s="452" t="str">
        <f>IF(A108="SERVIÇO",VLOOKUP(C108,SERVIÇOS!$A$6:$D$7645,3,0),IF(A108="INSUMO",VLOOKUP(C108,INSUMOS!$A$6:$D$6961,3,0),IF('036.02-20-CANTEIRO.'!A108="COTAÇÃO",VLOOKUP('036.02-20-CANTEIRO.'!C108,'036-20-Cotação'!$A$9:$G$529,4,0),IF('036.02-20-CANTEIRO.'!A108="CCU",VLOOKUP('036.02-20-CANTEIRO.'!C108,'036-20-CCU''s'!$B$9:$H$1962,4,0)))))</f>
        <v>M3</v>
      </c>
      <c r="F108" s="453">
        <v>115.93307702577106</v>
      </c>
      <c r="G108" s="534" t="str">
        <f>IF(A108="SERVIÇO",VLOOKUP(C108,SERVIÇOS!$A$6:$D$7645,4,0),IF(A108="INSUMO",VLOOKUP(C108,INSUMOS!$A$6:$D$6961,4,0),IF('036.02-20-CANTEIRO.'!A108="COTAÇÃO",VLOOKUP('036.02-20-CANTEIRO.'!C108,'036-20-Cotação'!$A$9:$G$529,3,0),IF('036.02-20-CANTEIRO.'!A108="CCU",VLOOKUP('036.02-20-CANTEIRO.'!C108,'036-20-CCU''s'!$B$9:$H$1962,7,0)))))</f>
        <v>23,32</v>
      </c>
      <c r="H108" s="528">
        <f>BDI_O.A.E!$H$22</f>
        <v>0.18201100192553743</v>
      </c>
      <c r="I108" s="535">
        <f t="shared" si="12"/>
        <v>3195.636903435563</v>
      </c>
      <c r="K108" s="232">
        <f t="shared" si="11"/>
        <v>3195.636903435563</v>
      </c>
    </row>
    <row r="109" spans="1:11" s="87" customFormat="1" ht="38.25">
      <c r="A109" s="233" t="s">
        <v>4543</v>
      </c>
      <c r="B109" s="324" t="s">
        <v>8419</v>
      </c>
      <c r="C109" s="324" t="s">
        <v>8418</v>
      </c>
      <c r="D109" s="451" t="str">
        <f>IF(A109="SERVIÇO",VLOOKUP(C109,SERVIÇOS!$A$6:$D$7645,2,0),IF(A109="INSUMO",VLOOKUP(C109,INSUMOS!$A$6:$D$6961,2,0),IF('036.02-20-CANTEIRO.'!A109="COTAÇÃO",VLOOKUP('036.02-20-CANTEIRO.'!C109,'036-20-Cotação'!$A$9:$G$529,2,0),IF('036.02-20-CANTEIRO.'!A109="CCU",VLOOKUP('036.02-20-CANTEIRO.'!C109,'036-20-CCU''s'!$B$9:$H$1962,2,0)))))</f>
        <v>ILUMINAÇÃO PROVISÓRIA DO CAIXÃO DA PONTE, COM LAMPADAS A CADA 2,5M - FORNECIMENTO E INSTALAÇÃO</v>
      </c>
      <c r="E109" s="452" t="str">
        <f>IF(A109="SERVIÇO",VLOOKUP(C109,SERVIÇOS!$A$6:$D$7645,3,0),IF(A109="INSUMO",VLOOKUP(C109,INSUMOS!$A$6:$D$6961,3,0),IF('036.02-20-CANTEIRO.'!A109="COTAÇÃO",VLOOKUP('036.02-20-CANTEIRO.'!C109,'036-20-Cotação'!$A$9:$G$529,4,0),IF('036.02-20-CANTEIRO.'!A109="CCU",VLOOKUP('036.02-20-CANTEIRO.'!C109,'036-20-CCU''s'!$B$9:$H$1962,4,0)))))</f>
        <v>M</v>
      </c>
      <c r="F109" s="453">
        <v>1200</v>
      </c>
      <c r="G109" s="534">
        <f>IF(A109="SERVIÇO",VLOOKUP(C109,SERVIÇOS!$A$6:$D$7645,4,0),IF(A109="INSUMO",VLOOKUP(C109,INSUMOS!$A$6:$D$6961,4,0),IF('036.02-20-CANTEIRO.'!A109="COTAÇÃO",VLOOKUP('036.02-20-CANTEIRO.'!C109,'036-20-Cotação'!$A$9:$G$529,3,0),IF('036.02-20-CANTEIRO.'!A109="CCU",VLOOKUP('036.02-20-CANTEIRO.'!C109,'036-20-CCU''s'!$B$9:$H$1962,7,0)))))</f>
        <v>16.34</v>
      </c>
      <c r="H109" s="528">
        <f>BDI_O.A.E!$H$22</f>
        <v>0.18201100192553743</v>
      </c>
      <c r="I109" s="535">
        <f>F109*(G109*(1+H109))</f>
        <v>23176.871725755936</v>
      </c>
      <c r="K109" s="232">
        <f t="shared" si="11"/>
        <v>23176.871725755936</v>
      </c>
    </row>
    <row r="110" spans="1:11" s="223" customFormat="1">
      <c r="A110" s="233" t="s">
        <v>4542</v>
      </c>
      <c r="B110" s="224" t="s">
        <v>6537</v>
      </c>
      <c r="C110" s="224"/>
      <c r="D110" s="229" t="s">
        <v>6538</v>
      </c>
      <c r="E110" s="230"/>
      <c r="F110" s="230"/>
      <c r="G110" s="230"/>
      <c r="H110" s="342"/>
      <c r="I110" s="231"/>
      <c r="K110" s="232">
        <f t="shared" si="11"/>
        <v>0</v>
      </c>
    </row>
    <row r="111" spans="1:11" s="87" customFormat="1" ht="76.5">
      <c r="A111" s="233" t="s">
        <v>4542</v>
      </c>
      <c r="B111" s="324" t="s">
        <v>6539</v>
      </c>
      <c r="C111" s="324">
        <v>90694</v>
      </c>
      <c r="D111" s="451" t="str">
        <f>IF(A111="SERVIÇO",VLOOKUP(C111,SERVIÇOS!$A$6:$D$7645,2,0),IF(A111="INSUMO",VLOOKUP(C111,INSUMOS!$A$6:$D$6961,2,0),IF('036.02-20-CANTEIRO.'!A111="COTAÇÃO",VLOOKUP('036.02-20-CANTEIRO.'!C111,'036-20-Cotação'!$A$9:$G$529,2,0),IF('036.02-20-CANTEIRO.'!A111="CCU",VLOOKUP('036.02-20-CANTEIRO.'!C111,'036-20-CCU''s'!$B$9:$H$1962,2,0)))))</f>
        <v>TUBO DE PVC PARA REDE COLETORA DE ESGOTO DE PAREDE MACIÇA, DN 100 MM, JUNTA ELÁSTICA, INSTALADO EM LOCAL COM NÍVEL BAIXO DE INTERFERÊNCIAS - FORNECIMENTO E ASSENTAMENTO. AF_06/2015</v>
      </c>
      <c r="E111" s="452" t="str">
        <f>IF(A111="SERVIÇO",VLOOKUP(C111,SERVIÇOS!$A$6:$D$7645,3,0),IF(A111="INSUMO",VLOOKUP(C111,INSUMOS!$A$6:$D$6961,3,0),IF('036.02-20-CANTEIRO.'!A111="COTAÇÃO",VLOOKUP('036.02-20-CANTEIRO.'!C111,'036-20-Cotação'!$A$9:$G$529,4,0),IF('036.02-20-CANTEIRO.'!A111="CCU",VLOOKUP('036.02-20-CANTEIRO.'!C111,'036-20-CCU''s'!$B$9:$H$1962,4,0)))))</f>
        <v>M</v>
      </c>
      <c r="F111" s="453">
        <v>25</v>
      </c>
      <c r="G111" s="534" t="str">
        <f>IF(A111="SERVIÇO",VLOOKUP(C111,SERVIÇOS!$A$6:$D$7645,4,0),IF(A111="INSUMO",VLOOKUP(C111,INSUMOS!$A$6:$D$6961,4,0),IF('036.02-20-CANTEIRO.'!A111="COTAÇÃO",VLOOKUP('036.02-20-CANTEIRO.'!C111,'036-20-Cotação'!$A$9:$G$529,3,0),IF('036.02-20-CANTEIRO.'!A111="CCU",VLOOKUP('036.02-20-CANTEIRO.'!C111,'036-20-CCU''s'!$B$9:$H$1962,7,0)))))</f>
        <v>20,36</v>
      </c>
      <c r="H111" s="528">
        <f>BDI_O.A.E!$H$22</f>
        <v>0.18201100192553743</v>
      </c>
      <c r="I111" s="535">
        <f t="shared" ref="I111:I117" si="13">F111*(G111*(1+H111))</f>
        <v>601.64359998009854</v>
      </c>
      <c r="K111" s="232">
        <f t="shared" si="11"/>
        <v>601.64359998009854</v>
      </c>
    </row>
    <row r="112" spans="1:11" s="87" customFormat="1" ht="76.5">
      <c r="A112" s="233" t="s">
        <v>4542</v>
      </c>
      <c r="B112" s="324" t="s">
        <v>6540</v>
      </c>
      <c r="C112" s="324">
        <v>90695</v>
      </c>
      <c r="D112" s="451" t="str">
        <f>IF(A112="SERVIÇO",VLOOKUP(C112,SERVIÇOS!$A$6:$D$7645,2,0),IF(A112="INSUMO",VLOOKUP(C112,INSUMOS!$A$6:$D$6961,2,0),IF('036.02-20-CANTEIRO.'!A112="COTAÇÃO",VLOOKUP('036.02-20-CANTEIRO.'!C112,'036-20-Cotação'!$A$9:$G$529,2,0),IF('036.02-20-CANTEIRO.'!A112="CCU",VLOOKUP('036.02-20-CANTEIRO.'!C112,'036-20-CCU''s'!$B$9:$H$1962,2,0)))))</f>
        <v>TUBO DE PVC PARA REDE COLETORA DE ESGOTO DE PAREDE MACIÇA, DN 150 MM, JUNTA ELÁSTICA, INSTALADO EM LOCAL COM NÍVEL BAIXO DE INTERFERÊNCIAS - FORNECIMENTO E ASSENTAMENTO. AF_06/2015</v>
      </c>
      <c r="E112" s="452" t="str">
        <f>IF(A112="SERVIÇO",VLOOKUP(C112,SERVIÇOS!$A$6:$D$7645,3,0),IF(A112="INSUMO",VLOOKUP(C112,INSUMOS!$A$6:$D$6961,3,0),IF('036.02-20-CANTEIRO.'!A112="COTAÇÃO",VLOOKUP('036.02-20-CANTEIRO.'!C112,'036-20-Cotação'!$A$9:$G$529,4,0),IF('036.02-20-CANTEIRO.'!A112="CCU",VLOOKUP('036.02-20-CANTEIRO.'!C112,'036-20-CCU''s'!$B$9:$H$1962,4,0)))))</f>
        <v>M</v>
      </c>
      <c r="F112" s="453">
        <v>41</v>
      </c>
      <c r="G112" s="534" t="str">
        <f>IF(A112="SERVIÇO",VLOOKUP(C112,SERVIÇOS!$A$6:$D$7645,4,0),IF(A112="INSUMO",VLOOKUP(C112,INSUMOS!$A$6:$D$6961,4,0),IF('036.02-20-CANTEIRO.'!A112="COTAÇÃO",VLOOKUP('036.02-20-CANTEIRO.'!C112,'036-20-Cotação'!$A$9:$G$529,3,0),IF('036.02-20-CANTEIRO.'!A112="CCU",VLOOKUP('036.02-20-CANTEIRO.'!C112,'036-20-CCU''s'!$B$9:$H$1962,7,0)))))</f>
        <v>41,85</v>
      </c>
      <c r="H112" s="528">
        <f>BDI_O.A.E!$H$22</f>
        <v>0.18201100192553743</v>
      </c>
      <c r="I112" s="535">
        <f t="shared" si="13"/>
        <v>2028.1535776539336</v>
      </c>
      <c r="K112" s="232">
        <f t="shared" si="11"/>
        <v>2028.1535776539336</v>
      </c>
    </row>
    <row r="113" spans="1:11" s="87" customFormat="1" ht="51">
      <c r="A113" s="233" t="s">
        <v>4542</v>
      </c>
      <c r="B113" s="324" t="s">
        <v>6541</v>
      </c>
      <c r="C113" s="324">
        <v>97902</v>
      </c>
      <c r="D113" s="451" t="str">
        <f>IF(A113="SERVIÇO",VLOOKUP(C113,SERVIÇOS!$A$6:$D$7645,2,0),IF(A113="INSUMO",VLOOKUP(C113,INSUMOS!$A$6:$D$6961,2,0),IF('036.02-20-CANTEIRO.'!A113="COTAÇÃO",VLOOKUP('036.02-20-CANTEIRO.'!C113,'036-20-Cotação'!$A$9:$G$529,2,0),IF('036.02-20-CANTEIRO.'!A113="CCU",VLOOKUP('036.02-20-CANTEIRO.'!C113,'036-20-CCU''s'!$B$9:$H$1962,2,0)))))</f>
        <v>CAIXA ENTERRADA HIDRÁULICA RETANGULAR EM ALVENARIA COM TIJOLOS CERÂMICOS MACIÇOS, DIMENSÕES INTERNAS: 0,6X0,6X0,6 M PARA REDE DE ESGOTO. AF_05/2018</v>
      </c>
      <c r="E113" s="452" t="str">
        <f>IF(A113="SERVIÇO",VLOOKUP(C113,SERVIÇOS!$A$6:$D$7645,3,0),IF(A113="INSUMO",VLOOKUP(C113,INSUMOS!$A$6:$D$6961,3,0),IF('036.02-20-CANTEIRO.'!A113="COTAÇÃO",VLOOKUP('036.02-20-CANTEIRO.'!C113,'036-20-Cotação'!$A$9:$G$529,4,0),IF('036.02-20-CANTEIRO.'!A113="CCU",VLOOKUP('036.02-20-CANTEIRO.'!C113,'036-20-CCU''s'!$B$9:$H$1962,4,0)))))</f>
        <v>UN</v>
      </c>
      <c r="F113" s="453">
        <v>11</v>
      </c>
      <c r="G113" s="534" t="str">
        <f>IF(A113="SERVIÇO",VLOOKUP(C113,SERVIÇOS!$A$6:$D$7645,4,0),IF(A113="INSUMO",VLOOKUP(C113,INSUMOS!$A$6:$D$6961,4,0),IF('036.02-20-CANTEIRO.'!A113="COTAÇÃO",VLOOKUP('036.02-20-CANTEIRO.'!C113,'036-20-Cotação'!$A$9:$G$529,3,0),IF('036.02-20-CANTEIRO.'!A113="CCU",VLOOKUP('036.02-20-CANTEIRO.'!C113,'036-20-CCU''s'!$B$9:$H$1962,7,0)))))</f>
        <v>457,09</v>
      </c>
      <c r="H113" s="528">
        <f>BDI_O.A.E!$H$22</f>
        <v>0.18201100192553743</v>
      </c>
      <c r="I113" s="535">
        <f t="shared" si="13"/>
        <v>5943.139497571583</v>
      </c>
      <c r="K113" s="232">
        <f t="shared" si="11"/>
        <v>5943.139497571583</v>
      </c>
    </row>
    <row r="114" spans="1:11" s="87" customFormat="1" ht="38.25">
      <c r="A114" s="233" t="s">
        <v>4542</v>
      </c>
      <c r="B114" s="324" t="s">
        <v>6542</v>
      </c>
      <c r="C114" s="324">
        <v>93358</v>
      </c>
      <c r="D114" s="451" t="str">
        <f>IF(A114="SERVIÇO",VLOOKUP(C114,SERVIÇOS!$A$6:$D$7645,2,0),IF(A114="INSUMO",VLOOKUP(C114,INSUMOS!$A$6:$D$6961,2,0),IF('036.02-20-CANTEIRO.'!A114="COTAÇÃO",VLOOKUP('036.02-20-CANTEIRO.'!C114,'036-20-Cotação'!$A$9:$G$529,2,0),IF('036.02-20-CANTEIRO.'!A114="CCU",VLOOKUP('036.02-20-CANTEIRO.'!C114,'036-20-CCU''s'!$B$9:$H$1962,2,0)))))</f>
        <v>ESCAVAÇÃO MANUAL DE VALA COM PROFUNDIDADE MENOR OU IGUAL A 1,30 M. AF_03/2016</v>
      </c>
      <c r="E114" s="452" t="str">
        <f>IF(A114="SERVIÇO",VLOOKUP(C114,SERVIÇOS!$A$6:$D$7645,3,0),IF(A114="INSUMO",VLOOKUP(C114,INSUMOS!$A$6:$D$6961,3,0),IF('036.02-20-CANTEIRO.'!A114="COTAÇÃO",VLOOKUP('036.02-20-CANTEIRO.'!C114,'036-20-Cotação'!$A$9:$G$529,4,0),IF('036.02-20-CANTEIRO.'!A114="CCU",VLOOKUP('036.02-20-CANTEIRO.'!C114,'036-20-CCU''s'!$B$9:$H$1962,4,0)))))</f>
        <v>M3</v>
      </c>
      <c r="F114" s="453">
        <v>11.879999999999999</v>
      </c>
      <c r="G114" s="534" t="str">
        <f>IF(A114="SERVIÇO",VLOOKUP(C114,SERVIÇOS!$A$6:$D$7645,4,0),IF(A114="INSUMO",VLOOKUP(C114,INSUMOS!$A$6:$D$6961,4,0),IF('036.02-20-CANTEIRO.'!A114="COTAÇÃO",VLOOKUP('036.02-20-CANTEIRO.'!C114,'036-20-Cotação'!$A$9:$G$529,3,0),IF('036.02-20-CANTEIRO.'!A114="CCU",VLOOKUP('036.02-20-CANTEIRO.'!C114,'036-20-CCU''s'!$B$9:$H$1962,7,0)))))</f>
        <v>65,59</v>
      </c>
      <c r="H114" s="528">
        <f>BDI_O.A.E!$H$22</f>
        <v>0.18201100192553743</v>
      </c>
      <c r="I114" s="535">
        <f t="shared" si="13"/>
        <v>921.03384720159636</v>
      </c>
      <c r="K114" s="232">
        <f t="shared" si="11"/>
        <v>921.03384720159636</v>
      </c>
    </row>
    <row r="115" spans="1:11" s="87" customFormat="1" ht="38.25">
      <c r="A115" s="233" t="s">
        <v>4542</v>
      </c>
      <c r="B115" s="324" t="s">
        <v>6543</v>
      </c>
      <c r="C115" s="324">
        <v>94097</v>
      </c>
      <c r="D115" s="451" t="str">
        <f>IF(A115="SERVIÇO",VLOOKUP(C115,SERVIÇOS!$A$6:$D$7645,2,0),IF(A115="INSUMO",VLOOKUP(C115,INSUMOS!$A$6:$D$6961,2,0),IF('036.02-20-CANTEIRO.'!A115="COTAÇÃO",VLOOKUP('036.02-20-CANTEIRO.'!C115,'036-20-Cotação'!$A$9:$G$529,2,0),IF('036.02-20-CANTEIRO.'!A115="CCU",VLOOKUP('036.02-20-CANTEIRO.'!C115,'036-20-CCU''s'!$B$9:$H$1962,2,0)))))</f>
        <v>PREPARO DE FUNDO DE VALA COM LARGURA MENOR QUE 1,5 M, EM LOCAL COM NÍVEL BAIXO DE INTERFERÊNCIA. AF_06/2016</v>
      </c>
      <c r="E115" s="452" t="str">
        <f>IF(A115="SERVIÇO",VLOOKUP(C115,SERVIÇOS!$A$6:$D$7645,3,0),IF(A115="INSUMO",VLOOKUP(C115,INSUMOS!$A$6:$D$6961,3,0),IF('036.02-20-CANTEIRO.'!A115="COTAÇÃO",VLOOKUP('036.02-20-CANTEIRO.'!C115,'036-20-Cotação'!$A$9:$G$529,4,0),IF('036.02-20-CANTEIRO.'!A115="CCU",VLOOKUP('036.02-20-CANTEIRO.'!C115,'036-20-CCU''s'!$B$9:$H$1962,4,0)))))</f>
        <v>M2</v>
      </c>
      <c r="F115" s="453">
        <v>19.799999999999997</v>
      </c>
      <c r="G115" s="534" t="str">
        <f>IF(A115="SERVIÇO",VLOOKUP(C115,SERVIÇOS!$A$6:$D$7645,4,0),IF(A115="INSUMO",VLOOKUP(C115,INSUMOS!$A$6:$D$6961,4,0),IF('036.02-20-CANTEIRO.'!A115="COTAÇÃO",VLOOKUP('036.02-20-CANTEIRO.'!C115,'036-20-Cotação'!$A$9:$G$529,3,0),IF('036.02-20-CANTEIRO.'!A115="CCU",VLOOKUP('036.02-20-CANTEIRO.'!C115,'036-20-CCU''s'!$B$9:$H$1962,7,0)))))</f>
        <v>5,03</v>
      </c>
      <c r="H115" s="528">
        <f>BDI_O.A.E!$H$22</f>
        <v>0.18201100192553743</v>
      </c>
      <c r="I115" s="535">
        <f t="shared" si="13"/>
        <v>117.72120372577196</v>
      </c>
      <c r="K115" s="232">
        <f t="shared" si="11"/>
        <v>117.72120372577196</v>
      </c>
    </row>
    <row r="116" spans="1:11" s="87" customFormat="1" ht="25.5">
      <c r="A116" s="233" t="s">
        <v>4542</v>
      </c>
      <c r="B116" s="324" t="s">
        <v>6544</v>
      </c>
      <c r="C116" s="324">
        <v>93382</v>
      </c>
      <c r="D116" s="451" t="str">
        <f>IF(A116="SERVIÇO",VLOOKUP(C116,SERVIÇOS!$A$6:$D$7645,2,0),IF(A116="INSUMO",VLOOKUP(C116,INSUMOS!$A$6:$D$6961,2,0),IF('036.02-20-CANTEIRO.'!A116="COTAÇÃO",VLOOKUP('036.02-20-CANTEIRO.'!C116,'036-20-Cotação'!$A$9:$G$529,2,0),IF('036.02-20-CANTEIRO.'!A116="CCU",VLOOKUP('036.02-20-CANTEIRO.'!C116,'036-20-CCU''s'!$B$9:$H$1962,2,0)))))</f>
        <v>REATERRO MANUAL DE VALAS COM COMPACTAÇÃO MECANIZADA. AF_04/2016</v>
      </c>
      <c r="E116" s="452" t="str">
        <f>IF(A116="SERVIÇO",VLOOKUP(C116,SERVIÇOS!$A$6:$D$7645,3,0),IF(A116="INSUMO",VLOOKUP(C116,INSUMOS!$A$6:$D$6961,3,0),IF('036.02-20-CANTEIRO.'!A116="COTAÇÃO",VLOOKUP('036.02-20-CANTEIRO.'!C116,'036-20-Cotação'!$A$9:$G$529,4,0),IF('036.02-20-CANTEIRO.'!A116="CCU",VLOOKUP('036.02-20-CANTEIRO.'!C116,'036-20-CCU''s'!$B$9:$H$1962,4,0)))))</f>
        <v>M3</v>
      </c>
      <c r="F116" s="453">
        <v>10.959120653416491</v>
      </c>
      <c r="G116" s="534" t="str">
        <f>IF(A116="SERVIÇO",VLOOKUP(C116,SERVIÇOS!$A$6:$D$7645,4,0),IF(A116="INSUMO",VLOOKUP(C116,INSUMOS!$A$6:$D$6961,4,0),IF('036.02-20-CANTEIRO.'!A116="COTAÇÃO",VLOOKUP('036.02-20-CANTEIRO.'!C116,'036-20-Cotação'!$A$9:$G$529,3,0),IF('036.02-20-CANTEIRO.'!A116="CCU",VLOOKUP('036.02-20-CANTEIRO.'!C116,'036-20-CCU''s'!$B$9:$H$1962,7,0)))))</f>
        <v>23,32</v>
      </c>
      <c r="H116" s="528">
        <f>BDI_O.A.E!$H$22</f>
        <v>0.18201100192553743</v>
      </c>
      <c r="I116" s="535">
        <f t="shared" si="13"/>
        <v>302.08264360546224</v>
      </c>
      <c r="K116" s="232">
        <f t="shared" si="11"/>
        <v>302.08264360546224</v>
      </c>
    </row>
    <row r="117" spans="1:11" s="87" customFormat="1" ht="63.75">
      <c r="A117" s="233" t="s">
        <v>4543</v>
      </c>
      <c r="B117" s="324" t="s">
        <v>6546</v>
      </c>
      <c r="C117" s="324" t="s">
        <v>6275</v>
      </c>
      <c r="D117" s="451" t="str">
        <f>IF(A117="SERVIÇO",VLOOKUP(C117,SERVIÇOS!$A$6:$D$7645,2,0),IF(A117="INSUMO",VLOOKUP(C117,INSUMOS!$A$6:$D$6961,2,0),IF('036.02-20-CANTEIRO.'!A117="COTAÇÃO",VLOOKUP('036.02-20-CANTEIRO.'!C117,'036-20-Cotação'!$A$9:$G$529,2,0),IF('036.02-20-CANTEIRO.'!A117="CCU",VLOOKUP('036.02-20-CANTEIRO.'!C117,'036-20-CCU''s'!$B$9:$H$1962,2,0)))))</f>
        <v xml:space="preserve">FOSSA SEPTICA,SEM FILTRO, PARA 40 A 52 CONTRIBUINTES, CILINDRICA, COM TAMPA, EM POLIETILENO DE ALTA DENSIDADE (PEAD), CAPACIDADE APROXIMADA DE 10000 LITROS - INCLUSO ESCAVAÇÃO(NBR 7229) </v>
      </c>
      <c r="E117" s="452" t="str">
        <f>IF(A117="SERVIÇO",VLOOKUP(C117,SERVIÇOS!$A$6:$D$7645,3,0),IF(A117="INSUMO",VLOOKUP(C117,INSUMOS!$A$6:$D$6961,3,0),IF('036.02-20-CANTEIRO.'!A117="COTAÇÃO",VLOOKUP('036.02-20-CANTEIRO.'!C117,'036-20-Cotação'!$A$9:$G$529,4,0),IF('036.02-20-CANTEIRO.'!A117="CCU",VLOOKUP('036.02-20-CANTEIRO.'!C117,'036-20-CCU''s'!$B$9:$H$1962,4,0)))))</f>
        <v xml:space="preserve">UN </v>
      </c>
      <c r="F117" s="453">
        <v>1</v>
      </c>
      <c r="G117" s="534">
        <f>IF(A117="SERVIÇO",VLOOKUP(C117,SERVIÇOS!$A$6:$D$7645,4,0),IF(A117="INSUMO",VLOOKUP(C117,INSUMOS!$A$6:$D$6961,4,0),IF('036.02-20-CANTEIRO.'!A117="COTAÇÃO",VLOOKUP('036.02-20-CANTEIRO.'!C117,'036-20-Cotação'!$A$9:$G$529,3,0),IF('036.02-20-CANTEIRO.'!A117="CCU",VLOOKUP('036.02-20-CANTEIRO.'!C117,'036-20-CCU''s'!$B$9:$H$1962,7,0)))))</f>
        <v>20019.859899999999</v>
      </c>
      <c r="H117" s="528">
        <f>BDI_O.A.E!$H$22</f>
        <v>0.18201100192553743</v>
      </c>
      <c r="I117" s="535">
        <f t="shared" si="13"/>
        <v>23663.69465880789</v>
      </c>
      <c r="K117" s="232">
        <f t="shared" si="11"/>
        <v>23663.69465880789</v>
      </c>
    </row>
    <row r="118" spans="1:11" s="87" customFormat="1">
      <c r="A118" s="233"/>
      <c r="B118" s="324"/>
      <c r="C118" s="324"/>
      <c r="D118" s="455"/>
      <c r="E118" s="456"/>
      <c r="F118" s="457"/>
      <c r="G118" s="458"/>
      <c r="H118" s="459"/>
      <c r="I118" s="460"/>
      <c r="K118" s="232">
        <f t="shared" si="11"/>
        <v>0</v>
      </c>
    </row>
    <row r="119" spans="1:11" s="223" customFormat="1">
      <c r="A119" s="233"/>
      <c r="B119" s="224" t="s">
        <v>6547</v>
      </c>
      <c r="C119" s="224"/>
      <c r="D119" s="229" t="s">
        <v>6548</v>
      </c>
      <c r="E119" s="230"/>
      <c r="F119" s="230"/>
      <c r="G119" s="230"/>
      <c r="H119" s="342"/>
      <c r="I119" s="231"/>
      <c r="K119" s="232">
        <f t="shared" si="11"/>
        <v>0</v>
      </c>
    </row>
    <row r="120" spans="1:11" s="223" customFormat="1">
      <c r="A120" s="233"/>
      <c r="B120" s="224" t="s">
        <v>6555</v>
      </c>
      <c r="C120" s="224" t="s">
        <v>6348</v>
      </c>
      <c r="D120" s="229" t="s">
        <v>6569</v>
      </c>
      <c r="E120" s="230"/>
      <c r="F120" s="230"/>
      <c r="G120" s="230"/>
      <c r="H120" s="342"/>
      <c r="I120" s="231"/>
      <c r="K120" s="232">
        <f t="shared" si="11"/>
        <v>0</v>
      </c>
    </row>
    <row r="121" spans="1:11" s="223" customFormat="1">
      <c r="A121" s="233"/>
      <c r="B121" s="224" t="s">
        <v>6556</v>
      </c>
      <c r="C121" s="224" t="s">
        <v>6348</v>
      </c>
      <c r="D121" s="229" t="s">
        <v>6568</v>
      </c>
      <c r="E121" s="230"/>
      <c r="F121" s="230"/>
      <c r="G121" s="230"/>
      <c r="H121" s="342"/>
      <c r="I121" s="231"/>
      <c r="K121" s="232">
        <f t="shared" si="11"/>
        <v>0</v>
      </c>
    </row>
    <row r="122" spans="1:11" s="223" customFormat="1" ht="51">
      <c r="A122" s="233" t="s">
        <v>4543</v>
      </c>
      <c r="B122" s="454" t="s">
        <v>6557</v>
      </c>
      <c r="C122" s="324">
        <v>5501700</v>
      </c>
      <c r="D122" s="451" t="str">
        <f>IF(A122="SERVIÇO",VLOOKUP(C122,SERVIÇOS!$A$6:$D$7645,2,0),IF(A122="INSUMO",VLOOKUP(C122,INSUMOS!$A$6:$D$6961,2,0),IF('036.02-20-CANTEIRO.'!A122="COTAÇÃO",VLOOKUP('036.02-20-CANTEIRO.'!C122,'036-20-Cotação'!$A$9:$G$529,2,0),IF('036.02-20-CANTEIRO.'!A122="CCU",VLOOKUP('036.02-20-CANTEIRO.'!C122,'036-20-CCU''s'!$B$9:$H$1962,2,0)))))</f>
        <v>DESMATAMENTO, DESTOCAMENTO, LIMPEZA DE ÁREA E ESTOCAGEM DO MATERIAL DE LIMPEZA COM ÁRVORES DE DIÂMETRO ATÉ 0,15 M</v>
      </c>
      <c r="E122" s="452" t="str">
        <f>IF(A122="SERVIÇO",VLOOKUP(C122,SERVIÇOS!$A$6:$D$7645,3,0),IF(A122="INSUMO",VLOOKUP(C122,INSUMOS!$A$6:$D$6961,3,0),IF('036.02-20-CANTEIRO.'!A122="COTAÇÃO",VLOOKUP('036.02-20-CANTEIRO.'!C122,'036-20-Cotação'!$A$9:$G$529,4,0),IF('036.02-20-CANTEIRO.'!A122="CCU",VLOOKUP('036.02-20-CANTEIRO.'!C122,'036-20-CCU''s'!$B$9:$H$1962,4,0)))))</f>
        <v>M2</v>
      </c>
      <c r="F122" s="453">
        <v>8017</v>
      </c>
      <c r="G122" s="534">
        <f>IF(A122="SERVIÇO",VLOOKUP(C122,SERVIÇOS!$A$6:$D$7645,4,0),IF(A122="INSUMO",VLOOKUP(C122,INSUMOS!$A$6:$D$6961,4,0),IF('036.02-20-CANTEIRO.'!A122="COTAÇÃO",VLOOKUP('036.02-20-CANTEIRO.'!C122,'036-20-Cotação'!$A$9:$G$529,3,0),IF('036.02-20-CANTEIRO.'!A122="CCU",VLOOKUP('036.02-20-CANTEIRO.'!C122,'036-20-CCU''s'!$B$9:$H$1962,7,0)))))</f>
        <v>0.36745057415870386</v>
      </c>
      <c r="H122" s="528">
        <f>BDI_O.A.E!$H$22</f>
        <v>0.18201100192553743</v>
      </c>
      <c r="I122" s="535">
        <f t="shared" ref="I122" si="14">F122*(G122*(1+H122))</f>
        <v>3482.028591117979</v>
      </c>
      <c r="K122" s="232">
        <f t="shared" si="11"/>
        <v>3482.028591117979</v>
      </c>
    </row>
    <row r="123" spans="1:11" s="223" customFormat="1">
      <c r="A123" s="233"/>
      <c r="B123" s="224" t="s">
        <v>6558</v>
      </c>
      <c r="C123" s="224" t="s">
        <v>6348</v>
      </c>
      <c r="D123" s="229" t="s">
        <v>6570</v>
      </c>
      <c r="E123" s="230"/>
      <c r="F123" s="230"/>
      <c r="G123" s="230"/>
      <c r="H123" s="342"/>
      <c r="I123" s="231"/>
      <c r="K123" s="232">
        <f t="shared" si="11"/>
        <v>0</v>
      </c>
    </row>
    <row r="124" spans="1:11" s="223" customFormat="1" ht="63.75">
      <c r="A124" s="233" t="s">
        <v>4543</v>
      </c>
      <c r="B124" s="454" t="s">
        <v>6559</v>
      </c>
      <c r="C124" s="324">
        <v>5502110</v>
      </c>
      <c r="D124" s="451" t="str">
        <f>IF(A124="SERVIÇO",VLOOKUP(C124,SERVIÇOS!$A$6:$D$7645,2,0),IF(A124="INSUMO",VLOOKUP(C124,INSUMOS!$A$6:$D$6961,2,0),IF('036.02-20-CANTEIRO.'!A124="COTAÇÃO",VLOOKUP('036.02-20-CANTEIRO.'!C124,'036-20-Cotação'!$A$9:$G$529,2,0),IF('036.02-20-CANTEIRO.'!A124="CCU",VLOOKUP('036.02-20-CANTEIRO.'!C124,'036-20-CCU''s'!$B$9:$H$1962,2,0)))))</f>
        <v>ESCAVAÇÃO, CARGA E TRANSPORTE DE MATERIAL DE 1ª CATEGORIA - DMT DE 200 A 400 M - CAMINHO DE SERVIÇO EM LEITO NATURAL - COM ESCAVADEIRA E CAMINHÃO BASCULANTE DE 14 M³</v>
      </c>
      <c r="E124" s="452" t="str">
        <f>IF(A124="SERVIÇO",VLOOKUP(C124,SERVIÇOS!$A$6:$D$7645,3,0),IF(A124="INSUMO",VLOOKUP(C124,INSUMOS!$A$6:$D$6961,3,0),IF('036.02-20-CANTEIRO.'!A124="COTAÇÃO",VLOOKUP('036.02-20-CANTEIRO.'!C124,'036-20-Cotação'!$A$9:$G$529,4,0),IF('036.02-20-CANTEIRO.'!A124="CCU",VLOOKUP('036.02-20-CANTEIRO.'!C124,'036-20-CCU''s'!$B$9:$H$1962,4,0)))))</f>
        <v>M3</v>
      </c>
      <c r="F124" s="453">
        <v>497.56</v>
      </c>
      <c r="G124" s="534">
        <f>IF(A124="SERVIÇO",VLOOKUP(C124,SERVIÇOS!$A$6:$D$7645,4,0),IF(A124="INSUMO",VLOOKUP(C124,INSUMOS!$A$6:$D$6961,4,0),IF('036.02-20-CANTEIRO.'!A124="COTAÇÃO",VLOOKUP('036.02-20-CANTEIRO.'!C124,'036-20-Cotação'!$A$9:$G$529,3,0),IF('036.02-20-CANTEIRO.'!A124="CCU",VLOOKUP('036.02-20-CANTEIRO.'!C124,'036-20-CCU''s'!$B$9:$H$1962,7,0)))))</f>
        <v>3.5883361223150949</v>
      </c>
      <c r="H124" s="528">
        <f>BDI_O.A.E!$H$22</f>
        <v>0.18201100192553743</v>
      </c>
      <c r="I124" s="535">
        <f t="shared" ref="I124:I126" si="15">F124*(G124*(1+H124))</f>
        <v>2110.3772428201846</v>
      </c>
      <c r="K124" s="232">
        <f t="shared" si="11"/>
        <v>2110.3772428201846</v>
      </c>
    </row>
    <row r="125" spans="1:11" s="223" customFormat="1">
      <c r="A125" s="233" t="s">
        <v>4543</v>
      </c>
      <c r="B125" s="454" t="s">
        <v>6560</v>
      </c>
      <c r="C125" s="324">
        <v>4011209</v>
      </c>
      <c r="D125" s="451" t="str">
        <f>IF(A125="SERVIÇO",VLOOKUP(C125,SERVIÇOS!$A$6:$D$7645,2,0),IF(A125="INSUMO",VLOOKUP(C125,INSUMOS!$A$6:$D$6961,2,0),IF('036.02-20-CANTEIRO.'!A125="COTAÇÃO",VLOOKUP('036.02-20-CANTEIRO.'!C125,'036-20-Cotação'!$A$9:$G$529,2,0),IF('036.02-20-CANTEIRO.'!A125="CCU",VLOOKUP('036.02-20-CANTEIRO.'!C125,'036-20-CCU''s'!$B$9:$H$1962,2,0)))))</f>
        <v>REGULARIZAÇÃO DO SUBLEITO</v>
      </c>
      <c r="E125" s="452" t="str">
        <f>IF(A125="SERVIÇO",VLOOKUP(C125,SERVIÇOS!$A$6:$D$7645,3,0),IF(A125="INSUMO",VLOOKUP(C125,INSUMOS!$A$6:$D$6961,3,0),IF('036.02-20-CANTEIRO.'!A125="COTAÇÃO",VLOOKUP('036.02-20-CANTEIRO.'!C125,'036-20-Cotação'!$A$9:$G$529,4,0),IF('036.02-20-CANTEIRO.'!A125="CCU",VLOOKUP('036.02-20-CANTEIRO.'!C125,'036-20-CCU''s'!$B$9:$H$1962,4,0)))))</f>
        <v>M2</v>
      </c>
      <c r="F125" s="537">
        <v>4487.82</v>
      </c>
      <c r="G125" s="534">
        <f>IF(A125="SERVIÇO",VLOOKUP(C125,SERVIÇOS!$A$6:$D$7645,4,0),IF(A125="INSUMO",VLOOKUP(C125,INSUMOS!$A$6:$D$6961,4,0),IF('036.02-20-CANTEIRO.'!A125="COTAÇÃO",VLOOKUP('036.02-20-CANTEIRO.'!C125,'036-20-Cotação'!$A$9:$G$529,3,0),IF('036.02-20-CANTEIRO.'!A125="CCU",VLOOKUP('036.02-20-CANTEIRO.'!C125,'036-20-CCU''s'!$B$9:$H$1962,7,0)))))</f>
        <v>0.7584802254706301</v>
      </c>
      <c r="H125" s="528">
        <f>BDI_O.A.E!$H$22</f>
        <v>0.18201100192553743</v>
      </c>
      <c r="I125" s="535">
        <f t="shared" si="15"/>
        <v>4023.4741112117954</v>
      </c>
      <c r="K125" s="232">
        <f t="shared" si="11"/>
        <v>4023.4741112117954</v>
      </c>
    </row>
    <row r="126" spans="1:11" s="223" customFormat="1" ht="25.5">
      <c r="A126" s="233" t="s">
        <v>4543</v>
      </c>
      <c r="B126" s="454" t="s">
        <v>6561</v>
      </c>
      <c r="C126" s="324">
        <v>903845</v>
      </c>
      <c r="D126" s="451" t="str">
        <f>IF(A126="SERVIÇO",VLOOKUP(C126,SERVIÇOS!$A$6:$D$7645,2,0),IF(A126="INSUMO",VLOOKUP(C126,INSUMOS!$A$6:$D$6961,2,0),IF('036.02-20-CANTEIRO.'!A126="COTAÇÃO",VLOOKUP('036.02-20-CANTEIRO.'!C126,'036-20-Cotação'!$A$9:$G$529,2,0),IF('036.02-20-CANTEIRO.'!A126="CCU",VLOOKUP('036.02-20-CANTEIRO.'!C126,'036-20-CCU''s'!$B$9:$H$1962,2,0)))))</f>
        <v>LASTRO DE BRITA COMERCIAL - ESPALHAMENTO MECÂNICO</v>
      </c>
      <c r="E126" s="452" t="str">
        <f>IF(A126="SERVIÇO",VLOOKUP(C126,SERVIÇOS!$A$6:$D$7645,3,0),IF(A126="INSUMO",VLOOKUP(C126,INSUMOS!$A$6:$D$6961,3,0),IF('036.02-20-CANTEIRO.'!A126="COTAÇÃO",VLOOKUP('036.02-20-CANTEIRO.'!C126,'036-20-Cotação'!$A$9:$G$529,4,0),IF('036.02-20-CANTEIRO.'!A126="CCU",VLOOKUP('036.02-20-CANTEIRO.'!C126,'036-20-CCU''s'!$B$9:$H$1962,4,0)))))</f>
        <v>M3</v>
      </c>
      <c r="F126" s="537">
        <v>497.56</v>
      </c>
      <c r="G126" s="534">
        <f>IF(A126="SERVIÇO",VLOOKUP(C126,SERVIÇOS!$A$6:$D$7645,4,0),IF(A126="INSUMO",VLOOKUP(C126,INSUMOS!$A$6:$D$6961,4,0),IF('036.02-20-CANTEIRO.'!A126="COTAÇÃO",VLOOKUP('036.02-20-CANTEIRO.'!C126,'036-20-Cotação'!$A$9:$G$529,3,0),IF('036.02-20-CANTEIRO.'!A126="CCU",VLOOKUP('036.02-20-CANTEIRO.'!C126,'036-20-CCU''s'!$B$9:$H$1962,7,0)))))</f>
        <v>94.182909849157895</v>
      </c>
      <c r="H126" s="528">
        <f>BDI_O.A.E!$H$22</f>
        <v>0.18201100192553743</v>
      </c>
      <c r="I126" s="535">
        <f t="shared" si="15"/>
        <v>55390.98424258329</v>
      </c>
      <c r="K126" s="232">
        <f t="shared" si="11"/>
        <v>55390.98424258329</v>
      </c>
    </row>
    <row r="127" spans="1:11" s="223" customFormat="1" ht="51">
      <c r="A127" s="233" t="s">
        <v>4543</v>
      </c>
      <c r="B127" s="454" t="s">
        <v>6562</v>
      </c>
      <c r="C127" s="324">
        <v>2003949</v>
      </c>
      <c r="D127" s="451" t="str">
        <f>IF(A127="SERVIÇO",VLOOKUP(C127,SERVIÇOS!$A$6:$D$7645,2,0),IF(A127="INSUMO",VLOOKUP(C127,INSUMOS!$A$6:$D$6961,2,0),IF('036.02-20-CANTEIRO.'!A127="COTAÇÃO",VLOOKUP('036.02-20-CANTEIRO.'!C127,'036-20-Cotação'!$A$9:$G$529,2,0),IF('036.02-20-CANTEIRO.'!A127="CCU",VLOOKUP('036.02-20-CANTEIRO.'!C127,'036-20-CCU''s'!$B$9:$H$1962,2,0)))))</f>
        <v>MEIO FIO DE CONCRETO - MFC 06 MOLDADO NO LOCAL COM EXTRUSORA E CONCRETO USINADO - AREIA E BRITA COMERCIAIS M 10,41</v>
      </c>
      <c r="E127" s="452" t="str">
        <f>IF(A127="SERVIÇO",VLOOKUP(C127,SERVIÇOS!$A$6:$D$7645,3,0),IF(A127="INSUMO",VLOOKUP(C127,INSUMOS!$A$6:$D$6961,3,0),IF('036.02-20-CANTEIRO.'!A127="COTAÇÃO",VLOOKUP('036.02-20-CANTEIRO.'!C127,'036-20-Cotação'!$A$9:$G$529,4,0),IF('036.02-20-CANTEIRO.'!A127="CCU",VLOOKUP('036.02-20-CANTEIRO.'!C127,'036-20-CCU''s'!$B$9:$H$1962,4,0)))))</f>
        <v>M2</v>
      </c>
      <c r="F127" s="537">
        <v>476.18</v>
      </c>
      <c r="G127" s="534">
        <f>IF(A127="SERVIÇO",VLOOKUP(C127,SERVIÇOS!$A$6:$D$7645,4,0),IF(A127="INSUMO",VLOOKUP(C127,INSUMOS!$A$6:$D$6961,4,0),IF('036.02-20-CANTEIRO.'!A127="COTAÇÃO",VLOOKUP('036.02-20-CANTEIRO.'!C127,'036-20-Cotação'!$A$9:$G$529,3,0),IF('036.02-20-CANTEIRO.'!A127="CCU",VLOOKUP('036.02-20-CANTEIRO.'!C127,'036-20-CCU''s'!$B$9:$H$1962,7,0)))))</f>
        <v>10.856565612476629</v>
      </c>
      <c r="H127" s="528">
        <f>BDI_O.A.E!$H$22</f>
        <v>0.18201100192553743</v>
      </c>
      <c r="I127" s="535">
        <f t="shared" ref="I127" si="16">F127*(G127*(1+H127))</f>
        <v>6110.6179430066195</v>
      </c>
      <c r="K127" s="232">
        <f t="shared" si="11"/>
        <v>6110.6179430066195</v>
      </c>
    </row>
    <row r="128" spans="1:11" s="223" customFormat="1">
      <c r="A128" s="233"/>
      <c r="B128" s="224" t="s">
        <v>6563</v>
      </c>
      <c r="C128" s="224" t="s">
        <v>6348</v>
      </c>
      <c r="D128" s="229" t="s">
        <v>6571</v>
      </c>
      <c r="E128" s="230"/>
      <c r="F128" s="230"/>
      <c r="G128" s="230"/>
      <c r="H128" s="342"/>
      <c r="I128" s="231"/>
      <c r="K128" s="232">
        <f t="shared" si="11"/>
        <v>0</v>
      </c>
    </row>
    <row r="129" spans="1:11" s="223" customFormat="1" ht="63.75">
      <c r="A129" s="233" t="s">
        <v>4542</v>
      </c>
      <c r="B129" s="454" t="s">
        <v>27004</v>
      </c>
      <c r="C129" s="324">
        <v>94993</v>
      </c>
      <c r="D129" s="451" t="str">
        <f>IF(A129="SERVIÇO",VLOOKUP(C129,SERVIÇOS!$A$6:$D$7645,2,0),IF(A129="INSUMO",VLOOKUP(C129,INSUMOS!$A$6:$D$6961,2,0),IF('036.02-20-CANTEIRO.'!A129="COTAÇÃO",VLOOKUP('036.02-20-CANTEIRO.'!C129,'036-20-Cotação'!$A$9:$G$529,2,0),IF('036.02-20-CANTEIRO.'!A129="CCU",VLOOKUP('036.02-20-CANTEIRO.'!C129,'036-20-CCU''s'!$B$9:$H$1962,2,0)))))</f>
        <v>EXECUÇÃO DE PASSEIO (CALÇADA) OU PISO DE CONCRETO COM CONCRETO MOLDADO IN LOCO, USINADO, ACABAMENTO CONVENCIONAL, ESPESSURA 6 CM, ARMADO. AF_07/2016</v>
      </c>
      <c r="E129" s="452" t="str">
        <f>IF(A129="SERVIÇO",VLOOKUP(C129,SERVIÇOS!$A$6:$D$7645,3,0),IF(A129="INSUMO",VLOOKUP(C129,INSUMOS!$A$6:$D$6961,3,0),IF('036.02-20-CANTEIRO.'!A129="COTAÇÃO",VLOOKUP('036.02-20-CANTEIRO.'!C129,'036-20-Cotação'!$A$9:$G$529,4,0),IF('036.02-20-CANTEIRO.'!A129="CCU",VLOOKUP('036.02-20-CANTEIRO.'!C129,'036-20-CCU''s'!$B$9:$H$1962,4,0)))))</f>
        <v>M2</v>
      </c>
      <c r="F129" s="537">
        <v>244.06</v>
      </c>
      <c r="G129" s="534" t="str">
        <f>IF(A129="SERVIÇO",VLOOKUP(C129,SERVIÇOS!$A$6:$D$7645,4,0),IF(A129="INSUMO",VLOOKUP(C129,INSUMOS!$A$6:$D$6961,4,0),IF('036.02-20-CANTEIRO.'!A129="COTAÇÃO",VLOOKUP('036.02-20-CANTEIRO.'!C129,'036-20-Cotação'!$A$9:$G$529,3,0),IF('036.02-20-CANTEIRO.'!A129="CCU",VLOOKUP('036.02-20-CANTEIRO.'!C129,'036-20-CCU''s'!$B$9:$H$1962,7,0)))))</f>
        <v>49,86</v>
      </c>
      <c r="H129" s="528">
        <f>BDI_O.A.E!$H$22</f>
        <v>0.18201100192553743</v>
      </c>
      <c r="I129" s="535">
        <f t="shared" ref="I129" si="17">F129*(G129*(1+H129))</f>
        <v>14383.692831779141</v>
      </c>
      <c r="K129" s="232">
        <f t="shared" si="11"/>
        <v>14383.692831779141</v>
      </c>
    </row>
    <row r="130" spans="1:11" s="223" customFormat="1">
      <c r="A130" s="233"/>
      <c r="B130" s="224" t="s">
        <v>6564</v>
      </c>
      <c r="C130" s="224" t="s">
        <v>6348</v>
      </c>
      <c r="D130" s="229" t="s">
        <v>6572</v>
      </c>
      <c r="E130" s="230"/>
      <c r="F130" s="230"/>
      <c r="G130" s="230"/>
      <c r="H130" s="342"/>
      <c r="I130" s="231"/>
      <c r="K130" s="232">
        <f t="shared" si="11"/>
        <v>0</v>
      </c>
    </row>
    <row r="131" spans="1:11" s="223" customFormat="1" ht="63.75">
      <c r="A131" s="233" t="s">
        <v>4543</v>
      </c>
      <c r="B131" s="454" t="s">
        <v>6565</v>
      </c>
      <c r="C131" s="324">
        <v>5502110</v>
      </c>
      <c r="D131" s="451" t="str">
        <f>IF(A131="SERVIÇO",VLOOKUP(C131,SERVIÇOS!$A$6:$D$7645,2,0),IF(A131="INSUMO",VLOOKUP(C131,INSUMOS!$A$6:$D$6961,2,0),IF('036.02-20-CANTEIRO.'!A131="COTAÇÃO",VLOOKUP('036.02-20-CANTEIRO.'!C131,'036-20-Cotação'!$A$9:$G$529,2,0),IF('036.02-20-CANTEIRO.'!A131="CCU",VLOOKUP('036.02-20-CANTEIRO.'!C131,'036-20-CCU''s'!$B$9:$H$1962,2,0)))))</f>
        <v>ESCAVAÇÃO, CARGA E TRANSPORTE DE MATERIAL DE 1ª CATEGORIA - DMT DE 200 A 400 M - CAMINHO DE SERVIÇO EM LEITO NATURAL - COM ESCAVADEIRA E CAMINHÃO BASCULANTE DE 14 M³</v>
      </c>
      <c r="E131" s="452" t="str">
        <f>IF(A131="SERVIÇO",VLOOKUP(C131,SERVIÇOS!$A$6:$D$7645,3,0),IF(A131="INSUMO",VLOOKUP(C131,INSUMOS!$A$6:$D$6961,3,0),IF('036.02-20-CANTEIRO.'!A131="COTAÇÃO",VLOOKUP('036.02-20-CANTEIRO.'!C131,'036-20-Cotação'!$A$9:$G$529,4,0),IF('036.02-20-CANTEIRO.'!A131="CCU",VLOOKUP('036.02-20-CANTEIRO.'!C131,'036-20-CCU''s'!$B$9:$H$1962,4,0)))))</f>
        <v>M3</v>
      </c>
      <c r="F131" s="453">
        <v>14</v>
      </c>
      <c r="G131" s="534">
        <f>IF(A131="SERVIÇO",VLOOKUP(C131,SERVIÇOS!$A$6:$D$7645,4,0),IF(A131="INSUMO",VLOOKUP(C131,INSUMOS!$A$6:$D$6961,4,0),IF('036.02-20-CANTEIRO.'!A131="COTAÇÃO",VLOOKUP('036.02-20-CANTEIRO.'!C131,'036-20-Cotação'!$A$9:$G$529,3,0),IF('036.02-20-CANTEIRO.'!A131="CCU",VLOOKUP('036.02-20-CANTEIRO.'!C131,'036-20-CCU''s'!$B$9:$H$1962,7,0)))))</f>
        <v>3.5883361223150949</v>
      </c>
      <c r="H131" s="528">
        <f>BDI_O.A.E!$H$22</f>
        <v>0.18201100192553743</v>
      </c>
      <c r="I131" s="535">
        <f t="shared" ref="I131:I132" si="18">F131*(G131*(1+H131))</f>
        <v>59.380338852565686</v>
      </c>
      <c r="K131" s="232">
        <f t="shared" si="11"/>
        <v>59.380338852565686</v>
      </c>
    </row>
    <row r="132" spans="1:11" s="223" customFormat="1">
      <c r="A132" s="233" t="s">
        <v>4543</v>
      </c>
      <c r="B132" s="454" t="s">
        <v>6566</v>
      </c>
      <c r="C132" s="324">
        <v>4011209</v>
      </c>
      <c r="D132" s="451" t="str">
        <f>IF(A132="SERVIÇO",VLOOKUP(C132,SERVIÇOS!$A$6:$D$7645,2,0),IF(A132="INSUMO",VLOOKUP(C132,INSUMOS!$A$6:$D$6961,2,0),IF('036.02-20-CANTEIRO.'!A132="COTAÇÃO",VLOOKUP('036.02-20-CANTEIRO.'!C132,'036-20-Cotação'!$A$9:$G$529,2,0),IF('036.02-20-CANTEIRO.'!A132="CCU",VLOOKUP('036.02-20-CANTEIRO.'!C132,'036-20-CCU''s'!$B$9:$H$1962,2,0)))))</f>
        <v>REGULARIZAÇÃO DO SUBLEITO</v>
      </c>
      <c r="E132" s="452" t="str">
        <f>IF(A132="SERVIÇO",VLOOKUP(C132,SERVIÇOS!$A$6:$D$7645,3,0),IF(A132="INSUMO",VLOOKUP(C132,INSUMOS!$A$6:$D$6961,3,0),IF('036.02-20-CANTEIRO.'!A132="COTAÇÃO",VLOOKUP('036.02-20-CANTEIRO.'!C132,'036-20-Cotação'!$A$9:$G$529,4,0),IF('036.02-20-CANTEIRO.'!A132="CCU",VLOOKUP('036.02-20-CANTEIRO.'!C132,'036-20-CCU''s'!$B$9:$H$1962,4,0)))))</f>
        <v>M2</v>
      </c>
      <c r="F132" s="537">
        <v>70</v>
      </c>
      <c r="G132" s="534">
        <f>IF(A132="SERVIÇO",VLOOKUP(C132,SERVIÇOS!$A$6:$D$7645,4,0),IF(A132="INSUMO",VLOOKUP(C132,INSUMOS!$A$6:$D$6961,4,0),IF('036.02-20-CANTEIRO.'!A132="COTAÇÃO",VLOOKUP('036.02-20-CANTEIRO.'!C132,'036-20-Cotação'!$A$9:$G$529,3,0),IF('036.02-20-CANTEIRO.'!A132="CCU",VLOOKUP('036.02-20-CANTEIRO.'!C132,'036-20-CCU''s'!$B$9:$H$1962,7,0)))))</f>
        <v>0.7584802254706301</v>
      </c>
      <c r="H132" s="528">
        <f>BDI_O.A.E!$H$22</f>
        <v>0.18201100192553743</v>
      </c>
      <c r="I132" s="535">
        <f t="shared" si="18"/>
        <v>62.75723798744729</v>
      </c>
      <c r="K132" s="232">
        <f t="shared" si="11"/>
        <v>62.75723798744729</v>
      </c>
    </row>
    <row r="133" spans="1:11" s="223" customFormat="1" ht="63.75">
      <c r="A133" s="233" t="s">
        <v>4543</v>
      </c>
      <c r="B133" s="454" t="s">
        <v>6567</v>
      </c>
      <c r="C133" s="324">
        <v>4011529</v>
      </c>
      <c r="D133" s="451" t="str">
        <f>IF(A133="SERVIÇO",VLOOKUP(C133,SERVIÇOS!$A$6:$D$7645,2,0),IF(A133="INSUMO",VLOOKUP(C133,INSUMOS!$A$6:$D$6961,2,0),IF('036.02-20-CANTEIRO.'!A133="COTAÇÃO",VLOOKUP('036.02-20-CANTEIRO.'!C133,'036-20-Cotação'!$A$9:$G$529,2,0),IF('036.02-20-CANTEIRO.'!A133="CCU",VLOOKUP('036.02-20-CANTEIRO.'!C133,'036-20-CCU''s'!$B$9:$H$1962,2,0)))))</f>
        <v>PAVIMENTO DE CONCRETO COM EQUIPAMENTO DE PEQUENO PORTE, ESPESSURA DE 0,20 M, COM AGENTE DE CURA E COM TELA SOLDADA - CONCRETO USINADO - AREIA E BRITA COMERCIAIS</v>
      </c>
      <c r="E133" s="452" t="str">
        <f>IF(A133="SERVIÇO",VLOOKUP(C133,SERVIÇOS!$A$6:$D$7645,3,0),IF(A133="INSUMO",VLOOKUP(C133,INSUMOS!$A$6:$D$6961,3,0),IF('036.02-20-CANTEIRO.'!A133="COTAÇÃO",VLOOKUP('036.02-20-CANTEIRO.'!C133,'036-20-Cotação'!$A$9:$G$529,4,0),IF('036.02-20-CANTEIRO.'!A133="CCU",VLOOKUP('036.02-20-CANTEIRO.'!C133,'036-20-CCU''s'!$B$9:$H$1962,4,0)))))</f>
        <v>M2</v>
      </c>
      <c r="F133" s="537">
        <v>70</v>
      </c>
      <c r="G133" s="534">
        <f>IF(A133="SERVIÇO",VLOOKUP(C133,SERVIÇOS!$A$6:$D$7645,4,0),IF(A133="INSUMO",VLOOKUP(C133,INSUMOS!$A$6:$D$6961,4,0),IF('036.02-20-CANTEIRO.'!A133="COTAÇÃO",VLOOKUP('036.02-20-CANTEIRO.'!C133,'036-20-Cotação'!$A$9:$G$529,3,0),IF('036.02-20-CANTEIRO.'!A133="CCU",VLOOKUP('036.02-20-CANTEIRO.'!C133,'036-20-CCU''s'!$B$9:$H$1962,7,0)))))</f>
        <v>111.21663861310391</v>
      </c>
      <c r="H133" s="528">
        <f>BDI_O.A.E!$H$22</f>
        <v>0.18201100192553743</v>
      </c>
      <c r="I133" s="535">
        <f t="shared" ref="I133" si="19">F133*(G133*(1+H133))</f>
        <v>9202.1503306505765</v>
      </c>
      <c r="K133" s="232">
        <f t="shared" si="11"/>
        <v>9202.1503306505765</v>
      </c>
    </row>
    <row r="134" spans="1:11" s="223" customFormat="1">
      <c r="A134" s="233"/>
      <c r="B134" s="224" t="s">
        <v>6573</v>
      </c>
      <c r="C134" s="224" t="s">
        <v>6348</v>
      </c>
      <c r="D134" s="229" t="s">
        <v>6574</v>
      </c>
      <c r="E134" s="230"/>
      <c r="F134" s="230"/>
      <c r="G134" s="230"/>
      <c r="H134" s="342"/>
      <c r="I134" s="231"/>
      <c r="K134" s="232">
        <f t="shared" si="11"/>
        <v>0</v>
      </c>
    </row>
    <row r="135" spans="1:11" s="223" customFormat="1" ht="63.75">
      <c r="A135" s="233" t="s">
        <v>4543</v>
      </c>
      <c r="B135" s="454" t="s">
        <v>6576</v>
      </c>
      <c r="C135" s="324">
        <v>5502110</v>
      </c>
      <c r="D135" s="451" t="str">
        <f>IF(A135="SERVIÇO",VLOOKUP(C135,SERVIÇOS!$A$6:$D$7645,2,0),IF(A135="INSUMO",VLOOKUP(C135,INSUMOS!$A$6:$D$6961,2,0),IF('036.02-20-CANTEIRO.'!A135="COTAÇÃO",VLOOKUP('036.02-20-CANTEIRO.'!C135,'036-20-Cotação'!$A$9:$G$529,2,0),IF('036.02-20-CANTEIRO.'!A135="CCU",VLOOKUP('036.02-20-CANTEIRO.'!C135,'036-20-CCU''s'!$B$9:$H$1962,2,0)))))</f>
        <v>ESCAVAÇÃO, CARGA E TRANSPORTE DE MATERIAL DE 1ª CATEGORIA - DMT DE 200 A 400 M - CAMINHO DE SERVIÇO EM LEITO NATURAL - COM ESCAVADEIRA E CAMINHÃO BASCULANTE DE 14 M³</v>
      </c>
      <c r="E135" s="452" t="str">
        <f>IF(A135="SERVIÇO",VLOOKUP(C135,SERVIÇOS!$A$6:$D$7645,3,0),IF(A135="INSUMO",VLOOKUP(C135,INSUMOS!$A$6:$D$6961,3,0),IF('036.02-20-CANTEIRO.'!A135="COTAÇÃO",VLOOKUP('036.02-20-CANTEIRO.'!C135,'036-20-Cotação'!$A$9:$G$529,4,0),IF('036.02-20-CANTEIRO.'!A135="CCU",VLOOKUP('036.02-20-CANTEIRO.'!C135,'036-20-CCU''s'!$B$9:$H$1962,4,0)))))</f>
        <v>M3</v>
      </c>
      <c r="F135" s="453">
        <v>709.4</v>
      </c>
      <c r="G135" s="534">
        <f>IF(A135="SERVIÇO",VLOOKUP(C135,SERVIÇOS!$A$6:$D$7645,4,0),IF(A135="INSUMO",VLOOKUP(C135,INSUMOS!$A$6:$D$6961,4,0),IF('036.02-20-CANTEIRO.'!A135="COTAÇÃO",VLOOKUP('036.02-20-CANTEIRO.'!C135,'036-20-Cotação'!$A$9:$G$529,3,0),IF('036.02-20-CANTEIRO.'!A135="CCU",VLOOKUP('036.02-20-CANTEIRO.'!C135,'036-20-CCU''s'!$B$9:$H$1962,7,0)))))</f>
        <v>3.5883361223150949</v>
      </c>
      <c r="H135" s="528">
        <f>BDI_O.A.E!$H$22</f>
        <v>0.18201100192553743</v>
      </c>
      <c r="I135" s="535">
        <f t="shared" ref="I135:I138" si="20">F135*(G135*(1+H135))</f>
        <v>3008.8865987150066</v>
      </c>
      <c r="K135" s="232">
        <f t="shared" si="11"/>
        <v>3008.8865987150066</v>
      </c>
    </row>
    <row r="136" spans="1:11" s="223" customFormat="1">
      <c r="A136" s="233" t="s">
        <v>4543</v>
      </c>
      <c r="B136" s="454" t="s">
        <v>6577</v>
      </c>
      <c r="C136" s="324">
        <v>4011209</v>
      </c>
      <c r="D136" s="451" t="str">
        <f>IF(A136="SERVIÇO",VLOOKUP(C136,SERVIÇOS!$A$6:$D$7645,2,0),IF(A136="INSUMO",VLOOKUP(C136,INSUMOS!$A$6:$D$6961,2,0),IF('036.02-20-CANTEIRO.'!A136="COTAÇÃO",VLOOKUP('036.02-20-CANTEIRO.'!C136,'036-20-Cotação'!$A$9:$G$529,2,0),IF('036.02-20-CANTEIRO.'!A136="CCU",VLOOKUP('036.02-20-CANTEIRO.'!C136,'036-20-CCU''s'!$B$9:$H$1962,2,0)))))</f>
        <v>REGULARIZAÇÃO DO SUBLEITO</v>
      </c>
      <c r="E136" s="452" t="str">
        <f>IF(A136="SERVIÇO",VLOOKUP(C136,SERVIÇOS!$A$6:$D$7645,3,0),IF(A136="INSUMO",VLOOKUP(C136,INSUMOS!$A$6:$D$6961,3,0),IF('036.02-20-CANTEIRO.'!A136="COTAÇÃO",VLOOKUP('036.02-20-CANTEIRO.'!C136,'036-20-Cotação'!$A$9:$G$529,4,0),IF('036.02-20-CANTEIRO.'!A136="CCU",VLOOKUP('036.02-20-CANTEIRO.'!C136,'036-20-CCU''s'!$B$9:$H$1962,4,0)))))</f>
        <v>M2</v>
      </c>
      <c r="F136" s="537">
        <v>3547</v>
      </c>
      <c r="G136" s="534">
        <f>IF(A136="SERVIÇO",VLOOKUP(C136,SERVIÇOS!$A$6:$D$7645,4,0),IF(A136="INSUMO",VLOOKUP(C136,INSUMOS!$A$6:$D$6961,4,0),IF('036.02-20-CANTEIRO.'!A136="COTAÇÃO",VLOOKUP('036.02-20-CANTEIRO.'!C136,'036-20-Cotação'!$A$9:$G$529,3,0),IF('036.02-20-CANTEIRO.'!A136="CCU",VLOOKUP('036.02-20-CANTEIRO.'!C136,'036-20-CCU''s'!$B$9:$H$1962,7,0)))))</f>
        <v>0.7584802254706301</v>
      </c>
      <c r="H136" s="528">
        <f>BDI_O.A.E!$H$22</f>
        <v>0.18201100192553743</v>
      </c>
      <c r="I136" s="535">
        <f t="shared" si="20"/>
        <v>3179.9989020210792</v>
      </c>
      <c r="K136" s="232">
        <f t="shared" si="11"/>
        <v>3179.9989020210792</v>
      </c>
    </row>
    <row r="137" spans="1:11" s="223" customFormat="1" ht="25.5">
      <c r="A137" s="233" t="s">
        <v>4543</v>
      </c>
      <c r="B137" s="454" t="s">
        <v>6578</v>
      </c>
      <c r="C137" s="324">
        <v>4011279</v>
      </c>
      <c r="D137" s="451" t="str">
        <f>IF(A137="SERVIÇO",VLOOKUP(C137,SERVIÇOS!$A$6:$D$7645,2,0),IF(A137="INSUMO",VLOOKUP(C137,INSUMOS!$A$6:$D$6961,2,0),IF('036.02-20-CANTEIRO.'!A137="COTAÇÃO",VLOOKUP('036.02-20-CANTEIRO.'!C137,'036-20-Cotação'!$A$9:$G$529,2,0),IF('036.02-20-CANTEIRO.'!A137="CCU",VLOOKUP('036.02-20-CANTEIRO.'!C137,'036-20-CCU''s'!$B$9:$H$1962,2,0)))))</f>
        <v>BASE OU SUB-BASE DE MACADAME SECO COM BRITA COMERCIAL</v>
      </c>
      <c r="E137" s="452" t="str">
        <f>IF(A137="SERVIÇO",VLOOKUP(C137,SERVIÇOS!$A$6:$D$7645,3,0),IF(A137="INSUMO",VLOOKUP(C137,INSUMOS!$A$6:$D$6961,3,0),IF('036.02-20-CANTEIRO.'!A137="COTAÇÃO",VLOOKUP('036.02-20-CANTEIRO.'!C137,'036-20-Cotação'!$A$9:$G$529,4,0),IF('036.02-20-CANTEIRO.'!A137="CCU",VLOOKUP('036.02-20-CANTEIRO.'!C137,'036-20-CCU''s'!$B$9:$H$1962,4,0)))))</f>
        <v>M3</v>
      </c>
      <c r="F137" s="537">
        <v>709.4</v>
      </c>
      <c r="G137" s="534">
        <f>IF(A137="SERVIÇO",VLOOKUP(C137,SERVIÇOS!$A$6:$D$7645,4,0),IF(A137="INSUMO",VLOOKUP(C137,INSUMOS!$A$6:$D$6961,4,0),IF('036.02-20-CANTEIRO.'!A137="COTAÇÃO",VLOOKUP('036.02-20-CANTEIRO.'!C137,'036-20-Cotação'!$A$9:$G$529,3,0),IF('036.02-20-CANTEIRO.'!A137="CCU",VLOOKUP('036.02-20-CANTEIRO.'!C137,'036-20-CCU''s'!$B$9:$H$1962,7,0)))))</f>
        <v>127.9943693724244</v>
      </c>
      <c r="H137" s="528">
        <f>BDI_O.A.E!$H$22</f>
        <v>0.18201100192553743</v>
      </c>
      <c r="I137" s="535">
        <f t="shared" si="20"/>
        <v>107325.66002406631</v>
      </c>
      <c r="K137" s="232">
        <f t="shared" si="11"/>
        <v>107325.66002406631</v>
      </c>
    </row>
    <row r="138" spans="1:11" s="223" customFormat="1" ht="51">
      <c r="A138" s="233" t="s">
        <v>4543</v>
      </c>
      <c r="B138" s="454" t="s">
        <v>6579</v>
      </c>
      <c r="C138" s="324">
        <v>2003949</v>
      </c>
      <c r="D138" s="451" t="str">
        <f>IF(A138="SERVIÇO",VLOOKUP(C138,SERVIÇOS!$A$6:$D$7645,2,0),IF(A138="INSUMO",VLOOKUP(C138,INSUMOS!$A$6:$D$6961,2,0),IF('036.02-20-CANTEIRO.'!A138="COTAÇÃO",VLOOKUP('036.02-20-CANTEIRO.'!C138,'036-20-Cotação'!$A$9:$G$529,2,0),IF('036.02-20-CANTEIRO.'!A138="CCU",VLOOKUP('036.02-20-CANTEIRO.'!C138,'036-20-CCU''s'!$B$9:$H$1962,2,0)))))</f>
        <v>MEIO FIO DE CONCRETO - MFC 06 MOLDADO NO LOCAL COM EXTRUSORA E CONCRETO USINADO - AREIA E BRITA COMERCIAIS M 10,41</v>
      </c>
      <c r="E138" s="452" t="str">
        <f>IF(A138="SERVIÇO",VLOOKUP(C138,SERVIÇOS!$A$6:$D$7645,3,0),IF(A138="INSUMO",VLOOKUP(C138,INSUMOS!$A$6:$D$6961,3,0),IF('036.02-20-CANTEIRO.'!A138="COTAÇÃO",VLOOKUP('036.02-20-CANTEIRO.'!C138,'036-20-Cotação'!$A$9:$G$529,4,0),IF('036.02-20-CANTEIRO.'!A138="CCU",VLOOKUP('036.02-20-CANTEIRO.'!C138,'036-20-CCU''s'!$B$9:$H$1962,4,0)))))</f>
        <v>M2</v>
      </c>
      <c r="F138" s="537">
        <v>812</v>
      </c>
      <c r="G138" s="534">
        <f>IF(A138="SERVIÇO",VLOOKUP(C138,SERVIÇOS!$A$6:$D$7645,4,0),IF(A138="INSUMO",VLOOKUP(C138,INSUMOS!$A$6:$D$6961,4,0),IF('036.02-20-CANTEIRO.'!A138="COTAÇÃO",VLOOKUP('036.02-20-CANTEIRO.'!C138,'036-20-Cotação'!$A$9:$G$529,3,0),IF('036.02-20-CANTEIRO.'!A138="CCU",VLOOKUP('036.02-20-CANTEIRO.'!C138,'036-20-CCU''s'!$B$9:$H$1962,7,0)))))</f>
        <v>10.856565612476629</v>
      </c>
      <c r="H138" s="528">
        <f>BDI_O.A.E!$H$22</f>
        <v>0.18201100192553743</v>
      </c>
      <c r="I138" s="535">
        <f t="shared" si="20"/>
        <v>10420.054957623955</v>
      </c>
      <c r="K138" s="232">
        <f t="shared" si="11"/>
        <v>10420.054957623955</v>
      </c>
    </row>
    <row r="139" spans="1:11" s="223" customFormat="1">
      <c r="A139" s="233"/>
      <c r="B139" s="224" t="s">
        <v>6580</v>
      </c>
      <c r="C139" s="224" t="s">
        <v>6348</v>
      </c>
      <c r="D139" s="229" t="s">
        <v>6574</v>
      </c>
      <c r="E139" s="230"/>
      <c r="F139" s="230"/>
      <c r="G139" s="230"/>
      <c r="H139" s="342"/>
      <c r="I139" s="231"/>
      <c r="K139" s="232">
        <f t="shared" si="11"/>
        <v>0</v>
      </c>
    </row>
    <row r="140" spans="1:11" s="223" customFormat="1" ht="51">
      <c r="A140" s="233" t="s">
        <v>4543</v>
      </c>
      <c r="B140" s="454" t="s">
        <v>6581</v>
      </c>
      <c r="C140" s="324">
        <v>3205874</v>
      </c>
      <c r="D140" s="451" t="str">
        <f>IF(A140="SERVIÇO",VLOOKUP(C140,SERVIÇOS!$A$6:$D$7645,2,0),IF(A140="INSUMO",VLOOKUP(C140,INSUMOS!$A$6:$D$6961,2,0),IF('036.02-20-CANTEIRO.'!A140="COTAÇÃO",VLOOKUP('036.02-20-CANTEIRO.'!C140,'036-20-Cotação'!$A$9:$G$529,2,0),IF('036.02-20-CANTEIRO.'!A140="CCU",VLOOKUP('036.02-20-CANTEIRO.'!C140,'036-20-CCU''s'!$B$9:$H$1962,2,0)))))</f>
        <v>GABIÃO COLCHÃO ESPESSURA 0,23 M - ZN/AL + PVC - D = 2,0 MM - PEDRA DE MÃO COMERCIAL - FORNECIMENTO E ASSENTAMENTO</v>
      </c>
      <c r="E140" s="452" t="str">
        <f>IF(A140="SERVIÇO",VLOOKUP(C140,SERVIÇOS!$A$6:$D$7645,3,0),IF(A140="INSUMO",VLOOKUP(C140,INSUMOS!$A$6:$D$6961,3,0),IF('036.02-20-CANTEIRO.'!A140="COTAÇÃO",VLOOKUP('036.02-20-CANTEIRO.'!C140,'036-20-Cotação'!$A$9:$G$529,4,0),IF('036.02-20-CANTEIRO.'!A140="CCU",VLOOKUP('036.02-20-CANTEIRO.'!C140,'036-20-CCU''s'!$B$9:$H$1962,4,0)))))</f>
        <v>M2</v>
      </c>
      <c r="F140" s="453">
        <v>782</v>
      </c>
      <c r="G140" s="534">
        <f>IF(A140="SERVIÇO",VLOOKUP(C140,SERVIÇOS!$A$6:$D$7645,4,0),IF(A140="INSUMO",VLOOKUP(C140,INSUMOS!$A$6:$D$6961,4,0),IF('036.02-20-CANTEIRO.'!A140="COTAÇÃO",VLOOKUP('036.02-20-CANTEIRO.'!C140,'036-20-Cotação'!$A$9:$G$529,3,0),IF('036.02-20-CANTEIRO.'!A140="CCU",VLOOKUP('036.02-20-CANTEIRO.'!C140,'036-20-CCU''s'!$B$9:$H$1962,7,0)))))</f>
        <v>188.15402832739812</v>
      </c>
      <c r="H140" s="528">
        <f>BDI_O.A.E!$H$22</f>
        <v>0.18201100192553743</v>
      </c>
      <c r="I140" s="535">
        <f t="shared" ref="I140:I143" si="21">F140*(G140*(1+H140))</f>
        <v>173916.90286396237</v>
      </c>
      <c r="K140" s="232">
        <f t="shared" si="11"/>
        <v>173916.90286396237</v>
      </c>
    </row>
    <row r="141" spans="1:11" s="223" customFormat="1" ht="38.25">
      <c r="A141" s="233" t="s">
        <v>4543</v>
      </c>
      <c r="B141" s="454" t="s">
        <v>6582</v>
      </c>
      <c r="C141" s="324">
        <v>3205866</v>
      </c>
      <c r="D141" s="451" t="str">
        <f>IF(A141="SERVIÇO",VLOOKUP(C141,SERVIÇOS!$A$6:$D$7645,2,0),IF(A141="INSUMO",VLOOKUP(C141,INSUMOS!$A$6:$D$6961,2,0),IF('036.02-20-CANTEIRO.'!A141="COTAÇÃO",VLOOKUP('036.02-20-CANTEIRO.'!C141,'036-20-Cotação'!$A$9:$G$529,2,0),IF('036.02-20-CANTEIRO.'!A141="CCU",VLOOKUP('036.02-20-CANTEIRO.'!C141,'036-20-CCU''s'!$B$9:$H$1962,2,0)))))</f>
        <v>GABIÃO CAIXA 2 X 1 X 1,00 M - ZN/AL + PVC - D = 2,4 MM - PEDRA DE MÃO COMERCIAL - FORNECIMENTO E ASSENTAMENTO</v>
      </c>
      <c r="E141" s="452" t="str">
        <f>IF(A141="SERVIÇO",VLOOKUP(C141,SERVIÇOS!$A$6:$D$7645,3,0),IF(A141="INSUMO",VLOOKUP(C141,INSUMOS!$A$6:$D$6961,3,0),IF('036.02-20-CANTEIRO.'!A141="COTAÇÃO",VLOOKUP('036.02-20-CANTEIRO.'!C141,'036-20-Cotação'!$A$9:$G$529,4,0),IF('036.02-20-CANTEIRO.'!A141="CCU",VLOOKUP('036.02-20-CANTEIRO.'!C141,'036-20-CCU''s'!$B$9:$H$1962,4,0)))))</f>
        <v>M3</v>
      </c>
      <c r="F141" s="537">
        <v>1143.06</v>
      </c>
      <c r="G141" s="534">
        <f>IF(A141="SERVIÇO",VLOOKUP(C141,SERVIÇOS!$A$6:$D$7645,4,0),IF(A141="INSUMO",VLOOKUP(C141,INSUMOS!$A$6:$D$6961,4,0),IF('036.02-20-CANTEIRO.'!A141="COTAÇÃO",VLOOKUP('036.02-20-CANTEIRO.'!C141,'036-20-Cotação'!$A$9:$G$529,3,0),IF('036.02-20-CANTEIRO.'!A141="CCU",VLOOKUP('036.02-20-CANTEIRO.'!C141,'036-20-CCU''s'!$B$9:$H$1962,7,0)))))</f>
        <v>418.70914428194942</v>
      </c>
      <c r="H141" s="528">
        <f>BDI_O.A.E!$H$22</f>
        <v>0.18201100192553743</v>
      </c>
      <c r="I141" s="535">
        <f t="shared" si="21"/>
        <v>565721.90084317734</v>
      </c>
      <c r="K141" s="232">
        <f t="shared" si="11"/>
        <v>565721.90084317734</v>
      </c>
    </row>
    <row r="142" spans="1:11" s="223" customFormat="1" ht="25.5">
      <c r="A142" s="233" t="s">
        <v>4543</v>
      </c>
      <c r="B142" s="454" t="s">
        <v>6583</v>
      </c>
      <c r="C142" s="324">
        <v>2003866</v>
      </c>
      <c r="D142" s="451" t="str">
        <f>IF(A142="SERVIÇO",VLOOKUP(C142,SERVIÇOS!$A$6:$D$7645,2,0),IF(A142="INSUMO",VLOOKUP(C142,INSUMOS!$A$6:$D$6961,2,0),IF('036.02-20-CANTEIRO.'!A142="COTAÇÃO",VLOOKUP('036.02-20-CANTEIRO.'!C142,'036-20-Cotação'!$A$9:$G$529,2,0),IF('036.02-20-CANTEIRO.'!A142="CCU",VLOOKUP('036.02-20-CANTEIRO.'!C142,'036-20-CCU''s'!$B$9:$H$1962,2,0)))))</f>
        <v>APLICAÇÃO DE GEOTEXTIL NÃO-TECIDO AGULHADO RT 14</v>
      </c>
      <c r="E142" s="452" t="str">
        <f>IF(A142="SERVIÇO",VLOOKUP(C142,SERVIÇOS!$A$6:$D$7645,3,0),IF(A142="INSUMO",VLOOKUP(C142,INSUMOS!$A$6:$D$6961,3,0),IF('036.02-20-CANTEIRO.'!A142="COTAÇÃO",VLOOKUP('036.02-20-CANTEIRO.'!C142,'036-20-Cotação'!$A$9:$G$529,4,0),IF('036.02-20-CANTEIRO.'!A142="CCU",VLOOKUP('036.02-20-CANTEIRO.'!C142,'036-20-CCU''s'!$B$9:$H$1962,4,0)))))</f>
        <v>M2</v>
      </c>
      <c r="F142" s="537">
        <v>1665.66</v>
      </c>
      <c r="G142" s="534">
        <f>IF(A142="SERVIÇO",VLOOKUP(C142,SERVIÇOS!$A$6:$D$7645,4,0),IF(A142="INSUMO",VLOOKUP(C142,INSUMOS!$A$6:$D$6961,4,0),IF('036.02-20-CANTEIRO.'!A142="COTAÇÃO",VLOOKUP('036.02-20-CANTEIRO.'!C142,'036-20-Cotação'!$A$9:$G$529,3,0),IF('036.02-20-CANTEIRO.'!A142="CCU",VLOOKUP('036.02-20-CANTEIRO.'!C142,'036-20-CCU''s'!$B$9:$H$1962,7,0)))))</f>
        <v>5.9772256461409397</v>
      </c>
      <c r="H142" s="528">
        <f>BDI_O.A.E!$H$22</f>
        <v>0.18201100192553743</v>
      </c>
      <c r="I142" s="535">
        <f t="shared" si="21"/>
        <v>11768.131877098889</v>
      </c>
      <c r="K142" s="232">
        <f t="shared" si="11"/>
        <v>11768.131877098889</v>
      </c>
    </row>
    <row r="143" spans="1:11" s="223" customFormat="1" ht="25.5">
      <c r="A143" s="233" t="s">
        <v>4543</v>
      </c>
      <c r="B143" s="454" t="s">
        <v>6584</v>
      </c>
      <c r="C143" s="324">
        <v>5502820</v>
      </c>
      <c r="D143" s="451" t="str">
        <f>IF(A143="SERVIÇO",VLOOKUP(C143,SERVIÇOS!$A$6:$D$7645,2,0),IF(A143="INSUMO",VLOOKUP(C143,INSUMOS!$A$6:$D$6961,2,0),IF('036.02-20-CANTEIRO.'!A143="COTAÇÃO",VLOOKUP('036.02-20-CANTEIRO.'!C143,'036-20-Cotação'!$A$9:$G$529,2,0),IF('036.02-20-CANTEIRO.'!A143="CCU",VLOOKUP('036.02-20-CANTEIRO.'!C143,'036-20-CCU''s'!$B$9:$H$1962,2,0)))))</f>
        <v>ESCAVAÇÃO, CARGA E TRANSPORTE DE SOLOS MOLES - DMT DE 0 A 50 M</v>
      </c>
      <c r="E143" s="452" t="str">
        <f>IF(A143="SERVIÇO",VLOOKUP(C143,SERVIÇOS!$A$6:$D$7645,3,0),IF(A143="INSUMO",VLOOKUP(C143,INSUMOS!$A$6:$D$6961,3,0),IF('036.02-20-CANTEIRO.'!A143="COTAÇÃO",VLOOKUP('036.02-20-CANTEIRO.'!C143,'036-20-Cotação'!$A$9:$G$529,4,0),IF('036.02-20-CANTEIRO.'!A143="CCU",VLOOKUP('036.02-20-CANTEIRO.'!C143,'036-20-CCU''s'!$B$9:$H$1962,4,0)))))</f>
        <v>M3</v>
      </c>
      <c r="F143" s="537">
        <v>469.2</v>
      </c>
      <c r="G143" s="534">
        <f>IF(A143="SERVIÇO",VLOOKUP(C143,SERVIÇOS!$A$6:$D$7645,4,0),IF(A143="INSUMO",VLOOKUP(C143,INSUMOS!$A$6:$D$6961,4,0),IF('036.02-20-CANTEIRO.'!A143="COTAÇÃO",VLOOKUP('036.02-20-CANTEIRO.'!C143,'036-20-Cotação'!$A$9:$G$529,3,0),IF('036.02-20-CANTEIRO.'!A143="CCU",VLOOKUP('036.02-20-CANTEIRO.'!C143,'036-20-CCU''s'!$B$9:$H$1962,7,0)))))</f>
        <v>4.0796072918954538</v>
      </c>
      <c r="H143" s="528">
        <f>BDI_O.A.E!$H$22</f>
        <v>0.18201100192553743</v>
      </c>
      <c r="I143" s="535">
        <f t="shared" si="21"/>
        <v>2262.5484176393097</v>
      </c>
      <c r="K143" s="232">
        <f t="shared" si="11"/>
        <v>2262.5484176393097</v>
      </c>
    </row>
    <row r="144" spans="1:11" s="223" customFormat="1">
      <c r="A144" s="233"/>
      <c r="B144" s="454"/>
      <c r="C144" s="324"/>
      <c r="D144" s="455"/>
      <c r="E144" s="456"/>
      <c r="F144" s="461"/>
      <c r="G144" s="458"/>
      <c r="H144" s="459"/>
      <c r="I144" s="460"/>
      <c r="K144" s="232">
        <f t="shared" si="11"/>
        <v>0</v>
      </c>
    </row>
    <row r="145" spans="1:11" s="223" customFormat="1">
      <c r="A145" s="233"/>
      <c r="B145" s="224" t="s">
        <v>6589</v>
      </c>
      <c r="C145" s="224"/>
      <c r="D145" s="229" t="s">
        <v>3</v>
      </c>
      <c r="E145" s="230"/>
      <c r="F145" s="230"/>
      <c r="G145" s="230"/>
      <c r="H145" s="342"/>
      <c r="I145" s="231"/>
      <c r="K145" s="232">
        <f t="shared" ref="K145:K198" si="22">F145*(G145*(1+H145))</f>
        <v>0</v>
      </c>
    </row>
    <row r="146" spans="1:11" s="223" customFormat="1" ht="38.25">
      <c r="A146" s="233" t="s">
        <v>4543</v>
      </c>
      <c r="B146" s="454" t="s">
        <v>80</v>
      </c>
      <c r="C146" s="324">
        <v>5213406</v>
      </c>
      <c r="D146" s="451" t="str">
        <f>IF(A146="SERVIÇO",VLOOKUP(C146,SERVIÇOS!$A$6:$D$7645,2,0),IF(A146="INSUMO",VLOOKUP(C146,INSUMOS!$A$6:$D$6961,2,0),IF('036.02-20-CANTEIRO.'!A146="COTAÇÃO",VLOOKUP('036.02-20-CANTEIRO.'!C146,'036-20-Cotação'!$A$9:$G$529,2,0),IF('036.02-20-CANTEIRO.'!A146="CCU",VLOOKUP('036.02-20-CANTEIRO.'!C146,'036-20-CCU''s'!$B$9:$H$1962,2,0)))))</f>
        <v>PINTURA DE SETAS E ZEBRADOS - TINTA BASE ACRÍLICA EMULSIONADA EM ÁGUA - ESPESSURA DE 0,4 MM</v>
      </c>
      <c r="E146" s="452" t="str">
        <f>IF(A146="SERVIÇO",VLOOKUP(C146,SERVIÇOS!$A$6:$D$7645,3,0),IF(A146="INSUMO",VLOOKUP(C146,INSUMOS!$A$6:$D$6961,3,0),IF('036.02-20-CANTEIRO.'!A146="COTAÇÃO",VLOOKUP('036.02-20-CANTEIRO.'!C146,'036-20-Cotação'!$A$9:$G$529,4,0),IF('036.02-20-CANTEIRO.'!A146="CCU",VLOOKUP('036.02-20-CANTEIRO.'!C146,'036-20-CCU''s'!$B$9:$H$1962,4,0)))))</f>
        <v>M2</v>
      </c>
      <c r="F146" s="537">
        <v>61.87</v>
      </c>
      <c r="G146" s="534">
        <f>IF(A146="SERVIÇO",VLOOKUP(C146,SERVIÇOS!$A$6:$D$7645,4,0),IF(A146="INSUMO",VLOOKUP(C146,INSUMOS!$A$6:$D$6961,4,0),IF('036.02-20-CANTEIRO.'!A146="COTAÇÃO",VLOOKUP('036.02-20-CANTEIRO.'!C146,'036-20-Cotação'!$A$9:$G$529,3,0),IF('036.02-20-CANTEIRO.'!A146="CCU",VLOOKUP('036.02-20-CANTEIRO.'!C146,'036-20-CCU''s'!$B$9:$H$1962,7,0)))))</f>
        <v>23.325371701112509</v>
      </c>
      <c r="H146" s="528">
        <f>BDI_O.A.E!$H$22</f>
        <v>0.18201100192553743</v>
      </c>
      <c r="I146" s="535">
        <f t="shared" ref="I146:I148" si="23">F146*(G146*(1+H146))</f>
        <v>1705.8082404557763</v>
      </c>
      <c r="K146" s="232">
        <f t="shared" si="22"/>
        <v>1705.8082404557763</v>
      </c>
    </row>
    <row r="147" spans="1:11" s="223" customFormat="1" ht="25.5">
      <c r="A147" s="233" t="s">
        <v>4543</v>
      </c>
      <c r="B147" s="454" t="s">
        <v>161</v>
      </c>
      <c r="C147" s="324">
        <v>5213400</v>
      </c>
      <c r="D147" s="451" t="str">
        <f>IF(A147="SERVIÇO",VLOOKUP(C147,SERVIÇOS!$A$6:$D$7645,2,0),IF(A147="INSUMO",VLOOKUP(C147,INSUMOS!$A$6:$D$6961,2,0),IF('036.02-20-CANTEIRO.'!A147="COTAÇÃO",VLOOKUP('036.02-20-CANTEIRO.'!C147,'036-20-Cotação'!$A$9:$G$529,2,0),IF('036.02-20-CANTEIRO.'!A147="CCU",VLOOKUP('036.02-20-CANTEIRO.'!C147,'036-20-CCU''s'!$B$9:$H$1962,2,0)))))</f>
        <v>PINTURA DE FAIXA - TINTA BASE ACRÍLICA - ESPESSURA DE 0,4 MM</v>
      </c>
      <c r="E147" s="452" t="str">
        <f>IF(A147="SERVIÇO",VLOOKUP(C147,SERVIÇOS!$A$6:$D$7645,3,0),IF(A147="INSUMO",VLOOKUP(C147,INSUMOS!$A$6:$D$6961,3,0),IF('036.02-20-CANTEIRO.'!A147="COTAÇÃO",VLOOKUP('036.02-20-CANTEIRO.'!C147,'036-20-Cotação'!$A$9:$G$529,4,0),IF('036.02-20-CANTEIRO.'!A147="CCU",VLOOKUP('036.02-20-CANTEIRO.'!C147,'036-20-CCU''s'!$B$9:$H$1962,4,0)))))</f>
        <v>M2</v>
      </c>
      <c r="F147" s="453">
        <v>38.68</v>
      </c>
      <c r="G147" s="534">
        <f>IF(A147="SERVIÇO",VLOOKUP(C147,SERVIÇOS!$A$6:$D$7645,4,0),IF(A147="INSUMO",VLOOKUP(C147,INSUMOS!$A$6:$D$6961,4,0),IF('036.02-20-CANTEIRO.'!A147="COTAÇÃO",VLOOKUP('036.02-20-CANTEIRO.'!C147,'036-20-Cotação'!$A$9:$G$529,3,0),IF('036.02-20-CANTEIRO.'!A147="CCU",VLOOKUP('036.02-20-CANTEIRO.'!C147,'036-20-CCU''s'!$B$9:$H$1962,7,0)))))</f>
        <v>17.489104809715336</v>
      </c>
      <c r="H147" s="528">
        <f>BDI_O.A.E!$H$22</f>
        <v>0.18201100192553743</v>
      </c>
      <c r="I147" s="535">
        <f t="shared" si="23"/>
        <v>799.60511708192996</v>
      </c>
      <c r="K147" s="232">
        <f t="shared" si="22"/>
        <v>799.60511708192996</v>
      </c>
    </row>
    <row r="148" spans="1:11" s="223" customFormat="1" ht="51">
      <c r="A148" s="233" t="s">
        <v>4543</v>
      </c>
      <c r="B148" s="454" t="s">
        <v>6263</v>
      </c>
      <c r="C148" s="324">
        <v>5216111</v>
      </c>
      <c r="D148" s="451" t="str">
        <f>IF(A148="SERVIÇO",VLOOKUP(C148,SERVIÇOS!$A$6:$D$7645,2,0),IF(A148="INSUMO",VLOOKUP(C148,INSUMOS!$A$6:$D$6961,2,0),IF('036.02-20-CANTEIRO.'!A148="COTAÇÃO",VLOOKUP('036.02-20-CANTEIRO.'!C148,'036-20-Cotação'!$A$9:$G$529,2,0),IF('036.02-20-CANTEIRO.'!A148="CCU",VLOOKUP('036.02-20-CANTEIRO.'!C148,'036-20-CCU''s'!$B$9:$H$1962,2,0)))))</f>
        <v>FORNECIMENTO E IMPLANTAÇÃO DE SUPORTE E TRAVESSA PARA PLACA DE SINALIZAÇÃO EM MADEIRA DE LEI TRATADA 8 X 8 CM</v>
      </c>
      <c r="E148" s="452" t="str">
        <f>IF(A148="SERVIÇO",VLOOKUP(C148,SERVIÇOS!$A$6:$D$7645,3,0),IF(A148="INSUMO",VLOOKUP(C148,INSUMOS!$A$6:$D$6961,3,0),IF('036.02-20-CANTEIRO.'!A148="COTAÇÃO",VLOOKUP('036.02-20-CANTEIRO.'!C148,'036-20-Cotação'!$A$9:$G$529,4,0),IF('036.02-20-CANTEIRO.'!A148="CCU",VLOOKUP('036.02-20-CANTEIRO.'!C148,'036-20-CCU''s'!$B$9:$H$1962,4,0)))))</f>
        <v>M2</v>
      </c>
      <c r="F148" s="453">
        <v>88</v>
      </c>
      <c r="G148" s="534">
        <f>IF(A148="SERVIÇO",VLOOKUP(C148,SERVIÇOS!$A$6:$D$7645,4,0),IF(A148="INSUMO",VLOOKUP(C148,INSUMOS!$A$6:$D$6961,4,0),IF('036.02-20-CANTEIRO.'!A148="COTAÇÃO",VLOOKUP('036.02-20-CANTEIRO.'!C148,'036-20-Cotação'!$A$9:$G$529,3,0),IF('036.02-20-CANTEIRO.'!A148="CCU",VLOOKUP('036.02-20-CANTEIRO.'!C148,'036-20-CCU''s'!$B$9:$H$1962,7,0)))))</f>
        <v>107.77765476643329</v>
      </c>
      <c r="H148" s="528">
        <f>BDI_O.A.E!$H$22</f>
        <v>0.18201100192553743</v>
      </c>
      <c r="I148" s="535">
        <f t="shared" si="23"/>
        <v>11210.70488521777</v>
      </c>
      <c r="K148" s="232">
        <f t="shared" si="22"/>
        <v>11210.70488521777</v>
      </c>
    </row>
    <row r="149" spans="1:11" s="223" customFormat="1" ht="51">
      <c r="A149" s="233" t="s">
        <v>4543</v>
      </c>
      <c r="B149" s="454" t="s">
        <v>6265</v>
      </c>
      <c r="C149" s="324" t="s">
        <v>6276</v>
      </c>
      <c r="D149" s="451" t="str">
        <f>IF(A149="SERVIÇO",VLOOKUP(C149,SERVIÇOS!$A$6:$D$7645,2,0),IF(A149="INSUMO",VLOOKUP(C149,INSUMOS!$A$6:$D$6961,2,0),IF('036.02-20-CANTEIRO.'!A149="COTAÇÃO",VLOOKUP('036.02-20-CANTEIRO.'!C149,'036-20-Cotação'!$A$9:$G$529,2,0),IF('036.02-20-CANTEIRO.'!A149="CCU",VLOOKUP('036.02-20-CANTEIRO.'!C149,'036-20-CCU''s'!$B$9:$H$1962,2,0)))))</f>
        <v xml:space="preserve">FORNECIMENTO E IMPLANTAÇÃO DE PLACA EM AÇO DE SINALIZAÇÃO PROVISÓRIA, FIXADA EM SUPORTE DE MADEIRA, EM BASE DE CONCRETO MÓVEL - PELÍCULA III + III </v>
      </c>
      <c r="E149" s="452" t="str">
        <f>IF(A149="SERVIÇO",VLOOKUP(C149,SERVIÇOS!$A$6:$D$7645,3,0),IF(A149="INSUMO",VLOOKUP(C149,INSUMOS!$A$6:$D$6961,3,0),IF('036.02-20-CANTEIRO.'!A149="COTAÇÃO",VLOOKUP('036.02-20-CANTEIRO.'!C149,'036-20-Cotação'!$A$9:$G$529,4,0),IF('036.02-20-CANTEIRO.'!A149="CCU",VLOOKUP('036.02-20-CANTEIRO.'!C149,'036-20-CCU''s'!$B$9:$H$1962,4,0)))))</f>
        <v>M2</v>
      </c>
      <c r="F149" s="537">
        <v>69.92</v>
      </c>
      <c r="G149" s="534">
        <f>IF(A149="SERVIÇO",VLOOKUP(C149,SERVIÇOS!$A$6:$D$7645,4,0),IF(A149="INSUMO",VLOOKUP(C149,INSUMOS!$A$6:$D$6961,4,0),IF('036.02-20-CANTEIRO.'!A149="COTAÇÃO",VLOOKUP('036.02-20-CANTEIRO.'!C149,'036-20-Cotação'!$A$9:$G$529,3,0),IF('036.02-20-CANTEIRO.'!A149="CCU",VLOOKUP('036.02-20-CANTEIRO.'!C149,'036-20-CCU''s'!$B$9:$H$1962,7,0)))))</f>
        <v>308.63885126525958</v>
      </c>
      <c r="H149" s="528">
        <f>BDI_O.A.E!$H$22</f>
        <v>0.18201100192553743</v>
      </c>
      <c r="I149" s="535">
        <f t="shared" ref="I149:I154" si="24">F149*(G149*(1+H149))</f>
        <v>25507.831085778373</v>
      </c>
      <c r="K149" s="232">
        <f t="shared" si="22"/>
        <v>25507.831085778373</v>
      </c>
    </row>
    <row r="150" spans="1:11" s="223" customFormat="1" ht="76.5">
      <c r="A150" s="233" t="s">
        <v>4543</v>
      </c>
      <c r="B150" s="454" t="s">
        <v>6590</v>
      </c>
      <c r="C150" s="324" t="s">
        <v>6277</v>
      </c>
      <c r="D150" s="451" t="str">
        <f>IF(A150="SERVIÇO",VLOOKUP(C150,SERVIÇOS!$A$6:$D$7645,2,0),IF(A150="INSUMO",VLOOKUP(C150,INSUMOS!$A$6:$D$6961,2,0),IF('036.02-20-CANTEIRO.'!A150="COTAÇÃO",VLOOKUP('036.02-20-CANTEIRO.'!C150,'036-20-Cotação'!$A$9:$G$529,2,0),IF('036.02-20-CANTEIRO.'!A150="CCU",VLOOKUP('036.02-20-CANTEIRO.'!C150,'036-20-CCU''s'!$B$9:$H$1962,2,0)))))</f>
        <v xml:space="preserve">DELIMITAÇÃO NÁUTICA PROVISÓRIA DE SEGURANÇA COM BÓIAS DE ARINQUE DE 40CM DE DIAMETRO E SINALIZAÇÃO LUMINOSA, INCLUSO CORDAS E ANCORAGEM A CADA 10M. FORNECIMENTO E INSTALAÇÃO. 20 UTILIZAÇÕES </v>
      </c>
      <c r="E150" s="452" t="str">
        <f>IF(A150="SERVIÇO",VLOOKUP(C150,SERVIÇOS!$A$6:$D$7645,3,0),IF(A150="INSUMO",VLOOKUP(C150,INSUMOS!$A$6:$D$6961,3,0),IF('036.02-20-CANTEIRO.'!A150="COTAÇÃO",VLOOKUP('036.02-20-CANTEIRO.'!C150,'036-20-Cotação'!$A$9:$G$529,4,0),IF('036.02-20-CANTEIRO.'!A150="CCU",VLOOKUP('036.02-20-CANTEIRO.'!C150,'036-20-CCU''s'!$B$9:$H$1962,4,0)))))</f>
        <v>M</v>
      </c>
      <c r="F150" s="453">
        <v>610.84</v>
      </c>
      <c r="G150" s="534">
        <f>IF(A150="SERVIÇO",VLOOKUP(C150,SERVIÇOS!$A$6:$D$7645,4,0),IF(A150="INSUMO",VLOOKUP(C150,INSUMOS!$A$6:$D$6961,4,0),IF('036.02-20-CANTEIRO.'!A150="COTAÇÃO",VLOOKUP('036.02-20-CANTEIRO.'!C150,'036-20-Cotação'!$A$9:$G$529,3,0),IF('036.02-20-CANTEIRO.'!A150="CCU",VLOOKUP('036.02-20-CANTEIRO.'!C150,'036-20-CCU''s'!$B$9:$H$1962,7,0)))))</f>
        <v>71.79360682851491</v>
      </c>
      <c r="H150" s="528">
        <f>BDI_O.A.E!$H$22</f>
        <v>0.18201100192553743</v>
      </c>
      <c r="I150" s="535">
        <f t="shared" si="24"/>
        <v>51836.391314761764</v>
      </c>
      <c r="K150" s="232">
        <f t="shared" si="22"/>
        <v>51836.391314761764</v>
      </c>
    </row>
    <row r="151" spans="1:11" s="223" customFormat="1" ht="25.5">
      <c r="A151" s="233" t="s">
        <v>4543</v>
      </c>
      <c r="B151" s="454" t="s">
        <v>6591</v>
      </c>
      <c r="C151" s="324">
        <v>5213835</v>
      </c>
      <c r="D151" s="451" t="str">
        <f>IF(A151="SERVIÇO",VLOOKUP(C151,SERVIÇOS!$A$6:$D$7645,2,0),IF(A151="INSUMO",VLOOKUP(C151,INSUMOS!$A$6:$D$6961,2,0),IF('036.02-20-CANTEIRO.'!A151="COTAÇÃO",VLOOKUP('036.02-20-CANTEIRO.'!C151,'036-20-Cotação'!$A$9:$G$529,2,0),IF('036.02-20-CANTEIRO.'!A151="CCU",VLOOKUP('036.02-20-CANTEIRO.'!C151,'036-20-CCU''s'!$B$9:$H$1962,2,0)))))</f>
        <v>CONE PLÁSTICO PARA CANALIZAÇÃO DE TRÂNSITO - UTILIZAÇÃO DE 5 VEZES</v>
      </c>
      <c r="E151" s="452" t="str">
        <f>IF(A151="SERVIÇO",VLOOKUP(C151,SERVIÇOS!$A$6:$D$7645,3,0),IF(A151="INSUMO",VLOOKUP(C151,INSUMOS!$A$6:$D$6961,3,0),IF('036.02-20-CANTEIRO.'!A151="COTAÇÃO",VLOOKUP('036.02-20-CANTEIRO.'!C151,'036-20-Cotação'!$A$9:$G$529,4,0),IF('036.02-20-CANTEIRO.'!A151="CCU",VLOOKUP('036.02-20-CANTEIRO.'!C151,'036-20-CCU''s'!$B$9:$H$1962,4,0)))))</f>
        <v>UN</v>
      </c>
      <c r="F151" s="453">
        <v>30</v>
      </c>
      <c r="G151" s="534">
        <f>IF(A151="SERVIÇO",VLOOKUP(C151,SERVIÇOS!$A$6:$D$7645,4,0),IF(A151="INSUMO",VLOOKUP(C151,INSUMOS!$A$6:$D$6961,4,0),IF('036.02-20-CANTEIRO.'!A151="COTAÇÃO",VLOOKUP('036.02-20-CANTEIRO.'!C151,'036-20-Cotação'!$A$9:$G$529,3,0),IF('036.02-20-CANTEIRO.'!A151="CCU",VLOOKUP('036.02-20-CANTEIRO.'!C151,'036-20-CCU''s'!$B$9:$H$1962,7,0)))))</f>
        <v>12.343777532475885</v>
      </c>
      <c r="H151" s="528">
        <f>BDI_O.A.E!$H$22</f>
        <v>0.18201100192553743</v>
      </c>
      <c r="I151" s="535">
        <f t="shared" si="24"/>
        <v>437.71442546123279</v>
      </c>
      <c r="K151" s="232">
        <f t="shared" si="22"/>
        <v>437.71442546123279</v>
      </c>
    </row>
    <row r="152" spans="1:11" s="223" customFormat="1" ht="38.25">
      <c r="A152" s="233" t="s">
        <v>4543</v>
      </c>
      <c r="B152" s="454" t="s">
        <v>6592</v>
      </c>
      <c r="C152" s="324">
        <v>5213383</v>
      </c>
      <c r="D152" s="451" t="str">
        <f>IF(A152="SERVIÇO",VLOOKUP(C152,SERVIÇOS!$A$6:$D$7645,2,0),IF(A152="INSUMO",VLOOKUP(C152,INSUMOS!$A$6:$D$6961,2,0),IF('036.02-20-CANTEIRO.'!A152="COTAÇÃO",VLOOKUP('036.02-20-CANTEIRO.'!C152,'036-20-Cotação'!$A$9:$G$529,2,0),IF('036.02-20-CANTEIRO.'!A152="CCU",VLOOKUP('036.02-20-CANTEIRO.'!C152,'036-20-CCU''s'!$B$9:$H$1962,2,0)))))</f>
        <v>CAVALETE EM POLIETILENO ZEBRADO COM FAIXA REFLETIVA - H = 1,00 M - UTILIZAÇÃO DE 200 VEZES</v>
      </c>
      <c r="E152" s="452" t="str">
        <f>IF(A152="SERVIÇO",VLOOKUP(C152,SERVIÇOS!$A$6:$D$7645,3,0),IF(A152="INSUMO",VLOOKUP(C152,INSUMOS!$A$6:$D$6961,3,0),IF('036.02-20-CANTEIRO.'!A152="COTAÇÃO",VLOOKUP('036.02-20-CANTEIRO.'!C152,'036-20-Cotação'!$A$9:$G$529,4,0),IF('036.02-20-CANTEIRO.'!A152="CCU",VLOOKUP('036.02-20-CANTEIRO.'!C152,'036-20-CCU''s'!$B$9:$H$1962,4,0)))))</f>
        <v>UN</v>
      </c>
      <c r="F152" s="537">
        <v>86</v>
      </c>
      <c r="G152" s="534">
        <f>IF(A152="SERVIÇO",VLOOKUP(C152,SERVIÇOS!$A$6:$D$7645,4,0),IF(A152="INSUMO",VLOOKUP(C152,INSUMOS!$A$6:$D$6961,4,0),IF('036.02-20-CANTEIRO.'!A152="COTAÇÃO",VLOOKUP('036.02-20-CANTEIRO.'!C152,'036-20-Cotação'!$A$9:$G$529,3,0),IF('036.02-20-CANTEIRO.'!A152="CCU",VLOOKUP('036.02-20-CANTEIRO.'!C152,'036-20-CCU''s'!$B$9:$H$1962,7,0)))))</f>
        <v>2.0825569128617363</v>
      </c>
      <c r="H152" s="528">
        <f>BDI_O.A.E!$H$22</f>
        <v>0.18201100192553743</v>
      </c>
      <c r="I152" s="535">
        <f t="shared" si="24"/>
        <v>211.69804574992432</v>
      </c>
      <c r="K152" s="232">
        <f t="shared" si="22"/>
        <v>211.69804574992432</v>
      </c>
    </row>
    <row r="153" spans="1:11" s="223" customFormat="1" ht="38.25">
      <c r="A153" s="233" t="s">
        <v>4543</v>
      </c>
      <c r="B153" s="454" t="s">
        <v>6593</v>
      </c>
      <c r="C153" s="324">
        <v>5213386</v>
      </c>
      <c r="D153" s="451" t="str">
        <f>IF(A153="SERVIÇO",VLOOKUP(C153,SERVIÇOS!$A$6:$D$7645,2,0),IF(A153="INSUMO",VLOOKUP(C153,INSUMOS!$A$6:$D$6961,2,0),IF('036.02-20-CANTEIRO.'!A153="COTAÇÃO",VLOOKUP('036.02-20-CANTEIRO.'!C153,'036-20-Cotação'!$A$9:$G$529,2,0),IF('036.02-20-CANTEIRO.'!A153="CCU",VLOOKUP('036.02-20-CANTEIRO.'!C153,'036-20-CCU''s'!$B$9:$H$1962,2,0)))))</f>
        <v>BARREIRA DE SINALIZAÇÃO TIPO II DE DIRECIONAMENTO OU BLOQUEIO - UTILIZAÇÃO DE 10 VEZES</v>
      </c>
      <c r="E153" s="452" t="str">
        <f>IF(A153="SERVIÇO",VLOOKUP(C153,SERVIÇOS!$A$6:$D$7645,3,0),IF(A153="INSUMO",VLOOKUP(C153,INSUMOS!$A$6:$D$6961,3,0),IF('036.02-20-CANTEIRO.'!A153="COTAÇÃO",VLOOKUP('036.02-20-CANTEIRO.'!C153,'036-20-Cotação'!$A$9:$G$529,4,0),IF('036.02-20-CANTEIRO.'!A153="CCU",VLOOKUP('036.02-20-CANTEIRO.'!C153,'036-20-CCU''s'!$B$9:$H$1962,4,0)))))</f>
        <v>UN</v>
      </c>
      <c r="F153" s="453">
        <v>58</v>
      </c>
      <c r="G153" s="534">
        <f>IF(A153="SERVIÇO",VLOOKUP(C153,SERVIÇOS!$A$6:$D$7645,4,0),IF(A153="INSUMO",VLOOKUP(C153,INSUMOS!$A$6:$D$6961,4,0),IF('036.02-20-CANTEIRO.'!A153="COTAÇÃO",VLOOKUP('036.02-20-CANTEIRO.'!C153,'036-20-Cotação'!$A$9:$G$529,3,0),IF('036.02-20-CANTEIRO.'!A153="CCU",VLOOKUP('036.02-20-CANTEIRO.'!C153,'036-20-CCU''s'!$B$9:$H$1962,7,0)))))</f>
        <v>92.417208433599015</v>
      </c>
      <c r="H153" s="528">
        <f>BDI_O.A.E!$H$22</f>
        <v>0.18201100192553743</v>
      </c>
      <c r="I153" s="535">
        <f t="shared" si="24"/>
        <v>6335.8131138740564</v>
      </c>
      <c r="K153" s="232">
        <f t="shared" si="22"/>
        <v>6335.8131138740564</v>
      </c>
    </row>
    <row r="154" spans="1:11" s="223" customFormat="1" ht="51">
      <c r="A154" s="233" t="s">
        <v>4543</v>
      </c>
      <c r="B154" s="454" t="s">
        <v>6594</v>
      </c>
      <c r="C154" s="324">
        <v>5213380</v>
      </c>
      <c r="D154" s="451" t="str">
        <f>IF(A154="SERVIÇO",VLOOKUP(C154,SERVIÇOS!$A$6:$D$7645,2,0),IF(A154="INSUMO",VLOOKUP(C154,INSUMOS!$A$6:$D$6961,2,0),IF('036.02-20-CANTEIRO.'!A154="COTAÇÃO",VLOOKUP('036.02-20-CANTEIRO.'!C154,'036-20-Cotação'!$A$9:$G$529,2,0),IF('036.02-20-CANTEIRO.'!A154="CCU",VLOOKUP('036.02-20-CANTEIRO.'!C154,'036-20-CCU''s'!$B$9:$H$1962,2,0)))))</f>
        <v>CAVALETE EM POLIETILENO ZEBRADO COM FAIXA REFLETIVA E COM SINALIZADOR A LED COM BATERIA - H = 1,14 M - UTILIZAÇÃO DE 200 VEZES</v>
      </c>
      <c r="E154" s="452" t="str">
        <f>IF(A154="SERVIÇO",VLOOKUP(C154,SERVIÇOS!$A$6:$D$7645,3,0),IF(A154="INSUMO",VLOOKUP(C154,INSUMOS!$A$6:$D$6961,3,0),IF('036.02-20-CANTEIRO.'!A154="COTAÇÃO",VLOOKUP('036.02-20-CANTEIRO.'!C154,'036-20-Cotação'!$A$9:$G$529,4,0),IF('036.02-20-CANTEIRO.'!A154="CCU",VLOOKUP('036.02-20-CANTEIRO.'!C154,'036-20-CCU''s'!$B$9:$H$1962,4,0)))))</f>
        <v>UN</v>
      </c>
      <c r="F154" s="453">
        <v>58</v>
      </c>
      <c r="G154" s="534">
        <f>IF(A154="SERVIÇO",VLOOKUP(C154,SERVIÇOS!$A$6:$D$7645,4,0),IF(A154="INSUMO",VLOOKUP(C154,INSUMOS!$A$6:$D$6961,4,0),IF('036.02-20-CANTEIRO.'!A154="COTAÇÃO",VLOOKUP('036.02-20-CANTEIRO.'!C154,'036-20-Cotação'!$A$9:$G$529,3,0),IF('036.02-20-CANTEIRO.'!A154="CCU",VLOOKUP('036.02-20-CANTEIRO.'!C154,'036-20-CCU''s'!$B$9:$H$1962,7,0)))))</f>
        <v>3.638328912861736</v>
      </c>
      <c r="H154" s="528">
        <f>BDI_O.A.E!$H$22</f>
        <v>0.18201100192553743</v>
      </c>
      <c r="I154" s="535">
        <f t="shared" si="24"/>
        <v>249.43159861032839</v>
      </c>
      <c r="K154" s="232">
        <f t="shared" si="22"/>
        <v>249.43159861032839</v>
      </c>
    </row>
    <row r="155" spans="1:11" s="223" customFormat="1" ht="51">
      <c r="A155" s="233" t="s">
        <v>4543</v>
      </c>
      <c r="B155" s="454" t="s">
        <v>6595</v>
      </c>
      <c r="C155" s="324" t="s">
        <v>6278</v>
      </c>
      <c r="D155" s="451" t="str">
        <f>IF(A155="SERVIÇO",VLOOKUP(C155,SERVIÇOS!$A$6:$D$7645,2,0),IF(A155="INSUMO",VLOOKUP(C155,INSUMOS!$A$6:$D$6961,2,0),IF('036.02-20-CANTEIRO.'!A155="COTAÇÃO",VLOOKUP('036.02-20-CANTEIRO.'!C155,'036-20-Cotação'!$A$9:$G$529,2,0),IF('036.02-20-CANTEIRO.'!A155="CCU",VLOOKUP('036.02-20-CANTEIRO.'!C155,'036-20-CCU''s'!$B$9:$H$1962,2,0)))))</f>
        <v>SINALIZAÇÃO DE BALIZAMENTO TIPO P-60, EM POLIETILENO PIGMENTADO, CONFORME NORMAN 17, COM POITA COM ILUMINAÇÃO SOLAR. FORNECIMENTO</v>
      </c>
      <c r="E155" s="452" t="str">
        <f>IF(A155="SERVIÇO",VLOOKUP(C155,SERVIÇOS!$A$6:$D$7645,3,0),IF(A155="INSUMO",VLOOKUP(C155,INSUMOS!$A$6:$D$6961,3,0),IF('036.02-20-CANTEIRO.'!A155="COTAÇÃO",VLOOKUP('036.02-20-CANTEIRO.'!C155,'036-20-Cotação'!$A$9:$G$529,4,0),IF('036.02-20-CANTEIRO.'!A155="CCU",VLOOKUP('036.02-20-CANTEIRO.'!C155,'036-20-CCU''s'!$B$9:$H$1962,4,0)))))</f>
        <v>UN</v>
      </c>
      <c r="F155" s="537">
        <v>2</v>
      </c>
      <c r="G155" s="534">
        <f>IF(A155="SERVIÇO",VLOOKUP(C155,SERVIÇOS!$A$6:$D$7645,4,0),IF(A155="INSUMO",VLOOKUP(C155,INSUMOS!$A$6:$D$6961,4,0),IF('036.02-20-CANTEIRO.'!A155="COTAÇÃO",VLOOKUP('036.02-20-CANTEIRO.'!C155,'036-20-Cotação'!$A$9:$G$529,3,0),IF('036.02-20-CANTEIRO.'!A155="CCU",VLOOKUP('036.02-20-CANTEIRO.'!C155,'036-20-CCU''s'!$B$9:$H$1962,7,0)))))</f>
        <v>3704.5980609138992</v>
      </c>
      <c r="H155" s="528">
        <f>BDI_O.A.E!$H$22</f>
        <v>0.18201100192553743</v>
      </c>
      <c r="I155" s="535">
        <f t="shared" ref="I155" si="25">F155*(G155*(1+H155))</f>
        <v>8757.7513314244825</v>
      </c>
      <c r="K155" s="232">
        <f t="shared" si="22"/>
        <v>8757.7513314244825</v>
      </c>
    </row>
    <row r="156" spans="1:11" s="223" customFormat="1">
      <c r="A156" s="233" t="s">
        <v>4542</v>
      </c>
      <c r="B156" s="224" t="s">
        <v>6630</v>
      </c>
      <c r="C156" s="224"/>
      <c r="D156" s="229" t="s">
        <v>6632</v>
      </c>
      <c r="E156" s="230"/>
      <c r="F156" s="230"/>
      <c r="G156" s="230"/>
      <c r="H156" s="342"/>
      <c r="I156" s="231"/>
      <c r="K156" s="232">
        <f t="shared" si="22"/>
        <v>0</v>
      </c>
    </row>
    <row r="157" spans="1:11" s="223" customFormat="1" ht="38.25">
      <c r="A157" s="233" t="s">
        <v>4543</v>
      </c>
      <c r="B157" s="454" t="s">
        <v>6634</v>
      </c>
      <c r="C157" s="324" t="s">
        <v>6703</v>
      </c>
      <c r="D157" s="451" t="str">
        <f>IF(A157="SERVIÇO",VLOOKUP(C157,SERVIÇOS!$A$6:$D$7645,2,0),IF(A157="INSUMO",VLOOKUP(C157,INSUMOS!$A$6:$D$6961,2,0),IF('036.02-20-CANTEIRO.'!A157="COTAÇÃO",VLOOKUP('036.02-20-CANTEIRO.'!C157,'036-20-Cotação'!$A$9:$G$529,2,0),IF('036.02-20-CANTEIRO.'!A157="CCU",VLOOKUP('036.02-20-CANTEIRO.'!C157,'036-20-CCU''s'!$B$9:$H$1962,2,0)))))</f>
        <v>TAPUME ESTRUTURADO EM PERFÍS DE MADEIRA E FECHAMENTO EM TELHA METÁLICA COM PINTURA EXTERNA.</v>
      </c>
      <c r="E157" s="452" t="str">
        <f>IF(A157="SERVIÇO",VLOOKUP(C157,SERVIÇOS!$A$6:$D$7645,3,0),IF(A157="INSUMO",VLOOKUP(C157,INSUMOS!$A$6:$D$6961,3,0),IF('036.02-20-CANTEIRO.'!A157="COTAÇÃO",VLOOKUP('036.02-20-CANTEIRO.'!C157,'036-20-Cotação'!$A$9:$G$529,4,0),IF('036.02-20-CANTEIRO.'!A157="CCU",VLOOKUP('036.02-20-CANTEIRO.'!C157,'036-20-CCU''s'!$B$9:$H$1962,4,0)))))</f>
        <v>M2</v>
      </c>
      <c r="F157" s="453">
        <v>574.20000000000005</v>
      </c>
      <c r="G157" s="534">
        <f>IF(A157="SERVIÇO",VLOOKUP(C157,SERVIÇOS!$A$6:$D$7645,4,0),IF(A157="INSUMO",VLOOKUP(C157,INSUMOS!$A$6:$D$6961,4,0),IF('036.02-20-CANTEIRO.'!A157="COTAÇÃO",VLOOKUP('036.02-20-CANTEIRO.'!C157,'036-20-Cotação'!$A$9:$G$529,3,0),IF('036.02-20-CANTEIRO.'!A157="CCU",VLOOKUP('036.02-20-CANTEIRO.'!C157,'036-20-CCU''s'!$B$9:$H$1962,7,0)))))</f>
        <v>91.632000000000005</v>
      </c>
      <c r="H157" s="528">
        <f>BDI_O.A.E!$H$22</f>
        <v>0.18201100192553743</v>
      </c>
      <c r="I157" s="535">
        <f t="shared" ref="I157:I158" si="26">F157*(G157*(1+H157))</f>
        <v>62191.620448150745</v>
      </c>
      <c r="K157" s="232">
        <f t="shared" si="22"/>
        <v>62191.620448150745</v>
      </c>
    </row>
    <row r="158" spans="1:11" s="223" customFormat="1" ht="38.25">
      <c r="A158" s="233" t="s">
        <v>4543</v>
      </c>
      <c r="B158" s="454" t="s">
        <v>6642</v>
      </c>
      <c r="C158" s="324" t="s">
        <v>6279</v>
      </c>
      <c r="D158" s="451" t="str">
        <f>IF(A158="SERVIÇO",VLOOKUP(C158,SERVIÇOS!$A$6:$D$7645,2,0),IF(A158="INSUMO",VLOOKUP(C158,INSUMOS!$A$6:$D$6961,2,0),IF('036.02-20-CANTEIRO.'!A158="COTAÇÃO",VLOOKUP('036.02-20-CANTEIRO.'!C158,'036-20-Cotação'!$A$9:$G$529,2,0),IF('036.02-20-CANTEIRO.'!A158="CCU",VLOOKUP('036.02-20-CANTEIRO.'!C158,'036-20-CCU''s'!$B$9:$H$1962,2,0)))))</f>
        <v>COMPLEMENTO SUPERIOR DE FECHAMENTO DO TAPUME EM TELA DE ARAME GALV. ACIMA DE 2,20M ATÉ 2,90M, FIO 0,56 MALHA 1/2'</v>
      </c>
      <c r="E158" s="452" t="str">
        <f>IF(A158="SERVIÇO",VLOOKUP(C158,SERVIÇOS!$A$6:$D$7645,3,0),IF(A158="INSUMO",VLOOKUP(C158,INSUMOS!$A$6:$D$6961,3,0),IF('036.02-20-CANTEIRO.'!A158="COTAÇÃO",VLOOKUP('036.02-20-CANTEIRO.'!C158,'036-20-Cotação'!$A$9:$G$529,4,0),IF('036.02-20-CANTEIRO.'!A158="CCU",VLOOKUP('036.02-20-CANTEIRO.'!C158,'036-20-CCU''s'!$B$9:$H$1962,4,0)))))</f>
        <v>M2</v>
      </c>
      <c r="F158" s="453">
        <v>193.2</v>
      </c>
      <c r="G158" s="534">
        <f>IF(A158="SERVIÇO",VLOOKUP(C158,SERVIÇOS!$A$6:$D$7645,4,0),IF(A158="INSUMO",VLOOKUP(C158,INSUMOS!$A$6:$D$6961,4,0),IF('036.02-20-CANTEIRO.'!A158="COTAÇÃO",VLOOKUP('036.02-20-CANTEIRO.'!C158,'036-20-Cotação'!$A$9:$G$529,3,0),IF('036.02-20-CANTEIRO.'!A158="CCU",VLOOKUP('036.02-20-CANTEIRO.'!C158,'036-20-CCU''s'!$B$9:$H$1962,7,0)))))</f>
        <v>116.9858</v>
      </c>
      <c r="H158" s="528">
        <f>BDI_O.A.E!$H$22</f>
        <v>0.18201100192553743</v>
      </c>
      <c r="I158" s="535">
        <f t="shared" si="26"/>
        <v>26715.406715662495</v>
      </c>
      <c r="K158" s="232">
        <f t="shared" si="22"/>
        <v>26715.406715662495</v>
      </c>
    </row>
    <row r="159" spans="1:11" s="223" customFormat="1">
      <c r="A159" s="233" t="s">
        <v>4542</v>
      </c>
      <c r="B159" s="224" t="s">
        <v>6633</v>
      </c>
      <c r="C159" s="224"/>
      <c r="D159" s="229" t="s">
        <v>6635</v>
      </c>
      <c r="E159" s="230"/>
      <c r="F159" s="230"/>
      <c r="G159" s="230"/>
      <c r="H159" s="342"/>
      <c r="I159" s="231"/>
      <c r="K159" s="232">
        <f t="shared" si="22"/>
        <v>0</v>
      </c>
    </row>
    <row r="160" spans="1:11" s="223" customFormat="1" ht="25.5">
      <c r="A160" s="233" t="s">
        <v>4542</v>
      </c>
      <c r="B160" s="324" t="s">
        <v>6643</v>
      </c>
      <c r="C160" s="324" t="s">
        <v>479</v>
      </c>
      <c r="D160" s="451" t="str">
        <f>IF(A160="SERVIÇO",VLOOKUP(C160,SERVIÇOS!$A$6:$D$7645,2,0),IF(A160="INSUMO",VLOOKUP(C160,INSUMOS!$A$6:$D$6961,2,0),IF('036.02-20-CANTEIRO.'!A160="COTAÇÃO",VLOOKUP('036.02-20-CANTEIRO.'!C160,'036-20-Cotação'!$A$9:$G$529,2,0),IF('036.02-20-CANTEIRO.'!A160="CCU",VLOOKUP('036.02-20-CANTEIRO.'!C160,'036-20-CCU''s'!$B$9:$H$1962,2,0)))))</f>
        <v>PLACA DE OBRA EM CHAPA DE ACO GALVANIZADO</v>
      </c>
      <c r="E160" s="452" t="str">
        <f>IF(A160="SERVIÇO",VLOOKUP(C160,SERVIÇOS!$A$6:$D$7645,3,0),IF(A160="INSUMO",VLOOKUP(C160,INSUMOS!$A$6:$D$6961,3,0),IF('036.02-20-CANTEIRO.'!A160="COTAÇÃO",VLOOKUP('036.02-20-CANTEIRO.'!C160,'036-20-Cotação'!$A$9:$G$529,4,0),IF('036.02-20-CANTEIRO.'!A160="CCU",VLOOKUP('036.02-20-CANTEIRO.'!C160,'036-20-CCU''s'!$B$9:$H$1962,4,0)))))</f>
        <v>M2</v>
      </c>
      <c r="F160" s="453">
        <v>40.799999999999997</v>
      </c>
      <c r="G160" s="534" t="str">
        <f>IF(A160="SERVIÇO",VLOOKUP(C160,SERVIÇOS!$A$6:$D$7645,4,0),IF(A160="INSUMO",VLOOKUP(C160,INSUMOS!$A$6:$D$6961,4,0),IF('036.02-20-CANTEIRO.'!A160="COTAÇÃO",VLOOKUP('036.02-20-CANTEIRO.'!C160,'036-20-Cotação'!$A$9:$G$529,3,0),IF('036.02-20-CANTEIRO.'!A160="CCU",VLOOKUP('036.02-20-CANTEIRO.'!C160,'036-20-CCU''s'!$B$9:$H$1962,7,0)))))</f>
        <v>406,50</v>
      </c>
      <c r="H160" s="528">
        <f>BDI_O.A.E!$H$22</f>
        <v>0.18201100192553743</v>
      </c>
      <c r="I160" s="535">
        <f t="shared" ref="I160:I162" si="27">F160*(G160*(1+H160))</f>
        <v>19603.888869135422</v>
      </c>
      <c r="K160" s="232">
        <f t="shared" si="22"/>
        <v>19603.888869135422</v>
      </c>
    </row>
    <row r="161" spans="1:11" s="223" customFormat="1">
      <c r="A161" s="233" t="s">
        <v>4542</v>
      </c>
      <c r="B161" s="224" t="s">
        <v>6644</v>
      </c>
      <c r="C161" s="224"/>
      <c r="D161" s="229" t="s">
        <v>6646</v>
      </c>
      <c r="E161" s="230"/>
      <c r="F161" s="230"/>
      <c r="G161" s="230"/>
      <c r="H161" s="342"/>
      <c r="I161" s="231"/>
      <c r="K161" s="232">
        <f t="shared" si="22"/>
        <v>0</v>
      </c>
    </row>
    <row r="162" spans="1:11" s="223" customFormat="1" ht="38.25">
      <c r="A162" s="233" t="s">
        <v>4543</v>
      </c>
      <c r="B162" s="454" t="s">
        <v>6645</v>
      </c>
      <c r="C162" s="324" t="s">
        <v>6705</v>
      </c>
      <c r="D162" s="451" t="str">
        <f>IF(A162="SERVIÇO",VLOOKUP(C162,SERVIÇOS!$A$6:$D$7645,2,0),IF(A162="INSUMO",VLOOKUP(C162,INSUMOS!$A$6:$D$6961,2,0),IF('036.02-20-CANTEIRO.'!A162="COTAÇÃO",VLOOKUP('036.02-20-CANTEIRO.'!C162,'036-20-Cotação'!$A$9:$G$529,2,0),IF('036.02-20-CANTEIRO.'!A162="CCU",VLOOKUP('036.02-20-CANTEIRO.'!C162,'036-20-CCU''s'!$B$9:$H$1962,2,0)))))</f>
        <v>PORTÃO EM CHAPA DE AÇO GALVANIZADO PARA TAPUME DE OBRA COM PINTURA EXTERNA EM ESMALTE SINTÉTICO.</v>
      </c>
      <c r="E162" s="452" t="str">
        <f>IF(A162="SERVIÇO",VLOOKUP(C162,SERVIÇOS!$A$6:$D$7645,3,0),IF(A162="INSUMO",VLOOKUP(C162,INSUMOS!$A$6:$D$6961,3,0),IF('036.02-20-CANTEIRO.'!A162="COTAÇÃO",VLOOKUP('036.02-20-CANTEIRO.'!C162,'036-20-Cotação'!$A$9:$G$529,4,0),IF('036.02-20-CANTEIRO.'!A162="CCU",VLOOKUP('036.02-20-CANTEIRO.'!C162,'036-20-CCU''s'!$B$9:$H$1962,4,0)))))</f>
        <v>M2</v>
      </c>
      <c r="F162" s="453">
        <v>33</v>
      </c>
      <c r="G162" s="534">
        <f>IF(A162="SERVIÇO",VLOOKUP(C162,SERVIÇOS!$A$6:$D$7645,4,0),IF(A162="INSUMO",VLOOKUP(C162,INSUMOS!$A$6:$D$6961,4,0),IF('036.02-20-CANTEIRO.'!A162="COTAÇÃO",VLOOKUP('036.02-20-CANTEIRO.'!C162,'036-20-Cotação'!$A$9:$G$529,3,0),IF('036.02-20-CANTEIRO.'!A162="CCU",VLOOKUP('036.02-20-CANTEIRO.'!C162,'036-20-CCU''s'!$B$9:$H$1962,7,0)))))</f>
        <v>238.83085000000003</v>
      </c>
      <c r="H162" s="528">
        <f>BDI_O.A.E!$H$22</f>
        <v>0.18201100192553743</v>
      </c>
      <c r="I162" s="535">
        <f t="shared" si="27"/>
        <v>9315.9228458745165</v>
      </c>
      <c r="K162" s="232">
        <f t="shared" si="22"/>
        <v>9315.9228458745165</v>
      </c>
    </row>
    <row r="163" spans="1:11" s="223" customFormat="1">
      <c r="A163" s="233"/>
      <c r="B163" s="454"/>
      <c r="C163" s="324"/>
      <c r="D163" s="455"/>
      <c r="E163" s="456"/>
      <c r="F163" s="457"/>
      <c r="G163" s="458"/>
      <c r="H163" s="459"/>
      <c r="I163" s="460"/>
      <c r="K163" s="232">
        <f t="shared" si="22"/>
        <v>0</v>
      </c>
    </row>
    <row r="164" spans="1:11" s="223" customFormat="1">
      <c r="A164" s="233" t="s">
        <v>4542</v>
      </c>
      <c r="B164" s="224" t="s">
        <v>6647</v>
      </c>
      <c r="C164" s="224"/>
      <c r="D164" s="229" t="s">
        <v>6648</v>
      </c>
      <c r="E164" s="230"/>
      <c r="F164" s="230"/>
      <c r="G164" s="230"/>
      <c r="H164" s="342"/>
      <c r="I164" s="231"/>
      <c r="K164" s="232">
        <f t="shared" si="22"/>
        <v>0</v>
      </c>
    </row>
    <row r="165" spans="1:11" s="223" customFormat="1">
      <c r="A165" s="233" t="s">
        <v>4542</v>
      </c>
      <c r="B165" s="224" t="s">
        <v>6649</v>
      </c>
      <c r="C165" s="224"/>
      <c r="D165" s="229" t="s">
        <v>6651</v>
      </c>
      <c r="E165" s="230"/>
      <c r="F165" s="230"/>
      <c r="G165" s="230"/>
      <c r="H165" s="342"/>
      <c r="I165" s="231"/>
      <c r="K165" s="232">
        <f t="shared" si="22"/>
        <v>0</v>
      </c>
    </row>
    <row r="166" spans="1:11" s="223" customFormat="1">
      <c r="A166" s="233" t="s">
        <v>4542</v>
      </c>
      <c r="B166" s="224" t="s">
        <v>6650</v>
      </c>
      <c r="C166" s="224"/>
      <c r="D166" s="229" t="s">
        <v>6652</v>
      </c>
      <c r="E166" s="230"/>
      <c r="F166" s="230"/>
      <c r="G166" s="230"/>
      <c r="H166" s="342"/>
      <c r="I166" s="231"/>
      <c r="K166" s="232">
        <f t="shared" si="22"/>
        <v>0</v>
      </c>
    </row>
    <row r="167" spans="1:11" s="223" customFormat="1" ht="51">
      <c r="A167" s="233" t="s">
        <v>4543</v>
      </c>
      <c r="B167" s="454" t="s">
        <v>6662</v>
      </c>
      <c r="C167" s="324">
        <v>5213831</v>
      </c>
      <c r="D167" s="451" t="str">
        <f>IF(A167="SERVIÇO",VLOOKUP(C167,SERVIÇOS!$A$6:$D$7645,2,0),IF(A167="INSUMO",VLOOKUP(C167,INSUMOS!$A$6:$D$6961,2,0),IF('036.02-20-CANTEIRO.'!A167="COTAÇÃO",VLOOKUP('036.02-20-CANTEIRO.'!C167,'036-20-Cotação'!$A$9:$G$529,2,0),IF('036.02-20-CANTEIRO.'!A167="CCU",VLOOKUP('036.02-20-CANTEIRO.'!C167,'036-20-CCU''s'!$B$9:$H$1962,2,0)))))</f>
        <v>REMOÇÃO DE SINALIZAÇÃO HORIZONTAL TIPO PINTURA ACRÍLICA POR JATEAMENTO ABRASIVO ÚMIDO COM VIDRO - UTILIZAÇÃO DE 3 VEZES</v>
      </c>
      <c r="E167" s="452" t="str">
        <f>IF(A167="SERVIÇO",VLOOKUP(C167,SERVIÇOS!$A$6:$D$7645,3,0),IF(A167="INSUMO",VLOOKUP(C167,INSUMOS!$A$6:$D$6961,3,0),IF('036.02-20-CANTEIRO.'!A167="COTAÇÃO",VLOOKUP('036.02-20-CANTEIRO.'!C167,'036-20-Cotação'!$A$9:$G$529,4,0),IF('036.02-20-CANTEIRO.'!A167="CCU",VLOOKUP('036.02-20-CANTEIRO.'!C167,'036-20-CCU''s'!$B$9:$H$1962,4,0)))))</f>
        <v>M2</v>
      </c>
      <c r="F167" s="537">
        <v>100.55</v>
      </c>
      <c r="G167" s="534">
        <f>IF(A167="SERVIÇO",VLOOKUP(C167,SERVIÇOS!$A$6:$D$7645,4,0),IF(A167="INSUMO",VLOOKUP(C167,INSUMOS!$A$6:$D$6961,4,0),IF('036.02-20-CANTEIRO.'!A167="COTAÇÃO",VLOOKUP('036.02-20-CANTEIRO.'!C167,'036-20-Cotação'!$A$9:$G$529,3,0),IF('036.02-20-CANTEIRO.'!A167="CCU",VLOOKUP('036.02-20-CANTEIRO.'!C167,'036-20-CCU''s'!$B$9:$H$1962,7,0)))))</f>
        <v>45.795768140006885</v>
      </c>
      <c r="H167" s="528">
        <f>BDI_O.A.E!$H$22</f>
        <v>0.18201100192553743</v>
      </c>
      <c r="I167" s="535">
        <f t="shared" ref="I167:I169" si="28">F167*(G167*(1+H167))</f>
        <v>5442.8822842926293</v>
      </c>
      <c r="K167" s="232">
        <f t="shared" si="22"/>
        <v>5442.8822842926293</v>
      </c>
    </row>
    <row r="168" spans="1:11" s="223" customFormat="1">
      <c r="A168" s="233" t="s">
        <v>4543</v>
      </c>
      <c r="B168" s="454" t="s">
        <v>6663</v>
      </c>
      <c r="C168" s="324">
        <v>5213364</v>
      </c>
      <c r="D168" s="451" t="str">
        <f>IF(A168="SERVIÇO",VLOOKUP(C168,SERVIÇOS!$A$6:$D$7645,2,0),IF(A168="INSUMO",VLOOKUP(C168,INSUMOS!$A$6:$D$6961,2,0),IF('036.02-20-CANTEIRO.'!A168="COTAÇÃO",VLOOKUP('036.02-20-CANTEIRO.'!C168,'036-20-Cotação'!$A$9:$G$529,2,0),IF('036.02-20-CANTEIRO.'!A168="CCU",VLOOKUP('036.02-20-CANTEIRO.'!C168,'036-20-CCU''s'!$B$9:$H$1962,2,0)))))</f>
        <v>REMOÇÃO DE PLACA DE SINALIZAÇÃO</v>
      </c>
      <c r="E168" s="452" t="str">
        <f>IF(A168="SERVIÇO",VLOOKUP(C168,SERVIÇOS!$A$6:$D$7645,3,0),IF(A168="INSUMO",VLOOKUP(C168,INSUMOS!$A$6:$D$6961,3,0),IF('036.02-20-CANTEIRO.'!A168="COTAÇÃO",VLOOKUP('036.02-20-CANTEIRO.'!C168,'036-20-Cotação'!$A$9:$G$529,4,0),IF('036.02-20-CANTEIRO.'!A168="CCU",VLOOKUP('036.02-20-CANTEIRO.'!C168,'036-20-CCU''s'!$B$9:$H$1962,4,0)))))</f>
        <v>M2</v>
      </c>
      <c r="F168" s="453">
        <v>69.930000000000007</v>
      </c>
      <c r="G168" s="534">
        <f>IF(A168="SERVIÇO",VLOOKUP(C168,SERVIÇOS!$A$6:$D$7645,4,0),IF(A168="INSUMO",VLOOKUP(C168,INSUMOS!$A$6:$D$6961,4,0),IF('036.02-20-CANTEIRO.'!A168="COTAÇÃO",VLOOKUP('036.02-20-CANTEIRO.'!C168,'036-20-Cotação'!$A$9:$G$529,3,0),IF('036.02-20-CANTEIRO.'!A168="CCU",VLOOKUP('036.02-20-CANTEIRO.'!C168,'036-20-CCU''s'!$B$9:$H$1962,7,0)))))</f>
        <v>12.711874999999999</v>
      </c>
      <c r="H168" s="528">
        <f>BDI_O.A.E!$H$22</f>
        <v>0.18201100192553743</v>
      </c>
      <c r="I168" s="535">
        <f t="shared" si="28"/>
        <v>1050.7385370297964</v>
      </c>
      <c r="K168" s="232">
        <f t="shared" si="22"/>
        <v>1050.7385370297964</v>
      </c>
    </row>
    <row r="169" spans="1:11" s="223" customFormat="1" ht="25.5">
      <c r="A169" s="233" t="s">
        <v>4543</v>
      </c>
      <c r="B169" s="454" t="s">
        <v>6671</v>
      </c>
      <c r="C169" s="324">
        <v>1600989</v>
      </c>
      <c r="D169" s="451" t="str">
        <f>IF(A169="SERVIÇO",VLOOKUP(C169,SERVIÇOS!$A$6:$D$7645,2,0),IF(A169="INSUMO",VLOOKUP(C169,INSUMOS!$A$6:$D$6961,2,0),IF('036.02-20-CANTEIRO.'!A169="COTAÇÃO",VLOOKUP('036.02-20-CANTEIRO.'!C169,'036-20-Cotação'!$A$9:$G$529,2,0),IF('036.02-20-CANTEIRO.'!A169="CCU",VLOOKUP('036.02-20-CANTEIRO.'!C169,'036-20-CCU''s'!$B$9:$H$1962,2,0)))))</f>
        <v>DEMOLIÇÃO DE CONCRETO SIMPLES COM MARTELETE</v>
      </c>
      <c r="E169" s="452" t="str">
        <f>IF(A169="SERVIÇO",VLOOKUP(C169,SERVIÇOS!$A$6:$D$7645,3,0),IF(A169="INSUMO",VLOOKUP(C169,INSUMOS!$A$6:$D$6961,3,0),IF('036.02-20-CANTEIRO.'!A169="COTAÇÃO",VLOOKUP('036.02-20-CANTEIRO.'!C169,'036-20-Cotação'!$A$9:$G$529,4,0),IF('036.02-20-CANTEIRO.'!A169="CCU",VLOOKUP('036.02-20-CANTEIRO.'!C169,'036-20-CCU''s'!$B$9:$H$1962,4,0)))))</f>
        <v>M3</v>
      </c>
      <c r="F169" s="453">
        <v>14.64</v>
      </c>
      <c r="G169" s="534">
        <f>IF(A169="SERVIÇO",VLOOKUP(C169,SERVIÇOS!$A$6:$D$7645,4,0),IF(A169="INSUMO",VLOOKUP(C169,INSUMOS!$A$6:$D$6961,4,0),IF('036.02-20-CANTEIRO.'!A169="COTAÇÃO",VLOOKUP('036.02-20-CANTEIRO.'!C169,'036-20-Cotação'!$A$9:$G$529,3,0),IF('036.02-20-CANTEIRO.'!A169="CCU",VLOOKUP('036.02-20-CANTEIRO.'!C169,'036-20-CCU''s'!$B$9:$H$1962,7,0)))))</f>
        <v>266.5971944475138</v>
      </c>
      <c r="H169" s="528">
        <f>BDI_O.A.E!$H$22</f>
        <v>0.18201100192553743</v>
      </c>
      <c r="I169" s="535">
        <f t="shared" si="28"/>
        <v>4613.3687597006474</v>
      </c>
      <c r="K169" s="232">
        <f t="shared" si="22"/>
        <v>4613.3687597006474</v>
      </c>
    </row>
    <row r="170" spans="1:11" s="223" customFormat="1">
      <c r="A170" s="233" t="s">
        <v>4543</v>
      </c>
      <c r="B170" s="454" t="s">
        <v>6672</v>
      </c>
      <c r="C170" s="324" t="s">
        <v>13373</v>
      </c>
      <c r="D170" s="451" t="str">
        <f>IF(A170="SERVIÇO",VLOOKUP(C170,SERVIÇOS!$A$6:$D$7645,2,0),IF(A170="INSUMO",VLOOKUP(C170,INSUMOS!$A$6:$D$6961,2,0),IF('036.02-20-CANTEIRO.'!A170="COTAÇÃO",VLOOKUP('036.02-20-CANTEIRO.'!C170,'036-20-Cotação'!$A$9:$G$529,2,0),IF('036.02-20-CANTEIRO.'!A170="CCU",VLOOKUP('036.02-20-CANTEIRO.'!C170,'036-20-CCU''s'!$B$9:$H$1962,2,0)))))</f>
        <v>DEMOLIÇÃO DE CONCRETO ARMADO</v>
      </c>
      <c r="E170" s="452" t="str">
        <f>IF(A170="SERVIÇO",VLOOKUP(C170,SERVIÇOS!$A$6:$D$7645,3,0),IF(A170="INSUMO",VLOOKUP(C170,INSUMOS!$A$6:$D$6961,3,0),IF('036.02-20-CANTEIRO.'!A170="COTAÇÃO",VLOOKUP('036.02-20-CANTEIRO.'!C170,'036-20-Cotação'!$A$9:$G$529,4,0),IF('036.02-20-CANTEIRO.'!A170="CCU",VLOOKUP('036.02-20-CANTEIRO.'!C170,'036-20-CCU''s'!$B$9:$H$1962,4,0)))))</f>
        <v>M3</v>
      </c>
      <c r="F170" s="537">
        <v>14</v>
      </c>
      <c r="G170" s="534">
        <f>IF(A170="SERVIÇO",VLOOKUP(C170,SERVIÇOS!$A$6:$D$7645,4,0),IF(A170="INSUMO",VLOOKUP(C170,INSUMOS!$A$6:$D$6961,4,0),IF('036.02-20-CANTEIRO.'!A170="COTAÇÃO",VLOOKUP('036.02-20-CANTEIRO.'!C170,'036-20-Cotação'!$A$9:$G$529,3,0),IF('036.02-20-CANTEIRO.'!A170="CCU",VLOOKUP('036.02-20-CANTEIRO.'!C170,'036-20-CCU''s'!$B$9:$H$1962,7,0)))))</f>
        <v>483.26430692449355</v>
      </c>
      <c r="H170" s="528">
        <f>BDI_O.A.E!$H$22</f>
        <v>0.18201100192553743</v>
      </c>
      <c r="I170" s="535">
        <f t="shared" ref="I170:I174" si="29">F170*(G170*(1+H170))</f>
        <v>7997.1321867173947</v>
      </c>
      <c r="K170" s="232">
        <f t="shared" si="22"/>
        <v>7997.1321867173947</v>
      </c>
    </row>
    <row r="171" spans="1:11" s="223" customFormat="1" ht="25.5">
      <c r="A171" s="233" t="s">
        <v>4543</v>
      </c>
      <c r="B171" s="454" t="s">
        <v>6673</v>
      </c>
      <c r="C171" s="324">
        <v>1600447</v>
      </c>
      <c r="D171" s="451" t="str">
        <f>IF(A171="SERVIÇO",VLOOKUP(C171,SERVIÇOS!$A$6:$D$7645,2,0),IF(A171="INSUMO",VLOOKUP(C171,INSUMOS!$A$6:$D$6961,2,0),IF('036.02-20-CANTEIRO.'!A171="COTAÇÃO",VLOOKUP('036.02-20-CANTEIRO.'!C171,'036-20-Cotação'!$A$9:$G$529,2,0),IF('036.02-20-CANTEIRO.'!A171="CCU",VLOOKUP('036.02-20-CANTEIRO.'!C171,'036-20-CCU''s'!$B$9:$H$1962,2,0)))))</f>
        <v>DEMOLIÇÃO MANUAL DE MEIO FIO DE CONCRETO</v>
      </c>
      <c r="E171" s="452" t="str">
        <f>IF(A171="SERVIÇO",VLOOKUP(C171,SERVIÇOS!$A$6:$D$7645,3,0),IF(A171="INSUMO",VLOOKUP(C171,INSUMOS!$A$6:$D$6961,3,0),IF('036.02-20-CANTEIRO.'!A171="COTAÇÃO",VLOOKUP('036.02-20-CANTEIRO.'!C171,'036-20-Cotação'!$A$9:$G$529,4,0),IF('036.02-20-CANTEIRO.'!A171="CCU",VLOOKUP('036.02-20-CANTEIRO.'!C171,'036-20-CCU''s'!$B$9:$H$1962,4,0)))))</f>
        <v>M3</v>
      </c>
      <c r="F171" s="453">
        <v>19.32</v>
      </c>
      <c r="G171" s="534">
        <f>IF(A171="SERVIÇO",VLOOKUP(C171,SERVIÇOS!$A$6:$D$7645,4,0),IF(A171="INSUMO",VLOOKUP(C171,INSUMOS!$A$6:$D$6961,4,0),IF('036.02-20-CANTEIRO.'!A171="COTAÇÃO",VLOOKUP('036.02-20-CANTEIRO.'!C171,'036-20-Cotação'!$A$9:$G$529,3,0),IF('036.02-20-CANTEIRO.'!A171="CCU",VLOOKUP('036.02-20-CANTEIRO.'!C171,'036-20-CCU''s'!$B$9:$H$1962,7,0)))))</f>
        <v>315.91331156872593</v>
      </c>
      <c r="H171" s="528">
        <f>BDI_O.A.E!$H$22</f>
        <v>0.18201100192553743</v>
      </c>
      <c r="I171" s="535">
        <f t="shared" si="29"/>
        <v>7214.339351827588</v>
      </c>
      <c r="K171" s="232">
        <f t="shared" si="22"/>
        <v>7214.339351827588</v>
      </c>
    </row>
    <row r="172" spans="1:11" s="223" customFormat="1" ht="51">
      <c r="A172" s="233" t="s">
        <v>4543</v>
      </c>
      <c r="B172" s="454" t="s">
        <v>6674</v>
      </c>
      <c r="C172" s="324" t="s">
        <v>6335</v>
      </c>
      <c r="D172" s="451" t="str">
        <f>IF(A172="SERVIÇO",VLOOKUP(C172,SERVIÇOS!$A$6:$D$7645,2,0),IF(A172="INSUMO",VLOOKUP(C172,INSUMOS!$A$6:$D$6961,2,0),IF('036.02-20-CANTEIRO.'!A172="COTAÇÃO",VLOOKUP('036.02-20-CANTEIRO.'!C172,'036-20-Cotação'!$A$9:$G$529,2,0),IF('036.02-20-CANTEIRO.'!A172="CCU",VLOOKUP('036.02-20-CANTEIRO.'!C172,'036-20-CCU''s'!$B$9:$H$1962,2,0)))))</f>
        <v>ESCAVAÇÃO E CARGA DE MATERIAL DE PAVIMENTAÇÃO NAS VIAS DE ACESSO EM MACADAME, COM TRATOR  E  CAMINHAO BASCULANTE 14M3</v>
      </c>
      <c r="E172" s="452" t="str">
        <f>IF(A172="SERVIÇO",VLOOKUP(C172,SERVIÇOS!$A$6:$D$7645,3,0),IF(A172="INSUMO",VLOOKUP(C172,INSUMOS!$A$6:$D$6961,3,0),IF('036.02-20-CANTEIRO.'!A172="COTAÇÃO",VLOOKUP('036.02-20-CANTEIRO.'!C172,'036-20-Cotação'!$A$9:$G$529,4,0),IF('036.02-20-CANTEIRO.'!A172="CCU",VLOOKUP('036.02-20-CANTEIRO.'!C172,'036-20-CCU''s'!$B$9:$H$1962,4,0)))))</f>
        <v>M3</v>
      </c>
      <c r="F172" s="453">
        <v>1206.96</v>
      </c>
      <c r="G172" s="534">
        <f>IF(A172="SERVIÇO",VLOOKUP(C172,SERVIÇOS!$A$6:$D$7645,4,0),IF(A172="INSUMO",VLOOKUP(C172,INSUMOS!$A$6:$D$6961,4,0),IF('036.02-20-CANTEIRO.'!A172="COTAÇÃO",VLOOKUP('036.02-20-CANTEIRO.'!C172,'036-20-Cotação'!$A$9:$G$529,3,0),IF('036.02-20-CANTEIRO.'!A172="CCU",VLOOKUP('036.02-20-CANTEIRO.'!C172,'036-20-CCU''s'!$B$9:$H$1962,7,0)))))</f>
        <v>5.5829336918396422</v>
      </c>
      <c r="H172" s="528">
        <f>BDI_O.A.E!$H$22</f>
        <v>0.18201100192553743</v>
      </c>
      <c r="I172" s="535">
        <f t="shared" si="29"/>
        <v>7964.836515895814</v>
      </c>
      <c r="K172" s="232">
        <f t="shared" si="22"/>
        <v>7964.836515895814</v>
      </c>
    </row>
    <row r="173" spans="1:11" s="223" customFormat="1">
      <c r="A173" s="233" t="s">
        <v>4542</v>
      </c>
      <c r="B173" s="224" t="s">
        <v>6675</v>
      </c>
      <c r="C173" s="224"/>
      <c r="D173" s="229" t="s">
        <v>6670</v>
      </c>
      <c r="E173" s="230"/>
      <c r="F173" s="230"/>
      <c r="G173" s="230"/>
      <c r="H173" s="342"/>
      <c r="I173" s="231"/>
      <c r="K173" s="232">
        <f t="shared" si="22"/>
        <v>0</v>
      </c>
    </row>
    <row r="174" spans="1:11" s="223" customFormat="1" ht="38.25">
      <c r="A174" s="233" t="s">
        <v>4543</v>
      </c>
      <c r="B174" s="454" t="s">
        <v>8080</v>
      </c>
      <c r="C174" s="324">
        <v>1600895</v>
      </c>
      <c r="D174" s="451" t="str">
        <f>IF(A174="SERVIÇO",VLOOKUP(C174,SERVIÇOS!$A$6:$D$7645,2,0),IF(A174="INSUMO",VLOOKUP(C174,INSUMOS!$A$6:$D$6961,2,0),IF('036.02-20-CANTEIRO.'!A174="COTAÇÃO",VLOOKUP('036.02-20-CANTEIRO.'!C174,'036-20-Cotação'!$A$9:$G$529,2,0),IF('036.02-20-CANTEIRO.'!A174="CCU",VLOOKUP('036.02-20-CANTEIRO.'!C174,'036-20-CCU''s'!$B$9:$H$1962,2,0)))))</f>
        <v>DEMOLIÇÃO MANUAL DE CONSTRUÇÕES PROVISÓRIAS DE MADEIRA - SEM REAPROVEITAMENTO</v>
      </c>
      <c r="E174" s="452" t="str">
        <f>IF(A174="SERVIÇO",VLOOKUP(C174,SERVIÇOS!$A$6:$D$7645,3,0),IF(A174="INSUMO",VLOOKUP(C174,INSUMOS!$A$6:$D$6961,3,0),IF('036.02-20-CANTEIRO.'!A174="COTAÇÃO",VLOOKUP('036.02-20-CANTEIRO.'!C174,'036-20-Cotação'!$A$9:$G$529,4,0),IF('036.02-20-CANTEIRO.'!A174="CCU",VLOOKUP('036.02-20-CANTEIRO.'!C174,'036-20-CCU''s'!$B$9:$H$1962,4,0)))))</f>
        <v>M2</v>
      </c>
      <c r="F174" s="453">
        <v>641.25</v>
      </c>
      <c r="G174" s="534">
        <f>IF(A174="SERVIÇO",VLOOKUP(C174,SERVIÇOS!$A$6:$D$7645,4,0),IF(A174="INSUMO",VLOOKUP(C174,INSUMOS!$A$6:$D$6961,4,0),IF('036.02-20-CANTEIRO.'!A174="COTAÇÃO",VLOOKUP('036.02-20-CANTEIRO.'!C174,'036-20-Cotação'!$A$9:$G$529,3,0),IF('036.02-20-CANTEIRO.'!A174="CCU",VLOOKUP('036.02-20-CANTEIRO.'!C174,'036-20-CCU''s'!$B$9:$H$1962,7,0)))))</f>
        <v>10.590859999999999</v>
      </c>
      <c r="H174" s="528">
        <f>BDI_O.A.E!$H$22</f>
        <v>0.18201100192553743</v>
      </c>
      <c r="I174" s="535">
        <f t="shared" si="29"/>
        <v>8027.4964868057987</v>
      </c>
      <c r="K174" s="232">
        <f t="shared" si="22"/>
        <v>8027.4964868057987</v>
      </c>
    </row>
    <row r="175" spans="1:11" s="223" customFormat="1" ht="38.25">
      <c r="A175" s="233" t="s">
        <v>4542</v>
      </c>
      <c r="B175" s="454" t="s">
        <v>8081</v>
      </c>
      <c r="C175" s="324">
        <v>97637</v>
      </c>
      <c r="D175" s="451" t="str">
        <f>IF(A175="SERVIÇO",VLOOKUP(C175,SERVIÇOS!$A$6:$D$7645,2,0),IF(A175="INSUMO",VLOOKUP(C175,INSUMOS!$A$6:$D$6961,2,0),IF('036.02-20-CANTEIRO.'!A175="COTAÇÃO",VLOOKUP('036.02-20-CANTEIRO.'!C175,'036-20-Cotação'!$A$9:$G$529,2,0),IF('036.02-20-CANTEIRO.'!A175="CCU",VLOOKUP('036.02-20-CANTEIRO.'!C175,'036-20-CCU''s'!$B$9:$H$1962,2,0)))))</f>
        <v>REMOÇÃO DE TAPUME/ CHAPAS METÁLICAS E DE MADEIRA, DE FORMA MANUAL, SEM REAPROVEITAMENTO. AF_12/2017</v>
      </c>
      <c r="E175" s="452" t="str">
        <f>IF(A175="SERVIÇO",VLOOKUP(C175,SERVIÇOS!$A$6:$D$7645,3,0),IF(A175="INSUMO",VLOOKUP(C175,INSUMOS!$A$6:$D$6961,3,0),IF('036.02-20-CANTEIRO.'!A175="COTAÇÃO",VLOOKUP('036.02-20-CANTEIRO.'!C175,'036-20-Cotação'!$A$9:$G$529,4,0),IF('036.02-20-CANTEIRO.'!A175="CCU",VLOOKUP('036.02-20-CANTEIRO.'!C175,'036-20-CCU''s'!$B$9:$H$1962,4,0)))))</f>
        <v>M2</v>
      </c>
      <c r="F175" s="537">
        <f>800.4+40.8</f>
        <v>841.19999999999993</v>
      </c>
      <c r="G175" s="534" t="str">
        <f>IF(A175="SERVIÇO",VLOOKUP(C175,SERVIÇOS!$A$6:$D$7645,4,0),IF(A175="INSUMO",VLOOKUP(C175,INSUMOS!$A$6:$D$6961,4,0),IF('036.02-20-CANTEIRO.'!A175="COTAÇÃO",VLOOKUP('036.02-20-CANTEIRO.'!C175,'036-20-Cotação'!$A$9:$G$529,3,0),IF('036.02-20-CANTEIRO.'!A175="CCU",VLOOKUP('036.02-20-CANTEIRO.'!C175,'036-20-CCU''s'!$B$9:$H$1962,7,0)))))</f>
        <v>2,02</v>
      </c>
      <c r="H175" s="528">
        <f>BDI_O.A.E!$H$22</f>
        <v>0.18201100192553743</v>
      </c>
      <c r="I175" s="535">
        <f t="shared" ref="I175:I178" si="30">F175*(G175*(1+H175))</f>
        <v>2008.5014627359194</v>
      </c>
      <c r="K175" s="232">
        <f t="shared" si="22"/>
        <v>2008.5014627359194</v>
      </c>
    </row>
    <row r="176" spans="1:11" s="223" customFormat="1" ht="38.25">
      <c r="A176" s="233" t="s">
        <v>4543</v>
      </c>
      <c r="B176" s="454" t="s">
        <v>8082</v>
      </c>
      <c r="C176" s="324" t="s">
        <v>6676</v>
      </c>
      <c r="D176" s="451" t="str">
        <f>IF(A176="SERVIÇO",VLOOKUP(C176,SERVIÇOS!$A$6:$D$7645,2,0),IF(A176="INSUMO",VLOOKUP(C176,INSUMOS!$A$6:$D$6961,2,0),IF('036.02-20-CANTEIRO.'!A176="COTAÇÃO",VLOOKUP('036.02-20-CANTEIRO.'!C176,'036-20-Cotação'!$A$9:$G$529,2,0),IF('036.02-20-CANTEIRO.'!A176="CCU",VLOOKUP('036.02-20-CANTEIRO.'!C176,'036-20-CCU''s'!$B$9:$H$1962,2,0)))))</f>
        <v>REMOÇÃO DE TUBULAÇÕES ENTERRADAS DAS INSTALAÇÕES PROVISÓRIAS DO CANTEIRO</v>
      </c>
      <c r="E176" s="452" t="str">
        <f>IF(A176="SERVIÇO",VLOOKUP(C176,SERVIÇOS!$A$6:$D$7645,3,0),IF(A176="INSUMO",VLOOKUP(C176,INSUMOS!$A$6:$D$6961,3,0),IF('036.02-20-CANTEIRO.'!A176="COTAÇÃO",VLOOKUP('036.02-20-CANTEIRO.'!C176,'036-20-Cotação'!$A$9:$G$529,4,0),IF('036.02-20-CANTEIRO.'!A176="CCU",VLOOKUP('036.02-20-CANTEIRO.'!C176,'036-20-CCU''s'!$B$9:$H$1962,4,0)))))</f>
        <v>M</v>
      </c>
      <c r="F176" s="453">
        <v>1128.5</v>
      </c>
      <c r="G176" s="534">
        <f>IF(A176="SERVIÇO",VLOOKUP(C176,SERVIÇOS!$A$6:$D$7645,4,0),IF(A176="INSUMO",VLOOKUP(C176,INSUMOS!$A$6:$D$6961,4,0),IF('036.02-20-CANTEIRO.'!A176="COTAÇÃO",VLOOKUP('036.02-20-CANTEIRO.'!C176,'036-20-Cotação'!$A$9:$G$529,3,0),IF('036.02-20-CANTEIRO.'!A176="CCU",VLOOKUP('036.02-20-CANTEIRO.'!C176,'036-20-CCU''s'!$B$9:$H$1962,7,0)))))</f>
        <v>0.9627155645311356</v>
      </c>
      <c r="H176" s="528">
        <f>BDI_O.A.E!$H$22</f>
        <v>0.18201100192553743</v>
      </c>
      <c r="I176" s="535">
        <f t="shared" si="30"/>
        <v>1284.1657289873542</v>
      </c>
      <c r="K176" s="232">
        <f t="shared" si="22"/>
        <v>1284.1657289873542</v>
      </c>
    </row>
    <row r="177" spans="1:12" s="223" customFormat="1" ht="38.25">
      <c r="A177" s="233" t="s">
        <v>4543</v>
      </c>
      <c r="B177" s="454" t="s">
        <v>8083</v>
      </c>
      <c r="C177" s="324" t="s">
        <v>6681</v>
      </c>
      <c r="D177" s="451" t="str">
        <f>IF(A177="SERVIÇO",VLOOKUP(C177,SERVIÇOS!$A$6:$D$7645,2,0),IF(A177="INSUMO",VLOOKUP(C177,INSUMOS!$A$6:$D$6961,2,0),IF('036.02-20-CANTEIRO.'!A177="COTAÇÃO",VLOOKUP('036.02-20-CANTEIRO.'!C177,'036-20-Cotação'!$A$9:$G$529,2,0),IF('036.02-20-CANTEIRO.'!A177="CCU",VLOOKUP('036.02-20-CANTEIRO.'!C177,'036-20-CCU''s'!$B$9:$H$1962,2,0)))))</f>
        <v>REMOÇÃO DE RESEVATÓRIO SOBRE ESTRUTURA DE MADEIRA, INCLUSIVE TUBULAÇÕES</v>
      </c>
      <c r="E177" s="452" t="str">
        <f>IF(A177="SERVIÇO",VLOOKUP(C177,SERVIÇOS!$A$6:$D$7645,3,0),IF(A177="INSUMO",VLOOKUP(C177,INSUMOS!$A$6:$D$6961,3,0),IF('036.02-20-CANTEIRO.'!A177="COTAÇÃO",VLOOKUP('036.02-20-CANTEIRO.'!C177,'036-20-Cotação'!$A$9:$G$529,4,0),IF('036.02-20-CANTEIRO.'!A177="CCU",VLOOKUP('036.02-20-CANTEIRO.'!C177,'036-20-CCU''s'!$B$9:$H$1962,4,0)))))</f>
        <v xml:space="preserve">UN    </v>
      </c>
      <c r="F177" s="453">
        <v>4</v>
      </c>
      <c r="G177" s="534">
        <f>IF(A177="SERVIÇO",VLOOKUP(C177,SERVIÇOS!$A$6:$D$7645,4,0),IF(A177="INSUMO",VLOOKUP(C177,INSUMOS!$A$6:$D$6961,4,0),IF('036.02-20-CANTEIRO.'!A177="COTAÇÃO",VLOOKUP('036.02-20-CANTEIRO.'!C177,'036-20-Cotação'!$A$9:$G$529,3,0),IF('036.02-20-CANTEIRO.'!A177="CCU",VLOOKUP('036.02-20-CANTEIRO.'!C177,'036-20-CCU''s'!$B$9:$H$1962,7,0)))))</f>
        <v>169.52112</v>
      </c>
      <c r="H177" s="528">
        <f>BDI_O.A.E!$H$22</f>
        <v>0.18201100192553743</v>
      </c>
      <c r="I177" s="535">
        <f t="shared" si="30"/>
        <v>801.50331559495703</v>
      </c>
      <c r="K177" s="232">
        <f t="shared" si="22"/>
        <v>801.50331559495703</v>
      </c>
    </row>
    <row r="178" spans="1:12" s="223" customFormat="1" ht="25.5">
      <c r="A178" s="233" t="s">
        <v>4543</v>
      </c>
      <c r="B178" s="454" t="s">
        <v>8084</v>
      </c>
      <c r="C178" s="324" t="s">
        <v>6683</v>
      </c>
      <c r="D178" s="451" t="str">
        <f>IF(A178="SERVIÇO",VLOOKUP(C178,SERVIÇOS!$A$6:$D$7645,2,0),IF(A178="INSUMO",VLOOKUP(C178,INSUMOS!$A$6:$D$6961,2,0),IF('036.02-20-CANTEIRO.'!A178="COTAÇÃO",VLOOKUP('036.02-20-CANTEIRO.'!C178,'036-20-Cotação'!$A$9:$G$529,2,0),IF('036.02-20-CANTEIRO.'!A178="CCU",VLOOKUP('036.02-20-CANTEIRO.'!C178,'036-20-CCU''s'!$B$9:$H$1962,2,0)))))</f>
        <v xml:space="preserve">REMOÇÃO DE SUBESTAÇÃO, QUADROS E ACESSÓRIOS                  </v>
      </c>
      <c r="E178" s="452" t="str">
        <f>IF(A178="SERVIÇO",VLOOKUP(C178,SERVIÇOS!$A$6:$D$7645,3,0),IF(A178="INSUMO",VLOOKUP(C178,INSUMOS!$A$6:$D$6961,3,0),IF('036.02-20-CANTEIRO.'!A178="COTAÇÃO",VLOOKUP('036.02-20-CANTEIRO.'!C178,'036-20-Cotação'!$A$9:$G$529,4,0),IF('036.02-20-CANTEIRO.'!A178="CCU",VLOOKUP('036.02-20-CANTEIRO.'!C178,'036-20-CCU''s'!$B$9:$H$1962,4,0)))))</f>
        <v xml:space="preserve">UN    </v>
      </c>
      <c r="F178" s="453">
        <v>1</v>
      </c>
      <c r="G178" s="534">
        <f>IF(A178="SERVIÇO",VLOOKUP(C178,SERVIÇOS!$A$6:$D$7645,4,0),IF(A178="INSUMO",VLOOKUP(C178,INSUMOS!$A$6:$D$6961,4,0),IF('036.02-20-CANTEIRO.'!A178="COTAÇÃO",VLOOKUP('036.02-20-CANTEIRO.'!C178,'036-20-Cotação'!$A$9:$G$529,3,0),IF('036.02-20-CANTEIRO.'!A178="CCU",VLOOKUP('036.02-20-CANTEIRO.'!C178,'036-20-CCU''s'!$B$9:$H$1962,7,0)))))</f>
        <v>865.70280000000002</v>
      </c>
      <c r="H178" s="528">
        <f>BDI_O.A.E!$H$22</f>
        <v>0.18201100192553743</v>
      </c>
      <c r="I178" s="535">
        <f t="shared" si="30"/>
        <v>1023.2702339977432</v>
      </c>
      <c r="K178" s="232">
        <f t="shared" si="22"/>
        <v>1023.2702339977432</v>
      </c>
    </row>
    <row r="179" spans="1:12" s="87" customFormat="1">
      <c r="A179" s="232"/>
      <c r="B179" s="88" t="s">
        <v>6891</v>
      </c>
      <c r="C179" s="88" t="s">
        <v>6348</v>
      </c>
      <c r="D179" s="364" t="s">
        <v>6892</v>
      </c>
      <c r="E179" s="149"/>
      <c r="F179" s="149"/>
      <c r="G179" s="149"/>
      <c r="H179" s="149"/>
      <c r="I179" s="150"/>
      <c r="K179" s="232">
        <f t="shared" si="22"/>
        <v>0</v>
      </c>
    </row>
    <row r="180" spans="1:12" s="87" customFormat="1" ht="25.5">
      <c r="A180" s="232" t="s">
        <v>4542</v>
      </c>
      <c r="B180" s="324" t="s">
        <v>5069</v>
      </c>
      <c r="C180" s="324">
        <v>72897</v>
      </c>
      <c r="D180" s="451" t="str">
        <f>IF(A180="SERVIÇO",VLOOKUP(C180,SERVIÇOS!$A$6:$D$7645,2,0),IF(A180="INSUMO",VLOOKUP(C180,INSUMOS!$A$6:$D$6961,2,0),IF('036.02-20-CANTEIRO.'!A180="COTAÇÃO",VLOOKUP('036.02-20-CANTEIRO.'!C180,'036-20-Cotação'!$A$9:$G$529,2,0),IF('036.02-20-CANTEIRO.'!A180="CCU",VLOOKUP('036.02-20-CANTEIRO.'!C180,'036-20-CCU''s'!$B$9:$H$1962,2,0)))))</f>
        <v>CARGA MANUAL DE ENTULHO EM CAMINHAO BASCULANTE 6 M3</v>
      </c>
      <c r="E180" s="452" t="str">
        <f>IF(A180="SERVIÇO",VLOOKUP(C180,SERVIÇOS!$A$6:$D$7645,3,0),IF(A180="INSUMO",VLOOKUP(C180,INSUMOS!$A$6:$D$6961,3,0),IF('036.02-20-CANTEIRO.'!A180="COTAÇÃO",VLOOKUP('036.02-20-CANTEIRO.'!C180,'036-20-Cotação'!$A$9:$G$529,4,0),IF('036.02-20-CANTEIRO.'!A180="CCU",VLOOKUP('036.02-20-CANTEIRO.'!C180,'036-20-CCU''s'!$B$9:$H$1962,4,0)))))</f>
        <v>M3</v>
      </c>
      <c r="F180" s="453">
        <f>((((F168*0.05)+(F174*0.5)+(F175*0.05)+(F176*0.05)+(F177*0.05))))</f>
        <v>422.80650000000003</v>
      </c>
      <c r="G180" s="534" t="str">
        <f>IF(A180="SERVIÇO",VLOOKUP(C180,SERVIÇOS!$A$6:$D$7645,4,0),IF(A180="INSUMO",VLOOKUP(C180,INSUMOS!$A$6:$D$6961,4,0),IF('036.02-20-CANTEIRO.'!A180="COTAÇÃO",VLOOKUP('036.02-20-CANTEIRO.'!C180,'036-20-Cotação'!$A$9:$G$529,3,0),IF('036.02-20-CANTEIRO.'!A180="CCU",VLOOKUP('036.02-20-CANTEIRO.'!C180,'036-20-CCU''s'!$B$9:$H$1962,7,0)))))</f>
        <v>19,98</v>
      </c>
      <c r="H180" s="528">
        <f>BDI_O.A.E!$H$22</f>
        <v>0.18201100192553743</v>
      </c>
      <c r="I180" s="535">
        <f t="shared" ref="I180:I182" si="31">F180*(G180*(1+H180))</f>
        <v>9985.2434550188827</v>
      </c>
      <c r="K180" s="232">
        <f t="shared" si="22"/>
        <v>9985.2434550188827</v>
      </c>
    </row>
    <row r="181" spans="1:12" s="87" customFormat="1" ht="63.75">
      <c r="A181" s="232" t="s">
        <v>4543</v>
      </c>
      <c r="B181" s="324" t="s">
        <v>5070</v>
      </c>
      <c r="C181" s="324">
        <v>5915459</v>
      </c>
      <c r="D181" s="451" t="str">
        <f>IF(A181="SERVIÇO",VLOOKUP(C181,SERVIÇOS!$A$6:$D$7645,2,0),IF(A181="INSUMO",VLOOKUP(C181,INSUMOS!$A$6:$D$6961,2,0),IF('036.02-20-CANTEIRO.'!A181="COTAÇÃO",VLOOKUP('036.02-20-CANTEIRO.'!C181,'036-20-Cotação'!$A$9:$G$529,2,0),IF('036.02-20-CANTEIRO.'!A181="CCU",VLOOKUP('036.02-20-CANTEIRO.'!C181,'036-20-CCU''s'!$B$9:$H$1962,2,0)))))</f>
        <v>CARGA, MANOBRA E DESCARGA DE AGREGADOS (BRITA, PÓ DE PEDRA, AREIA, RACHÃO) EM CAMINHÃO BASCULANTE DE 6 M³ - CARGA COM MINI-CARREGADEIRA E DESCARGA LIVRE</v>
      </c>
      <c r="E181" s="452" t="str">
        <f>IF(A181="SERVIÇO",VLOOKUP(C181,SERVIÇOS!$A$6:$D$7645,3,0),IF(A181="INSUMO",VLOOKUP(C181,INSUMOS!$A$6:$D$6961,3,0),IF('036.02-20-CANTEIRO.'!A181="COTAÇÃO",VLOOKUP('036.02-20-CANTEIRO.'!C181,'036-20-Cotação'!$A$9:$G$529,4,0),IF('036.02-20-CANTEIRO.'!A181="CCU",VLOOKUP('036.02-20-CANTEIRO.'!C181,'036-20-CCU''s'!$B$9:$H$1962,4,0)))))</f>
        <v>T</v>
      </c>
      <c r="F181" s="453">
        <f>(((F169+F170+F171)*1500)/1000)*1.3</f>
        <v>93.522000000000006</v>
      </c>
      <c r="G181" s="534">
        <f>IF(A181="SERVIÇO",VLOOKUP(C181,SERVIÇOS!$A$6:$D$7645,4,0),IF(A181="INSUMO",VLOOKUP(C181,INSUMOS!$A$6:$D$6961,4,0),IF('036.02-20-CANTEIRO.'!A181="COTAÇÃO",VLOOKUP('036.02-20-CANTEIRO.'!C181,'036-20-Cotação'!$A$9:$G$529,3,0),IF('036.02-20-CANTEIRO.'!A181="CCU",VLOOKUP('036.02-20-CANTEIRO.'!C181,'036-20-CCU''s'!$B$9:$H$1962,7,0)))))</f>
        <v>3.1350291994750652</v>
      </c>
      <c r="H181" s="528">
        <f>BDI_O.A.E!$H$22</f>
        <v>0.18201100192553743</v>
      </c>
      <c r="I181" s="535">
        <f t="shared" si="31"/>
        <v>346.5587710384541</v>
      </c>
      <c r="K181" s="232">
        <f t="shared" si="22"/>
        <v>346.5587710384541</v>
      </c>
      <c r="L181" s="232" t="s">
        <v>7866</v>
      </c>
    </row>
    <row r="182" spans="1:12" s="87" customFormat="1" ht="25.5">
      <c r="A182" s="232" t="s">
        <v>4543</v>
      </c>
      <c r="B182" s="324" t="s">
        <v>6893</v>
      </c>
      <c r="C182" s="324">
        <v>5915321</v>
      </c>
      <c r="D182" s="451" t="str">
        <f>IF(A182="SERVIÇO",VLOOKUP(C182,SERVIÇOS!$A$6:$D$7645,2,0),IF(A182="INSUMO",VLOOKUP(C182,INSUMOS!$A$6:$D$6961,2,0),IF('036.02-20-CANTEIRO.'!A182="COTAÇÃO",VLOOKUP('036.02-20-CANTEIRO.'!C182,'036-20-Cotação'!$A$9:$G$529,2,0),IF('036.02-20-CANTEIRO.'!A182="CCU",VLOOKUP('036.02-20-CANTEIRO.'!C182,'036-20-CCU''s'!$B$9:$H$1962,2,0)))))</f>
        <v>TRANSPORTE COM CAMINHÃO BASCULANTE DE 14 M³ - RODOVIA PAVIMENTADA</v>
      </c>
      <c r="E182" s="452" t="str">
        <f>IF(A182="SERVIÇO",VLOOKUP(C182,SERVIÇOS!$A$6:$D$7645,3,0),IF(A182="INSUMO",VLOOKUP(C182,INSUMOS!$A$6:$D$6961,3,0),IF('036.02-20-CANTEIRO.'!A182="COTAÇÃO",VLOOKUP('036.02-20-CANTEIRO.'!C182,'036-20-Cotação'!$A$9:$G$529,4,0),IF('036.02-20-CANTEIRO.'!A182="CCU",VLOOKUP('036.02-20-CANTEIRO.'!C182,'036-20-CCU''s'!$B$9:$H$1962,4,0)))))</f>
        <v>T.KM</v>
      </c>
      <c r="F182" s="453">
        <f>(F181+(F180*1500)/1000)*32.8</f>
        <v>23869.6014</v>
      </c>
      <c r="G182" s="534">
        <f>IF(A182="SERVIÇO",VLOOKUP(C182,SERVIÇOS!$A$6:$D$7645,4,0),IF(A182="INSUMO",VLOOKUP(C182,INSUMOS!$A$6:$D$6961,4,0),IF('036.02-20-CANTEIRO.'!A182="COTAÇÃO",VLOOKUP('036.02-20-CANTEIRO.'!C182,'036-20-Cotação'!$A$9:$G$529,3,0),IF('036.02-20-CANTEIRO.'!A182="CCU",VLOOKUP('036.02-20-CANTEIRO.'!C182,'036-20-CCU''s'!$B$9:$H$1962,7,0)))))</f>
        <v>0.53044787122445292</v>
      </c>
      <c r="H182" s="528">
        <f>BDI_O.A.E!$H$22</f>
        <v>0.18201100192553743</v>
      </c>
      <c r="I182" s="535">
        <f t="shared" si="31"/>
        <v>14966.125974786644</v>
      </c>
      <c r="K182" s="232">
        <f t="shared" si="22"/>
        <v>14966.125974786644</v>
      </c>
      <c r="L182" s="232" t="s">
        <v>7865</v>
      </c>
    </row>
    <row r="183" spans="1:12" s="87" customFormat="1" ht="25.5">
      <c r="A183" s="232" t="s">
        <v>4542</v>
      </c>
      <c r="B183" s="324" t="s">
        <v>6894</v>
      </c>
      <c r="C183" s="324" t="s">
        <v>26987</v>
      </c>
      <c r="D183" s="451" t="str">
        <f>IF(A183="SERVIÇO",VLOOKUP(C183,SERVIÇOS!$A$6:$D$7645,2,0),IF(A183="INSUMO",VLOOKUP(C183,INSUMOS!$A$6:$D$6961,2,0),IF('036.02-20-CANTEIRO.'!A183="COTAÇÃO",VLOOKUP('036.02-20-CANTEIRO.'!C183,'036-20-Cotação'!$A$9:$G$529,2,0),IF('036.02-20-CANTEIRO.'!A183="CCU",VLOOKUP('036.02-20-CANTEIRO.'!C183,'036-20-CCU''s'!$B$9:$H$1962,2,0)))))</f>
        <v xml:space="preserve">DISPOSIÇÃO FINAL DE RESÍDUOS SEGREGADOS DE CONSTRUÇÃO CIVIL </v>
      </c>
      <c r="E183" s="452" t="str">
        <f>IF(A183="SERVIÇO",VLOOKUP(C183,SERVIÇOS!$A$6:$D$7645,3,0),IF(A183="INSUMO",VLOOKUP(C183,INSUMOS!$A$6:$D$6961,3,0),IF('036.02-20-CANTEIRO.'!A183="COTAÇÃO",VLOOKUP('036.02-20-CANTEIRO.'!C183,'036-20-Cotação'!$A$9:$G$529,4,0),IF('036.02-20-CANTEIRO.'!A183="CCU",VLOOKUP('036.02-20-CANTEIRO.'!C183,'036-20-CCU''s'!$B$9:$H$1962,4,0)))))</f>
        <v>T</v>
      </c>
      <c r="F183" s="453">
        <f>F181</f>
        <v>93.522000000000006</v>
      </c>
      <c r="G183" s="534">
        <f>IF(A183="SERVIÇO",VLOOKUP(C183,SERVIÇOS!$A$6:$D$7645,4,0),IF(A183="INSUMO",VLOOKUP(C183,INSUMOS!$A$6:$D$6961,4,0),IF('036.02-20-CANTEIRO.'!A183="COTAÇÃO",VLOOKUP('036.02-20-CANTEIRO.'!C183,'036-20-Cotação'!$A$9:$G$529,3,0),IF('036.02-20-CANTEIRO.'!A183="CCU",VLOOKUP('036.02-20-CANTEIRO.'!C183,'036-20-CCU''s'!$B$9:$H$1962,7,0)))))</f>
        <v>12.23</v>
      </c>
      <c r="H183" s="528">
        <f>BDI_O.A.E!$H$22</f>
        <v>0.18201100192553743</v>
      </c>
      <c r="I183" s="535">
        <f t="shared" ref="I183" si="32">F183*(G183*(1+H183))</f>
        <v>1351.9535226370399</v>
      </c>
      <c r="K183" s="232">
        <f t="shared" ref="K183" si="33">F183*(G183*(1+H183))</f>
        <v>1351.9535226370399</v>
      </c>
      <c r="L183" s="232"/>
    </row>
    <row r="184" spans="1:12" s="87" customFormat="1">
      <c r="A184" s="233"/>
      <c r="B184" s="144"/>
      <c r="C184" s="144"/>
      <c r="D184" s="144"/>
      <c r="E184" s="145"/>
      <c r="F184" s="146"/>
      <c r="G184" s="146"/>
      <c r="H184" s="343"/>
      <c r="I184" s="147"/>
      <c r="K184" s="232">
        <f t="shared" si="22"/>
        <v>0</v>
      </c>
    </row>
    <row r="185" spans="1:12" s="223" customFormat="1">
      <c r="A185" s="233"/>
      <c r="B185" s="354"/>
      <c r="C185" s="195"/>
      <c r="D185" s="195"/>
      <c r="E185" s="195"/>
      <c r="F185" s="195"/>
      <c r="G185" s="196" t="s">
        <v>70</v>
      </c>
      <c r="H185" s="344"/>
      <c r="I185" s="132">
        <f>SUM(I13:I184)</f>
        <v>2160287.7180161201</v>
      </c>
      <c r="K185" s="232"/>
    </row>
    <row r="186" spans="1:12" s="87" customFormat="1">
      <c r="A186" s="233"/>
      <c r="B186" s="144"/>
      <c r="C186" s="144"/>
      <c r="D186" s="144"/>
      <c r="E186" s="145"/>
      <c r="F186" s="146"/>
      <c r="G186" s="146"/>
      <c r="H186" s="343"/>
      <c r="I186" s="147"/>
      <c r="K186" s="232">
        <f t="shared" si="22"/>
        <v>0</v>
      </c>
    </row>
    <row r="187" spans="1:12" s="223" customFormat="1">
      <c r="A187" s="233"/>
      <c r="B187" s="224" t="s">
        <v>6686</v>
      </c>
      <c r="C187" s="224" t="s">
        <v>6348</v>
      </c>
      <c r="D187" s="229" t="s">
        <v>6687</v>
      </c>
      <c r="E187" s="230"/>
      <c r="F187" s="230"/>
      <c r="G187" s="230"/>
      <c r="H187" s="342"/>
      <c r="I187" s="231"/>
      <c r="K187" s="232">
        <f t="shared" si="22"/>
        <v>0</v>
      </c>
    </row>
    <row r="188" spans="1:12" s="223" customFormat="1">
      <c r="A188" s="233"/>
      <c r="B188" s="224" t="s">
        <v>6688</v>
      </c>
      <c r="C188" s="224" t="s">
        <v>6348</v>
      </c>
      <c r="D188" s="229" t="s">
        <v>6700</v>
      </c>
      <c r="E188" s="230"/>
      <c r="F188" s="230"/>
      <c r="G188" s="230"/>
      <c r="H188" s="342"/>
      <c r="I188" s="231"/>
      <c r="K188" s="232">
        <f t="shared" si="22"/>
        <v>0</v>
      </c>
    </row>
    <row r="189" spans="1:12" s="223" customFormat="1" ht="25.5">
      <c r="A189" s="233" t="s">
        <v>4543</v>
      </c>
      <c r="B189" s="454" t="s">
        <v>6690</v>
      </c>
      <c r="C189" s="324">
        <v>5502978</v>
      </c>
      <c r="D189" s="451" t="str">
        <f>IF(A189="SERVIÇO",VLOOKUP(C189,SERVIÇOS!$A$6:$D$7645,2,0),IF(A189="INSUMO",VLOOKUP(C189,INSUMOS!$A$6:$D$6961,2,0),IF('036.02-20-CANTEIRO.'!A189="COTAÇÃO",VLOOKUP('036.02-20-CANTEIRO.'!C189,'036-20-Cotação'!$A$9:$G$529,2,0),IF('036.02-20-CANTEIRO.'!A189="CCU",VLOOKUP('036.02-20-CANTEIRO.'!C189,'036-20-CCU''s'!$B$9:$H$1962,2,0)))))</f>
        <v>COMPACTAÇÃO DE ATERROS A 100% DO PROCTOR NORMAL</v>
      </c>
      <c r="E189" s="452" t="str">
        <f>IF(A189="SERVIÇO",VLOOKUP(C189,SERVIÇOS!$A$6:$D$7645,3,0),IF(A189="INSUMO",VLOOKUP(C189,INSUMOS!$A$6:$D$6961,3,0),IF('036.02-20-CANTEIRO.'!A189="COTAÇÃO",VLOOKUP('036.02-20-CANTEIRO.'!C189,'036-20-Cotação'!$A$9:$G$529,4,0),IF('036.02-20-CANTEIRO.'!A189="CCU",VLOOKUP('036.02-20-CANTEIRO.'!C189,'036-20-CCU''s'!$B$9:$H$1962,4,0)))))</f>
        <v>M3</v>
      </c>
      <c r="F189" s="453">
        <v>1220.96</v>
      </c>
      <c r="G189" s="534">
        <f>IF(A189="SERVIÇO",VLOOKUP(C189,SERVIÇOS!$A$6:$D$7645,4,0),IF(A189="INSUMO",VLOOKUP(C189,INSUMOS!$A$6:$D$6961,4,0),IF('036.02-20-CANTEIRO.'!A189="COTAÇÃO",VLOOKUP('036.02-20-CANTEIRO.'!C189,'036-20-Cotação'!$A$9:$G$529,3,0),IF('036.02-20-CANTEIRO.'!A189="CCU",VLOOKUP('036.02-20-CANTEIRO.'!C189,'036-20-CCU''s'!$B$9:$H$1962,7,0)))))</f>
        <v>3.174218461755054</v>
      </c>
      <c r="H189" s="528">
        <f>BDI_O.A.E!$H$22</f>
        <v>0.18201100192553743</v>
      </c>
      <c r="I189" s="535">
        <f t="shared" ref="I189" si="34">F189*(G189*(1+H189))</f>
        <v>4580.9944787562854</v>
      </c>
      <c r="K189" s="232">
        <f t="shared" si="22"/>
        <v>4580.9944787562854</v>
      </c>
    </row>
    <row r="190" spans="1:12" s="223" customFormat="1">
      <c r="A190" s="233" t="s">
        <v>4542</v>
      </c>
      <c r="B190" s="224" t="s">
        <v>6695</v>
      </c>
      <c r="C190" s="224" t="s">
        <v>6348</v>
      </c>
      <c r="D190" s="229" t="s">
        <v>6689</v>
      </c>
      <c r="E190" s="230"/>
      <c r="F190" s="230"/>
      <c r="G190" s="230"/>
      <c r="H190" s="342"/>
      <c r="I190" s="231"/>
      <c r="K190" s="232">
        <f t="shared" si="22"/>
        <v>0</v>
      </c>
    </row>
    <row r="191" spans="1:12" s="223" customFormat="1">
      <c r="A191" s="233" t="s">
        <v>4543</v>
      </c>
      <c r="B191" s="454" t="s">
        <v>6701</v>
      </c>
      <c r="C191" s="324">
        <v>4413905</v>
      </c>
      <c r="D191" s="451" t="str">
        <f>IF(A191="SERVIÇO",VLOOKUP(C191,SERVIÇOS!$A$6:$D$7645,2,0),IF(A191="INSUMO",VLOOKUP(C191,INSUMOS!$A$6:$D$6961,2,0),IF('036.02-20-CANTEIRO.'!A191="COTAÇÃO",VLOOKUP('036.02-20-CANTEIRO.'!C191,'036-20-Cotação'!$A$9:$G$529,2,0),IF('036.02-20-CANTEIRO.'!A191="CCU",VLOOKUP('036.02-20-CANTEIRO.'!C191,'036-20-CCU''s'!$B$9:$H$1962,2,0)))))</f>
        <v>HIDROSSEMEADURA</v>
      </c>
      <c r="E191" s="452" t="str">
        <f>IF(A191="SERVIÇO",VLOOKUP(C191,SERVIÇOS!$A$6:$D$7645,3,0),IF(A191="INSUMO",VLOOKUP(C191,INSUMOS!$A$6:$D$6961,3,0),IF('036.02-20-CANTEIRO.'!A191="COTAÇÃO",VLOOKUP('036.02-20-CANTEIRO.'!C191,'036-20-Cotação'!$A$9:$G$529,4,0),IF('036.02-20-CANTEIRO.'!A191="CCU",VLOOKUP('036.02-20-CANTEIRO.'!C191,'036-20-CCU''s'!$B$9:$H$1962,4,0)))))</f>
        <v>M2</v>
      </c>
      <c r="F191" s="537">
        <v>8017</v>
      </c>
      <c r="G191" s="534">
        <f>IF(A191="SERVIÇO",VLOOKUP(C191,SERVIÇOS!$A$6:$D$7645,4,0),IF(A191="INSUMO",VLOOKUP(C191,INSUMOS!$A$6:$D$6961,4,0),IF('036.02-20-CANTEIRO.'!A191="COTAÇÃO",VLOOKUP('036.02-20-CANTEIRO.'!C191,'036-20-Cotação'!$A$9:$G$529,3,0),IF('036.02-20-CANTEIRO.'!A191="CCU",VLOOKUP('036.02-20-CANTEIRO.'!C191,'036-20-CCU''s'!$B$9:$H$1962,7,0)))))</f>
        <v>2.5890839496646723</v>
      </c>
      <c r="H191" s="528">
        <f>BDI_O.A.E!$H$22</f>
        <v>0.18201100192553743</v>
      </c>
      <c r="I191" s="535">
        <f t="shared" ref="I191:I195" si="35">F191*(G191*(1+H191))</f>
        <v>24534.63124442775</v>
      </c>
      <c r="K191" s="232">
        <f t="shared" si="22"/>
        <v>24534.63124442775</v>
      </c>
    </row>
    <row r="192" spans="1:12" s="223" customFormat="1">
      <c r="A192" s="233" t="s">
        <v>4542</v>
      </c>
      <c r="B192" s="224" t="s">
        <v>6697</v>
      </c>
      <c r="C192" s="224" t="s">
        <v>6348</v>
      </c>
      <c r="D192" s="229" t="s">
        <v>6696</v>
      </c>
      <c r="E192" s="230"/>
      <c r="F192" s="230"/>
      <c r="G192" s="230"/>
      <c r="H192" s="342"/>
      <c r="I192" s="231"/>
      <c r="K192" s="232">
        <f t="shared" si="22"/>
        <v>0</v>
      </c>
    </row>
    <row r="193" spans="1:11" s="223" customFormat="1" ht="25.5">
      <c r="A193" s="233" t="s">
        <v>4543</v>
      </c>
      <c r="B193" s="454" t="s">
        <v>6702</v>
      </c>
      <c r="C193" s="324">
        <v>4915684</v>
      </c>
      <c r="D193" s="451" t="str">
        <f>IF(A193="SERVIÇO",VLOOKUP(C193,SERVIÇOS!$A$6:$D$7645,2,0),IF(A193="INSUMO",VLOOKUP(C193,INSUMOS!$A$6:$D$6961,2,0),IF('036.02-20-CANTEIRO.'!A193="COTAÇÃO",VLOOKUP('036.02-20-CANTEIRO.'!C193,'036-20-Cotação'!$A$9:$G$529,2,0),IF('036.02-20-CANTEIRO.'!A193="CCU",VLOOKUP('036.02-20-CANTEIRO.'!C193,'036-20-CCU''s'!$B$9:$H$1962,2,0)))))</f>
        <v>REVESTIMENTO VEGETAL COM GRAMA EM MUDAS EM SUPERFÍCIES PLANAS</v>
      </c>
      <c r="E193" s="452" t="str">
        <f>IF(A193="SERVIÇO",VLOOKUP(C193,SERVIÇOS!$A$6:$D$7645,3,0),IF(A193="INSUMO",VLOOKUP(C193,INSUMOS!$A$6:$D$6961,3,0),IF('036.02-20-CANTEIRO.'!A193="COTAÇÃO",VLOOKUP('036.02-20-CANTEIRO.'!C193,'036-20-Cotação'!$A$9:$G$529,4,0),IF('036.02-20-CANTEIRO.'!A193="CCU",VLOOKUP('036.02-20-CANTEIRO.'!C193,'036-20-CCU''s'!$B$9:$H$1962,4,0)))))</f>
        <v>M2</v>
      </c>
      <c r="F193" s="453">
        <v>801.7</v>
      </c>
      <c r="G193" s="534">
        <f>IF(A193="SERVIÇO",VLOOKUP(C193,SERVIÇOS!$A$6:$D$7645,4,0),IF(A193="INSUMO",VLOOKUP(C193,INSUMOS!$A$6:$D$6961,4,0),IF('036.02-20-CANTEIRO.'!A193="COTAÇÃO",VLOOKUP('036.02-20-CANTEIRO.'!C193,'036-20-Cotação'!$A$9:$G$529,3,0),IF('036.02-20-CANTEIRO.'!A193="CCU",VLOOKUP('036.02-20-CANTEIRO.'!C193,'036-20-CCU''s'!$B$9:$H$1962,7,0)))))</f>
        <v>8.0011771673311891</v>
      </c>
      <c r="H193" s="528">
        <f>BDI_O.A.E!$H$22</f>
        <v>0.18201100192553743</v>
      </c>
      <c r="I193" s="535">
        <f t="shared" si="35"/>
        <v>7582.0612671609379</v>
      </c>
      <c r="K193" s="232">
        <f t="shared" si="22"/>
        <v>7582.0612671609379</v>
      </c>
    </row>
    <row r="194" spans="1:11" s="223" customFormat="1">
      <c r="A194" s="233" t="s">
        <v>4542</v>
      </c>
      <c r="B194" s="224" t="s">
        <v>6699</v>
      </c>
      <c r="C194" s="224" t="s">
        <v>6348</v>
      </c>
      <c r="D194" s="229" t="s">
        <v>6698</v>
      </c>
      <c r="E194" s="230"/>
      <c r="F194" s="230"/>
      <c r="G194" s="230"/>
      <c r="H194" s="342"/>
      <c r="I194" s="231"/>
      <c r="K194" s="232">
        <f t="shared" si="22"/>
        <v>0</v>
      </c>
    </row>
    <row r="195" spans="1:11" s="223" customFormat="1" ht="25.5">
      <c r="A195" s="233" t="s">
        <v>4543</v>
      </c>
      <c r="B195" s="454" t="s">
        <v>6707</v>
      </c>
      <c r="C195" s="324">
        <v>4413990</v>
      </c>
      <c r="D195" s="451" t="str">
        <f>IF(A195="SERVIÇO",VLOOKUP(C195,SERVIÇOS!$A$6:$D$7645,2,0),IF(A195="INSUMO",VLOOKUP(C195,INSUMOS!$A$6:$D$6961,2,0),IF('036.02-20-CANTEIRO.'!A195="COTAÇÃO",VLOOKUP('036.02-20-CANTEIRO.'!C195,'036-20-Cotação'!$A$9:$G$529,2,0),IF('036.02-20-CANTEIRO.'!A195="CCU",VLOOKUP('036.02-20-CANTEIRO.'!C195,'036-20-CCU''s'!$B$9:$H$1962,2,0)))))</f>
        <v>PLANTIO DE MUDAS ARBUSTIVAS COM PORTE DE 50 CM EM COVAS DE 0,40 X 0,40 X 0,40 M</v>
      </c>
      <c r="E195" s="452" t="str">
        <f>IF(A195="SERVIÇO",VLOOKUP(C195,SERVIÇOS!$A$6:$D$7645,3,0),IF(A195="INSUMO",VLOOKUP(C195,INSUMOS!$A$6:$D$6961,3,0),IF('036.02-20-CANTEIRO.'!A195="COTAÇÃO",VLOOKUP('036.02-20-CANTEIRO.'!C195,'036-20-Cotação'!$A$9:$G$529,4,0),IF('036.02-20-CANTEIRO.'!A195="CCU",VLOOKUP('036.02-20-CANTEIRO.'!C195,'036-20-CCU''s'!$B$9:$H$1962,4,0)))))</f>
        <v>M2</v>
      </c>
      <c r="F195" s="453">
        <v>40</v>
      </c>
      <c r="G195" s="534">
        <f>IF(A195="SERVIÇO",VLOOKUP(C195,SERVIÇOS!$A$6:$D$7645,4,0),IF(A195="INSUMO",VLOOKUP(C195,INSUMOS!$A$6:$D$6961,4,0),IF('036.02-20-CANTEIRO.'!A195="COTAÇÃO",VLOOKUP('036.02-20-CANTEIRO.'!C195,'036-20-Cotação'!$A$9:$G$529,3,0),IF('036.02-20-CANTEIRO.'!A195="CCU",VLOOKUP('036.02-20-CANTEIRO.'!C195,'036-20-CCU''s'!$B$9:$H$1962,7,0)))))</f>
        <v>17.088912301714167</v>
      </c>
      <c r="H195" s="528">
        <f>BDI_O.A.E!$H$22</f>
        <v>0.18201100192553743</v>
      </c>
      <c r="I195" s="535">
        <f t="shared" si="35"/>
        <v>807.9712940626722</v>
      </c>
      <c r="K195" s="232">
        <f t="shared" si="22"/>
        <v>807.9712940626722</v>
      </c>
    </row>
    <row r="196" spans="1:11" s="87" customFormat="1">
      <c r="A196" s="232"/>
      <c r="B196" s="144"/>
      <c r="C196" s="144"/>
      <c r="D196" s="144"/>
      <c r="E196" s="145"/>
      <c r="F196" s="146"/>
      <c r="G196" s="146"/>
      <c r="H196" s="343"/>
      <c r="I196" s="147"/>
      <c r="K196" s="232">
        <f t="shared" si="22"/>
        <v>0</v>
      </c>
    </row>
    <row r="197" spans="1:11" s="223" customFormat="1" ht="15" customHeight="1">
      <c r="A197" s="233"/>
      <c r="B197" s="354"/>
      <c r="C197" s="195"/>
      <c r="D197" s="195"/>
      <c r="E197" s="195"/>
      <c r="F197" s="195"/>
      <c r="G197" s="196" t="s">
        <v>70</v>
      </c>
      <c r="H197" s="344"/>
      <c r="I197" s="132">
        <f>SUM(I187:I196)</f>
        <v>37505.65828440764</v>
      </c>
      <c r="K197" s="232"/>
    </row>
    <row r="198" spans="1:11" s="87" customFormat="1">
      <c r="A198" s="232"/>
      <c r="B198" s="144"/>
      <c r="C198" s="144"/>
      <c r="D198" s="144"/>
      <c r="E198" s="145"/>
      <c r="F198" s="146"/>
      <c r="G198" s="146"/>
      <c r="H198" s="343"/>
      <c r="I198" s="147"/>
      <c r="K198" s="232">
        <f t="shared" si="22"/>
        <v>0</v>
      </c>
    </row>
    <row r="199" spans="1:11" s="223" customFormat="1" ht="15" customHeight="1">
      <c r="A199" s="233"/>
      <c r="B199" s="355"/>
      <c r="C199" s="197"/>
      <c r="D199" s="197"/>
      <c r="E199" s="197"/>
      <c r="F199" s="197"/>
      <c r="G199" s="192" t="s">
        <v>71</v>
      </c>
      <c r="H199" s="333"/>
      <c r="I199" s="132">
        <f>I197+I185</f>
        <v>2197793.3763005277</v>
      </c>
      <c r="K199" s="233">
        <f>SUM(K12:K198)</f>
        <v>2197793.3763005272</v>
      </c>
    </row>
    <row r="200" spans="1:11" ht="42.75" customHeight="1"/>
    <row r="201" spans="1:11" s="54" customFormat="1" ht="58.5" customHeight="1">
      <c r="B201" s="671" t="str">
        <f>'036-20-CAPA'!B40:E40</f>
        <v>ENG. GILMAR DA MOTA FERNANDES
CREA 23785/D-DF
ART: 0720200027743</v>
      </c>
      <c r="C201" s="671"/>
      <c r="D201" s="671"/>
      <c r="E201" s="671"/>
      <c r="F201" s="671"/>
      <c r="G201" s="671"/>
      <c r="H201" s="671"/>
      <c r="I201" s="671"/>
    </row>
    <row r="205" spans="1:11">
      <c r="D205" s="57"/>
    </row>
    <row r="206" spans="1:11">
      <c r="D206" s="57"/>
    </row>
  </sheetData>
  <autoFilter ref="B11:I201">
    <filterColumn colId="5"/>
    <filterColumn colId="6"/>
  </autoFilter>
  <mergeCells count="13">
    <mergeCell ref="B7:C7"/>
    <mergeCell ref="B8:C8"/>
    <mergeCell ref="B9:C9"/>
    <mergeCell ref="B201:I201"/>
    <mergeCell ref="B6:C6"/>
    <mergeCell ref="D6:E6"/>
    <mergeCell ref="D7:F7"/>
    <mergeCell ref="D8:F8"/>
    <mergeCell ref="B1:I1"/>
    <mergeCell ref="B2:I2"/>
    <mergeCell ref="B3:I3"/>
    <mergeCell ref="B4:I4"/>
    <mergeCell ref="B5:I5"/>
  </mergeCells>
  <phoneticPr fontId="75" type="noConversion"/>
  <printOptions horizontalCentered="1"/>
  <pageMargins left="0.78740157480314965" right="0.78740157480314965" top="0.39370078740157483" bottom="0.39370078740157483" header="0.19685039370078741" footer="0.19685039370078741"/>
  <pageSetup paperSize="9" scale="65" orientation="portrait" r:id="rId1"/>
  <headerFooter>
    <oddHeader>&amp;C&amp;F</oddHeader>
    <oddFooter>&amp;R&amp;"Verdana,Negrito itálico"&amp;10Página &amp;P de &amp;N</oddFooter>
  </headerFooter>
  <drawing r:id="rId2"/>
  <legacyDrawing r:id="rId3"/>
</worksheet>
</file>

<file path=xl/worksheets/sheet4.xml><?xml version="1.0" encoding="utf-8"?>
<worksheet xmlns="http://schemas.openxmlformats.org/spreadsheetml/2006/main" xmlns:r="http://schemas.openxmlformats.org/officeDocument/2006/relationships">
  <sheetPr>
    <tabColor rgb="FFFF0000"/>
  </sheetPr>
  <dimension ref="A1:X1964"/>
  <sheetViews>
    <sheetView showGridLines="0" view="pageBreakPreview" topLeftCell="B1418" zoomScaleNormal="100" zoomScaleSheetLayoutView="100" workbookViewId="0">
      <selection activeCell="M1433" sqref="M1433"/>
    </sheetView>
  </sheetViews>
  <sheetFormatPr defaultColWidth="9.140625" defaultRowHeight="15"/>
  <cols>
    <col min="1" max="1" width="10.140625" style="64" hidden="1" customWidth="1"/>
    <col min="2" max="2" width="12" style="64" customWidth="1"/>
    <col min="3" max="3" width="45.7109375" style="64" customWidth="1"/>
    <col min="4" max="4" width="8.140625" style="64" customWidth="1"/>
    <col min="5" max="5" width="8.28515625" style="64" customWidth="1"/>
    <col min="6" max="6" width="14.42578125" style="64" customWidth="1"/>
    <col min="7" max="7" width="10.7109375" style="64" customWidth="1"/>
    <col min="8" max="8" width="16.140625" style="64" customWidth="1"/>
    <col min="9" max="9" width="9.140625" style="64" customWidth="1"/>
    <col min="10" max="10" width="19.28515625" style="306" customWidth="1"/>
    <col min="11" max="11" width="16" style="64" customWidth="1"/>
    <col min="12" max="14" width="14.7109375" style="64" customWidth="1"/>
    <col min="15" max="15" width="13.42578125" style="64" customWidth="1"/>
    <col min="16" max="16384" width="9.140625" style="64"/>
  </cols>
  <sheetData>
    <row r="1" spans="1:24" s="76" customFormat="1" ht="15.75">
      <c r="B1" s="688"/>
      <c r="C1" s="688"/>
      <c r="D1" s="688"/>
      <c r="E1" s="688"/>
      <c r="F1" s="688"/>
      <c r="G1" s="688"/>
      <c r="H1" s="688"/>
      <c r="I1" s="77"/>
    </row>
    <row r="2" spans="1:24" s="60" customFormat="1" ht="18.75">
      <c r="B2" s="701" t="s">
        <v>5071</v>
      </c>
      <c r="C2" s="701"/>
      <c r="D2" s="701"/>
      <c r="E2" s="701"/>
      <c r="F2" s="701"/>
      <c r="G2" s="701"/>
      <c r="H2" s="701"/>
      <c r="I2" s="202"/>
      <c r="J2" s="202"/>
      <c r="K2" s="202"/>
      <c r="L2" s="58"/>
      <c r="M2" s="58"/>
      <c r="N2" s="58"/>
      <c r="O2" s="58"/>
      <c r="P2" s="58"/>
      <c r="Q2" s="58"/>
      <c r="R2" s="58"/>
      <c r="S2" s="58"/>
      <c r="T2" s="58"/>
      <c r="U2" s="58"/>
      <c r="V2" s="58"/>
      <c r="W2" s="58"/>
      <c r="X2" s="58"/>
    </row>
    <row r="3" spans="1:24" s="60" customFormat="1" ht="18.75">
      <c r="B3" s="701" t="s">
        <v>5072</v>
      </c>
      <c r="C3" s="701"/>
      <c r="D3" s="701"/>
      <c r="E3" s="701"/>
      <c r="F3" s="701"/>
      <c r="G3" s="701"/>
      <c r="H3" s="701"/>
      <c r="I3" s="202"/>
      <c r="J3" s="202"/>
      <c r="K3" s="202"/>
      <c r="L3" s="58"/>
      <c r="M3" s="58"/>
      <c r="N3" s="58"/>
      <c r="O3" s="58"/>
      <c r="P3" s="58"/>
      <c r="Q3" s="58"/>
      <c r="R3" s="58"/>
      <c r="S3" s="58"/>
      <c r="T3" s="58"/>
      <c r="U3" s="58"/>
      <c r="V3" s="58"/>
      <c r="W3" s="58"/>
      <c r="X3" s="58"/>
    </row>
    <row r="4" spans="1:24" s="60" customFormat="1" ht="18.75">
      <c r="B4" s="701" t="s">
        <v>5074</v>
      </c>
      <c r="C4" s="701"/>
      <c r="D4" s="701"/>
      <c r="E4" s="701"/>
      <c r="F4" s="701"/>
      <c r="G4" s="701"/>
      <c r="H4" s="701"/>
      <c r="I4" s="202"/>
      <c r="J4" s="202"/>
      <c r="K4" s="202"/>
      <c r="L4" s="61"/>
      <c r="M4" s="61"/>
      <c r="N4" s="61"/>
      <c r="O4" s="59"/>
      <c r="P4" s="58"/>
      <c r="Q4" s="58"/>
      <c r="R4" s="58"/>
      <c r="S4" s="58"/>
      <c r="T4" s="58"/>
      <c r="U4" s="58"/>
      <c r="V4" s="58"/>
      <c r="W4" s="58"/>
      <c r="X4" s="58"/>
    </row>
    <row r="5" spans="1:24" s="60" customFormat="1" ht="18.75">
      <c r="A5" s="219"/>
      <c r="B5" s="701" t="s">
        <v>293</v>
      </c>
      <c r="C5" s="701"/>
      <c r="D5" s="701"/>
      <c r="E5" s="701"/>
      <c r="F5" s="701"/>
      <c r="G5" s="701"/>
      <c r="H5" s="701"/>
      <c r="I5" s="202"/>
      <c r="J5" s="202"/>
      <c r="K5" s="202"/>
      <c r="L5" s="58"/>
      <c r="M5" s="58"/>
      <c r="N5" s="58"/>
      <c r="O5" s="59"/>
      <c r="P5" s="58"/>
      <c r="Q5" s="58"/>
      <c r="R5" s="58"/>
      <c r="S5" s="58"/>
      <c r="T5" s="58"/>
      <c r="U5" s="58"/>
      <c r="V5" s="58"/>
      <c r="W5" s="58"/>
      <c r="X5" s="58"/>
    </row>
    <row r="6" spans="1:24" s="48" customFormat="1" ht="24" customHeight="1">
      <c r="A6" s="214"/>
      <c r="B6" s="50" t="s">
        <v>82</v>
      </c>
      <c r="C6" s="62" t="s">
        <v>8521</v>
      </c>
      <c r="D6" s="62"/>
      <c r="E6" s="62"/>
      <c r="G6" s="52" t="s">
        <v>62</v>
      </c>
      <c r="H6" s="63">
        <f>'036-20-CAPA'!C19</f>
        <v>44370</v>
      </c>
      <c r="I6" s="52"/>
      <c r="L6" s="46"/>
      <c r="M6" s="46"/>
      <c r="N6" s="46"/>
      <c r="O6" s="46"/>
      <c r="P6" s="46"/>
      <c r="Q6" s="46"/>
      <c r="R6" s="46"/>
      <c r="S6" s="46"/>
      <c r="T6" s="46"/>
      <c r="U6" s="46"/>
    </row>
    <row r="7" spans="1:24" s="48" customFormat="1" ht="41.45" customHeight="1">
      <c r="A7" s="214"/>
      <c r="B7" s="50" t="s">
        <v>13</v>
      </c>
      <c r="C7" s="693" t="s">
        <v>8375</v>
      </c>
      <c r="D7" s="693"/>
      <c r="E7" s="693"/>
      <c r="G7" s="50" t="s">
        <v>16</v>
      </c>
      <c r="H7" s="133" t="s">
        <v>8374</v>
      </c>
      <c r="I7" s="50"/>
      <c r="L7" s="46"/>
      <c r="M7" s="46"/>
      <c r="N7" s="46"/>
      <c r="O7" s="46"/>
      <c r="P7" s="46"/>
      <c r="Q7" s="46"/>
      <c r="R7" s="46"/>
      <c r="S7" s="46"/>
      <c r="T7" s="46"/>
      <c r="U7" s="46"/>
    </row>
    <row r="8" spans="1:24" s="48" customFormat="1" ht="28.5" customHeight="1">
      <c r="A8" s="214"/>
      <c r="B8" s="50" t="s">
        <v>83</v>
      </c>
      <c r="C8" s="53" t="s">
        <v>13516</v>
      </c>
      <c r="D8" s="51" t="s">
        <v>67</v>
      </c>
      <c r="E8" s="191" t="s">
        <v>68</v>
      </c>
      <c r="G8" s="52" t="s">
        <v>69</v>
      </c>
      <c r="H8" s="612" t="s">
        <v>13515</v>
      </c>
      <c r="I8" s="52"/>
      <c r="L8" s="46"/>
      <c r="M8" s="46"/>
      <c r="N8" s="46"/>
      <c r="O8" s="46"/>
      <c r="P8" s="46"/>
      <c r="Q8" s="46"/>
      <c r="R8" s="46"/>
      <c r="S8" s="46"/>
      <c r="T8" s="46"/>
      <c r="U8" s="46"/>
    </row>
    <row r="9" spans="1:24" s="78" customFormat="1" ht="9.75" customHeight="1">
      <c r="A9" s="188"/>
      <c r="B9" s="160"/>
      <c r="C9" s="158"/>
      <c r="D9" s="158"/>
      <c r="E9" s="158"/>
      <c r="F9" s="158"/>
      <c r="G9" s="158"/>
      <c r="H9" s="159"/>
      <c r="J9" s="303"/>
    </row>
    <row r="10" spans="1:24" s="78" customFormat="1" ht="63.75">
      <c r="A10" s="188"/>
      <c r="B10" s="80" t="s">
        <v>6779</v>
      </c>
      <c r="C10" s="81" t="s">
        <v>6780</v>
      </c>
      <c r="D10" s="82" t="s">
        <v>84</v>
      </c>
      <c r="E10" s="82" t="s">
        <v>10</v>
      </c>
      <c r="F10" s="83"/>
      <c r="G10" s="84"/>
      <c r="H10" s="85">
        <f>SUM(H11:H13)</f>
        <v>24844.911689894536</v>
      </c>
      <c r="J10" s="79"/>
      <c r="K10" s="87"/>
      <c r="L10" s="87"/>
      <c r="M10" s="87"/>
      <c r="N10" s="87"/>
      <c r="O10" s="87"/>
      <c r="P10" s="87"/>
      <c r="Q10" s="87"/>
    </row>
    <row r="11" spans="1:24" s="87" customFormat="1" ht="12.75">
      <c r="A11" s="232" t="s">
        <v>4542</v>
      </c>
      <c r="B11" s="531" t="s">
        <v>6782</v>
      </c>
      <c r="C11" s="451" t="str">
        <f>IF(A11="SERVIÇO",VLOOKUP(B11,SERVIÇOS!$A$6:$D$7645,2,0),IF(A11="INSUMO",VLOOKUP(B11,INSUMOS!$A$6:$D$6961,2,0),IF(A11="COTAÇÃO",VLOOKUP(B11,'036-20-Cotação'!$A$9:$G$529,2,0))))</f>
        <v>DESENHISTA</v>
      </c>
      <c r="D11" s="452" t="str">
        <f>IF(A11="SERVIÇO",VLOOKUP(B11,SERVIÇOS!$A$6:$E$7645,5,0),IF(A11="INSUMO",VLOOKUP(B11,INSUMOS!$A$6:$E$6961,5,0),IF(A11="COTAÇÃO",VLOOKUP(B11,'036-20-Cotação'!$A$9:$H$529,8,0))))</f>
        <v>M.O</v>
      </c>
      <c r="E11" s="452" t="str">
        <f>IF(A11="SERVIÇO",VLOOKUP(B11,SERVIÇOS!$A$6:$D$7645,3,0),IF(A11="INSUMO",VLOOKUP(B11,INSUMOS!$A$6:$D$6961,3,0),IF(A11="COTAÇÃO",VLOOKUP(B11,'036-20-Cotação'!$A$9:$G$529,4,0))))</f>
        <v>MÊS</v>
      </c>
      <c r="F11" s="462">
        <v>2.3622738919217552</v>
      </c>
      <c r="G11" s="453">
        <f>IF(A11="SERVIÇO",VLOOKUP(B11,SERVIÇOS!$A$6:$D$7645,4,0),IF(A11="INSUMO",VLOOKUP(B11,INSUMOS!$A$6:$D$6961,4,0),IF(A11="COTAÇÃO",VLOOKUP(B11,'036-20-Cotação'!$A$9:$G$529,3,0))))</f>
        <v>5359.7883000000002</v>
      </c>
      <c r="H11" s="463">
        <f>G11*F11</f>
        <v>12661.287967317689</v>
      </c>
      <c r="J11" s="201"/>
    </row>
    <row r="12" spans="1:24" s="87" customFormat="1" ht="12.75">
      <c r="A12" s="232" t="s">
        <v>4542</v>
      </c>
      <c r="B12" s="464" t="s">
        <v>6784</v>
      </c>
      <c r="C12" s="451" t="str">
        <f>IF(A12="SERVIÇO",VLOOKUP(B12,SERVIÇOS!$A$6:$D$7645,2,0),IF(A12="INSUMO",VLOOKUP(B12,INSUMOS!$A$6:$D$6961,2,0),IF(A12="COTAÇÃO",VLOOKUP(B12,'036-20-Cotação'!$A$9:$G$529,2,0))))</f>
        <v>ENGENHEIRO</v>
      </c>
      <c r="D12" s="452" t="str">
        <f>IF(A12="SERVIÇO",VLOOKUP(B12,SERVIÇOS!$A$6:$E$7645,5,0),IF(A12="INSUMO",VLOOKUP(B12,INSUMOS!$A$6:$E$6961,5,0),IF(A12="COTAÇÃO",VLOOKUP(B12,'036-20-Cotação'!$A$9:$H$529,8,0))))</f>
        <v>M.O</v>
      </c>
      <c r="E12" s="452" t="str">
        <f>IF(A12="SERVIÇO",VLOOKUP(B12,SERVIÇOS!$A$6:$D$7645,3,0),IF(A12="INSUMO",VLOOKUP(B12,INSUMOS!$A$6:$D$6961,3,0),IF(A12="COTAÇÃO",VLOOKUP(B12,'036-20-Cotação'!$A$9:$G$529,4,0))))</f>
        <v>MÊS</v>
      </c>
      <c r="F12" s="462">
        <v>0.22458335248694991</v>
      </c>
      <c r="G12" s="453">
        <f>IF(A12="SERVIÇO",VLOOKUP(B12,SERVIÇOS!$A$6:$D$7645,4,0),IF(A12="INSUMO",VLOOKUP(B12,INSUMOS!$A$6:$D$6961,4,0),IF(A12="COTAÇÃO",VLOOKUP(B12,'036-20-Cotação'!$A$9:$G$529,3,0))))</f>
        <v>21731.673900000002</v>
      </c>
      <c r="H12" s="463">
        <f t="shared" ref="H12:H13" si="0">G12*F12</f>
        <v>4880.5721796151502</v>
      </c>
      <c r="J12" s="201"/>
    </row>
    <row r="13" spans="1:24" s="87" customFormat="1" ht="12.75">
      <c r="A13" s="232" t="s">
        <v>4542</v>
      </c>
      <c r="B13" s="464" t="s">
        <v>6786</v>
      </c>
      <c r="C13" s="451" t="str">
        <f>IF(A13="SERVIÇO",VLOOKUP(B13,SERVIÇOS!$A$6:$D$7645,2,0),IF(A13="INSUMO",VLOOKUP(B13,INSUMOS!$A$6:$D$6961,2,0),IF(A13="COTAÇÃO",VLOOKUP(B13,'036-20-Cotação'!$A$9:$G$529,2,0))))</f>
        <v>ENGENHEIRO AUXILIAR</v>
      </c>
      <c r="D13" s="452" t="str">
        <f>IF(A13="SERVIÇO",VLOOKUP(B13,SERVIÇOS!$A$6:$E$7645,5,0),IF(A13="INSUMO",VLOOKUP(B13,INSUMOS!$A$6:$E$6961,5,0),IF(A13="COTAÇÃO",VLOOKUP(B13,'036-20-Cotação'!$A$9:$H$529,8,0))))</f>
        <v>M.O</v>
      </c>
      <c r="E13" s="452" t="str">
        <f>IF(A13="SERVIÇO",VLOOKUP(B13,SERVIÇOS!$A$6:$D$7645,3,0),IF(A13="INSUMO",VLOOKUP(B13,INSUMOS!$A$6:$D$6961,3,0),IF(A13="COTAÇÃO",VLOOKUP(B13,'036-20-Cotação'!$A$9:$G$529,4,0))))</f>
        <v>MÊS</v>
      </c>
      <c r="F13" s="462">
        <v>0.41553771096244635</v>
      </c>
      <c r="G13" s="453">
        <f>IF(A13="SERVIÇO",VLOOKUP(B13,SERVIÇOS!$A$6:$D$7645,4,0),IF(A13="INSUMO",VLOOKUP(B13,INSUMOS!$A$6:$D$6961,4,0),IF(A13="COTAÇÃO",VLOOKUP(B13,'036-20-Cotação'!$A$9:$G$529,3,0))))</f>
        <v>17574.942899999998</v>
      </c>
      <c r="H13" s="463">
        <f t="shared" si="0"/>
        <v>7303.051542961698</v>
      </c>
      <c r="J13" s="201"/>
    </row>
    <row r="14" spans="1:24" s="87" customFormat="1" ht="12.75">
      <c r="A14" s="188"/>
      <c r="B14" s="348" t="s">
        <v>123</v>
      </c>
      <c r="C14" s="695" t="s">
        <v>6781</v>
      </c>
      <c r="D14" s="696"/>
      <c r="E14" s="696"/>
      <c r="F14" s="696"/>
      <c r="G14" s="696"/>
      <c r="H14" s="697"/>
      <c r="J14" s="201"/>
    </row>
    <row r="15" spans="1:24" s="78" customFormat="1" ht="9.75" customHeight="1">
      <c r="A15" s="188"/>
      <c r="B15" s="359"/>
      <c r="C15" s="357"/>
      <c r="D15" s="357"/>
      <c r="E15" s="357"/>
      <c r="F15" s="357"/>
      <c r="G15" s="357"/>
      <c r="H15" s="358"/>
      <c r="J15" s="303"/>
    </row>
    <row r="16" spans="1:24" s="78" customFormat="1" ht="114.75">
      <c r="A16" s="188"/>
      <c r="B16" s="80" t="s">
        <v>6788</v>
      </c>
      <c r="C16" s="81" t="s">
        <v>8390</v>
      </c>
      <c r="D16" s="82" t="s">
        <v>84</v>
      </c>
      <c r="E16" s="82" t="s">
        <v>10</v>
      </c>
      <c r="F16" s="83"/>
      <c r="G16" s="84"/>
      <c r="H16" s="85">
        <f>SUM(H17:H20)</f>
        <v>69662.226429999995</v>
      </c>
      <c r="J16" s="79"/>
      <c r="K16" s="87"/>
      <c r="L16" s="87"/>
      <c r="M16" s="87"/>
      <c r="N16" s="87"/>
      <c r="O16" s="87"/>
      <c r="P16" s="87"/>
      <c r="Q16" s="87"/>
    </row>
    <row r="17" spans="1:17" s="87" customFormat="1" ht="25.5">
      <c r="A17" s="232" t="s">
        <v>4542</v>
      </c>
      <c r="B17" s="464" t="s">
        <v>6819</v>
      </c>
      <c r="C17" s="451" t="str">
        <f>IF(A17="SERVIÇO",VLOOKUP(B17,SERVIÇOS!$A$6:$D$7645,2,0),IF(A17="INSUMO",VLOOKUP(B17,INSUMOS!$A$6:$D$6961,2,0),IF(A17="COTAÇÃO",VLOOKUP(B17,'036-20-Cotação'!$A$9:$G$529,2,0))))</f>
        <v xml:space="preserve">CONSULTOR ESPECIAL     </v>
      </c>
      <c r="D17" s="452" t="str">
        <f>IF(A17="SERVIÇO",VLOOKUP(B17,SERVIÇOS!$A$6:$E$7645,5,0),IF(A17="INSUMO",VLOOKUP(B17,INSUMOS!$A$6:$E$6961,5,0),IF(A17="COTAÇÃO",VLOOKUP(B17,'036-20-Cotação'!$A$9:$H$529,8,0))))</f>
        <v>M.O.</v>
      </c>
      <c r="E17" s="452" t="str">
        <f>IF(A17="SERVIÇO",VLOOKUP(B17,SERVIÇOS!$A$6:$D$7645,3,0),IF(A17="INSUMO",VLOOKUP(B17,INSUMOS!$A$6:$D$6961,3,0),IF(A17="COTAÇÃO",VLOOKUP(B17,'036-20-Cotação'!$A$9:$G$529,4,0))))</f>
        <v>MÊS</v>
      </c>
      <c r="F17" s="462">
        <v>0.25</v>
      </c>
      <c r="G17" s="453">
        <f>IF(A17="SERVIÇO",VLOOKUP(B17,SERVIÇOS!$A$6:$D$7645,4,0),IF(A17="INSUMO",VLOOKUP(B17,INSUMOS!$A$6:$D$6961,4,0),IF(A17="COTAÇÃO",VLOOKUP(B17,'036-20-Cotação'!$A$9:$G$529,3,0))))</f>
        <v>21020.83</v>
      </c>
      <c r="H17" s="463">
        <f t="shared" ref="H17" si="1">G17*F17</f>
        <v>5255.2075000000004</v>
      </c>
      <c r="J17" s="201"/>
    </row>
    <row r="18" spans="1:17" s="87" customFormat="1" ht="12.75">
      <c r="A18" s="232" t="s">
        <v>4542</v>
      </c>
      <c r="B18" s="531" t="s">
        <v>6782</v>
      </c>
      <c r="C18" s="451" t="str">
        <f>IF(A18="SERVIÇO",VLOOKUP(B18,SERVIÇOS!$A$6:$D$7645,2,0),IF(A18="INSUMO",VLOOKUP(B18,INSUMOS!$A$6:$D$6961,2,0),IF(A18="COTAÇÃO",VLOOKUP(B18,'036-20-Cotação'!$A$9:$G$529,2,0))))</f>
        <v>DESENHISTA</v>
      </c>
      <c r="D18" s="452" t="str">
        <f>IF(A18="SERVIÇO",VLOOKUP(B18,SERVIÇOS!$A$6:$E$7645,5,0),IF(A18="INSUMO",VLOOKUP(B18,INSUMOS!$A$6:$E$6961,5,0),IF(A18="COTAÇÃO",VLOOKUP(B18,'036-20-Cotação'!$A$9:$H$529,8,0))))</f>
        <v>M.O</v>
      </c>
      <c r="E18" s="452" t="str">
        <f>IF(A18="SERVIÇO",VLOOKUP(B18,SERVIÇOS!$A$6:$D$7645,3,0),IF(A18="INSUMO",VLOOKUP(B18,INSUMOS!$A$6:$D$6961,3,0),IF(A18="COTAÇÃO",VLOOKUP(B18,'036-20-Cotação'!$A$9:$G$529,4,0))))</f>
        <v>MÊS</v>
      </c>
      <c r="F18" s="462">
        <v>2</v>
      </c>
      <c r="G18" s="453">
        <f>IF(A18="SERVIÇO",VLOOKUP(B18,SERVIÇOS!$A$6:$D$7645,4,0),IF(A18="INSUMO",VLOOKUP(B18,INSUMOS!$A$6:$D$6961,4,0),IF(A18="COTAÇÃO",VLOOKUP(B18,'036-20-Cotação'!$A$9:$G$529,3,0))))</f>
        <v>5359.7883000000002</v>
      </c>
      <c r="H18" s="463">
        <f t="shared" ref="H18:H20" si="2">G18*F18</f>
        <v>10719.5766</v>
      </c>
      <c r="J18" s="201"/>
    </row>
    <row r="19" spans="1:17" s="87" customFormat="1" ht="12.75">
      <c r="A19" s="232" t="s">
        <v>4542</v>
      </c>
      <c r="B19" s="464" t="s">
        <v>6784</v>
      </c>
      <c r="C19" s="451" t="str">
        <f>IF(A19="SERVIÇO",VLOOKUP(B19,SERVIÇOS!$A$6:$D$7645,2,0),IF(A19="INSUMO",VLOOKUP(B19,INSUMOS!$A$6:$D$6961,2,0),IF(A19="COTAÇÃO",VLOOKUP(B19,'036-20-Cotação'!$A$9:$G$529,2,0))))</f>
        <v>ENGENHEIRO</v>
      </c>
      <c r="D19" s="452" t="str">
        <f>IF(A19="SERVIÇO",VLOOKUP(B19,SERVIÇOS!$A$6:$E$7645,5,0),IF(A19="INSUMO",VLOOKUP(B19,INSUMOS!$A$6:$E$6961,5,0),IF(A19="COTAÇÃO",VLOOKUP(B19,'036-20-Cotação'!$A$9:$H$529,8,0))))</f>
        <v>M.O</v>
      </c>
      <c r="E19" s="452" t="str">
        <f>IF(A19="SERVIÇO",VLOOKUP(B19,SERVIÇOS!$A$6:$D$7645,3,0),IF(A19="INSUMO",VLOOKUP(B19,INSUMOS!$A$6:$D$6961,3,0),IF(A19="COTAÇÃO",VLOOKUP(B19,'036-20-Cotação'!$A$9:$G$529,4,0))))</f>
        <v>MÊS</v>
      </c>
      <c r="F19" s="462">
        <v>1.5</v>
      </c>
      <c r="G19" s="453">
        <f>IF(A19="SERVIÇO",VLOOKUP(B19,SERVIÇOS!$A$6:$D$7645,4,0),IF(A19="INSUMO",VLOOKUP(B19,INSUMOS!$A$6:$D$6961,4,0),IF(A19="COTAÇÃO",VLOOKUP(B19,'036-20-Cotação'!$A$9:$G$529,3,0))))</f>
        <v>21731.673900000002</v>
      </c>
      <c r="H19" s="463">
        <f t="shared" si="2"/>
        <v>32597.510850000002</v>
      </c>
      <c r="J19" s="201"/>
    </row>
    <row r="20" spans="1:17" s="87" customFormat="1" ht="12.75">
      <c r="A20" s="232" t="s">
        <v>4542</v>
      </c>
      <c r="B20" s="464" t="s">
        <v>6786</v>
      </c>
      <c r="C20" s="451" t="str">
        <f>IF(A20="SERVIÇO",VLOOKUP(B20,SERVIÇOS!$A$6:$D$7645,2,0),IF(A20="INSUMO",VLOOKUP(B20,INSUMOS!$A$6:$D$6961,2,0),IF(A20="COTAÇÃO",VLOOKUP(B20,'036-20-Cotação'!$A$9:$G$529,2,0))))</f>
        <v>ENGENHEIRO AUXILIAR</v>
      </c>
      <c r="D20" s="452" t="str">
        <f>IF(A20="SERVIÇO",VLOOKUP(B20,SERVIÇOS!$A$6:$E$7645,5,0),IF(A20="INSUMO",VLOOKUP(B20,INSUMOS!$A$6:$E$6961,5,0),IF(A20="COTAÇÃO",VLOOKUP(B20,'036-20-Cotação'!$A$9:$H$529,8,0))))</f>
        <v>M.O</v>
      </c>
      <c r="E20" s="452" t="str">
        <f>IF(A20="SERVIÇO",VLOOKUP(B20,SERVIÇOS!$A$6:$D$7645,3,0),IF(A20="INSUMO",VLOOKUP(B20,INSUMOS!$A$6:$D$6961,3,0),IF(A20="COTAÇÃO",VLOOKUP(B20,'036-20-Cotação'!$A$9:$G$529,4,0))))</f>
        <v>MÊS</v>
      </c>
      <c r="F20" s="462">
        <v>1.2</v>
      </c>
      <c r="G20" s="453">
        <f>IF(A20="SERVIÇO",VLOOKUP(B20,SERVIÇOS!$A$6:$D$7645,4,0),IF(A20="INSUMO",VLOOKUP(B20,INSUMOS!$A$6:$D$6961,4,0),IF(A20="COTAÇÃO",VLOOKUP(B20,'036-20-Cotação'!$A$9:$G$529,3,0))))</f>
        <v>17574.942899999998</v>
      </c>
      <c r="H20" s="463">
        <f t="shared" si="2"/>
        <v>21089.931479999996</v>
      </c>
      <c r="J20" s="201"/>
    </row>
    <row r="21" spans="1:17" s="87" customFormat="1" ht="12.75">
      <c r="A21" s="232"/>
      <c r="B21" s="199" t="s">
        <v>123</v>
      </c>
      <c r="C21" s="698" t="s">
        <v>13510</v>
      </c>
      <c r="D21" s="699"/>
      <c r="E21" s="699"/>
      <c r="F21" s="699"/>
      <c r="G21" s="699"/>
      <c r="H21" s="700"/>
      <c r="J21" s="201"/>
    </row>
    <row r="22" spans="1:17" s="78" customFormat="1" ht="9.75" customHeight="1">
      <c r="A22" s="188"/>
      <c r="B22" s="359"/>
      <c r="C22" s="357"/>
      <c r="D22" s="357"/>
      <c r="E22" s="357"/>
      <c r="F22" s="357"/>
      <c r="G22" s="357"/>
      <c r="H22" s="358"/>
      <c r="J22" s="303"/>
    </row>
    <row r="23" spans="1:17" s="78" customFormat="1" ht="127.5">
      <c r="A23" s="188"/>
      <c r="B23" s="80" t="s">
        <v>6793</v>
      </c>
      <c r="C23" s="81" t="s">
        <v>6794</v>
      </c>
      <c r="D23" s="82" t="s">
        <v>84</v>
      </c>
      <c r="E23" s="82" t="s">
        <v>10</v>
      </c>
      <c r="F23" s="83"/>
      <c r="G23" s="84"/>
      <c r="H23" s="85">
        <f>SUM(H24:H27)</f>
        <v>22514.758515000001</v>
      </c>
      <c r="J23" s="79"/>
      <c r="K23" s="87"/>
      <c r="L23" s="87"/>
      <c r="M23" s="87"/>
      <c r="N23" s="87"/>
      <c r="O23" s="87"/>
      <c r="P23" s="87"/>
      <c r="Q23" s="87"/>
    </row>
    <row r="24" spans="1:17" s="87" customFormat="1" ht="25.5">
      <c r="A24" s="232" t="s">
        <v>4542</v>
      </c>
      <c r="B24" s="464" t="s">
        <v>6819</v>
      </c>
      <c r="C24" s="451" t="str">
        <f>IF(A24="SERVIÇO",VLOOKUP(B24,SERVIÇOS!$A$6:$D$7645,2,0),IF(A24="INSUMO",VLOOKUP(B24,INSUMOS!$A$6:$D$6961,2,0),IF(A24="COTAÇÃO",VLOOKUP(B24,'036-20-Cotação'!$A$9:$G$529,2,0))))</f>
        <v xml:space="preserve">CONSULTOR ESPECIAL     </v>
      </c>
      <c r="D24" s="452" t="str">
        <f>IF(A24="SERVIÇO",VLOOKUP(B24,SERVIÇOS!$A$6:$E$7645,5,0),IF(A24="INSUMO",VLOOKUP(B24,INSUMOS!$A$6:$E$6961,5,0),IF(A24="COTAÇÃO",VLOOKUP(B24,'036-20-Cotação'!$A$9:$H$529,8,0))))</f>
        <v>M.O.</v>
      </c>
      <c r="E24" s="452" t="str">
        <f>IF(A24="SERVIÇO",VLOOKUP(B24,SERVIÇOS!$A$6:$D$7645,3,0),IF(A24="INSUMO",VLOOKUP(B24,INSUMOS!$A$6:$D$6961,3,0),IF(A24="COTAÇÃO",VLOOKUP(B24,'036-20-Cotação'!$A$9:$G$529,4,0))))</f>
        <v>MÊS</v>
      </c>
      <c r="F24" s="462">
        <v>0.09</v>
      </c>
      <c r="G24" s="453">
        <f>IF(A24="SERVIÇO",VLOOKUP(B24,SERVIÇOS!$A$6:$D$7645,4,0),IF(A24="INSUMO",VLOOKUP(B24,INSUMOS!$A$6:$D$6961,4,0),IF(A24="COTAÇÃO",VLOOKUP(B24,'036-20-Cotação'!$A$9:$G$529,3,0))))</f>
        <v>21020.83</v>
      </c>
      <c r="H24" s="463">
        <f t="shared" ref="H24:H27" si="3">G24*F24</f>
        <v>1891.8747000000001</v>
      </c>
      <c r="J24" s="201"/>
    </row>
    <row r="25" spans="1:17" s="87" customFormat="1" ht="12.75">
      <c r="A25" s="232" t="s">
        <v>4542</v>
      </c>
      <c r="B25" s="531" t="s">
        <v>6782</v>
      </c>
      <c r="C25" s="451" t="str">
        <f>IF(A25="SERVIÇO",VLOOKUP(B25,SERVIÇOS!$A$6:$D$7645,2,0),IF(A25="INSUMO",VLOOKUP(B25,INSUMOS!$A$6:$D$6961,2,0),IF(A25="COTAÇÃO",VLOOKUP(B25,'036-20-Cotação'!$A$9:$G$529,2,0))))</f>
        <v>DESENHISTA</v>
      </c>
      <c r="D25" s="452" t="str">
        <f>IF(A25="SERVIÇO",VLOOKUP(B25,SERVIÇOS!$A$6:$E$7645,5,0),IF(A25="INSUMO",VLOOKUP(B25,INSUMOS!$A$6:$E$6961,5,0),IF(A25="COTAÇÃO",VLOOKUP(B25,'036-20-Cotação'!$A$9:$H$529,8,0))))</f>
        <v>M.O</v>
      </c>
      <c r="E25" s="452" t="str">
        <f>IF(A25="SERVIÇO",VLOOKUP(B25,SERVIÇOS!$A$6:$D$7645,3,0),IF(A25="INSUMO",VLOOKUP(B25,INSUMOS!$A$6:$D$6961,3,0),IF(A25="COTAÇÃO",VLOOKUP(B25,'036-20-Cotação'!$A$9:$G$529,4,0))))</f>
        <v>MÊS</v>
      </c>
      <c r="F25" s="462">
        <v>1.6</v>
      </c>
      <c r="G25" s="453">
        <f>IF(A25="SERVIÇO",VLOOKUP(B25,SERVIÇOS!$A$6:$D$7645,4,0),IF(A25="INSUMO",VLOOKUP(B25,INSUMOS!$A$6:$D$6961,4,0),IF(A25="COTAÇÃO",VLOOKUP(B25,'036-20-Cotação'!$A$9:$G$529,3,0))))</f>
        <v>5359.7883000000002</v>
      </c>
      <c r="H25" s="463">
        <f t="shared" si="3"/>
        <v>8575.6612800000003</v>
      </c>
      <c r="J25" s="201"/>
    </row>
    <row r="26" spans="1:17" s="87" customFormat="1" ht="12.75">
      <c r="A26" s="232" t="s">
        <v>4542</v>
      </c>
      <c r="B26" s="464" t="s">
        <v>6784</v>
      </c>
      <c r="C26" s="451" t="str">
        <f>IF(A26="SERVIÇO",VLOOKUP(B26,SERVIÇOS!$A$6:$D$7645,2,0),IF(A26="INSUMO",VLOOKUP(B26,INSUMOS!$A$6:$D$6961,2,0),IF(A26="COTAÇÃO",VLOOKUP(B26,'036-20-Cotação'!$A$9:$G$529,2,0))))</f>
        <v>ENGENHEIRO</v>
      </c>
      <c r="D26" s="452" t="str">
        <f>IF(A26="SERVIÇO",VLOOKUP(B26,SERVIÇOS!$A$6:$E$7645,5,0),IF(A26="INSUMO",VLOOKUP(B26,INSUMOS!$A$6:$E$6961,5,0),IF(A26="COTAÇÃO",VLOOKUP(B26,'036-20-Cotação'!$A$9:$H$529,8,0))))</f>
        <v>M.O</v>
      </c>
      <c r="E26" s="452" t="str">
        <f>IF(A26="SERVIÇO",VLOOKUP(B26,SERVIÇOS!$A$6:$D$7645,3,0),IF(A26="INSUMO",VLOOKUP(B26,INSUMOS!$A$6:$D$6961,3,0),IF(A26="COTAÇÃO",VLOOKUP(B26,'036-20-Cotação'!$A$9:$G$529,4,0))))</f>
        <v>MÊS</v>
      </c>
      <c r="F26" s="462">
        <v>0.15</v>
      </c>
      <c r="G26" s="453">
        <f>IF(A26="SERVIÇO",VLOOKUP(B26,SERVIÇOS!$A$6:$D$7645,4,0),IF(A26="INSUMO",VLOOKUP(B26,INSUMOS!$A$6:$D$6961,4,0),IF(A26="COTAÇÃO",VLOOKUP(B26,'036-20-Cotação'!$A$9:$G$529,3,0))))</f>
        <v>21731.673900000002</v>
      </c>
      <c r="H26" s="463">
        <f t="shared" si="3"/>
        <v>3259.7510850000003</v>
      </c>
      <c r="J26" s="201"/>
    </row>
    <row r="27" spans="1:17" s="87" customFormat="1" ht="12.75">
      <c r="A27" s="232" t="s">
        <v>4542</v>
      </c>
      <c r="B27" s="464" t="s">
        <v>6786</v>
      </c>
      <c r="C27" s="451" t="str">
        <f>IF(A27="SERVIÇO",VLOOKUP(B27,SERVIÇOS!$A$6:$D$7645,2,0),IF(A27="INSUMO",VLOOKUP(B27,INSUMOS!$A$6:$D$6961,2,0),IF(A27="COTAÇÃO",VLOOKUP(B27,'036-20-Cotação'!$A$9:$G$529,2,0))))</f>
        <v>ENGENHEIRO AUXILIAR</v>
      </c>
      <c r="D27" s="452" t="str">
        <f>IF(A27="SERVIÇO",VLOOKUP(B27,SERVIÇOS!$A$6:$E$7645,5,0),IF(A27="INSUMO",VLOOKUP(B27,INSUMOS!$A$6:$E$6961,5,0),IF(A27="COTAÇÃO",VLOOKUP(B27,'036-20-Cotação'!$A$9:$H$529,8,0))))</f>
        <v>M.O</v>
      </c>
      <c r="E27" s="452" t="str">
        <f>IF(A27="SERVIÇO",VLOOKUP(B27,SERVIÇOS!$A$6:$D$7645,3,0),IF(A27="INSUMO",VLOOKUP(B27,INSUMOS!$A$6:$D$6961,3,0),IF(A27="COTAÇÃO",VLOOKUP(B27,'036-20-Cotação'!$A$9:$G$529,4,0))))</f>
        <v>MÊS</v>
      </c>
      <c r="F27" s="462">
        <v>0.5</v>
      </c>
      <c r="G27" s="453">
        <f>IF(A27="SERVIÇO",VLOOKUP(B27,SERVIÇOS!$A$6:$D$7645,4,0),IF(A27="INSUMO",VLOOKUP(B27,INSUMOS!$A$6:$D$6961,4,0),IF(A27="COTAÇÃO",VLOOKUP(B27,'036-20-Cotação'!$A$9:$G$529,3,0))))</f>
        <v>17574.942899999998</v>
      </c>
      <c r="H27" s="463">
        <f t="shared" si="3"/>
        <v>8787.4714499999991</v>
      </c>
      <c r="J27" s="201"/>
    </row>
    <row r="28" spans="1:17" s="87" customFormat="1" ht="12.75" customHeight="1">
      <c r="A28" s="232"/>
      <c r="B28" s="199" t="s">
        <v>123</v>
      </c>
      <c r="C28" s="698" t="s">
        <v>13510</v>
      </c>
      <c r="D28" s="699"/>
      <c r="E28" s="699"/>
      <c r="F28" s="699"/>
      <c r="G28" s="699"/>
      <c r="H28" s="700"/>
      <c r="J28" s="201"/>
    </row>
    <row r="29" spans="1:17" s="78" customFormat="1" ht="9.75" customHeight="1">
      <c r="A29" s="188"/>
      <c r="B29" s="359"/>
      <c r="C29" s="357"/>
      <c r="D29" s="357"/>
      <c r="E29" s="357"/>
      <c r="F29" s="357"/>
      <c r="G29" s="357"/>
      <c r="H29" s="358"/>
      <c r="J29" s="303"/>
    </row>
    <row r="30" spans="1:17" s="78" customFormat="1" ht="89.25">
      <c r="A30" s="188"/>
      <c r="B30" s="80" t="s">
        <v>6797</v>
      </c>
      <c r="C30" s="81" t="s">
        <v>8308</v>
      </c>
      <c r="D30" s="82" t="s">
        <v>84</v>
      </c>
      <c r="E30" s="82" t="s">
        <v>10</v>
      </c>
      <c r="F30" s="83"/>
      <c r="G30" s="84"/>
      <c r="H30" s="85">
        <f>SUM(H31:H34)</f>
        <v>8624.2828850000005</v>
      </c>
      <c r="J30" s="79"/>
      <c r="K30" s="87"/>
      <c r="L30" s="87"/>
      <c r="M30" s="87"/>
      <c r="N30" s="87"/>
      <c r="O30" s="87"/>
      <c r="P30" s="87"/>
      <c r="Q30" s="87"/>
    </row>
    <row r="31" spans="1:17" s="87" customFormat="1" ht="25.5">
      <c r="A31" s="232" t="s">
        <v>4542</v>
      </c>
      <c r="B31" s="464" t="s">
        <v>6819</v>
      </c>
      <c r="C31" s="451" t="str">
        <f>IF(A31="SERVIÇO",VLOOKUP(B31,SERVIÇOS!$A$6:$D$7645,2,0),IF(A31="INSUMO",VLOOKUP(B31,INSUMOS!$A$6:$D$6961,2,0),IF(A31="COTAÇÃO",VLOOKUP(B31,'036-20-Cotação'!$A$9:$G$529,2,0))))</f>
        <v xml:space="preserve">CONSULTOR ESPECIAL     </v>
      </c>
      <c r="D31" s="452" t="str">
        <f>IF(A31="SERVIÇO",VLOOKUP(B31,SERVIÇOS!$A$6:$E$7645,5,0),IF(A31="INSUMO",VLOOKUP(B31,INSUMOS!$A$6:$E$6961,5,0),IF(A31="COTAÇÃO",VLOOKUP(B31,'036-20-Cotação'!$A$9:$H$529,8,0))))</f>
        <v>M.O.</v>
      </c>
      <c r="E31" s="452" t="str">
        <f>IF(A31="SERVIÇO",VLOOKUP(B31,SERVIÇOS!$A$6:$D$7645,3,0),IF(A31="INSUMO",VLOOKUP(B31,INSUMOS!$A$6:$D$6961,3,0),IF(A31="COTAÇÃO",VLOOKUP(B31,'036-20-Cotação'!$A$9:$G$529,4,0))))</f>
        <v>MÊS</v>
      </c>
      <c r="F31" s="462">
        <v>0.02</v>
      </c>
      <c r="G31" s="453">
        <f>IF(A31="SERVIÇO",VLOOKUP(B31,SERVIÇOS!$A$6:$D$7645,4,0),IF(A31="INSUMO",VLOOKUP(B31,INSUMOS!$A$6:$D$6961,4,0),IF(A31="COTAÇÃO",VLOOKUP(B31,'036-20-Cotação'!$A$9:$G$529,3,0))))</f>
        <v>21020.83</v>
      </c>
      <c r="H31" s="463">
        <f t="shared" ref="H31:H34" si="4">G31*F31</f>
        <v>420.41660000000002</v>
      </c>
      <c r="J31" s="201"/>
    </row>
    <row r="32" spans="1:17" s="87" customFormat="1" ht="12.75">
      <c r="A32" s="232" t="s">
        <v>4542</v>
      </c>
      <c r="B32" s="531" t="s">
        <v>6782</v>
      </c>
      <c r="C32" s="451" t="str">
        <f>IF(A32="SERVIÇO",VLOOKUP(B32,SERVIÇOS!$A$6:$D$7645,2,0),IF(A32="INSUMO",VLOOKUP(B32,INSUMOS!$A$6:$D$6961,2,0),IF(A32="COTAÇÃO",VLOOKUP(B32,'036-20-Cotação'!$A$9:$G$529,2,0))))</f>
        <v>DESENHISTA</v>
      </c>
      <c r="D32" s="452" t="str">
        <f>IF(A32="SERVIÇO",VLOOKUP(B32,SERVIÇOS!$A$6:$E$7645,5,0),IF(A32="INSUMO",VLOOKUP(B32,INSUMOS!$A$6:$E$6961,5,0),IF(A32="COTAÇÃO",VLOOKUP(B32,'036-20-Cotação'!$A$9:$H$529,8,0))))</f>
        <v>M.O</v>
      </c>
      <c r="E32" s="452" t="str">
        <f>IF(A32="SERVIÇO",VLOOKUP(B32,SERVIÇOS!$A$6:$D$7645,3,0),IF(A32="INSUMO",VLOOKUP(B32,INSUMOS!$A$6:$D$6961,3,0),IF(A32="COTAÇÃO",VLOOKUP(B32,'036-20-Cotação'!$A$9:$G$529,4,0))))</f>
        <v>MÊS</v>
      </c>
      <c r="F32" s="462">
        <v>1</v>
      </c>
      <c r="G32" s="453">
        <f>IF(A32="SERVIÇO",VLOOKUP(B32,SERVIÇOS!$A$6:$D$7645,4,0),IF(A32="INSUMO",VLOOKUP(B32,INSUMOS!$A$6:$D$6961,4,0),IF(A32="COTAÇÃO",VLOOKUP(B32,'036-20-Cotação'!$A$9:$G$529,3,0))))</f>
        <v>5359.7883000000002</v>
      </c>
      <c r="H32" s="463">
        <f t="shared" si="4"/>
        <v>5359.7883000000002</v>
      </c>
      <c r="J32" s="201"/>
    </row>
    <row r="33" spans="1:17" s="87" customFormat="1" ht="12.75">
      <c r="A33" s="232" t="s">
        <v>4542</v>
      </c>
      <c r="B33" s="464" t="s">
        <v>6784</v>
      </c>
      <c r="C33" s="451" t="str">
        <f>IF(A33="SERVIÇO",VLOOKUP(B33,SERVIÇOS!$A$6:$D$7645,2,0),IF(A33="INSUMO",VLOOKUP(B33,INSUMOS!$A$6:$D$6961,2,0),IF(A33="COTAÇÃO",VLOOKUP(B33,'036-20-Cotação'!$A$9:$G$529,2,0))))</f>
        <v>ENGENHEIRO</v>
      </c>
      <c r="D33" s="452" t="str">
        <f>IF(A33="SERVIÇO",VLOOKUP(B33,SERVIÇOS!$A$6:$E$7645,5,0),IF(A33="INSUMO",VLOOKUP(B33,INSUMOS!$A$6:$E$6961,5,0),IF(A33="COTAÇÃO",VLOOKUP(B33,'036-20-Cotação'!$A$9:$H$529,8,0))))</f>
        <v>M.O</v>
      </c>
      <c r="E33" s="452" t="str">
        <f>IF(A33="SERVIÇO",VLOOKUP(B33,SERVIÇOS!$A$6:$D$7645,3,0),IF(A33="INSUMO",VLOOKUP(B33,INSUMOS!$A$6:$D$6961,3,0),IF(A33="COTAÇÃO",VLOOKUP(B33,'036-20-Cotação'!$A$9:$G$529,4,0))))</f>
        <v>MÊS</v>
      </c>
      <c r="F33" s="462">
        <v>0.05</v>
      </c>
      <c r="G33" s="453">
        <f>IF(A33="SERVIÇO",VLOOKUP(B33,SERVIÇOS!$A$6:$D$7645,4,0),IF(A33="INSUMO",VLOOKUP(B33,INSUMOS!$A$6:$D$6961,4,0),IF(A33="COTAÇÃO",VLOOKUP(B33,'036-20-Cotação'!$A$9:$G$529,3,0))))</f>
        <v>21731.673900000002</v>
      </c>
      <c r="H33" s="463">
        <f t="shared" si="4"/>
        <v>1086.583695</v>
      </c>
      <c r="J33" s="201"/>
    </row>
    <row r="34" spans="1:17" s="87" customFormat="1" ht="12.75">
      <c r="A34" s="232" t="s">
        <v>4542</v>
      </c>
      <c r="B34" s="464" t="s">
        <v>6786</v>
      </c>
      <c r="C34" s="451" t="str">
        <f>IF(A34="SERVIÇO",VLOOKUP(B34,SERVIÇOS!$A$6:$D$7645,2,0),IF(A34="INSUMO",VLOOKUP(B34,INSUMOS!$A$6:$D$6961,2,0),IF(A34="COTAÇÃO",VLOOKUP(B34,'036-20-Cotação'!$A$9:$G$529,2,0))))</f>
        <v>ENGENHEIRO AUXILIAR</v>
      </c>
      <c r="D34" s="452" t="str">
        <f>IF(A34="SERVIÇO",VLOOKUP(B34,SERVIÇOS!$A$6:$E$7645,5,0),IF(A34="INSUMO",VLOOKUP(B34,INSUMOS!$A$6:$E$6961,5,0),IF(A34="COTAÇÃO",VLOOKUP(B34,'036-20-Cotação'!$A$9:$H$529,8,0))))</f>
        <v>M.O</v>
      </c>
      <c r="E34" s="452" t="str">
        <f>IF(A34="SERVIÇO",VLOOKUP(B34,SERVIÇOS!$A$6:$D$7645,3,0),IF(A34="INSUMO",VLOOKUP(B34,INSUMOS!$A$6:$D$6961,3,0),IF(A34="COTAÇÃO",VLOOKUP(B34,'036-20-Cotação'!$A$9:$G$529,4,0))))</f>
        <v>MÊS</v>
      </c>
      <c r="F34" s="462">
        <v>0.1</v>
      </c>
      <c r="G34" s="453">
        <f>IF(A34="SERVIÇO",VLOOKUP(B34,SERVIÇOS!$A$6:$D$7645,4,0),IF(A34="INSUMO",VLOOKUP(B34,INSUMOS!$A$6:$D$6961,4,0),IF(A34="COTAÇÃO",VLOOKUP(B34,'036-20-Cotação'!$A$9:$G$529,3,0))))</f>
        <v>17574.942899999998</v>
      </c>
      <c r="H34" s="463">
        <f t="shared" si="4"/>
        <v>1757.4942899999999</v>
      </c>
      <c r="J34" s="201"/>
    </row>
    <row r="35" spans="1:17" s="87" customFormat="1" ht="12.75" customHeight="1">
      <c r="A35" s="232"/>
      <c r="B35" s="199" t="s">
        <v>123</v>
      </c>
      <c r="C35" s="698" t="s">
        <v>13510</v>
      </c>
      <c r="D35" s="699"/>
      <c r="E35" s="699"/>
      <c r="F35" s="699"/>
      <c r="G35" s="699"/>
      <c r="H35" s="700"/>
      <c r="J35" s="201"/>
    </row>
    <row r="36" spans="1:17" s="78" customFormat="1" ht="9.75" customHeight="1">
      <c r="A36" s="188"/>
      <c r="B36" s="359"/>
      <c r="C36" s="357"/>
      <c r="D36" s="357"/>
      <c r="E36" s="357"/>
      <c r="F36" s="357"/>
      <c r="G36" s="357"/>
      <c r="H36" s="358"/>
      <c r="J36" s="303"/>
    </row>
    <row r="37" spans="1:17" s="78" customFormat="1" ht="25.5">
      <c r="A37" s="188"/>
      <c r="B37" s="80" t="s">
        <v>6798</v>
      </c>
      <c r="C37" s="81" t="s">
        <v>6799</v>
      </c>
      <c r="D37" s="82" t="s">
        <v>84</v>
      </c>
      <c r="E37" s="82" t="s">
        <v>10</v>
      </c>
      <c r="F37" s="83"/>
      <c r="G37" s="84"/>
      <c r="H37" s="85">
        <f>SUM(H38:H41)</f>
        <v>37676.366479999997</v>
      </c>
      <c r="J37" s="79"/>
      <c r="K37" s="87"/>
      <c r="L37" s="87"/>
      <c r="M37" s="87"/>
      <c r="N37" s="87"/>
      <c r="O37" s="87"/>
      <c r="P37" s="87"/>
      <c r="Q37" s="87"/>
    </row>
    <row r="38" spans="1:17" s="87" customFormat="1" ht="25.5">
      <c r="A38" s="232" t="s">
        <v>4542</v>
      </c>
      <c r="B38" s="464" t="s">
        <v>6819</v>
      </c>
      <c r="C38" s="451" t="str">
        <f>IF(A38="SERVIÇO",VLOOKUP(B38,SERVIÇOS!$A$6:$D$7645,2,0),IF(A38="INSUMO",VLOOKUP(B38,INSUMOS!$A$6:$D$6961,2,0),IF(A38="COTAÇÃO",VLOOKUP(B38,'036-20-Cotação'!$A$9:$G$529,2,0))))</f>
        <v xml:space="preserve">CONSULTOR ESPECIAL     </v>
      </c>
      <c r="D38" s="452" t="str">
        <f>IF(A38="SERVIÇO",VLOOKUP(B38,SERVIÇOS!$A$6:$E$7645,5,0),IF(A38="INSUMO",VLOOKUP(B38,INSUMOS!$A$6:$E$6961,5,0),IF(A38="COTAÇÃO",VLOOKUP(B38,'036-20-Cotação'!$A$9:$H$529,8,0))))</f>
        <v>M.O.</v>
      </c>
      <c r="E38" s="452" t="str">
        <f>IF(A38="SERVIÇO",VLOOKUP(B38,SERVIÇOS!$A$6:$D$7645,3,0),IF(A38="INSUMO",VLOOKUP(B38,INSUMOS!$A$6:$D$6961,3,0),IF(A38="COTAÇÃO",VLOOKUP(B38,'036-20-Cotação'!$A$9:$G$529,4,0))))</f>
        <v>MÊS</v>
      </c>
      <c r="F38" s="462">
        <v>0.2</v>
      </c>
      <c r="G38" s="453">
        <f>IF(A38="SERVIÇO",VLOOKUP(B38,SERVIÇOS!$A$6:$D$7645,4,0),IF(A38="INSUMO",VLOOKUP(B38,INSUMOS!$A$6:$D$6961,4,0),IF(A38="COTAÇÃO",VLOOKUP(B38,'036-20-Cotação'!$A$9:$G$529,3,0))))</f>
        <v>21020.83</v>
      </c>
      <c r="H38" s="463">
        <f t="shared" ref="H38:H41" si="5">G38*F38</f>
        <v>4204.1660000000002</v>
      </c>
      <c r="J38" s="201"/>
    </row>
    <row r="39" spans="1:17" s="87" customFormat="1" ht="12.75">
      <c r="A39" s="232" t="s">
        <v>4542</v>
      </c>
      <c r="B39" s="531" t="s">
        <v>6782</v>
      </c>
      <c r="C39" s="451" t="str">
        <f>IF(A39="SERVIÇO",VLOOKUP(B39,SERVIÇOS!$A$6:$D$7645,2,0),IF(A39="INSUMO",VLOOKUP(B39,INSUMOS!$A$6:$D$6961,2,0),IF(A39="COTAÇÃO",VLOOKUP(B39,'036-20-Cotação'!$A$9:$G$529,2,0))))</f>
        <v>DESENHISTA</v>
      </c>
      <c r="D39" s="452" t="str">
        <f>IF(A39="SERVIÇO",VLOOKUP(B39,SERVIÇOS!$A$6:$E$7645,5,0),IF(A39="INSUMO",VLOOKUP(B39,INSUMOS!$A$6:$E$6961,5,0),IF(A39="COTAÇÃO",VLOOKUP(B39,'036-20-Cotação'!$A$9:$H$529,8,0))))</f>
        <v>M.O</v>
      </c>
      <c r="E39" s="452" t="str">
        <f>IF(A39="SERVIÇO",VLOOKUP(B39,SERVIÇOS!$A$6:$D$7645,3,0),IF(A39="INSUMO",VLOOKUP(B39,INSUMOS!$A$6:$D$6961,3,0),IF(A39="COTAÇÃO",VLOOKUP(B39,'036-20-Cotação'!$A$9:$G$529,4,0))))</f>
        <v>MÊS</v>
      </c>
      <c r="F39" s="462">
        <v>2</v>
      </c>
      <c r="G39" s="453">
        <f>IF(A39="SERVIÇO",VLOOKUP(B39,SERVIÇOS!$A$6:$D$7645,4,0),IF(A39="INSUMO",VLOOKUP(B39,INSUMOS!$A$6:$D$6961,4,0),IF(A39="COTAÇÃO",VLOOKUP(B39,'036-20-Cotação'!$A$9:$G$529,3,0))))</f>
        <v>5359.7883000000002</v>
      </c>
      <c r="H39" s="463">
        <f t="shared" si="5"/>
        <v>10719.5766</v>
      </c>
      <c r="J39" s="201"/>
    </row>
    <row r="40" spans="1:17" s="87" customFormat="1" ht="12.75">
      <c r="A40" s="232" t="s">
        <v>4542</v>
      </c>
      <c r="B40" s="464" t="s">
        <v>6784</v>
      </c>
      <c r="C40" s="451" t="str">
        <f>IF(A40="SERVIÇO",VLOOKUP(B40,SERVIÇOS!$A$6:$D$7645,2,0),IF(A40="INSUMO",VLOOKUP(B40,INSUMOS!$A$6:$D$6961,2,0),IF(A40="COTAÇÃO",VLOOKUP(B40,'036-20-Cotação'!$A$9:$G$529,2,0))))</f>
        <v>ENGENHEIRO</v>
      </c>
      <c r="D40" s="452" t="str">
        <f>IF(A40="SERVIÇO",VLOOKUP(B40,SERVIÇOS!$A$6:$E$7645,5,0),IF(A40="INSUMO",VLOOKUP(B40,INSUMOS!$A$6:$E$6961,5,0),IF(A40="COTAÇÃO",VLOOKUP(B40,'036-20-Cotação'!$A$9:$H$529,8,0))))</f>
        <v>M.O</v>
      </c>
      <c r="E40" s="452" t="str">
        <f>IF(A40="SERVIÇO",VLOOKUP(B40,SERVIÇOS!$A$6:$D$7645,3,0),IF(A40="INSUMO",VLOOKUP(B40,INSUMOS!$A$6:$D$6961,3,0),IF(A40="COTAÇÃO",VLOOKUP(B40,'036-20-Cotação'!$A$9:$G$529,4,0))))</f>
        <v>MÊS</v>
      </c>
      <c r="F40" s="462">
        <v>0.4</v>
      </c>
      <c r="G40" s="453">
        <f>IF(A40="SERVIÇO",VLOOKUP(B40,SERVIÇOS!$A$6:$D$7645,4,0),IF(A40="INSUMO",VLOOKUP(B40,INSUMOS!$A$6:$D$6961,4,0),IF(A40="COTAÇÃO",VLOOKUP(B40,'036-20-Cotação'!$A$9:$G$529,3,0))))</f>
        <v>21731.673900000002</v>
      </c>
      <c r="H40" s="463">
        <f t="shared" si="5"/>
        <v>8692.6695600000003</v>
      </c>
      <c r="J40" s="201"/>
    </row>
    <row r="41" spans="1:17" s="87" customFormat="1" ht="12.75">
      <c r="A41" s="232" t="s">
        <v>4542</v>
      </c>
      <c r="B41" s="464" t="s">
        <v>6786</v>
      </c>
      <c r="C41" s="451" t="str">
        <f>IF(A41="SERVIÇO",VLOOKUP(B41,SERVIÇOS!$A$6:$D$7645,2,0),IF(A41="INSUMO",VLOOKUP(B41,INSUMOS!$A$6:$D$6961,2,0),IF(A41="COTAÇÃO",VLOOKUP(B41,'036-20-Cotação'!$A$9:$G$529,2,0))))</f>
        <v>ENGENHEIRO AUXILIAR</v>
      </c>
      <c r="D41" s="452" t="str">
        <f>IF(A41="SERVIÇO",VLOOKUP(B41,SERVIÇOS!$A$6:$E$7645,5,0),IF(A41="INSUMO",VLOOKUP(B41,INSUMOS!$A$6:$E$6961,5,0),IF(A41="COTAÇÃO",VLOOKUP(B41,'036-20-Cotação'!$A$9:$H$529,8,0))))</f>
        <v>M.O</v>
      </c>
      <c r="E41" s="452" t="str">
        <f>IF(A41="SERVIÇO",VLOOKUP(B41,SERVIÇOS!$A$6:$D$7645,3,0),IF(A41="INSUMO",VLOOKUP(B41,INSUMOS!$A$6:$D$6961,3,0),IF(A41="COTAÇÃO",VLOOKUP(B41,'036-20-Cotação'!$A$9:$G$529,4,0))))</f>
        <v>MÊS</v>
      </c>
      <c r="F41" s="462">
        <v>0.8</v>
      </c>
      <c r="G41" s="453">
        <f>IF(A41="SERVIÇO",VLOOKUP(B41,SERVIÇOS!$A$6:$D$7645,4,0),IF(A41="INSUMO",VLOOKUP(B41,INSUMOS!$A$6:$D$6961,4,0),IF(A41="COTAÇÃO",VLOOKUP(B41,'036-20-Cotação'!$A$9:$G$529,3,0))))</f>
        <v>17574.942899999998</v>
      </c>
      <c r="H41" s="463">
        <f t="shared" si="5"/>
        <v>14059.954319999999</v>
      </c>
      <c r="J41" s="201"/>
    </row>
    <row r="42" spans="1:17" s="87" customFormat="1" ht="12.75" customHeight="1">
      <c r="A42" s="232"/>
      <c r="B42" s="199" t="s">
        <v>123</v>
      </c>
      <c r="C42" s="698" t="s">
        <v>13510</v>
      </c>
      <c r="D42" s="699"/>
      <c r="E42" s="699"/>
      <c r="F42" s="699"/>
      <c r="G42" s="699"/>
      <c r="H42" s="700"/>
      <c r="J42" s="201"/>
    </row>
    <row r="43" spans="1:17" s="78" customFormat="1" ht="9.75" customHeight="1">
      <c r="A43" s="188"/>
      <c r="B43" s="359"/>
      <c r="C43" s="357"/>
      <c r="D43" s="357"/>
      <c r="E43" s="357"/>
      <c r="F43" s="357"/>
      <c r="G43" s="357"/>
      <c r="H43" s="358"/>
      <c r="J43" s="303"/>
    </row>
    <row r="44" spans="1:17" s="78" customFormat="1" ht="140.25">
      <c r="A44" s="188"/>
      <c r="B44" s="80" t="s">
        <v>6800</v>
      </c>
      <c r="C44" s="81" t="s">
        <v>6801</v>
      </c>
      <c r="D44" s="82" t="s">
        <v>84</v>
      </c>
      <c r="E44" s="82" t="s">
        <v>10</v>
      </c>
      <c r="F44" s="83"/>
      <c r="G44" s="84"/>
      <c r="H44" s="85">
        <f>SUM(H45:H48)</f>
        <v>144112.5288</v>
      </c>
      <c r="J44" s="79"/>
      <c r="K44" s="87"/>
      <c r="L44" s="87"/>
      <c r="M44" s="87"/>
      <c r="N44" s="87"/>
      <c r="O44" s="87"/>
      <c r="P44" s="87"/>
      <c r="Q44" s="87"/>
    </row>
    <row r="45" spans="1:17" s="87" customFormat="1" ht="25.5">
      <c r="A45" s="232" t="s">
        <v>4542</v>
      </c>
      <c r="B45" s="464" t="s">
        <v>6819</v>
      </c>
      <c r="C45" s="451" t="str">
        <f>IF(A45="SERVIÇO",VLOOKUP(B45,SERVIÇOS!$A$6:$D$7645,2,0),IF(A45="INSUMO",VLOOKUP(B45,INSUMOS!$A$6:$D$6961,2,0),IF(A45="COTAÇÃO",VLOOKUP(B45,'036-20-Cotação'!$A$9:$G$529,2,0))))</f>
        <v xml:space="preserve">CONSULTOR ESPECIAL     </v>
      </c>
      <c r="D45" s="452" t="str">
        <f>IF(A45="SERVIÇO",VLOOKUP(B45,SERVIÇOS!$A$6:$E$7645,5,0),IF(A45="INSUMO",VLOOKUP(B45,INSUMOS!$A$6:$E$6961,5,0),IF(A45="COTAÇÃO",VLOOKUP(B45,'036-20-Cotação'!$A$9:$H$529,8,0))))</f>
        <v>M.O.</v>
      </c>
      <c r="E45" s="452" t="str">
        <f>IF(A45="SERVIÇO",VLOOKUP(B45,SERVIÇOS!$A$6:$D$7645,3,0),IF(A45="INSUMO",VLOOKUP(B45,INSUMOS!$A$6:$D$6961,3,0),IF(A45="COTAÇÃO",VLOOKUP(B45,'036-20-Cotação'!$A$9:$G$529,4,0))))</f>
        <v>MÊS</v>
      </c>
      <c r="F45" s="462">
        <v>0.75</v>
      </c>
      <c r="G45" s="453">
        <f>IF(A45="SERVIÇO",VLOOKUP(B45,SERVIÇOS!$A$6:$D$7645,4,0),IF(A45="INSUMO",VLOOKUP(B45,INSUMOS!$A$6:$D$6961,4,0),IF(A45="COTAÇÃO",VLOOKUP(B45,'036-20-Cotação'!$A$9:$G$529,3,0))))</f>
        <v>21020.83</v>
      </c>
      <c r="H45" s="463">
        <f t="shared" ref="H45:H48" si="6">G45*F45</f>
        <v>15765.622500000001</v>
      </c>
      <c r="J45" s="201"/>
    </row>
    <row r="46" spans="1:17" s="87" customFormat="1" ht="12.75">
      <c r="A46" s="232" t="s">
        <v>4542</v>
      </c>
      <c r="B46" s="531" t="s">
        <v>6782</v>
      </c>
      <c r="C46" s="451" t="str">
        <f>IF(A46="SERVIÇO",VLOOKUP(B46,SERVIÇOS!$A$6:$D$7645,2,0),IF(A46="INSUMO",VLOOKUP(B46,INSUMOS!$A$6:$D$6961,2,0),IF(A46="COTAÇÃO",VLOOKUP(B46,'036-20-Cotação'!$A$9:$G$529,2,0))))</f>
        <v>DESENHISTA</v>
      </c>
      <c r="D46" s="452" t="str">
        <f>IF(A46="SERVIÇO",VLOOKUP(B46,SERVIÇOS!$A$6:$E$7645,5,0),IF(A46="INSUMO",VLOOKUP(B46,INSUMOS!$A$6:$E$6961,5,0),IF(A46="COTAÇÃO",VLOOKUP(B46,'036-20-Cotação'!$A$9:$H$529,8,0))))</f>
        <v>M.O</v>
      </c>
      <c r="E46" s="452" t="str">
        <f>IF(A46="SERVIÇO",VLOOKUP(B46,SERVIÇOS!$A$6:$D$7645,3,0),IF(A46="INSUMO",VLOOKUP(B46,INSUMOS!$A$6:$D$6961,3,0),IF(A46="COTAÇÃO",VLOOKUP(B46,'036-20-Cotação'!$A$9:$G$529,4,0))))</f>
        <v>MÊS</v>
      </c>
      <c r="F46" s="462">
        <v>6</v>
      </c>
      <c r="G46" s="453">
        <f>IF(A46="SERVIÇO",VLOOKUP(B46,SERVIÇOS!$A$6:$D$7645,4,0),IF(A46="INSUMO",VLOOKUP(B46,INSUMOS!$A$6:$D$6961,4,0),IF(A46="COTAÇÃO",VLOOKUP(B46,'036-20-Cotação'!$A$9:$G$529,3,0))))</f>
        <v>5359.7883000000002</v>
      </c>
      <c r="H46" s="463">
        <f t="shared" si="6"/>
        <v>32158.729800000001</v>
      </c>
      <c r="J46" s="201"/>
    </row>
    <row r="47" spans="1:17" s="87" customFormat="1" ht="12.75">
      <c r="A47" s="232" t="s">
        <v>4542</v>
      </c>
      <c r="B47" s="464" t="s">
        <v>6784</v>
      </c>
      <c r="C47" s="451" t="str">
        <f>IF(A47="SERVIÇO",VLOOKUP(B47,SERVIÇOS!$A$6:$D$7645,2,0),IF(A47="INSUMO",VLOOKUP(B47,INSUMOS!$A$6:$D$6961,2,0),IF(A47="COTAÇÃO",VLOOKUP(B47,'036-20-Cotação'!$A$9:$G$529,2,0))))</f>
        <v>ENGENHEIRO</v>
      </c>
      <c r="D47" s="452" t="str">
        <f>IF(A47="SERVIÇO",VLOOKUP(B47,SERVIÇOS!$A$6:$E$7645,5,0),IF(A47="INSUMO",VLOOKUP(B47,INSUMOS!$A$6:$E$6961,5,0),IF(A47="COTAÇÃO",VLOOKUP(B47,'036-20-Cotação'!$A$9:$H$529,8,0))))</f>
        <v>M.O</v>
      </c>
      <c r="E47" s="452" t="str">
        <f>IF(A47="SERVIÇO",VLOOKUP(B47,SERVIÇOS!$A$6:$D$7645,3,0),IF(A47="INSUMO",VLOOKUP(B47,INSUMOS!$A$6:$D$6961,3,0),IF(A47="COTAÇÃO",VLOOKUP(B47,'036-20-Cotação'!$A$9:$G$529,4,0))))</f>
        <v>MÊS</v>
      </c>
      <c r="F47" s="462">
        <v>2</v>
      </c>
      <c r="G47" s="453">
        <f>IF(A47="SERVIÇO",VLOOKUP(B47,SERVIÇOS!$A$6:$D$7645,4,0),IF(A47="INSUMO",VLOOKUP(B47,INSUMOS!$A$6:$D$6961,4,0),IF(A47="COTAÇÃO",VLOOKUP(B47,'036-20-Cotação'!$A$9:$G$529,3,0))))</f>
        <v>21731.673900000002</v>
      </c>
      <c r="H47" s="463">
        <f t="shared" si="6"/>
        <v>43463.347800000003</v>
      </c>
      <c r="J47" s="201"/>
    </row>
    <row r="48" spans="1:17" s="87" customFormat="1" ht="12.75">
      <c r="A48" s="232" t="s">
        <v>4542</v>
      </c>
      <c r="B48" s="464" t="s">
        <v>6786</v>
      </c>
      <c r="C48" s="451" t="str">
        <f>IF(A48="SERVIÇO",VLOOKUP(B48,SERVIÇOS!$A$6:$D$7645,2,0),IF(A48="INSUMO",VLOOKUP(B48,INSUMOS!$A$6:$D$6961,2,0),IF(A48="COTAÇÃO",VLOOKUP(B48,'036-20-Cotação'!$A$9:$G$529,2,0))))</f>
        <v>ENGENHEIRO AUXILIAR</v>
      </c>
      <c r="D48" s="452" t="str">
        <f>IF(A48="SERVIÇO",VLOOKUP(B48,SERVIÇOS!$A$6:$E$7645,5,0),IF(A48="INSUMO",VLOOKUP(B48,INSUMOS!$A$6:$E$6961,5,0),IF(A48="COTAÇÃO",VLOOKUP(B48,'036-20-Cotação'!$A$9:$H$529,8,0))))</f>
        <v>M.O</v>
      </c>
      <c r="E48" s="452" t="str">
        <f>IF(A48="SERVIÇO",VLOOKUP(B48,SERVIÇOS!$A$6:$D$7645,3,0),IF(A48="INSUMO",VLOOKUP(B48,INSUMOS!$A$6:$D$6961,3,0),IF(A48="COTAÇÃO",VLOOKUP(B48,'036-20-Cotação'!$A$9:$G$529,4,0))))</f>
        <v>MÊS</v>
      </c>
      <c r="F48" s="462">
        <v>3</v>
      </c>
      <c r="G48" s="453">
        <f>IF(A48="SERVIÇO",VLOOKUP(B48,SERVIÇOS!$A$6:$D$7645,4,0),IF(A48="INSUMO",VLOOKUP(B48,INSUMOS!$A$6:$D$6961,4,0),IF(A48="COTAÇÃO",VLOOKUP(B48,'036-20-Cotação'!$A$9:$G$529,3,0))))</f>
        <v>17574.942899999998</v>
      </c>
      <c r="H48" s="463">
        <f t="shared" si="6"/>
        <v>52724.828699999998</v>
      </c>
      <c r="J48" s="201"/>
    </row>
    <row r="49" spans="1:17" s="87" customFormat="1" ht="12.75" customHeight="1">
      <c r="A49" s="232"/>
      <c r="B49" s="199" t="s">
        <v>123</v>
      </c>
      <c r="C49" s="698" t="s">
        <v>13510</v>
      </c>
      <c r="D49" s="699"/>
      <c r="E49" s="699"/>
      <c r="F49" s="699"/>
      <c r="G49" s="699"/>
      <c r="H49" s="700"/>
      <c r="J49" s="201"/>
    </row>
    <row r="50" spans="1:17" s="78" customFormat="1" ht="9.75" customHeight="1">
      <c r="A50" s="188"/>
      <c r="B50" s="359"/>
      <c r="C50" s="357"/>
      <c r="D50" s="357"/>
      <c r="E50" s="357"/>
      <c r="F50" s="357"/>
      <c r="G50" s="357"/>
      <c r="H50" s="358"/>
      <c r="J50" s="303"/>
    </row>
    <row r="51" spans="1:17" s="78" customFormat="1" ht="102">
      <c r="A51" s="188"/>
      <c r="B51" s="80" t="s">
        <v>6802</v>
      </c>
      <c r="C51" s="81" t="s">
        <v>8407</v>
      </c>
      <c r="D51" s="82" t="s">
        <v>84</v>
      </c>
      <c r="E51" s="82" t="s">
        <v>10</v>
      </c>
      <c r="F51" s="83"/>
      <c r="G51" s="84"/>
      <c r="H51" s="85">
        <f>SUM(H52:H55)</f>
        <v>44415.563949999996</v>
      </c>
      <c r="J51" s="79"/>
      <c r="K51" s="87"/>
      <c r="L51" s="87"/>
      <c r="M51" s="87"/>
      <c r="N51" s="87"/>
      <c r="O51" s="87"/>
      <c r="P51" s="87"/>
      <c r="Q51" s="87"/>
    </row>
    <row r="52" spans="1:17" s="87" customFormat="1" ht="25.5">
      <c r="A52" s="232" t="s">
        <v>4542</v>
      </c>
      <c r="B52" s="464" t="s">
        <v>6819</v>
      </c>
      <c r="C52" s="451" t="str">
        <f>IF(A52="SERVIÇO",VLOOKUP(B52,SERVIÇOS!$A$6:$D$7645,2,0),IF(A52="INSUMO",VLOOKUP(B52,INSUMOS!$A$6:$D$6961,2,0),IF(A52="COTAÇÃO",VLOOKUP(B52,'036-20-Cotação'!$A$9:$G$529,2,0))))</f>
        <v xml:space="preserve">CONSULTOR ESPECIAL     </v>
      </c>
      <c r="D52" s="452" t="str">
        <f>IF(A52="SERVIÇO",VLOOKUP(B52,SERVIÇOS!$A$6:$E$7645,5,0),IF(A52="INSUMO",VLOOKUP(B52,INSUMOS!$A$6:$E$6961,5,0),IF(A52="COTAÇÃO",VLOOKUP(B52,'036-20-Cotação'!$A$9:$H$529,8,0))))</f>
        <v>M.O.</v>
      </c>
      <c r="E52" s="452" t="str">
        <f>IF(A52="SERVIÇO",VLOOKUP(B52,SERVIÇOS!$A$6:$D$7645,3,0),IF(A52="INSUMO",VLOOKUP(B52,INSUMOS!$A$6:$D$6961,3,0),IF(A52="COTAÇÃO",VLOOKUP(B52,'036-20-Cotação'!$A$9:$G$529,4,0))))</f>
        <v>MÊS</v>
      </c>
      <c r="F52" s="462">
        <v>0.25</v>
      </c>
      <c r="G52" s="453">
        <f>IF(A52="SERVIÇO",VLOOKUP(B52,SERVIÇOS!$A$6:$D$7645,4,0),IF(A52="INSUMO",VLOOKUP(B52,INSUMOS!$A$6:$D$6961,4,0),IF(A52="COTAÇÃO",VLOOKUP(B52,'036-20-Cotação'!$A$9:$G$529,3,0))))</f>
        <v>21020.83</v>
      </c>
      <c r="H52" s="463">
        <f t="shared" ref="H52" si="7">G52*F52</f>
        <v>5255.2075000000004</v>
      </c>
      <c r="J52" s="201"/>
    </row>
    <row r="53" spans="1:17" s="87" customFormat="1" ht="12.75">
      <c r="A53" s="232" t="s">
        <v>4542</v>
      </c>
      <c r="B53" s="531" t="s">
        <v>6782</v>
      </c>
      <c r="C53" s="451" t="str">
        <f>IF(A53="SERVIÇO",VLOOKUP(B53,SERVIÇOS!$A$6:$D$7645,2,0),IF(A53="INSUMO",VLOOKUP(B53,INSUMOS!$A$6:$D$6961,2,0),IF(A53="COTAÇÃO",VLOOKUP(B53,'036-20-Cotação'!$A$9:$G$529,2,0))))</f>
        <v>DESENHISTA</v>
      </c>
      <c r="D53" s="452" t="str">
        <f>IF(A53="SERVIÇO",VLOOKUP(B53,SERVIÇOS!$A$6:$E$7645,5,0),IF(A53="INSUMO",VLOOKUP(B53,INSUMOS!$A$6:$E$6961,5,0),IF(A53="COTAÇÃO",VLOOKUP(B53,'036-20-Cotação'!$A$9:$H$529,8,0))))</f>
        <v>M.O</v>
      </c>
      <c r="E53" s="452" t="str">
        <f>IF(A53="SERVIÇO",VLOOKUP(B53,SERVIÇOS!$A$6:$D$7645,3,0),IF(A53="INSUMO",VLOOKUP(B53,INSUMOS!$A$6:$D$6961,3,0),IF(A53="COTAÇÃO",VLOOKUP(B53,'036-20-Cotação'!$A$9:$G$529,4,0))))</f>
        <v>MÊS</v>
      </c>
      <c r="F53" s="462">
        <v>2</v>
      </c>
      <c r="G53" s="453">
        <f>IF(A53="SERVIÇO",VLOOKUP(B53,SERVIÇOS!$A$6:$D$7645,4,0),IF(A53="INSUMO",VLOOKUP(B53,INSUMOS!$A$6:$D$6961,4,0),IF(A53="COTAÇÃO",VLOOKUP(B53,'036-20-Cotação'!$A$9:$G$529,3,0))))</f>
        <v>5359.7883000000002</v>
      </c>
      <c r="H53" s="463">
        <f t="shared" ref="H53:H55" si="8">G53*F53</f>
        <v>10719.5766</v>
      </c>
      <c r="J53" s="201"/>
    </row>
    <row r="54" spans="1:17" s="87" customFormat="1" ht="12.75">
      <c r="A54" s="232" t="s">
        <v>4542</v>
      </c>
      <c r="B54" s="464" t="s">
        <v>6784</v>
      </c>
      <c r="C54" s="451" t="str">
        <f>IF(A54="SERVIÇO",VLOOKUP(B54,SERVIÇOS!$A$6:$D$7645,2,0),IF(A54="INSUMO",VLOOKUP(B54,INSUMOS!$A$6:$D$6961,2,0),IF(A54="COTAÇÃO",VLOOKUP(B54,'036-20-Cotação'!$A$9:$G$529,2,0))))</f>
        <v>ENGENHEIRO</v>
      </c>
      <c r="D54" s="452" t="str">
        <f>IF(A54="SERVIÇO",VLOOKUP(B54,SERVIÇOS!$A$6:$E$7645,5,0),IF(A54="INSUMO",VLOOKUP(B54,INSUMOS!$A$6:$E$6961,5,0),IF(A54="COTAÇÃO",VLOOKUP(B54,'036-20-Cotação'!$A$9:$H$529,8,0))))</f>
        <v>M.O</v>
      </c>
      <c r="E54" s="452" t="str">
        <f>IF(A54="SERVIÇO",VLOOKUP(B54,SERVIÇOS!$A$6:$D$7645,3,0),IF(A54="INSUMO",VLOOKUP(B54,INSUMOS!$A$6:$D$6961,3,0),IF(A54="COTAÇÃO",VLOOKUP(B54,'036-20-Cotação'!$A$9:$G$529,4,0))))</f>
        <v>MÊS</v>
      </c>
      <c r="F54" s="462">
        <v>0.5</v>
      </c>
      <c r="G54" s="453">
        <f>IF(A54="SERVIÇO",VLOOKUP(B54,SERVIÇOS!$A$6:$D$7645,4,0),IF(A54="INSUMO",VLOOKUP(B54,INSUMOS!$A$6:$D$6961,4,0),IF(A54="COTAÇÃO",VLOOKUP(B54,'036-20-Cotação'!$A$9:$G$529,3,0))))</f>
        <v>21731.673900000002</v>
      </c>
      <c r="H54" s="463">
        <f t="shared" si="8"/>
        <v>10865.836950000001</v>
      </c>
      <c r="J54" s="201"/>
    </row>
    <row r="55" spans="1:17" s="87" customFormat="1" ht="12.75">
      <c r="A55" s="232" t="s">
        <v>4542</v>
      </c>
      <c r="B55" s="464" t="s">
        <v>6786</v>
      </c>
      <c r="C55" s="451" t="str">
        <f>IF(A55="SERVIÇO",VLOOKUP(B55,SERVIÇOS!$A$6:$D$7645,2,0),IF(A55="INSUMO",VLOOKUP(B55,INSUMOS!$A$6:$D$6961,2,0),IF(A55="COTAÇÃO",VLOOKUP(B55,'036-20-Cotação'!$A$9:$G$529,2,0))))</f>
        <v>ENGENHEIRO AUXILIAR</v>
      </c>
      <c r="D55" s="452" t="str">
        <f>IF(A55="SERVIÇO",VLOOKUP(B55,SERVIÇOS!$A$6:$E$7645,5,0),IF(A55="INSUMO",VLOOKUP(B55,INSUMOS!$A$6:$E$6961,5,0),IF(A55="COTAÇÃO",VLOOKUP(B55,'036-20-Cotação'!$A$9:$H$529,8,0))))</f>
        <v>M.O</v>
      </c>
      <c r="E55" s="452" t="str">
        <f>IF(A55="SERVIÇO",VLOOKUP(B55,SERVIÇOS!$A$6:$D$7645,3,0),IF(A55="INSUMO",VLOOKUP(B55,INSUMOS!$A$6:$D$6961,3,0),IF(A55="COTAÇÃO",VLOOKUP(B55,'036-20-Cotação'!$A$9:$G$529,4,0))))</f>
        <v>MÊS</v>
      </c>
      <c r="F55" s="462">
        <v>1</v>
      </c>
      <c r="G55" s="453">
        <f>IF(A55="SERVIÇO",VLOOKUP(B55,SERVIÇOS!$A$6:$D$7645,4,0),IF(A55="INSUMO",VLOOKUP(B55,INSUMOS!$A$6:$D$6961,4,0),IF(A55="COTAÇÃO",VLOOKUP(B55,'036-20-Cotação'!$A$9:$G$529,3,0))))</f>
        <v>17574.942899999998</v>
      </c>
      <c r="H55" s="463">
        <f t="shared" si="8"/>
        <v>17574.942899999998</v>
      </c>
      <c r="J55" s="201"/>
    </row>
    <row r="56" spans="1:17" s="87" customFormat="1" ht="12.75" customHeight="1">
      <c r="A56" s="232"/>
      <c r="B56" s="199" t="s">
        <v>123</v>
      </c>
      <c r="C56" s="698" t="s">
        <v>13510</v>
      </c>
      <c r="D56" s="699"/>
      <c r="E56" s="699"/>
      <c r="F56" s="699"/>
      <c r="G56" s="699"/>
      <c r="H56" s="700"/>
      <c r="J56" s="201"/>
    </row>
    <row r="57" spans="1:17" s="78" customFormat="1" ht="9.75" customHeight="1">
      <c r="A57" s="188"/>
      <c r="B57" s="359"/>
      <c r="C57" s="357"/>
      <c r="D57" s="357"/>
      <c r="E57" s="357"/>
      <c r="F57" s="357"/>
      <c r="G57" s="357"/>
      <c r="H57" s="358"/>
      <c r="J57" s="303"/>
    </row>
    <row r="58" spans="1:17" s="78" customFormat="1" ht="63.75">
      <c r="A58" s="188"/>
      <c r="B58" s="80" t="s">
        <v>6803</v>
      </c>
      <c r="C58" s="81" t="s">
        <v>6812</v>
      </c>
      <c r="D58" s="82" t="s">
        <v>84</v>
      </c>
      <c r="E58" s="82" t="s">
        <v>10</v>
      </c>
      <c r="F58" s="83"/>
      <c r="G58" s="84"/>
      <c r="H58" s="85">
        <f>SUM(H59:H62)</f>
        <v>20342.314149999998</v>
      </c>
      <c r="J58" s="79"/>
      <c r="K58" s="87"/>
      <c r="L58" s="87"/>
      <c r="M58" s="87"/>
      <c r="N58" s="87"/>
      <c r="O58" s="87"/>
      <c r="P58" s="87"/>
      <c r="Q58" s="87"/>
    </row>
    <row r="59" spans="1:17" s="87" customFormat="1" ht="25.5">
      <c r="A59" s="232" t="s">
        <v>4542</v>
      </c>
      <c r="B59" s="464" t="s">
        <v>6819</v>
      </c>
      <c r="C59" s="451" t="str">
        <f>IF(A59="SERVIÇO",VLOOKUP(B59,SERVIÇOS!$A$6:$D$7645,2,0),IF(A59="INSUMO",VLOOKUP(B59,INSUMOS!$A$6:$D$6961,2,0),IF(A59="COTAÇÃO",VLOOKUP(B59,'036-20-Cotação'!$A$9:$G$529,2,0))))</f>
        <v xml:space="preserve">CONSULTOR ESPECIAL     </v>
      </c>
      <c r="D59" s="452" t="str">
        <f>IF(A59="SERVIÇO",VLOOKUP(B59,SERVIÇOS!$A$6:$E$7645,5,0),IF(A59="INSUMO",VLOOKUP(B59,INSUMOS!$A$6:$E$6961,5,0),IF(A59="COTAÇÃO",VLOOKUP(B59,'036-20-Cotação'!$A$9:$H$529,8,0))))</f>
        <v>M.O.</v>
      </c>
      <c r="E59" s="452" t="str">
        <f>IF(A59="SERVIÇO",VLOOKUP(B59,SERVIÇOS!$A$6:$D$7645,3,0),IF(A59="INSUMO",VLOOKUP(B59,INSUMOS!$A$6:$D$6961,3,0),IF(A59="COTAÇÃO",VLOOKUP(B59,'036-20-Cotação'!$A$9:$G$529,4,0))))</f>
        <v>MÊS</v>
      </c>
      <c r="F59" s="462">
        <v>0.1</v>
      </c>
      <c r="G59" s="453">
        <f>IF(A59="SERVIÇO",VLOOKUP(B59,SERVIÇOS!$A$6:$D$7645,4,0),IF(A59="INSUMO",VLOOKUP(B59,INSUMOS!$A$6:$D$6961,4,0),IF(A59="COTAÇÃO",VLOOKUP(B59,'036-20-Cotação'!$A$9:$G$529,3,0))))</f>
        <v>21020.83</v>
      </c>
      <c r="H59" s="463">
        <f t="shared" ref="H59" si="9">G59*F59</f>
        <v>2102.0830000000001</v>
      </c>
      <c r="J59" s="201"/>
    </row>
    <row r="60" spans="1:17" s="87" customFormat="1" ht="12.75">
      <c r="A60" s="232" t="s">
        <v>4542</v>
      </c>
      <c r="B60" s="531" t="s">
        <v>6782</v>
      </c>
      <c r="C60" s="451" t="str">
        <f>IF(A60="SERVIÇO",VLOOKUP(B60,SERVIÇOS!$A$6:$D$7645,2,0),IF(A60="INSUMO",VLOOKUP(B60,INSUMOS!$A$6:$D$6961,2,0),IF(A60="COTAÇÃO",VLOOKUP(B60,'036-20-Cotação'!$A$9:$G$529,2,0))))</f>
        <v>DESENHISTA</v>
      </c>
      <c r="D60" s="452" t="str">
        <f>IF(A60="SERVIÇO",VLOOKUP(B60,SERVIÇOS!$A$6:$E$7645,5,0),IF(A60="INSUMO",VLOOKUP(B60,INSUMOS!$A$6:$E$6961,5,0),IF(A60="COTAÇÃO",VLOOKUP(B60,'036-20-Cotação'!$A$9:$H$529,8,0))))</f>
        <v>M.O</v>
      </c>
      <c r="E60" s="452" t="str">
        <f>IF(A60="SERVIÇO",VLOOKUP(B60,SERVIÇOS!$A$6:$D$7645,3,0),IF(A60="INSUMO",VLOOKUP(B60,INSUMOS!$A$6:$D$6961,3,0),IF(A60="COTAÇÃO",VLOOKUP(B60,'036-20-Cotação'!$A$9:$G$529,4,0))))</f>
        <v>MÊS</v>
      </c>
      <c r="F60" s="462">
        <v>0.75</v>
      </c>
      <c r="G60" s="453">
        <f>IF(A60="SERVIÇO",VLOOKUP(B60,SERVIÇOS!$A$6:$D$7645,4,0),IF(A60="INSUMO",VLOOKUP(B60,INSUMOS!$A$6:$D$6961,4,0),IF(A60="COTAÇÃO",VLOOKUP(B60,'036-20-Cotação'!$A$9:$G$529,3,0))))</f>
        <v>5359.7883000000002</v>
      </c>
      <c r="H60" s="463">
        <f t="shared" ref="H60:H62" si="10">G60*F60</f>
        <v>4019.8412250000001</v>
      </c>
      <c r="J60" s="201"/>
    </row>
    <row r="61" spans="1:17" s="87" customFormat="1" ht="12.75">
      <c r="A61" s="232" t="s">
        <v>4542</v>
      </c>
      <c r="B61" s="464" t="s">
        <v>6784</v>
      </c>
      <c r="C61" s="451" t="str">
        <f>IF(A61="SERVIÇO",VLOOKUP(B61,SERVIÇOS!$A$6:$D$7645,2,0),IF(A61="INSUMO",VLOOKUP(B61,INSUMOS!$A$6:$D$6961,2,0),IF(A61="COTAÇÃO",VLOOKUP(B61,'036-20-Cotação'!$A$9:$G$529,2,0))))</f>
        <v>ENGENHEIRO</v>
      </c>
      <c r="D61" s="452" t="str">
        <f>IF(A61="SERVIÇO",VLOOKUP(B61,SERVIÇOS!$A$6:$E$7645,5,0),IF(A61="INSUMO",VLOOKUP(B61,INSUMOS!$A$6:$E$6961,5,0),IF(A61="COTAÇÃO",VLOOKUP(B61,'036-20-Cotação'!$A$9:$H$529,8,0))))</f>
        <v>M.O</v>
      </c>
      <c r="E61" s="452" t="str">
        <f>IF(A61="SERVIÇO",VLOOKUP(B61,SERVIÇOS!$A$6:$D$7645,3,0),IF(A61="INSUMO",VLOOKUP(B61,INSUMOS!$A$6:$D$6961,3,0),IF(A61="COTAÇÃO",VLOOKUP(B61,'036-20-Cotação'!$A$9:$G$529,4,0))))</f>
        <v>MÊS</v>
      </c>
      <c r="F61" s="462">
        <v>0.25</v>
      </c>
      <c r="G61" s="453">
        <f>IF(A61="SERVIÇO",VLOOKUP(B61,SERVIÇOS!$A$6:$D$7645,4,0),IF(A61="INSUMO",VLOOKUP(B61,INSUMOS!$A$6:$D$6961,4,0),IF(A61="COTAÇÃO",VLOOKUP(B61,'036-20-Cotação'!$A$9:$G$529,3,0))))</f>
        <v>21731.673900000002</v>
      </c>
      <c r="H61" s="463">
        <f t="shared" si="10"/>
        <v>5432.9184750000004</v>
      </c>
      <c r="J61" s="201"/>
    </row>
    <row r="62" spans="1:17" s="87" customFormat="1" ht="12.75">
      <c r="A62" s="232" t="s">
        <v>4542</v>
      </c>
      <c r="B62" s="464" t="s">
        <v>6786</v>
      </c>
      <c r="C62" s="451" t="str">
        <f>IF(A62="SERVIÇO",VLOOKUP(B62,SERVIÇOS!$A$6:$D$7645,2,0),IF(A62="INSUMO",VLOOKUP(B62,INSUMOS!$A$6:$D$6961,2,0),IF(A62="COTAÇÃO",VLOOKUP(B62,'036-20-Cotação'!$A$9:$G$529,2,0))))</f>
        <v>ENGENHEIRO AUXILIAR</v>
      </c>
      <c r="D62" s="452" t="str">
        <f>IF(A62="SERVIÇO",VLOOKUP(B62,SERVIÇOS!$A$6:$E$7645,5,0),IF(A62="INSUMO",VLOOKUP(B62,INSUMOS!$A$6:$E$6961,5,0),IF(A62="COTAÇÃO",VLOOKUP(B62,'036-20-Cotação'!$A$9:$H$529,8,0))))</f>
        <v>M.O</v>
      </c>
      <c r="E62" s="452" t="str">
        <f>IF(A62="SERVIÇO",VLOOKUP(B62,SERVIÇOS!$A$6:$D$7645,3,0),IF(A62="INSUMO",VLOOKUP(B62,INSUMOS!$A$6:$D$6961,3,0),IF(A62="COTAÇÃO",VLOOKUP(B62,'036-20-Cotação'!$A$9:$G$529,4,0))))</f>
        <v>MÊS</v>
      </c>
      <c r="F62" s="462">
        <v>0.5</v>
      </c>
      <c r="G62" s="453">
        <f>IF(A62="SERVIÇO",VLOOKUP(B62,SERVIÇOS!$A$6:$D$7645,4,0),IF(A62="INSUMO",VLOOKUP(B62,INSUMOS!$A$6:$D$6961,4,0),IF(A62="COTAÇÃO",VLOOKUP(B62,'036-20-Cotação'!$A$9:$G$529,3,0))))</f>
        <v>17574.942899999998</v>
      </c>
      <c r="H62" s="463">
        <f t="shared" si="10"/>
        <v>8787.4714499999991</v>
      </c>
      <c r="J62" s="201"/>
    </row>
    <row r="63" spans="1:17" s="87" customFormat="1" ht="12.75" customHeight="1">
      <c r="A63" s="232"/>
      <c r="B63" s="199" t="s">
        <v>123</v>
      </c>
      <c r="C63" s="698" t="s">
        <v>13510</v>
      </c>
      <c r="D63" s="699"/>
      <c r="E63" s="699"/>
      <c r="F63" s="699"/>
      <c r="G63" s="699"/>
      <c r="H63" s="700"/>
      <c r="J63" s="201"/>
    </row>
    <row r="64" spans="1:17" s="78" customFormat="1" ht="9.75" customHeight="1">
      <c r="A64" s="188"/>
      <c r="B64" s="359"/>
      <c r="C64" s="357"/>
      <c r="D64" s="357"/>
      <c r="E64" s="357"/>
      <c r="F64" s="357"/>
      <c r="G64" s="357"/>
      <c r="H64" s="358"/>
      <c r="J64" s="303"/>
    </row>
    <row r="65" spans="1:17" s="78" customFormat="1" ht="76.5">
      <c r="A65" s="188"/>
      <c r="B65" s="80" t="s">
        <v>6804</v>
      </c>
      <c r="C65" s="81" t="s">
        <v>8391</v>
      </c>
      <c r="D65" s="82" t="s">
        <v>84</v>
      </c>
      <c r="E65" s="82" t="s">
        <v>10</v>
      </c>
      <c r="F65" s="83"/>
      <c r="G65" s="84"/>
      <c r="H65" s="85">
        <f>SUM(H66:H69)</f>
        <v>35233.33556</v>
      </c>
      <c r="J65" s="79"/>
      <c r="K65" s="87"/>
      <c r="L65" s="87"/>
      <c r="M65" s="87"/>
      <c r="N65" s="87"/>
      <c r="O65" s="87"/>
      <c r="P65" s="87"/>
      <c r="Q65" s="87"/>
    </row>
    <row r="66" spans="1:17" s="87" customFormat="1" ht="25.5">
      <c r="A66" s="232" t="s">
        <v>4542</v>
      </c>
      <c r="B66" s="464" t="s">
        <v>6819</v>
      </c>
      <c r="C66" s="451" t="str">
        <f>IF(A66="SERVIÇO",VLOOKUP(B66,SERVIÇOS!$A$6:$D$7645,2,0),IF(A66="INSUMO",VLOOKUP(B66,INSUMOS!$A$6:$D$6961,2,0),IF(A66="COTAÇÃO",VLOOKUP(B66,'036-20-Cotação'!$A$9:$G$529,2,0))))</f>
        <v xml:space="preserve">CONSULTOR ESPECIAL     </v>
      </c>
      <c r="D66" s="452" t="str">
        <f>IF(A66="SERVIÇO",VLOOKUP(B66,SERVIÇOS!$A$6:$E$7645,5,0),IF(A66="INSUMO",VLOOKUP(B66,INSUMOS!$A$6:$E$6961,5,0),IF(A66="COTAÇÃO",VLOOKUP(B66,'036-20-Cotação'!$A$9:$H$529,8,0))))</f>
        <v>M.O.</v>
      </c>
      <c r="E66" s="452" t="str">
        <f>IF(A66="SERVIÇO",VLOOKUP(B66,SERVIÇOS!$A$6:$D$7645,3,0),IF(A66="INSUMO",VLOOKUP(B66,INSUMOS!$A$6:$D$6961,3,0),IF(A66="COTAÇÃO",VLOOKUP(B66,'036-20-Cotação'!$A$9:$G$529,4,0))))</f>
        <v>MÊS</v>
      </c>
      <c r="F66" s="462">
        <v>0.2</v>
      </c>
      <c r="G66" s="453">
        <f>IF(A66="SERVIÇO",VLOOKUP(B66,SERVIÇOS!$A$6:$D$7645,4,0),IF(A66="INSUMO",VLOOKUP(B66,INSUMOS!$A$6:$D$6961,4,0),IF(A66="COTAÇÃO",VLOOKUP(B66,'036-20-Cotação'!$A$9:$G$529,3,0))))</f>
        <v>21020.83</v>
      </c>
      <c r="H66" s="463">
        <f t="shared" ref="H66" si="11">G66*F66</f>
        <v>4204.1660000000002</v>
      </c>
      <c r="J66" s="201"/>
    </row>
    <row r="67" spans="1:17" s="87" customFormat="1" ht="12.75">
      <c r="A67" s="232" t="s">
        <v>4542</v>
      </c>
      <c r="B67" s="531" t="s">
        <v>6782</v>
      </c>
      <c r="C67" s="451" t="str">
        <f>IF(A67="SERVIÇO",VLOOKUP(B67,SERVIÇOS!$A$6:$D$7645,2,0),IF(A67="INSUMO",VLOOKUP(B67,INSUMOS!$A$6:$D$6961,2,0),IF(A67="COTAÇÃO",VLOOKUP(B67,'036-20-Cotação'!$A$9:$G$529,2,0))))</f>
        <v>DESENHISTA</v>
      </c>
      <c r="D67" s="452" t="str">
        <f>IF(A67="SERVIÇO",VLOOKUP(B67,SERVIÇOS!$A$6:$E$7645,5,0),IF(A67="INSUMO",VLOOKUP(B67,INSUMOS!$A$6:$E$6961,5,0),IF(A67="COTAÇÃO",VLOOKUP(B67,'036-20-Cotação'!$A$9:$H$529,8,0))))</f>
        <v>M.O</v>
      </c>
      <c r="E67" s="452" t="str">
        <f>IF(A67="SERVIÇO",VLOOKUP(B67,SERVIÇOS!$A$6:$D$7645,3,0),IF(A67="INSUMO",VLOOKUP(B67,INSUMOS!$A$6:$D$6961,3,0),IF(A67="COTAÇÃO",VLOOKUP(B67,'036-20-Cotação'!$A$9:$G$529,4,0))))</f>
        <v>MÊS</v>
      </c>
      <c r="F67" s="462">
        <v>2.2000000000000002</v>
      </c>
      <c r="G67" s="453">
        <f>IF(A67="SERVIÇO",VLOOKUP(B67,SERVIÇOS!$A$6:$D$7645,4,0),IF(A67="INSUMO",VLOOKUP(B67,INSUMOS!$A$6:$D$6961,4,0),IF(A67="COTAÇÃO",VLOOKUP(B67,'036-20-Cotação'!$A$9:$G$529,3,0))))</f>
        <v>5359.7883000000002</v>
      </c>
      <c r="H67" s="463">
        <f t="shared" ref="H67:H69" si="12">G67*F67</f>
        <v>11791.534260000002</v>
      </c>
      <c r="J67" s="201"/>
    </row>
    <row r="68" spans="1:17" s="87" customFormat="1" ht="12.75">
      <c r="A68" s="232" t="s">
        <v>4542</v>
      </c>
      <c r="B68" s="464" t="s">
        <v>6784</v>
      </c>
      <c r="C68" s="451" t="str">
        <f>IF(A68="SERVIÇO",VLOOKUP(B68,SERVIÇOS!$A$6:$D$7645,2,0),IF(A68="INSUMO",VLOOKUP(B68,INSUMOS!$A$6:$D$6961,2,0),IF(A68="COTAÇÃO",VLOOKUP(B68,'036-20-Cotação'!$A$9:$G$529,2,0))))</f>
        <v>ENGENHEIRO</v>
      </c>
      <c r="D68" s="452" t="str">
        <f>IF(A68="SERVIÇO",VLOOKUP(B68,SERVIÇOS!$A$6:$E$7645,5,0),IF(A68="INSUMO",VLOOKUP(B68,INSUMOS!$A$6:$E$6961,5,0),IF(A68="COTAÇÃO",VLOOKUP(B68,'036-20-Cotação'!$A$9:$H$529,8,0))))</f>
        <v>M.O</v>
      </c>
      <c r="E68" s="452" t="str">
        <f>IF(A68="SERVIÇO",VLOOKUP(B68,SERVIÇOS!$A$6:$D$7645,3,0),IF(A68="INSUMO",VLOOKUP(B68,INSUMOS!$A$6:$D$6961,3,0),IF(A68="COTAÇÃO",VLOOKUP(B68,'036-20-Cotação'!$A$9:$G$529,4,0))))</f>
        <v>MÊS</v>
      </c>
      <c r="F68" s="462">
        <v>0.4</v>
      </c>
      <c r="G68" s="453">
        <f>IF(A68="SERVIÇO",VLOOKUP(B68,SERVIÇOS!$A$6:$D$7645,4,0),IF(A68="INSUMO",VLOOKUP(B68,INSUMOS!$A$6:$D$6961,4,0),IF(A68="COTAÇÃO",VLOOKUP(B68,'036-20-Cotação'!$A$9:$G$529,3,0))))</f>
        <v>21731.673900000002</v>
      </c>
      <c r="H68" s="463">
        <f t="shared" si="12"/>
        <v>8692.6695600000003</v>
      </c>
      <c r="J68" s="201"/>
    </row>
    <row r="69" spans="1:17" s="87" customFormat="1" ht="12.75">
      <c r="A69" s="232" t="s">
        <v>4542</v>
      </c>
      <c r="B69" s="464" t="s">
        <v>6786</v>
      </c>
      <c r="C69" s="451" t="str">
        <f>IF(A69="SERVIÇO",VLOOKUP(B69,SERVIÇOS!$A$6:$D$7645,2,0),IF(A69="INSUMO",VLOOKUP(B69,INSUMOS!$A$6:$D$6961,2,0),IF(A69="COTAÇÃO",VLOOKUP(B69,'036-20-Cotação'!$A$9:$G$529,2,0))))</f>
        <v>ENGENHEIRO AUXILIAR</v>
      </c>
      <c r="D69" s="452" t="str">
        <f>IF(A69="SERVIÇO",VLOOKUP(B69,SERVIÇOS!$A$6:$E$7645,5,0),IF(A69="INSUMO",VLOOKUP(B69,INSUMOS!$A$6:$E$6961,5,0),IF(A69="COTAÇÃO",VLOOKUP(B69,'036-20-Cotação'!$A$9:$H$529,8,0))))</f>
        <v>M.O</v>
      </c>
      <c r="E69" s="452" t="str">
        <f>IF(A69="SERVIÇO",VLOOKUP(B69,SERVIÇOS!$A$6:$D$7645,3,0),IF(A69="INSUMO",VLOOKUP(B69,INSUMOS!$A$6:$D$6961,3,0),IF(A69="COTAÇÃO",VLOOKUP(B69,'036-20-Cotação'!$A$9:$G$529,4,0))))</f>
        <v>MÊS</v>
      </c>
      <c r="F69" s="462">
        <v>0.6</v>
      </c>
      <c r="G69" s="453">
        <f>IF(A69="SERVIÇO",VLOOKUP(B69,SERVIÇOS!$A$6:$D$7645,4,0),IF(A69="INSUMO",VLOOKUP(B69,INSUMOS!$A$6:$D$6961,4,0),IF(A69="COTAÇÃO",VLOOKUP(B69,'036-20-Cotação'!$A$9:$G$529,3,0))))</f>
        <v>17574.942899999998</v>
      </c>
      <c r="H69" s="463">
        <f t="shared" si="12"/>
        <v>10544.965739999998</v>
      </c>
      <c r="J69" s="201"/>
    </row>
    <row r="70" spans="1:17" s="87" customFormat="1" ht="12.75" customHeight="1">
      <c r="A70" s="232"/>
      <c r="B70" s="199" t="s">
        <v>123</v>
      </c>
      <c r="C70" s="698" t="s">
        <v>13510</v>
      </c>
      <c r="D70" s="699"/>
      <c r="E70" s="699"/>
      <c r="F70" s="699"/>
      <c r="G70" s="699"/>
      <c r="H70" s="700"/>
      <c r="J70" s="201"/>
    </row>
    <row r="71" spans="1:17" s="78" customFormat="1" ht="9.75" customHeight="1">
      <c r="A71" s="188"/>
      <c r="B71" s="359"/>
      <c r="C71" s="357"/>
      <c r="D71" s="357"/>
      <c r="E71" s="357"/>
      <c r="F71" s="357"/>
      <c r="G71" s="357"/>
      <c r="H71" s="358"/>
      <c r="J71" s="303"/>
    </row>
    <row r="72" spans="1:17" s="78" customFormat="1" ht="114.75">
      <c r="A72" s="188"/>
      <c r="B72" s="80" t="s">
        <v>6805</v>
      </c>
      <c r="C72" s="81" t="s">
        <v>8389</v>
      </c>
      <c r="D72" s="82" t="s">
        <v>84</v>
      </c>
      <c r="E72" s="82" t="s">
        <v>10</v>
      </c>
      <c r="F72" s="83"/>
      <c r="G72" s="84"/>
      <c r="H72" s="85">
        <f>SUM(H73:H75)</f>
        <v>33727.437975000001</v>
      </c>
      <c r="J72" s="79"/>
      <c r="K72" s="87"/>
      <c r="L72" s="87"/>
      <c r="M72" s="87"/>
      <c r="N72" s="87"/>
      <c r="O72" s="87"/>
      <c r="P72" s="87"/>
      <c r="Q72" s="87"/>
    </row>
    <row r="73" spans="1:17" s="87" customFormat="1" ht="12.75">
      <c r="A73" s="232" t="s">
        <v>4542</v>
      </c>
      <c r="B73" s="531" t="s">
        <v>6782</v>
      </c>
      <c r="C73" s="451" t="str">
        <f>IF(A73="SERVIÇO",VLOOKUP(B73,SERVIÇOS!$A$6:$D$7645,2,0),IF(A73="INSUMO",VLOOKUP(B73,INSUMOS!$A$6:$D$6961,2,0),IF(A73="COTAÇÃO",VLOOKUP(B73,'036-20-Cotação'!$A$9:$G$529,2,0))))</f>
        <v>DESENHISTA</v>
      </c>
      <c r="D73" s="452" t="str">
        <f>IF(A73="SERVIÇO",VLOOKUP(B73,SERVIÇOS!$A$6:$E$7645,5,0),IF(A73="INSUMO",VLOOKUP(B73,INSUMOS!$A$6:$E$6961,5,0),IF(A73="COTAÇÃO",VLOOKUP(B73,'036-20-Cotação'!$A$9:$H$529,8,0))))</f>
        <v>M.O</v>
      </c>
      <c r="E73" s="452" t="str">
        <f>IF(A73="SERVIÇO",VLOOKUP(B73,SERVIÇOS!$A$6:$D$7645,3,0),IF(A73="INSUMO",VLOOKUP(B73,INSUMOS!$A$6:$D$6961,3,0),IF(A73="COTAÇÃO",VLOOKUP(B73,'036-20-Cotação'!$A$9:$G$529,4,0))))</f>
        <v>MÊS</v>
      </c>
      <c r="F73" s="462">
        <v>2</v>
      </c>
      <c r="G73" s="453">
        <f>IF(A73="SERVIÇO",VLOOKUP(B73,SERVIÇOS!$A$6:$D$7645,4,0),IF(A73="INSUMO",VLOOKUP(B73,INSUMOS!$A$6:$D$6961,4,0),IF(A73="COTAÇÃO",VLOOKUP(B73,'036-20-Cotação'!$A$9:$G$529,3,0))))</f>
        <v>5359.7883000000002</v>
      </c>
      <c r="H73" s="463">
        <f t="shared" ref="H73:H75" si="13">G73*F73</f>
        <v>10719.5766</v>
      </c>
      <c r="J73" s="201"/>
    </row>
    <row r="74" spans="1:17" s="87" customFormat="1" ht="12.75">
      <c r="A74" s="232" t="s">
        <v>4542</v>
      </c>
      <c r="B74" s="464" t="s">
        <v>6784</v>
      </c>
      <c r="C74" s="451" t="str">
        <f>IF(A74="SERVIÇO",VLOOKUP(B74,SERVIÇOS!$A$6:$D$7645,2,0),IF(A74="INSUMO",VLOOKUP(B74,INSUMOS!$A$6:$D$6961,2,0),IF(A74="COTAÇÃO",VLOOKUP(B74,'036-20-Cotação'!$A$9:$G$529,2,0))))</f>
        <v>ENGENHEIRO</v>
      </c>
      <c r="D74" s="452" t="str">
        <f>IF(A74="SERVIÇO",VLOOKUP(B74,SERVIÇOS!$A$6:$E$7645,5,0),IF(A74="INSUMO",VLOOKUP(B74,INSUMOS!$A$6:$E$6961,5,0),IF(A74="COTAÇÃO",VLOOKUP(B74,'036-20-Cotação'!$A$9:$H$529,8,0))))</f>
        <v>M.O</v>
      </c>
      <c r="E74" s="452" t="str">
        <f>IF(A74="SERVIÇO",VLOOKUP(B74,SERVIÇOS!$A$6:$D$7645,3,0),IF(A74="INSUMO",VLOOKUP(B74,INSUMOS!$A$6:$D$6961,3,0),IF(A74="COTAÇÃO",VLOOKUP(B74,'036-20-Cotação'!$A$9:$G$529,4,0))))</f>
        <v>MÊS</v>
      </c>
      <c r="F74" s="462">
        <v>0.25</v>
      </c>
      <c r="G74" s="453">
        <f>IF(A74="SERVIÇO",VLOOKUP(B74,SERVIÇOS!$A$6:$D$7645,4,0),IF(A74="INSUMO",VLOOKUP(B74,INSUMOS!$A$6:$D$6961,4,0),IF(A74="COTAÇÃO",VLOOKUP(B74,'036-20-Cotação'!$A$9:$G$529,3,0))))</f>
        <v>21731.673900000002</v>
      </c>
      <c r="H74" s="463">
        <f t="shared" si="13"/>
        <v>5432.9184750000004</v>
      </c>
      <c r="J74" s="201"/>
    </row>
    <row r="75" spans="1:17" s="87" customFormat="1" ht="12.75">
      <c r="A75" s="232" t="s">
        <v>4542</v>
      </c>
      <c r="B75" s="464" t="s">
        <v>6786</v>
      </c>
      <c r="C75" s="451" t="str">
        <f>IF(A75="SERVIÇO",VLOOKUP(B75,SERVIÇOS!$A$6:$D$7645,2,0),IF(A75="INSUMO",VLOOKUP(B75,INSUMOS!$A$6:$D$6961,2,0),IF(A75="COTAÇÃO",VLOOKUP(B75,'036-20-Cotação'!$A$9:$G$529,2,0))))</f>
        <v>ENGENHEIRO AUXILIAR</v>
      </c>
      <c r="D75" s="452" t="str">
        <f>IF(A75="SERVIÇO",VLOOKUP(B75,SERVIÇOS!$A$6:$E$7645,5,0),IF(A75="INSUMO",VLOOKUP(B75,INSUMOS!$A$6:$E$6961,5,0),IF(A75="COTAÇÃO",VLOOKUP(B75,'036-20-Cotação'!$A$9:$H$529,8,0))))</f>
        <v>M.O</v>
      </c>
      <c r="E75" s="452" t="str">
        <f>IF(A75="SERVIÇO",VLOOKUP(B75,SERVIÇOS!$A$6:$D$7645,3,0),IF(A75="INSUMO",VLOOKUP(B75,INSUMOS!$A$6:$D$6961,3,0),IF(A75="COTAÇÃO",VLOOKUP(B75,'036-20-Cotação'!$A$9:$G$529,4,0))))</f>
        <v>MÊS</v>
      </c>
      <c r="F75" s="462">
        <v>1</v>
      </c>
      <c r="G75" s="453">
        <f>IF(A75="SERVIÇO",VLOOKUP(B75,SERVIÇOS!$A$6:$D$7645,4,0),IF(A75="INSUMO",VLOOKUP(B75,INSUMOS!$A$6:$D$6961,4,0),IF(A75="COTAÇÃO",VLOOKUP(B75,'036-20-Cotação'!$A$9:$G$529,3,0))))</f>
        <v>17574.942899999998</v>
      </c>
      <c r="H75" s="463">
        <f t="shared" si="13"/>
        <v>17574.942899999998</v>
      </c>
      <c r="J75" s="201"/>
    </row>
    <row r="76" spans="1:17" s="87" customFormat="1" ht="12.75" customHeight="1">
      <c r="A76" s="232"/>
      <c r="B76" s="199" t="s">
        <v>123</v>
      </c>
      <c r="C76" s="698" t="s">
        <v>13510</v>
      </c>
      <c r="D76" s="699"/>
      <c r="E76" s="699"/>
      <c r="F76" s="699"/>
      <c r="G76" s="699"/>
      <c r="H76" s="700"/>
      <c r="J76" s="201"/>
    </row>
    <row r="77" spans="1:17" s="78" customFormat="1" ht="9.75" customHeight="1">
      <c r="A77" s="188"/>
      <c r="B77" s="359"/>
      <c r="C77" s="357"/>
      <c r="D77" s="357"/>
      <c r="E77" s="357"/>
      <c r="F77" s="357"/>
      <c r="G77" s="357"/>
      <c r="H77" s="358"/>
      <c r="J77" s="303"/>
    </row>
    <row r="78" spans="1:17" s="78" customFormat="1" ht="63.75">
      <c r="A78" s="188"/>
      <c r="B78" s="80" t="s">
        <v>6806</v>
      </c>
      <c r="C78" s="81" t="s">
        <v>8086</v>
      </c>
      <c r="D78" s="82" t="s">
        <v>84</v>
      </c>
      <c r="E78" s="82" t="s">
        <v>10</v>
      </c>
      <c r="F78" s="83"/>
      <c r="G78" s="84"/>
      <c r="H78" s="85">
        <f>SUM(H79:H82)</f>
        <v>88174.392559999993</v>
      </c>
      <c r="J78" s="79"/>
      <c r="K78" s="87"/>
      <c r="L78" s="87"/>
      <c r="M78" s="87"/>
      <c r="N78" s="87"/>
      <c r="O78" s="87"/>
      <c r="P78" s="87"/>
      <c r="Q78" s="87"/>
    </row>
    <row r="79" spans="1:17" s="87" customFormat="1" ht="25.5">
      <c r="A79" s="232" t="s">
        <v>4542</v>
      </c>
      <c r="B79" s="464" t="s">
        <v>6819</v>
      </c>
      <c r="C79" s="451" t="str">
        <f>IF(A79="SERVIÇO",VLOOKUP(B79,SERVIÇOS!$A$6:$D$7645,2,0),IF(A79="INSUMO",VLOOKUP(B79,INSUMOS!$A$6:$D$6961,2,0),IF(A79="COTAÇÃO",VLOOKUP(B79,'036-20-Cotação'!$A$9:$G$529,2,0))))</f>
        <v xml:space="preserve">CONSULTOR ESPECIAL     </v>
      </c>
      <c r="D79" s="452" t="str">
        <f>IF(A79="SERVIÇO",VLOOKUP(B79,SERVIÇOS!$A$6:$E$7645,5,0),IF(A79="INSUMO",VLOOKUP(B79,INSUMOS!$A$6:$E$6961,5,0),IF(A79="COTAÇÃO",VLOOKUP(B79,'036-20-Cotação'!$A$9:$H$529,8,0))))</f>
        <v>M.O.</v>
      </c>
      <c r="E79" s="452" t="str">
        <f>IF(A79="SERVIÇO",VLOOKUP(B79,SERVIÇOS!$A$6:$D$7645,3,0),IF(A79="INSUMO",VLOOKUP(B79,INSUMOS!$A$6:$D$6961,3,0),IF(A79="COTAÇÃO",VLOOKUP(B79,'036-20-Cotação'!$A$9:$G$529,4,0))))</f>
        <v>MÊS</v>
      </c>
      <c r="F79" s="462">
        <v>0.5</v>
      </c>
      <c r="G79" s="453">
        <f>IF(A79="SERVIÇO",VLOOKUP(B79,SERVIÇOS!$A$6:$D$7645,4,0),IF(A79="INSUMO",VLOOKUP(B79,INSUMOS!$A$6:$D$6961,4,0),IF(A79="COTAÇÃO",VLOOKUP(B79,'036-20-Cotação'!$A$9:$G$529,3,0))))</f>
        <v>21020.83</v>
      </c>
      <c r="H79" s="463">
        <f t="shared" ref="H79:H82" si="14">G79*F79</f>
        <v>10510.415000000001</v>
      </c>
      <c r="J79" s="201"/>
    </row>
    <row r="80" spans="1:17" s="87" customFormat="1" ht="12.75">
      <c r="A80" s="232" t="s">
        <v>4542</v>
      </c>
      <c r="B80" s="531" t="s">
        <v>6782</v>
      </c>
      <c r="C80" s="451" t="str">
        <f>IF(A80="SERVIÇO",VLOOKUP(B80,SERVIÇOS!$A$6:$D$7645,2,0),IF(A80="INSUMO",VLOOKUP(B80,INSUMOS!$A$6:$D$6961,2,0),IF(A80="COTAÇÃO",VLOOKUP(B80,'036-20-Cotação'!$A$9:$G$529,2,0))))</f>
        <v>DESENHISTA</v>
      </c>
      <c r="D80" s="452" t="str">
        <f>IF(A80="SERVIÇO",VLOOKUP(B80,SERVIÇOS!$A$6:$E$7645,5,0),IF(A80="INSUMO",VLOOKUP(B80,INSUMOS!$A$6:$E$6961,5,0),IF(A80="COTAÇÃO",VLOOKUP(B80,'036-20-Cotação'!$A$9:$H$529,8,0))))</f>
        <v>M.O</v>
      </c>
      <c r="E80" s="452" t="str">
        <f>IF(A80="SERVIÇO",VLOOKUP(B80,SERVIÇOS!$A$6:$D$7645,3,0),IF(A80="INSUMO",VLOOKUP(B80,INSUMOS!$A$6:$D$6961,3,0),IF(A80="COTAÇÃO",VLOOKUP(B80,'036-20-Cotação'!$A$9:$G$529,4,0))))</f>
        <v>MÊS</v>
      </c>
      <c r="F80" s="462">
        <v>6</v>
      </c>
      <c r="G80" s="453">
        <f>IF(A80="SERVIÇO",VLOOKUP(B80,SERVIÇOS!$A$6:$D$7645,4,0),IF(A80="INSUMO",VLOOKUP(B80,INSUMOS!$A$6:$D$6961,4,0),IF(A80="COTAÇÃO",VLOOKUP(B80,'036-20-Cotação'!$A$9:$G$529,3,0))))</f>
        <v>5359.7883000000002</v>
      </c>
      <c r="H80" s="463">
        <f t="shared" si="14"/>
        <v>32158.729800000001</v>
      </c>
      <c r="J80" s="201"/>
    </row>
    <row r="81" spans="1:17" s="87" customFormat="1" ht="12.75">
      <c r="A81" s="232" t="s">
        <v>4542</v>
      </c>
      <c r="B81" s="464" t="s">
        <v>6784</v>
      </c>
      <c r="C81" s="451" t="str">
        <f>IF(A81="SERVIÇO",VLOOKUP(B81,SERVIÇOS!$A$6:$D$7645,2,0),IF(A81="INSUMO",VLOOKUP(B81,INSUMOS!$A$6:$D$6961,2,0),IF(A81="COTAÇÃO",VLOOKUP(B81,'036-20-Cotação'!$A$9:$G$529,2,0))))</f>
        <v>ENGENHEIRO</v>
      </c>
      <c r="D81" s="452" t="str">
        <f>IF(A81="SERVIÇO",VLOOKUP(B81,SERVIÇOS!$A$6:$E$7645,5,0),IF(A81="INSUMO",VLOOKUP(B81,INSUMOS!$A$6:$E$6961,5,0),IF(A81="COTAÇÃO",VLOOKUP(B81,'036-20-Cotação'!$A$9:$H$529,8,0))))</f>
        <v>M.O</v>
      </c>
      <c r="E81" s="452" t="str">
        <f>IF(A81="SERVIÇO",VLOOKUP(B81,SERVIÇOS!$A$6:$D$7645,3,0),IF(A81="INSUMO",VLOOKUP(B81,INSUMOS!$A$6:$D$6961,3,0),IF(A81="COTAÇÃO",VLOOKUP(B81,'036-20-Cotação'!$A$9:$G$529,4,0))))</f>
        <v>MÊS</v>
      </c>
      <c r="F81" s="462">
        <v>0.8</v>
      </c>
      <c r="G81" s="453">
        <f>IF(A81="SERVIÇO",VLOOKUP(B81,SERVIÇOS!$A$6:$D$7645,4,0),IF(A81="INSUMO",VLOOKUP(B81,INSUMOS!$A$6:$D$6961,4,0),IF(A81="COTAÇÃO",VLOOKUP(B81,'036-20-Cotação'!$A$9:$G$529,3,0))))</f>
        <v>21731.673900000002</v>
      </c>
      <c r="H81" s="463">
        <f t="shared" si="14"/>
        <v>17385.339120000001</v>
      </c>
      <c r="J81" s="201"/>
    </row>
    <row r="82" spans="1:17" s="87" customFormat="1" ht="12.75">
      <c r="A82" s="232" t="s">
        <v>4542</v>
      </c>
      <c r="B82" s="464" t="s">
        <v>6786</v>
      </c>
      <c r="C82" s="451" t="str">
        <f>IF(A82="SERVIÇO",VLOOKUP(B82,SERVIÇOS!$A$6:$D$7645,2,0),IF(A82="INSUMO",VLOOKUP(B82,INSUMOS!$A$6:$D$6961,2,0),IF(A82="COTAÇÃO",VLOOKUP(B82,'036-20-Cotação'!$A$9:$G$529,2,0))))</f>
        <v>ENGENHEIRO AUXILIAR</v>
      </c>
      <c r="D82" s="452" t="str">
        <f>IF(A82="SERVIÇO",VLOOKUP(B82,SERVIÇOS!$A$6:$E$7645,5,0),IF(A82="INSUMO",VLOOKUP(B82,INSUMOS!$A$6:$E$6961,5,0),IF(A82="COTAÇÃO",VLOOKUP(B82,'036-20-Cotação'!$A$9:$H$529,8,0))))</f>
        <v>M.O</v>
      </c>
      <c r="E82" s="452" t="str">
        <f>IF(A82="SERVIÇO",VLOOKUP(B82,SERVIÇOS!$A$6:$D$7645,3,0),IF(A82="INSUMO",VLOOKUP(B82,INSUMOS!$A$6:$D$6961,3,0),IF(A82="COTAÇÃO",VLOOKUP(B82,'036-20-Cotação'!$A$9:$G$529,4,0))))</f>
        <v>MÊS</v>
      </c>
      <c r="F82" s="462">
        <v>1.6</v>
      </c>
      <c r="G82" s="453">
        <f>IF(A82="SERVIÇO",VLOOKUP(B82,SERVIÇOS!$A$6:$D$7645,4,0),IF(A82="INSUMO",VLOOKUP(B82,INSUMOS!$A$6:$D$6961,4,0),IF(A82="COTAÇÃO",VLOOKUP(B82,'036-20-Cotação'!$A$9:$G$529,3,0))))</f>
        <v>17574.942899999998</v>
      </c>
      <c r="H82" s="463">
        <f t="shared" si="14"/>
        <v>28119.908639999998</v>
      </c>
      <c r="J82" s="201"/>
    </row>
    <row r="83" spans="1:17" s="87" customFormat="1" ht="12.75" customHeight="1">
      <c r="A83" s="232"/>
      <c r="B83" s="199" t="s">
        <v>123</v>
      </c>
      <c r="C83" s="698" t="s">
        <v>13510</v>
      </c>
      <c r="D83" s="699"/>
      <c r="E83" s="699"/>
      <c r="F83" s="699"/>
      <c r="G83" s="699"/>
      <c r="H83" s="700"/>
      <c r="J83" s="201"/>
    </row>
    <row r="84" spans="1:17" s="78" customFormat="1" ht="9.75" customHeight="1">
      <c r="A84" s="188"/>
      <c r="B84" s="359"/>
      <c r="C84" s="357"/>
      <c r="D84" s="357"/>
      <c r="E84" s="357"/>
      <c r="F84" s="357"/>
      <c r="G84" s="357"/>
      <c r="H84" s="358"/>
      <c r="J84" s="303"/>
    </row>
    <row r="85" spans="1:17" s="78" customFormat="1" ht="76.5">
      <c r="A85" s="188"/>
      <c r="B85" s="80" t="s">
        <v>6808</v>
      </c>
      <c r="C85" s="81" t="s">
        <v>8227</v>
      </c>
      <c r="D85" s="82" t="s">
        <v>84</v>
      </c>
      <c r="E85" s="82" t="s">
        <v>10</v>
      </c>
      <c r="F85" s="83"/>
      <c r="G85" s="84"/>
      <c r="H85" s="85">
        <f>SUM(H86:H89)</f>
        <v>24197.971539999999</v>
      </c>
      <c r="J85" s="79"/>
      <c r="K85" s="87"/>
      <c r="L85" s="87"/>
      <c r="M85" s="87"/>
      <c r="N85" s="87"/>
      <c r="O85" s="87"/>
      <c r="P85" s="87"/>
      <c r="Q85" s="87"/>
    </row>
    <row r="86" spans="1:17" s="87" customFormat="1" ht="25.5">
      <c r="A86" s="232" t="s">
        <v>4542</v>
      </c>
      <c r="B86" s="464" t="s">
        <v>6819</v>
      </c>
      <c r="C86" s="451" t="str">
        <f>IF(A86="SERVIÇO",VLOOKUP(B86,SERVIÇOS!$A$6:$D$7645,2,0),IF(A86="INSUMO",VLOOKUP(B86,INSUMOS!$A$6:$D$6961,2,0),IF(A86="COTAÇÃO",VLOOKUP(B86,'036-20-Cotação'!$A$9:$G$529,2,0))))</f>
        <v xml:space="preserve">CONSULTOR ESPECIAL     </v>
      </c>
      <c r="D86" s="452" t="str">
        <f>IF(A86="SERVIÇO",VLOOKUP(B86,SERVIÇOS!$A$6:$E$7645,5,0),IF(A86="INSUMO",VLOOKUP(B86,INSUMOS!$A$6:$E$6961,5,0),IF(A86="COTAÇÃO",VLOOKUP(B86,'036-20-Cotação'!$A$9:$H$529,8,0))))</f>
        <v>M.O.</v>
      </c>
      <c r="E86" s="452" t="str">
        <f>IF(A86="SERVIÇO",VLOOKUP(B86,SERVIÇOS!$A$6:$D$7645,3,0),IF(A86="INSUMO",VLOOKUP(B86,INSUMOS!$A$6:$D$6961,3,0),IF(A86="COTAÇÃO",VLOOKUP(B86,'036-20-Cotação'!$A$9:$G$529,4,0))))</f>
        <v>MÊS</v>
      </c>
      <c r="F86" s="462">
        <v>0.1</v>
      </c>
      <c r="G86" s="453">
        <f>IF(A86="SERVIÇO",VLOOKUP(B86,SERVIÇOS!$A$6:$D$7645,4,0),IF(A86="INSUMO",VLOOKUP(B86,INSUMOS!$A$6:$D$6961,4,0),IF(A86="COTAÇÃO",VLOOKUP(B86,'036-20-Cotação'!$A$9:$G$529,3,0))))</f>
        <v>21020.83</v>
      </c>
      <c r="H86" s="463">
        <f t="shared" ref="H86:H89" si="15">G86*F86</f>
        <v>2102.0830000000001</v>
      </c>
      <c r="J86" s="201"/>
    </row>
    <row r="87" spans="1:17" s="87" customFormat="1" ht="12.75">
      <c r="A87" s="232" t="s">
        <v>4542</v>
      </c>
      <c r="B87" s="531" t="s">
        <v>6782</v>
      </c>
      <c r="C87" s="451" t="str">
        <f>IF(A87="SERVIÇO",VLOOKUP(B87,SERVIÇOS!$A$6:$D$7645,2,0),IF(A87="INSUMO",VLOOKUP(B87,INSUMOS!$A$6:$D$6961,2,0),IF(A87="COTAÇÃO",VLOOKUP(B87,'036-20-Cotação'!$A$9:$G$529,2,0))))</f>
        <v>DESENHISTA</v>
      </c>
      <c r="D87" s="452" t="str">
        <f>IF(A87="SERVIÇO",VLOOKUP(B87,SERVIÇOS!$A$6:$E$7645,5,0),IF(A87="INSUMO",VLOOKUP(B87,INSUMOS!$A$6:$E$6961,5,0),IF(A87="COTAÇÃO",VLOOKUP(B87,'036-20-Cotação'!$A$9:$H$529,8,0))))</f>
        <v>M.O</v>
      </c>
      <c r="E87" s="452" t="str">
        <f>IF(A87="SERVIÇO",VLOOKUP(B87,SERVIÇOS!$A$6:$D$7645,3,0),IF(A87="INSUMO",VLOOKUP(B87,INSUMOS!$A$6:$D$6961,3,0),IF(A87="COTAÇÃO",VLOOKUP(B87,'036-20-Cotação'!$A$9:$G$529,4,0))))</f>
        <v>MÊS</v>
      </c>
      <c r="F87" s="462">
        <v>2</v>
      </c>
      <c r="G87" s="453">
        <f>IF(A87="SERVIÇO",VLOOKUP(B87,SERVIÇOS!$A$6:$D$7645,4,0),IF(A87="INSUMO",VLOOKUP(B87,INSUMOS!$A$6:$D$6961,4,0),IF(A87="COTAÇÃO",VLOOKUP(B87,'036-20-Cotação'!$A$9:$G$529,3,0))))</f>
        <v>5359.7883000000002</v>
      </c>
      <c r="H87" s="463">
        <f t="shared" si="15"/>
        <v>10719.5766</v>
      </c>
      <c r="J87" s="201"/>
    </row>
    <row r="88" spans="1:17" s="87" customFormat="1" ht="12.75">
      <c r="A88" s="232" t="s">
        <v>4542</v>
      </c>
      <c r="B88" s="464" t="s">
        <v>6784</v>
      </c>
      <c r="C88" s="451" t="str">
        <f>IF(A88="SERVIÇO",VLOOKUP(B88,SERVIÇOS!$A$6:$D$7645,2,0),IF(A88="INSUMO",VLOOKUP(B88,INSUMOS!$A$6:$D$6961,2,0),IF(A88="COTAÇÃO",VLOOKUP(B88,'036-20-Cotação'!$A$9:$G$529,2,0))))</f>
        <v>ENGENHEIRO</v>
      </c>
      <c r="D88" s="452" t="str">
        <f>IF(A88="SERVIÇO",VLOOKUP(B88,SERVIÇOS!$A$6:$E$7645,5,0),IF(A88="INSUMO",VLOOKUP(B88,INSUMOS!$A$6:$E$6961,5,0),IF(A88="COTAÇÃO",VLOOKUP(B88,'036-20-Cotação'!$A$9:$H$529,8,0))))</f>
        <v>M.O</v>
      </c>
      <c r="E88" s="452" t="str">
        <f>IF(A88="SERVIÇO",VLOOKUP(B88,SERVIÇOS!$A$6:$D$7645,3,0),IF(A88="INSUMO",VLOOKUP(B88,INSUMOS!$A$6:$D$6961,3,0),IF(A88="COTAÇÃO",VLOOKUP(B88,'036-20-Cotação'!$A$9:$G$529,4,0))))</f>
        <v>MÊS</v>
      </c>
      <c r="F88" s="462">
        <v>0.2</v>
      </c>
      <c r="G88" s="453">
        <f>IF(A88="SERVIÇO",VLOOKUP(B88,SERVIÇOS!$A$6:$D$7645,4,0),IF(A88="INSUMO",VLOOKUP(B88,INSUMOS!$A$6:$D$6961,4,0),IF(A88="COTAÇÃO",VLOOKUP(B88,'036-20-Cotação'!$A$9:$G$529,3,0))))</f>
        <v>21731.673900000002</v>
      </c>
      <c r="H88" s="463">
        <f t="shared" si="15"/>
        <v>4346.3347800000001</v>
      </c>
      <c r="J88" s="201"/>
    </row>
    <row r="89" spans="1:17" s="87" customFormat="1" ht="12.75">
      <c r="A89" s="232" t="s">
        <v>4542</v>
      </c>
      <c r="B89" s="464" t="s">
        <v>6786</v>
      </c>
      <c r="C89" s="451" t="str">
        <f>IF(A89="SERVIÇO",VLOOKUP(B89,SERVIÇOS!$A$6:$D$7645,2,0),IF(A89="INSUMO",VLOOKUP(B89,INSUMOS!$A$6:$D$6961,2,0),IF(A89="COTAÇÃO",VLOOKUP(B89,'036-20-Cotação'!$A$9:$G$529,2,0))))</f>
        <v>ENGENHEIRO AUXILIAR</v>
      </c>
      <c r="D89" s="452" t="str">
        <f>IF(A89="SERVIÇO",VLOOKUP(B89,SERVIÇOS!$A$6:$E$7645,5,0),IF(A89="INSUMO",VLOOKUP(B89,INSUMOS!$A$6:$E$6961,5,0),IF(A89="COTAÇÃO",VLOOKUP(B89,'036-20-Cotação'!$A$9:$H$529,8,0))))</f>
        <v>M.O</v>
      </c>
      <c r="E89" s="452" t="str">
        <f>IF(A89="SERVIÇO",VLOOKUP(B89,SERVIÇOS!$A$6:$D$7645,3,0),IF(A89="INSUMO",VLOOKUP(B89,INSUMOS!$A$6:$D$6961,3,0),IF(A89="COTAÇÃO",VLOOKUP(B89,'036-20-Cotação'!$A$9:$G$529,4,0))))</f>
        <v>MÊS</v>
      </c>
      <c r="F89" s="462">
        <v>0.4</v>
      </c>
      <c r="G89" s="453">
        <f>IF(A89="SERVIÇO",VLOOKUP(B89,SERVIÇOS!$A$6:$D$7645,4,0),IF(A89="INSUMO",VLOOKUP(B89,INSUMOS!$A$6:$D$6961,4,0),IF(A89="COTAÇÃO",VLOOKUP(B89,'036-20-Cotação'!$A$9:$G$529,3,0))))</f>
        <v>17574.942899999998</v>
      </c>
      <c r="H89" s="463">
        <f t="shared" si="15"/>
        <v>7029.9771599999995</v>
      </c>
      <c r="J89" s="201"/>
    </row>
    <row r="90" spans="1:17" s="87" customFormat="1" ht="12.75" customHeight="1">
      <c r="A90" s="232"/>
      <c r="B90" s="199" t="s">
        <v>123</v>
      </c>
      <c r="C90" s="698" t="s">
        <v>13510</v>
      </c>
      <c r="D90" s="699"/>
      <c r="E90" s="699"/>
      <c r="F90" s="699"/>
      <c r="G90" s="699"/>
      <c r="H90" s="700"/>
      <c r="J90" s="201"/>
    </row>
    <row r="91" spans="1:17" s="78" customFormat="1" ht="9.75" customHeight="1">
      <c r="A91" s="188"/>
      <c r="B91" s="359"/>
      <c r="C91" s="357"/>
      <c r="D91" s="357"/>
      <c r="E91" s="357"/>
      <c r="F91" s="357"/>
      <c r="G91" s="357"/>
      <c r="H91" s="358"/>
      <c r="J91" s="303"/>
    </row>
    <row r="92" spans="1:17" s="78" customFormat="1" ht="25.5">
      <c r="A92" s="188"/>
      <c r="B92" s="80" t="s">
        <v>6809</v>
      </c>
      <c r="C92" s="81" t="s">
        <v>6814</v>
      </c>
      <c r="D92" s="82" t="s">
        <v>84</v>
      </c>
      <c r="E92" s="82" t="s">
        <v>10</v>
      </c>
      <c r="F92" s="83"/>
      <c r="G92" s="84"/>
      <c r="H92" s="85">
        <f>SUM(H93:H96)</f>
        <v>20025.040524999997</v>
      </c>
      <c r="J92" s="79"/>
      <c r="K92" s="87"/>
      <c r="L92" s="87"/>
      <c r="M92" s="87"/>
      <c r="N92" s="87"/>
      <c r="O92" s="87"/>
      <c r="P92" s="87"/>
      <c r="Q92" s="87"/>
    </row>
    <row r="93" spans="1:17" s="87" customFormat="1" ht="12.75">
      <c r="A93" s="232" t="s">
        <v>4542</v>
      </c>
      <c r="B93" s="531" t="s">
        <v>6784</v>
      </c>
      <c r="C93" s="451" t="str">
        <f>IF(A93="SERVIÇO",VLOOKUP(B93,SERVIÇOS!$A$6:$D$7645,2,0),IF(A93="INSUMO",VLOOKUP(B93,INSUMOS!$A$6:$D$6961,2,0),IF(A93="COTAÇÃO",VLOOKUP(B93,'036-20-Cotação'!$A$9:$G$529,2,0))))</f>
        <v>ENGENHEIRO</v>
      </c>
      <c r="D93" s="452" t="str">
        <f>IF(A93="SERVIÇO",VLOOKUP(B93,SERVIÇOS!$A$6:$E$7645,5,0),IF(A93="INSUMO",VLOOKUP(B93,INSUMOS!$A$6:$E$6961,5,0),IF(A93="COTAÇÃO",VLOOKUP(B93,'036-20-Cotação'!$A$9:$H$529,8,0))))</f>
        <v>M.O</v>
      </c>
      <c r="E93" s="452" t="str">
        <f>IF(A93="SERVIÇO",VLOOKUP(B93,SERVIÇOS!$A$6:$D$7645,3,0),IF(A93="INSUMO",VLOOKUP(B93,INSUMOS!$A$6:$D$6961,3,0),IF(A93="COTAÇÃO",VLOOKUP(B93,'036-20-Cotação'!$A$9:$G$529,4,0))))</f>
        <v>MÊS</v>
      </c>
      <c r="F93" s="462">
        <v>0.25</v>
      </c>
      <c r="G93" s="453">
        <f>IF(A93="SERVIÇO",VLOOKUP(B93,SERVIÇOS!$A$6:$D$7645,4,0),IF(A93="INSUMO",VLOOKUP(B93,INSUMOS!$A$6:$D$6961,4,0),IF(A93="COTAÇÃO",VLOOKUP(B93,'036-20-Cotação'!$A$9:$G$529,3,0))))</f>
        <v>21731.673900000002</v>
      </c>
      <c r="H93" s="463">
        <f t="shared" ref="H93:H95" si="16">G93*F93</f>
        <v>5432.9184750000004</v>
      </c>
      <c r="J93" s="201"/>
    </row>
    <row r="94" spans="1:17" s="87" customFormat="1" ht="12.75">
      <c r="A94" s="232" t="s">
        <v>4542</v>
      </c>
      <c r="B94" s="464" t="s">
        <v>6821</v>
      </c>
      <c r="C94" s="451" t="str">
        <f>IF(A94="SERVIÇO",VLOOKUP(B94,SERVIÇOS!$A$6:$D$7645,2,0),IF(A94="INSUMO",VLOOKUP(B94,INSUMOS!$A$6:$D$6961,2,0),IF(A94="COTAÇÃO",VLOOKUP(B94,'036-20-Cotação'!$A$9:$G$529,2,0))))</f>
        <v>AUXILIAR TÉCNICO</v>
      </c>
      <c r="D94" s="452" t="str">
        <f>IF(A94="SERVIÇO",VLOOKUP(B94,SERVIÇOS!$A$6:$E$7645,5,0),IF(A94="INSUMO",VLOOKUP(B94,INSUMOS!$A$6:$E$6961,5,0),IF(A94="COTAÇÃO",VLOOKUP(B94,'036-20-Cotação'!$A$9:$H$529,8,0))))</f>
        <v>M.O</v>
      </c>
      <c r="E94" s="452" t="str">
        <f>IF(A94="SERVIÇO",VLOOKUP(B94,SERVIÇOS!$A$6:$D$7645,3,0),IF(A94="INSUMO",VLOOKUP(B94,INSUMOS!$A$6:$D$6961,3,0),IF(A94="COTAÇÃO",VLOOKUP(B94,'036-20-Cotação'!$A$9:$G$529,4,0))))</f>
        <v>MÊS</v>
      </c>
      <c r="F94" s="462">
        <v>1</v>
      </c>
      <c r="G94" s="453">
        <f>IF(A94="SERVIÇO",VLOOKUP(B94,SERVIÇOS!$A$6:$D$7645,4,0),IF(A94="INSUMO",VLOOKUP(B94,INSUMOS!$A$6:$D$6961,4,0),IF(A94="COTAÇÃO",VLOOKUP(B94,'036-20-Cotação'!$A$9:$G$529,3,0))))</f>
        <v>3702.5675999999999</v>
      </c>
      <c r="H94" s="463">
        <f t="shared" si="16"/>
        <v>3702.5675999999999</v>
      </c>
      <c r="J94" s="201"/>
    </row>
    <row r="95" spans="1:17" s="87" customFormat="1" ht="12.75">
      <c r="A95" s="232" t="s">
        <v>4542</v>
      </c>
      <c r="B95" s="464" t="s">
        <v>6786</v>
      </c>
      <c r="C95" s="451" t="str">
        <f>IF(A95="SERVIÇO",VLOOKUP(B95,SERVIÇOS!$A$6:$D$7645,2,0),IF(A95="INSUMO",VLOOKUP(B95,INSUMOS!$A$6:$D$6961,2,0),IF(A95="COTAÇÃO",VLOOKUP(B95,'036-20-Cotação'!$A$9:$G$529,2,0))))</f>
        <v>ENGENHEIRO AUXILIAR</v>
      </c>
      <c r="D95" s="452" t="str">
        <f>IF(A95="SERVIÇO",VLOOKUP(B95,SERVIÇOS!$A$6:$E$7645,5,0),IF(A95="INSUMO",VLOOKUP(B95,INSUMOS!$A$6:$E$6961,5,0),IF(A95="COTAÇÃO",VLOOKUP(B95,'036-20-Cotação'!$A$9:$H$529,8,0))))</f>
        <v>M.O</v>
      </c>
      <c r="E95" s="452" t="str">
        <f>IF(A95="SERVIÇO",VLOOKUP(B95,SERVIÇOS!$A$6:$D$7645,3,0),IF(A95="INSUMO",VLOOKUP(B95,INSUMOS!$A$6:$D$6961,3,0),IF(A95="COTAÇÃO",VLOOKUP(B95,'036-20-Cotação'!$A$9:$G$529,4,0))))</f>
        <v>MÊS</v>
      </c>
      <c r="F95" s="462">
        <v>0.5</v>
      </c>
      <c r="G95" s="453">
        <f>IF(A95="SERVIÇO",VLOOKUP(B95,SERVIÇOS!$A$6:$D$7645,4,0),IF(A95="INSUMO",VLOOKUP(B95,INSUMOS!$A$6:$D$6961,4,0),IF(A95="COTAÇÃO",VLOOKUP(B95,'036-20-Cotação'!$A$9:$G$529,3,0))))</f>
        <v>17574.942899999998</v>
      </c>
      <c r="H95" s="463">
        <f t="shared" si="16"/>
        <v>8787.4714499999991</v>
      </c>
      <c r="J95" s="201"/>
    </row>
    <row r="96" spans="1:17" s="87" customFormat="1" ht="25.5">
      <c r="A96" s="232" t="s">
        <v>4542</v>
      </c>
      <c r="B96" s="464" t="s">
        <v>6819</v>
      </c>
      <c r="C96" s="451" t="str">
        <f>IF(A96="SERVIÇO",VLOOKUP(B96,SERVIÇOS!$A$6:$D$7645,2,0),IF(A96="INSUMO",VLOOKUP(B96,INSUMOS!$A$6:$D$6961,2,0),IF(A96="COTAÇÃO",VLOOKUP(B96,'036-20-Cotação'!$A$9:$G$529,2,0))))</f>
        <v xml:space="preserve">CONSULTOR ESPECIAL     </v>
      </c>
      <c r="D96" s="452" t="str">
        <f>IF(A96="SERVIÇO",VLOOKUP(B96,SERVIÇOS!$A$6:$E$7645,5,0),IF(A96="INSUMO",VLOOKUP(B96,INSUMOS!$A$6:$E$6961,5,0),IF(A96="COTAÇÃO",VLOOKUP(B96,'036-20-Cotação'!$A$9:$H$529,8,0))))</f>
        <v>M.O.</v>
      </c>
      <c r="E96" s="452" t="str">
        <f>IF(A96="SERVIÇO",VLOOKUP(B96,SERVIÇOS!$A$6:$D$7645,3,0),IF(A96="INSUMO",VLOOKUP(B96,INSUMOS!$A$6:$D$6961,3,0),IF(A96="COTAÇÃO",VLOOKUP(B96,'036-20-Cotação'!$A$9:$G$529,4,0))))</f>
        <v>MÊS</v>
      </c>
      <c r="F96" s="462">
        <v>0.1</v>
      </c>
      <c r="G96" s="453">
        <f>IF(A96="SERVIÇO",VLOOKUP(B96,SERVIÇOS!$A$6:$D$7645,4,0),IF(A96="INSUMO",VLOOKUP(B96,INSUMOS!$A$6:$D$6961,4,0),IF(A96="COTAÇÃO",VLOOKUP(B96,'036-20-Cotação'!$A$9:$G$529,3,0))))</f>
        <v>21020.83</v>
      </c>
      <c r="H96" s="463">
        <f>G96*F96</f>
        <v>2102.0830000000001</v>
      </c>
      <c r="J96" s="201"/>
    </row>
    <row r="97" spans="1:17" s="87" customFormat="1" ht="12.75" customHeight="1">
      <c r="A97" s="232"/>
      <c r="B97" s="199" t="s">
        <v>123</v>
      </c>
      <c r="C97" s="698" t="s">
        <v>13510</v>
      </c>
      <c r="D97" s="699"/>
      <c r="E97" s="699"/>
      <c r="F97" s="699"/>
      <c r="G97" s="699"/>
      <c r="H97" s="700"/>
      <c r="J97" s="201"/>
    </row>
    <row r="98" spans="1:17" s="78" customFormat="1" ht="9.75" customHeight="1">
      <c r="A98" s="188"/>
      <c r="B98" s="359"/>
      <c r="C98" s="357"/>
      <c r="D98" s="357"/>
      <c r="E98" s="357"/>
      <c r="F98" s="357"/>
      <c r="G98" s="357"/>
      <c r="H98" s="358"/>
      <c r="J98" s="303"/>
    </row>
    <row r="99" spans="1:17" s="78" customFormat="1" ht="25.5">
      <c r="A99" s="188"/>
      <c r="B99" s="80" t="s">
        <v>6810</v>
      </c>
      <c r="C99" s="81" t="s">
        <v>8351</v>
      </c>
      <c r="D99" s="82" t="s">
        <v>84</v>
      </c>
      <c r="E99" s="82" t="s">
        <v>10</v>
      </c>
      <c r="F99" s="83"/>
      <c r="G99" s="84"/>
      <c r="H99" s="85">
        <f>SUM(H100:H103)</f>
        <v>18885.639264999998</v>
      </c>
      <c r="J99" s="79"/>
      <c r="K99" s="87"/>
      <c r="L99" s="87"/>
      <c r="M99" s="87"/>
      <c r="N99" s="87"/>
      <c r="O99" s="87"/>
      <c r="P99" s="87"/>
      <c r="Q99" s="87"/>
    </row>
    <row r="100" spans="1:17" s="87" customFormat="1" ht="12.75">
      <c r="A100" s="232" t="s">
        <v>4542</v>
      </c>
      <c r="B100" s="531" t="s">
        <v>6784</v>
      </c>
      <c r="C100" s="451" t="str">
        <f>IF(A100="SERVIÇO",VLOOKUP(B100,SERVIÇOS!$A$6:$D$7645,2,0),IF(A100="INSUMO",VLOOKUP(B100,INSUMOS!$A$6:$D$6961,2,0),IF(A100="COTAÇÃO",VLOOKUP(B100,'036-20-Cotação'!$A$9:$G$529,2,0))))</f>
        <v>ENGENHEIRO</v>
      </c>
      <c r="D100" s="452" t="str">
        <f>IF(A100="SERVIÇO",VLOOKUP(B100,SERVIÇOS!$A$6:$E$7645,5,0),IF(A100="INSUMO",VLOOKUP(B100,INSUMOS!$A$6:$E$6961,5,0),IF(A100="COTAÇÃO",VLOOKUP(B100,'036-20-Cotação'!$A$9:$H$529,8,0))))</f>
        <v>M.O</v>
      </c>
      <c r="E100" s="452" t="str">
        <f>IF(A100="SERVIÇO",VLOOKUP(B100,SERVIÇOS!$A$6:$D$7645,3,0),IF(A100="INSUMO",VLOOKUP(B100,INSUMOS!$A$6:$D$6961,3,0),IF(A100="COTAÇÃO",VLOOKUP(B100,'036-20-Cotação'!$A$9:$G$529,4,0))))</f>
        <v>MÊS</v>
      </c>
      <c r="F100" s="462">
        <v>0.15</v>
      </c>
      <c r="G100" s="453">
        <f>IF(A100="SERVIÇO",VLOOKUP(B100,SERVIÇOS!$A$6:$D$7645,4,0),IF(A100="INSUMO",VLOOKUP(B100,INSUMOS!$A$6:$D$6961,4,0),IF(A100="COTAÇÃO",VLOOKUP(B100,'036-20-Cotação'!$A$9:$G$529,3,0))))</f>
        <v>21731.673900000002</v>
      </c>
      <c r="H100" s="463">
        <f t="shared" ref="H100:H103" si="17">G100*F100</f>
        <v>3259.7510850000003</v>
      </c>
      <c r="J100" s="201"/>
    </row>
    <row r="101" spans="1:17" s="87" customFormat="1" ht="12.75">
      <c r="A101" s="232" t="s">
        <v>4542</v>
      </c>
      <c r="B101" s="464" t="s">
        <v>6821</v>
      </c>
      <c r="C101" s="451" t="str">
        <f>IF(A101="SERVIÇO",VLOOKUP(B101,SERVIÇOS!$A$6:$D$7645,2,0),IF(A101="INSUMO",VLOOKUP(B101,INSUMOS!$A$6:$D$6961,2,0),IF(A101="COTAÇÃO",VLOOKUP(B101,'036-20-Cotação'!$A$9:$G$529,2,0))))</f>
        <v>AUXILIAR TÉCNICO</v>
      </c>
      <c r="D101" s="452" t="str">
        <f>IF(A101="SERVIÇO",VLOOKUP(B101,SERVIÇOS!$A$6:$E$7645,5,0),IF(A101="INSUMO",VLOOKUP(B101,INSUMOS!$A$6:$E$6961,5,0),IF(A101="COTAÇÃO",VLOOKUP(B101,'036-20-Cotação'!$A$9:$H$529,8,0))))</f>
        <v>M.O</v>
      </c>
      <c r="E101" s="452" t="str">
        <f>IF(A101="SERVIÇO",VLOOKUP(B101,SERVIÇOS!$A$6:$D$7645,3,0),IF(A101="INSUMO",VLOOKUP(B101,INSUMOS!$A$6:$D$6961,3,0),IF(A101="COTAÇÃO",VLOOKUP(B101,'036-20-Cotação'!$A$9:$G$529,4,0))))</f>
        <v>MÊS</v>
      </c>
      <c r="F101" s="462">
        <v>1</v>
      </c>
      <c r="G101" s="453">
        <f>IF(A101="SERVIÇO",VLOOKUP(B101,SERVIÇOS!$A$6:$D$7645,4,0),IF(A101="INSUMO",VLOOKUP(B101,INSUMOS!$A$6:$D$6961,4,0),IF(A101="COTAÇÃO",VLOOKUP(B101,'036-20-Cotação'!$A$9:$G$529,3,0))))</f>
        <v>3702.5675999999999</v>
      </c>
      <c r="H101" s="463">
        <f t="shared" si="17"/>
        <v>3702.5675999999999</v>
      </c>
      <c r="J101" s="201"/>
    </row>
    <row r="102" spans="1:17" s="87" customFormat="1" ht="12.75">
      <c r="A102" s="232" t="s">
        <v>4542</v>
      </c>
      <c r="B102" s="464" t="s">
        <v>6786</v>
      </c>
      <c r="C102" s="451" t="str">
        <f>IF(A102="SERVIÇO",VLOOKUP(B102,SERVIÇOS!$A$6:$D$7645,2,0),IF(A102="INSUMO",VLOOKUP(B102,INSUMOS!$A$6:$D$6961,2,0),IF(A102="COTAÇÃO",VLOOKUP(B102,'036-20-Cotação'!$A$9:$G$529,2,0))))</f>
        <v>ENGENHEIRO AUXILIAR</v>
      </c>
      <c r="D102" s="452" t="str">
        <f>IF(A102="SERVIÇO",VLOOKUP(B102,SERVIÇOS!$A$6:$E$7645,5,0),IF(A102="INSUMO",VLOOKUP(B102,INSUMOS!$A$6:$E$6961,5,0),IF(A102="COTAÇÃO",VLOOKUP(B102,'036-20-Cotação'!$A$9:$H$529,8,0))))</f>
        <v>M.O</v>
      </c>
      <c r="E102" s="452" t="str">
        <f>IF(A102="SERVIÇO",VLOOKUP(B102,SERVIÇOS!$A$6:$D$7645,3,0),IF(A102="INSUMO",VLOOKUP(B102,INSUMOS!$A$6:$D$6961,3,0),IF(A102="COTAÇÃO",VLOOKUP(B102,'036-20-Cotação'!$A$9:$G$529,4,0))))</f>
        <v>MÊS</v>
      </c>
      <c r="F102" s="462">
        <v>0.2</v>
      </c>
      <c r="G102" s="453">
        <f>IF(A102="SERVIÇO",VLOOKUP(B102,SERVIÇOS!$A$6:$D$7645,4,0),IF(A102="INSUMO",VLOOKUP(B102,INSUMOS!$A$6:$D$6961,4,0),IF(A102="COTAÇÃO",VLOOKUP(B102,'036-20-Cotação'!$A$9:$G$529,3,0))))</f>
        <v>17574.942899999998</v>
      </c>
      <c r="H102" s="463">
        <f t="shared" si="17"/>
        <v>3514.9885799999997</v>
      </c>
      <c r="J102" s="201"/>
    </row>
    <row r="103" spans="1:17" s="87" customFormat="1" ht="25.5">
      <c r="A103" s="232" t="s">
        <v>4542</v>
      </c>
      <c r="B103" s="464" t="s">
        <v>6819</v>
      </c>
      <c r="C103" s="451" t="str">
        <f>IF(A103="SERVIÇO",VLOOKUP(B103,SERVIÇOS!$A$6:$D$7645,2,0),IF(A103="INSUMO",VLOOKUP(B103,INSUMOS!$A$6:$D$6961,2,0),IF(A103="COTAÇÃO",VLOOKUP(B103,'036-20-Cotação'!$A$9:$G$529,2,0))))</f>
        <v xml:space="preserve">CONSULTOR ESPECIAL     </v>
      </c>
      <c r="D103" s="452" t="str">
        <f>IF(A103="SERVIÇO",VLOOKUP(B103,SERVIÇOS!$A$6:$E$7645,5,0),IF(A103="INSUMO",VLOOKUP(B103,INSUMOS!$A$6:$E$6961,5,0),IF(A103="COTAÇÃO",VLOOKUP(B103,'036-20-Cotação'!$A$9:$H$529,8,0))))</f>
        <v>M.O.</v>
      </c>
      <c r="E103" s="452" t="str">
        <f>IF(A103="SERVIÇO",VLOOKUP(B103,SERVIÇOS!$A$6:$D$7645,3,0),IF(A103="INSUMO",VLOOKUP(B103,INSUMOS!$A$6:$D$6961,3,0),IF(A103="COTAÇÃO",VLOOKUP(B103,'036-20-Cotação'!$A$9:$G$529,4,0))))</f>
        <v>MÊS</v>
      </c>
      <c r="F103" s="462">
        <v>0.4</v>
      </c>
      <c r="G103" s="453">
        <f>IF(A103="SERVIÇO",VLOOKUP(B103,SERVIÇOS!$A$6:$D$7645,4,0),IF(A103="INSUMO",VLOOKUP(B103,INSUMOS!$A$6:$D$6961,4,0),IF(A103="COTAÇÃO",VLOOKUP(B103,'036-20-Cotação'!$A$9:$G$529,3,0))))</f>
        <v>21020.83</v>
      </c>
      <c r="H103" s="463">
        <f t="shared" si="17"/>
        <v>8408.3320000000003</v>
      </c>
      <c r="J103" s="201"/>
    </row>
    <row r="104" spans="1:17" s="87" customFormat="1" ht="12.75" customHeight="1">
      <c r="A104" s="232"/>
      <c r="B104" s="199" t="s">
        <v>123</v>
      </c>
      <c r="C104" s="698" t="s">
        <v>13510</v>
      </c>
      <c r="D104" s="699"/>
      <c r="E104" s="699"/>
      <c r="F104" s="699"/>
      <c r="G104" s="699"/>
      <c r="H104" s="700"/>
      <c r="J104" s="201"/>
    </row>
    <row r="105" spans="1:17" s="78" customFormat="1" ht="9.75" customHeight="1">
      <c r="A105" s="188"/>
      <c r="B105" s="359"/>
      <c r="C105" s="357"/>
      <c r="D105" s="357"/>
      <c r="E105" s="357"/>
      <c r="F105" s="357"/>
      <c r="G105" s="357"/>
      <c r="H105" s="358"/>
      <c r="J105" s="303"/>
    </row>
    <row r="106" spans="1:17" s="78" customFormat="1" ht="25.5">
      <c r="A106" s="188"/>
      <c r="B106" s="80" t="s">
        <v>6815</v>
      </c>
      <c r="C106" s="81" t="s">
        <v>6816</v>
      </c>
      <c r="D106" s="82" t="s">
        <v>84</v>
      </c>
      <c r="E106" s="82" t="s">
        <v>5079</v>
      </c>
      <c r="F106" s="83"/>
      <c r="G106" s="84"/>
      <c r="H106" s="85">
        <f>SUM(H107:H109)</f>
        <v>920.88083333333327</v>
      </c>
      <c r="J106" s="79"/>
      <c r="K106" s="87"/>
      <c r="L106" s="87"/>
      <c r="M106" s="87"/>
      <c r="N106" s="87"/>
      <c r="O106" s="87"/>
      <c r="P106" s="87"/>
      <c r="Q106" s="87"/>
    </row>
    <row r="107" spans="1:17" s="87" customFormat="1" ht="25.5">
      <c r="A107" s="232" t="s">
        <v>4542</v>
      </c>
      <c r="B107" s="531" t="s">
        <v>8088</v>
      </c>
      <c r="C107" s="451" t="str">
        <f>IF(A107="SERVIÇO",VLOOKUP(B107,SERVIÇOS!$A$6:$D$7645,2,0),IF(A107="INSUMO",VLOOKUP(B107,INSUMOS!$A$6:$D$6961,2,0),IF(A107="COTAÇÃO",VLOOKUP(B107,'036-20-Cotação'!$A$9:$G$529,2,0))))</f>
        <v>TAXA DE EXECUÇÃO DE OBRA       PORT. Nº 268/13 ATÉ 1000M2</v>
      </c>
      <c r="D107" s="452" t="str">
        <f>IF(A107="SERVIÇO",VLOOKUP(B107,SERVIÇOS!$A$6:$E$7645,5,0),IF(A107="INSUMO",VLOOKUP(B107,INSUMOS!$A$6:$E$6961,5,0),IF(A107="COTAÇÃO",VLOOKUP(B107,'036-20-Cotação'!$A$9:$H$529,8,0))))</f>
        <v>SER.CG</v>
      </c>
      <c r="E107" s="452" t="str">
        <f>IF(A107="SERVIÇO",VLOOKUP(B107,SERVIÇOS!$A$6:$D$7645,3,0),IF(A107="INSUMO",VLOOKUP(B107,INSUMOS!$A$6:$D$6961,3,0),IF(A107="COTAÇÃO",VLOOKUP(B107,'036-20-Cotação'!$A$9:$G$529,4,0))))</f>
        <v>M2.MÊS</v>
      </c>
      <c r="F107" s="541">
        <v>1000</v>
      </c>
      <c r="G107" s="453">
        <f>IF(A107="SERVIÇO",VLOOKUP(B107,SERVIÇOS!$A$6:$D$7645,4,0),IF(A107="INSUMO",VLOOKUP(B107,INSUMOS!$A$6:$D$6961,4,0),IF(A107="COTAÇÃO",VLOOKUP(B107,'036-20-Cotação'!$A$9:$G$529,3,0))))</f>
        <v>0.13</v>
      </c>
      <c r="H107" s="463">
        <f t="shared" ref="H107:H109" si="18">G107*F107</f>
        <v>130</v>
      </c>
      <c r="J107" s="201"/>
    </row>
    <row r="108" spans="1:17" s="87" customFormat="1" ht="25.5">
      <c r="A108" s="232" t="s">
        <v>4542</v>
      </c>
      <c r="B108" s="464" t="s">
        <v>8090</v>
      </c>
      <c r="C108" s="451" t="str">
        <f>IF(A108="SERVIÇO",VLOOKUP(B108,SERVIÇOS!$A$6:$D$7645,2,0),IF(A108="INSUMO",VLOOKUP(B108,INSUMOS!$A$6:$D$6961,2,0),IF(A108="COTAÇÃO",VLOOKUP(B108,'036-20-Cotação'!$A$9:$G$529,2,0))))</f>
        <v>TAXA DE EXECUÇÃO DE OBRA       PORT. Nº 268/13 ALÉM 1000M2</v>
      </c>
      <c r="D108" s="452" t="str">
        <f>IF(A108="SERVIÇO",VLOOKUP(B108,SERVIÇOS!$A$6:$E$7645,5,0),IF(A108="INSUMO",VLOOKUP(B108,INSUMOS!$A$6:$E$6961,5,0),IF(A108="COTAÇÃO",VLOOKUP(B108,'036-20-Cotação'!$A$9:$H$529,8,0))))</f>
        <v>SER.CG</v>
      </c>
      <c r="E108" s="452" t="str">
        <f>IF(A108="SERVIÇO",VLOOKUP(B108,SERVIÇOS!$A$6:$D$7645,3,0),IF(A108="INSUMO",VLOOKUP(B108,INSUMOS!$A$6:$D$6961,3,0),IF(A108="COTAÇÃO",VLOOKUP(B108,'036-20-Cotação'!$A$9:$G$529,4,0))))</f>
        <v>M2.MÊS</v>
      </c>
      <c r="F108" s="541">
        <v>7017</v>
      </c>
      <c r="G108" s="453">
        <f>IF(A108="SERVIÇO",VLOOKUP(B108,SERVIÇOS!$A$6:$D$7645,4,0),IF(A108="INSUMO",VLOOKUP(B108,INSUMOS!$A$6:$D$6961,4,0),IF(A108="COTAÇÃO",VLOOKUP(B108,'036-20-Cotação'!$A$9:$G$529,3,0))))</f>
        <v>1.7499999999999998E-2</v>
      </c>
      <c r="H108" s="463">
        <f t="shared" si="18"/>
        <v>122.79749999999999</v>
      </c>
      <c r="J108" s="201"/>
    </row>
    <row r="109" spans="1:17" s="87" customFormat="1" ht="25.5">
      <c r="A109" s="232" t="s">
        <v>4542</v>
      </c>
      <c r="B109" s="464" t="s">
        <v>8092</v>
      </c>
      <c r="C109" s="451" t="str">
        <f>IF(A109="SERVIÇO",VLOOKUP(B109,SERVIÇOS!$A$6:$D$7645,2,0),IF(A109="INSUMO",VLOOKUP(B109,INSUMOS!$A$6:$D$6961,2,0),IF(A109="COTAÇÃO",VLOOKUP(B109,'036-20-Cotação'!$A$9:$G$529,2,0))))</f>
        <v>TAXA DE OCUPAÇÃO DE ÁREAS PUBL PARA CANTEIRO DE OBRAS</v>
      </c>
      <c r="D109" s="452" t="str">
        <f>IF(A109="SERVIÇO",VLOOKUP(B109,SERVIÇOS!$A$6:$E$7645,5,0),IF(A109="INSUMO",VLOOKUP(B109,INSUMOS!$A$6:$E$6961,5,0),IF(A109="COTAÇÃO",VLOOKUP(B109,'036-20-Cotação'!$A$9:$H$529,8,0))))</f>
        <v>SER.CG</v>
      </c>
      <c r="E109" s="452" t="str">
        <f>IF(A109="SERVIÇO",VLOOKUP(B109,SERVIÇOS!$A$6:$D$7645,3,0),IF(A109="INSUMO",VLOOKUP(B109,INSUMOS!$A$6:$D$6961,3,0),IF(A109="COTAÇÃO",VLOOKUP(B109,'036-20-Cotação'!$A$9:$G$529,4,0))))</f>
        <v>M2.MÊS</v>
      </c>
      <c r="F109" s="541">
        <v>8017</v>
      </c>
      <c r="G109" s="453">
        <f>IF(A109="SERVIÇO",VLOOKUP(B109,SERVIÇOS!$A$6:$D$7645,4,0),IF(A109="INSUMO",VLOOKUP(B109,INSUMOS!$A$6:$D$6961,4,0),IF(A109="COTAÇÃO",VLOOKUP(B109,'036-20-Cotação'!$A$9:$G$529,3,0))))</f>
        <v>8.3333333333333329E-2</v>
      </c>
      <c r="H109" s="463">
        <f t="shared" si="18"/>
        <v>668.08333333333326</v>
      </c>
      <c r="J109" s="201"/>
    </row>
    <row r="110" spans="1:17" s="87" customFormat="1" ht="12.75">
      <c r="A110" s="188"/>
      <c r="B110" s="348" t="s">
        <v>123</v>
      </c>
      <c r="C110" s="695" t="s">
        <v>8094</v>
      </c>
      <c r="D110" s="696"/>
      <c r="E110" s="696"/>
      <c r="F110" s="696"/>
      <c r="G110" s="696"/>
      <c r="H110" s="697"/>
      <c r="J110" s="201"/>
    </row>
    <row r="111" spans="1:17" s="78" customFormat="1" ht="9.75" customHeight="1">
      <c r="A111" s="188"/>
      <c r="B111" s="392"/>
      <c r="C111" s="390"/>
      <c r="D111" s="390"/>
      <c r="E111" s="390"/>
      <c r="F111" s="390"/>
      <c r="G111" s="390"/>
      <c r="H111" s="391"/>
      <c r="J111" s="303"/>
    </row>
    <row r="112" spans="1:17" s="78" customFormat="1" ht="51">
      <c r="A112" s="188"/>
      <c r="B112" s="80" t="s">
        <v>8115</v>
      </c>
      <c r="C112" s="81" t="s">
        <v>8431</v>
      </c>
      <c r="D112" s="82" t="s">
        <v>84</v>
      </c>
      <c r="E112" s="82" t="s">
        <v>10</v>
      </c>
      <c r="F112" s="83"/>
      <c r="G112" s="84"/>
      <c r="H112" s="85">
        <f>SUM(H113:H114)</f>
        <v>5688.1559699999998</v>
      </c>
      <c r="J112" s="79"/>
      <c r="K112" s="87"/>
      <c r="L112" s="87"/>
      <c r="M112" s="87"/>
      <c r="N112" s="87"/>
      <c r="O112" s="87"/>
      <c r="P112" s="87"/>
      <c r="Q112" s="87"/>
    </row>
    <row r="113" spans="1:17" s="87" customFormat="1" ht="12.75">
      <c r="A113" s="232" t="s">
        <v>4542</v>
      </c>
      <c r="B113" s="531" t="s">
        <v>6784</v>
      </c>
      <c r="C113" s="451" t="str">
        <f>IF(A113="SERVIÇO",VLOOKUP(B113,SERVIÇOS!$A$6:$D$7645,2,0),IF(A113="INSUMO",VLOOKUP(B113,INSUMOS!$A$6:$D$6961,2,0),IF(A113="COTAÇÃO",VLOOKUP(B113,'036-20-Cotação'!$A$9:$G$529,2,0))))</f>
        <v>ENGENHEIRO</v>
      </c>
      <c r="D113" s="452" t="str">
        <f>IF(A113="SERVIÇO",VLOOKUP(B113,SERVIÇOS!$A$6:$E$7645,5,0),IF(A113="INSUMO",VLOOKUP(B113,INSUMOS!$A$6:$E$6961,5,0),IF(A113="COTAÇÃO",VLOOKUP(B113,'036-20-Cotação'!$A$9:$H$529,8,0))))</f>
        <v>M.O</v>
      </c>
      <c r="E113" s="452" t="str">
        <f>IF(A113="SERVIÇO",VLOOKUP(B113,SERVIÇOS!$A$6:$D$7645,3,0),IF(A113="INSUMO",VLOOKUP(B113,INSUMOS!$A$6:$D$6961,3,0),IF(A113="COTAÇÃO",VLOOKUP(B113,'036-20-Cotação'!$A$9:$G$529,4,0))))</f>
        <v>MÊS</v>
      </c>
      <c r="F113" s="462">
        <v>0.1</v>
      </c>
      <c r="G113" s="453">
        <f>IF(A113="SERVIÇO",VLOOKUP(B113,SERVIÇOS!$A$6:$D$7645,4,0),IF(A113="INSUMO",VLOOKUP(B113,INSUMOS!$A$6:$D$6961,4,0),IF(A113="COTAÇÃO",VLOOKUP(B113,'036-20-Cotação'!$A$9:$G$529,3,0))))</f>
        <v>21731.673900000002</v>
      </c>
      <c r="H113" s="463">
        <f t="shared" ref="H113:H114" si="19">G113*F113</f>
        <v>2173.1673900000001</v>
      </c>
      <c r="J113" s="201"/>
    </row>
    <row r="114" spans="1:17" s="87" customFormat="1" ht="12.75">
      <c r="A114" s="232" t="s">
        <v>4542</v>
      </c>
      <c r="B114" s="464" t="s">
        <v>6786</v>
      </c>
      <c r="C114" s="451" t="str">
        <f>IF(A114="SERVIÇO",VLOOKUP(B114,SERVIÇOS!$A$6:$D$7645,2,0),IF(A114="INSUMO",VLOOKUP(B114,INSUMOS!$A$6:$D$6961,2,0),IF(A114="COTAÇÃO",VLOOKUP(B114,'036-20-Cotação'!$A$9:$G$529,2,0))))</f>
        <v>ENGENHEIRO AUXILIAR</v>
      </c>
      <c r="D114" s="452" t="str">
        <f>IF(A114="SERVIÇO",VLOOKUP(B114,SERVIÇOS!$A$6:$E$7645,5,0),IF(A114="INSUMO",VLOOKUP(B114,INSUMOS!$A$6:$E$6961,5,0),IF(A114="COTAÇÃO",VLOOKUP(B114,'036-20-Cotação'!$A$9:$H$529,8,0))))</f>
        <v>M.O</v>
      </c>
      <c r="E114" s="452" t="str">
        <f>IF(A114="SERVIÇO",VLOOKUP(B114,SERVIÇOS!$A$6:$D$7645,3,0),IF(A114="INSUMO",VLOOKUP(B114,INSUMOS!$A$6:$D$6961,3,0),IF(A114="COTAÇÃO",VLOOKUP(B114,'036-20-Cotação'!$A$9:$G$529,4,0))))</f>
        <v>MÊS</v>
      </c>
      <c r="F114" s="462">
        <v>0.2</v>
      </c>
      <c r="G114" s="453">
        <f>IF(A114="SERVIÇO",VLOOKUP(B114,SERVIÇOS!$A$6:$D$7645,4,0),IF(A114="INSUMO",VLOOKUP(B114,INSUMOS!$A$6:$D$6961,4,0),IF(A114="COTAÇÃO",VLOOKUP(B114,'036-20-Cotação'!$A$9:$G$529,3,0))))</f>
        <v>17574.942899999998</v>
      </c>
      <c r="H114" s="463">
        <f t="shared" si="19"/>
        <v>3514.9885799999997</v>
      </c>
      <c r="J114" s="201"/>
    </row>
    <row r="115" spans="1:17" s="87" customFormat="1" ht="12.75" customHeight="1">
      <c r="A115" s="232"/>
      <c r="B115" s="199" t="s">
        <v>123</v>
      </c>
      <c r="C115" s="698" t="s">
        <v>13510</v>
      </c>
      <c r="D115" s="699"/>
      <c r="E115" s="699"/>
      <c r="F115" s="699"/>
      <c r="G115" s="699"/>
      <c r="H115" s="700"/>
      <c r="J115" s="201"/>
    </row>
    <row r="116" spans="1:17" s="78" customFormat="1" ht="9.75" customHeight="1">
      <c r="A116" s="188"/>
      <c r="B116" s="401"/>
      <c r="C116" s="399"/>
      <c r="D116" s="399"/>
      <c r="E116" s="399"/>
      <c r="F116" s="399"/>
      <c r="G116" s="399"/>
      <c r="H116" s="400"/>
      <c r="J116" s="303"/>
    </row>
    <row r="117" spans="1:17" s="78" customFormat="1" ht="89.25">
      <c r="A117" s="188"/>
      <c r="B117" s="80" t="s">
        <v>8305</v>
      </c>
      <c r="C117" s="81" t="s">
        <v>8306</v>
      </c>
      <c r="D117" s="82" t="s">
        <v>84</v>
      </c>
      <c r="E117" s="82" t="s">
        <v>10</v>
      </c>
      <c r="F117" s="83"/>
      <c r="G117" s="84"/>
      <c r="H117" s="85">
        <f>SUM(H118:H121)</f>
        <v>9285.713291</v>
      </c>
      <c r="J117" s="79"/>
      <c r="K117" s="87"/>
      <c r="L117" s="87"/>
      <c r="M117" s="87"/>
      <c r="N117" s="87"/>
      <c r="O117" s="87"/>
      <c r="P117" s="87"/>
      <c r="Q117" s="87"/>
    </row>
    <row r="118" spans="1:17" s="87" customFormat="1" ht="25.5">
      <c r="A118" s="232" t="s">
        <v>4542</v>
      </c>
      <c r="B118" s="464" t="s">
        <v>6819</v>
      </c>
      <c r="C118" s="451" t="str">
        <f>IF(A118="SERVIÇO",VLOOKUP(B118,SERVIÇOS!$A$6:$D$7645,2,0),IF(A118="INSUMO",VLOOKUP(B118,INSUMOS!$A$6:$D$6961,2,0),IF(A118="COTAÇÃO",VLOOKUP(B118,'036-20-Cotação'!$A$9:$G$529,2,0))))</f>
        <v xml:space="preserve">CONSULTOR ESPECIAL     </v>
      </c>
      <c r="D118" s="452" t="str">
        <f>IF(A118="SERVIÇO",VLOOKUP(B118,SERVIÇOS!$A$6:$E$7645,5,0),IF(A118="INSUMO",VLOOKUP(B118,INSUMOS!$A$6:$E$6961,5,0),IF(A118="COTAÇÃO",VLOOKUP(B118,'036-20-Cotação'!$A$9:$H$529,8,0))))</f>
        <v>M.O.</v>
      </c>
      <c r="E118" s="452" t="str">
        <f>IF(A118="SERVIÇO",VLOOKUP(B118,SERVIÇOS!$A$6:$D$7645,3,0),IF(A118="INSUMO",VLOOKUP(B118,INSUMOS!$A$6:$D$6961,3,0),IF(A118="COTAÇÃO",VLOOKUP(B118,'036-20-Cotação'!$A$9:$G$529,4,0))))</f>
        <v>MÊS</v>
      </c>
      <c r="F118" s="462">
        <v>0.02</v>
      </c>
      <c r="G118" s="453">
        <f>IF(A118="SERVIÇO",VLOOKUP(B118,SERVIÇOS!$A$6:$D$7645,4,0),IF(A118="INSUMO",VLOOKUP(B118,INSUMOS!$A$6:$D$6961,4,0),IF(A118="COTAÇÃO",VLOOKUP(B118,'036-20-Cotação'!$A$9:$G$529,3,0))))</f>
        <v>21020.83</v>
      </c>
      <c r="H118" s="463">
        <f t="shared" ref="H118:H121" si="20">G118*F118</f>
        <v>420.41660000000002</v>
      </c>
      <c r="J118" s="201"/>
    </row>
    <row r="119" spans="1:17" s="87" customFormat="1" ht="12.75">
      <c r="A119" s="232" t="s">
        <v>4542</v>
      </c>
      <c r="B119" s="531" t="s">
        <v>6782</v>
      </c>
      <c r="C119" s="451" t="str">
        <f>IF(A119="SERVIÇO",VLOOKUP(B119,SERVIÇOS!$A$6:$D$7645,2,0),IF(A119="INSUMO",VLOOKUP(B119,INSUMOS!$A$6:$D$6961,2,0),IF(A119="COTAÇÃO",VLOOKUP(B119,'036-20-Cotação'!$A$9:$G$529,2,0))))</f>
        <v>DESENHISTA</v>
      </c>
      <c r="D119" s="452" t="str">
        <f>IF(A119="SERVIÇO",VLOOKUP(B119,SERVIÇOS!$A$6:$E$7645,5,0),IF(A119="INSUMO",VLOOKUP(B119,INSUMOS!$A$6:$E$6961,5,0),IF(A119="COTAÇÃO",VLOOKUP(B119,'036-20-Cotação'!$A$9:$H$529,8,0))))</f>
        <v>M.O</v>
      </c>
      <c r="E119" s="452" t="str">
        <f>IF(A119="SERVIÇO",VLOOKUP(B119,SERVIÇOS!$A$6:$D$7645,3,0),IF(A119="INSUMO",VLOOKUP(B119,INSUMOS!$A$6:$D$6961,3,0),IF(A119="COTAÇÃO",VLOOKUP(B119,'036-20-Cotação'!$A$9:$G$529,4,0))))</f>
        <v>MÊS</v>
      </c>
      <c r="F119" s="462">
        <v>1</v>
      </c>
      <c r="G119" s="453">
        <f>IF(A119="SERVIÇO",VLOOKUP(B119,SERVIÇOS!$A$6:$D$7645,4,0),IF(A119="INSUMO",VLOOKUP(B119,INSUMOS!$A$6:$D$6961,4,0),IF(A119="COTAÇÃO",VLOOKUP(B119,'036-20-Cotação'!$A$9:$G$529,3,0))))</f>
        <v>5359.7883000000002</v>
      </c>
      <c r="H119" s="463">
        <f t="shared" si="20"/>
        <v>5359.7883000000002</v>
      </c>
      <c r="J119" s="201"/>
    </row>
    <row r="120" spans="1:17" s="87" customFormat="1" ht="12.75">
      <c r="A120" s="232" t="s">
        <v>4542</v>
      </c>
      <c r="B120" s="464" t="s">
        <v>6784</v>
      </c>
      <c r="C120" s="451" t="str">
        <f>IF(A120="SERVIÇO",VLOOKUP(B120,SERVIÇOS!$A$6:$D$7645,2,0),IF(A120="INSUMO",VLOOKUP(B120,INSUMOS!$A$6:$D$6961,2,0),IF(A120="COTAÇÃO",VLOOKUP(B120,'036-20-Cotação'!$A$9:$G$529,2,0))))</f>
        <v>ENGENHEIRO</v>
      </c>
      <c r="D120" s="452" t="str">
        <f>IF(A120="SERVIÇO",VLOOKUP(B120,SERVIÇOS!$A$6:$E$7645,5,0),IF(A120="INSUMO",VLOOKUP(B120,INSUMOS!$A$6:$E$6961,5,0),IF(A120="COTAÇÃO",VLOOKUP(B120,'036-20-Cotação'!$A$9:$H$529,8,0))))</f>
        <v>M.O</v>
      </c>
      <c r="E120" s="452" t="str">
        <f>IF(A120="SERVIÇO",VLOOKUP(B120,SERVIÇOS!$A$6:$D$7645,3,0),IF(A120="INSUMO",VLOOKUP(B120,INSUMOS!$A$6:$D$6961,3,0),IF(A120="COTAÇÃO",VLOOKUP(B120,'036-20-Cotação'!$A$9:$G$529,4,0))))</f>
        <v>MÊS</v>
      </c>
      <c r="F120" s="462">
        <v>0.04</v>
      </c>
      <c r="G120" s="453">
        <f>IF(A120="SERVIÇO",VLOOKUP(B120,SERVIÇOS!$A$6:$D$7645,4,0),IF(A120="INSUMO",VLOOKUP(B120,INSUMOS!$A$6:$D$6961,4,0),IF(A120="COTAÇÃO",VLOOKUP(B120,'036-20-Cotação'!$A$9:$G$529,3,0))))</f>
        <v>21731.673900000002</v>
      </c>
      <c r="H120" s="463">
        <f t="shared" si="20"/>
        <v>869.26695600000005</v>
      </c>
      <c r="J120" s="201"/>
    </row>
    <row r="121" spans="1:17" s="87" customFormat="1" ht="12.75">
      <c r="A121" s="232" t="s">
        <v>4542</v>
      </c>
      <c r="B121" s="464" t="s">
        <v>6786</v>
      </c>
      <c r="C121" s="451" t="str">
        <f>IF(A121="SERVIÇO",VLOOKUP(B121,SERVIÇOS!$A$6:$D$7645,2,0),IF(A121="INSUMO",VLOOKUP(B121,INSUMOS!$A$6:$D$6961,2,0),IF(A121="COTAÇÃO",VLOOKUP(B121,'036-20-Cotação'!$A$9:$G$529,2,0))))</f>
        <v>ENGENHEIRO AUXILIAR</v>
      </c>
      <c r="D121" s="452" t="str">
        <f>IF(A121="SERVIÇO",VLOOKUP(B121,SERVIÇOS!$A$6:$E$7645,5,0),IF(A121="INSUMO",VLOOKUP(B121,INSUMOS!$A$6:$E$6961,5,0),IF(A121="COTAÇÃO",VLOOKUP(B121,'036-20-Cotação'!$A$9:$H$529,8,0))))</f>
        <v>M.O</v>
      </c>
      <c r="E121" s="452" t="str">
        <f>IF(A121="SERVIÇO",VLOOKUP(B121,SERVIÇOS!$A$6:$D$7645,3,0),IF(A121="INSUMO",VLOOKUP(B121,INSUMOS!$A$6:$D$6961,3,0),IF(A121="COTAÇÃO",VLOOKUP(B121,'036-20-Cotação'!$A$9:$G$529,4,0))))</f>
        <v>MÊS</v>
      </c>
      <c r="F121" s="462">
        <v>0.15</v>
      </c>
      <c r="G121" s="453">
        <f>IF(A121="SERVIÇO",VLOOKUP(B121,SERVIÇOS!$A$6:$D$7645,4,0),IF(A121="INSUMO",VLOOKUP(B121,INSUMOS!$A$6:$D$6961,4,0),IF(A121="COTAÇÃO",VLOOKUP(B121,'036-20-Cotação'!$A$9:$G$529,3,0))))</f>
        <v>17574.942899999998</v>
      </c>
      <c r="H121" s="463">
        <f t="shared" si="20"/>
        <v>2636.2414349999995</v>
      </c>
      <c r="J121" s="201"/>
    </row>
    <row r="122" spans="1:17" s="87" customFormat="1" ht="12.75" customHeight="1">
      <c r="A122" s="232"/>
      <c r="B122" s="199" t="s">
        <v>123</v>
      </c>
      <c r="C122" s="698" t="s">
        <v>13510</v>
      </c>
      <c r="D122" s="699"/>
      <c r="E122" s="699"/>
      <c r="F122" s="699"/>
      <c r="G122" s="699"/>
      <c r="H122" s="700"/>
      <c r="J122" s="201"/>
    </row>
    <row r="123" spans="1:17" s="78" customFormat="1" ht="9.75" customHeight="1">
      <c r="A123" s="188"/>
      <c r="B123" s="406"/>
      <c r="C123" s="404"/>
      <c r="D123" s="404"/>
      <c r="E123" s="404"/>
      <c r="F123" s="404"/>
      <c r="G123" s="404"/>
      <c r="H123" s="405"/>
      <c r="J123" s="303"/>
    </row>
    <row r="124" spans="1:17" s="78" customFormat="1" ht="63.75">
      <c r="A124" s="188"/>
      <c r="B124" s="80" t="s">
        <v>8383</v>
      </c>
      <c r="C124" s="81" t="s">
        <v>8384</v>
      </c>
      <c r="D124" s="82" t="s">
        <v>84</v>
      </c>
      <c r="E124" s="82" t="s">
        <v>10</v>
      </c>
      <c r="F124" s="83"/>
      <c r="G124" s="84"/>
      <c r="H124" s="85">
        <f>SUM(H125:H128)</f>
        <v>17622.957904999999</v>
      </c>
      <c r="J124" s="79"/>
      <c r="K124" s="87"/>
      <c r="L124" s="87"/>
      <c r="M124" s="87"/>
      <c r="N124" s="87"/>
      <c r="O124" s="87"/>
      <c r="P124" s="87"/>
      <c r="Q124" s="87"/>
    </row>
    <row r="125" spans="1:17" s="87" customFormat="1" ht="25.5">
      <c r="A125" s="232" t="s">
        <v>4542</v>
      </c>
      <c r="B125" s="464" t="s">
        <v>6819</v>
      </c>
      <c r="C125" s="451" t="str">
        <f>IF(A125="SERVIÇO",VLOOKUP(B125,SERVIÇOS!$A$6:$D$7645,2,0),IF(A125="INSUMO",VLOOKUP(B125,INSUMOS!$A$6:$D$6961,2,0),IF(A125="COTAÇÃO",VLOOKUP(B125,'036-20-Cotação'!$A$9:$G$529,2,0))))</f>
        <v xml:space="preserve">CONSULTOR ESPECIAL     </v>
      </c>
      <c r="D125" s="452" t="str">
        <f>IF(A125="SERVIÇO",VLOOKUP(B125,SERVIÇOS!$A$6:$E$7645,5,0),IF(A125="INSUMO",VLOOKUP(B125,INSUMOS!$A$6:$E$6961,5,0),IF(A125="COTAÇÃO",VLOOKUP(B125,'036-20-Cotação'!$A$9:$H$529,8,0))))</f>
        <v>M.O.</v>
      </c>
      <c r="E125" s="452" t="str">
        <f>IF(A125="SERVIÇO",VLOOKUP(B125,SERVIÇOS!$A$6:$D$7645,3,0),IF(A125="INSUMO",VLOOKUP(B125,INSUMOS!$A$6:$D$6961,3,0),IF(A125="COTAÇÃO",VLOOKUP(B125,'036-20-Cotação'!$A$9:$G$529,4,0))))</f>
        <v>MÊS</v>
      </c>
      <c r="F125" s="462">
        <v>0.05</v>
      </c>
      <c r="G125" s="453">
        <f>IF(A125="SERVIÇO",VLOOKUP(B125,SERVIÇOS!$A$6:$D$7645,4,0),IF(A125="INSUMO",VLOOKUP(B125,INSUMOS!$A$6:$D$6961,4,0),IF(A125="COTAÇÃO",VLOOKUP(B125,'036-20-Cotação'!$A$9:$G$529,3,0))))</f>
        <v>21020.83</v>
      </c>
      <c r="H125" s="463">
        <f t="shared" ref="H125:H128" si="21">G125*F125</f>
        <v>1051.0415</v>
      </c>
      <c r="J125" s="201"/>
    </row>
    <row r="126" spans="1:17" s="87" customFormat="1" ht="12.75">
      <c r="A126" s="232" t="s">
        <v>4542</v>
      </c>
      <c r="B126" s="531" t="s">
        <v>6782</v>
      </c>
      <c r="C126" s="451" t="str">
        <f>IF(A126="SERVIÇO",VLOOKUP(B126,SERVIÇOS!$A$6:$D$7645,2,0),IF(A126="INSUMO",VLOOKUP(B126,INSUMOS!$A$6:$D$6961,2,0),IF(A126="COTAÇÃO",VLOOKUP(B126,'036-20-Cotação'!$A$9:$G$529,2,0))))</f>
        <v>DESENHISTA</v>
      </c>
      <c r="D126" s="452" t="str">
        <f>IF(A126="SERVIÇO",VLOOKUP(B126,SERVIÇOS!$A$6:$E$7645,5,0),IF(A126="INSUMO",VLOOKUP(B126,INSUMOS!$A$6:$E$6961,5,0),IF(A126="COTAÇÃO",VLOOKUP(B126,'036-20-Cotação'!$A$9:$H$529,8,0))))</f>
        <v>M.O</v>
      </c>
      <c r="E126" s="452" t="str">
        <f>IF(A126="SERVIÇO",VLOOKUP(B126,SERVIÇOS!$A$6:$D$7645,3,0),IF(A126="INSUMO",VLOOKUP(B126,INSUMOS!$A$6:$D$6961,3,0),IF(A126="COTAÇÃO",VLOOKUP(B126,'036-20-Cotação'!$A$9:$G$529,4,0))))</f>
        <v>MÊS</v>
      </c>
      <c r="F126" s="462">
        <v>1.5</v>
      </c>
      <c r="G126" s="453">
        <f>IF(A126="SERVIÇO",VLOOKUP(B126,SERVIÇOS!$A$6:$D$7645,4,0),IF(A126="INSUMO",VLOOKUP(B126,INSUMOS!$A$6:$D$6961,4,0),IF(A126="COTAÇÃO",VLOOKUP(B126,'036-20-Cotação'!$A$9:$G$529,3,0))))</f>
        <v>5359.7883000000002</v>
      </c>
      <c r="H126" s="463">
        <f t="shared" si="21"/>
        <v>8039.6824500000002</v>
      </c>
      <c r="J126" s="201"/>
    </row>
    <row r="127" spans="1:17" s="87" customFormat="1" ht="12.75">
      <c r="A127" s="232" t="s">
        <v>4542</v>
      </c>
      <c r="B127" s="464" t="s">
        <v>6784</v>
      </c>
      <c r="C127" s="451" t="str">
        <f>IF(A127="SERVIÇO",VLOOKUP(B127,SERVIÇOS!$A$6:$D$7645,2,0),IF(A127="INSUMO",VLOOKUP(B127,INSUMOS!$A$6:$D$6961,2,0),IF(A127="COTAÇÃO",VLOOKUP(B127,'036-20-Cotação'!$A$9:$G$529,2,0))))</f>
        <v>ENGENHEIRO</v>
      </c>
      <c r="D127" s="452" t="str">
        <f>IF(A127="SERVIÇO",VLOOKUP(B127,SERVIÇOS!$A$6:$E$7645,5,0),IF(A127="INSUMO",VLOOKUP(B127,INSUMOS!$A$6:$E$6961,5,0),IF(A127="COTAÇÃO",VLOOKUP(B127,'036-20-Cotação'!$A$9:$H$529,8,0))))</f>
        <v>M.O</v>
      </c>
      <c r="E127" s="452" t="str">
        <f>IF(A127="SERVIÇO",VLOOKUP(B127,SERVIÇOS!$A$6:$D$7645,3,0),IF(A127="INSUMO",VLOOKUP(B127,INSUMOS!$A$6:$D$6961,3,0),IF(A127="COTAÇÃO",VLOOKUP(B127,'036-20-Cotação'!$A$9:$G$529,4,0))))</f>
        <v>MÊS</v>
      </c>
      <c r="F127" s="462">
        <v>0.15</v>
      </c>
      <c r="G127" s="453">
        <f>IF(A127="SERVIÇO",VLOOKUP(B127,SERVIÇOS!$A$6:$D$7645,4,0),IF(A127="INSUMO",VLOOKUP(B127,INSUMOS!$A$6:$D$6961,4,0),IF(A127="COTAÇÃO",VLOOKUP(B127,'036-20-Cotação'!$A$9:$G$529,3,0))))</f>
        <v>21731.673900000002</v>
      </c>
      <c r="H127" s="463">
        <f t="shared" si="21"/>
        <v>3259.7510850000003</v>
      </c>
      <c r="J127" s="201"/>
    </row>
    <row r="128" spans="1:17" s="87" customFormat="1" ht="12.75">
      <c r="A128" s="232" t="s">
        <v>4542</v>
      </c>
      <c r="B128" s="464" t="s">
        <v>6786</v>
      </c>
      <c r="C128" s="451" t="str">
        <f>IF(A128="SERVIÇO",VLOOKUP(B128,SERVIÇOS!$A$6:$D$7645,2,0),IF(A128="INSUMO",VLOOKUP(B128,INSUMOS!$A$6:$D$6961,2,0),IF(A128="COTAÇÃO",VLOOKUP(B128,'036-20-Cotação'!$A$9:$G$529,2,0))))</f>
        <v>ENGENHEIRO AUXILIAR</v>
      </c>
      <c r="D128" s="452" t="str">
        <f>IF(A128="SERVIÇO",VLOOKUP(B128,SERVIÇOS!$A$6:$E$7645,5,0),IF(A128="INSUMO",VLOOKUP(B128,INSUMOS!$A$6:$E$6961,5,0),IF(A128="COTAÇÃO",VLOOKUP(B128,'036-20-Cotação'!$A$9:$H$529,8,0))))</f>
        <v>M.O</v>
      </c>
      <c r="E128" s="452" t="str">
        <f>IF(A128="SERVIÇO",VLOOKUP(B128,SERVIÇOS!$A$6:$D$7645,3,0),IF(A128="INSUMO",VLOOKUP(B128,INSUMOS!$A$6:$D$6961,3,0),IF(A128="COTAÇÃO",VLOOKUP(B128,'036-20-Cotação'!$A$9:$G$529,4,0))))</f>
        <v>MÊS</v>
      </c>
      <c r="F128" s="462">
        <v>0.3</v>
      </c>
      <c r="G128" s="453">
        <f>IF(A128="SERVIÇO",VLOOKUP(B128,SERVIÇOS!$A$6:$D$7645,4,0),IF(A128="INSUMO",VLOOKUP(B128,INSUMOS!$A$6:$D$6961,4,0),IF(A128="COTAÇÃO",VLOOKUP(B128,'036-20-Cotação'!$A$9:$G$529,3,0))))</f>
        <v>17574.942899999998</v>
      </c>
      <c r="H128" s="463">
        <f t="shared" si="21"/>
        <v>5272.4828699999989</v>
      </c>
      <c r="J128" s="201"/>
    </row>
    <row r="129" spans="1:17" s="87" customFormat="1" ht="12.75" customHeight="1">
      <c r="A129" s="232"/>
      <c r="B129" s="199" t="s">
        <v>123</v>
      </c>
      <c r="C129" s="698" t="s">
        <v>13510</v>
      </c>
      <c r="D129" s="699"/>
      <c r="E129" s="699"/>
      <c r="F129" s="699"/>
      <c r="G129" s="699"/>
      <c r="H129" s="700"/>
      <c r="J129" s="201"/>
    </row>
    <row r="130" spans="1:17" s="78" customFormat="1" ht="9.75" customHeight="1">
      <c r="A130" s="188"/>
      <c r="B130" s="406"/>
      <c r="C130" s="404"/>
      <c r="D130" s="404"/>
      <c r="E130" s="404"/>
      <c r="F130" s="404"/>
      <c r="G130" s="404"/>
      <c r="H130" s="405"/>
      <c r="J130" s="303"/>
    </row>
    <row r="131" spans="1:17" s="78" customFormat="1" ht="102">
      <c r="A131" s="188"/>
      <c r="B131" s="80" t="s">
        <v>8388</v>
      </c>
      <c r="C131" s="81" t="s">
        <v>13511</v>
      </c>
      <c r="D131" s="82" t="s">
        <v>84</v>
      </c>
      <c r="E131" s="82" t="s">
        <v>10</v>
      </c>
      <c r="F131" s="83"/>
      <c r="G131" s="84"/>
      <c r="H131" s="85">
        <f>SUM(H132:H135)</f>
        <v>25955.465830000001</v>
      </c>
      <c r="J131" s="79"/>
      <c r="K131" s="87"/>
      <c r="L131" s="87"/>
      <c r="M131" s="87"/>
      <c r="N131" s="87"/>
      <c r="O131" s="87"/>
      <c r="P131" s="87"/>
      <c r="Q131" s="87"/>
    </row>
    <row r="132" spans="1:17" s="87" customFormat="1" ht="25.5">
      <c r="A132" s="232" t="s">
        <v>4542</v>
      </c>
      <c r="B132" s="464" t="s">
        <v>6819</v>
      </c>
      <c r="C132" s="451" t="str">
        <f>IF(A132="SERVIÇO",VLOOKUP(B132,SERVIÇOS!$A$6:$D$7645,2,0),IF(A132="INSUMO",VLOOKUP(B132,INSUMOS!$A$6:$D$6961,2,0),IF(A132="COTAÇÃO",VLOOKUP(B132,'036-20-Cotação'!$A$9:$G$529,2,0))))</f>
        <v xml:space="preserve">CONSULTOR ESPECIAL     </v>
      </c>
      <c r="D132" s="452" t="str">
        <f>IF(A132="SERVIÇO",VLOOKUP(B132,SERVIÇOS!$A$6:$E$7645,5,0),IF(A132="INSUMO",VLOOKUP(B132,INSUMOS!$A$6:$E$6961,5,0),IF(A132="COTAÇÃO",VLOOKUP(B132,'036-20-Cotação'!$A$9:$H$529,8,0))))</f>
        <v>M.O.</v>
      </c>
      <c r="E132" s="452" t="str">
        <f>IF(A132="SERVIÇO",VLOOKUP(B132,SERVIÇOS!$A$6:$D$7645,3,0),IF(A132="INSUMO",VLOOKUP(B132,INSUMOS!$A$6:$D$6961,3,0),IF(A132="COTAÇÃO",VLOOKUP(B132,'036-20-Cotação'!$A$9:$G$529,4,0))))</f>
        <v>MÊS</v>
      </c>
      <c r="F132" s="462">
        <v>0.1</v>
      </c>
      <c r="G132" s="453">
        <f>IF(A132="SERVIÇO",VLOOKUP(B132,SERVIÇOS!$A$6:$D$7645,4,0),IF(A132="INSUMO",VLOOKUP(B132,INSUMOS!$A$6:$D$6961,4,0),IF(A132="COTAÇÃO",VLOOKUP(B132,'036-20-Cotação'!$A$9:$G$529,3,0))))</f>
        <v>21020.83</v>
      </c>
      <c r="H132" s="463">
        <f t="shared" ref="H132:H135" si="22">G132*F132</f>
        <v>2102.0830000000001</v>
      </c>
      <c r="J132" s="201"/>
    </row>
    <row r="133" spans="1:17" s="87" customFormat="1" ht="12.75">
      <c r="A133" s="232" t="s">
        <v>4542</v>
      </c>
      <c r="B133" s="531" t="s">
        <v>6782</v>
      </c>
      <c r="C133" s="451" t="str">
        <f>IF(A133="SERVIÇO",VLOOKUP(B133,SERVIÇOS!$A$6:$D$7645,2,0),IF(A133="INSUMO",VLOOKUP(B133,INSUMOS!$A$6:$D$6961,2,0),IF(A133="COTAÇÃO",VLOOKUP(B133,'036-20-Cotação'!$A$9:$G$529,2,0))))</f>
        <v>DESENHISTA</v>
      </c>
      <c r="D133" s="452" t="str">
        <f>IF(A133="SERVIÇO",VLOOKUP(B133,SERVIÇOS!$A$6:$E$7645,5,0),IF(A133="INSUMO",VLOOKUP(B133,INSUMOS!$A$6:$E$6961,5,0),IF(A133="COTAÇÃO",VLOOKUP(B133,'036-20-Cotação'!$A$9:$H$529,8,0))))</f>
        <v>M.O</v>
      </c>
      <c r="E133" s="452" t="str">
        <f>IF(A133="SERVIÇO",VLOOKUP(B133,SERVIÇOS!$A$6:$D$7645,3,0),IF(A133="INSUMO",VLOOKUP(B133,INSUMOS!$A$6:$D$6961,3,0),IF(A133="COTAÇÃO",VLOOKUP(B133,'036-20-Cotação'!$A$9:$G$529,4,0))))</f>
        <v>MÊS</v>
      </c>
      <c r="F133" s="462">
        <v>2</v>
      </c>
      <c r="G133" s="453">
        <f>IF(A133="SERVIÇO",VLOOKUP(B133,SERVIÇOS!$A$6:$D$7645,4,0),IF(A133="INSUMO",VLOOKUP(B133,INSUMOS!$A$6:$D$6961,4,0),IF(A133="COTAÇÃO",VLOOKUP(B133,'036-20-Cotação'!$A$9:$G$529,3,0))))</f>
        <v>5359.7883000000002</v>
      </c>
      <c r="H133" s="463">
        <f t="shared" si="22"/>
        <v>10719.5766</v>
      </c>
      <c r="J133" s="201"/>
    </row>
    <row r="134" spans="1:17" s="87" customFormat="1" ht="12.75">
      <c r="A134" s="232" t="s">
        <v>4542</v>
      </c>
      <c r="B134" s="464" t="s">
        <v>6784</v>
      </c>
      <c r="C134" s="451" t="str">
        <f>IF(A134="SERVIÇO",VLOOKUP(B134,SERVIÇOS!$A$6:$D$7645,2,0),IF(A134="INSUMO",VLOOKUP(B134,INSUMOS!$A$6:$D$6961,2,0),IF(A134="COTAÇÃO",VLOOKUP(B134,'036-20-Cotação'!$A$9:$G$529,2,0))))</f>
        <v>ENGENHEIRO</v>
      </c>
      <c r="D134" s="452" t="str">
        <f>IF(A134="SERVIÇO",VLOOKUP(B134,SERVIÇOS!$A$6:$E$7645,5,0),IF(A134="INSUMO",VLOOKUP(B134,INSUMOS!$A$6:$E$6961,5,0),IF(A134="COTAÇÃO",VLOOKUP(B134,'036-20-Cotação'!$A$9:$H$529,8,0))))</f>
        <v>M.O</v>
      </c>
      <c r="E134" s="452" t="str">
        <f>IF(A134="SERVIÇO",VLOOKUP(B134,SERVIÇOS!$A$6:$D$7645,3,0),IF(A134="INSUMO",VLOOKUP(B134,INSUMOS!$A$6:$D$6961,3,0),IF(A134="COTAÇÃO",VLOOKUP(B134,'036-20-Cotação'!$A$9:$G$529,4,0))))</f>
        <v>MÊS</v>
      </c>
      <c r="F134" s="462">
        <v>0.2</v>
      </c>
      <c r="G134" s="453">
        <f>IF(A134="SERVIÇO",VLOOKUP(B134,SERVIÇOS!$A$6:$D$7645,4,0),IF(A134="INSUMO",VLOOKUP(B134,INSUMOS!$A$6:$D$6961,4,0),IF(A134="COTAÇÃO",VLOOKUP(B134,'036-20-Cotação'!$A$9:$G$529,3,0))))</f>
        <v>21731.673900000002</v>
      </c>
      <c r="H134" s="463">
        <f t="shared" si="22"/>
        <v>4346.3347800000001</v>
      </c>
      <c r="J134" s="201"/>
    </row>
    <row r="135" spans="1:17" s="87" customFormat="1" ht="12.75">
      <c r="A135" s="232" t="s">
        <v>4542</v>
      </c>
      <c r="B135" s="464" t="s">
        <v>6786</v>
      </c>
      <c r="C135" s="451" t="str">
        <f>IF(A135="SERVIÇO",VLOOKUP(B135,SERVIÇOS!$A$6:$D$7645,2,0),IF(A135="INSUMO",VLOOKUP(B135,INSUMOS!$A$6:$D$6961,2,0),IF(A135="COTAÇÃO",VLOOKUP(B135,'036-20-Cotação'!$A$9:$G$529,2,0))))</f>
        <v>ENGENHEIRO AUXILIAR</v>
      </c>
      <c r="D135" s="452" t="str">
        <f>IF(A135="SERVIÇO",VLOOKUP(B135,SERVIÇOS!$A$6:$E$7645,5,0),IF(A135="INSUMO",VLOOKUP(B135,INSUMOS!$A$6:$E$6961,5,0),IF(A135="COTAÇÃO",VLOOKUP(B135,'036-20-Cotação'!$A$9:$H$529,8,0))))</f>
        <v>M.O</v>
      </c>
      <c r="E135" s="452" t="str">
        <f>IF(A135="SERVIÇO",VLOOKUP(B135,SERVIÇOS!$A$6:$D$7645,3,0),IF(A135="INSUMO",VLOOKUP(B135,INSUMOS!$A$6:$D$6961,3,0),IF(A135="COTAÇÃO",VLOOKUP(B135,'036-20-Cotação'!$A$9:$G$529,4,0))))</f>
        <v>MÊS</v>
      </c>
      <c r="F135" s="462">
        <v>0.5</v>
      </c>
      <c r="G135" s="453">
        <f>IF(A135="SERVIÇO",VLOOKUP(B135,SERVIÇOS!$A$6:$D$7645,4,0),IF(A135="INSUMO",VLOOKUP(B135,INSUMOS!$A$6:$D$6961,4,0),IF(A135="COTAÇÃO",VLOOKUP(B135,'036-20-Cotação'!$A$9:$G$529,3,0))))</f>
        <v>17574.942899999998</v>
      </c>
      <c r="H135" s="463">
        <f t="shared" si="22"/>
        <v>8787.4714499999991</v>
      </c>
      <c r="J135" s="201"/>
    </row>
    <row r="136" spans="1:17" s="87" customFormat="1" ht="12.75" customHeight="1">
      <c r="A136" s="232"/>
      <c r="B136" s="199" t="s">
        <v>123</v>
      </c>
      <c r="C136" s="698" t="s">
        <v>13510</v>
      </c>
      <c r="D136" s="699"/>
      <c r="E136" s="699"/>
      <c r="F136" s="699"/>
      <c r="G136" s="699"/>
      <c r="H136" s="700"/>
      <c r="J136" s="201"/>
    </row>
    <row r="137" spans="1:17" s="78" customFormat="1" ht="9.75" customHeight="1">
      <c r="A137" s="188"/>
      <c r="B137" s="411"/>
      <c r="C137" s="409"/>
      <c r="D137" s="409"/>
      <c r="E137" s="409"/>
      <c r="F137" s="409"/>
      <c r="G137" s="409"/>
      <c r="H137" s="410"/>
      <c r="J137" s="303"/>
    </row>
    <row r="138" spans="1:17" s="78" customFormat="1" ht="51">
      <c r="A138" s="188"/>
      <c r="B138" s="80" t="s">
        <v>8482</v>
      </c>
      <c r="C138" s="81" t="s">
        <v>8481</v>
      </c>
      <c r="D138" s="82" t="s">
        <v>84</v>
      </c>
      <c r="E138" s="82" t="s">
        <v>10</v>
      </c>
      <c r="F138" s="83"/>
      <c r="G138" s="84"/>
      <c r="H138" s="85">
        <f>SUM(H139:H140)</f>
        <v>5688.1559699999998</v>
      </c>
      <c r="J138" s="79"/>
      <c r="K138" s="87"/>
      <c r="L138" s="87"/>
      <c r="M138" s="87"/>
      <c r="N138" s="87"/>
      <c r="O138" s="87"/>
      <c r="P138" s="87"/>
      <c r="Q138" s="87"/>
    </row>
    <row r="139" spans="1:17" s="87" customFormat="1" ht="12.75">
      <c r="A139" s="232" t="s">
        <v>4542</v>
      </c>
      <c r="B139" s="531" t="s">
        <v>6784</v>
      </c>
      <c r="C139" s="451" t="str">
        <f>IF(A139="SERVIÇO",VLOOKUP(B139,SERVIÇOS!$A$6:$D$7645,2,0),IF(A139="INSUMO",VLOOKUP(B139,INSUMOS!$A$6:$D$6961,2,0),IF(A139="COTAÇÃO",VLOOKUP(B139,'036-20-Cotação'!$A$9:$G$529,2,0))))</f>
        <v>ENGENHEIRO</v>
      </c>
      <c r="D139" s="452" t="str">
        <f>IF(A139="SERVIÇO",VLOOKUP(B139,SERVIÇOS!$A$6:$E$7645,5,0),IF(A139="INSUMO",VLOOKUP(B139,INSUMOS!$A$6:$E$6961,5,0),IF(A139="COTAÇÃO",VLOOKUP(B139,'036-20-Cotação'!$A$9:$H$529,8,0))))</f>
        <v>M.O</v>
      </c>
      <c r="E139" s="452" t="str">
        <f>IF(A139="SERVIÇO",VLOOKUP(B139,SERVIÇOS!$A$6:$D$7645,3,0),IF(A139="INSUMO",VLOOKUP(B139,INSUMOS!$A$6:$D$6961,3,0),IF(A139="COTAÇÃO",VLOOKUP(B139,'036-20-Cotação'!$A$9:$G$529,4,0))))</f>
        <v>MÊS</v>
      </c>
      <c r="F139" s="462">
        <v>0.1</v>
      </c>
      <c r="G139" s="453">
        <f>IF(A139="SERVIÇO",VLOOKUP(B139,SERVIÇOS!$A$6:$D$7645,4,0),IF(A139="INSUMO",VLOOKUP(B139,INSUMOS!$A$6:$D$6961,4,0),IF(A139="COTAÇÃO",VLOOKUP(B139,'036-20-Cotação'!$A$9:$G$529,3,0))))</f>
        <v>21731.673900000002</v>
      </c>
      <c r="H139" s="463">
        <f t="shared" ref="H139:H140" si="23">G139*F139</f>
        <v>2173.1673900000001</v>
      </c>
      <c r="J139" s="201"/>
    </row>
    <row r="140" spans="1:17" s="87" customFormat="1" ht="12.75">
      <c r="A140" s="232" t="s">
        <v>4542</v>
      </c>
      <c r="B140" s="464" t="s">
        <v>6786</v>
      </c>
      <c r="C140" s="451" t="str">
        <f>IF(A140="SERVIÇO",VLOOKUP(B140,SERVIÇOS!$A$6:$D$7645,2,0),IF(A140="INSUMO",VLOOKUP(B140,INSUMOS!$A$6:$D$6961,2,0),IF(A140="COTAÇÃO",VLOOKUP(B140,'036-20-Cotação'!$A$9:$G$529,2,0))))</f>
        <v>ENGENHEIRO AUXILIAR</v>
      </c>
      <c r="D140" s="452" t="str">
        <f>IF(A140="SERVIÇO",VLOOKUP(B140,SERVIÇOS!$A$6:$E$7645,5,0),IF(A140="INSUMO",VLOOKUP(B140,INSUMOS!$A$6:$E$6961,5,0),IF(A140="COTAÇÃO",VLOOKUP(B140,'036-20-Cotação'!$A$9:$H$529,8,0))))</f>
        <v>M.O</v>
      </c>
      <c r="E140" s="452" t="str">
        <f>IF(A140="SERVIÇO",VLOOKUP(B140,SERVIÇOS!$A$6:$D$7645,3,0),IF(A140="INSUMO",VLOOKUP(B140,INSUMOS!$A$6:$D$6961,3,0),IF(A140="COTAÇÃO",VLOOKUP(B140,'036-20-Cotação'!$A$9:$G$529,4,0))))</f>
        <v>MÊS</v>
      </c>
      <c r="F140" s="462">
        <v>0.2</v>
      </c>
      <c r="G140" s="453">
        <f>IF(A140="SERVIÇO",VLOOKUP(B140,SERVIÇOS!$A$6:$D$7645,4,0),IF(A140="INSUMO",VLOOKUP(B140,INSUMOS!$A$6:$D$6961,4,0),IF(A140="COTAÇÃO",VLOOKUP(B140,'036-20-Cotação'!$A$9:$G$529,3,0))))</f>
        <v>17574.942899999998</v>
      </c>
      <c r="H140" s="463">
        <f t="shared" si="23"/>
        <v>3514.9885799999997</v>
      </c>
      <c r="J140" s="201"/>
    </row>
    <row r="141" spans="1:17" s="87" customFormat="1" ht="12.75" customHeight="1">
      <c r="A141" s="232"/>
      <c r="B141" s="199" t="s">
        <v>123</v>
      </c>
      <c r="C141" s="698" t="s">
        <v>13510</v>
      </c>
      <c r="D141" s="699"/>
      <c r="E141" s="699"/>
      <c r="F141" s="699"/>
      <c r="G141" s="699"/>
      <c r="H141" s="700"/>
      <c r="J141" s="201"/>
    </row>
    <row r="142" spans="1:17" s="78" customFormat="1" ht="9.75" customHeight="1">
      <c r="A142" s="188"/>
      <c r="B142" s="469"/>
      <c r="C142" s="467"/>
      <c r="D142" s="467"/>
      <c r="E142" s="467"/>
      <c r="F142" s="467"/>
      <c r="G142" s="467"/>
      <c r="H142" s="468"/>
      <c r="J142" s="303"/>
    </row>
    <row r="143" spans="1:17" s="78" customFormat="1" ht="51">
      <c r="A143" s="188"/>
      <c r="B143" s="80" t="s">
        <v>8559</v>
      </c>
      <c r="C143" s="81" t="s">
        <v>8560</v>
      </c>
      <c r="D143" s="82" t="s">
        <v>84</v>
      </c>
      <c r="E143" s="82" t="s">
        <v>10</v>
      </c>
      <c r="F143" s="83"/>
      <c r="G143" s="84"/>
      <c r="H143" s="85">
        <f>SUM(H144:H144)</f>
        <v>50220</v>
      </c>
      <c r="J143" s="79"/>
      <c r="K143" s="87"/>
      <c r="L143" s="87"/>
      <c r="M143" s="87"/>
      <c r="N143" s="87"/>
      <c r="O143" s="87"/>
      <c r="P143" s="87"/>
      <c r="Q143" s="87"/>
    </row>
    <row r="144" spans="1:17" s="87" customFormat="1" ht="51">
      <c r="A144" s="232" t="s">
        <v>4542</v>
      </c>
      <c r="B144" s="531">
        <v>5003</v>
      </c>
      <c r="C144" s="451" t="str">
        <f>IF(A144="SERVIÇO",VLOOKUP(B144,SERVIÇOS!$A$6:$D$7645,2,0),IF(A144="INSUMO",VLOOKUP(B144,INSUMOS!$A$6:$D$6961,2,0),IF(A144="COTAÇÃO",VLOOKUP(B144,'036-20-Cotação'!$A$9:$G$529,2,0))))</f>
        <v>PARECER PARA INTERDIÇÃO DE VIA PÚBLICA (CALÇADA, ESTACIONAMENTO PÚBLICOS ABERTO, FECHADO OU AO AR LIVRE) - PARA OBRA (VALOR/DIA)</v>
      </c>
      <c r="D144" s="452" t="str">
        <f>IF(A144="SERVIÇO",VLOOKUP(B144,SERVIÇOS!$A$6:$E$7645,5,0),IF(A144="INSUMO",VLOOKUP(B144,INSUMOS!$A$6:$E$6961,5,0),IF(A144="COTAÇÃO",VLOOKUP(B144,'036-20-Cotação'!$A$9:$H$529,8,0))))</f>
        <v>SER.CG</v>
      </c>
      <c r="E144" s="452" t="str">
        <f>IF(A144="SERVIÇO",VLOOKUP(B144,SERVIÇOS!$A$6:$D$7645,3,0),IF(A144="INSUMO",VLOOKUP(B144,INSUMOS!$A$6:$D$6961,3,0),IF(A144="COTAÇÃO",VLOOKUP(B144,'036-20-Cotação'!$A$9:$G$529,4,0))))</f>
        <v>DIA</v>
      </c>
      <c r="F144" s="462">
        <f>18*30</f>
        <v>540</v>
      </c>
      <c r="G144" s="453">
        <f>IF(A144="SERVIÇO",VLOOKUP(B144,SERVIÇOS!$A$6:$D$7645,4,0),IF(A144="INSUMO",VLOOKUP(B144,INSUMOS!$A$6:$D$6961,4,0),IF(A144="COTAÇÃO",VLOOKUP(B144,'036-20-Cotação'!$A$9:$G$529,3,0))))</f>
        <v>93</v>
      </c>
      <c r="H144" s="463">
        <f t="shared" ref="H144" si="24">G144*F144</f>
        <v>50220</v>
      </c>
      <c r="J144" s="201" t="s">
        <v>26846</v>
      </c>
    </row>
    <row r="145" spans="1:17" s="87" customFormat="1" ht="13.15" customHeight="1">
      <c r="A145" s="188"/>
      <c r="B145" s="348" t="s">
        <v>123</v>
      </c>
      <c r="C145" s="695" t="s">
        <v>8562</v>
      </c>
      <c r="D145" s="696"/>
      <c r="E145" s="696"/>
      <c r="F145" s="696"/>
      <c r="G145" s="696"/>
      <c r="H145" s="697"/>
      <c r="J145" s="201"/>
    </row>
    <row r="146" spans="1:17" s="78" customFormat="1" ht="9.75" customHeight="1">
      <c r="A146" s="188"/>
      <c r="B146" s="491"/>
      <c r="C146" s="489"/>
      <c r="D146" s="489"/>
      <c r="E146" s="489"/>
      <c r="F146" s="489"/>
      <c r="G146" s="489"/>
      <c r="H146" s="490"/>
      <c r="J146" s="303"/>
    </row>
    <row r="147" spans="1:17" s="78" customFormat="1" ht="114.75">
      <c r="A147" s="188"/>
      <c r="B147" s="80" t="s">
        <v>13446</v>
      </c>
      <c r="C147" s="81" t="s">
        <v>13447</v>
      </c>
      <c r="D147" s="82" t="s">
        <v>84</v>
      </c>
      <c r="E147" s="82" t="s">
        <v>10</v>
      </c>
      <c r="F147" s="83"/>
      <c r="G147" s="84"/>
      <c r="H147" s="85">
        <f>SUM(H148:H151)</f>
        <v>215708.4276</v>
      </c>
      <c r="J147" s="79"/>
      <c r="K147" s="87"/>
      <c r="L147" s="87"/>
      <c r="M147" s="87"/>
      <c r="N147" s="87"/>
      <c r="O147" s="87"/>
      <c r="P147" s="87"/>
      <c r="Q147" s="87"/>
    </row>
    <row r="148" spans="1:17" s="87" customFormat="1" ht="25.5">
      <c r="A148" s="232" t="s">
        <v>4542</v>
      </c>
      <c r="B148" s="464" t="s">
        <v>6819</v>
      </c>
      <c r="C148" s="451" t="str">
        <f>IF(A148="SERVIÇO",VLOOKUP(B148,SERVIÇOS!$A$6:$D$7645,2,0),IF(A148="INSUMO",VLOOKUP(B148,INSUMOS!$A$6:$D$6961,2,0),IF(A148="COTAÇÃO",VLOOKUP(B148,'036-20-Cotação'!$A$9:$G$529,2,0))))</f>
        <v xml:space="preserve">CONSULTOR ESPECIAL     </v>
      </c>
      <c r="D148" s="452" t="str">
        <f>IF(A148="SERVIÇO",VLOOKUP(B148,SERVIÇOS!$A$6:$E$7645,5,0),IF(A148="INSUMO",VLOOKUP(B148,INSUMOS!$A$6:$E$6961,5,0),IF(A148="COTAÇÃO",VLOOKUP(B148,'036-20-Cotação'!$A$9:$H$529,8,0))))</f>
        <v>M.O.</v>
      </c>
      <c r="E148" s="452" t="str">
        <f>IF(A148="SERVIÇO",VLOOKUP(B148,SERVIÇOS!$A$6:$D$7645,3,0),IF(A148="INSUMO",VLOOKUP(B148,INSUMOS!$A$6:$D$6961,3,0),IF(A148="COTAÇÃO",VLOOKUP(B148,'036-20-Cotação'!$A$9:$G$529,4,0))))</f>
        <v>MÊS</v>
      </c>
      <c r="F148" s="462">
        <v>0.6</v>
      </c>
      <c r="G148" s="453">
        <f>IF(A148="SERVIÇO",VLOOKUP(B148,SERVIÇOS!$A$6:$D$7645,4,0),IF(A148="INSUMO",VLOOKUP(B148,INSUMOS!$A$6:$D$6961,4,0),IF(A148="COTAÇÃO",VLOOKUP(B148,'036-20-Cotação'!$A$9:$G$529,3,0))))</f>
        <v>21020.83</v>
      </c>
      <c r="H148" s="463">
        <f t="shared" ref="H148:H151" si="25">G148*F148</f>
        <v>12612.498000000001</v>
      </c>
      <c r="J148" s="201"/>
    </row>
    <row r="149" spans="1:17" s="87" customFormat="1" ht="12.75">
      <c r="A149" s="232" t="s">
        <v>4542</v>
      </c>
      <c r="B149" s="531" t="s">
        <v>6782</v>
      </c>
      <c r="C149" s="451" t="str">
        <f>IF(A149="SERVIÇO",VLOOKUP(B149,SERVIÇOS!$A$6:$D$7645,2,0),IF(A149="INSUMO",VLOOKUP(B149,INSUMOS!$A$6:$D$6961,2,0),IF(A149="COTAÇÃO",VLOOKUP(B149,'036-20-Cotação'!$A$9:$G$529,2,0))))</f>
        <v>DESENHISTA</v>
      </c>
      <c r="D149" s="452" t="str">
        <f>IF(A149="SERVIÇO",VLOOKUP(B149,SERVIÇOS!$A$6:$E$7645,5,0),IF(A149="INSUMO",VLOOKUP(B149,INSUMOS!$A$6:$E$6961,5,0),IF(A149="COTAÇÃO",VLOOKUP(B149,'036-20-Cotação'!$A$9:$H$529,8,0))))</f>
        <v>M.O</v>
      </c>
      <c r="E149" s="452" t="str">
        <f>IF(A149="SERVIÇO",VLOOKUP(B149,SERVIÇOS!$A$6:$D$7645,3,0),IF(A149="INSUMO",VLOOKUP(B149,INSUMOS!$A$6:$D$6961,3,0),IF(A149="COTAÇÃO",VLOOKUP(B149,'036-20-Cotação'!$A$9:$G$529,4,0))))</f>
        <v>MÊS</v>
      </c>
      <c r="F149" s="462">
        <v>2</v>
      </c>
      <c r="G149" s="453">
        <f>IF(A149="SERVIÇO",VLOOKUP(B149,SERVIÇOS!$A$6:$D$7645,4,0),IF(A149="INSUMO",VLOOKUP(B149,INSUMOS!$A$6:$D$6961,4,0),IF(A149="COTAÇÃO",VLOOKUP(B149,'036-20-Cotação'!$A$9:$G$529,3,0))))</f>
        <v>5359.7883000000002</v>
      </c>
      <c r="H149" s="463">
        <f t="shared" si="25"/>
        <v>10719.5766</v>
      </c>
      <c r="J149" s="201"/>
    </row>
    <row r="150" spans="1:17" s="87" customFormat="1" ht="12.75">
      <c r="A150" s="232" t="s">
        <v>4542</v>
      </c>
      <c r="B150" s="464" t="s">
        <v>6784</v>
      </c>
      <c r="C150" s="451" t="str">
        <f>IF(A150="SERVIÇO",VLOOKUP(B150,SERVIÇOS!$A$6:$D$7645,2,0),IF(A150="INSUMO",VLOOKUP(B150,INSUMOS!$A$6:$D$6961,2,0),IF(A150="COTAÇÃO",VLOOKUP(B150,'036-20-Cotação'!$A$9:$G$529,2,0))))</f>
        <v>ENGENHEIRO</v>
      </c>
      <c r="D150" s="452" t="str">
        <f>IF(A150="SERVIÇO",VLOOKUP(B150,SERVIÇOS!$A$6:$E$7645,5,0),IF(A150="INSUMO",VLOOKUP(B150,INSUMOS!$A$6:$E$6961,5,0),IF(A150="COTAÇÃO",VLOOKUP(B150,'036-20-Cotação'!$A$9:$H$529,8,0))))</f>
        <v>M.O</v>
      </c>
      <c r="E150" s="452" t="str">
        <f>IF(A150="SERVIÇO",VLOOKUP(B150,SERVIÇOS!$A$6:$D$7645,3,0),IF(A150="INSUMO",VLOOKUP(B150,INSUMOS!$A$6:$D$6961,3,0),IF(A150="COTAÇÃO",VLOOKUP(B150,'036-20-Cotação'!$A$9:$G$529,4,0))))</f>
        <v>MÊS</v>
      </c>
      <c r="F150" s="462">
        <v>4</v>
      </c>
      <c r="G150" s="453">
        <f>IF(A150="SERVIÇO",VLOOKUP(B150,SERVIÇOS!$A$6:$D$7645,4,0),IF(A150="INSUMO",VLOOKUP(B150,INSUMOS!$A$6:$D$6961,4,0),IF(A150="COTAÇÃO",VLOOKUP(B150,'036-20-Cotação'!$A$9:$G$529,3,0))))</f>
        <v>21731.673900000002</v>
      </c>
      <c r="H150" s="463">
        <f t="shared" si="25"/>
        <v>86926.695600000006</v>
      </c>
      <c r="J150" s="201"/>
    </row>
    <row r="151" spans="1:17" s="87" customFormat="1" ht="12.75">
      <c r="A151" s="232" t="s">
        <v>4542</v>
      </c>
      <c r="B151" s="464" t="s">
        <v>6786</v>
      </c>
      <c r="C151" s="451" t="str">
        <f>IF(A151="SERVIÇO",VLOOKUP(B151,SERVIÇOS!$A$6:$D$7645,2,0),IF(A151="INSUMO",VLOOKUP(B151,INSUMOS!$A$6:$D$6961,2,0),IF(A151="COTAÇÃO",VLOOKUP(B151,'036-20-Cotação'!$A$9:$G$529,2,0))))</f>
        <v>ENGENHEIRO AUXILIAR</v>
      </c>
      <c r="D151" s="452" t="str">
        <f>IF(A151="SERVIÇO",VLOOKUP(B151,SERVIÇOS!$A$6:$E$7645,5,0),IF(A151="INSUMO",VLOOKUP(B151,INSUMOS!$A$6:$E$6961,5,0),IF(A151="COTAÇÃO",VLOOKUP(B151,'036-20-Cotação'!$A$9:$H$529,8,0))))</f>
        <v>M.O</v>
      </c>
      <c r="E151" s="452" t="str">
        <f>IF(A151="SERVIÇO",VLOOKUP(B151,SERVIÇOS!$A$6:$D$7645,3,0),IF(A151="INSUMO",VLOOKUP(B151,INSUMOS!$A$6:$D$6961,3,0),IF(A151="COTAÇÃO",VLOOKUP(B151,'036-20-Cotação'!$A$9:$G$529,4,0))))</f>
        <v>MÊS</v>
      </c>
      <c r="F151" s="462">
        <v>6</v>
      </c>
      <c r="G151" s="453">
        <f>IF(A151="SERVIÇO",VLOOKUP(B151,SERVIÇOS!$A$6:$D$7645,4,0),IF(A151="INSUMO",VLOOKUP(B151,INSUMOS!$A$6:$D$6961,4,0),IF(A151="COTAÇÃO",VLOOKUP(B151,'036-20-Cotação'!$A$9:$G$529,3,0))))</f>
        <v>17574.942899999998</v>
      </c>
      <c r="H151" s="463">
        <f t="shared" si="25"/>
        <v>105449.6574</v>
      </c>
      <c r="J151" s="201"/>
    </row>
    <row r="152" spans="1:17" s="87" customFormat="1" ht="12.75" customHeight="1">
      <c r="A152" s="232"/>
      <c r="B152" s="199" t="s">
        <v>123</v>
      </c>
      <c r="C152" s="698" t="s">
        <v>13510</v>
      </c>
      <c r="D152" s="699"/>
      <c r="E152" s="699"/>
      <c r="F152" s="699"/>
      <c r="G152" s="699"/>
      <c r="H152" s="700"/>
      <c r="J152" s="201"/>
    </row>
    <row r="153" spans="1:17" s="78" customFormat="1" ht="12.75">
      <c r="A153" s="188"/>
      <c r="B153" s="346"/>
      <c r="C153" s="347"/>
      <c r="D153" s="347"/>
      <c r="E153" s="347"/>
      <c r="F153" s="347"/>
      <c r="G153" s="347"/>
      <c r="H153" s="347"/>
      <c r="J153" s="79"/>
      <c r="K153" s="87"/>
      <c r="L153" s="87"/>
      <c r="M153" s="87"/>
      <c r="N153" s="87"/>
      <c r="O153" s="87"/>
      <c r="P153" s="87"/>
      <c r="Q153" s="87"/>
    </row>
    <row r="154" spans="1:17" s="78" customFormat="1" ht="25.5">
      <c r="A154" s="188"/>
      <c r="B154" s="80" t="s">
        <v>6262</v>
      </c>
      <c r="C154" s="81" t="s">
        <v>6357</v>
      </c>
      <c r="D154" s="82" t="s">
        <v>84</v>
      </c>
      <c r="E154" s="82" t="s">
        <v>150</v>
      </c>
      <c r="F154" s="83"/>
      <c r="G154" s="84"/>
      <c r="H154" s="85">
        <f>ROUND(SUM(H155:H180),2)</f>
        <v>192.81</v>
      </c>
      <c r="J154" s="304"/>
    </row>
    <row r="155" spans="1:17" s="87" customFormat="1" ht="25.5">
      <c r="A155" s="232" t="s">
        <v>4544</v>
      </c>
      <c r="B155" s="464">
        <v>10886</v>
      </c>
      <c r="C155" s="451" t="str">
        <f>IF(A155="SERVIÇO",VLOOKUP(B155,SERVIÇOS!$A$6:$D$7645,2,0),IF(A155="INSUMO",VLOOKUP(B155,INSUMOS!$A$6:$D$6961,2,0),IF(A155="COTAÇÃO",VLOOKUP(B155,'036-20-Cotação'!$A$9:$G$529,2,0))))</f>
        <v xml:space="preserve">EXTINTOR DE INCENDIO PORTATIL COM CARGA DE AGUA PRESSURIZADA DE 10 L, CLASSE A                                                                                                                                                                                                                                                                                                                                                                                                                            </v>
      </c>
      <c r="D155" s="452" t="str">
        <f>IF(A155="SERVIÇO",VLOOKUP(B155,SERVIÇOS!$A$6:$E$7645,5,0),IF(A155="INSUMO",VLOOKUP(B155,INSUMOS!$A$6:$E$6961,5,0),IF(A155="COTAÇÃO",VLOOKUP(B155,'036-20-Cotação'!$A$9:$H$529,8,0))))</f>
        <v>MAT.</v>
      </c>
      <c r="E155" s="452" t="str">
        <f>IF(A155="SERVIÇO",VLOOKUP(B155,SERVIÇOS!$A$6:$D$7645,3,0),IF(A155="INSUMO",VLOOKUP(B155,INSUMOS!$A$6:$D$6961,3,0),IF(A155="COTAÇÃO",VLOOKUP(B155,'036-20-Cotação'!$A$9:$G$529,4,0))))</f>
        <v xml:space="preserve">UN    </v>
      </c>
      <c r="F155" s="542" t="s">
        <v>6358</v>
      </c>
      <c r="G155" s="453" t="str">
        <f>IF(A155="SERVIÇO",VLOOKUP(B155,SERVIÇOS!$A$6:$D$7645,4,0),IF(A155="INSUMO",VLOOKUP(B155,INSUMOS!$A$6:$D$6961,4,0),IF(A155="COTAÇÃO",VLOOKUP(B155,'036-20-Cotação'!$A$9:$G$529,3,0))))</f>
        <v>150,93</v>
      </c>
      <c r="H155" s="463">
        <f t="shared" ref="H155:H180" si="26">G155*F155</f>
        <v>2.5054380000000003</v>
      </c>
      <c r="J155" s="305"/>
    </row>
    <row r="156" spans="1:17" s="87" customFormat="1" ht="38.25">
      <c r="A156" s="232" t="s">
        <v>4544</v>
      </c>
      <c r="B156" s="464">
        <v>10891</v>
      </c>
      <c r="C156" s="451" t="str">
        <f>IF(A156="SERVIÇO",VLOOKUP(B156,SERVIÇOS!$A$6:$D$7645,2,0),IF(A156="INSUMO",VLOOKUP(B156,INSUMOS!$A$6:$D$6961,2,0),IF(A156="COTAÇÃO",VLOOKUP(B156,'036-20-Cotação'!$A$9:$G$529,2,0))))</f>
        <v xml:space="preserve">EXTINTOR DE INCENDIO PORTATIL COM CARGA DE PO QUIMICO SECO (PQS) DE 4 KG, CLASSE BC                                                                                                                                                                                                                                                                                                                                                                                                                       </v>
      </c>
      <c r="D156" s="452" t="str">
        <f>IF(A156="SERVIÇO",VLOOKUP(B156,SERVIÇOS!$A$6:$E$7645,5,0),IF(A156="INSUMO",VLOOKUP(B156,INSUMOS!$A$6:$E$6961,5,0),IF(A156="COTAÇÃO",VLOOKUP(B156,'036-20-Cotação'!$A$9:$H$529,8,0))))</f>
        <v>MAT.</v>
      </c>
      <c r="E156" s="452" t="str">
        <f>IF(A156="SERVIÇO",VLOOKUP(B156,SERVIÇOS!$A$6:$D$7645,3,0),IF(A156="INSUMO",VLOOKUP(B156,INSUMOS!$A$6:$D$6961,3,0),IF(A156="COTAÇÃO",VLOOKUP(B156,'036-20-Cotação'!$A$9:$G$529,4,0))))</f>
        <v xml:space="preserve">UN    </v>
      </c>
      <c r="F156" s="542" t="s">
        <v>6358</v>
      </c>
      <c r="G156" s="453" t="str">
        <f>IF(A156="SERVIÇO",VLOOKUP(B156,SERVIÇOS!$A$6:$D$7645,4,0),IF(A156="INSUMO",VLOOKUP(B156,INSUMOS!$A$6:$D$6961,4,0),IF(A156="COTAÇÃO",VLOOKUP(B156,'036-20-Cotação'!$A$9:$G$529,3,0))))</f>
        <v>145,96</v>
      </c>
      <c r="H156" s="463">
        <f t="shared" si="26"/>
        <v>2.422936</v>
      </c>
      <c r="J156" s="305"/>
    </row>
    <row r="157" spans="1:17" s="87" customFormat="1" ht="38.25">
      <c r="A157" s="232" t="s">
        <v>4542</v>
      </c>
      <c r="B157" s="464" t="s">
        <v>2170</v>
      </c>
      <c r="C157" s="451" t="str">
        <f>IF(A157="SERVIÇO",VLOOKUP(B157,SERVIÇOS!$A$6:$D$7645,2,0),IF(A157="INSUMO",VLOOKUP(B157,INSUMOS!$A$6:$D$6961,2,0),IF(A157="COTAÇÃO",VLOOKUP(B157,'036-20-Cotação'!$A$9:$G$529,2,0))))</f>
        <v>DISJUNTOR TERMOMAGNETICO MONOPOLAR PADRAO NEMA (AMERICANO) 10 A 30A 240V, FORNECIMENTO E INSTALACAO</v>
      </c>
      <c r="D157" s="452" t="str">
        <f>IF(A157="SERVIÇO",VLOOKUP(B157,SERVIÇOS!$A$6:$E$7645,5,0),IF(A157="INSUMO",VLOOKUP(B157,INSUMOS!$A$6:$E$6961,5,0),IF(A157="COTAÇÃO",VLOOKUP(B157,'036-20-Cotação'!$A$9:$H$529,8,0))))</f>
        <v>SER.CG</v>
      </c>
      <c r="E157" s="452" t="str">
        <f>IF(A157="SERVIÇO",VLOOKUP(B157,SERVIÇOS!$A$6:$D$7645,3,0),IF(A157="INSUMO",VLOOKUP(B157,INSUMOS!$A$6:$D$6961,3,0),IF(A157="COTAÇÃO",VLOOKUP(B157,'036-20-Cotação'!$A$9:$G$529,4,0))))</f>
        <v>UN</v>
      </c>
      <c r="F157" s="542" t="s">
        <v>6359</v>
      </c>
      <c r="G157" s="453" t="str">
        <f>IF(A157="SERVIÇO",VLOOKUP(B157,SERVIÇOS!$A$6:$D$7645,4,0),IF(A157="INSUMO",VLOOKUP(B157,INSUMOS!$A$6:$D$6961,4,0),IF(A157="COTAÇÃO",VLOOKUP(B157,'036-20-Cotação'!$A$9:$G$529,3,0))))</f>
        <v>13,54</v>
      </c>
      <c r="H157" s="463">
        <f t="shared" si="26"/>
        <v>1.1211119999999999</v>
      </c>
      <c r="J157" s="305"/>
    </row>
    <row r="158" spans="1:17" s="87" customFormat="1" ht="63.75">
      <c r="A158" s="232" t="s">
        <v>4542</v>
      </c>
      <c r="B158" s="464">
        <v>84402</v>
      </c>
      <c r="C158" s="451" t="str">
        <f>IF(A158="SERVIÇO",VLOOKUP(B158,SERVIÇOS!$A$6:$D$7645,2,0),IF(A158="INSUMO",VLOOKUP(B158,INSUMOS!$A$6:$D$6961,2,0),IF(A158="COTAÇÃO",VLOOKUP(B158,'036-20-Cotação'!$A$9:$G$529,2,0))))</f>
        <v>QUADRO DE DISTRIBUICAO DE ENERGIA P/ 6 DISJUNTORES TERMOMAGNETICOS MONOPOLARES SEM BARRAMENTO, DE EMBUTIR, EM CHAPA METALICA - FORNECIMENTO E INSTALACAO</v>
      </c>
      <c r="D158" s="452" t="str">
        <f>IF(A158="SERVIÇO",VLOOKUP(B158,SERVIÇOS!$A$6:$E$7645,5,0),IF(A158="INSUMO",VLOOKUP(B158,INSUMOS!$A$6:$E$6961,5,0),IF(A158="COTAÇÃO",VLOOKUP(B158,'036-20-Cotação'!$A$9:$H$529,8,0))))</f>
        <v>SER.CG</v>
      </c>
      <c r="E158" s="452" t="str">
        <f>IF(A158="SERVIÇO",VLOOKUP(B158,SERVIÇOS!$A$6:$D$7645,3,0),IF(A158="INSUMO",VLOOKUP(B158,INSUMOS!$A$6:$D$6961,3,0),IF(A158="COTAÇÃO",VLOOKUP(B158,'036-20-Cotação'!$A$9:$G$529,4,0))))</f>
        <v>UN</v>
      </c>
      <c r="F158" s="542" t="s">
        <v>6358</v>
      </c>
      <c r="G158" s="453" t="str">
        <f>IF(A158="SERVIÇO",VLOOKUP(B158,SERVIÇOS!$A$6:$D$7645,4,0),IF(A158="INSUMO",VLOOKUP(B158,INSUMOS!$A$6:$D$6961,4,0),IF(A158="COTAÇÃO",VLOOKUP(B158,'036-20-Cotação'!$A$9:$G$529,3,0))))</f>
        <v>88,43</v>
      </c>
      <c r="H158" s="463">
        <f t="shared" si="26"/>
        <v>1.4679380000000002</v>
      </c>
      <c r="J158" s="305"/>
    </row>
    <row r="159" spans="1:17" s="87" customFormat="1" ht="38.25">
      <c r="A159" s="232" t="s">
        <v>4542</v>
      </c>
      <c r="B159" s="464">
        <v>88487</v>
      </c>
      <c r="C159" s="451" t="str">
        <f>IF(A159="SERVIÇO",VLOOKUP(B159,SERVIÇOS!$A$6:$D$7645,2,0),IF(A159="INSUMO",VLOOKUP(B159,INSUMOS!$A$6:$D$6961,2,0),IF(A159="COTAÇÃO",VLOOKUP(B159,'036-20-Cotação'!$A$9:$G$529,2,0))))</f>
        <v>APLICAÇÃO MANUAL DE PINTURA COM TINTA LÁTEX PVA EM PAREDES, DUAS DEMÃOS. AF_06/2014</v>
      </c>
      <c r="D159" s="452" t="str">
        <f>IF(A159="SERVIÇO",VLOOKUP(B159,SERVIÇOS!$A$6:$E$7645,5,0),IF(A159="INSUMO",VLOOKUP(B159,INSUMOS!$A$6:$E$6961,5,0),IF(A159="COTAÇÃO",VLOOKUP(B159,'036-20-Cotação'!$A$9:$H$529,8,0))))</f>
        <v>SER.CG</v>
      </c>
      <c r="E159" s="452" t="str">
        <f>IF(A159="SERVIÇO",VLOOKUP(B159,SERVIÇOS!$A$6:$D$7645,3,0),IF(A159="INSUMO",VLOOKUP(B159,INSUMOS!$A$6:$D$6961,3,0),IF(A159="COTAÇÃO",VLOOKUP(B159,'036-20-Cotação'!$A$9:$G$529,4,0))))</f>
        <v>M2</v>
      </c>
      <c r="F159" s="542" t="s">
        <v>6360</v>
      </c>
      <c r="G159" s="453" t="str">
        <f>IF(A159="SERVIÇO",VLOOKUP(B159,SERVIÇOS!$A$6:$D$7645,4,0),IF(A159="INSUMO",VLOOKUP(B159,INSUMOS!$A$6:$D$6961,4,0),IF(A159="COTAÇÃO",VLOOKUP(B159,'036-20-Cotação'!$A$9:$G$529,3,0))))</f>
        <v>9,62</v>
      </c>
      <c r="H159" s="463">
        <f t="shared" si="26"/>
        <v>4.6531940000000001</v>
      </c>
      <c r="J159" s="305"/>
    </row>
    <row r="160" spans="1:17" s="87" customFormat="1" ht="76.5">
      <c r="A160" s="232" t="s">
        <v>4542</v>
      </c>
      <c r="B160" s="464">
        <v>91170</v>
      </c>
      <c r="C160" s="451" t="str">
        <f>IF(A160="SERVIÇO",VLOOKUP(B160,SERVIÇOS!$A$6:$D$7645,2,0),IF(A160="INSUMO",VLOOKUP(B160,INSUMOS!$A$6:$D$6961,2,0),IF(A160="COTAÇÃO",VLOOKUP(B160,'036-20-Cotação'!$A$9:$G$529,2,0))))</f>
        <v>FIXAÇÃO DE TUBOS HORIZONTAIS DE PVC, CPVC OU COBRE DIÂMETROS MENORES OU IGUAIS A 40 MM OU ELETROCALHAS ATÉ 150MM DE LARGURA, COM ABRAÇADEIRA METÁLICA RÍGIDA TIPO D 1/2, FIXADA EM PERFILADO EM LAJE. AF_05/2015</v>
      </c>
      <c r="D160" s="452" t="str">
        <f>IF(A160="SERVIÇO",VLOOKUP(B160,SERVIÇOS!$A$6:$E$7645,5,0),IF(A160="INSUMO",VLOOKUP(B160,INSUMOS!$A$6:$E$6961,5,0),IF(A160="COTAÇÃO",VLOOKUP(B160,'036-20-Cotação'!$A$9:$H$529,8,0))))</f>
        <v>SER.CG</v>
      </c>
      <c r="E160" s="452" t="str">
        <f>IF(A160="SERVIÇO",VLOOKUP(B160,SERVIÇOS!$A$6:$D$7645,3,0),IF(A160="INSUMO",VLOOKUP(B160,INSUMOS!$A$6:$D$6961,3,0),IF(A160="COTAÇÃO",VLOOKUP(B160,'036-20-Cotação'!$A$9:$G$529,4,0))))</f>
        <v>M</v>
      </c>
      <c r="F160" s="542" t="s">
        <v>6361</v>
      </c>
      <c r="G160" s="453" t="str">
        <f>IF(A160="SERVIÇO",VLOOKUP(B160,SERVIÇOS!$A$6:$D$7645,4,0),IF(A160="INSUMO",VLOOKUP(B160,INSUMOS!$A$6:$D$6961,4,0),IF(A160="COTAÇÃO",VLOOKUP(B160,'036-20-Cotação'!$A$9:$G$529,3,0))))</f>
        <v>2,39</v>
      </c>
      <c r="H160" s="463">
        <f t="shared" si="26"/>
        <v>0.53034099999999995</v>
      </c>
      <c r="J160" s="305"/>
    </row>
    <row r="161" spans="1:10" s="87" customFormat="1" ht="51">
      <c r="A161" s="232" t="s">
        <v>4542</v>
      </c>
      <c r="B161" s="464">
        <v>91862</v>
      </c>
      <c r="C161" s="451" t="str">
        <f>IF(A161="SERVIÇO",VLOOKUP(B161,SERVIÇOS!$A$6:$D$7645,2,0),IF(A161="INSUMO",VLOOKUP(B161,INSUMOS!$A$6:$D$6961,2,0),IF(A161="COTAÇÃO",VLOOKUP(B161,'036-20-Cotação'!$A$9:$G$529,2,0))))</f>
        <v>ELETRODUTO RÍGIDO ROSCÁVEL, PVC, DN 20 MM (1/2"), PARA CIRCUITOS TERMINAIS, INSTALADO EM FORRO - FORNECIMENTO E INSTALAÇÃO. AF_12/2015</v>
      </c>
      <c r="D161" s="452" t="str">
        <f>IF(A161="SERVIÇO",VLOOKUP(B161,SERVIÇOS!$A$6:$E$7645,5,0),IF(A161="INSUMO",VLOOKUP(B161,INSUMOS!$A$6:$E$6961,5,0),IF(A161="COTAÇÃO",VLOOKUP(B161,'036-20-Cotação'!$A$9:$H$529,8,0))))</f>
        <v>SER.CG</v>
      </c>
      <c r="E161" s="452" t="str">
        <f>IF(A161="SERVIÇO",VLOOKUP(B161,SERVIÇOS!$A$6:$D$7645,3,0),IF(A161="INSUMO",VLOOKUP(B161,INSUMOS!$A$6:$D$6961,3,0),IF(A161="COTAÇÃO",VLOOKUP(B161,'036-20-Cotação'!$A$9:$G$529,4,0))))</f>
        <v>M</v>
      </c>
      <c r="F161" s="542" t="s">
        <v>6362</v>
      </c>
      <c r="G161" s="453" t="str">
        <f>IF(A161="SERVIÇO",VLOOKUP(B161,SERVIÇOS!$A$6:$D$7645,4,0),IF(A161="INSUMO",VLOOKUP(B161,INSUMOS!$A$6:$D$6961,4,0),IF(A161="COTAÇÃO",VLOOKUP(B161,'036-20-Cotação'!$A$9:$G$529,3,0))))</f>
        <v>7,35</v>
      </c>
      <c r="H161" s="463">
        <f t="shared" si="26"/>
        <v>2.4967950000000001</v>
      </c>
      <c r="J161" s="305"/>
    </row>
    <row r="162" spans="1:10" s="87" customFormat="1" ht="51">
      <c r="A162" s="232" t="s">
        <v>4542</v>
      </c>
      <c r="B162" s="464">
        <v>91870</v>
      </c>
      <c r="C162" s="451" t="str">
        <f>IF(A162="SERVIÇO",VLOOKUP(B162,SERVIÇOS!$A$6:$D$7645,2,0),IF(A162="INSUMO",VLOOKUP(B162,INSUMOS!$A$6:$D$6961,2,0),IF(A162="COTAÇÃO",VLOOKUP(B162,'036-20-Cotação'!$A$9:$G$529,2,0))))</f>
        <v>ELETRODUTO RÍGIDO ROSCÁVEL, PVC, DN 20 MM (1/2"), PARA CIRCUITOS TERMINAIS, INSTALADO EM PAREDE - FORNECIMENTO E INSTALAÇÃO. AF_12/2015</v>
      </c>
      <c r="D162" s="452" t="str">
        <f>IF(A162="SERVIÇO",VLOOKUP(B162,SERVIÇOS!$A$6:$E$7645,5,0),IF(A162="INSUMO",VLOOKUP(B162,INSUMOS!$A$6:$E$6961,5,0),IF(A162="COTAÇÃO",VLOOKUP(B162,'036-20-Cotação'!$A$9:$H$529,8,0))))</f>
        <v>SER.CG</v>
      </c>
      <c r="E162" s="452" t="str">
        <f>IF(A162="SERVIÇO",VLOOKUP(B162,SERVIÇOS!$A$6:$D$7645,3,0),IF(A162="INSUMO",VLOOKUP(B162,INSUMOS!$A$6:$D$6961,3,0),IF(A162="COTAÇÃO",VLOOKUP(B162,'036-20-Cotação'!$A$9:$G$529,4,0))))</f>
        <v>M</v>
      </c>
      <c r="F162" s="542" t="s">
        <v>6361</v>
      </c>
      <c r="G162" s="453" t="str">
        <f>IF(A162="SERVIÇO",VLOOKUP(B162,SERVIÇOS!$A$6:$D$7645,4,0),IF(A162="INSUMO",VLOOKUP(B162,INSUMOS!$A$6:$D$6961,4,0),IF(A162="COTAÇÃO",VLOOKUP(B162,'036-20-Cotação'!$A$9:$G$529,3,0))))</f>
        <v>8,47</v>
      </c>
      <c r="H162" s="463">
        <f t="shared" si="26"/>
        <v>1.8794930000000001</v>
      </c>
      <c r="J162" s="305"/>
    </row>
    <row r="163" spans="1:10" s="87" customFormat="1" ht="51">
      <c r="A163" s="232" t="s">
        <v>4542</v>
      </c>
      <c r="B163" s="464">
        <v>91924</v>
      </c>
      <c r="C163" s="451" t="str">
        <f>IF(A163="SERVIÇO",VLOOKUP(B163,SERVIÇOS!$A$6:$D$7645,2,0),IF(A163="INSUMO",VLOOKUP(B163,INSUMOS!$A$6:$D$6961,2,0),IF(A163="COTAÇÃO",VLOOKUP(B163,'036-20-Cotação'!$A$9:$G$529,2,0))))</f>
        <v>CABO DE COBRE FLEXÍVEL ISOLADO, 1,5 MM², ANTI-CHAMA 450/750 V, PARA CIRCUITOS TERMINAIS - FORNECIMENTO E INSTALAÇÃO. AF_12/2015</v>
      </c>
      <c r="D163" s="452" t="str">
        <f>IF(A163="SERVIÇO",VLOOKUP(B163,SERVIÇOS!$A$6:$E$7645,5,0),IF(A163="INSUMO",VLOOKUP(B163,INSUMOS!$A$6:$E$6961,5,0),IF(A163="COTAÇÃO",VLOOKUP(B163,'036-20-Cotação'!$A$9:$H$529,8,0))))</f>
        <v>SER.CG</v>
      </c>
      <c r="E163" s="452" t="str">
        <f>IF(A163="SERVIÇO",VLOOKUP(B163,SERVIÇOS!$A$6:$D$7645,3,0),IF(A163="INSUMO",VLOOKUP(B163,INSUMOS!$A$6:$D$6961,3,0),IF(A163="COTAÇÃO",VLOOKUP(B163,'036-20-Cotação'!$A$9:$G$529,4,0))))</f>
        <v>M</v>
      </c>
      <c r="F163" s="542" t="s">
        <v>6363</v>
      </c>
      <c r="G163" s="453" t="str">
        <f>IF(A163="SERVIÇO",VLOOKUP(B163,SERVIÇOS!$A$6:$D$7645,4,0),IF(A163="INSUMO",VLOOKUP(B163,INSUMOS!$A$6:$D$6961,4,0),IF(A163="COTAÇÃO",VLOOKUP(B163,'036-20-Cotação'!$A$9:$G$529,3,0))))</f>
        <v>2,07</v>
      </c>
      <c r="H163" s="463">
        <f t="shared" si="26"/>
        <v>1.9321379999999999</v>
      </c>
      <c r="J163" s="305"/>
    </row>
    <row r="164" spans="1:10" s="87" customFormat="1" ht="51">
      <c r="A164" s="232" t="s">
        <v>4542</v>
      </c>
      <c r="B164" s="464">
        <v>91926</v>
      </c>
      <c r="C164" s="451" t="str">
        <f>IF(A164="SERVIÇO",VLOOKUP(B164,SERVIÇOS!$A$6:$D$7645,2,0),IF(A164="INSUMO",VLOOKUP(B164,INSUMOS!$A$6:$D$6961,2,0),IF(A164="COTAÇÃO",VLOOKUP(B164,'036-20-Cotação'!$A$9:$G$529,2,0))))</f>
        <v>CABO DE COBRE FLEXÍVEL ISOLADO, 2,5 MM², ANTI-CHAMA 450/750 V, PARA CIRCUITOS TERMINAIS - FORNECIMENTO E INSTALAÇÃO. AF_12/2015</v>
      </c>
      <c r="D164" s="452" t="str">
        <f>IF(A164="SERVIÇO",VLOOKUP(B164,SERVIÇOS!$A$6:$E$7645,5,0),IF(A164="INSUMO",VLOOKUP(B164,INSUMOS!$A$6:$E$6961,5,0),IF(A164="COTAÇÃO",VLOOKUP(B164,'036-20-Cotação'!$A$9:$H$529,8,0))))</f>
        <v>SER.CG</v>
      </c>
      <c r="E164" s="452" t="str">
        <f>IF(A164="SERVIÇO",VLOOKUP(B164,SERVIÇOS!$A$6:$D$7645,3,0),IF(A164="INSUMO",VLOOKUP(B164,INSUMOS!$A$6:$D$6961,3,0),IF(A164="COTAÇÃO",VLOOKUP(B164,'036-20-Cotação'!$A$9:$G$529,4,0))))</f>
        <v>M</v>
      </c>
      <c r="F164" s="542" t="s">
        <v>6364</v>
      </c>
      <c r="G164" s="453" t="str">
        <f>IF(A164="SERVIÇO",VLOOKUP(B164,SERVIÇOS!$A$6:$D$7645,4,0),IF(A164="INSUMO",VLOOKUP(B164,INSUMOS!$A$6:$D$6961,4,0),IF(A164="COTAÇÃO",VLOOKUP(B164,'036-20-Cotação'!$A$9:$G$529,3,0))))</f>
        <v>2,94</v>
      </c>
      <c r="H164" s="463">
        <f t="shared" si="26"/>
        <v>2.7847680000000001</v>
      </c>
      <c r="J164" s="305"/>
    </row>
    <row r="165" spans="1:10" s="87" customFormat="1" ht="38.25">
      <c r="A165" s="232" t="s">
        <v>4542</v>
      </c>
      <c r="B165" s="464">
        <v>91959</v>
      </c>
      <c r="C165" s="451" t="str">
        <f>IF(A165="SERVIÇO",VLOOKUP(B165,SERVIÇOS!$A$6:$D$7645,2,0),IF(A165="INSUMO",VLOOKUP(B165,INSUMOS!$A$6:$D$6961,2,0),IF(A165="COTAÇÃO",VLOOKUP(B165,'036-20-Cotação'!$A$9:$G$529,2,0))))</f>
        <v>INTERRUPTOR SIMPLES (2 MÓDULOS), 10A/250V, INCLUINDO SUPORTE E PLACA - FORNECIMENTO E INSTALAÇÃO. AF_12/2015</v>
      </c>
      <c r="D165" s="452" t="str">
        <f>IF(A165="SERVIÇO",VLOOKUP(B165,SERVIÇOS!$A$6:$E$7645,5,0),IF(A165="INSUMO",VLOOKUP(B165,INSUMOS!$A$6:$E$6961,5,0),IF(A165="COTAÇÃO",VLOOKUP(B165,'036-20-Cotação'!$A$9:$H$529,8,0))))</f>
        <v>SER.CG</v>
      </c>
      <c r="E165" s="452" t="str">
        <f>IF(A165="SERVIÇO",VLOOKUP(B165,SERVIÇOS!$A$6:$D$7645,3,0),IF(A165="INSUMO",VLOOKUP(B165,INSUMOS!$A$6:$D$6961,3,0),IF(A165="COTAÇÃO",VLOOKUP(B165,'036-20-Cotação'!$A$9:$G$529,4,0))))</f>
        <v>UN</v>
      </c>
      <c r="F165" s="542" t="s">
        <v>6358</v>
      </c>
      <c r="G165" s="453" t="str">
        <f>IF(A165="SERVIÇO",VLOOKUP(B165,SERVIÇOS!$A$6:$D$7645,4,0),IF(A165="INSUMO",VLOOKUP(B165,INSUMOS!$A$6:$D$6961,4,0),IF(A165="COTAÇÃO",VLOOKUP(B165,'036-20-Cotação'!$A$9:$G$529,3,0))))</f>
        <v>35,30</v>
      </c>
      <c r="H165" s="463">
        <f t="shared" si="26"/>
        <v>0.58597999999999995</v>
      </c>
      <c r="J165" s="305"/>
    </row>
    <row r="166" spans="1:10" s="87" customFormat="1" ht="38.25">
      <c r="A166" s="232" t="s">
        <v>4542</v>
      </c>
      <c r="B166" s="464">
        <v>92000</v>
      </c>
      <c r="C166" s="451" t="str">
        <f>IF(A166="SERVIÇO",VLOOKUP(B166,SERVIÇOS!$A$6:$D$7645,2,0),IF(A166="INSUMO",VLOOKUP(B166,INSUMOS!$A$6:$D$6961,2,0),IF(A166="COTAÇÃO",VLOOKUP(B166,'036-20-Cotação'!$A$9:$G$529,2,0))))</f>
        <v>TOMADA BAIXA DE EMBUTIR (1 MÓDULO), 2P+T 10 A, INCLUINDO SUPORTE E PLACA - FORNECIMENTO E INSTALAÇÃO. AF_12/2015</v>
      </c>
      <c r="D166" s="452" t="str">
        <f>IF(A166="SERVIÇO",VLOOKUP(B166,SERVIÇOS!$A$6:$E$7645,5,0),IF(A166="INSUMO",VLOOKUP(B166,INSUMOS!$A$6:$E$6961,5,0),IF(A166="COTAÇÃO",VLOOKUP(B166,'036-20-Cotação'!$A$9:$H$529,8,0))))</f>
        <v>SER.CG</v>
      </c>
      <c r="E166" s="452" t="str">
        <f>IF(A166="SERVIÇO",VLOOKUP(B166,SERVIÇOS!$A$6:$D$7645,3,0),IF(A166="INSUMO",VLOOKUP(B166,INSUMOS!$A$6:$D$6961,3,0),IF(A166="COTAÇÃO",VLOOKUP(B166,'036-20-Cotação'!$A$9:$G$529,4,0))))</f>
        <v>UN</v>
      </c>
      <c r="F166" s="542" t="s">
        <v>6365</v>
      </c>
      <c r="G166" s="453" t="str">
        <f>IF(A166="SERVIÇO",VLOOKUP(B166,SERVIÇOS!$A$6:$D$7645,4,0),IF(A166="INSUMO",VLOOKUP(B166,INSUMOS!$A$6:$D$6961,4,0),IF(A166="COTAÇÃO",VLOOKUP(B166,'036-20-Cotação'!$A$9:$G$529,3,0))))</f>
        <v>23,58</v>
      </c>
      <c r="H166" s="463">
        <f t="shared" si="26"/>
        <v>0.78049799999999991</v>
      </c>
      <c r="J166" s="305"/>
    </row>
    <row r="167" spans="1:10" s="87" customFormat="1" ht="38.25">
      <c r="A167" s="232" t="s">
        <v>4542</v>
      </c>
      <c r="B167" s="464">
        <v>92001</v>
      </c>
      <c r="C167" s="451" t="str">
        <f>IF(A167="SERVIÇO",VLOOKUP(B167,SERVIÇOS!$A$6:$D$7645,2,0),IF(A167="INSUMO",VLOOKUP(B167,INSUMOS!$A$6:$D$6961,2,0),IF(A167="COTAÇÃO",VLOOKUP(B167,'036-20-Cotação'!$A$9:$G$529,2,0))))</f>
        <v>TOMADA BAIXA DE EMBUTIR (1 MÓDULO), 2P+T 20 A, INCLUINDO SUPORTE E PLACA - FORNECIMENTO E INSTALAÇÃO. AF_12/2015</v>
      </c>
      <c r="D167" s="452" t="str">
        <f>IF(A167="SERVIÇO",VLOOKUP(B167,SERVIÇOS!$A$6:$E$7645,5,0),IF(A167="INSUMO",VLOOKUP(B167,INSUMOS!$A$6:$E$6961,5,0),IF(A167="COTAÇÃO",VLOOKUP(B167,'036-20-Cotação'!$A$9:$H$529,8,0))))</f>
        <v>SER.CG</v>
      </c>
      <c r="E167" s="452" t="str">
        <f>IF(A167="SERVIÇO",VLOOKUP(B167,SERVIÇOS!$A$6:$D$7645,3,0),IF(A167="INSUMO",VLOOKUP(B167,INSUMOS!$A$6:$D$6961,3,0),IF(A167="COTAÇÃO",VLOOKUP(B167,'036-20-Cotação'!$A$9:$G$529,4,0))))</f>
        <v>UN</v>
      </c>
      <c r="F167" s="542" t="s">
        <v>6365</v>
      </c>
      <c r="G167" s="453" t="str">
        <f>IF(A167="SERVIÇO",VLOOKUP(B167,SERVIÇOS!$A$6:$D$7645,4,0),IF(A167="INSUMO",VLOOKUP(B167,INSUMOS!$A$6:$D$6961,4,0),IF(A167="COTAÇÃO",VLOOKUP(B167,'036-20-Cotação'!$A$9:$G$529,3,0))))</f>
        <v>25,60</v>
      </c>
      <c r="H167" s="463">
        <f t="shared" si="26"/>
        <v>0.84736</v>
      </c>
      <c r="J167" s="305"/>
    </row>
    <row r="168" spans="1:10" s="87" customFormat="1" ht="63.75">
      <c r="A168" s="232" t="s">
        <v>4542</v>
      </c>
      <c r="B168" s="464">
        <v>92543</v>
      </c>
      <c r="C168" s="451" t="str">
        <f>IF(A168="SERVIÇO",VLOOKUP(B168,SERVIÇOS!$A$6:$D$7645,2,0),IF(A168="INSUMO",VLOOKUP(B168,INSUMOS!$A$6:$D$6961,2,0),IF(A168="COTAÇÃO",VLOOKUP(B168,'036-20-Cotação'!$A$9:$G$529,2,0))))</f>
        <v>TRAMA DE MADEIRA COMPOSTA POR TERÇAS PARA TELHADOS DE ATÉ 2 ÁGUAS PARA TELHA ONDULADA DE FIBROCIMENTO, METÁLICA, PLÁSTICA OU TERMOACÚSTICA, INCLUSO TRANSPORTE VERTICAL. AF_07/2019</v>
      </c>
      <c r="D168" s="452" t="str">
        <f>IF(A168="SERVIÇO",VLOOKUP(B168,SERVIÇOS!$A$6:$E$7645,5,0),IF(A168="INSUMO",VLOOKUP(B168,INSUMOS!$A$6:$E$6961,5,0),IF(A168="COTAÇÃO",VLOOKUP(B168,'036-20-Cotação'!$A$9:$H$529,8,0))))</f>
        <v>SER.CG</v>
      </c>
      <c r="E168" s="452" t="str">
        <f>IF(A168="SERVIÇO",VLOOKUP(B168,SERVIÇOS!$A$6:$D$7645,3,0),IF(A168="INSUMO",VLOOKUP(B168,INSUMOS!$A$6:$D$6961,3,0),IF(A168="COTAÇÃO",VLOOKUP(B168,'036-20-Cotação'!$A$9:$G$529,4,0))))</f>
        <v>M2</v>
      </c>
      <c r="F168" s="542" t="s">
        <v>6366</v>
      </c>
      <c r="G168" s="453" t="str">
        <f>IF(A168="SERVIÇO",VLOOKUP(B168,SERVIÇOS!$A$6:$D$7645,4,0),IF(A168="INSUMO",VLOOKUP(B168,INSUMOS!$A$6:$D$6961,4,0),IF(A168="COTAÇÃO",VLOOKUP(B168,'036-20-Cotação'!$A$9:$G$529,3,0))))</f>
        <v>16,86</v>
      </c>
      <c r="H168" s="463">
        <f t="shared" si="26"/>
        <v>21.019361999999997</v>
      </c>
      <c r="J168" s="305"/>
    </row>
    <row r="169" spans="1:10" s="87" customFormat="1" ht="38.25">
      <c r="A169" s="232" t="s">
        <v>4542</v>
      </c>
      <c r="B169" s="464">
        <v>92981</v>
      </c>
      <c r="C169" s="451" t="str">
        <f>IF(A169="SERVIÇO",VLOOKUP(B169,SERVIÇOS!$A$6:$D$7645,2,0),IF(A169="INSUMO",VLOOKUP(B169,INSUMOS!$A$6:$D$6961,2,0),IF(A169="COTAÇÃO",VLOOKUP(B169,'036-20-Cotação'!$A$9:$G$529,2,0))))</f>
        <v>CABO DE COBRE FLEXÍVEL ISOLADO, 16 MM², ANTI-CHAMA 450/750 V, PARA DISTRIBUIÇÃO - FORNECIMENTO E INSTALAÇÃO. AF_12/2015</v>
      </c>
      <c r="D169" s="452" t="str">
        <f>IF(A169="SERVIÇO",VLOOKUP(B169,SERVIÇOS!$A$6:$E$7645,5,0),IF(A169="INSUMO",VLOOKUP(B169,INSUMOS!$A$6:$E$6961,5,0),IF(A169="COTAÇÃO",VLOOKUP(B169,'036-20-Cotação'!$A$9:$H$529,8,0))))</f>
        <v>SER.CG</v>
      </c>
      <c r="E169" s="452" t="str">
        <f>IF(A169="SERVIÇO",VLOOKUP(B169,SERVIÇOS!$A$6:$D$7645,3,0),IF(A169="INSUMO",VLOOKUP(B169,INSUMOS!$A$6:$D$6961,3,0),IF(A169="COTAÇÃO",VLOOKUP(B169,'036-20-Cotação'!$A$9:$G$529,4,0))))</f>
        <v>M</v>
      </c>
      <c r="F169" s="542" t="s">
        <v>6367</v>
      </c>
      <c r="G169" s="453" t="str">
        <f>IF(A169="SERVIÇO",VLOOKUP(B169,SERVIÇOS!$A$6:$D$7645,4,0),IF(A169="INSUMO",VLOOKUP(B169,INSUMOS!$A$6:$D$6961,4,0),IF(A169="COTAÇÃO",VLOOKUP(B169,'036-20-Cotação'!$A$9:$G$529,3,0))))</f>
        <v>10,39</v>
      </c>
      <c r="H169" s="463">
        <f t="shared" si="26"/>
        <v>1.7205840000000001</v>
      </c>
      <c r="J169" s="305"/>
    </row>
    <row r="170" spans="1:10" s="87" customFormat="1" ht="38.25">
      <c r="A170" s="232" t="s">
        <v>4542</v>
      </c>
      <c r="B170" s="464">
        <v>93358</v>
      </c>
      <c r="C170" s="451" t="str">
        <f>IF(A170="SERVIÇO",VLOOKUP(B170,SERVIÇOS!$A$6:$D$7645,2,0),IF(A170="INSUMO",VLOOKUP(B170,INSUMOS!$A$6:$D$6961,2,0),IF(A170="COTAÇÃO",VLOOKUP(B170,'036-20-Cotação'!$A$9:$G$529,2,0))))</f>
        <v>ESCAVAÇÃO MANUAL DE VALA COM PROFUNDIDADE MENOR OU IGUAL A 1,30 M. AF_03/2016</v>
      </c>
      <c r="D170" s="452" t="str">
        <f>IF(A170="SERVIÇO",VLOOKUP(B170,SERVIÇOS!$A$6:$E$7645,5,0),IF(A170="INSUMO",VLOOKUP(B170,INSUMOS!$A$6:$E$6961,5,0),IF(A170="COTAÇÃO",VLOOKUP(B170,'036-20-Cotação'!$A$9:$H$529,8,0))))</f>
        <v>SER.CG</v>
      </c>
      <c r="E170" s="452" t="str">
        <f>IF(A170="SERVIÇO",VLOOKUP(B170,SERVIÇOS!$A$6:$D$7645,3,0),IF(A170="INSUMO",VLOOKUP(B170,INSUMOS!$A$6:$D$6961,3,0),IF(A170="COTAÇÃO",VLOOKUP(B170,'036-20-Cotação'!$A$9:$G$529,4,0))))</f>
        <v>M3</v>
      </c>
      <c r="F170" s="542" t="s">
        <v>6368</v>
      </c>
      <c r="G170" s="453" t="str">
        <f>IF(A170="SERVIÇO",VLOOKUP(B170,SERVIÇOS!$A$6:$D$7645,4,0),IF(A170="INSUMO",VLOOKUP(B170,INSUMOS!$A$6:$D$6961,4,0),IF(A170="COTAÇÃO",VLOOKUP(B170,'036-20-Cotação'!$A$9:$G$529,3,0))))</f>
        <v>65,59</v>
      </c>
      <c r="H170" s="463">
        <f t="shared" si="26"/>
        <v>8.5266999999999996E-2</v>
      </c>
      <c r="J170" s="305"/>
    </row>
    <row r="171" spans="1:10" s="87" customFormat="1" ht="63.75">
      <c r="A171" s="232" t="s">
        <v>4542</v>
      </c>
      <c r="B171" s="464">
        <v>94210</v>
      </c>
      <c r="C171" s="451" t="str">
        <f>IF(A171="SERVIÇO",VLOOKUP(B171,SERVIÇOS!$A$6:$D$7645,2,0),IF(A171="INSUMO",VLOOKUP(B171,INSUMOS!$A$6:$D$6961,2,0),IF(A171="COTAÇÃO",VLOOKUP(B171,'036-20-Cotação'!$A$9:$G$529,2,0))))</f>
        <v>TELHAMENTO COM TELHA ONDULADA DE FIBROCIMENTO E = 6 MM, COM RECOBRIMENTO LATERAL DE 1 1/4 DE ONDA PARA TELHADO COM INCLINAÇÃO MÁXIMA DE 10°, COM ATÉ 2 ÁGUAS, INCLUSO IÇAMENTO. AF_07/2019</v>
      </c>
      <c r="D171" s="452" t="str">
        <f>IF(A171="SERVIÇO",VLOOKUP(B171,SERVIÇOS!$A$6:$E$7645,5,0),IF(A171="INSUMO",VLOOKUP(B171,INSUMOS!$A$6:$E$6961,5,0),IF(A171="COTAÇÃO",VLOOKUP(B171,'036-20-Cotação'!$A$9:$H$529,8,0))))</f>
        <v>SER.CG</v>
      </c>
      <c r="E171" s="452" t="str">
        <f>IF(A171="SERVIÇO",VLOOKUP(B171,SERVIÇOS!$A$6:$D$7645,3,0),IF(A171="INSUMO",VLOOKUP(B171,INSUMOS!$A$6:$D$6961,3,0),IF(A171="COTAÇÃO",VLOOKUP(B171,'036-20-Cotação'!$A$9:$G$529,4,0))))</f>
        <v>M2</v>
      </c>
      <c r="F171" s="542" t="s">
        <v>6366</v>
      </c>
      <c r="G171" s="453" t="str">
        <f>IF(A171="SERVIÇO",VLOOKUP(B171,SERVIÇOS!$A$6:$D$7645,4,0),IF(A171="INSUMO",VLOOKUP(B171,INSUMOS!$A$6:$D$6961,4,0),IF(A171="COTAÇÃO",VLOOKUP(B171,'036-20-Cotação'!$A$9:$G$529,3,0))))</f>
        <v>31,84</v>
      </c>
      <c r="H171" s="463">
        <f t="shared" si="26"/>
        <v>39.694927999999997</v>
      </c>
      <c r="J171" s="305"/>
    </row>
    <row r="172" spans="1:10" s="87" customFormat="1" ht="38.25">
      <c r="A172" s="232" t="s">
        <v>4542</v>
      </c>
      <c r="B172" s="464">
        <v>95241</v>
      </c>
      <c r="C172" s="451" t="str">
        <f>IF(A172="SERVIÇO",VLOOKUP(B172,SERVIÇOS!$A$6:$D$7645,2,0),IF(A172="INSUMO",VLOOKUP(B172,INSUMOS!$A$6:$D$6961,2,0),IF(A172="COTAÇÃO",VLOOKUP(B172,'036-20-Cotação'!$A$9:$G$529,2,0))))</f>
        <v>LASTRO DE CONCRETO MAGRO, APLICADO EM PISOS OU RADIERS, ESPESSURA DE 5 CM. AF_07/2016</v>
      </c>
      <c r="D172" s="452" t="str">
        <f>IF(A172="SERVIÇO",VLOOKUP(B172,SERVIÇOS!$A$6:$E$7645,5,0),IF(A172="INSUMO",VLOOKUP(B172,INSUMOS!$A$6:$E$6961,5,0),IF(A172="COTAÇÃO",VLOOKUP(B172,'036-20-Cotação'!$A$9:$H$529,8,0))))</f>
        <v>SER.CG</v>
      </c>
      <c r="E172" s="452" t="str">
        <f>IF(A172="SERVIÇO",VLOOKUP(B172,SERVIÇOS!$A$6:$D$7645,3,0),IF(A172="INSUMO",VLOOKUP(B172,INSUMOS!$A$6:$D$6961,3,0),IF(A172="COTAÇÃO",VLOOKUP(B172,'036-20-Cotação'!$A$9:$G$529,4,0))))</f>
        <v>M2</v>
      </c>
      <c r="F172" s="542" t="s">
        <v>6366</v>
      </c>
      <c r="G172" s="453" t="str">
        <f>IF(A172="SERVIÇO",VLOOKUP(B172,SERVIÇOS!$A$6:$D$7645,4,0),IF(A172="INSUMO",VLOOKUP(B172,INSUMOS!$A$6:$D$6961,4,0),IF(A172="COTAÇÃO",VLOOKUP(B172,'036-20-Cotação'!$A$9:$G$529,3,0))))</f>
        <v>23,17</v>
      </c>
      <c r="H172" s="463">
        <f t="shared" si="26"/>
        <v>28.886039</v>
      </c>
      <c r="J172" s="305"/>
    </row>
    <row r="173" spans="1:10" s="87" customFormat="1" ht="51">
      <c r="A173" s="232" t="s">
        <v>4542</v>
      </c>
      <c r="B173" s="464">
        <v>95805</v>
      </c>
      <c r="C173" s="451" t="str">
        <f>IF(A173="SERVIÇO",VLOOKUP(B173,SERVIÇOS!$A$6:$D$7645,2,0),IF(A173="INSUMO",VLOOKUP(B173,INSUMOS!$A$6:$D$6961,2,0),IF(A173="COTAÇÃO",VLOOKUP(B173,'036-20-Cotação'!$A$9:$G$529,2,0))))</f>
        <v>CONDULETE DE PVC, TIPO B, PARA ELETRODUTO DE PVC SOLDÁVEL DN 25 MM (3/4''), APARENTE - FORNECIMENTO E INSTALAÇÃO. AF_11/2016</v>
      </c>
      <c r="D173" s="452" t="str">
        <f>IF(A173="SERVIÇO",VLOOKUP(B173,SERVIÇOS!$A$6:$E$7645,5,0),IF(A173="INSUMO",VLOOKUP(B173,INSUMOS!$A$6:$E$6961,5,0),IF(A173="COTAÇÃO",VLOOKUP(B173,'036-20-Cotação'!$A$9:$H$529,8,0))))</f>
        <v>SER.CG</v>
      </c>
      <c r="E173" s="452" t="str">
        <f>IF(A173="SERVIÇO",VLOOKUP(B173,SERVIÇOS!$A$6:$D$7645,3,0),IF(A173="INSUMO",VLOOKUP(B173,INSUMOS!$A$6:$D$6961,3,0),IF(A173="COTAÇÃO",VLOOKUP(B173,'036-20-Cotação'!$A$9:$G$529,4,0))))</f>
        <v>UN</v>
      </c>
      <c r="F173" s="542" t="s">
        <v>6369</v>
      </c>
      <c r="G173" s="453" t="str">
        <f>IF(A173="SERVIÇO",VLOOKUP(B173,SERVIÇOS!$A$6:$D$7645,4,0),IF(A173="INSUMO",VLOOKUP(B173,INSUMOS!$A$6:$D$6961,4,0),IF(A173="COTAÇÃO",VLOOKUP(B173,'036-20-Cotação'!$A$9:$G$529,3,0))))</f>
        <v>18,39</v>
      </c>
      <c r="H173" s="463">
        <f t="shared" si="26"/>
        <v>1.2174179999999999</v>
      </c>
      <c r="J173" s="305"/>
    </row>
    <row r="174" spans="1:10" s="87" customFormat="1" ht="25.5">
      <c r="A174" s="232" t="s">
        <v>4542</v>
      </c>
      <c r="B174" s="464">
        <v>96985</v>
      </c>
      <c r="C174" s="451" t="str">
        <f>IF(A174="SERVIÇO",VLOOKUP(B174,SERVIÇOS!$A$6:$D$7645,2,0),IF(A174="INSUMO",VLOOKUP(B174,INSUMOS!$A$6:$D$6961,2,0),IF(A174="COTAÇÃO",VLOOKUP(B174,'036-20-Cotação'!$A$9:$G$529,2,0))))</f>
        <v>HASTE DE ATERRAMENTO 5/8  PARA SPDA - FORNECIMENTO E INSTALAÇÃO. AF_12/2017</v>
      </c>
      <c r="D174" s="452" t="str">
        <f>IF(A174="SERVIÇO",VLOOKUP(B174,SERVIÇOS!$A$6:$E$7645,5,0),IF(A174="INSUMO",VLOOKUP(B174,INSUMOS!$A$6:$E$6961,5,0),IF(A174="COTAÇÃO",VLOOKUP(B174,'036-20-Cotação'!$A$9:$H$529,8,0))))</f>
        <v>SER.CG</v>
      </c>
      <c r="E174" s="452" t="str">
        <f>IF(A174="SERVIÇO",VLOOKUP(B174,SERVIÇOS!$A$6:$D$7645,3,0),IF(A174="INSUMO",VLOOKUP(B174,INSUMOS!$A$6:$D$6961,3,0),IF(A174="COTAÇÃO",VLOOKUP(B174,'036-20-Cotação'!$A$9:$G$529,4,0))))</f>
        <v>UN</v>
      </c>
      <c r="F174" s="542" t="s">
        <v>6365</v>
      </c>
      <c r="G174" s="453" t="str">
        <f>IF(A174="SERVIÇO",VLOOKUP(B174,SERVIÇOS!$A$6:$D$7645,4,0),IF(A174="INSUMO",VLOOKUP(B174,INSUMOS!$A$6:$D$6961,4,0),IF(A174="COTAÇÃO",VLOOKUP(B174,'036-20-Cotação'!$A$9:$G$529,3,0))))</f>
        <v>56,83</v>
      </c>
      <c r="H174" s="463">
        <f t="shared" si="26"/>
        <v>1.8810729999999998</v>
      </c>
      <c r="J174" s="305"/>
    </row>
    <row r="175" spans="1:10" s="87" customFormat="1" ht="38.25">
      <c r="A175" s="232" t="s">
        <v>4542</v>
      </c>
      <c r="B175" s="464">
        <v>97586</v>
      </c>
      <c r="C175" s="451" t="str">
        <f>IF(A175="SERVIÇO",VLOOKUP(B175,SERVIÇOS!$A$6:$D$7645,2,0),IF(A175="INSUMO",VLOOKUP(B175,INSUMOS!$A$6:$D$6961,2,0),IF(A175="COTAÇÃO",VLOOKUP(B175,'036-20-Cotação'!$A$9:$G$529,2,0))))</f>
        <v>LUMINÁRIA TIPO CALHA, DE SOBREPOR, COM 2 LÂMPADAS TUBULARES DE 36 W - FORNECIMENTO E INSTALAÇÃO. AF_11/2017</v>
      </c>
      <c r="D175" s="452" t="str">
        <f>IF(A175="SERVIÇO",VLOOKUP(B175,SERVIÇOS!$A$6:$E$7645,5,0),IF(A175="INSUMO",VLOOKUP(B175,INSUMOS!$A$6:$E$6961,5,0),IF(A175="COTAÇÃO",VLOOKUP(B175,'036-20-Cotação'!$A$9:$H$529,8,0))))</f>
        <v>SER.CG</v>
      </c>
      <c r="E175" s="452" t="str">
        <f>IF(A175="SERVIÇO",VLOOKUP(B175,SERVIÇOS!$A$6:$D$7645,3,0),IF(A175="INSUMO",VLOOKUP(B175,INSUMOS!$A$6:$D$6961,3,0),IF(A175="COTAÇÃO",VLOOKUP(B175,'036-20-Cotação'!$A$9:$G$529,4,0))))</f>
        <v>UN</v>
      </c>
      <c r="F175" s="542" t="s">
        <v>6370</v>
      </c>
      <c r="G175" s="453" t="str">
        <f>IF(A175="SERVIÇO",VLOOKUP(B175,SERVIÇOS!$A$6:$D$7645,4,0),IF(A175="INSUMO",VLOOKUP(B175,INSUMOS!$A$6:$D$6961,4,0),IF(A175="COTAÇÃO",VLOOKUP(B175,'036-20-Cotação'!$A$9:$G$529,3,0))))</f>
        <v>80,32</v>
      </c>
      <c r="H175" s="463">
        <f t="shared" si="26"/>
        <v>10.6424</v>
      </c>
      <c r="J175" s="305"/>
    </row>
    <row r="176" spans="1:10" s="87" customFormat="1" ht="51">
      <c r="A176" s="232" t="s">
        <v>4542</v>
      </c>
      <c r="B176" s="464">
        <v>97886</v>
      </c>
      <c r="C176" s="451" t="str">
        <f>IF(A176="SERVIÇO",VLOOKUP(B176,SERVIÇOS!$A$6:$D$7645,2,0),IF(A176="INSUMO",VLOOKUP(B176,INSUMOS!$A$6:$D$6961,2,0),IF(A176="COTAÇÃO",VLOOKUP(B176,'036-20-Cotação'!$A$9:$G$529,2,0))))</f>
        <v>CAIXA ENTERRADA ELÉTRICA RETANGULAR, EM ALVENARIA COM TIJOLOS CERÂMICOS MACIÇOS, FUNDO COM BRITA, DIMENSÕES INTERNAS: 0,3X0,3X0,3 M. AF_05/2018</v>
      </c>
      <c r="D176" s="452" t="str">
        <f>IF(A176="SERVIÇO",VLOOKUP(B176,SERVIÇOS!$A$6:$E$7645,5,0),IF(A176="INSUMO",VLOOKUP(B176,INSUMOS!$A$6:$E$6961,5,0),IF(A176="COTAÇÃO",VLOOKUP(B176,'036-20-Cotação'!$A$9:$H$529,8,0))))</f>
        <v>SER.CG</v>
      </c>
      <c r="E176" s="452" t="str">
        <f>IF(A176="SERVIÇO",VLOOKUP(B176,SERVIÇOS!$A$6:$D$7645,3,0),IF(A176="INSUMO",VLOOKUP(B176,INSUMOS!$A$6:$D$6961,3,0),IF(A176="COTAÇÃO",VLOOKUP(B176,'036-20-Cotação'!$A$9:$G$529,4,0))))</f>
        <v>UN</v>
      </c>
      <c r="F176" s="542" t="s">
        <v>6365</v>
      </c>
      <c r="G176" s="453" t="str">
        <f>IF(A176="SERVIÇO",VLOOKUP(B176,SERVIÇOS!$A$6:$D$7645,4,0),IF(A176="INSUMO",VLOOKUP(B176,INSUMOS!$A$6:$D$6961,4,0),IF(A176="COTAÇÃO",VLOOKUP(B176,'036-20-Cotação'!$A$9:$G$529,3,0))))</f>
        <v>133,62</v>
      </c>
      <c r="H176" s="463">
        <f t="shared" si="26"/>
        <v>4.422822</v>
      </c>
      <c r="J176" s="305"/>
    </row>
    <row r="177" spans="1:10" s="87" customFormat="1" ht="51">
      <c r="A177" s="232" t="s">
        <v>4542</v>
      </c>
      <c r="B177" s="464">
        <v>98441</v>
      </c>
      <c r="C177" s="451" t="str">
        <f>IF(A177="SERVIÇO",VLOOKUP(B177,SERVIÇOS!$A$6:$D$7645,2,0),IF(A177="INSUMO",VLOOKUP(B177,INSUMOS!$A$6:$D$6961,2,0),IF(A177="COTAÇÃO",VLOOKUP(B177,'036-20-Cotação'!$A$9:$G$529,2,0))))</f>
        <v>PAREDE DE MADEIRA COMPENSADA PARA CONSTRUÇÃO TEMPORÁRIA EM CHAPA SIMPLES, EXTERNA, COM ÁREA LÍQUIDA MAIOR OU IGUAL A 6 M², SEM VÃO. AF_05/2018</v>
      </c>
      <c r="D177" s="452" t="str">
        <f>IF(A177="SERVIÇO",VLOOKUP(B177,SERVIÇOS!$A$6:$E$7645,5,0),IF(A177="INSUMO",VLOOKUP(B177,INSUMOS!$A$6:$E$6961,5,0),IF(A177="COTAÇÃO",VLOOKUP(B177,'036-20-Cotação'!$A$9:$H$529,8,0))))</f>
        <v>SER.CG</v>
      </c>
      <c r="E177" s="452" t="str">
        <f>IF(A177="SERVIÇO",VLOOKUP(B177,SERVIÇOS!$A$6:$D$7645,3,0),IF(A177="INSUMO",VLOOKUP(B177,INSUMOS!$A$6:$D$6961,3,0),IF(A177="COTAÇÃO",VLOOKUP(B177,'036-20-Cotação'!$A$9:$G$529,4,0))))</f>
        <v>M2</v>
      </c>
      <c r="F177" s="542" t="s">
        <v>6371</v>
      </c>
      <c r="G177" s="453" t="str">
        <f>IF(A177="SERVIÇO",VLOOKUP(B177,SERVIÇOS!$A$6:$D$7645,4,0),IF(A177="INSUMO",VLOOKUP(B177,INSUMOS!$A$6:$D$6961,4,0),IF(A177="COTAÇÃO",VLOOKUP(B177,'036-20-Cotação'!$A$9:$G$529,3,0))))</f>
        <v>101,43</v>
      </c>
      <c r="H177" s="463">
        <f t="shared" si="26"/>
        <v>9.9502830000000007</v>
      </c>
      <c r="J177" s="305"/>
    </row>
    <row r="178" spans="1:10" s="87" customFormat="1" ht="51">
      <c r="A178" s="232" t="s">
        <v>4542</v>
      </c>
      <c r="B178" s="464">
        <v>98442</v>
      </c>
      <c r="C178" s="451" t="str">
        <f>IF(A178="SERVIÇO",VLOOKUP(B178,SERVIÇOS!$A$6:$D$7645,2,0),IF(A178="INSUMO",VLOOKUP(B178,INSUMOS!$A$6:$D$6961,2,0),IF(A178="COTAÇÃO",VLOOKUP(B178,'036-20-Cotação'!$A$9:$G$529,2,0))))</f>
        <v>PAREDE DE MADEIRA COMPENSADA PARA CONSTRUÇÃO TEMPORÁRIA EM CHAPA SIMPLES, EXTERNA, COM ÁREA LÍQUIDA MENOR QUE 6 M², SEM VÃO. AF_05/2018</v>
      </c>
      <c r="D178" s="452" t="str">
        <f>IF(A178="SERVIÇO",VLOOKUP(B178,SERVIÇOS!$A$6:$E$7645,5,0),IF(A178="INSUMO",VLOOKUP(B178,INSUMOS!$A$6:$E$6961,5,0),IF(A178="COTAÇÃO",VLOOKUP(B178,'036-20-Cotação'!$A$9:$H$529,8,0))))</f>
        <v>SER.CG</v>
      </c>
      <c r="E178" s="452" t="str">
        <f>IF(A178="SERVIÇO",VLOOKUP(B178,SERVIÇOS!$A$6:$D$7645,3,0),IF(A178="INSUMO",VLOOKUP(B178,INSUMOS!$A$6:$D$6961,3,0),IF(A178="COTAÇÃO",VLOOKUP(B178,'036-20-Cotação'!$A$9:$G$529,4,0))))</f>
        <v>M2</v>
      </c>
      <c r="F178" s="542" t="s">
        <v>6372</v>
      </c>
      <c r="G178" s="453" t="str">
        <f>IF(A178="SERVIÇO",VLOOKUP(B178,SERVIÇOS!$A$6:$D$7645,4,0),IF(A178="INSUMO",VLOOKUP(B178,INSUMOS!$A$6:$D$6961,4,0),IF(A178="COTAÇÃO",VLOOKUP(B178,'036-20-Cotação'!$A$9:$G$529,3,0))))</f>
        <v>104,20</v>
      </c>
      <c r="H178" s="463">
        <f t="shared" si="26"/>
        <v>11.76418</v>
      </c>
      <c r="J178" s="305"/>
    </row>
    <row r="179" spans="1:10" s="87" customFormat="1" ht="51">
      <c r="A179" s="232" t="s">
        <v>4542</v>
      </c>
      <c r="B179" s="464">
        <v>98445</v>
      </c>
      <c r="C179" s="451" t="str">
        <f>IF(A179="SERVIÇO",VLOOKUP(B179,SERVIÇOS!$A$6:$D$7645,2,0),IF(A179="INSUMO",VLOOKUP(B179,INSUMOS!$A$6:$D$6961,2,0),IF(A179="COTAÇÃO",VLOOKUP(B179,'036-20-Cotação'!$A$9:$G$529,2,0))))</f>
        <v>PAREDE DE MADEIRA COMPENSADA PARA CONSTRUÇÃO TEMPORÁRIA EM CHAPA SIMPLES, EXTERNA, COM ÁREA LÍQUIDA MAIOR OU IGUAL A 6 M², COM VÃO. AF_05/2018</v>
      </c>
      <c r="D179" s="452" t="str">
        <f>IF(A179="SERVIÇO",VLOOKUP(B179,SERVIÇOS!$A$6:$E$7645,5,0),IF(A179="INSUMO",VLOOKUP(B179,INSUMOS!$A$6:$E$6961,5,0),IF(A179="COTAÇÃO",VLOOKUP(B179,'036-20-Cotação'!$A$9:$H$529,8,0))))</f>
        <v>SER.CG</v>
      </c>
      <c r="E179" s="452" t="str">
        <f>IF(A179="SERVIÇO",VLOOKUP(B179,SERVIÇOS!$A$6:$D$7645,3,0),IF(A179="INSUMO",VLOOKUP(B179,INSUMOS!$A$6:$D$6961,3,0),IF(A179="COTAÇÃO",VLOOKUP(B179,'036-20-Cotação'!$A$9:$G$529,4,0))))</f>
        <v>M2</v>
      </c>
      <c r="F179" s="542" t="s">
        <v>6373</v>
      </c>
      <c r="G179" s="453" t="str">
        <f>IF(A179="SERVIÇO",VLOOKUP(B179,SERVIÇOS!$A$6:$D$7645,4,0),IF(A179="INSUMO",VLOOKUP(B179,INSUMOS!$A$6:$D$6961,4,0),IF(A179="COTAÇÃO",VLOOKUP(B179,'036-20-Cotação'!$A$9:$G$529,3,0))))</f>
        <v>121,97</v>
      </c>
      <c r="H179" s="463">
        <f t="shared" si="26"/>
        <v>18.685804000000001</v>
      </c>
      <c r="J179" s="305"/>
    </row>
    <row r="180" spans="1:10" s="87" customFormat="1" ht="51">
      <c r="A180" s="232" t="s">
        <v>4542</v>
      </c>
      <c r="B180" s="464">
        <v>98446</v>
      </c>
      <c r="C180" s="451" t="str">
        <f>IF(A180="SERVIÇO",VLOOKUP(B180,SERVIÇOS!$A$6:$D$7645,2,0),IF(A180="INSUMO",VLOOKUP(B180,INSUMOS!$A$6:$D$6961,2,0),IF(A180="COTAÇÃO",VLOOKUP(B180,'036-20-Cotação'!$A$9:$G$529,2,0))))</f>
        <v>PAREDE DE MADEIRA COMPENSADA PARA CONSTRUÇÃO TEMPORÁRIA EM CHAPA SIMPLES, EXTERNA, COM ÁREA LÍQUIDA MENOR QUE 6 M², COM VÃO. AF_05/2018</v>
      </c>
      <c r="D180" s="452" t="str">
        <f>IF(A180="SERVIÇO",VLOOKUP(B180,SERVIÇOS!$A$6:$E$7645,5,0),IF(A180="INSUMO",VLOOKUP(B180,INSUMOS!$A$6:$E$6961,5,0),IF(A180="COTAÇÃO",VLOOKUP(B180,'036-20-Cotação'!$A$9:$H$529,8,0))))</f>
        <v>SER.CG</v>
      </c>
      <c r="E180" s="452" t="str">
        <f>IF(A180="SERVIÇO",VLOOKUP(B180,SERVIÇOS!$A$6:$D$7645,3,0),IF(A180="INSUMO",VLOOKUP(B180,INSUMOS!$A$6:$D$6961,3,0),IF(A180="COTAÇÃO",VLOOKUP(B180,'036-20-Cotação'!$A$9:$G$529,4,0))))</f>
        <v>M2</v>
      </c>
      <c r="F180" s="542" t="s">
        <v>6374</v>
      </c>
      <c r="G180" s="453" t="str">
        <f>IF(A180="SERVIÇO",VLOOKUP(B180,SERVIÇOS!$A$6:$D$7645,4,0),IF(A180="INSUMO",VLOOKUP(B180,INSUMOS!$A$6:$D$6961,4,0),IF(A180="COTAÇÃO",VLOOKUP(B180,'036-20-Cotação'!$A$9:$G$529,3,0))))</f>
        <v>157,63</v>
      </c>
      <c r="H180" s="463">
        <f t="shared" si="26"/>
        <v>18.836784999999999</v>
      </c>
      <c r="J180" s="305"/>
    </row>
    <row r="181" spans="1:10" s="87" customFormat="1" ht="15" customHeight="1">
      <c r="A181" s="232"/>
      <c r="B181" s="199" t="s">
        <v>123</v>
      </c>
      <c r="C181" s="698" t="s">
        <v>6375</v>
      </c>
      <c r="D181" s="699"/>
      <c r="E181" s="699"/>
      <c r="F181" s="699"/>
      <c r="G181" s="699"/>
      <c r="H181" s="700"/>
      <c r="J181" s="305"/>
    </row>
    <row r="182" spans="1:10" s="78" customFormat="1" ht="9.75" customHeight="1">
      <c r="A182" s="188"/>
      <c r="B182" s="318"/>
      <c r="C182" s="316"/>
      <c r="D182" s="316"/>
      <c r="E182" s="316"/>
      <c r="F182" s="316"/>
      <c r="G182" s="316"/>
      <c r="H182" s="317"/>
      <c r="J182" s="303"/>
    </row>
    <row r="183" spans="1:10" s="78" customFormat="1" ht="25.5">
      <c r="A183" s="188"/>
      <c r="B183" s="80" t="s">
        <v>6264</v>
      </c>
      <c r="C183" s="81" t="s">
        <v>6410</v>
      </c>
      <c r="D183" s="82" t="s">
        <v>84</v>
      </c>
      <c r="E183" s="82" t="s">
        <v>150</v>
      </c>
      <c r="F183" s="83"/>
      <c r="G183" s="84"/>
      <c r="H183" s="85">
        <f>ROUND(SUM(H184:H209),2)</f>
        <v>192.7</v>
      </c>
      <c r="J183" s="304"/>
    </row>
    <row r="184" spans="1:10" s="87" customFormat="1" ht="25.5">
      <c r="A184" s="232" t="s">
        <v>4544</v>
      </c>
      <c r="B184" s="464">
        <v>10886</v>
      </c>
      <c r="C184" s="451" t="str">
        <f>IF(A184="SERVIÇO",VLOOKUP(B184,SERVIÇOS!$A$6:$D$7645,2,0),IF(A184="INSUMO",VLOOKUP(B184,INSUMOS!$A$6:$D$6961,2,0),IF(A184="COTAÇÃO",VLOOKUP(B184,'036-20-Cotação'!$A$9:$G$529,2,0))))</f>
        <v xml:space="preserve">EXTINTOR DE INCENDIO PORTATIL COM CARGA DE AGUA PRESSURIZADA DE 10 L, CLASSE A                                                                                                                                                                                                                                                                                                                                                                                                                            </v>
      </c>
      <c r="D184" s="452" t="str">
        <f>IF(A184="SERVIÇO",VLOOKUP(B184,SERVIÇOS!$A$6:$E$7645,5,0),IF(A184="INSUMO",VLOOKUP(B184,INSUMOS!$A$6:$E$6961,5,0),IF(A184="COTAÇÃO",VLOOKUP(B184,'036-20-Cotação'!$A$9:$H$529,8,0))))</f>
        <v>MAT.</v>
      </c>
      <c r="E184" s="452" t="str">
        <f>IF(A184="SERVIÇO",VLOOKUP(B184,SERVIÇOS!$A$6:$D$7645,3,0),IF(A184="INSUMO",VLOOKUP(B184,INSUMOS!$A$6:$D$6961,3,0),IF(A184="COTAÇÃO",VLOOKUP(B184,'036-20-Cotação'!$A$9:$G$529,4,0))))</f>
        <v xml:space="preserve">UN    </v>
      </c>
      <c r="F184" s="542" t="s">
        <v>6358</v>
      </c>
      <c r="G184" s="453" t="str">
        <f>IF(A184="SERVIÇO",VLOOKUP(B184,SERVIÇOS!$A$6:$D$7645,4,0),IF(A184="INSUMO",VLOOKUP(B184,INSUMOS!$A$6:$D$6961,4,0),IF(A184="COTAÇÃO",VLOOKUP(B184,'036-20-Cotação'!$A$9:$G$529,3,0))))</f>
        <v>150,93</v>
      </c>
      <c r="H184" s="463">
        <f t="shared" ref="H184:H209" si="27">ROUNDDOWN(G184*F184,2)</f>
        <v>2.5</v>
      </c>
      <c r="J184" s="305"/>
    </row>
    <row r="185" spans="1:10" s="87" customFormat="1" ht="38.25">
      <c r="A185" s="232" t="s">
        <v>4544</v>
      </c>
      <c r="B185" s="464">
        <v>10891</v>
      </c>
      <c r="C185" s="451" t="str">
        <f>IF(A185="SERVIÇO",VLOOKUP(B185,SERVIÇOS!$A$6:$D$7645,2,0),IF(A185="INSUMO",VLOOKUP(B185,INSUMOS!$A$6:$D$6961,2,0),IF(A185="COTAÇÃO",VLOOKUP(B185,'036-20-Cotação'!$A$9:$G$529,2,0))))</f>
        <v xml:space="preserve">EXTINTOR DE INCENDIO PORTATIL COM CARGA DE PO QUIMICO SECO (PQS) DE 4 KG, CLASSE BC                                                                                                                                                                                                                                                                                                                                                                                                                       </v>
      </c>
      <c r="D185" s="452" t="str">
        <f>IF(A185="SERVIÇO",VLOOKUP(B185,SERVIÇOS!$A$6:$E$7645,5,0),IF(A185="INSUMO",VLOOKUP(B185,INSUMOS!$A$6:$E$6961,5,0),IF(A185="COTAÇÃO",VLOOKUP(B185,'036-20-Cotação'!$A$9:$H$529,8,0))))</f>
        <v>MAT.</v>
      </c>
      <c r="E185" s="452" t="str">
        <f>IF(A185="SERVIÇO",VLOOKUP(B185,SERVIÇOS!$A$6:$D$7645,3,0),IF(A185="INSUMO",VLOOKUP(B185,INSUMOS!$A$6:$D$6961,3,0),IF(A185="COTAÇÃO",VLOOKUP(B185,'036-20-Cotação'!$A$9:$G$529,4,0))))</f>
        <v xml:space="preserve">UN    </v>
      </c>
      <c r="F185" s="542" t="s">
        <v>6358</v>
      </c>
      <c r="G185" s="453" t="str">
        <f>IF(A185="SERVIÇO",VLOOKUP(B185,SERVIÇOS!$A$6:$D$7645,4,0),IF(A185="INSUMO",VLOOKUP(B185,INSUMOS!$A$6:$D$6961,4,0),IF(A185="COTAÇÃO",VLOOKUP(B185,'036-20-Cotação'!$A$9:$G$529,3,0))))</f>
        <v>145,96</v>
      </c>
      <c r="H185" s="463">
        <f t="shared" si="27"/>
        <v>2.42</v>
      </c>
      <c r="J185" s="305"/>
    </row>
    <row r="186" spans="1:10" s="87" customFormat="1" ht="38.25">
      <c r="A186" s="232" t="s">
        <v>4542</v>
      </c>
      <c r="B186" s="464" t="s">
        <v>2170</v>
      </c>
      <c r="C186" s="451" t="str">
        <f>IF(A186="SERVIÇO",VLOOKUP(B186,SERVIÇOS!$A$6:$D$7645,2,0),IF(A186="INSUMO",VLOOKUP(B186,INSUMOS!$A$6:$D$6961,2,0),IF(A186="COTAÇÃO",VLOOKUP(B186,'036-20-Cotação'!$A$9:$G$529,2,0))))</f>
        <v>DISJUNTOR TERMOMAGNETICO MONOPOLAR PADRAO NEMA (AMERICANO) 10 A 30A 240V, FORNECIMENTO E INSTALACAO</v>
      </c>
      <c r="D186" s="452" t="str">
        <f>IF(A186="SERVIÇO",VLOOKUP(B186,SERVIÇOS!$A$6:$E$7645,5,0),IF(A186="INSUMO",VLOOKUP(B186,INSUMOS!$A$6:$E$6961,5,0),IF(A186="COTAÇÃO",VLOOKUP(B186,'036-20-Cotação'!$A$9:$H$529,8,0))))</f>
        <v>SER.CG</v>
      </c>
      <c r="E186" s="452" t="str">
        <f>IF(A186="SERVIÇO",VLOOKUP(B186,SERVIÇOS!$A$6:$D$7645,3,0),IF(A186="INSUMO",VLOOKUP(B186,INSUMOS!$A$6:$D$6961,3,0),IF(A186="COTAÇÃO",VLOOKUP(B186,'036-20-Cotação'!$A$9:$G$529,4,0))))</f>
        <v>UN</v>
      </c>
      <c r="F186" s="542" t="s">
        <v>6359</v>
      </c>
      <c r="G186" s="453" t="str">
        <f>IF(A186="SERVIÇO",VLOOKUP(B186,SERVIÇOS!$A$6:$D$7645,4,0),IF(A186="INSUMO",VLOOKUP(B186,INSUMOS!$A$6:$D$6961,4,0),IF(A186="COTAÇÃO",VLOOKUP(B186,'036-20-Cotação'!$A$9:$G$529,3,0))))</f>
        <v>13,54</v>
      </c>
      <c r="H186" s="463">
        <f t="shared" si="27"/>
        <v>1.1200000000000001</v>
      </c>
      <c r="J186" s="305"/>
    </row>
    <row r="187" spans="1:10" s="87" customFormat="1" ht="63.75">
      <c r="A187" s="232" t="s">
        <v>4542</v>
      </c>
      <c r="B187" s="464">
        <v>84402</v>
      </c>
      <c r="C187" s="451" t="str">
        <f>IF(A187="SERVIÇO",VLOOKUP(B187,SERVIÇOS!$A$6:$D$7645,2,0),IF(A187="INSUMO",VLOOKUP(B187,INSUMOS!$A$6:$D$6961,2,0),IF(A187="COTAÇÃO",VLOOKUP(B187,'036-20-Cotação'!$A$9:$G$529,2,0))))</f>
        <v>QUADRO DE DISTRIBUICAO DE ENERGIA P/ 6 DISJUNTORES TERMOMAGNETICOS MONOPOLARES SEM BARRAMENTO, DE EMBUTIR, EM CHAPA METALICA - FORNECIMENTO E INSTALACAO</v>
      </c>
      <c r="D187" s="452" t="str">
        <f>IF(A187="SERVIÇO",VLOOKUP(B187,SERVIÇOS!$A$6:$E$7645,5,0),IF(A187="INSUMO",VLOOKUP(B187,INSUMOS!$A$6:$E$6961,5,0),IF(A187="COTAÇÃO",VLOOKUP(B187,'036-20-Cotação'!$A$9:$H$529,8,0))))</f>
        <v>SER.CG</v>
      </c>
      <c r="E187" s="452" t="str">
        <f>IF(A187="SERVIÇO",VLOOKUP(B187,SERVIÇOS!$A$6:$D$7645,3,0),IF(A187="INSUMO",VLOOKUP(B187,INSUMOS!$A$6:$D$6961,3,0),IF(A187="COTAÇÃO",VLOOKUP(B187,'036-20-Cotação'!$A$9:$G$529,4,0))))</f>
        <v>UN</v>
      </c>
      <c r="F187" s="542" t="s">
        <v>6358</v>
      </c>
      <c r="G187" s="453" t="str">
        <f>IF(A187="SERVIÇO",VLOOKUP(B187,SERVIÇOS!$A$6:$D$7645,4,0),IF(A187="INSUMO",VLOOKUP(B187,INSUMOS!$A$6:$D$6961,4,0),IF(A187="COTAÇÃO",VLOOKUP(B187,'036-20-Cotação'!$A$9:$G$529,3,0))))</f>
        <v>88,43</v>
      </c>
      <c r="H187" s="463">
        <f t="shared" si="27"/>
        <v>1.46</v>
      </c>
      <c r="J187" s="305"/>
    </row>
    <row r="188" spans="1:10" s="87" customFormat="1" ht="38.25">
      <c r="A188" s="232" t="s">
        <v>4542</v>
      </c>
      <c r="B188" s="464">
        <v>88487</v>
      </c>
      <c r="C188" s="451" t="str">
        <f>IF(A188="SERVIÇO",VLOOKUP(B188,SERVIÇOS!$A$6:$D$7645,2,0),IF(A188="INSUMO",VLOOKUP(B188,INSUMOS!$A$6:$D$6961,2,0),IF(A188="COTAÇÃO",VLOOKUP(B188,'036-20-Cotação'!$A$9:$G$529,2,0))))</f>
        <v>APLICAÇÃO MANUAL DE PINTURA COM TINTA LÁTEX PVA EM PAREDES, DUAS DEMÃOS. AF_06/2014</v>
      </c>
      <c r="D188" s="452" t="str">
        <f>IF(A188="SERVIÇO",VLOOKUP(B188,SERVIÇOS!$A$6:$E$7645,5,0),IF(A188="INSUMO",VLOOKUP(B188,INSUMOS!$A$6:$E$6961,5,0),IF(A188="COTAÇÃO",VLOOKUP(B188,'036-20-Cotação'!$A$9:$H$529,8,0))))</f>
        <v>SER.CG</v>
      </c>
      <c r="E188" s="452" t="str">
        <f>IF(A188="SERVIÇO",VLOOKUP(B188,SERVIÇOS!$A$6:$D$7645,3,0),IF(A188="INSUMO",VLOOKUP(B188,INSUMOS!$A$6:$D$6961,3,0),IF(A188="COTAÇÃO",VLOOKUP(B188,'036-20-Cotação'!$A$9:$G$529,4,0))))</f>
        <v>M2</v>
      </c>
      <c r="F188" s="542" t="s">
        <v>6360</v>
      </c>
      <c r="G188" s="453" t="str">
        <f>IF(A188="SERVIÇO",VLOOKUP(B188,SERVIÇOS!$A$6:$D$7645,4,0),IF(A188="INSUMO",VLOOKUP(B188,INSUMOS!$A$6:$D$6961,4,0),IF(A188="COTAÇÃO",VLOOKUP(B188,'036-20-Cotação'!$A$9:$G$529,3,0))))</f>
        <v>9,62</v>
      </c>
      <c r="H188" s="463">
        <f t="shared" si="27"/>
        <v>4.6500000000000004</v>
      </c>
      <c r="J188" s="305"/>
    </row>
    <row r="189" spans="1:10" s="87" customFormat="1" ht="76.5">
      <c r="A189" s="232" t="s">
        <v>4542</v>
      </c>
      <c r="B189" s="464">
        <v>91170</v>
      </c>
      <c r="C189" s="451" t="str">
        <f>IF(A189="SERVIÇO",VLOOKUP(B189,SERVIÇOS!$A$6:$D$7645,2,0),IF(A189="INSUMO",VLOOKUP(B189,INSUMOS!$A$6:$D$6961,2,0),IF(A189="COTAÇÃO",VLOOKUP(B189,'036-20-Cotação'!$A$9:$G$529,2,0))))</f>
        <v>FIXAÇÃO DE TUBOS HORIZONTAIS DE PVC, CPVC OU COBRE DIÂMETROS MENORES OU IGUAIS A 40 MM OU ELETROCALHAS ATÉ 150MM DE LARGURA, COM ABRAÇADEIRA METÁLICA RÍGIDA TIPO D 1/2, FIXADA EM PERFILADO EM LAJE. AF_05/2015</v>
      </c>
      <c r="D189" s="452" t="str">
        <f>IF(A189="SERVIÇO",VLOOKUP(B189,SERVIÇOS!$A$6:$E$7645,5,0),IF(A189="INSUMO",VLOOKUP(B189,INSUMOS!$A$6:$E$6961,5,0),IF(A189="COTAÇÃO",VLOOKUP(B189,'036-20-Cotação'!$A$9:$H$529,8,0))))</f>
        <v>SER.CG</v>
      </c>
      <c r="E189" s="452" t="str">
        <f>IF(A189="SERVIÇO",VLOOKUP(B189,SERVIÇOS!$A$6:$D$7645,3,0),IF(A189="INSUMO",VLOOKUP(B189,INSUMOS!$A$6:$D$6961,3,0),IF(A189="COTAÇÃO",VLOOKUP(B189,'036-20-Cotação'!$A$9:$G$529,4,0))))</f>
        <v>M</v>
      </c>
      <c r="F189" s="542" t="s">
        <v>6361</v>
      </c>
      <c r="G189" s="453" t="str">
        <f>IF(A189="SERVIÇO",VLOOKUP(B189,SERVIÇOS!$A$6:$D$7645,4,0),IF(A189="INSUMO",VLOOKUP(B189,INSUMOS!$A$6:$D$6961,4,0),IF(A189="COTAÇÃO",VLOOKUP(B189,'036-20-Cotação'!$A$9:$G$529,3,0))))</f>
        <v>2,39</v>
      </c>
      <c r="H189" s="463">
        <f t="shared" si="27"/>
        <v>0.53</v>
      </c>
      <c r="J189" s="305"/>
    </row>
    <row r="190" spans="1:10" s="87" customFormat="1" ht="51">
      <c r="A190" s="232" t="s">
        <v>4542</v>
      </c>
      <c r="B190" s="464">
        <v>91862</v>
      </c>
      <c r="C190" s="451" t="str">
        <f>IF(A190="SERVIÇO",VLOOKUP(B190,SERVIÇOS!$A$6:$D$7645,2,0),IF(A190="INSUMO",VLOOKUP(B190,INSUMOS!$A$6:$D$6961,2,0),IF(A190="COTAÇÃO",VLOOKUP(B190,'036-20-Cotação'!$A$9:$G$529,2,0))))</f>
        <v>ELETRODUTO RÍGIDO ROSCÁVEL, PVC, DN 20 MM (1/2"), PARA CIRCUITOS TERMINAIS, INSTALADO EM FORRO - FORNECIMENTO E INSTALAÇÃO. AF_12/2015</v>
      </c>
      <c r="D190" s="452" t="str">
        <f>IF(A190="SERVIÇO",VLOOKUP(B190,SERVIÇOS!$A$6:$E$7645,5,0),IF(A190="INSUMO",VLOOKUP(B190,INSUMOS!$A$6:$E$6961,5,0),IF(A190="COTAÇÃO",VLOOKUP(B190,'036-20-Cotação'!$A$9:$H$529,8,0))))</f>
        <v>SER.CG</v>
      </c>
      <c r="E190" s="452" t="str">
        <f>IF(A190="SERVIÇO",VLOOKUP(B190,SERVIÇOS!$A$6:$D$7645,3,0),IF(A190="INSUMO",VLOOKUP(B190,INSUMOS!$A$6:$D$6961,3,0),IF(A190="COTAÇÃO",VLOOKUP(B190,'036-20-Cotação'!$A$9:$G$529,4,0))))</f>
        <v>M</v>
      </c>
      <c r="F190" s="542" t="s">
        <v>6362</v>
      </c>
      <c r="G190" s="453" t="str">
        <f>IF(A190="SERVIÇO",VLOOKUP(B190,SERVIÇOS!$A$6:$D$7645,4,0),IF(A190="INSUMO",VLOOKUP(B190,INSUMOS!$A$6:$D$6961,4,0),IF(A190="COTAÇÃO",VLOOKUP(B190,'036-20-Cotação'!$A$9:$G$529,3,0))))</f>
        <v>7,35</v>
      </c>
      <c r="H190" s="463">
        <f t="shared" si="27"/>
        <v>2.4900000000000002</v>
      </c>
      <c r="J190" s="305"/>
    </row>
    <row r="191" spans="1:10" s="87" customFormat="1" ht="51">
      <c r="A191" s="232" t="s">
        <v>4542</v>
      </c>
      <c r="B191" s="464">
        <v>91870</v>
      </c>
      <c r="C191" s="451" t="str">
        <f>IF(A191="SERVIÇO",VLOOKUP(B191,SERVIÇOS!$A$6:$D$7645,2,0),IF(A191="INSUMO",VLOOKUP(B191,INSUMOS!$A$6:$D$6961,2,0),IF(A191="COTAÇÃO",VLOOKUP(B191,'036-20-Cotação'!$A$9:$G$529,2,0))))</f>
        <v>ELETRODUTO RÍGIDO ROSCÁVEL, PVC, DN 20 MM (1/2"), PARA CIRCUITOS TERMINAIS, INSTALADO EM PAREDE - FORNECIMENTO E INSTALAÇÃO. AF_12/2015</v>
      </c>
      <c r="D191" s="452" t="str">
        <f>IF(A191="SERVIÇO",VLOOKUP(B191,SERVIÇOS!$A$6:$E$7645,5,0),IF(A191="INSUMO",VLOOKUP(B191,INSUMOS!$A$6:$E$6961,5,0),IF(A191="COTAÇÃO",VLOOKUP(B191,'036-20-Cotação'!$A$9:$H$529,8,0))))</f>
        <v>SER.CG</v>
      </c>
      <c r="E191" s="452" t="str">
        <f>IF(A191="SERVIÇO",VLOOKUP(B191,SERVIÇOS!$A$6:$D$7645,3,0),IF(A191="INSUMO",VLOOKUP(B191,INSUMOS!$A$6:$D$6961,3,0),IF(A191="COTAÇÃO",VLOOKUP(B191,'036-20-Cotação'!$A$9:$G$529,4,0))))</f>
        <v>M</v>
      </c>
      <c r="F191" s="542" t="s">
        <v>6361</v>
      </c>
      <c r="G191" s="453" t="str">
        <f>IF(A191="SERVIÇO",VLOOKUP(B191,SERVIÇOS!$A$6:$D$7645,4,0),IF(A191="INSUMO",VLOOKUP(B191,INSUMOS!$A$6:$D$6961,4,0),IF(A191="COTAÇÃO",VLOOKUP(B191,'036-20-Cotação'!$A$9:$G$529,3,0))))</f>
        <v>8,47</v>
      </c>
      <c r="H191" s="463">
        <f t="shared" si="27"/>
        <v>1.87</v>
      </c>
      <c r="J191" s="305"/>
    </row>
    <row r="192" spans="1:10" s="87" customFormat="1" ht="51">
      <c r="A192" s="232" t="s">
        <v>4542</v>
      </c>
      <c r="B192" s="464">
        <v>91924</v>
      </c>
      <c r="C192" s="451" t="str">
        <f>IF(A192="SERVIÇO",VLOOKUP(B192,SERVIÇOS!$A$6:$D$7645,2,0),IF(A192="INSUMO",VLOOKUP(B192,INSUMOS!$A$6:$D$6961,2,0),IF(A192="COTAÇÃO",VLOOKUP(B192,'036-20-Cotação'!$A$9:$G$529,2,0))))</f>
        <v>CABO DE COBRE FLEXÍVEL ISOLADO, 1,5 MM², ANTI-CHAMA 450/750 V, PARA CIRCUITOS TERMINAIS - FORNECIMENTO E INSTALAÇÃO. AF_12/2015</v>
      </c>
      <c r="D192" s="452" t="str">
        <f>IF(A192="SERVIÇO",VLOOKUP(B192,SERVIÇOS!$A$6:$E$7645,5,0),IF(A192="INSUMO",VLOOKUP(B192,INSUMOS!$A$6:$E$6961,5,0),IF(A192="COTAÇÃO",VLOOKUP(B192,'036-20-Cotação'!$A$9:$H$529,8,0))))</f>
        <v>SER.CG</v>
      </c>
      <c r="E192" s="452" t="str">
        <f>IF(A192="SERVIÇO",VLOOKUP(B192,SERVIÇOS!$A$6:$D$7645,3,0),IF(A192="INSUMO",VLOOKUP(B192,INSUMOS!$A$6:$D$6961,3,0),IF(A192="COTAÇÃO",VLOOKUP(B192,'036-20-Cotação'!$A$9:$G$529,4,0))))</f>
        <v>M</v>
      </c>
      <c r="F192" s="542" t="s">
        <v>6363</v>
      </c>
      <c r="G192" s="453" t="str">
        <f>IF(A192="SERVIÇO",VLOOKUP(B192,SERVIÇOS!$A$6:$D$7645,4,0),IF(A192="INSUMO",VLOOKUP(B192,INSUMOS!$A$6:$D$6961,4,0),IF(A192="COTAÇÃO",VLOOKUP(B192,'036-20-Cotação'!$A$9:$G$529,3,0))))</f>
        <v>2,07</v>
      </c>
      <c r="H192" s="463">
        <f t="shared" si="27"/>
        <v>1.93</v>
      </c>
      <c r="J192" s="305"/>
    </row>
    <row r="193" spans="1:10" s="87" customFormat="1" ht="51">
      <c r="A193" s="232" t="s">
        <v>4542</v>
      </c>
      <c r="B193" s="464">
        <v>91926</v>
      </c>
      <c r="C193" s="451" t="str">
        <f>IF(A193="SERVIÇO",VLOOKUP(B193,SERVIÇOS!$A$6:$D$7645,2,0),IF(A193="INSUMO",VLOOKUP(B193,INSUMOS!$A$6:$D$6961,2,0),IF(A193="COTAÇÃO",VLOOKUP(B193,'036-20-Cotação'!$A$9:$G$529,2,0))))</f>
        <v>CABO DE COBRE FLEXÍVEL ISOLADO, 2,5 MM², ANTI-CHAMA 450/750 V, PARA CIRCUITOS TERMINAIS - FORNECIMENTO E INSTALAÇÃO. AF_12/2015</v>
      </c>
      <c r="D193" s="452" t="str">
        <f>IF(A193="SERVIÇO",VLOOKUP(B193,SERVIÇOS!$A$6:$E$7645,5,0),IF(A193="INSUMO",VLOOKUP(B193,INSUMOS!$A$6:$E$6961,5,0),IF(A193="COTAÇÃO",VLOOKUP(B193,'036-20-Cotação'!$A$9:$H$529,8,0))))</f>
        <v>SER.CG</v>
      </c>
      <c r="E193" s="452" t="str">
        <f>IF(A193="SERVIÇO",VLOOKUP(B193,SERVIÇOS!$A$6:$D$7645,3,0),IF(A193="INSUMO",VLOOKUP(B193,INSUMOS!$A$6:$D$6961,3,0),IF(A193="COTAÇÃO",VLOOKUP(B193,'036-20-Cotação'!$A$9:$G$529,4,0))))</f>
        <v>M</v>
      </c>
      <c r="F193" s="542" t="s">
        <v>6364</v>
      </c>
      <c r="G193" s="453" t="str">
        <f>IF(A193="SERVIÇO",VLOOKUP(B193,SERVIÇOS!$A$6:$D$7645,4,0),IF(A193="INSUMO",VLOOKUP(B193,INSUMOS!$A$6:$D$6961,4,0),IF(A193="COTAÇÃO",VLOOKUP(B193,'036-20-Cotação'!$A$9:$G$529,3,0))))</f>
        <v>2,94</v>
      </c>
      <c r="H193" s="463">
        <f t="shared" si="27"/>
        <v>2.78</v>
      </c>
      <c r="J193" s="305"/>
    </row>
    <row r="194" spans="1:10" s="87" customFormat="1" ht="38.25">
      <c r="A194" s="232" t="s">
        <v>4542</v>
      </c>
      <c r="B194" s="464">
        <v>91959</v>
      </c>
      <c r="C194" s="451" t="str">
        <f>IF(A194="SERVIÇO",VLOOKUP(B194,SERVIÇOS!$A$6:$D$7645,2,0),IF(A194="INSUMO",VLOOKUP(B194,INSUMOS!$A$6:$D$6961,2,0),IF(A194="COTAÇÃO",VLOOKUP(B194,'036-20-Cotação'!$A$9:$G$529,2,0))))</f>
        <v>INTERRUPTOR SIMPLES (2 MÓDULOS), 10A/250V, INCLUINDO SUPORTE E PLACA - FORNECIMENTO E INSTALAÇÃO. AF_12/2015</v>
      </c>
      <c r="D194" s="452" t="str">
        <f>IF(A194="SERVIÇO",VLOOKUP(B194,SERVIÇOS!$A$6:$E$7645,5,0),IF(A194="INSUMO",VLOOKUP(B194,INSUMOS!$A$6:$E$6961,5,0),IF(A194="COTAÇÃO",VLOOKUP(B194,'036-20-Cotação'!$A$9:$H$529,8,0))))</f>
        <v>SER.CG</v>
      </c>
      <c r="E194" s="452" t="str">
        <f>IF(A194="SERVIÇO",VLOOKUP(B194,SERVIÇOS!$A$6:$D$7645,3,0),IF(A194="INSUMO",VLOOKUP(B194,INSUMOS!$A$6:$D$6961,3,0),IF(A194="COTAÇÃO",VLOOKUP(B194,'036-20-Cotação'!$A$9:$G$529,4,0))))</f>
        <v>UN</v>
      </c>
      <c r="F194" s="542" t="s">
        <v>6358</v>
      </c>
      <c r="G194" s="453" t="str">
        <f>IF(A194="SERVIÇO",VLOOKUP(B194,SERVIÇOS!$A$6:$D$7645,4,0),IF(A194="INSUMO",VLOOKUP(B194,INSUMOS!$A$6:$D$6961,4,0),IF(A194="COTAÇÃO",VLOOKUP(B194,'036-20-Cotação'!$A$9:$G$529,3,0))))</f>
        <v>35,30</v>
      </c>
      <c r="H194" s="463">
        <f t="shared" si="27"/>
        <v>0.57999999999999996</v>
      </c>
      <c r="J194" s="305"/>
    </row>
    <row r="195" spans="1:10" s="87" customFormat="1" ht="38.25">
      <c r="A195" s="232" t="s">
        <v>4542</v>
      </c>
      <c r="B195" s="464">
        <v>92000</v>
      </c>
      <c r="C195" s="451" t="str">
        <f>IF(A195="SERVIÇO",VLOOKUP(B195,SERVIÇOS!$A$6:$D$7645,2,0),IF(A195="INSUMO",VLOOKUP(B195,INSUMOS!$A$6:$D$6961,2,0),IF(A195="COTAÇÃO",VLOOKUP(B195,'036-20-Cotação'!$A$9:$G$529,2,0))))</f>
        <v>TOMADA BAIXA DE EMBUTIR (1 MÓDULO), 2P+T 10 A, INCLUINDO SUPORTE E PLACA - FORNECIMENTO E INSTALAÇÃO. AF_12/2015</v>
      </c>
      <c r="D195" s="452" t="str">
        <f>IF(A195="SERVIÇO",VLOOKUP(B195,SERVIÇOS!$A$6:$E$7645,5,0),IF(A195="INSUMO",VLOOKUP(B195,INSUMOS!$A$6:$E$6961,5,0),IF(A195="COTAÇÃO",VLOOKUP(B195,'036-20-Cotação'!$A$9:$H$529,8,0))))</f>
        <v>SER.CG</v>
      </c>
      <c r="E195" s="452" t="str">
        <f>IF(A195="SERVIÇO",VLOOKUP(B195,SERVIÇOS!$A$6:$D$7645,3,0),IF(A195="INSUMO",VLOOKUP(B195,INSUMOS!$A$6:$D$6961,3,0),IF(A195="COTAÇÃO",VLOOKUP(B195,'036-20-Cotação'!$A$9:$G$529,4,0))))</f>
        <v>UN</v>
      </c>
      <c r="F195" s="542" t="s">
        <v>6365</v>
      </c>
      <c r="G195" s="453" t="str">
        <f>IF(A195="SERVIÇO",VLOOKUP(B195,SERVIÇOS!$A$6:$D$7645,4,0),IF(A195="INSUMO",VLOOKUP(B195,INSUMOS!$A$6:$D$6961,4,0),IF(A195="COTAÇÃO",VLOOKUP(B195,'036-20-Cotação'!$A$9:$G$529,3,0))))</f>
        <v>23,58</v>
      </c>
      <c r="H195" s="463">
        <f t="shared" si="27"/>
        <v>0.78</v>
      </c>
      <c r="J195" s="305"/>
    </row>
    <row r="196" spans="1:10" s="87" customFormat="1" ht="38.25">
      <c r="A196" s="232" t="s">
        <v>4542</v>
      </c>
      <c r="B196" s="464">
        <v>92001</v>
      </c>
      <c r="C196" s="451" t="str">
        <f>IF(A196="SERVIÇO",VLOOKUP(B196,SERVIÇOS!$A$6:$D$7645,2,0),IF(A196="INSUMO",VLOOKUP(B196,INSUMOS!$A$6:$D$6961,2,0),IF(A196="COTAÇÃO",VLOOKUP(B196,'036-20-Cotação'!$A$9:$G$529,2,0))))</f>
        <v>TOMADA BAIXA DE EMBUTIR (1 MÓDULO), 2P+T 20 A, INCLUINDO SUPORTE E PLACA - FORNECIMENTO E INSTALAÇÃO. AF_12/2015</v>
      </c>
      <c r="D196" s="452" t="str">
        <f>IF(A196="SERVIÇO",VLOOKUP(B196,SERVIÇOS!$A$6:$E$7645,5,0),IF(A196="INSUMO",VLOOKUP(B196,INSUMOS!$A$6:$E$6961,5,0),IF(A196="COTAÇÃO",VLOOKUP(B196,'036-20-Cotação'!$A$9:$H$529,8,0))))</f>
        <v>SER.CG</v>
      </c>
      <c r="E196" s="452" t="str">
        <f>IF(A196="SERVIÇO",VLOOKUP(B196,SERVIÇOS!$A$6:$D$7645,3,0),IF(A196="INSUMO",VLOOKUP(B196,INSUMOS!$A$6:$D$6961,3,0),IF(A196="COTAÇÃO",VLOOKUP(B196,'036-20-Cotação'!$A$9:$G$529,4,0))))</f>
        <v>UN</v>
      </c>
      <c r="F196" s="542" t="s">
        <v>6365</v>
      </c>
      <c r="G196" s="453" t="str">
        <f>IF(A196="SERVIÇO",VLOOKUP(B196,SERVIÇOS!$A$6:$D$7645,4,0),IF(A196="INSUMO",VLOOKUP(B196,INSUMOS!$A$6:$D$6961,4,0),IF(A196="COTAÇÃO",VLOOKUP(B196,'036-20-Cotação'!$A$9:$G$529,3,0))))</f>
        <v>25,60</v>
      </c>
      <c r="H196" s="463">
        <f t="shared" si="27"/>
        <v>0.84</v>
      </c>
      <c r="J196" s="305"/>
    </row>
    <row r="197" spans="1:10" s="87" customFormat="1" ht="63.75">
      <c r="A197" s="232" t="s">
        <v>4542</v>
      </c>
      <c r="B197" s="464">
        <v>92543</v>
      </c>
      <c r="C197" s="451" t="str">
        <f>IF(A197="SERVIÇO",VLOOKUP(B197,SERVIÇOS!$A$6:$D$7645,2,0),IF(A197="INSUMO",VLOOKUP(B197,INSUMOS!$A$6:$D$6961,2,0),IF(A197="COTAÇÃO",VLOOKUP(B197,'036-20-Cotação'!$A$9:$G$529,2,0))))</f>
        <v>TRAMA DE MADEIRA COMPOSTA POR TERÇAS PARA TELHADOS DE ATÉ 2 ÁGUAS PARA TELHA ONDULADA DE FIBROCIMENTO, METÁLICA, PLÁSTICA OU TERMOACÚSTICA, INCLUSO TRANSPORTE VERTICAL. AF_07/2019</v>
      </c>
      <c r="D197" s="452" t="str">
        <f>IF(A197="SERVIÇO",VLOOKUP(B197,SERVIÇOS!$A$6:$E$7645,5,0),IF(A197="INSUMO",VLOOKUP(B197,INSUMOS!$A$6:$E$6961,5,0),IF(A197="COTAÇÃO",VLOOKUP(B197,'036-20-Cotação'!$A$9:$H$529,8,0))))</f>
        <v>SER.CG</v>
      </c>
      <c r="E197" s="452" t="str">
        <f>IF(A197="SERVIÇO",VLOOKUP(B197,SERVIÇOS!$A$6:$D$7645,3,0),IF(A197="INSUMO",VLOOKUP(B197,INSUMOS!$A$6:$D$6961,3,0),IF(A197="COTAÇÃO",VLOOKUP(B197,'036-20-Cotação'!$A$9:$G$529,4,0))))</f>
        <v>M2</v>
      </c>
      <c r="F197" s="542" t="s">
        <v>6366</v>
      </c>
      <c r="G197" s="453" t="str">
        <f>IF(A197="SERVIÇO",VLOOKUP(B197,SERVIÇOS!$A$6:$D$7645,4,0),IF(A197="INSUMO",VLOOKUP(B197,INSUMOS!$A$6:$D$6961,4,0),IF(A197="COTAÇÃO",VLOOKUP(B197,'036-20-Cotação'!$A$9:$G$529,3,0))))</f>
        <v>16,86</v>
      </c>
      <c r="H197" s="463">
        <f t="shared" si="27"/>
        <v>21.01</v>
      </c>
      <c r="J197" s="305"/>
    </row>
    <row r="198" spans="1:10" s="87" customFormat="1" ht="38.25">
      <c r="A198" s="232" t="s">
        <v>4542</v>
      </c>
      <c r="B198" s="464">
        <v>92981</v>
      </c>
      <c r="C198" s="451" t="str">
        <f>IF(A198="SERVIÇO",VLOOKUP(B198,SERVIÇOS!$A$6:$D$7645,2,0),IF(A198="INSUMO",VLOOKUP(B198,INSUMOS!$A$6:$D$6961,2,0),IF(A198="COTAÇÃO",VLOOKUP(B198,'036-20-Cotação'!$A$9:$G$529,2,0))))</f>
        <v>CABO DE COBRE FLEXÍVEL ISOLADO, 16 MM², ANTI-CHAMA 450/750 V, PARA DISTRIBUIÇÃO - FORNECIMENTO E INSTALAÇÃO. AF_12/2015</v>
      </c>
      <c r="D198" s="452" t="str">
        <f>IF(A198="SERVIÇO",VLOOKUP(B198,SERVIÇOS!$A$6:$E$7645,5,0),IF(A198="INSUMO",VLOOKUP(B198,INSUMOS!$A$6:$E$6961,5,0),IF(A198="COTAÇÃO",VLOOKUP(B198,'036-20-Cotação'!$A$9:$H$529,8,0))))</f>
        <v>SER.CG</v>
      </c>
      <c r="E198" s="452" t="str">
        <f>IF(A198="SERVIÇO",VLOOKUP(B198,SERVIÇOS!$A$6:$D$7645,3,0),IF(A198="INSUMO",VLOOKUP(B198,INSUMOS!$A$6:$D$6961,3,0),IF(A198="COTAÇÃO",VLOOKUP(B198,'036-20-Cotação'!$A$9:$G$529,4,0))))</f>
        <v>M</v>
      </c>
      <c r="F198" s="542" t="s">
        <v>6367</v>
      </c>
      <c r="G198" s="453" t="str">
        <f>IF(A198="SERVIÇO",VLOOKUP(B198,SERVIÇOS!$A$6:$D$7645,4,0),IF(A198="INSUMO",VLOOKUP(B198,INSUMOS!$A$6:$D$6961,4,0),IF(A198="COTAÇÃO",VLOOKUP(B198,'036-20-Cotação'!$A$9:$G$529,3,0))))</f>
        <v>10,39</v>
      </c>
      <c r="H198" s="463">
        <f t="shared" si="27"/>
        <v>1.72</v>
      </c>
      <c r="J198" s="305"/>
    </row>
    <row r="199" spans="1:10" s="87" customFormat="1" ht="38.25">
      <c r="A199" s="232" t="s">
        <v>4542</v>
      </c>
      <c r="B199" s="464">
        <v>93358</v>
      </c>
      <c r="C199" s="451" t="str">
        <f>IF(A199="SERVIÇO",VLOOKUP(B199,SERVIÇOS!$A$6:$D$7645,2,0),IF(A199="INSUMO",VLOOKUP(B199,INSUMOS!$A$6:$D$6961,2,0),IF(A199="COTAÇÃO",VLOOKUP(B199,'036-20-Cotação'!$A$9:$G$529,2,0))))</f>
        <v>ESCAVAÇÃO MANUAL DE VALA COM PROFUNDIDADE MENOR OU IGUAL A 1,30 M. AF_03/2016</v>
      </c>
      <c r="D199" s="452" t="str">
        <f>IF(A199="SERVIÇO",VLOOKUP(B199,SERVIÇOS!$A$6:$E$7645,5,0),IF(A199="INSUMO",VLOOKUP(B199,INSUMOS!$A$6:$E$6961,5,0),IF(A199="COTAÇÃO",VLOOKUP(B199,'036-20-Cotação'!$A$9:$H$529,8,0))))</f>
        <v>SER.CG</v>
      </c>
      <c r="E199" s="452" t="str">
        <f>IF(A199="SERVIÇO",VLOOKUP(B199,SERVIÇOS!$A$6:$D$7645,3,0),IF(A199="INSUMO",VLOOKUP(B199,INSUMOS!$A$6:$D$6961,3,0),IF(A199="COTAÇÃO",VLOOKUP(B199,'036-20-Cotação'!$A$9:$G$529,4,0))))</f>
        <v>M3</v>
      </c>
      <c r="F199" s="542" t="s">
        <v>6368</v>
      </c>
      <c r="G199" s="453" t="str">
        <f>IF(A199="SERVIÇO",VLOOKUP(B199,SERVIÇOS!$A$6:$D$7645,4,0),IF(A199="INSUMO",VLOOKUP(B199,INSUMOS!$A$6:$D$6961,4,0),IF(A199="COTAÇÃO",VLOOKUP(B199,'036-20-Cotação'!$A$9:$G$529,3,0))))</f>
        <v>65,59</v>
      </c>
      <c r="H199" s="463">
        <f t="shared" si="27"/>
        <v>0.08</v>
      </c>
      <c r="J199" s="305"/>
    </row>
    <row r="200" spans="1:10" s="87" customFormat="1" ht="63.75">
      <c r="A200" s="232" t="s">
        <v>4542</v>
      </c>
      <c r="B200" s="464">
        <v>94210</v>
      </c>
      <c r="C200" s="451" t="str">
        <f>IF(A200="SERVIÇO",VLOOKUP(B200,SERVIÇOS!$A$6:$D$7645,2,0),IF(A200="INSUMO",VLOOKUP(B200,INSUMOS!$A$6:$D$6961,2,0),IF(A200="COTAÇÃO",VLOOKUP(B200,'036-20-Cotação'!$A$9:$G$529,2,0))))</f>
        <v>TELHAMENTO COM TELHA ONDULADA DE FIBROCIMENTO E = 6 MM, COM RECOBRIMENTO LATERAL DE 1 1/4 DE ONDA PARA TELHADO COM INCLINAÇÃO MÁXIMA DE 10°, COM ATÉ 2 ÁGUAS, INCLUSO IÇAMENTO. AF_07/2019</v>
      </c>
      <c r="D200" s="452" t="str">
        <f>IF(A200="SERVIÇO",VLOOKUP(B200,SERVIÇOS!$A$6:$E$7645,5,0),IF(A200="INSUMO",VLOOKUP(B200,INSUMOS!$A$6:$E$6961,5,0),IF(A200="COTAÇÃO",VLOOKUP(B200,'036-20-Cotação'!$A$9:$H$529,8,0))))</f>
        <v>SER.CG</v>
      </c>
      <c r="E200" s="452" t="str">
        <f>IF(A200="SERVIÇO",VLOOKUP(B200,SERVIÇOS!$A$6:$D$7645,3,0),IF(A200="INSUMO",VLOOKUP(B200,INSUMOS!$A$6:$D$6961,3,0),IF(A200="COTAÇÃO",VLOOKUP(B200,'036-20-Cotação'!$A$9:$G$529,4,0))))</f>
        <v>M2</v>
      </c>
      <c r="F200" s="542" t="s">
        <v>6366</v>
      </c>
      <c r="G200" s="453" t="str">
        <f>IF(A200="SERVIÇO",VLOOKUP(B200,SERVIÇOS!$A$6:$D$7645,4,0),IF(A200="INSUMO",VLOOKUP(B200,INSUMOS!$A$6:$D$6961,4,0),IF(A200="COTAÇÃO",VLOOKUP(B200,'036-20-Cotação'!$A$9:$G$529,3,0))))</f>
        <v>31,84</v>
      </c>
      <c r="H200" s="463">
        <f t="shared" si="27"/>
        <v>39.69</v>
      </c>
      <c r="J200" s="305"/>
    </row>
    <row r="201" spans="1:10" s="87" customFormat="1" ht="38.25">
      <c r="A201" s="232" t="s">
        <v>4542</v>
      </c>
      <c r="B201" s="464">
        <v>95241</v>
      </c>
      <c r="C201" s="451" t="str">
        <f>IF(A201="SERVIÇO",VLOOKUP(B201,SERVIÇOS!$A$6:$D$7645,2,0),IF(A201="INSUMO",VLOOKUP(B201,INSUMOS!$A$6:$D$6961,2,0),IF(A201="COTAÇÃO",VLOOKUP(B201,'036-20-Cotação'!$A$9:$G$529,2,0))))</f>
        <v>LASTRO DE CONCRETO MAGRO, APLICADO EM PISOS OU RADIERS, ESPESSURA DE 5 CM. AF_07/2016</v>
      </c>
      <c r="D201" s="452" t="str">
        <f>IF(A201="SERVIÇO",VLOOKUP(B201,SERVIÇOS!$A$6:$E$7645,5,0),IF(A201="INSUMO",VLOOKUP(B201,INSUMOS!$A$6:$E$6961,5,0),IF(A201="COTAÇÃO",VLOOKUP(B201,'036-20-Cotação'!$A$9:$H$529,8,0))))</f>
        <v>SER.CG</v>
      </c>
      <c r="E201" s="452" t="str">
        <f>IF(A201="SERVIÇO",VLOOKUP(B201,SERVIÇOS!$A$6:$D$7645,3,0),IF(A201="INSUMO",VLOOKUP(B201,INSUMOS!$A$6:$D$6961,3,0),IF(A201="COTAÇÃO",VLOOKUP(B201,'036-20-Cotação'!$A$9:$G$529,4,0))))</f>
        <v>M2</v>
      </c>
      <c r="F201" s="542" t="s">
        <v>6366</v>
      </c>
      <c r="G201" s="453" t="str">
        <f>IF(A201="SERVIÇO",VLOOKUP(B201,SERVIÇOS!$A$6:$D$7645,4,0),IF(A201="INSUMO",VLOOKUP(B201,INSUMOS!$A$6:$D$6961,4,0),IF(A201="COTAÇÃO",VLOOKUP(B201,'036-20-Cotação'!$A$9:$G$529,3,0))))</f>
        <v>23,17</v>
      </c>
      <c r="H201" s="463">
        <f t="shared" si="27"/>
        <v>28.88</v>
      </c>
      <c r="J201" s="305"/>
    </row>
    <row r="202" spans="1:10" s="87" customFormat="1" ht="51">
      <c r="A202" s="232" t="s">
        <v>4542</v>
      </c>
      <c r="B202" s="464">
        <v>95805</v>
      </c>
      <c r="C202" s="451" t="str">
        <f>IF(A202="SERVIÇO",VLOOKUP(B202,SERVIÇOS!$A$6:$D$7645,2,0),IF(A202="INSUMO",VLOOKUP(B202,INSUMOS!$A$6:$D$6961,2,0),IF(A202="COTAÇÃO",VLOOKUP(B202,'036-20-Cotação'!$A$9:$G$529,2,0))))</f>
        <v>CONDULETE DE PVC, TIPO B, PARA ELETRODUTO DE PVC SOLDÁVEL DN 25 MM (3/4''), APARENTE - FORNECIMENTO E INSTALAÇÃO. AF_11/2016</v>
      </c>
      <c r="D202" s="452" t="str">
        <f>IF(A202="SERVIÇO",VLOOKUP(B202,SERVIÇOS!$A$6:$E$7645,5,0),IF(A202="INSUMO",VLOOKUP(B202,INSUMOS!$A$6:$E$6961,5,0),IF(A202="COTAÇÃO",VLOOKUP(B202,'036-20-Cotação'!$A$9:$H$529,8,0))))</f>
        <v>SER.CG</v>
      </c>
      <c r="E202" s="452" t="str">
        <f>IF(A202="SERVIÇO",VLOOKUP(B202,SERVIÇOS!$A$6:$D$7645,3,0),IF(A202="INSUMO",VLOOKUP(B202,INSUMOS!$A$6:$D$6961,3,0),IF(A202="COTAÇÃO",VLOOKUP(B202,'036-20-Cotação'!$A$9:$G$529,4,0))))</f>
        <v>UN</v>
      </c>
      <c r="F202" s="542" t="s">
        <v>6369</v>
      </c>
      <c r="G202" s="453" t="str">
        <f>IF(A202="SERVIÇO",VLOOKUP(B202,SERVIÇOS!$A$6:$D$7645,4,0),IF(A202="INSUMO",VLOOKUP(B202,INSUMOS!$A$6:$D$6961,4,0),IF(A202="COTAÇÃO",VLOOKUP(B202,'036-20-Cotação'!$A$9:$G$529,3,0))))</f>
        <v>18,39</v>
      </c>
      <c r="H202" s="463">
        <f t="shared" si="27"/>
        <v>1.21</v>
      </c>
      <c r="J202" s="305"/>
    </row>
    <row r="203" spans="1:10" s="87" customFormat="1" ht="25.5">
      <c r="A203" s="232" t="s">
        <v>4542</v>
      </c>
      <c r="B203" s="464">
        <v>96985</v>
      </c>
      <c r="C203" s="451" t="str">
        <f>IF(A203="SERVIÇO",VLOOKUP(B203,SERVIÇOS!$A$6:$D$7645,2,0),IF(A203="INSUMO",VLOOKUP(B203,INSUMOS!$A$6:$D$6961,2,0),IF(A203="COTAÇÃO",VLOOKUP(B203,'036-20-Cotação'!$A$9:$G$529,2,0))))</f>
        <v>HASTE DE ATERRAMENTO 5/8  PARA SPDA - FORNECIMENTO E INSTALAÇÃO. AF_12/2017</v>
      </c>
      <c r="D203" s="452" t="str">
        <f>IF(A203="SERVIÇO",VLOOKUP(B203,SERVIÇOS!$A$6:$E$7645,5,0),IF(A203="INSUMO",VLOOKUP(B203,INSUMOS!$A$6:$E$6961,5,0),IF(A203="COTAÇÃO",VLOOKUP(B203,'036-20-Cotação'!$A$9:$H$529,8,0))))</f>
        <v>SER.CG</v>
      </c>
      <c r="E203" s="452" t="str">
        <f>IF(A203="SERVIÇO",VLOOKUP(B203,SERVIÇOS!$A$6:$D$7645,3,0),IF(A203="INSUMO",VLOOKUP(B203,INSUMOS!$A$6:$D$6961,3,0),IF(A203="COTAÇÃO",VLOOKUP(B203,'036-20-Cotação'!$A$9:$G$529,4,0))))</f>
        <v>UN</v>
      </c>
      <c r="F203" s="542" t="s">
        <v>6365</v>
      </c>
      <c r="G203" s="453" t="str">
        <f>IF(A203="SERVIÇO",VLOOKUP(B203,SERVIÇOS!$A$6:$D$7645,4,0),IF(A203="INSUMO",VLOOKUP(B203,INSUMOS!$A$6:$D$6961,4,0),IF(A203="COTAÇÃO",VLOOKUP(B203,'036-20-Cotação'!$A$9:$G$529,3,0))))</f>
        <v>56,83</v>
      </c>
      <c r="H203" s="463">
        <f t="shared" si="27"/>
        <v>1.88</v>
      </c>
      <c r="J203" s="305"/>
    </row>
    <row r="204" spans="1:10" s="87" customFormat="1" ht="38.25">
      <c r="A204" s="232" t="s">
        <v>4542</v>
      </c>
      <c r="B204" s="464">
        <v>97586</v>
      </c>
      <c r="C204" s="451" t="str">
        <f>IF(A204="SERVIÇO",VLOOKUP(B204,SERVIÇOS!$A$6:$D$7645,2,0),IF(A204="INSUMO",VLOOKUP(B204,INSUMOS!$A$6:$D$6961,2,0),IF(A204="COTAÇÃO",VLOOKUP(B204,'036-20-Cotação'!$A$9:$G$529,2,0))))</f>
        <v>LUMINÁRIA TIPO CALHA, DE SOBREPOR, COM 2 LÂMPADAS TUBULARES DE 36 W - FORNECIMENTO E INSTALAÇÃO. AF_11/2017</v>
      </c>
      <c r="D204" s="452" t="str">
        <f>IF(A204="SERVIÇO",VLOOKUP(B204,SERVIÇOS!$A$6:$E$7645,5,0),IF(A204="INSUMO",VLOOKUP(B204,INSUMOS!$A$6:$E$6961,5,0),IF(A204="COTAÇÃO",VLOOKUP(B204,'036-20-Cotação'!$A$9:$H$529,8,0))))</f>
        <v>SER.CG</v>
      </c>
      <c r="E204" s="452" t="str">
        <f>IF(A204="SERVIÇO",VLOOKUP(B204,SERVIÇOS!$A$6:$D$7645,3,0),IF(A204="INSUMO",VLOOKUP(B204,INSUMOS!$A$6:$D$6961,3,0),IF(A204="COTAÇÃO",VLOOKUP(B204,'036-20-Cotação'!$A$9:$G$529,4,0))))</f>
        <v>UN</v>
      </c>
      <c r="F204" s="542" t="s">
        <v>6370</v>
      </c>
      <c r="G204" s="453" t="str">
        <f>IF(A204="SERVIÇO",VLOOKUP(B204,SERVIÇOS!$A$6:$D$7645,4,0),IF(A204="INSUMO",VLOOKUP(B204,INSUMOS!$A$6:$D$6961,4,0),IF(A204="COTAÇÃO",VLOOKUP(B204,'036-20-Cotação'!$A$9:$G$529,3,0))))</f>
        <v>80,32</v>
      </c>
      <c r="H204" s="463">
        <f t="shared" si="27"/>
        <v>10.64</v>
      </c>
      <c r="J204" s="305"/>
    </row>
    <row r="205" spans="1:10" s="87" customFormat="1" ht="51">
      <c r="A205" s="232" t="s">
        <v>4542</v>
      </c>
      <c r="B205" s="464">
        <v>97886</v>
      </c>
      <c r="C205" s="451" t="str">
        <f>IF(A205="SERVIÇO",VLOOKUP(B205,SERVIÇOS!$A$6:$D$7645,2,0),IF(A205="INSUMO",VLOOKUP(B205,INSUMOS!$A$6:$D$6961,2,0),IF(A205="COTAÇÃO",VLOOKUP(B205,'036-20-Cotação'!$A$9:$G$529,2,0))))</f>
        <v>CAIXA ENTERRADA ELÉTRICA RETANGULAR, EM ALVENARIA COM TIJOLOS CERÂMICOS MACIÇOS, FUNDO COM BRITA, DIMENSÕES INTERNAS: 0,3X0,3X0,3 M. AF_05/2018</v>
      </c>
      <c r="D205" s="452" t="str">
        <f>IF(A205="SERVIÇO",VLOOKUP(B205,SERVIÇOS!$A$6:$E$7645,5,0),IF(A205="INSUMO",VLOOKUP(B205,INSUMOS!$A$6:$E$6961,5,0),IF(A205="COTAÇÃO",VLOOKUP(B205,'036-20-Cotação'!$A$9:$H$529,8,0))))</f>
        <v>SER.CG</v>
      </c>
      <c r="E205" s="452" t="str">
        <f>IF(A205="SERVIÇO",VLOOKUP(B205,SERVIÇOS!$A$6:$D$7645,3,0),IF(A205="INSUMO",VLOOKUP(B205,INSUMOS!$A$6:$D$6961,3,0),IF(A205="COTAÇÃO",VLOOKUP(B205,'036-20-Cotação'!$A$9:$G$529,4,0))))</f>
        <v>UN</v>
      </c>
      <c r="F205" s="542" t="s">
        <v>6365</v>
      </c>
      <c r="G205" s="453" t="str">
        <f>IF(A205="SERVIÇO",VLOOKUP(B205,SERVIÇOS!$A$6:$D$7645,4,0),IF(A205="INSUMO",VLOOKUP(B205,INSUMOS!$A$6:$D$6961,4,0),IF(A205="COTAÇÃO",VLOOKUP(B205,'036-20-Cotação'!$A$9:$G$529,3,0))))</f>
        <v>133,62</v>
      </c>
      <c r="H205" s="463">
        <f t="shared" si="27"/>
        <v>4.42</v>
      </c>
      <c r="J205" s="305"/>
    </row>
    <row r="206" spans="1:10" s="87" customFormat="1" ht="51">
      <c r="A206" s="232" t="s">
        <v>4542</v>
      </c>
      <c r="B206" s="464">
        <v>98441</v>
      </c>
      <c r="C206" s="451" t="str">
        <f>IF(A206="SERVIÇO",VLOOKUP(B206,SERVIÇOS!$A$6:$D$7645,2,0),IF(A206="INSUMO",VLOOKUP(B206,INSUMOS!$A$6:$D$6961,2,0),IF(A206="COTAÇÃO",VLOOKUP(B206,'036-20-Cotação'!$A$9:$G$529,2,0))))</f>
        <v>PAREDE DE MADEIRA COMPENSADA PARA CONSTRUÇÃO TEMPORÁRIA EM CHAPA SIMPLES, EXTERNA, COM ÁREA LÍQUIDA MAIOR OU IGUAL A 6 M², SEM VÃO. AF_05/2018</v>
      </c>
      <c r="D206" s="452" t="str">
        <f>IF(A206="SERVIÇO",VLOOKUP(B206,SERVIÇOS!$A$6:$E$7645,5,0),IF(A206="INSUMO",VLOOKUP(B206,INSUMOS!$A$6:$E$6961,5,0),IF(A206="COTAÇÃO",VLOOKUP(B206,'036-20-Cotação'!$A$9:$H$529,8,0))))</f>
        <v>SER.CG</v>
      </c>
      <c r="E206" s="452" t="str">
        <f>IF(A206="SERVIÇO",VLOOKUP(B206,SERVIÇOS!$A$6:$D$7645,3,0),IF(A206="INSUMO",VLOOKUP(B206,INSUMOS!$A$6:$D$6961,3,0),IF(A206="COTAÇÃO",VLOOKUP(B206,'036-20-Cotação'!$A$9:$G$529,4,0))))</f>
        <v>M2</v>
      </c>
      <c r="F206" s="542" t="s">
        <v>6371</v>
      </c>
      <c r="G206" s="453" t="str">
        <f>IF(A206="SERVIÇO",VLOOKUP(B206,SERVIÇOS!$A$6:$D$7645,4,0),IF(A206="INSUMO",VLOOKUP(B206,INSUMOS!$A$6:$D$6961,4,0),IF(A206="COTAÇÃO",VLOOKUP(B206,'036-20-Cotação'!$A$9:$G$529,3,0))))</f>
        <v>101,43</v>
      </c>
      <c r="H206" s="463">
        <f t="shared" si="27"/>
        <v>9.9499999999999993</v>
      </c>
      <c r="J206" s="305"/>
    </row>
    <row r="207" spans="1:10" s="87" customFormat="1" ht="51">
      <c r="A207" s="232" t="s">
        <v>4542</v>
      </c>
      <c r="B207" s="464">
        <v>98442</v>
      </c>
      <c r="C207" s="451" t="str">
        <f>IF(A207="SERVIÇO",VLOOKUP(B207,SERVIÇOS!$A$6:$D$7645,2,0),IF(A207="INSUMO",VLOOKUP(B207,INSUMOS!$A$6:$D$6961,2,0),IF(A207="COTAÇÃO",VLOOKUP(B207,'036-20-Cotação'!$A$9:$G$529,2,0))))</f>
        <v>PAREDE DE MADEIRA COMPENSADA PARA CONSTRUÇÃO TEMPORÁRIA EM CHAPA SIMPLES, EXTERNA, COM ÁREA LÍQUIDA MENOR QUE 6 M², SEM VÃO. AF_05/2018</v>
      </c>
      <c r="D207" s="452" t="str">
        <f>IF(A207="SERVIÇO",VLOOKUP(B207,SERVIÇOS!$A$6:$E$7645,5,0),IF(A207="INSUMO",VLOOKUP(B207,INSUMOS!$A$6:$E$6961,5,0),IF(A207="COTAÇÃO",VLOOKUP(B207,'036-20-Cotação'!$A$9:$H$529,8,0))))</f>
        <v>SER.CG</v>
      </c>
      <c r="E207" s="452" t="str">
        <f>IF(A207="SERVIÇO",VLOOKUP(B207,SERVIÇOS!$A$6:$D$7645,3,0),IF(A207="INSUMO",VLOOKUP(B207,INSUMOS!$A$6:$D$6961,3,0),IF(A207="COTAÇÃO",VLOOKUP(B207,'036-20-Cotação'!$A$9:$G$529,4,0))))</f>
        <v>M2</v>
      </c>
      <c r="F207" s="542" t="s">
        <v>6372</v>
      </c>
      <c r="G207" s="453" t="str">
        <f>IF(A207="SERVIÇO",VLOOKUP(B207,SERVIÇOS!$A$6:$D$7645,4,0),IF(A207="INSUMO",VLOOKUP(B207,INSUMOS!$A$6:$D$6961,4,0),IF(A207="COTAÇÃO",VLOOKUP(B207,'036-20-Cotação'!$A$9:$G$529,3,0))))</f>
        <v>104,20</v>
      </c>
      <c r="H207" s="463">
        <f t="shared" si="27"/>
        <v>11.76</v>
      </c>
      <c r="J207" s="305"/>
    </row>
    <row r="208" spans="1:10" s="87" customFormat="1" ht="51">
      <c r="A208" s="232" t="s">
        <v>4542</v>
      </c>
      <c r="B208" s="464">
        <v>98445</v>
      </c>
      <c r="C208" s="451" t="str">
        <f>IF(A208="SERVIÇO",VLOOKUP(B208,SERVIÇOS!$A$6:$D$7645,2,0),IF(A208="INSUMO",VLOOKUP(B208,INSUMOS!$A$6:$D$6961,2,0),IF(A208="COTAÇÃO",VLOOKUP(B208,'036-20-Cotação'!$A$9:$G$529,2,0))))</f>
        <v>PAREDE DE MADEIRA COMPENSADA PARA CONSTRUÇÃO TEMPORÁRIA EM CHAPA SIMPLES, EXTERNA, COM ÁREA LÍQUIDA MAIOR OU IGUAL A 6 M², COM VÃO. AF_05/2018</v>
      </c>
      <c r="D208" s="452" t="str">
        <f>IF(A208="SERVIÇO",VLOOKUP(B208,SERVIÇOS!$A$6:$E$7645,5,0),IF(A208="INSUMO",VLOOKUP(B208,INSUMOS!$A$6:$E$6961,5,0),IF(A208="COTAÇÃO",VLOOKUP(B208,'036-20-Cotação'!$A$9:$H$529,8,0))))</f>
        <v>SER.CG</v>
      </c>
      <c r="E208" s="452" t="str">
        <f>IF(A208="SERVIÇO",VLOOKUP(B208,SERVIÇOS!$A$6:$D$7645,3,0),IF(A208="INSUMO",VLOOKUP(B208,INSUMOS!$A$6:$D$6961,3,0),IF(A208="COTAÇÃO",VLOOKUP(B208,'036-20-Cotação'!$A$9:$G$529,4,0))))</f>
        <v>M2</v>
      </c>
      <c r="F208" s="542" t="s">
        <v>6373</v>
      </c>
      <c r="G208" s="453" t="str">
        <f>IF(A208="SERVIÇO",VLOOKUP(B208,SERVIÇOS!$A$6:$D$7645,4,0),IF(A208="INSUMO",VLOOKUP(B208,INSUMOS!$A$6:$D$6961,4,0),IF(A208="COTAÇÃO",VLOOKUP(B208,'036-20-Cotação'!$A$9:$G$529,3,0))))</f>
        <v>121,97</v>
      </c>
      <c r="H208" s="463">
        <f t="shared" si="27"/>
        <v>18.68</v>
      </c>
      <c r="J208" s="305"/>
    </row>
    <row r="209" spans="1:12" s="87" customFormat="1" ht="51">
      <c r="A209" s="232" t="s">
        <v>4542</v>
      </c>
      <c r="B209" s="464">
        <v>98446</v>
      </c>
      <c r="C209" s="451" t="str">
        <f>IF(A209="SERVIÇO",VLOOKUP(B209,SERVIÇOS!$A$6:$D$7645,2,0),IF(A209="INSUMO",VLOOKUP(B209,INSUMOS!$A$6:$D$6961,2,0),IF(A209="COTAÇÃO",VLOOKUP(B209,'036-20-Cotação'!$A$9:$G$529,2,0))))</f>
        <v>PAREDE DE MADEIRA COMPENSADA PARA CONSTRUÇÃO TEMPORÁRIA EM CHAPA SIMPLES, EXTERNA, COM ÁREA LÍQUIDA MENOR QUE 6 M², COM VÃO. AF_05/2018</v>
      </c>
      <c r="D209" s="452" t="str">
        <f>IF(A209="SERVIÇO",VLOOKUP(B209,SERVIÇOS!$A$6:$E$7645,5,0),IF(A209="INSUMO",VLOOKUP(B209,INSUMOS!$A$6:$E$6961,5,0),IF(A209="COTAÇÃO",VLOOKUP(B209,'036-20-Cotação'!$A$9:$H$529,8,0))))</f>
        <v>SER.CG</v>
      </c>
      <c r="E209" s="452" t="str">
        <f>IF(A209="SERVIÇO",VLOOKUP(B209,SERVIÇOS!$A$6:$D$7645,3,0),IF(A209="INSUMO",VLOOKUP(B209,INSUMOS!$A$6:$D$6961,3,0),IF(A209="COTAÇÃO",VLOOKUP(B209,'036-20-Cotação'!$A$9:$G$529,4,0))))</f>
        <v>M2</v>
      </c>
      <c r="F209" s="542" t="s">
        <v>6374</v>
      </c>
      <c r="G209" s="453" t="str">
        <f>IF(A209="SERVIÇO",VLOOKUP(B209,SERVIÇOS!$A$6:$D$7645,4,0),IF(A209="INSUMO",VLOOKUP(B209,INSUMOS!$A$6:$D$6961,4,0),IF(A209="COTAÇÃO",VLOOKUP(B209,'036-20-Cotação'!$A$9:$G$529,3,0))))</f>
        <v>157,63</v>
      </c>
      <c r="H209" s="463">
        <f t="shared" si="27"/>
        <v>18.829999999999998</v>
      </c>
      <c r="J209" s="305"/>
    </row>
    <row r="210" spans="1:12" s="87" customFormat="1" ht="15" customHeight="1">
      <c r="A210" s="232"/>
      <c r="B210" s="199" t="s">
        <v>123</v>
      </c>
      <c r="C210" s="698" t="s">
        <v>6375</v>
      </c>
      <c r="D210" s="699"/>
      <c r="E210" s="699"/>
      <c r="F210" s="699"/>
      <c r="G210" s="699"/>
      <c r="H210" s="700"/>
      <c r="J210" s="305"/>
    </row>
    <row r="211" spans="1:12" s="78" customFormat="1" ht="9.75" customHeight="1">
      <c r="A211" s="188"/>
      <c r="B211" s="318"/>
      <c r="C211" s="316"/>
      <c r="D211" s="316"/>
      <c r="E211" s="316"/>
      <c r="F211" s="316"/>
      <c r="G211" s="316"/>
      <c r="H211" s="317"/>
      <c r="J211" s="303"/>
    </row>
    <row r="212" spans="1:12" s="78" customFormat="1" ht="216.75">
      <c r="A212" s="188"/>
      <c r="B212" s="80" t="s">
        <v>6266</v>
      </c>
      <c r="C212" s="81" t="s">
        <v>6618</v>
      </c>
      <c r="D212" s="82" t="s">
        <v>84</v>
      </c>
      <c r="E212" s="82" t="s">
        <v>150</v>
      </c>
      <c r="F212" s="83"/>
      <c r="G212" s="84"/>
      <c r="H212" s="85">
        <f>ROUND(SUM(H213:H234),2)</f>
        <v>620.4</v>
      </c>
      <c r="J212" s="304"/>
    </row>
    <row r="213" spans="1:12" s="87" customFormat="1" ht="12.75">
      <c r="A213" s="232" t="s">
        <v>4542</v>
      </c>
      <c r="B213" s="464" t="s">
        <v>9006</v>
      </c>
      <c r="C213" s="451" t="str">
        <f>IF(A213="SERVIÇO",VLOOKUP(B213,SERVIÇOS!$A$6:$D$7645,2,0),IF(A213="INSUMO",VLOOKUP(B213,INSUMOS!$A$6:$D$6961,2,0),IF(A213="COTAÇÃO",VLOOKUP(B213,'036-20-Cotação'!$A$9:$G$529,2,0))))</f>
        <v>GRUPO GERADOR - 2,5/3 KVA</v>
      </c>
      <c r="D213" s="452" t="str">
        <f>IF(A213="SERVIÇO",VLOOKUP(B213,SERVIÇOS!$A$6:$E$7645,5,0),IF(A213="INSUMO",VLOOKUP(B213,INSUMOS!$A$6:$E$6961,5,0),IF(A213="COTAÇÃO",VLOOKUP(B213,'036-20-Cotação'!$A$9:$H$529,8,0))))</f>
        <v>EQUIP.</v>
      </c>
      <c r="E213" s="452" t="str">
        <f>IF(A213="SERVIÇO",VLOOKUP(B213,SERVIÇOS!$A$6:$D$7645,3,0),IF(A213="INSUMO",VLOOKUP(B213,INSUMOS!$A$6:$D$6961,3,0),IF(A213="COTAÇÃO",VLOOKUP(B213,'036-20-Cotação'!$A$9:$G$529,4,0))))</f>
        <v>CHP</v>
      </c>
      <c r="F213" s="542">
        <v>0.87280000000000002</v>
      </c>
      <c r="G213" s="453">
        <f>IF(A213="SERVIÇO",VLOOKUP(B213,SERVIÇOS!$A$6:$D$7645,4,0),IF(A213="INSUMO",VLOOKUP(B213,INSUMOS!$A$6:$D$6961,4,0),IF(A213="COTAÇÃO",VLOOKUP(B213,'036-20-Cotação'!$A$9:$G$529,3,0))))</f>
        <v>2.9165999999999999</v>
      </c>
      <c r="H213" s="463">
        <f t="shared" ref="H213:H234" si="28">G213*F213</f>
        <v>2.5456084799999998</v>
      </c>
      <c r="J213" s="305"/>
    </row>
    <row r="214" spans="1:12" s="87" customFormat="1" ht="25.5">
      <c r="A214" s="232" t="s">
        <v>4542</v>
      </c>
      <c r="B214" s="464" t="s">
        <v>9046</v>
      </c>
      <c r="C214" s="451" t="str">
        <f>IF(A214="SERVIÇO",VLOOKUP(B214,SERVIÇOS!$A$6:$D$7645,2,0),IF(A214="INSUMO",VLOOKUP(B214,INSUMOS!$A$6:$D$6961,2,0),IF(A214="COTAÇÃO",VLOOKUP(B214,'036-20-Cotação'!$A$9:$G$529,2,0))))</f>
        <v>BOMBA CENTRÍFUGA COM CAPACIDADE DE 8,6 A 22 M³/H - 1,5 KW</v>
      </c>
      <c r="D214" s="452" t="str">
        <f>IF(A214="SERVIÇO",VLOOKUP(B214,SERVIÇOS!$A$6:$E$7645,5,0),IF(A214="INSUMO",VLOOKUP(B214,INSUMOS!$A$6:$E$6961,5,0),IF(A214="COTAÇÃO",VLOOKUP(B214,'036-20-Cotação'!$A$9:$H$529,8,0))))</f>
        <v>EQUIP.</v>
      </c>
      <c r="E214" s="452" t="str">
        <f>IF(A214="SERVIÇO",VLOOKUP(B214,SERVIÇOS!$A$6:$D$7645,3,0),IF(A214="INSUMO",VLOOKUP(B214,INSUMOS!$A$6:$D$6961,3,0),IF(A214="COTAÇÃO",VLOOKUP(B214,'036-20-Cotação'!$A$9:$G$529,4,0))))</f>
        <v>CHP</v>
      </c>
      <c r="F214" s="542">
        <f>0.0946*24*2</f>
        <v>4.5407999999999999</v>
      </c>
      <c r="G214" s="453">
        <f>IF(A214="SERVIÇO",VLOOKUP(B214,SERVIÇOS!$A$6:$D$7645,4,0),IF(A214="INSUMO",VLOOKUP(B214,INSUMOS!$A$6:$D$6961,4,0),IF(A214="COTAÇÃO",VLOOKUP(B214,'036-20-Cotação'!$A$9:$G$529,3,0))))</f>
        <v>0.16270000000000001</v>
      </c>
      <c r="H214" s="463">
        <f t="shared" si="28"/>
        <v>0.73878816000000003</v>
      </c>
      <c r="J214" s="305"/>
      <c r="K214" s="543"/>
    </row>
    <row r="215" spans="1:12" s="87" customFormat="1" ht="12.75">
      <c r="A215" s="232" t="s">
        <v>4542</v>
      </c>
      <c r="B215" s="464" t="s">
        <v>6613</v>
      </c>
      <c r="C215" s="451" t="str">
        <f>IF(A215="SERVIÇO",VLOOKUP(B215,SERVIÇOS!$A$6:$D$7645,2,0),IF(A215="INSUMO",VLOOKUP(B215,INSUMOS!$A$6:$D$6961,2,0),IF(A215="COTAÇÃO",VLOOKUP(B215,'036-20-Cotação'!$A$9:$G$529,2,0))))</f>
        <v>CARPINTEIRO</v>
      </c>
      <c r="D215" s="452" t="str">
        <f>IF(A215="SERVIÇO",VLOOKUP(B215,SERVIÇOS!$A$6:$E$7645,5,0),IF(A215="INSUMO",VLOOKUP(B215,INSUMOS!$A$6:$E$6961,5,0),IF(A215="COTAÇÃO",VLOOKUP(B215,'036-20-Cotação'!$A$9:$H$529,8,0))))</f>
        <v>M.O</v>
      </c>
      <c r="E215" s="452" t="str">
        <f>IF(A215="SERVIÇO",VLOOKUP(B215,SERVIÇOS!$A$6:$D$7645,3,0),IF(A215="INSUMO",VLOOKUP(B215,INSUMOS!$A$6:$D$6961,3,0),IF(A215="COTAÇÃO",VLOOKUP(B215,'036-20-Cotação'!$A$9:$G$529,4,0))))</f>
        <v>H</v>
      </c>
      <c r="F215" s="542">
        <f>4.6964+2.6837</f>
        <v>7.3800999999999997</v>
      </c>
      <c r="G215" s="453">
        <f>IF(A215="SERVIÇO",VLOOKUP(B215,SERVIÇOS!$A$6:$D$7645,4,0),IF(A215="INSUMO",VLOOKUP(B215,INSUMOS!$A$6:$D$6961,4,0),IF(A215="COTAÇÃO",VLOOKUP(B215,'036-20-Cotação'!$A$9:$G$529,3,0))))</f>
        <v>21.710999999999999</v>
      </c>
      <c r="H215" s="463">
        <f t="shared" si="28"/>
        <v>160.22935109999997</v>
      </c>
      <c r="J215" s="232"/>
      <c r="K215" s="232"/>
    </row>
    <row r="216" spans="1:12" s="87" customFormat="1" ht="12.75">
      <c r="A216" s="232" t="s">
        <v>4542</v>
      </c>
      <c r="B216" s="464" t="s">
        <v>6614</v>
      </c>
      <c r="C216" s="451" t="str">
        <f>IF(A216="SERVIÇO",VLOOKUP(B216,SERVIÇOS!$A$6:$D$7645,2,0),IF(A216="INSUMO",VLOOKUP(B216,INSUMOS!$A$6:$D$6961,2,0),IF(A216="COTAÇÃO",VLOOKUP(B216,'036-20-Cotação'!$A$9:$G$529,2,0))))</f>
        <v>PEDREIRO</v>
      </c>
      <c r="D216" s="452" t="str">
        <f>IF(A216="SERVIÇO",VLOOKUP(B216,SERVIÇOS!$A$6:$E$7645,5,0),IF(A216="INSUMO",VLOOKUP(B216,INSUMOS!$A$6:$E$6961,5,0),IF(A216="COTAÇÃO",VLOOKUP(B216,'036-20-Cotação'!$A$9:$H$529,8,0))))</f>
        <v>M.O</v>
      </c>
      <c r="E216" s="452" t="str">
        <f>IF(A216="SERVIÇO",VLOOKUP(B216,SERVIÇOS!$A$6:$D$7645,3,0),IF(A216="INSUMO",VLOOKUP(B216,INSUMOS!$A$6:$D$6961,3,0),IF(A216="COTAÇÃO",VLOOKUP(B216,'036-20-Cotação'!$A$9:$G$529,4,0))))</f>
        <v>H</v>
      </c>
      <c r="F216" s="542">
        <v>1.3415999999999999</v>
      </c>
      <c r="G216" s="453">
        <f>IF(A216="SERVIÇO",VLOOKUP(B216,SERVIÇOS!$A$6:$D$7645,4,0),IF(A216="INSUMO",VLOOKUP(B216,INSUMOS!$A$6:$D$6961,4,0),IF(A216="COTAÇÃO",VLOOKUP(B216,'036-20-Cotação'!$A$9:$G$529,3,0))))</f>
        <v>21.647600000000001</v>
      </c>
      <c r="H216" s="463">
        <f t="shared" si="28"/>
        <v>29.042420159999999</v>
      </c>
      <c r="J216" s="305"/>
    </row>
    <row r="217" spans="1:12" s="87" customFormat="1" ht="12.75">
      <c r="A217" s="232" t="s">
        <v>4542</v>
      </c>
      <c r="B217" s="464" t="s">
        <v>6602</v>
      </c>
      <c r="C217" s="451" t="str">
        <f>IF(A217="SERVIÇO",VLOOKUP(B217,SERVIÇOS!$A$6:$D$7645,2,0),IF(A217="INSUMO",VLOOKUP(B217,INSUMOS!$A$6:$D$6961,2,0),IF(A217="COTAÇÃO",VLOOKUP(B217,'036-20-Cotação'!$A$9:$G$529,2,0))))</f>
        <v>SERVENTE</v>
      </c>
      <c r="D217" s="452" t="str">
        <f>IF(A217="SERVIÇO",VLOOKUP(B217,SERVIÇOS!$A$6:$E$7645,5,0),IF(A217="INSUMO",VLOOKUP(B217,INSUMOS!$A$6:$E$6961,5,0),IF(A217="COTAÇÃO",VLOOKUP(B217,'036-20-Cotação'!$A$9:$H$529,8,0))))</f>
        <v>M.O</v>
      </c>
      <c r="E217" s="452" t="str">
        <f>IF(A217="SERVIÇO",VLOOKUP(B217,SERVIÇOS!$A$6:$D$7645,3,0),IF(A217="INSUMO",VLOOKUP(B217,INSUMOS!$A$6:$D$6961,3,0),IF(A217="COTAÇÃO",VLOOKUP(B217,'036-20-Cotação'!$A$9:$G$529,4,0))))</f>
        <v>H</v>
      </c>
      <c r="F217" s="542">
        <v>8.0509000000000004</v>
      </c>
      <c r="G217" s="453">
        <f>IF(A217="SERVIÇO",VLOOKUP(B217,SERVIÇOS!$A$6:$D$7645,4,0),IF(A217="INSUMO",VLOOKUP(B217,INSUMOS!$A$6:$D$6961,4,0),IF(A217="COTAÇÃO",VLOOKUP(B217,'036-20-Cotação'!$A$9:$G$529,3,0))))</f>
        <v>15.637499999999999</v>
      </c>
      <c r="H217" s="463">
        <f t="shared" si="28"/>
        <v>125.89594875</v>
      </c>
      <c r="J217" s="305"/>
    </row>
    <row r="218" spans="1:12" s="87" customFormat="1" ht="12.75">
      <c r="A218" s="232" t="s">
        <v>4542</v>
      </c>
      <c r="B218" s="464" t="s">
        <v>6615</v>
      </c>
      <c r="C218" s="451" t="str">
        <f>IF(A218="SERVIÇO",VLOOKUP(B218,SERVIÇOS!$A$6:$D$7645,2,0),IF(A218="INSUMO",VLOOKUP(B218,INSUMOS!$A$6:$D$6961,2,0),IF(A218="COTAÇÃO",VLOOKUP(B218,'036-20-Cotação'!$A$9:$G$529,2,0))))</f>
        <v>TOPÓGRAFO</v>
      </c>
      <c r="D218" s="452" t="str">
        <f>IF(A218="SERVIÇO",VLOOKUP(B218,SERVIÇOS!$A$6:$E$7645,5,0),IF(A218="INSUMO",VLOOKUP(B218,INSUMOS!$A$6:$E$6961,5,0),IF(A218="COTAÇÃO",VLOOKUP(B218,'036-20-Cotação'!$A$9:$H$529,8,0))))</f>
        <v>M.O</v>
      </c>
      <c r="E218" s="452" t="str">
        <f>IF(A218="SERVIÇO",VLOOKUP(B218,SERVIÇOS!$A$6:$D$7645,3,0),IF(A218="INSUMO",VLOOKUP(B218,INSUMOS!$A$6:$D$6961,3,0),IF(A218="COTAÇÃO",VLOOKUP(B218,'036-20-Cotação'!$A$9:$G$529,4,0))))</f>
        <v>MÊS</v>
      </c>
      <c r="F218" s="542">
        <v>1.5250000000000001E-3</v>
      </c>
      <c r="G218" s="453">
        <f>IF(A218="SERVIÇO",VLOOKUP(B218,SERVIÇOS!$A$6:$D$7645,4,0),IF(A218="INSUMO",VLOOKUP(B218,INSUMOS!$A$6:$D$6961,4,0),IF(A218="COTAÇÃO",VLOOKUP(B218,'036-20-Cotação'!$A$9:$G$529,3,0))))</f>
        <v>5118.4363000000003</v>
      </c>
      <c r="H218" s="463">
        <f t="shared" si="28"/>
        <v>7.8056153575000007</v>
      </c>
      <c r="J218" s="305">
        <v>1</v>
      </c>
      <c r="K218" s="87">
        <v>220</v>
      </c>
      <c r="L218" s="702">
        <f>K219/K218</f>
        <v>1.5250000000000001E-3</v>
      </c>
    </row>
    <row r="219" spans="1:12" s="87" customFormat="1" ht="12.75">
      <c r="A219" s="232" t="s">
        <v>4542</v>
      </c>
      <c r="B219" s="464" t="s">
        <v>6616</v>
      </c>
      <c r="C219" s="451" t="str">
        <f>IF(A219="SERVIÇO",VLOOKUP(B219,SERVIÇOS!$A$6:$D$7645,2,0),IF(A219="INSUMO",VLOOKUP(B219,INSUMOS!$A$6:$D$6961,2,0),IF(A219="COTAÇÃO",VLOOKUP(B219,'036-20-Cotação'!$A$9:$G$529,2,0))))</f>
        <v>AUXILIAR DE TOPOGRAFIA</v>
      </c>
      <c r="D219" s="452" t="str">
        <f>IF(A219="SERVIÇO",VLOOKUP(B219,SERVIÇOS!$A$6:$E$7645,5,0),IF(A219="INSUMO",VLOOKUP(B219,INSUMOS!$A$6:$E$6961,5,0),IF(A219="COTAÇÃO",VLOOKUP(B219,'036-20-Cotação'!$A$9:$H$529,8,0))))</f>
        <v>M.O</v>
      </c>
      <c r="E219" s="452" t="str">
        <f>IF(A219="SERVIÇO",VLOOKUP(B219,SERVIÇOS!$A$6:$D$7645,3,0),IF(A219="INSUMO",VLOOKUP(B219,INSUMOS!$A$6:$D$6961,3,0),IF(A219="COTAÇÃO",VLOOKUP(B219,'036-20-Cotação'!$A$9:$G$529,4,0))))</f>
        <v>MÊS</v>
      </c>
      <c r="F219" s="542">
        <v>1.5250000000000001E-3</v>
      </c>
      <c r="G219" s="453">
        <f>IF(A219="SERVIÇO",VLOOKUP(B219,SERVIÇOS!$A$6:$D$7645,4,0),IF(A219="INSUMO",VLOOKUP(B219,INSUMOS!$A$6:$D$6961,4,0),IF(A219="COTAÇÃO",VLOOKUP(B219,'036-20-Cotação'!$A$9:$G$529,3,0))))</f>
        <v>3552.3389999999999</v>
      </c>
      <c r="H219" s="463">
        <f t="shared" si="28"/>
        <v>5.4173169750000003</v>
      </c>
      <c r="J219" s="544" t="s">
        <v>6759</v>
      </c>
      <c r="K219" s="87">
        <v>0.33550000000000002</v>
      </c>
      <c r="L219" s="702"/>
    </row>
    <row r="220" spans="1:12" s="87" customFormat="1" ht="25.5">
      <c r="A220" s="232" t="s">
        <v>4542</v>
      </c>
      <c r="B220" s="464">
        <v>407819</v>
      </c>
      <c r="C220" s="451" t="str">
        <f>'036-20-CCA''s'!$C$168</f>
        <v xml:space="preserve">ARMAÇÃO EM AÇO CA-50 - FORNECIMENTO, PREPARO E COLOCAÇÃO </v>
      </c>
      <c r="D220" s="452" t="str">
        <f>'036-20-CCA''s'!$D$168</f>
        <v xml:space="preserve">SER.CG </v>
      </c>
      <c r="E220" s="452" t="str">
        <f>'036-20-CCA''s'!$E$168</f>
        <v>KG</v>
      </c>
      <c r="F220" s="542">
        <v>3.2728000000000002</v>
      </c>
      <c r="G220" s="453">
        <f>'036-20-CCA''s'!$H$168</f>
        <v>7.4312236295302023</v>
      </c>
      <c r="H220" s="463">
        <f t="shared" si="28"/>
        <v>24.320908694726448</v>
      </c>
      <c r="J220" s="305"/>
    </row>
    <row r="221" spans="1:12" s="87" customFormat="1" ht="25.5">
      <c r="A221" s="232" t="s">
        <v>4542</v>
      </c>
      <c r="B221" s="464">
        <v>407820</v>
      </c>
      <c r="C221" s="451" t="str">
        <f>'036-20-CCA''s'!$C$176</f>
        <v xml:space="preserve">ARMAÇÃO EM AÇO CA-60 - FORNECIMENTO, PREPARO E COLOCAÇÃO </v>
      </c>
      <c r="D221" s="452" t="str">
        <f>'036-20-CCA''s'!$D$176</f>
        <v>SER.CG</v>
      </c>
      <c r="E221" s="452" t="str">
        <f>'036-20-CCA''s'!$E$176</f>
        <v>KG</v>
      </c>
      <c r="F221" s="542">
        <v>1.5455000000000001</v>
      </c>
      <c r="G221" s="453">
        <f>'036-20-CCA''s'!$H$176</f>
        <v>7.685427629530202</v>
      </c>
      <c r="H221" s="463">
        <f t="shared" si="28"/>
        <v>11.877828401438927</v>
      </c>
      <c r="J221" s="305"/>
    </row>
    <row r="222" spans="1:12" s="87" customFormat="1" ht="51">
      <c r="A222" s="232" t="s">
        <v>4544</v>
      </c>
      <c r="B222" s="464">
        <v>1527</v>
      </c>
      <c r="C222" s="451" t="str">
        <f>IF(A222="SERVIÇO",VLOOKUP(B222,SERVIÇOS!$A$6:$D$7645,2,0),IF(A222="INSUMO",VLOOKUP(B222,INSUMOS!$A$6:$D$6961,2,0),IF(A222="COTAÇÃO",VLOOKUP(B222,'036-20-Cotação'!$A$9:$G$529,2,0))))</f>
        <v xml:space="preserve">CONCRETO USINADO BOMBEAVEL, CLASSE DE RESISTENCIA C25, COM BRITA 0 E 1, SLUMP = 100 +/- 20 MM, INCLUI SERVICO DE BOMBEAMENTO (NBR 8953)                                                                                                                                                                                                                                                                                                                                                                   </v>
      </c>
      <c r="D222" s="452" t="str">
        <f>IF(A222="SERVIÇO",VLOOKUP(B222,SERVIÇOS!$A$6:$E$7645,5,0),IF(A222="INSUMO",VLOOKUP(B222,INSUMOS!$A$6:$E$6961,5,0),IF(A222="COTAÇÃO",VLOOKUP(B222,'036-20-Cotação'!$A$9:$H$529,8,0))))</f>
        <v>MAT.</v>
      </c>
      <c r="E222" s="452" t="str">
        <f>IF(A222="SERVIÇO",VLOOKUP(B222,SERVIÇOS!$A$6:$D$7645,3,0),IF(A222="INSUMO",VLOOKUP(B222,INSUMOS!$A$6:$D$6961,3,0),IF(A222="COTAÇÃO",VLOOKUP(B222,'036-20-Cotação'!$A$9:$G$529,4,0))))</f>
        <v xml:space="preserve">M3    </v>
      </c>
      <c r="F222" s="542">
        <v>8.1900000000000001E-2</v>
      </c>
      <c r="G222" s="453" t="str">
        <f>IF(A222="SERVIÇO",VLOOKUP(B222,SERVIÇOS!$A$6:$D$7645,4,0),IF(A222="INSUMO",VLOOKUP(B222,INSUMOS!$A$6:$D$6961,4,0),IF(A222="COTAÇÃO",VLOOKUP(B222,'036-20-Cotação'!$A$9:$G$529,3,0))))</f>
        <v>301,16</v>
      </c>
      <c r="H222" s="463">
        <f t="shared" si="28"/>
        <v>24.665004000000003</v>
      </c>
      <c r="J222" s="305"/>
    </row>
    <row r="223" spans="1:12" s="87" customFormat="1" ht="25.5">
      <c r="A223" s="232" t="s">
        <v>4544</v>
      </c>
      <c r="B223" s="464" t="s">
        <v>6617</v>
      </c>
      <c r="C223" s="451" t="str">
        <f>IF(A223="SERVIÇO",VLOOKUP(B223,SERVIÇOS!$A$6:$D$7645,2,0),IF(A223="INSUMO",VLOOKUP(B223,INSUMOS!$A$6:$D$6961,2,0),IF(A223="COTAÇÃO",VLOOKUP(B223,'036-20-Cotação'!$A$9:$G$529,2,0))))</f>
        <v>TUBO PEAD COM PAREDES ESTRUTURADAS PARA DRENAGEM - D = 400 MM</v>
      </c>
      <c r="D223" s="452" t="str">
        <f>IF(A223="SERVIÇO",VLOOKUP(B223,SERVIÇOS!$A$6:$E$7645,5,0),IF(A223="INSUMO",VLOOKUP(B223,INSUMOS!$A$6:$E$6961,5,0),IF(A223="COTAÇÃO",VLOOKUP(B223,'036-20-Cotação'!$A$9:$H$529,8,0))))</f>
        <v>MAT.</v>
      </c>
      <c r="E223" s="452" t="str">
        <f>IF(A223="SERVIÇO",VLOOKUP(B223,SERVIÇOS!$A$6:$D$7645,3,0),IF(A223="INSUMO",VLOOKUP(B223,INSUMOS!$A$6:$D$6961,3,0),IF(A223="COTAÇÃO",VLOOKUP(B223,'036-20-Cotação'!$A$9:$G$529,4,0))))</f>
        <v>M</v>
      </c>
      <c r="F223" s="542">
        <v>0.56730000000000003</v>
      </c>
      <c r="G223" s="453">
        <f>IF(A223="SERVIÇO",VLOOKUP(B223,SERVIÇOS!$A$6:$D$7645,4,0),IF(A223="INSUMO",VLOOKUP(B223,INSUMOS!$A$6:$D$6961,4,0),IF(A223="COTAÇÃO",VLOOKUP(B223,'036-20-Cotação'!$A$9:$G$529,3,0))))</f>
        <v>136.82740000000001</v>
      </c>
      <c r="H223" s="463">
        <f t="shared" si="28"/>
        <v>77.622184020000006</v>
      </c>
      <c r="J223" s="305"/>
    </row>
    <row r="224" spans="1:12" s="87" customFormat="1" ht="25.5">
      <c r="A224" s="232" t="s">
        <v>12</v>
      </c>
      <c r="B224" s="464" t="s">
        <v>6622</v>
      </c>
      <c r="C224" s="451" t="str">
        <f>IF(A224="SERVIÇO",VLOOKUP(B224,SERVIÇOS!$A$6:$D$7645,2,0),IF(A224="INSUMO",VLOOKUP(B224,INSUMOS!$A$6:$D$6961,2,0),IF(A224="COTAÇÃO",VLOOKUP(B224,'036-20-Cotação'!$A$9:$G$529,2,0))))</f>
        <v xml:space="preserve">ARRUELA LISA DE ACO INOX, DE 1/2    </v>
      </c>
      <c r="D224" s="452" t="str">
        <f>IF(A224="SERVIÇO",VLOOKUP(B224,SERVIÇOS!$A$6:$E$7645,5,0),IF(A224="INSUMO",VLOOKUP(B224,INSUMOS!$A$6:$E$6961,5,0),IF(A224="COTAÇÃO",VLOOKUP(B224,'036-20-Cotação'!$A$9:$H$529,8,0))))</f>
        <v>MAT.</v>
      </c>
      <c r="E224" s="452" t="str">
        <f>IF(A224="SERVIÇO",VLOOKUP(B224,SERVIÇOS!$A$6:$D$7645,3,0),IF(A224="INSUMO",VLOOKUP(B224,INSUMOS!$A$6:$D$6961,3,0),IF(A224="COTAÇÃO",VLOOKUP(B224,'036-20-Cotação'!$A$9:$G$529,4,0))))</f>
        <v>UN</v>
      </c>
      <c r="F224" s="542">
        <v>0.6</v>
      </c>
      <c r="G224" s="453">
        <f>IF(A224="SERVIÇO",VLOOKUP(B224,SERVIÇOS!$A$6:$D$7645,4,0),IF(A224="INSUMO",VLOOKUP(B224,INSUMOS!$A$6:$D$6961,4,0),IF(A224="COTAÇÃO",VLOOKUP(B224,'036-20-Cotação'!$A$9:$G$529,3,0))))</f>
        <v>0.65236000000000005</v>
      </c>
      <c r="H224" s="463">
        <f t="shared" si="28"/>
        <v>0.39141600000000004</v>
      </c>
      <c r="J224" s="305"/>
    </row>
    <row r="225" spans="1:17" s="87" customFormat="1" ht="25.5">
      <c r="A225" s="232" t="s">
        <v>12</v>
      </c>
      <c r="B225" s="464" t="s">
        <v>6623</v>
      </c>
      <c r="C225" s="451" t="str">
        <f>IF(A225="SERVIÇO",VLOOKUP(B225,SERVIÇOS!$A$6:$D$7645,2,0),IF(A225="INSUMO",VLOOKUP(B225,INSUMOS!$A$6:$D$6961,2,0),IF(A225="COTAÇÃO",VLOOKUP(B225,'036-20-Cotação'!$A$9:$G$529,2,0))))</f>
        <v xml:space="preserve">BARRA ROSQUEADA EM ACO INOX,   DE 1,00MX1/2  </v>
      </c>
      <c r="D225" s="452" t="str">
        <f>IF(A225="SERVIÇO",VLOOKUP(B225,SERVIÇOS!$A$6:$E$7645,5,0),IF(A225="INSUMO",VLOOKUP(B225,INSUMOS!$A$6:$E$6961,5,0),IF(A225="COTAÇÃO",VLOOKUP(B225,'036-20-Cotação'!$A$9:$H$529,8,0))))</f>
        <v>MAT.</v>
      </c>
      <c r="E225" s="452" t="str">
        <f>IF(A225="SERVIÇO",VLOOKUP(B225,SERVIÇOS!$A$6:$D$7645,3,0),IF(A225="INSUMO",VLOOKUP(B225,INSUMOS!$A$6:$D$6961,3,0),IF(A225="COTAÇÃO",VLOOKUP(B225,'036-20-Cotação'!$A$9:$G$529,4,0))))</f>
        <v>UN</v>
      </c>
      <c r="F225" s="542">
        <v>0.36370000000000002</v>
      </c>
      <c r="G225" s="453">
        <f>IF(A225="SERVIÇO",VLOOKUP(B225,SERVIÇOS!$A$6:$D$7645,4,0),IF(A225="INSUMO",VLOOKUP(B225,INSUMOS!$A$6:$D$6961,4,0),IF(A225="COTAÇÃO",VLOOKUP(B225,'036-20-Cotação'!$A$9:$G$529,3,0))))</f>
        <v>38.781999999999996</v>
      </c>
      <c r="H225" s="463">
        <f t="shared" si="28"/>
        <v>14.105013399999999</v>
      </c>
      <c r="J225" s="305"/>
    </row>
    <row r="226" spans="1:17" s="87" customFormat="1" ht="38.25">
      <c r="A226" s="232" t="s">
        <v>4544</v>
      </c>
      <c r="B226" s="464">
        <v>2748</v>
      </c>
      <c r="C226" s="451" t="str">
        <f>IF(A226="SERVIÇO",VLOOKUP(B226,SERVIÇOS!$A$6:$D$7645,2,0),IF(A226="INSUMO",VLOOKUP(B226,INSUMOS!$A$6:$D$6961,2,0),IF(A226="COTAÇÃO",VLOOKUP(B226,'036-20-Cotação'!$A$9:$G$529,2,0))))</f>
        <v xml:space="preserve">MADEIRA ROLICA SEM TRATAMENTO, EUCALIPTO OU EQUIVALENTE DA REGIAO, H = 3 M, D = 16 A 19 CM (PARA ESCORAMENTO)                                                                                                                                                                                                                                                                                                                                                                                             </v>
      </c>
      <c r="D226" s="452" t="str">
        <f>IF(A226="SERVIÇO",VLOOKUP(B226,SERVIÇOS!$A$6:$E$7645,5,0),IF(A226="INSUMO",VLOOKUP(B226,INSUMOS!$A$6:$E$6961,5,0),IF(A226="COTAÇÃO",VLOOKUP(B226,'036-20-Cotação'!$A$9:$H$529,8,0))))</f>
        <v>MAT.</v>
      </c>
      <c r="E226" s="452" t="str">
        <f>IF(A226="SERVIÇO",VLOOKUP(B226,SERVIÇOS!$A$6:$D$7645,3,0),IF(A226="INSUMO",VLOOKUP(B226,INSUMOS!$A$6:$D$6961,3,0),IF(A226="COTAÇÃO",VLOOKUP(B226,'036-20-Cotação'!$A$9:$G$529,4,0))))</f>
        <v xml:space="preserve">M     </v>
      </c>
      <c r="F226" s="542">
        <v>0.4</v>
      </c>
      <c r="G226" s="453" t="str">
        <f>IF(A226="SERVIÇO",VLOOKUP(B226,SERVIÇOS!$A$6:$D$7645,4,0),IF(A226="INSUMO",VLOOKUP(B226,INSUMOS!$A$6:$D$6961,4,0),IF(A226="COTAÇÃO",VLOOKUP(B226,'036-20-Cotação'!$A$9:$G$529,3,0))))</f>
        <v>5,32</v>
      </c>
      <c r="H226" s="463">
        <f t="shared" si="28"/>
        <v>2.1280000000000001</v>
      </c>
      <c r="J226" s="305"/>
    </row>
    <row r="227" spans="1:17" s="87" customFormat="1" ht="38.25">
      <c r="A227" s="232" t="s">
        <v>4544</v>
      </c>
      <c r="B227" s="464">
        <v>4509</v>
      </c>
      <c r="C227" s="451" t="str">
        <f>IF(A227="SERVIÇO",VLOOKUP(B227,SERVIÇOS!$A$6:$D$7645,2,0),IF(A227="INSUMO",VLOOKUP(B227,INSUMOS!$A$6:$D$6961,2,0),IF(A227="COTAÇÃO",VLOOKUP(B227,'036-20-Cotação'!$A$9:$G$529,2,0))))</f>
        <v xml:space="preserve">TABUA DE MADEIRA NAO APARELHADA *2,5 X 10 CM (1 X 4 ") PINUS, MISTA OU EQUIVALENTE DA REGIAO                                                                                                                                                                                                                                                                                                                                                                                                              </v>
      </c>
      <c r="D227" s="452" t="str">
        <f>IF(A227="SERVIÇO",VLOOKUP(B227,SERVIÇOS!$A$6:$E$7645,5,0),IF(A227="INSUMO",VLOOKUP(B227,INSUMOS!$A$6:$E$6961,5,0),IF(A227="COTAÇÃO",VLOOKUP(B227,'036-20-Cotação'!$A$9:$H$529,8,0))))</f>
        <v>MAT.</v>
      </c>
      <c r="E227" s="452" t="str">
        <f>IF(A227="SERVIÇO",VLOOKUP(B227,SERVIÇOS!$A$6:$D$7645,3,0),IF(A227="INSUMO",VLOOKUP(B227,INSUMOS!$A$6:$D$6961,3,0),IF(A227="COTAÇÃO",VLOOKUP(B227,'036-20-Cotação'!$A$9:$G$529,4,0))))</f>
        <v xml:space="preserve">M     </v>
      </c>
      <c r="F227" s="542">
        <v>10.2355</v>
      </c>
      <c r="G227" s="453" t="str">
        <f>IF(A227="SERVIÇO",VLOOKUP(B227,SERVIÇOS!$A$6:$D$7645,4,0),IF(A227="INSUMO",VLOOKUP(B227,INSUMOS!$A$6:$D$6961,4,0),IF(A227="COTAÇÃO",VLOOKUP(B227,'036-20-Cotação'!$A$9:$G$529,3,0))))</f>
        <v>1,95</v>
      </c>
      <c r="H227" s="463">
        <f t="shared" si="28"/>
        <v>19.959225</v>
      </c>
      <c r="J227" s="305"/>
    </row>
    <row r="228" spans="1:17" s="87" customFormat="1" ht="38.25">
      <c r="A228" s="232" t="s">
        <v>4544</v>
      </c>
      <c r="B228" s="464">
        <v>4481</v>
      </c>
      <c r="C228" s="451" t="str">
        <f>IF(A228="SERVIÇO",VLOOKUP(B228,SERVIÇOS!$A$6:$D$7645,2,0),IF(A228="INSUMO",VLOOKUP(B228,INSUMOS!$A$6:$D$6961,2,0),IF(A228="COTAÇÃO",VLOOKUP(B228,'036-20-Cotação'!$A$9:$G$529,2,0))))</f>
        <v xml:space="preserve">VIGA DE MADEIRA NAO APARELHADA 8 X 16 CM, MACARANDUBA, ANGELIM OU EQUIVALENTE DA REGIAO                                                                                                                                                                                                                                                                                                                                                                                                                   </v>
      </c>
      <c r="D228" s="452" t="str">
        <f>IF(A228="SERVIÇO",VLOOKUP(B228,SERVIÇOS!$A$6:$E$7645,5,0),IF(A228="INSUMO",VLOOKUP(B228,INSUMOS!$A$6:$E$6961,5,0),IF(A228="COTAÇÃO",VLOOKUP(B228,'036-20-Cotação'!$A$9:$H$529,8,0))))</f>
        <v>MAT.</v>
      </c>
      <c r="E228" s="452" t="str">
        <f>IF(A228="SERVIÇO",VLOOKUP(B228,SERVIÇOS!$A$6:$D$7645,3,0),IF(A228="INSUMO",VLOOKUP(B228,INSUMOS!$A$6:$D$6961,3,0),IF(A228="COTAÇÃO",VLOOKUP(B228,'036-20-Cotação'!$A$9:$G$529,4,0))))</f>
        <v xml:space="preserve">M     </v>
      </c>
      <c r="F228" s="542">
        <v>2.0455000000000001</v>
      </c>
      <c r="G228" s="453" t="str">
        <f>IF(A228="SERVIÇO",VLOOKUP(B228,SERVIÇOS!$A$6:$D$7645,4,0),IF(A228="INSUMO",VLOOKUP(B228,INSUMOS!$A$6:$D$6961,4,0),IF(A228="COTAÇÃO",VLOOKUP(B228,'036-20-Cotação'!$A$9:$G$529,3,0))))</f>
        <v>36,39</v>
      </c>
      <c r="H228" s="463">
        <f t="shared" si="28"/>
        <v>74.435745000000011</v>
      </c>
      <c r="J228" s="305"/>
    </row>
    <row r="229" spans="1:17" s="87" customFormat="1" ht="38.25">
      <c r="A229" s="232" t="s">
        <v>4544</v>
      </c>
      <c r="B229" s="464">
        <v>40270</v>
      </c>
      <c r="C229" s="451" t="str">
        <f>IF(A229="SERVIÇO",VLOOKUP(B229,SERVIÇOS!$A$6:$D$7645,2,0),IF(A229="INSUMO",VLOOKUP(B229,INSUMOS!$A$6:$D$6961,2,0),IF(A229="COTAÇÃO",VLOOKUP(B229,'036-20-Cotação'!$A$9:$G$529,2,0))))</f>
        <v xml:space="preserve">VIGA DE ESCORAMAENTO H20, DE MADEIRA, PESO DE 5,00 A 5,20 KG/M, COM EXTREMIDADES PLASTICAS                                                                                                                                                                                                                                                                                                                                                                                                                </v>
      </c>
      <c r="D229" s="452" t="str">
        <f>IF(A229="SERVIÇO",VLOOKUP(B229,SERVIÇOS!$A$6:$E$7645,5,0),IF(A229="INSUMO",VLOOKUP(B229,INSUMOS!$A$6:$E$6961,5,0),IF(A229="COTAÇÃO",VLOOKUP(B229,'036-20-Cotação'!$A$9:$H$529,8,0))))</f>
        <v>MAT.</v>
      </c>
      <c r="E229" s="452" t="str">
        <f>IF(A229="SERVIÇO",VLOOKUP(B229,SERVIÇOS!$A$6:$D$7645,3,0),IF(A229="INSUMO",VLOOKUP(B229,INSUMOS!$A$6:$D$6961,3,0),IF(A229="COTAÇÃO",VLOOKUP(B229,'036-20-Cotação'!$A$9:$G$529,4,0))))</f>
        <v xml:space="preserve">M     </v>
      </c>
      <c r="F229" s="542">
        <v>0.30370000000000003</v>
      </c>
      <c r="G229" s="453" t="str">
        <f>IF(A229="SERVIÇO",VLOOKUP(B229,SERVIÇOS!$A$6:$D$7645,4,0),IF(A229="INSUMO",VLOOKUP(B229,INSUMOS!$A$6:$D$6961,4,0),IF(A229="COTAÇÃO",VLOOKUP(B229,'036-20-Cotação'!$A$9:$G$529,3,0))))</f>
        <v>45,00</v>
      </c>
      <c r="H229" s="463">
        <f t="shared" si="28"/>
        <v>13.666500000000001</v>
      </c>
      <c r="J229" s="305"/>
    </row>
    <row r="230" spans="1:17" s="87" customFormat="1" ht="38.25">
      <c r="A230" s="232" t="s">
        <v>4544</v>
      </c>
      <c r="B230" s="464">
        <v>6212</v>
      </c>
      <c r="C230" s="451" t="str">
        <f>IF(A230="SERVIÇO",VLOOKUP(B230,SERVIÇOS!$A$6:$D$7645,2,0),IF(A230="INSUMO",VLOOKUP(B230,INSUMOS!$A$6:$D$6961,2,0),IF(A230="COTAÇÃO",VLOOKUP(B230,'036-20-Cotação'!$A$9:$G$529,2,0))))</f>
        <v xml:space="preserve">TABUA DE MADEIRA NAO APARELHADA *2,5 X 30 CM (1 X 12 ") PINUS, MISTA OU EQUIVALENTE DA REGIAO                                                                                                                                                                                                                                                                                                                                                                                                             </v>
      </c>
      <c r="D230" s="452" t="str">
        <f>IF(A230="SERVIÇO",VLOOKUP(B230,SERVIÇOS!$A$6:$E$7645,5,0),IF(A230="INSUMO",VLOOKUP(B230,INSUMOS!$A$6:$E$6961,5,0),IF(A230="COTAÇÃO",VLOOKUP(B230,'036-20-Cotação'!$A$9:$H$529,8,0))))</f>
        <v>MAT.</v>
      </c>
      <c r="E230" s="452" t="str">
        <f>IF(A230="SERVIÇO",VLOOKUP(B230,SERVIÇOS!$A$6:$D$7645,3,0),IF(A230="INSUMO",VLOOKUP(B230,INSUMOS!$A$6:$D$6961,3,0),IF(A230="COTAÇÃO",VLOOKUP(B230,'036-20-Cotação'!$A$9:$G$529,4,0))))</f>
        <v xml:space="preserve">M     </v>
      </c>
      <c r="F230" s="542">
        <v>2.4</v>
      </c>
      <c r="G230" s="453" t="str">
        <f>IF(A230="SERVIÇO",VLOOKUP(B230,SERVIÇOS!$A$6:$D$7645,4,0),IF(A230="INSUMO",VLOOKUP(B230,INSUMOS!$A$6:$D$6961,4,0),IF(A230="COTAÇÃO",VLOOKUP(B230,'036-20-Cotação'!$A$9:$G$529,3,0))))</f>
        <v>7,21</v>
      </c>
      <c r="H230" s="463">
        <f t="shared" si="28"/>
        <v>17.303999999999998</v>
      </c>
      <c r="J230" s="305"/>
    </row>
    <row r="231" spans="1:17" s="87" customFormat="1" ht="25.5">
      <c r="A231" s="232" t="s">
        <v>12</v>
      </c>
      <c r="B231" s="464" t="s">
        <v>6625</v>
      </c>
      <c r="C231" s="451" t="str">
        <f>IF(A231="SERVIÇO",VLOOKUP(B231,SERVIÇOS!$A$6:$D$7645,2,0),IF(A231="INSUMO",VLOOKUP(B231,INSUMOS!$A$6:$D$6961,2,0),IF(A231="COTAÇÃO",VLOOKUP(B231,'036-20-Cotação'!$A$9:$G$529,2,0))))</f>
        <v>PORCA SEXTAVADA DE ACO INOX,   DE 1/2</v>
      </c>
      <c r="D231" s="452" t="str">
        <f>IF(A231="SERVIÇO",VLOOKUP(B231,SERVIÇOS!$A$6:$E$7645,5,0),IF(A231="INSUMO",VLOOKUP(B231,INSUMOS!$A$6:$E$6961,5,0),IF(A231="COTAÇÃO",VLOOKUP(B231,'036-20-Cotação'!$A$9:$H$529,8,0))))</f>
        <v>MAT.</v>
      </c>
      <c r="E231" s="452" t="str">
        <f>IF(A231="SERVIÇO",VLOOKUP(B231,SERVIÇOS!$A$6:$D$7645,3,0),IF(A231="INSUMO",VLOOKUP(B231,INSUMOS!$A$6:$D$6961,3,0),IF(A231="COTAÇÃO",VLOOKUP(B231,'036-20-Cotação'!$A$9:$G$529,4,0))))</f>
        <v>UN</v>
      </c>
      <c r="F231" s="542">
        <v>0.6</v>
      </c>
      <c r="G231" s="453">
        <f>IF(A231="SERVIÇO",VLOOKUP(B231,SERVIÇOS!$A$6:$D$7645,4,0),IF(A231="INSUMO",VLOOKUP(B231,INSUMOS!$A$6:$D$6961,4,0),IF(A231="COTAÇÃO",VLOOKUP(B231,'036-20-Cotação'!$A$9:$G$529,3,0))))</f>
        <v>0.4622</v>
      </c>
      <c r="H231" s="463">
        <f t="shared" si="28"/>
        <v>0.27732000000000001</v>
      </c>
      <c r="J231" s="305"/>
    </row>
    <row r="232" spans="1:17" s="87" customFormat="1" ht="25.5">
      <c r="A232" s="232" t="s">
        <v>4544</v>
      </c>
      <c r="B232" s="464">
        <v>5075</v>
      </c>
      <c r="C232" s="451" t="str">
        <f>IF(A232="SERVIÇO",VLOOKUP(B232,SERVIÇOS!$A$6:$D$7645,2,0),IF(A232="INSUMO",VLOOKUP(B232,INSUMOS!$A$6:$D$6961,2,0),IF(A232="COTAÇÃO",VLOOKUP(B232,'036-20-Cotação'!$A$9:$G$529,2,0))))</f>
        <v xml:space="preserve">PREGO DE ACO POLIDO COM CABECA 18 X 30 (2 3/4 X 10)                                                                                                                                                                                                                                                                                                                                                                                                                                                       </v>
      </c>
      <c r="D232" s="452" t="str">
        <f>IF(A232="SERVIÇO",VLOOKUP(B232,SERVIÇOS!$A$6:$E$7645,5,0),IF(A232="INSUMO",VLOOKUP(B232,INSUMOS!$A$6:$E$6961,5,0),IF(A232="COTAÇÃO",VLOOKUP(B232,'036-20-Cotação'!$A$9:$H$529,8,0))))</f>
        <v>MAT.</v>
      </c>
      <c r="E232" s="452" t="str">
        <f>IF(A232="SERVIÇO",VLOOKUP(B232,SERVIÇOS!$A$6:$D$7645,3,0),IF(A232="INSUMO",VLOOKUP(B232,INSUMOS!$A$6:$D$6961,3,0),IF(A232="COTAÇÃO",VLOOKUP(B232,'036-20-Cotação'!$A$9:$G$529,4,0))))</f>
        <v xml:space="preserve">KG    </v>
      </c>
      <c r="F232" s="542">
        <v>5.8200000000000002E-2</v>
      </c>
      <c r="G232" s="453" t="str">
        <f>IF(A232="SERVIÇO",VLOOKUP(B232,SERVIÇOS!$A$6:$D$7645,4,0),IF(A232="INSUMO",VLOOKUP(B232,INSUMOS!$A$6:$D$6961,4,0),IF(A232="COTAÇÃO",VLOOKUP(B232,'036-20-Cotação'!$A$9:$G$529,3,0))))</f>
        <v>10,13</v>
      </c>
      <c r="H232" s="463">
        <f t="shared" si="28"/>
        <v>0.58956600000000003</v>
      </c>
      <c r="J232" s="305"/>
    </row>
    <row r="233" spans="1:17" s="87" customFormat="1" ht="25.5">
      <c r="A233" s="232" t="s">
        <v>4544</v>
      </c>
      <c r="B233" s="464">
        <v>39027</v>
      </c>
      <c r="C233" s="451" t="str">
        <f>IF(A233="SERVIÇO",VLOOKUP(B233,SERVIÇOS!$A$6:$D$7645,2,0),IF(A233="INSUMO",VLOOKUP(B233,INSUMOS!$A$6:$D$6961,2,0),IF(A233="COTAÇÃO",VLOOKUP(B233,'036-20-Cotação'!$A$9:$G$529,2,0))))</f>
        <v xml:space="preserve">PREGO DE ACO POLIDO COM CABECA 19  X 36 (3 1/4  X  9)                                                                                                                                                                                                                                                                                                                                                                                                                                                     </v>
      </c>
      <c r="D233" s="452" t="str">
        <f>IF(A233="SERVIÇO",VLOOKUP(B233,SERVIÇOS!$A$6:$E$7645,5,0),IF(A233="INSUMO",VLOOKUP(B233,INSUMOS!$A$6:$E$6961,5,0),IF(A233="COTAÇÃO",VLOOKUP(B233,'036-20-Cotação'!$A$9:$H$529,8,0))))</f>
        <v>MAT.</v>
      </c>
      <c r="E233" s="452" t="str">
        <f>IF(A233="SERVIÇO",VLOOKUP(B233,SERVIÇOS!$A$6:$D$7645,3,0),IF(A233="INSUMO",VLOOKUP(B233,INSUMOS!$A$6:$D$6961,3,0),IF(A233="COTAÇÃO",VLOOKUP(B233,'036-20-Cotação'!$A$9:$G$529,4,0))))</f>
        <v xml:space="preserve">KG    </v>
      </c>
      <c r="F233" s="542">
        <v>5.8200000000000002E-2</v>
      </c>
      <c r="G233" s="453" t="str">
        <f>IF(A233="SERVIÇO",VLOOKUP(B233,SERVIÇOS!$A$6:$D$7645,4,0),IF(A233="INSUMO",VLOOKUP(B233,INSUMOS!$A$6:$D$6961,4,0),IF(A233="COTAÇÃO",VLOOKUP(B233,'036-20-Cotação'!$A$9:$G$529,3,0))))</f>
        <v>10,12</v>
      </c>
      <c r="H233" s="463">
        <f t="shared" si="28"/>
        <v>0.58898399999999995</v>
      </c>
      <c r="J233" s="305"/>
    </row>
    <row r="234" spans="1:17" s="87" customFormat="1" ht="25.5">
      <c r="A234" s="232" t="s">
        <v>12</v>
      </c>
      <c r="B234" s="464" t="s">
        <v>6626</v>
      </c>
      <c r="C234" s="451" t="str">
        <f>IF(A234="SERVIÇO",VLOOKUP(B234,SERVIÇOS!$A$6:$D$7645,2,0),IF(A234="INSUMO",VLOOKUP(B234,INSUMOS!$A$6:$D$6961,2,0),IF(A234="COTAÇÃO",VLOOKUP(B234,'036-20-Cotação'!$A$9:$G$529,2,0))))</f>
        <v xml:space="preserve">PREGO QUADRADO GALVANIZADO A FOGO, TIPO 1/2 FORO, DIMENSOES DE (4,38X79)MM </v>
      </c>
      <c r="D234" s="452" t="str">
        <f>IF(A234="SERVIÇO",VLOOKUP(B234,SERVIÇOS!$A$6:$E$7645,5,0),IF(A234="INSUMO",VLOOKUP(B234,INSUMOS!$A$6:$E$6961,5,0),IF(A234="COTAÇÃO",VLOOKUP(B234,'036-20-Cotação'!$A$9:$H$529,8,0))))</f>
        <v>MAT.</v>
      </c>
      <c r="E234" s="452" t="str">
        <f>IF(A234="SERVIÇO",VLOOKUP(B234,SERVIÇOS!$A$6:$D$7645,3,0),IF(A234="INSUMO",VLOOKUP(B234,INSUMOS!$A$6:$D$6961,3,0),IF(A234="COTAÇÃO",VLOOKUP(B234,'036-20-Cotação'!$A$9:$G$529,4,0))))</f>
        <v>KG</v>
      </c>
      <c r="F234" s="542">
        <v>0.21820000000000001</v>
      </c>
      <c r="G234" s="453">
        <f>IF(A234="SERVIÇO",VLOOKUP(B234,SERVIÇOS!$A$6:$D$7645,4,0),IF(A234="INSUMO",VLOOKUP(B234,INSUMOS!$A$6:$D$6961,4,0),IF(A234="COTAÇÃO",VLOOKUP(B234,'036-20-Cotação'!$A$9:$G$529,3,0))))</f>
        <v>31.12</v>
      </c>
      <c r="H234" s="463">
        <f t="shared" si="28"/>
        <v>6.7903840000000004</v>
      </c>
      <c r="J234" s="305"/>
    </row>
    <row r="235" spans="1:17" s="87" customFormat="1" ht="15" customHeight="1">
      <c r="A235" s="232"/>
      <c r="B235" s="199" t="s">
        <v>123</v>
      </c>
      <c r="C235" s="698" t="s">
        <v>6745</v>
      </c>
      <c r="D235" s="699"/>
      <c r="E235" s="699"/>
      <c r="F235" s="699"/>
      <c r="G235" s="699"/>
      <c r="H235" s="700"/>
      <c r="J235" s="305"/>
    </row>
    <row r="236" spans="1:17" s="78" customFormat="1" ht="12.75">
      <c r="A236" s="188"/>
      <c r="B236" s="346"/>
      <c r="C236" s="347"/>
      <c r="D236" s="347"/>
      <c r="E236" s="347"/>
      <c r="F236" s="347"/>
      <c r="G236" s="347"/>
      <c r="H236" s="347"/>
      <c r="J236" s="79"/>
      <c r="K236" s="87"/>
      <c r="L236" s="87"/>
      <c r="M236" s="87"/>
      <c r="N236" s="87"/>
      <c r="O236" s="87"/>
      <c r="P236" s="87"/>
      <c r="Q236" s="87"/>
    </row>
    <row r="237" spans="1:17" s="78" customFormat="1" ht="51">
      <c r="A237" s="188"/>
      <c r="B237" s="80" t="s">
        <v>6267</v>
      </c>
      <c r="C237" s="81" t="s">
        <v>6485</v>
      </c>
      <c r="D237" s="82" t="s">
        <v>84</v>
      </c>
      <c r="E237" s="82" t="s">
        <v>10</v>
      </c>
      <c r="F237" s="83"/>
      <c r="G237" s="84"/>
      <c r="H237" s="85">
        <f>SUM(H238:H246)</f>
        <v>992.1262246</v>
      </c>
      <c r="J237" s="79"/>
      <c r="K237" s="87"/>
      <c r="L237" s="87"/>
      <c r="M237" s="87"/>
      <c r="N237" s="87"/>
      <c r="O237" s="87"/>
      <c r="P237" s="87"/>
      <c r="Q237" s="87"/>
    </row>
    <row r="238" spans="1:17" s="87" customFormat="1" ht="38.25">
      <c r="A238" s="232" t="s">
        <v>4542</v>
      </c>
      <c r="B238" s="531">
        <v>93358</v>
      </c>
      <c r="C238" s="451" t="str">
        <f>IF(A238="SERVIÇO",VLOOKUP(B238,SERVIÇOS!$A$6:$D$7645,2,0),IF(A238="INSUMO",VLOOKUP(B238,INSUMOS!$A$6:$D$6961,2,0),IF(A238="COTAÇÃO",VLOOKUP(B238,'036-20-Cotação'!$A$9:$G$529,2,0))))</f>
        <v>ESCAVAÇÃO MANUAL DE VALA COM PROFUNDIDADE MENOR OU IGUAL A 1,30 M. AF_03/2016</v>
      </c>
      <c r="D238" s="452" t="str">
        <f>IF(A238="SERVIÇO",VLOOKUP(B238,SERVIÇOS!$A$6:$E$7645,5,0),IF(A238="INSUMO",VLOOKUP(B238,INSUMOS!$A$6:$E$6961,5,0),IF(A238="COTAÇÃO",VLOOKUP(B238,'036-20-Cotação'!$A$9:$H$529,8,0))))</f>
        <v>SER.CG</v>
      </c>
      <c r="E238" s="452" t="str">
        <f>IF(A238="SERVIÇO",VLOOKUP(B238,SERVIÇOS!$A$6:$D$7645,3,0),IF(A238="INSUMO",VLOOKUP(B238,INSUMOS!$A$6:$D$6961,3,0),IF(A238="COTAÇÃO",VLOOKUP(B238,'036-20-Cotação'!$A$9:$G$529,4,0))))</f>
        <v>M3</v>
      </c>
      <c r="F238" s="462">
        <f>2.15*0.6*0.3</f>
        <v>0.38699999999999996</v>
      </c>
      <c r="G238" s="453" t="str">
        <f>IF(A238="SERVIÇO",VLOOKUP(B238,SERVIÇOS!$A$6:$D$7645,4,0),IF(A238="INSUMO",VLOOKUP(B238,INSUMOS!$A$6:$D$6961,4,0),IF(A238="COTAÇÃO",VLOOKUP(B238,'036-20-Cotação'!$A$9:$G$529,3,0))))</f>
        <v>65,59</v>
      </c>
      <c r="H238" s="463">
        <f t="shared" ref="H238:H246" si="29">G238*F238</f>
        <v>25.383329999999997</v>
      </c>
      <c r="J238" s="201"/>
    </row>
    <row r="239" spans="1:17" s="87" customFormat="1" ht="38.25">
      <c r="A239" s="232" t="s">
        <v>4542</v>
      </c>
      <c r="B239" s="531">
        <v>94097</v>
      </c>
      <c r="C239" s="451" t="str">
        <f>IF(A239="SERVIÇO",VLOOKUP(B239,SERVIÇOS!$A$6:$D$7645,2,0),IF(A239="INSUMO",VLOOKUP(B239,INSUMOS!$A$6:$D$6961,2,0),IF(A239="COTAÇÃO",VLOOKUP(B239,'036-20-Cotação'!$A$9:$G$529,2,0))))</f>
        <v>PREPARO DE FUNDO DE VALA COM LARGURA MENOR QUE 1,5 M, EM LOCAL COM NÍVEL BAIXO DE INTERFERÊNCIA. AF_06/2016</v>
      </c>
      <c r="D239" s="452" t="str">
        <f>IF(A239="SERVIÇO",VLOOKUP(B239,SERVIÇOS!$A$6:$E$7645,5,0),IF(A239="INSUMO",VLOOKUP(B239,INSUMOS!$A$6:$E$6961,5,0),IF(A239="COTAÇÃO",VLOOKUP(B239,'036-20-Cotação'!$A$9:$H$529,8,0))))</f>
        <v>SER.CG</v>
      </c>
      <c r="E239" s="452" t="str">
        <f>IF(A239="SERVIÇO",VLOOKUP(B239,SERVIÇOS!$A$6:$D$7645,3,0),IF(A239="INSUMO",VLOOKUP(B239,INSUMOS!$A$6:$D$6961,3,0),IF(A239="COTAÇÃO",VLOOKUP(B239,'036-20-Cotação'!$A$9:$G$529,4,0))))</f>
        <v>M2</v>
      </c>
      <c r="F239" s="462">
        <f>2.15*0.6</f>
        <v>1.2899999999999998</v>
      </c>
      <c r="G239" s="453" t="str">
        <f>IF(A239="SERVIÇO",VLOOKUP(B239,SERVIÇOS!$A$6:$D$7645,4,0),IF(A239="INSUMO",VLOOKUP(B239,INSUMOS!$A$6:$D$6961,4,0),IF(A239="COTAÇÃO",VLOOKUP(B239,'036-20-Cotação'!$A$9:$G$529,3,0))))</f>
        <v>5,03</v>
      </c>
      <c r="H239" s="463">
        <f t="shared" si="29"/>
        <v>6.4886999999999997</v>
      </c>
      <c r="J239" s="201"/>
    </row>
    <row r="240" spans="1:17" s="87" customFormat="1" ht="51">
      <c r="A240" s="232" t="s">
        <v>4542</v>
      </c>
      <c r="B240" s="531">
        <v>100324</v>
      </c>
      <c r="C240" s="451" t="str">
        <f>IF(A240="SERVIÇO",VLOOKUP(B240,SERVIÇOS!$A$6:$D$7645,2,0),IF(A240="INSUMO",VLOOKUP(B240,INSUMOS!$A$6:$D$6961,2,0),IF(A240="COTAÇÃO",VLOOKUP(B240,'036-20-Cotação'!$A$9:$G$529,2,0))))</f>
        <v>LASTRO COM MATERIAL GRANULAR (PEDRA BRITADA N.1 E PEDRA BRITADA N.2), APLICADO EM PISOS OU RADIERS, ESPESSURA DE *10 CM*. AF_07/2019</v>
      </c>
      <c r="D240" s="452" t="str">
        <f>IF(A240="SERVIÇO",VLOOKUP(B240,SERVIÇOS!$A$6:$E$7645,5,0),IF(A240="INSUMO",VLOOKUP(B240,INSUMOS!$A$6:$E$6961,5,0),IF(A240="COTAÇÃO",VLOOKUP(B240,'036-20-Cotação'!$A$9:$H$529,8,0))))</f>
        <v>SER.CG</v>
      </c>
      <c r="E240" s="452" t="str">
        <f>IF(A240="SERVIÇO",VLOOKUP(B240,SERVIÇOS!$A$6:$D$7645,3,0),IF(A240="INSUMO",VLOOKUP(B240,INSUMOS!$A$6:$D$6961,3,0),IF(A240="COTAÇÃO",VLOOKUP(B240,'036-20-Cotação'!$A$9:$G$529,4,0))))</f>
        <v>M3</v>
      </c>
      <c r="F240" s="462">
        <f>2.15*0.6*0.05</f>
        <v>6.4499999999999988E-2</v>
      </c>
      <c r="G240" s="453" t="str">
        <f>IF(A240="SERVIÇO",VLOOKUP(B240,SERVIÇOS!$A$6:$D$7645,4,0),IF(A240="INSUMO",VLOOKUP(B240,INSUMOS!$A$6:$D$6961,4,0),IF(A240="COTAÇÃO",VLOOKUP(B240,'036-20-Cotação'!$A$9:$G$529,3,0))))</f>
        <v>124,87</v>
      </c>
      <c r="H240" s="463">
        <f t="shared" si="29"/>
        <v>8.0541149999999995</v>
      </c>
      <c r="J240" s="201"/>
    </row>
    <row r="241" spans="1:10" s="87" customFormat="1" ht="38.25">
      <c r="A241" s="232" t="s">
        <v>4542</v>
      </c>
      <c r="B241" s="531">
        <v>96545</v>
      </c>
      <c r="C241" s="451" t="str">
        <f>IF(A241="SERVIÇO",VLOOKUP(B241,SERVIÇOS!$A$6:$D$7645,2,0),IF(A241="INSUMO",VLOOKUP(B241,INSUMOS!$A$6:$D$6961,2,0),IF(A241="COTAÇÃO",VLOOKUP(B241,'036-20-Cotação'!$A$9:$G$529,2,0))))</f>
        <v>ARMAÇÃO DE BLOCO, VIGA BALDRAME OU SAPATA UTILIZANDO AÇO CA-50 DE 8 MM - MONTAGEM. AF_06/2017</v>
      </c>
      <c r="D241" s="452" t="str">
        <f>IF(A241="SERVIÇO",VLOOKUP(B241,SERVIÇOS!$A$6:$E$7645,5,0),IF(A241="INSUMO",VLOOKUP(B241,INSUMOS!$A$6:$E$6961,5,0),IF(A241="COTAÇÃO",VLOOKUP(B241,'036-20-Cotação'!$A$9:$H$529,8,0))))</f>
        <v>SER.CG</v>
      </c>
      <c r="E241" s="452" t="str">
        <f>IF(A241="SERVIÇO",VLOOKUP(B241,SERVIÇOS!$A$6:$D$7645,3,0),IF(A241="INSUMO",VLOOKUP(B241,INSUMOS!$A$6:$D$6961,3,0),IF(A241="COTAÇÃO",VLOOKUP(B241,'036-20-Cotação'!$A$9:$G$529,4,0))))</f>
        <v>KG</v>
      </c>
      <c r="F241" s="462">
        <f>F242*40</f>
        <v>15.479999999999999</v>
      </c>
      <c r="G241" s="453" t="str">
        <f>IF(A241="SERVIÇO",VLOOKUP(B241,SERVIÇOS!$A$6:$D$7645,4,0),IF(A241="INSUMO",VLOOKUP(B241,INSUMOS!$A$6:$D$6961,4,0),IF(A241="COTAÇÃO",VLOOKUP(B241,'036-20-Cotação'!$A$9:$G$529,3,0))))</f>
        <v>10,54</v>
      </c>
      <c r="H241" s="463">
        <f t="shared" si="29"/>
        <v>163.15919999999997</v>
      </c>
      <c r="J241" s="201"/>
    </row>
    <row r="242" spans="1:10" s="87" customFormat="1" ht="38.25">
      <c r="A242" s="232" t="s">
        <v>4542</v>
      </c>
      <c r="B242" s="531">
        <v>94970</v>
      </c>
      <c r="C242" s="451" t="str">
        <f>IF(A242="SERVIÇO",VLOOKUP(B242,SERVIÇOS!$A$6:$D$7645,2,0),IF(A242="INSUMO",VLOOKUP(B242,INSUMOS!$A$6:$D$6961,2,0),IF(A242="COTAÇÃO",VLOOKUP(B242,'036-20-Cotação'!$A$9:$G$529,2,0))))</f>
        <v>CONCRETO FCK = 20MPA, TRAÇO 1:2,7:3 (CIMENTO/ AREIA MÉDIA/ BRITA 1)  - PREPARO MECÂNICO COM BETONEIRA 600 L. AF_07/2016</v>
      </c>
      <c r="D242" s="452" t="str">
        <f>IF(A242="SERVIÇO",VLOOKUP(B242,SERVIÇOS!$A$6:$E$7645,5,0),IF(A242="INSUMO",VLOOKUP(B242,INSUMOS!$A$6:$E$6961,5,0),IF(A242="COTAÇÃO",VLOOKUP(B242,'036-20-Cotação'!$A$9:$H$529,8,0))))</f>
        <v>SER.CG</v>
      </c>
      <c r="E242" s="452" t="str">
        <f>IF(A242="SERVIÇO",VLOOKUP(B242,SERVIÇOS!$A$6:$D$7645,3,0),IF(A242="INSUMO",VLOOKUP(B242,INSUMOS!$A$6:$D$6961,3,0),IF(A242="COTAÇÃO",VLOOKUP(B242,'036-20-Cotação'!$A$9:$G$529,4,0))))</f>
        <v>M3</v>
      </c>
      <c r="F242" s="462">
        <f>2.15*0.6*0.3</f>
        <v>0.38699999999999996</v>
      </c>
      <c r="G242" s="453" t="str">
        <f>IF(A242="SERVIÇO",VLOOKUP(B242,SERVIÇOS!$A$6:$D$7645,4,0),IF(A242="INSUMO",VLOOKUP(B242,INSUMOS!$A$6:$D$6961,4,0),IF(A242="COTAÇÃO",VLOOKUP(B242,'036-20-Cotação'!$A$9:$G$529,3,0))))</f>
        <v>320,42</v>
      </c>
      <c r="H242" s="463">
        <f t="shared" si="29"/>
        <v>124.00254</v>
      </c>
      <c r="J242" s="201"/>
    </row>
    <row r="243" spans="1:10" s="87" customFormat="1" ht="25.5">
      <c r="A243" s="232" t="s">
        <v>4542</v>
      </c>
      <c r="B243" s="531" t="s">
        <v>1870</v>
      </c>
      <c r="C243" s="451" t="str">
        <f>IF(A243="SERVIÇO",VLOOKUP(B243,SERVIÇOS!$A$6:$D$7645,2,0),IF(A243="INSUMO",VLOOKUP(B243,INSUMOS!$A$6:$D$6961,2,0),IF(A243="COTAÇÃO",VLOOKUP(B243,'036-20-Cotação'!$A$9:$G$529,2,0))))</f>
        <v>LANCAMENTO/APLICACAO MANUAL DE CONCRETO EM FUNDACOES</v>
      </c>
      <c r="D243" s="452" t="str">
        <f>IF(A243="SERVIÇO",VLOOKUP(B243,SERVIÇOS!$A$6:$E$7645,5,0),IF(A243="INSUMO",VLOOKUP(B243,INSUMOS!$A$6:$E$6961,5,0),IF(A243="COTAÇÃO",VLOOKUP(B243,'036-20-Cotação'!$A$9:$H$529,8,0))))</f>
        <v>SER.CG</v>
      </c>
      <c r="E243" s="452" t="str">
        <f>IF(A243="SERVIÇO",VLOOKUP(B243,SERVIÇOS!$A$6:$D$7645,3,0),IF(A243="INSUMO",VLOOKUP(B243,INSUMOS!$A$6:$D$6961,3,0),IF(A243="COTAÇÃO",VLOOKUP(B243,'036-20-Cotação'!$A$9:$G$529,4,0))))</f>
        <v>M3</v>
      </c>
      <c r="F243" s="462">
        <f>F242</f>
        <v>0.38699999999999996</v>
      </c>
      <c r="G243" s="453" t="str">
        <f>IF(A243="SERVIÇO",VLOOKUP(B243,SERVIÇOS!$A$6:$D$7645,4,0),IF(A243="INSUMO",VLOOKUP(B243,INSUMOS!$A$6:$D$6961,4,0),IF(A243="COTAÇÃO",VLOOKUP(B243,'036-20-Cotação'!$A$9:$G$529,3,0))))</f>
        <v>112,04</v>
      </c>
      <c r="H243" s="463">
        <f t="shared" si="29"/>
        <v>43.359479999999998</v>
      </c>
      <c r="J243" s="201"/>
    </row>
    <row r="244" spans="1:10" s="87" customFormat="1" ht="76.5">
      <c r="A244" s="232" t="s">
        <v>4542</v>
      </c>
      <c r="B244" s="531">
        <v>87455</v>
      </c>
      <c r="C244" s="451" t="str">
        <f>IF(A244="SERVIÇO",VLOOKUP(B244,SERVIÇOS!$A$6:$D$7645,2,0),IF(A244="INSUMO",VLOOKUP(B244,INSUMOS!$A$6:$D$6961,2,0),IF(A244="COTAÇÃO",VLOOKUP(B244,'036-20-Cotação'!$A$9:$G$529,2,0))))</f>
        <v>ALVENARIA DE VEDAÇÃO DE BLOCOS VAZADOS DE CONCRETO DE 14X19X39CM (ESPESSURA 14CM) DE PAREDES COM ÁREA LÍQUIDA MAIOR OU IGUAL A 6M² SEM VÃOS E ARGAMASSA DE ASSENTAMENTO COM PREPARO EM BETONEIRA. AF_06/2014</v>
      </c>
      <c r="D244" s="452" t="str">
        <f>IF(A244="SERVIÇO",VLOOKUP(B244,SERVIÇOS!$A$6:$E$7645,5,0),IF(A244="INSUMO",VLOOKUP(B244,INSUMOS!$A$6:$E$6961,5,0),IF(A244="COTAÇÃO",VLOOKUP(B244,'036-20-Cotação'!$A$9:$H$529,8,0))))</f>
        <v>SER.CG</v>
      </c>
      <c r="E244" s="452" t="str">
        <f>IF(A244="SERVIÇO",VLOOKUP(B244,SERVIÇOS!$A$6:$D$7645,3,0),IF(A244="INSUMO",VLOOKUP(B244,INSUMOS!$A$6:$D$6961,3,0),IF(A244="COTAÇÃO",VLOOKUP(B244,'036-20-Cotação'!$A$9:$G$529,4,0))))</f>
        <v>M2</v>
      </c>
      <c r="F244" s="462">
        <f>2.13*2*1.6</f>
        <v>6.8159999999999998</v>
      </c>
      <c r="G244" s="453" t="str">
        <f>IF(A244="SERVIÇO",VLOOKUP(B244,SERVIÇOS!$A$6:$D$7645,4,0),IF(A244="INSUMO",VLOOKUP(B244,INSUMOS!$A$6:$D$6961,4,0),IF(A244="COTAÇÃO",VLOOKUP(B244,'036-20-Cotação'!$A$9:$G$529,3,0))))</f>
        <v>59,85</v>
      </c>
      <c r="H244" s="463">
        <f t="shared" si="29"/>
        <v>407.93759999999997</v>
      </c>
      <c r="J244" s="201"/>
    </row>
    <row r="245" spans="1:10" s="87" customFormat="1" ht="38.25">
      <c r="A245" s="232" t="s">
        <v>4542</v>
      </c>
      <c r="B245" s="531" t="s">
        <v>6284</v>
      </c>
      <c r="C245" s="451" t="str">
        <f>'036-20-CCA''s'!C11</f>
        <v>LAJE EM CONCRETO ARMADO PARA PROTEÇÃO DO TOPO, DIMENSÃO DE 215X66X10 CM</v>
      </c>
      <c r="D245" s="451" t="str">
        <f>'036-20-CCA''s'!D11</f>
        <v xml:space="preserve">SER.CG </v>
      </c>
      <c r="E245" s="452" t="str">
        <f>'036-20-CCA''s'!E11</f>
        <v xml:space="preserve">UN </v>
      </c>
      <c r="F245" s="462">
        <v>1</v>
      </c>
      <c r="G245" s="453">
        <f>'036-20-CCA''s'!H11</f>
        <v>148.17133960000001</v>
      </c>
      <c r="H245" s="463">
        <f t="shared" si="29"/>
        <v>148.17133960000001</v>
      </c>
      <c r="J245" s="201"/>
    </row>
    <row r="246" spans="1:10" s="87" customFormat="1" ht="38.25">
      <c r="A246" s="232" t="s">
        <v>4542</v>
      </c>
      <c r="B246" s="531">
        <v>88487</v>
      </c>
      <c r="C246" s="451" t="str">
        <f>IF(A246="SERVIÇO",VLOOKUP(B246,SERVIÇOS!$A$6:$D$7645,2,0),IF(A246="INSUMO",VLOOKUP(B246,INSUMOS!$A$6:$D$6961,2,0),IF(A246="COTAÇÃO",VLOOKUP(B246,'036-20-Cotação'!$A$9:$G$529,2,0))))</f>
        <v>APLICAÇÃO MANUAL DE PINTURA COM TINTA LÁTEX PVA EM PAREDES, DUAS DEMÃOS. AF_06/2014</v>
      </c>
      <c r="D246" s="452" t="str">
        <f>IF(A246="SERVIÇO",VLOOKUP(B246,SERVIÇOS!$A$6:$E$7645,5,0),IF(A246="INSUMO",VLOOKUP(B246,INSUMOS!$A$6:$E$6961,5,0),IF(A246="COTAÇÃO",VLOOKUP(B246,'036-20-Cotação'!$A$9:$H$529,8,0))))</f>
        <v>SER.CG</v>
      </c>
      <c r="E246" s="452" t="str">
        <f>IF(A246="SERVIÇO",VLOOKUP(B246,SERVIÇOS!$A$6:$D$7645,3,0),IF(A246="INSUMO",VLOOKUP(B246,INSUMOS!$A$6:$D$6961,3,0),IF(A246="COTAÇÃO",VLOOKUP(B246,'036-20-Cotação'!$A$9:$G$529,4,0))))</f>
        <v>M2</v>
      </c>
      <c r="F246" s="462">
        <f>F244</f>
        <v>6.8159999999999998</v>
      </c>
      <c r="G246" s="453" t="str">
        <f>IF(A246="SERVIÇO",VLOOKUP(B246,SERVIÇOS!$A$6:$D$7645,4,0),IF(A246="INSUMO",VLOOKUP(B246,INSUMOS!$A$6:$D$6961,4,0),IF(A246="COTAÇÃO",VLOOKUP(B246,'036-20-Cotação'!$A$9:$G$529,3,0))))</f>
        <v>9,62</v>
      </c>
      <c r="H246" s="463">
        <f t="shared" si="29"/>
        <v>65.569919999999996</v>
      </c>
      <c r="J246" s="201"/>
    </row>
    <row r="247" spans="1:10" s="87" customFormat="1" ht="12.75">
      <c r="A247" s="188"/>
      <c r="B247" s="348" t="s">
        <v>123</v>
      </c>
      <c r="C247" s="695"/>
      <c r="D247" s="696"/>
      <c r="E247" s="696"/>
      <c r="F247" s="696"/>
      <c r="G247" s="696"/>
      <c r="H247" s="697"/>
      <c r="J247" s="201"/>
    </row>
    <row r="248" spans="1:10" s="87" customFormat="1" ht="12.75">
      <c r="A248" s="188"/>
      <c r="B248" s="703"/>
      <c r="C248" s="696"/>
      <c r="D248" s="696"/>
      <c r="E248" s="696"/>
      <c r="F248" s="696"/>
      <c r="G248" s="696"/>
      <c r="H248" s="697"/>
      <c r="J248" s="201"/>
    </row>
    <row r="249" spans="1:10" s="87" customFormat="1" ht="51">
      <c r="A249" s="188"/>
      <c r="B249" s="80" t="s">
        <v>6268</v>
      </c>
      <c r="C249" s="81" t="s">
        <v>6519</v>
      </c>
      <c r="D249" s="82" t="s">
        <v>84</v>
      </c>
      <c r="E249" s="82" t="s">
        <v>10</v>
      </c>
      <c r="F249" s="83"/>
      <c r="G249" s="84"/>
      <c r="H249" s="85">
        <f>SUM(H250:H278)</f>
        <v>28949.240400000002</v>
      </c>
      <c r="J249" s="201"/>
    </row>
    <row r="250" spans="1:10" s="87" customFormat="1" ht="25.5">
      <c r="A250" s="232" t="s">
        <v>4542</v>
      </c>
      <c r="B250" s="531">
        <v>88247</v>
      </c>
      <c r="C250" s="451" t="str">
        <f>IF(A250="SERVIÇO",VLOOKUP(B250,SERVIÇOS!$A$6:$D$7645,2,0),IF(A250="INSUMO",VLOOKUP(B250,INSUMOS!$A$6:$D$6961,2,0),IF(A250="COTAÇÃO",VLOOKUP(B250,'036-20-Cotação'!$A$9:$G$529,2,0))))</f>
        <v>AUXILIAR DE ELETRICISTA COM ENCARGOS COMPLEMENTARES</v>
      </c>
      <c r="D250" s="452" t="str">
        <f>IF(A250="SERVIÇO",VLOOKUP(B250,SERVIÇOS!$A$6:$E$7645,5,0),IF(A250="INSUMO",VLOOKUP(B250,INSUMOS!$A$6:$E$6961,5,0),IF(A250="COTAÇÃO",VLOOKUP(B250,'036-20-Cotação'!$A$9:$H$529,8,0))))</f>
        <v>M.O</v>
      </c>
      <c r="E250" s="452" t="str">
        <f>IF(A250="SERVIÇO",VLOOKUP(B250,SERVIÇOS!$A$6:$D$7645,3,0),IF(A250="INSUMO",VLOOKUP(B250,INSUMOS!$A$6:$D$6961,3,0),IF(A250="COTAÇÃO",VLOOKUP(B250,'036-20-Cotação'!$A$9:$G$529,4,0))))</f>
        <v>H</v>
      </c>
      <c r="F250" s="462">
        <v>90</v>
      </c>
      <c r="G250" s="453" t="str">
        <f>IF(A250="SERVIÇO",VLOOKUP(B250,SERVIÇOS!$A$6:$D$7645,4,0),IF(A250="INSUMO",VLOOKUP(B250,INSUMOS!$A$6:$D$6961,4,0),IF(A250="COTAÇÃO",VLOOKUP(B250,'036-20-Cotação'!$A$9:$G$529,3,0))))</f>
        <v>17,65</v>
      </c>
      <c r="H250" s="463">
        <f t="shared" ref="H250:H278" si="30">G250*F250</f>
        <v>1588.4999999999998</v>
      </c>
      <c r="J250" s="201"/>
    </row>
    <row r="251" spans="1:10" s="87" customFormat="1" ht="25.5">
      <c r="A251" s="232" t="s">
        <v>4542</v>
      </c>
      <c r="B251" s="531">
        <v>88266</v>
      </c>
      <c r="C251" s="451" t="str">
        <f>IF(A251="SERVIÇO",VLOOKUP(B251,SERVIÇOS!$A$6:$D$7645,2,0),IF(A251="INSUMO",VLOOKUP(B251,INSUMOS!$A$6:$D$6961,2,0),IF(A251="COTAÇÃO",VLOOKUP(B251,'036-20-Cotação'!$A$9:$G$529,2,0))))</f>
        <v>ELETROTÉCNICO COM ENCARGOS COMPLEMENTARES</v>
      </c>
      <c r="D251" s="452" t="str">
        <f>IF(A251="SERVIÇO",VLOOKUP(B251,SERVIÇOS!$A$6:$E$7645,5,0),IF(A251="INSUMO",VLOOKUP(B251,INSUMOS!$A$6:$E$6961,5,0),IF(A251="COTAÇÃO",VLOOKUP(B251,'036-20-Cotação'!$A$9:$H$529,8,0))))</f>
        <v>M.O</v>
      </c>
      <c r="E251" s="452" t="str">
        <f>IF(A251="SERVIÇO",VLOOKUP(B251,SERVIÇOS!$A$6:$D$7645,3,0),IF(A251="INSUMO",VLOOKUP(B251,INSUMOS!$A$6:$D$6961,3,0),IF(A251="COTAÇÃO",VLOOKUP(B251,'036-20-Cotação'!$A$9:$G$529,4,0))))</f>
        <v>H</v>
      </c>
      <c r="F251" s="462">
        <v>90</v>
      </c>
      <c r="G251" s="453" t="str">
        <f>IF(A251="SERVIÇO",VLOOKUP(B251,SERVIÇOS!$A$6:$D$7645,4,0),IF(A251="INSUMO",VLOOKUP(B251,INSUMOS!$A$6:$D$6961,4,0),IF(A251="COTAÇÃO",VLOOKUP(B251,'036-20-Cotação'!$A$9:$G$529,3,0))))</f>
        <v>30,54</v>
      </c>
      <c r="H251" s="463">
        <f t="shared" si="30"/>
        <v>2748.6</v>
      </c>
      <c r="J251" s="201"/>
    </row>
    <row r="252" spans="1:10" s="87" customFormat="1" ht="25.5">
      <c r="A252" s="232" t="s">
        <v>4542</v>
      </c>
      <c r="B252" s="531">
        <v>88264</v>
      </c>
      <c r="C252" s="451" t="str">
        <f>IF(A252="SERVIÇO",VLOOKUP(B252,SERVIÇOS!$A$6:$D$7645,2,0),IF(A252="INSUMO",VLOOKUP(B252,INSUMOS!$A$6:$D$6961,2,0),IF(A252="COTAÇÃO",VLOOKUP(B252,'036-20-Cotação'!$A$9:$G$529,2,0))))</f>
        <v>ELETRICISTA COM ENCARGOS COMPLEMENTARES</v>
      </c>
      <c r="D252" s="452" t="str">
        <f>IF(A252="SERVIÇO",VLOOKUP(B252,SERVIÇOS!$A$6:$E$7645,5,0),IF(A252="INSUMO",VLOOKUP(B252,INSUMOS!$A$6:$E$6961,5,0),IF(A252="COTAÇÃO",VLOOKUP(B252,'036-20-Cotação'!$A$9:$H$529,8,0))))</f>
        <v>M.O</v>
      </c>
      <c r="E252" s="452" t="str">
        <f>IF(A252="SERVIÇO",VLOOKUP(B252,SERVIÇOS!$A$6:$D$7645,3,0),IF(A252="INSUMO",VLOOKUP(B252,INSUMOS!$A$6:$D$6961,3,0),IF(A252="COTAÇÃO",VLOOKUP(B252,'036-20-Cotação'!$A$9:$G$529,4,0))))</f>
        <v>H</v>
      </c>
      <c r="F252" s="462">
        <v>90</v>
      </c>
      <c r="G252" s="453" t="str">
        <f>IF(A252="SERVIÇO",VLOOKUP(B252,SERVIÇOS!$A$6:$D$7645,4,0),IF(A252="INSUMO",VLOOKUP(B252,INSUMOS!$A$6:$D$6961,4,0),IF(A252="COTAÇÃO",VLOOKUP(B252,'036-20-Cotação'!$A$9:$G$529,3,0))))</f>
        <v>22,66</v>
      </c>
      <c r="H252" s="463">
        <f t="shared" si="30"/>
        <v>2039.4</v>
      </c>
      <c r="J252" s="201"/>
    </row>
    <row r="253" spans="1:10" s="87" customFormat="1" ht="51">
      <c r="A253" s="232" t="s">
        <v>6487</v>
      </c>
      <c r="B253" s="531" t="s">
        <v>6496</v>
      </c>
      <c r="C253" s="451" t="str">
        <f>'036-20-CCA''s'!C18</f>
        <v>POSTE CONCRETO SEÇÃO CIRCULAR COMPRIMENTO=10M CARGA NOMINAL NO TOPO 600KG INCLUSIVE ESCAVACAO EXCLUSIVE TRANSPORTE - FORNECIMENTO E COLOCAÇÃO</v>
      </c>
      <c r="D253" s="452" t="b">
        <f>IF(A253="SERVIÇO",VLOOKUP(B253,SERVIÇOS!$A$6:$E$7645,5,0),IF(A253="INSUMO",VLOOKUP(B253,INSUMOS!$A$6:$E$6961,5,0),IF(A253="COTAÇÃO",VLOOKUP(B253,'036-20-Cotação'!$A$9:$H$529,8,0))))</f>
        <v>0</v>
      </c>
      <c r="E253" s="452" t="str">
        <f>'036-20-CCA''s'!E18</f>
        <v xml:space="preserve">UN    </v>
      </c>
      <c r="F253" s="462">
        <v>1</v>
      </c>
      <c r="G253" s="453">
        <f>'036-20-CCA''s'!H18</f>
        <v>1372.9659999999999</v>
      </c>
      <c r="H253" s="463">
        <f t="shared" si="30"/>
        <v>1372.9659999999999</v>
      </c>
      <c r="J253" s="201"/>
    </row>
    <row r="254" spans="1:10" s="87" customFormat="1" ht="38.25">
      <c r="A254" s="232" t="s">
        <v>4544</v>
      </c>
      <c r="B254" s="531">
        <v>1091</v>
      </c>
      <c r="C254" s="451" t="str">
        <f>IF(A254="SERVIÇO",VLOOKUP(B254,SERVIÇOS!$A$6:$D$7645,2,0),IF(A254="INSUMO",VLOOKUP(B254,INSUMOS!$A$6:$D$6961,2,0),IF(A254="COTAÇÃO",VLOOKUP(B254,'036-20-Cotação'!$A$9:$G$529,2,0))))</f>
        <v xml:space="preserve">ARMACAO VERTICAL COM HASTE E CONTRA-PINO, EM CHAPA DE ACO GALVANIZADO 3/16", COM 1 ESTRIBO E 1 ISOLADOR                                                                                                                                                                                                                                                                                                                                                                                                   </v>
      </c>
      <c r="D254" s="452" t="str">
        <f>IF(A254="SERVIÇO",VLOOKUP(B254,SERVIÇOS!$A$6:$E$7645,5,0),IF(A254="INSUMO",VLOOKUP(B254,INSUMOS!$A$6:$E$6961,5,0),IF(A254="COTAÇÃO",VLOOKUP(B254,'036-20-Cotação'!$A$9:$H$529,8,0))))</f>
        <v>MAT.</v>
      </c>
      <c r="E254" s="452" t="str">
        <f>IF(A254="SERVIÇO",VLOOKUP(B254,SERVIÇOS!$A$6:$D$7645,3,0),IF(A254="INSUMO",VLOOKUP(B254,INSUMOS!$A$6:$D$6961,3,0),IF(A254="COTAÇÃO",VLOOKUP(B254,'036-20-Cotação'!$A$9:$G$529,4,0))))</f>
        <v xml:space="preserve">UN    </v>
      </c>
      <c r="F254" s="462">
        <v>1</v>
      </c>
      <c r="G254" s="453" t="str">
        <f>IF(A254="SERVIÇO",VLOOKUP(B254,SERVIÇOS!$A$6:$D$7645,4,0),IF(A254="INSUMO",VLOOKUP(B254,INSUMOS!$A$6:$D$6961,4,0),IF(A254="COTAÇÃO",VLOOKUP(B254,'036-20-Cotação'!$A$9:$G$529,3,0))))</f>
        <v>19,47</v>
      </c>
      <c r="H254" s="463">
        <f t="shared" si="30"/>
        <v>19.47</v>
      </c>
      <c r="J254" s="201"/>
    </row>
    <row r="255" spans="1:10" s="87" customFormat="1" ht="38.25">
      <c r="A255" s="232" t="s">
        <v>4544</v>
      </c>
      <c r="B255" s="531">
        <v>955</v>
      </c>
      <c r="C255" s="451" t="str">
        <f>IF(A255="SERVIÇO",VLOOKUP(B255,SERVIÇOS!$A$6:$D$7645,2,0),IF(A255="INSUMO",VLOOKUP(B255,INSUMOS!$A$6:$D$6961,2,0),IF(A255="COTAÇÃO",VLOOKUP(B255,'036-20-Cotação'!$A$9:$G$529,2,0))))</f>
        <v xml:space="preserve">CABO DE COBRE UNIPOLAR 50 MM2, BLINDADO, ISOLACAO 12/20 KV EPR, COBERTURA EM PVC                                                                                                                                                                                                                                                                                                                                                                                                                          </v>
      </c>
      <c r="D255" s="452" t="str">
        <f>IF(A255="SERVIÇO",VLOOKUP(B255,SERVIÇOS!$A$6:$E$7645,5,0),IF(A255="INSUMO",VLOOKUP(B255,INSUMOS!$A$6:$E$6961,5,0),IF(A255="COTAÇÃO",VLOOKUP(B255,'036-20-Cotação'!$A$9:$H$529,8,0))))</f>
        <v>MAT.</v>
      </c>
      <c r="E255" s="452" t="str">
        <f>IF(A255="SERVIÇO",VLOOKUP(B255,SERVIÇOS!$A$6:$D$7645,3,0),IF(A255="INSUMO",VLOOKUP(B255,INSUMOS!$A$6:$D$6961,3,0),IF(A255="COTAÇÃO",VLOOKUP(B255,'036-20-Cotação'!$A$9:$G$529,4,0))))</f>
        <v xml:space="preserve">M     </v>
      </c>
      <c r="F255" s="462">
        <f>3*3</f>
        <v>9</v>
      </c>
      <c r="G255" s="453" t="str">
        <f>IF(A255="SERVIÇO",VLOOKUP(B255,SERVIÇOS!$A$6:$D$7645,4,0),IF(A255="INSUMO",VLOOKUP(B255,INSUMOS!$A$6:$D$6961,4,0),IF(A255="COTAÇÃO",VLOOKUP(B255,'036-20-Cotação'!$A$9:$G$529,3,0))))</f>
        <v>45,14</v>
      </c>
      <c r="H255" s="463">
        <f t="shared" si="30"/>
        <v>406.26</v>
      </c>
      <c r="J255" s="201"/>
    </row>
    <row r="256" spans="1:10" s="87" customFormat="1" ht="51">
      <c r="A256" s="232" t="s">
        <v>4544</v>
      </c>
      <c r="B256" s="531">
        <v>977</v>
      </c>
      <c r="C256" s="451" t="str">
        <f>IF(A256="SERVIÇO",VLOOKUP(B256,SERVIÇOS!$A$6:$D$7645,2,0),IF(A256="INSUMO",VLOOKUP(B256,INSUMOS!$A$6:$D$6961,2,0),IF(A256="COTAÇÃO",VLOOKUP(B256,'036-20-Cotação'!$A$9:$G$529,2,0))))</f>
        <v xml:space="preserve">CABO DE COBRE, FLEXIVEL, CLASSE 4 OU 5, ISOLACAO EM PVC/A, ANTICHAMA BWF-B, COBERTURA PVC-ST1, ANTICHAMA BWF-B, 1 CONDUTOR, 0,6/1 KV, SECAO NOMINAL 70 MM2                                                                                                                                                                                                                                                                                                                                                </v>
      </c>
      <c r="D256" s="452" t="str">
        <f>IF(A256="SERVIÇO",VLOOKUP(B256,SERVIÇOS!$A$6:$E$7645,5,0),IF(A256="INSUMO",VLOOKUP(B256,INSUMOS!$A$6:$E$6961,5,0),IF(A256="COTAÇÃO",VLOOKUP(B256,'036-20-Cotação'!$A$9:$H$529,8,0))))</f>
        <v>MAT.</v>
      </c>
      <c r="E256" s="452" t="str">
        <f>IF(A256="SERVIÇO",VLOOKUP(B256,SERVIÇOS!$A$6:$D$7645,3,0),IF(A256="INSUMO",VLOOKUP(B256,INSUMOS!$A$6:$D$6961,3,0),IF(A256="COTAÇÃO",VLOOKUP(B256,'036-20-Cotação'!$A$9:$G$529,4,0))))</f>
        <v xml:space="preserve">M     </v>
      </c>
      <c r="F256" s="462">
        <f>5*10</f>
        <v>50</v>
      </c>
      <c r="G256" s="453" t="str">
        <f>IF(A256="SERVIÇO",VLOOKUP(B256,SERVIÇOS!$A$6:$D$7645,4,0),IF(A256="INSUMO",VLOOKUP(B256,INSUMOS!$A$6:$D$6961,4,0),IF(A256="COTAÇÃO",VLOOKUP(B256,'036-20-Cotação'!$A$9:$G$529,3,0))))</f>
        <v>43,12</v>
      </c>
      <c r="H256" s="463">
        <f t="shared" si="30"/>
        <v>2156</v>
      </c>
      <c r="J256" s="201"/>
    </row>
    <row r="257" spans="1:10" s="87" customFormat="1" ht="12.75">
      <c r="A257" s="232" t="s">
        <v>4544</v>
      </c>
      <c r="B257" s="531">
        <v>867</v>
      </c>
      <c r="C257" s="451" t="str">
        <f>IF(A257="SERVIÇO",VLOOKUP(B257,SERVIÇOS!$A$6:$D$7645,2,0),IF(A257="INSUMO",VLOOKUP(B257,INSUMOS!$A$6:$D$6961,2,0),IF(A257="COTAÇÃO",VLOOKUP(B257,'036-20-Cotação'!$A$9:$G$529,2,0))))</f>
        <v xml:space="preserve">CABO DE COBRE NU 50 MM2 MEIO-DURO                                                                                                                                                                                                                                                                                                                                                                                                                                                                         </v>
      </c>
      <c r="D257" s="452" t="str">
        <f>IF(A257="SERVIÇO",VLOOKUP(B257,SERVIÇOS!$A$6:$E$7645,5,0),IF(A257="INSUMO",VLOOKUP(B257,INSUMOS!$A$6:$E$6961,5,0),IF(A257="COTAÇÃO",VLOOKUP(B257,'036-20-Cotação'!$A$9:$H$529,8,0))))</f>
        <v>MAT.</v>
      </c>
      <c r="E257" s="452" t="str">
        <f>IF(A257="SERVIÇO",VLOOKUP(B257,SERVIÇOS!$A$6:$D$7645,3,0),IF(A257="INSUMO",VLOOKUP(B257,INSUMOS!$A$6:$D$6961,3,0),IF(A257="COTAÇÃO",VLOOKUP(B257,'036-20-Cotação'!$A$9:$G$529,4,0))))</f>
        <v xml:space="preserve">M     </v>
      </c>
      <c r="F257" s="462">
        <v>10</v>
      </c>
      <c r="G257" s="453" t="str">
        <f>IF(A257="SERVIÇO",VLOOKUP(B257,SERVIÇOS!$A$6:$D$7645,4,0),IF(A257="INSUMO",VLOOKUP(B257,INSUMOS!$A$6:$D$6961,4,0),IF(A257="COTAÇÃO",VLOOKUP(B257,'036-20-Cotação'!$A$9:$G$529,3,0))))</f>
        <v>22,40</v>
      </c>
      <c r="H257" s="463">
        <f t="shared" si="30"/>
        <v>224</v>
      </c>
      <c r="J257" s="201"/>
    </row>
    <row r="258" spans="1:10" s="87" customFormat="1" ht="63.75">
      <c r="A258" s="232" t="s">
        <v>4544</v>
      </c>
      <c r="B258" s="531">
        <v>1102</v>
      </c>
      <c r="C258" s="451" t="str">
        <f>IF(A258="SERVIÇO",VLOOKUP(B258,SERVIÇOS!$A$6:$D$7645,2,0),IF(A258="INSUMO",VLOOKUP(B258,INSUMOS!$A$6:$D$6961,2,0),IF(A258="COTAÇÃO",VLOOKUP(B258,'036-20-Cotação'!$A$9:$G$529,2,0))))</f>
        <v xml:space="preserve">CABECOTE PARA ENTRADA DE LINHA DE ALIMENTACAO PARA ELETRODUTO, EM LIGA DE ALUMINIO COM ACABAMENTO ANTI CORROSIVO, COM FIXACAO POR ENCAIXE LISO DE 360 GRAUS, DE 3"                                                                                                                                                                                                                                                                                                                                        </v>
      </c>
      <c r="D258" s="452" t="str">
        <f>IF(A258="SERVIÇO",VLOOKUP(B258,SERVIÇOS!$A$6:$E$7645,5,0),IF(A258="INSUMO",VLOOKUP(B258,INSUMOS!$A$6:$E$6961,5,0),IF(A258="COTAÇÃO",VLOOKUP(B258,'036-20-Cotação'!$A$9:$H$529,8,0))))</f>
        <v>MAT.</v>
      </c>
      <c r="E258" s="452" t="str">
        <f>IF(A258="SERVIÇO",VLOOKUP(B258,SERVIÇOS!$A$6:$D$7645,3,0),IF(A258="INSUMO",VLOOKUP(B258,INSUMOS!$A$6:$D$6961,3,0),IF(A258="COTAÇÃO",VLOOKUP(B258,'036-20-Cotação'!$A$9:$G$529,4,0))))</f>
        <v xml:space="preserve">UN    </v>
      </c>
      <c r="F258" s="462" t="s">
        <v>6488</v>
      </c>
      <c r="G258" s="453" t="str">
        <f>IF(A258="SERVIÇO",VLOOKUP(B258,SERVIÇOS!$A$6:$D$7645,4,0),IF(A258="INSUMO",VLOOKUP(B258,INSUMOS!$A$6:$D$6961,4,0),IF(A258="COTAÇÃO",VLOOKUP(B258,'036-20-Cotação'!$A$9:$G$529,3,0))))</f>
        <v>25,12</v>
      </c>
      <c r="H258" s="463">
        <f t="shared" si="30"/>
        <v>25.12</v>
      </c>
      <c r="J258" s="201"/>
    </row>
    <row r="259" spans="1:10" s="87" customFormat="1" ht="38.25">
      <c r="A259" s="232" t="s">
        <v>4544</v>
      </c>
      <c r="B259" s="531">
        <v>43130</v>
      </c>
      <c r="C259" s="451" t="str">
        <f>IF(A259="SERVIÇO",VLOOKUP(B259,SERVIÇOS!$A$6:$D$7645,2,0),IF(A259="INSUMO",VLOOKUP(B259,INSUMOS!$A$6:$D$6961,2,0),IF(A259="COTAÇÃO",VLOOKUP(B259,'036-20-Cotação'!$A$9:$G$529,2,0))))</f>
        <v xml:space="preserve">ARAME GALVANIZADO 12 BWG, D = 2,76 MM (0,048 KG/M) OU 14 BWG, D = 2,11 MM (0,026 KG/M)                                                                                                                                                                                                                                                                                                                                                                                                                    </v>
      </c>
      <c r="D259" s="452" t="str">
        <f>IF(A259="SERVIÇO",VLOOKUP(B259,SERVIÇOS!$A$6:$E$7645,5,0),IF(A259="INSUMO",VLOOKUP(B259,INSUMOS!$A$6:$E$6961,5,0),IF(A259="COTAÇÃO",VLOOKUP(B259,'036-20-Cotação'!$A$9:$H$529,8,0))))</f>
        <v>MAT.</v>
      </c>
      <c r="E259" s="452" t="str">
        <f>IF(A259="SERVIÇO",VLOOKUP(B259,SERVIÇOS!$A$6:$D$7645,3,0),IF(A259="INSUMO",VLOOKUP(B259,INSUMOS!$A$6:$D$6961,3,0),IF(A259="COTAÇÃO",VLOOKUP(B259,'036-20-Cotação'!$A$9:$G$529,4,0))))</f>
        <v xml:space="preserve">KG    </v>
      </c>
      <c r="F259" s="462">
        <f>8*0.048*3</f>
        <v>1.1520000000000001</v>
      </c>
      <c r="G259" s="453" t="str">
        <f>IF(A259="SERVIÇO",VLOOKUP(B259,SERVIÇOS!$A$6:$D$7645,4,0),IF(A259="INSUMO",VLOOKUP(B259,INSUMOS!$A$6:$D$6961,4,0),IF(A259="COTAÇÃO",VLOOKUP(B259,'036-20-Cotação'!$A$9:$G$529,3,0))))</f>
        <v>13,45</v>
      </c>
      <c r="H259" s="463">
        <f t="shared" si="30"/>
        <v>15.494400000000001</v>
      </c>
      <c r="J259" s="201"/>
    </row>
    <row r="260" spans="1:10" s="87" customFormat="1" ht="63.75">
      <c r="A260" s="232" t="s">
        <v>4544</v>
      </c>
      <c r="B260" s="531">
        <v>7619</v>
      </c>
      <c r="C260" s="451" t="str">
        <f>IF(A260="SERVIÇO",VLOOKUP(B260,SERVIÇOS!$A$6:$D$7645,2,0),IF(A260="INSUMO",VLOOKUP(B260,INSUMOS!$A$6:$D$6961,2,0),IF(A260="COTAÇÃO",VLOOKUP(B260,'036-20-Cotação'!$A$9:$G$529,2,0))))</f>
        <v xml:space="preserve">TRANSFORMADOR TRIFASICO DE DISTRIBUICAO, POTENCIA DE 112,5 KVA, TENSAO NOMINAL DE 15 KV, TENSAO SECUNDARIA DE 220/127V, EM OLEO ISOLANTE TIPO MINERAL                                                                                                                                                                                                                                                                                                                                                     </v>
      </c>
      <c r="D260" s="452" t="str">
        <f>IF(A260="SERVIÇO",VLOOKUP(B260,SERVIÇOS!$A$6:$E$7645,5,0),IF(A260="INSUMO",VLOOKUP(B260,INSUMOS!$A$6:$E$6961,5,0),IF(A260="COTAÇÃO",VLOOKUP(B260,'036-20-Cotação'!$A$9:$H$529,8,0))))</f>
        <v>MAT.</v>
      </c>
      <c r="E260" s="452" t="str">
        <f>IF(A260="SERVIÇO",VLOOKUP(B260,SERVIÇOS!$A$6:$D$7645,3,0),IF(A260="INSUMO",VLOOKUP(B260,INSUMOS!$A$6:$D$6961,3,0),IF(A260="COTAÇÃO",VLOOKUP(B260,'036-20-Cotação'!$A$9:$G$529,4,0))))</f>
        <v xml:space="preserve">UN    </v>
      </c>
      <c r="F260" s="462">
        <v>1</v>
      </c>
      <c r="G260" s="453" t="str">
        <f>IF(A260="SERVIÇO",VLOOKUP(B260,SERVIÇOS!$A$6:$D$7645,4,0),IF(A260="INSUMO",VLOOKUP(B260,INSUMOS!$A$6:$D$6961,4,0),IF(A260="COTAÇÃO",VLOOKUP(B260,'036-20-Cotação'!$A$9:$G$529,3,0))))</f>
        <v>8.155,14</v>
      </c>
      <c r="H260" s="463">
        <f t="shared" si="30"/>
        <v>8155.14</v>
      </c>
      <c r="J260" s="201"/>
    </row>
    <row r="261" spans="1:10" s="87" customFormat="1" ht="38.25">
      <c r="A261" s="232" t="s">
        <v>4544</v>
      </c>
      <c r="B261" s="531">
        <v>11273</v>
      </c>
      <c r="C261" s="451" t="str">
        <f>IF(A261="SERVIÇO",VLOOKUP(B261,SERVIÇOS!$A$6:$D$7645,2,0),IF(A261="INSUMO",VLOOKUP(B261,INSUMOS!$A$6:$D$6961,2,0),IF(A261="COTAÇÃO",VLOOKUP(B261,'036-20-Cotação'!$A$9:$G$529,2,0))))</f>
        <v xml:space="preserve">ALCA PREFORMADA DE DISTRIBUICAO, EM ACO GALVANIZADO, PARA CONDUTORES DE ALUMINIO AWG 1/0 (CAA 6/1 OU CA 7 FIOS)                                                                                                                                                                                                                                                                                                                                                                                           </v>
      </c>
      <c r="D261" s="452" t="str">
        <f>IF(A261="SERVIÇO",VLOOKUP(B261,SERVIÇOS!$A$6:$E$7645,5,0),IF(A261="INSUMO",VLOOKUP(B261,INSUMOS!$A$6:$E$6961,5,0),IF(A261="COTAÇÃO",VLOOKUP(B261,'036-20-Cotação'!$A$9:$H$529,8,0))))</f>
        <v>MAT.</v>
      </c>
      <c r="E261" s="452" t="str">
        <f>IF(A261="SERVIÇO",VLOOKUP(B261,SERVIÇOS!$A$6:$D$7645,3,0),IF(A261="INSUMO",VLOOKUP(B261,INSUMOS!$A$6:$D$6961,3,0),IF(A261="COTAÇÃO",VLOOKUP(B261,'036-20-Cotação'!$A$9:$G$529,4,0))))</f>
        <v xml:space="preserve">UN    </v>
      </c>
      <c r="F261" s="462">
        <v>3</v>
      </c>
      <c r="G261" s="453" t="str">
        <f>IF(A261="SERVIÇO",VLOOKUP(B261,SERVIÇOS!$A$6:$D$7645,4,0),IF(A261="INSUMO",VLOOKUP(B261,INSUMOS!$A$6:$D$6961,4,0),IF(A261="COTAÇÃO",VLOOKUP(B261,'036-20-Cotação'!$A$9:$G$529,3,0))))</f>
        <v>7,15</v>
      </c>
      <c r="H261" s="463">
        <f t="shared" si="30"/>
        <v>21.450000000000003</v>
      </c>
      <c r="J261" s="201"/>
    </row>
    <row r="262" spans="1:10" s="87" customFormat="1" ht="38.25">
      <c r="A262" s="232" t="s">
        <v>4544</v>
      </c>
      <c r="B262" s="531">
        <v>444</v>
      </c>
      <c r="C262" s="451" t="str">
        <f>IF(A262="SERVIÇO",VLOOKUP(B262,SERVIÇOS!$A$6:$D$7645,2,0),IF(A262="INSUMO",VLOOKUP(B262,INSUMOS!$A$6:$D$6961,2,0),IF(A262="COTAÇÃO",VLOOKUP(B262,'036-20-Cotação'!$A$9:$G$529,2,0))))</f>
        <v xml:space="preserve">PINO ROSCA EXTERNA, EM ACO GALVANIZADO, PARA ISOLADOR DE 15KV, DIAMETRO 25 MM, COMPRIMENTO *290* MM                                                                                                                                                                                                                                                                                                                                                                                                       </v>
      </c>
      <c r="D262" s="452" t="str">
        <f>IF(A262="SERVIÇO",VLOOKUP(B262,SERVIÇOS!$A$6:$E$7645,5,0),IF(A262="INSUMO",VLOOKUP(B262,INSUMOS!$A$6:$E$6961,5,0),IF(A262="COTAÇÃO",VLOOKUP(B262,'036-20-Cotação'!$A$9:$H$529,8,0))))</f>
        <v>MAT.</v>
      </c>
      <c r="E262" s="452" t="str">
        <f>IF(A262="SERVIÇO",VLOOKUP(B262,SERVIÇOS!$A$6:$D$7645,3,0),IF(A262="INSUMO",VLOOKUP(B262,INSUMOS!$A$6:$D$6961,3,0),IF(A262="COTAÇÃO",VLOOKUP(B262,'036-20-Cotação'!$A$9:$G$529,4,0))))</f>
        <v xml:space="preserve">UN    </v>
      </c>
      <c r="F262" s="462">
        <v>3</v>
      </c>
      <c r="G262" s="453" t="str">
        <f>IF(A262="SERVIÇO",VLOOKUP(B262,SERVIÇOS!$A$6:$D$7645,4,0),IF(A262="INSUMO",VLOOKUP(B262,INSUMOS!$A$6:$D$6961,4,0),IF(A262="COTAÇÃO",VLOOKUP(B262,'036-20-Cotação'!$A$9:$G$529,3,0))))</f>
        <v>17,92</v>
      </c>
      <c r="H262" s="463">
        <f t="shared" si="30"/>
        <v>53.760000000000005</v>
      </c>
      <c r="J262" s="201"/>
    </row>
    <row r="263" spans="1:10" s="87" customFormat="1" ht="38.25">
      <c r="A263" s="232" t="s">
        <v>4544</v>
      </c>
      <c r="B263" s="531">
        <v>420</v>
      </c>
      <c r="C263" s="451" t="str">
        <f>IF(A263="SERVIÇO",VLOOKUP(B263,SERVIÇOS!$A$6:$D$7645,2,0),IF(A263="INSUMO",VLOOKUP(B263,INSUMOS!$A$6:$D$6961,2,0),IF(A263="COTAÇÃO",VLOOKUP(B263,'036-20-Cotação'!$A$9:$G$529,2,0))))</f>
        <v xml:space="preserve">CINTA CIRCULAR EM ACO GALVANIZADO DE 150 MM DE DIAMETRO PARA FIXACAO DE CAIXA MEDICAO, INCLUI PARAFUSOS E PORCAS                                                                                                                                                                                                                                                                                                                                                                                          </v>
      </c>
      <c r="D263" s="452" t="str">
        <f>IF(A263="SERVIÇO",VLOOKUP(B263,SERVIÇOS!$A$6:$E$7645,5,0),IF(A263="INSUMO",VLOOKUP(B263,INSUMOS!$A$6:$E$6961,5,0),IF(A263="COTAÇÃO",VLOOKUP(B263,'036-20-Cotação'!$A$9:$H$529,8,0))))</f>
        <v>MAT.</v>
      </c>
      <c r="E263" s="452" t="str">
        <f>IF(A263="SERVIÇO",VLOOKUP(B263,SERVIÇOS!$A$6:$D$7645,3,0),IF(A263="INSUMO",VLOOKUP(B263,INSUMOS!$A$6:$D$6961,3,0),IF(A263="COTAÇÃO",VLOOKUP(B263,'036-20-Cotação'!$A$9:$G$529,4,0))))</f>
        <v xml:space="preserve">UN    </v>
      </c>
      <c r="F263" s="462">
        <v>4</v>
      </c>
      <c r="G263" s="453" t="str">
        <f>IF(A263="SERVIÇO",VLOOKUP(B263,SERVIÇOS!$A$6:$D$7645,4,0),IF(A263="INSUMO",VLOOKUP(B263,INSUMOS!$A$6:$D$6961,4,0),IF(A263="COTAÇÃO",VLOOKUP(B263,'036-20-Cotação'!$A$9:$G$529,3,0))))</f>
        <v>20,31</v>
      </c>
      <c r="H263" s="463">
        <f t="shared" si="30"/>
        <v>81.239999999999995</v>
      </c>
      <c r="J263" s="201"/>
    </row>
    <row r="264" spans="1:10" s="87" customFormat="1" ht="25.5">
      <c r="A264" s="232" t="s">
        <v>12</v>
      </c>
      <c r="B264" s="531" t="s">
        <v>6515</v>
      </c>
      <c r="C264" s="451" t="str">
        <f>IF(A264="SERVIÇO",VLOOKUP(B264,SERVIÇOS!$A$6:$D$7645,2,0),IF(A264="INSUMO",VLOOKUP(B264,INSUMOS!$A$6:$D$6961,2,0),IF(A264="COTAÇÃO",VLOOKUP(B264,'036-20-Cotação'!$A$9:$G$529,2,0))))</f>
        <v>CANTONEIRA AUXILIAR PARA BRAÇO TIPO "C"</v>
      </c>
      <c r="D264" s="452" t="str">
        <f>IF(A264="SERVIÇO",VLOOKUP(B264,SERVIÇOS!$A$6:$E$7645,5,0),IF(A264="INSUMO",VLOOKUP(B264,INSUMOS!$A$6:$E$6961,5,0),IF(A264="COTAÇÃO",VLOOKUP(B264,'036-20-Cotação'!$A$9:$H$529,8,0))))</f>
        <v>MAT.</v>
      </c>
      <c r="E264" s="452" t="str">
        <f>IF(A264="SERVIÇO",VLOOKUP(B264,SERVIÇOS!$A$6:$D$7645,3,0),IF(A264="INSUMO",VLOOKUP(B264,INSUMOS!$A$6:$D$6961,3,0),IF(A264="COTAÇÃO",VLOOKUP(B264,'036-20-Cotação'!$A$9:$G$529,4,0))))</f>
        <v>UN</v>
      </c>
      <c r="F264" s="462">
        <v>1</v>
      </c>
      <c r="G264" s="453">
        <f>IF(A264="SERVIÇO",VLOOKUP(B264,SERVIÇOS!$A$6:$D$7645,4,0),IF(A264="INSUMO",VLOOKUP(B264,INSUMOS!$A$6:$D$6961,4,0),IF(A264="COTAÇÃO",VLOOKUP(B264,'036-20-Cotação'!$A$9:$G$529,3,0))))</f>
        <v>64.25</v>
      </c>
      <c r="H264" s="463">
        <f t="shared" si="30"/>
        <v>64.25</v>
      </c>
      <c r="J264" s="201"/>
    </row>
    <row r="265" spans="1:10" s="87" customFormat="1" ht="25.5">
      <c r="A265" s="232" t="s">
        <v>12</v>
      </c>
      <c r="B265" s="531" t="s">
        <v>6516</v>
      </c>
      <c r="C265" s="451" t="str">
        <f>IF(A265="SERVIÇO",VLOOKUP(B265,SERVIÇOS!$A$6:$D$7645,2,0),IF(A265="INSUMO",VLOOKUP(B265,INSUMOS!$A$6:$D$6961,2,0),IF(A265="COTAÇÃO",VLOOKUP(B265,'036-20-Cotação'!$A$9:$G$529,2,0))))</f>
        <v>BRAÇO TIPO "C"</v>
      </c>
      <c r="D265" s="452" t="str">
        <f>IF(A265="SERVIÇO",VLOOKUP(B265,SERVIÇOS!$A$6:$E$7645,5,0),IF(A265="INSUMO",VLOOKUP(B265,INSUMOS!$A$6:$E$6961,5,0),IF(A265="COTAÇÃO",VLOOKUP(B265,'036-20-Cotação'!$A$9:$H$529,8,0))))</f>
        <v>MAT.</v>
      </c>
      <c r="E265" s="452" t="str">
        <f>IF(A265="SERVIÇO",VLOOKUP(B265,SERVIÇOS!$A$6:$D$7645,3,0),IF(A265="INSUMO",VLOOKUP(B265,INSUMOS!$A$6:$D$6961,3,0),IF(A265="COTAÇÃO",VLOOKUP(B265,'036-20-Cotação'!$A$9:$G$529,4,0))))</f>
        <v>UN</v>
      </c>
      <c r="F265" s="462">
        <v>1</v>
      </c>
      <c r="G265" s="453">
        <f>IF(A265="SERVIÇO",VLOOKUP(B265,SERVIÇOS!$A$6:$D$7645,4,0),IF(A265="INSUMO",VLOOKUP(B265,INSUMOS!$A$6:$D$6961,4,0),IF(A265="COTAÇÃO",VLOOKUP(B265,'036-20-Cotação'!$A$9:$G$529,3,0))))</f>
        <v>96.86</v>
      </c>
      <c r="H265" s="463">
        <f t="shared" si="30"/>
        <v>96.86</v>
      </c>
      <c r="J265" s="201"/>
    </row>
    <row r="266" spans="1:10" s="87" customFormat="1" ht="38.25">
      <c r="A266" s="232" t="s">
        <v>4544</v>
      </c>
      <c r="B266" s="531">
        <v>12327</v>
      </c>
      <c r="C266" s="451" t="str">
        <f>IF(A266="SERVIÇO",VLOOKUP(B266,SERVIÇOS!$A$6:$D$7645,2,0),IF(A266="INSUMO",VLOOKUP(B266,INSUMOS!$A$6:$D$6961,2,0),IF(A266="COTAÇÃO",VLOOKUP(B266,'036-20-Cotação'!$A$9:$G$529,2,0))))</f>
        <v xml:space="preserve">CINTA CIRCULAR EM ACO GALVANIZADO DE 210 MM DE DIAMETRO PARA INSTALACAO DE TRANSFORMADOR EM POSTE DE CONCRETO                                                                                                                                                                                                                                                                                                                                                                                             </v>
      </c>
      <c r="D266" s="452" t="str">
        <f>IF(A266="SERVIÇO",VLOOKUP(B266,SERVIÇOS!$A$6:$E$7645,5,0),IF(A266="INSUMO",VLOOKUP(B266,INSUMOS!$A$6:$E$6961,5,0),IF(A266="COTAÇÃO",VLOOKUP(B266,'036-20-Cotação'!$A$9:$H$529,8,0))))</f>
        <v>MAT.</v>
      </c>
      <c r="E266" s="452" t="str">
        <f>IF(A266="SERVIÇO",VLOOKUP(B266,SERVIÇOS!$A$6:$D$7645,3,0),IF(A266="INSUMO",VLOOKUP(B266,INSUMOS!$A$6:$D$6961,3,0),IF(A266="COTAÇÃO",VLOOKUP(B266,'036-20-Cotação'!$A$9:$G$529,4,0))))</f>
        <v xml:space="preserve">UN    </v>
      </c>
      <c r="F266" s="462">
        <v>2</v>
      </c>
      <c r="G266" s="453" t="str">
        <f>IF(A266="SERVIÇO",VLOOKUP(B266,SERVIÇOS!$A$6:$D$7645,4,0),IF(A266="INSUMO",VLOOKUP(B266,INSUMOS!$A$6:$D$6961,4,0),IF(A266="COTAÇÃO",VLOOKUP(B266,'036-20-Cotação'!$A$9:$G$529,3,0))))</f>
        <v>24,19</v>
      </c>
      <c r="H266" s="463">
        <f t="shared" si="30"/>
        <v>48.38</v>
      </c>
      <c r="J266" s="201"/>
    </row>
    <row r="267" spans="1:10" s="87" customFormat="1" ht="25.5">
      <c r="A267" s="232" t="s">
        <v>4544</v>
      </c>
      <c r="B267" s="531">
        <v>7581</v>
      </c>
      <c r="C267" s="451" t="str">
        <f>IF(A267="SERVIÇO",VLOOKUP(B267,SERVIÇOS!$A$6:$D$7645,2,0),IF(A267="INSUMO",VLOOKUP(B267,INSUMOS!$A$6:$D$6961,2,0),IF(A267="COTAÇÃO",VLOOKUP(B267,'036-20-Cotação'!$A$9:$G$529,2,0))))</f>
        <v xml:space="preserve">SAPATILHA EM ACO GALVANIZADO PARA CABOS COM DIAMETRO NOMINAL ATE 5/8"                                                                                                                                                                                                                                                                                                                                                                                                                                     </v>
      </c>
      <c r="D267" s="452" t="str">
        <f>IF(A267="SERVIÇO",VLOOKUP(B267,SERVIÇOS!$A$6:$E$7645,5,0),IF(A267="INSUMO",VLOOKUP(B267,INSUMOS!$A$6:$E$6961,5,0),IF(A267="COTAÇÃO",VLOOKUP(B267,'036-20-Cotação'!$A$9:$H$529,8,0))))</f>
        <v>MAT.</v>
      </c>
      <c r="E267" s="452" t="str">
        <f>IF(A267="SERVIÇO",VLOOKUP(B267,SERVIÇOS!$A$6:$D$7645,3,0),IF(A267="INSUMO",VLOOKUP(B267,INSUMOS!$A$6:$D$6961,3,0),IF(A267="COTAÇÃO",VLOOKUP(B267,'036-20-Cotação'!$A$9:$G$529,4,0))))</f>
        <v xml:space="preserve">UN    </v>
      </c>
      <c r="F267" s="462">
        <v>2</v>
      </c>
      <c r="G267" s="453" t="str">
        <f>IF(A267="SERVIÇO",VLOOKUP(B267,SERVIÇOS!$A$6:$D$7645,4,0),IF(A267="INSUMO",VLOOKUP(B267,INSUMOS!$A$6:$D$6961,4,0),IF(A267="COTAÇÃO",VLOOKUP(B267,'036-20-Cotação'!$A$9:$G$529,3,0))))</f>
        <v>2,57</v>
      </c>
      <c r="H267" s="463">
        <f t="shared" si="30"/>
        <v>5.14</v>
      </c>
      <c r="J267" s="201"/>
    </row>
    <row r="268" spans="1:10" s="87" customFormat="1" ht="38.25">
      <c r="A268" s="232" t="s">
        <v>4544</v>
      </c>
      <c r="B268" s="531">
        <v>21015</v>
      </c>
      <c r="C268" s="451" t="str">
        <f>IF(A268="SERVIÇO",VLOOKUP(B268,SERVIÇOS!$A$6:$D$7645,2,0),IF(A268="INSUMO",VLOOKUP(B268,INSUMOS!$A$6:$D$6961,2,0),IF(A268="COTAÇÃO",VLOOKUP(B268,'036-20-Cotação'!$A$9:$G$529,2,0))))</f>
        <v xml:space="preserve">TUBO ACO GALVANIZADO COM COSTURA, CLASSE LEVE, DN 80 MM ( 3"),  E = 3,35 MM, *7,32* KG/M (NBR 5580)                                                                                                                                                                                                                                                                                                                                                                                                       </v>
      </c>
      <c r="D268" s="452" t="str">
        <f>IF(A268="SERVIÇO",VLOOKUP(B268,SERVIÇOS!$A$6:$E$7645,5,0),IF(A268="INSUMO",VLOOKUP(B268,INSUMOS!$A$6:$E$6961,5,0),IF(A268="COTAÇÃO",VLOOKUP(B268,'036-20-Cotação'!$A$9:$H$529,8,0))))</f>
        <v>MAT.</v>
      </c>
      <c r="E268" s="452" t="str">
        <f>IF(A268="SERVIÇO",VLOOKUP(B268,SERVIÇOS!$A$6:$D$7645,3,0),IF(A268="INSUMO",VLOOKUP(B268,INSUMOS!$A$6:$D$6961,3,0),IF(A268="COTAÇÃO",VLOOKUP(B268,'036-20-Cotação'!$A$9:$G$529,4,0))))</f>
        <v xml:space="preserve">M     </v>
      </c>
      <c r="F268" s="462">
        <v>6</v>
      </c>
      <c r="G268" s="453" t="str">
        <f>IF(A268="SERVIÇO",VLOOKUP(B268,SERVIÇOS!$A$6:$D$7645,4,0),IF(A268="INSUMO",VLOOKUP(B268,INSUMOS!$A$6:$D$6961,4,0),IF(A268="COTAÇÃO",VLOOKUP(B268,'036-20-Cotação'!$A$9:$G$529,3,0))))</f>
        <v>69,19</v>
      </c>
      <c r="H268" s="463">
        <f t="shared" si="30"/>
        <v>415.14</v>
      </c>
      <c r="J268" s="201"/>
    </row>
    <row r="269" spans="1:10" s="87" customFormat="1" ht="38.25">
      <c r="A269" s="232" t="s">
        <v>4544</v>
      </c>
      <c r="B269" s="531">
        <v>2620</v>
      </c>
      <c r="C269" s="451" t="str">
        <f>IF(A269="SERVIÇO",VLOOKUP(B269,SERVIÇOS!$A$6:$D$7645,2,0),IF(A269="INSUMO",VLOOKUP(B269,INSUMOS!$A$6:$D$6961,2,0),IF(A269="COTAÇÃO",VLOOKUP(B269,'036-20-Cotação'!$A$9:$G$529,2,0))))</f>
        <v xml:space="preserve">CURVA 90 GRAUS, PARA ELETRODUTO, EM ACO GALVANIZADO ELETROLITICO, DIAMETRO DE 80 MM (3")                                                                                                                                                                                                                                                                                                                                                                                                                  </v>
      </c>
      <c r="D269" s="452" t="str">
        <f>IF(A269="SERVIÇO",VLOOKUP(B269,SERVIÇOS!$A$6:$E$7645,5,0),IF(A269="INSUMO",VLOOKUP(B269,INSUMOS!$A$6:$E$6961,5,0),IF(A269="COTAÇÃO",VLOOKUP(B269,'036-20-Cotação'!$A$9:$H$529,8,0))))</f>
        <v>MAT.</v>
      </c>
      <c r="E269" s="452" t="str">
        <f>IF(A269="SERVIÇO",VLOOKUP(B269,SERVIÇOS!$A$6:$D$7645,3,0),IF(A269="INSUMO",VLOOKUP(B269,INSUMOS!$A$6:$D$6961,3,0),IF(A269="COTAÇÃO",VLOOKUP(B269,'036-20-Cotação'!$A$9:$G$529,4,0))))</f>
        <v xml:space="preserve">UN    </v>
      </c>
      <c r="F269" s="462">
        <v>1</v>
      </c>
      <c r="G269" s="453" t="str">
        <f>IF(A269="SERVIÇO",VLOOKUP(B269,SERVIÇOS!$A$6:$D$7645,4,0),IF(A269="INSUMO",VLOOKUP(B269,INSUMOS!$A$6:$D$6961,4,0),IF(A269="COTAÇÃO",VLOOKUP(B269,'036-20-Cotação'!$A$9:$G$529,3,0))))</f>
        <v>81,27</v>
      </c>
      <c r="H269" s="463">
        <f t="shared" si="30"/>
        <v>81.27</v>
      </c>
      <c r="J269" s="201"/>
    </row>
    <row r="270" spans="1:10" s="87" customFormat="1" ht="38.25">
      <c r="A270" s="232" t="s">
        <v>4544</v>
      </c>
      <c r="B270" s="531">
        <v>2642</v>
      </c>
      <c r="C270" s="451" t="str">
        <f>IF(A270="SERVIÇO",VLOOKUP(B270,SERVIÇOS!$A$6:$D$7645,2,0),IF(A270="INSUMO",VLOOKUP(B270,INSUMOS!$A$6:$D$6961,2,0),IF(A270="COTAÇÃO",VLOOKUP(B270,'036-20-Cotação'!$A$9:$G$529,2,0))))</f>
        <v xml:space="preserve">LUVA PARA ELETRODUTO, EM ACO GALVANIZADO ELETROLITICO, DIAMETRO DE 80 MM (3")                                                                                                                                                                                                                                                                                                                                                                                                                             </v>
      </c>
      <c r="D270" s="452" t="str">
        <f>IF(A270="SERVIÇO",VLOOKUP(B270,SERVIÇOS!$A$6:$E$7645,5,0),IF(A270="INSUMO",VLOOKUP(B270,INSUMOS!$A$6:$E$6961,5,0),IF(A270="COTAÇÃO",VLOOKUP(B270,'036-20-Cotação'!$A$9:$H$529,8,0))))</f>
        <v>MAT.</v>
      </c>
      <c r="E270" s="452" t="str">
        <f>IF(A270="SERVIÇO",VLOOKUP(B270,SERVIÇOS!$A$6:$D$7645,3,0),IF(A270="INSUMO",VLOOKUP(B270,INSUMOS!$A$6:$D$6961,3,0),IF(A270="COTAÇÃO",VLOOKUP(B270,'036-20-Cotação'!$A$9:$G$529,4,0))))</f>
        <v xml:space="preserve">UN    </v>
      </c>
      <c r="F270" s="462">
        <v>3</v>
      </c>
      <c r="G270" s="453" t="str">
        <f>IF(A270="SERVIÇO",VLOOKUP(B270,SERVIÇOS!$A$6:$D$7645,4,0),IF(A270="INSUMO",VLOOKUP(B270,INSUMOS!$A$6:$D$6961,4,0),IF(A270="COTAÇÃO",VLOOKUP(B270,'036-20-Cotação'!$A$9:$G$529,3,0))))</f>
        <v>15,38</v>
      </c>
      <c r="H270" s="463">
        <f t="shared" si="30"/>
        <v>46.14</v>
      </c>
      <c r="J270" s="201"/>
    </row>
    <row r="271" spans="1:10" s="87" customFormat="1" ht="25.5">
      <c r="A271" s="232" t="s">
        <v>4544</v>
      </c>
      <c r="B271" s="531">
        <v>2686</v>
      </c>
      <c r="C271" s="451" t="str">
        <f>IF(A271="SERVIÇO",VLOOKUP(B271,SERVIÇOS!$A$6:$D$7645,2,0),IF(A271="INSUMO",VLOOKUP(B271,INSUMOS!$A$6:$D$6961,2,0),IF(A271="COTAÇÃO",VLOOKUP(B271,'036-20-Cotação'!$A$9:$G$529,2,0))))</f>
        <v xml:space="preserve">ELETRODUTO DE PVC RIGIDO ROSCAVEL DE 3 ", SEM LUVA                                                                                                                                                                                                                                                                                                                                                                                                                                                        </v>
      </c>
      <c r="D271" s="452" t="str">
        <f>IF(A271="SERVIÇO",VLOOKUP(B271,SERVIÇOS!$A$6:$E$7645,5,0),IF(A271="INSUMO",VLOOKUP(B271,INSUMOS!$A$6:$E$6961,5,0),IF(A271="COTAÇÃO",VLOOKUP(B271,'036-20-Cotação'!$A$9:$H$529,8,0))))</f>
        <v>MAT.</v>
      </c>
      <c r="E271" s="452" t="str">
        <f>IF(A271="SERVIÇO",VLOOKUP(B271,SERVIÇOS!$A$6:$D$7645,3,0),IF(A271="INSUMO",VLOOKUP(B271,INSUMOS!$A$6:$D$6961,3,0),IF(A271="COTAÇÃO",VLOOKUP(B271,'036-20-Cotação'!$A$9:$G$529,4,0))))</f>
        <v xml:space="preserve">M     </v>
      </c>
      <c r="F271" s="462">
        <v>3</v>
      </c>
      <c r="G271" s="453" t="str">
        <f>IF(A271="SERVIÇO",VLOOKUP(B271,SERVIÇOS!$A$6:$D$7645,4,0),IF(A271="INSUMO",VLOOKUP(B271,INSUMOS!$A$6:$D$6961,4,0),IF(A271="COTAÇÃO",VLOOKUP(B271,'036-20-Cotação'!$A$9:$G$529,3,0))))</f>
        <v>19,75</v>
      </c>
      <c r="H271" s="463">
        <f t="shared" si="30"/>
        <v>59.25</v>
      </c>
      <c r="J271" s="201"/>
    </row>
    <row r="272" spans="1:10" s="87" customFormat="1" ht="25.5">
      <c r="A272" s="232" t="s">
        <v>4544</v>
      </c>
      <c r="B272" s="531">
        <v>1896</v>
      </c>
      <c r="C272" s="451" t="str">
        <f>IF(A272="SERVIÇO",VLOOKUP(B272,SERVIÇOS!$A$6:$D$7645,2,0),IF(A272="INSUMO",VLOOKUP(B272,INSUMOS!$A$6:$D$6961,2,0),IF(A272="COTAÇÃO",VLOOKUP(B272,'036-20-Cotação'!$A$9:$G$529,2,0))))</f>
        <v xml:space="preserve">LUVA EM PVC RIGIDO ROSCAVEL, DE 3", PARA ELETRODUTO                                                                                                                                                                                                                                                                                                                                                                                                                                                       </v>
      </c>
      <c r="D272" s="452" t="str">
        <f>IF(A272="SERVIÇO",VLOOKUP(B272,SERVIÇOS!$A$6:$E$7645,5,0),IF(A272="INSUMO",VLOOKUP(B272,INSUMOS!$A$6:$E$6961,5,0),IF(A272="COTAÇÃO",VLOOKUP(B272,'036-20-Cotação'!$A$9:$H$529,8,0))))</f>
        <v>MAT.</v>
      </c>
      <c r="E272" s="452" t="str">
        <f>IF(A272="SERVIÇO",VLOOKUP(B272,SERVIÇOS!$A$6:$D$7645,3,0),IF(A272="INSUMO",VLOOKUP(B272,INSUMOS!$A$6:$D$6961,3,0),IF(A272="COTAÇÃO",VLOOKUP(B272,'036-20-Cotação'!$A$9:$G$529,4,0))))</f>
        <v xml:space="preserve">UN    </v>
      </c>
      <c r="F272" s="462">
        <v>4</v>
      </c>
      <c r="G272" s="453" t="str">
        <f>IF(A272="SERVIÇO",VLOOKUP(B272,SERVIÇOS!$A$6:$D$7645,4,0),IF(A272="INSUMO",VLOOKUP(B272,INSUMOS!$A$6:$D$6961,4,0),IF(A272="COTAÇÃO",VLOOKUP(B272,'036-20-Cotação'!$A$9:$G$529,3,0))))</f>
        <v>9,73</v>
      </c>
      <c r="H272" s="463">
        <f t="shared" si="30"/>
        <v>38.92</v>
      </c>
      <c r="J272" s="201"/>
    </row>
    <row r="273" spans="1:17" s="87" customFormat="1" ht="25.5">
      <c r="A273" s="232" t="s">
        <v>4544</v>
      </c>
      <c r="B273" s="531">
        <v>1877</v>
      </c>
      <c r="C273" s="451" t="str">
        <f>IF(A273="SERVIÇO",VLOOKUP(B273,SERVIÇOS!$A$6:$D$7645,2,0),IF(A273="INSUMO",VLOOKUP(B273,INSUMOS!$A$6:$D$6961,2,0),IF(A273="COTAÇÃO",VLOOKUP(B273,'036-20-Cotação'!$A$9:$G$529,2,0))))</f>
        <v xml:space="preserve">CURVA 90 GRAUS, LONGA, DE PVC RIGIDO ROSCAVEL, DE 3", PARA ELETRODUTO                                                                                                                                                                                                                                                                                                                                                                                                                                     </v>
      </c>
      <c r="D273" s="452" t="str">
        <f>IF(A273="SERVIÇO",VLOOKUP(B273,SERVIÇOS!$A$6:$E$7645,5,0),IF(A273="INSUMO",VLOOKUP(B273,INSUMOS!$A$6:$E$6961,5,0),IF(A273="COTAÇÃO",VLOOKUP(B273,'036-20-Cotação'!$A$9:$H$529,8,0))))</f>
        <v>MAT.</v>
      </c>
      <c r="E273" s="452" t="str">
        <f>IF(A273="SERVIÇO",VLOOKUP(B273,SERVIÇOS!$A$6:$D$7645,3,0),IF(A273="INSUMO",VLOOKUP(B273,INSUMOS!$A$6:$D$6961,3,0),IF(A273="COTAÇÃO",VLOOKUP(B273,'036-20-Cotação'!$A$9:$G$529,4,0))))</f>
        <v xml:space="preserve">UN    </v>
      </c>
      <c r="F273" s="462">
        <v>2</v>
      </c>
      <c r="G273" s="453" t="str">
        <f>IF(A273="SERVIÇO",VLOOKUP(B273,SERVIÇOS!$A$6:$D$7645,4,0),IF(A273="INSUMO",VLOOKUP(B273,INSUMOS!$A$6:$D$6961,4,0),IF(A273="COTAÇÃO",VLOOKUP(B273,'036-20-Cotação'!$A$9:$G$529,3,0))))</f>
        <v>14,97</v>
      </c>
      <c r="H273" s="463">
        <f t="shared" si="30"/>
        <v>29.94</v>
      </c>
      <c r="J273" s="201"/>
    </row>
    <row r="274" spans="1:17" s="87" customFormat="1" ht="25.5">
      <c r="A274" s="232" t="s">
        <v>4544</v>
      </c>
      <c r="B274" s="531">
        <v>3406</v>
      </c>
      <c r="C274" s="451" t="str">
        <f>IF(A274="SERVIÇO",VLOOKUP(B274,SERVIÇOS!$A$6:$D$7645,2,0),IF(A274="INSUMO",VLOOKUP(B274,INSUMOS!$A$6:$D$6961,2,0),IF(A274="COTAÇÃO",VLOOKUP(B274,'036-20-Cotação'!$A$9:$G$529,2,0))))</f>
        <v xml:space="preserve">ISOLADOR DE PORCELANA, TIPO PINO MONOCORPO, PARA TENSAO DE *15* KV                                                                                                                                                                                                                                                                                                                                                                                                                                        </v>
      </c>
      <c r="D274" s="452" t="str">
        <f>IF(A274="SERVIÇO",VLOOKUP(B274,SERVIÇOS!$A$6:$E$7645,5,0),IF(A274="INSUMO",VLOOKUP(B274,INSUMOS!$A$6:$E$6961,5,0),IF(A274="COTAÇÃO",VLOOKUP(B274,'036-20-Cotação'!$A$9:$H$529,8,0))))</f>
        <v>MAT.</v>
      </c>
      <c r="E274" s="452" t="str">
        <f>IF(A274="SERVIÇO",VLOOKUP(B274,SERVIÇOS!$A$6:$D$7645,3,0),IF(A274="INSUMO",VLOOKUP(B274,INSUMOS!$A$6:$D$6961,3,0),IF(A274="COTAÇÃO",VLOOKUP(B274,'036-20-Cotação'!$A$9:$G$529,4,0))))</f>
        <v xml:space="preserve">UN    </v>
      </c>
      <c r="F274" s="462">
        <v>3</v>
      </c>
      <c r="G274" s="453" t="str">
        <f>IF(A274="SERVIÇO",VLOOKUP(B274,SERVIÇOS!$A$6:$D$7645,4,0),IF(A274="INSUMO",VLOOKUP(B274,INSUMOS!$A$6:$D$6961,4,0),IF(A274="COTAÇÃO",VLOOKUP(B274,'036-20-Cotação'!$A$9:$G$529,3,0))))</f>
        <v>19,36</v>
      </c>
      <c r="H274" s="463">
        <f t="shared" si="30"/>
        <v>58.08</v>
      </c>
      <c r="J274" s="201"/>
    </row>
    <row r="275" spans="1:17" s="87" customFormat="1" ht="51">
      <c r="A275" s="232" t="s">
        <v>4544</v>
      </c>
      <c r="B275" s="531">
        <v>11837</v>
      </c>
      <c r="C275" s="451" t="str">
        <f>IF(A275="SERVIÇO",VLOOKUP(B275,SERVIÇOS!$A$6:$D$7645,2,0),IF(A275="INSUMO",VLOOKUP(B275,INSUMOS!$A$6:$D$6961,2,0),IF(A275="COTAÇÃO",VLOOKUP(B275,'036-20-Cotação'!$A$9:$G$529,2,0))))</f>
        <v xml:space="preserve">GRAMPO LINHA VIVA DE LATAO ESTANHADO, DIAMETRO DO CONDUTOR PRINCIPAL DE 10 A 120 MM2, DIAMETRO DA DERIVACAO DE 10 A 70 MM2                                                                                                                                                                                                                                                                                                                                                                                </v>
      </c>
      <c r="D275" s="452" t="str">
        <f>IF(A275="SERVIÇO",VLOOKUP(B275,SERVIÇOS!$A$6:$E$7645,5,0),IF(A275="INSUMO",VLOOKUP(B275,INSUMOS!$A$6:$E$6961,5,0),IF(A275="COTAÇÃO",VLOOKUP(B275,'036-20-Cotação'!$A$9:$H$529,8,0))))</f>
        <v>MAT.</v>
      </c>
      <c r="E275" s="452" t="str">
        <f>IF(A275="SERVIÇO",VLOOKUP(B275,SERVIÇOS!$A$6:$D$7645,3,0),IF(A275="INSUMO",VLOOKUP(B275,INSUMOS!$A$6:$D$6961,3,0),IF(A275="COTAÇÃO",VLOOKUP(B275,'036-20-Cotação'!$A$9:$G$529,4,0))))</f>
        <v xml:space="preserve">UN    </v>
      </c>
      <c r="F275" s="462">
        <v>3</v>
      </c>
      <c r="G275" s="453" t="str">
        <f>IF(A275="SERVIÇO",VLOOKUP(B275,SERVIÇOS!$A$6:$D$7645,4,0),IF(A275="INSUMO",VLOOKUP(B275,INSUMOS!$A$6:$D$6961,4,0),IF(A275="COTAÇÃO",VLOOKUP(B275,'036-20-Cotação'!$A$9:$G$529,3,0))))</f>
        <v>47,54</v>
      </c>
      <c r="H275" s="463">
        <f t="shared" si="30"/>
        <v>142.62</v>
      </c>
      <c r="J275" s="201"/>
    </row>
    <row r="276" spans="1:17" s="87" customFormat="1" ht="38.25">
      <c r="A276" s="232" t="s">
        <v>4544</v>
      </c>
      <c r="B276" s="531">
        <v>4334</v>
      </c>
      <c r="C276" s="451" t="str">
        <f>IF(A276="SERVIÇO",VLOOKUP(B276,SERVIÇOS!$A$6:$D$7645,2,0),IF(A276="INSUMO",VLOOKUP(B276,INSUMOS!$A$6:$D$6961,2,0),IF(A276="COTAÇÃO",VLOOKUP(B276,'036-20-Cotação'!$A$9:$G$529,2,0))))</f>
        <v xml:space="preserve">PARAFUSO FRANCES ZINCADO, DIAMETRO 1/2", COMPRIMENTO 15", COM PORCA E ARRUELA LISA MEDIA                                                                                                                                                                                                                                                                                                                                                                                                                  </v>
      </c>
      <c r="D276" s="452" t="str">
        <f>IF(A276="SERVIÇO",VLOOKUP(B276,SERVIÇOS!$A$6:$E$7645,5,0),IF(A276="INSUMO",VLOOKUP(B276,INSUMOS!$A$6:$E$6961,5,0),IF(A276="COTAÇÃO",VLOOKUP(B276,'036-20-Cotação'!$A$9:$H$529,8,0))))</f>
        <v>MAT.</v>
      </c>
      <c r="E276" s="452" t="str">
        <f>IF(A276="SERVIÇO",VLOOKUP(B276,SERVIÇOS!$A$6:$D$7645,3,0),IF(A276="INSUMO",VLOOKUP(B276,INSUMOS!$A$6:$D$6961,3,0),IF(A276="COTAÇÃO",VLOOKUP(B276,'036-20-Cotação'!$A$9:$G$529,4,0))))</f>
        <v xml:space="preserve">UN    </v>
      </c>
      <c r="F276" s="462">
        <v>3</v>
      </c>
      <c r="G276" s="453" t="str">
        <f>IF(A276="SERVIÇO",VLOOKUP(B276,SERVIÇOS!$A$6:$D$7645,4,0),IF(A276="INSUMO",VLOOKUP(B276,INSUMOS!$A$6:$D$6961,4,0),IF(A276="COTAÇÃO",VLOOKUP(B276,'036-20-Cotação'!$A$9:$G$529,3,0))))</f>
        <v>13,09</v>
      </c>
      <c r="H276" s="463">
        <f t="shared" si="30"/>
        <v>39.269999999999996</v>
      </c>
      <c r="J276" s="201"/>
    </row>
    <row r="277" spans="1:17" s="87" customFormat="1" ht="38.25">
      <c r="A277" s="232" t="s">
        <v>4544</v>
      </c>
      <c r="B277" s="531">
        <v>4276</v>
      </c>
      <c r="C277" s="451" t="str">
        <f>IF(A277="SERVIÇO",VLOOKUP(B277,SERVIÇOS!$A$6:$D$7645,2,0),IF(A277="INSUMO",VLOOKUP(B277,INSUMOS!$A$6:$D$6961,2,0),IF(A277="COTAÇÃO",VLOOKUP(B277,'036-20-Cotação'!$A$9:$G$529,2,0))))</f>
        <v xml:space="preserve">PARA-RAIOS DE DISTRIBUICAO, TENSAO NOMINAL 15 KV, CORRENTE NOMINAL DE DESCARGA 5 KA                                                                                                                                                                                                                                                                                                                                                                                                                       </v>
      </c>
      <c r="D277" s="452" t="str">
        <f>IF(A277="SERVIÇO",VLOOKUP(B277,SERVIÇOS!$A$6:$E$7645,5,0),IF(A277="INSUMO",VLOOKUP(B277,INSUMOS!$A$6:$E$6961,5,0),IF(A277="COTAÇÃO",VLOOKUP(B277,'036-20-Cotação'!$A$9:$H$529,8,0))))</f>
        <v>MAT.</v>
      </c>
      <c r="E277" s="452" t="str">
        <f>IF(A277="SERVIÇO",VLOOKUP(B277,SERVIÇOS!$A$6:$D$7645,3,0),IF(A277="INSUMO",VLOOKUP(B277,INSUMOS!$A$6:$D$6961,3,0),IF(A277="COTAÇÃO",VLOOKUP(B277,'036-20-Cotação'!$A$9:$G$529,4,0))))</f>
        <v xml:space="preserve">UN    </v>
      </c>
      <c r="F277" s="462">
        <v>3</v>
      </c>
      <c r="G277" s="453" t="str">
        <f>IF(A277="SERVIÇO",VLOOKUP(B277,SERVIÇOS!$A$6:$D$7645,4,0),IF(A277="INSUMO",VLOOKUP(B277,INSUMOS!$A$6:$D$6961,4,0),IF(A277="COTAÇÃO",VLOOKUP(B277,'036-20-Cotação'!$A$9:$G$529,3,0))))</f>
        <v>289,56</v>
      </c>
      <c r="H277" s="463">
        <f t="shared" si="30"/>
        <v>868.68000000000006</v>
      </c>
      <c r="J277" s="201"/>
    </row>
    <row r="278" spans="1:17" s="87" customFormat="1" ht="38.25">
      <c r="A278" s="232" t="s">
        <v>12</v>
      </c>
      <c r="B278" s="531" t="s">
        <v>6517</v>
      </c>
      <c r="C278" s="451" t="str">
        <f>IF(A278="SERVIÇO",VLOOKUP(B278,SERVIÇOS!$A$6:$D$7645,2,0),IF(A278="INSUMO",VLOOKUP(B278,INSUMOS!$A$6:$D$6961,2,0),IF(A278="COTAÇÃO",VLOOKUP(B278,'036-20-Cotação'!$A$9:$G$529,2,0))))</f>
        <v>CONJUNTO DE MEDIÇÃO TR, CONTENDO CAIXAS (CX.B, CX.TR, CX.P4, CX.P1) CONFORME PROJETO.</v>
      </c>
      <c r="D278" s="452" t="str">
        <f>IF(A278="SERVIÇO",VLOOKUP(B278,SERVIÇOS!$A$6:$E$7645,5,0),IF(A278="INSUMO",VLOOKUP(B278,INSUMOS!$A$6:$E$6961,5,0),IF(A278="COTAÇÃO",VLOOKUP(B278,'036-20-Cotação'!$A$9:$H$529,8,0))))</f>
        <v>MAT.</v>
      </c>
      <c r="E278" s="452" t="str">
        <f>IF(A278="SERVIÇO",VLOOKUP(B278,SERVIÇOS!$A$6:$D$7645,3,0),IF(A278="INSUMO",VLOOKUP(B278,INSUMOS!$A$6:$D$6961,3,0),IF(A278="COTAÇÃO",VLOOKUP(B278,'036-20-Cotação'!$A$9:$G$529,4,0))))</f>
        <v>UN</v>
      </c>
      <c r="F278" s="462">
        <v>1</v>
      </c>
      <c r="G278" s="453">
        <f>IF(A278="SERVIÇO",VLOOKUP(B278,SERVIÇOS!$A$6:$D$7645,4,0),IF(A278="INSUMO",VLOOKUP(B278,INSUMOS!$A$6:$D$6961,4,0),IF(A278="COTAÇÃO",VLOOKUP(B278,'036-20-Cotação'!$A$9:$G$529,3,0))))</f>
        <v>8047.9</v>
      </c>
      <c r="H278" s="463">
        <f t="shared" si="30"/>
        <v>8047.9</v>
      </c>
      <c r="J278" s="201"/>
    </row>
    <row r="279" spans="1:17" s="87" customFormat="1" ht="12.75">
      <c r="A279" s="188"/>
      <c r="B279" s="348" t="s">
        <v>123</v>
      </c>
      <c r="C279" s="695" t="s">
        <v>6490</v>
      </c>
      <c r="D279" s="696"/>
      <c r="E279" s="696"/>
      <c r="F279" s="696"/>
      <c r="G279" s="696"/>
      <c r="H279" s="697"/>
      <c r="J279" s="201"/>
      <c r="K279" s="78"/>
      <c r="L279" s="78"/>
      <c r="M279" s="78"/>
      <c r="N279" s="78"/>
      <c r="O279" s="78"/>
      <c r="P279" s="78"/>
      <c r="Q279" s="78"/>
    </row>
    <row r="280" spans="1:17" s="87" customFormat="1" ht="12.75">
      <c r="A280" s="188"/>
      <c r="B280" s="346"/>
      <c r="C280" s="316"/>
      <c r="D280" s="316"/>
      <c r="E280" s="316"/>
      <c r="F280" s="316"/>
      <c r="G280" s="316"/>
      <c r="H280" s="317"/>
      <c r="J280" s="201"/>
      <c r="K280" s="78"/>
      <c r="L280" s="78"/>
      <c r="M280" s="78"/>
      <c r="N280" s="78"/>
      <c r="O280" s="78"/>
      <c r="P280" s="78"/>
      <c r="Q280" s="78"/>
    </row>
    <row r="281" spans="1:17" s="87" customFormat="1" ht="63.75">
      <c r="A281" s="188"/>
      <c r="B281" s="80" t="s">
        <v>6269</v>
      </c>
      <c r="C281" s="81" t="s">
        <v>6520</v>
      </c>
      <c r="D281" s="82" t="s">
        <v>84</v>
      </c>
      <c r="E281" s="82" t="s">
        <v>4521</v>
      </c>
      <c r="F281" s="83"/>
      <c r="G281" s="84"/>
      <c r="H281" s="85">
        <f>SUM(H282:H286)</f>
        <v>1083.3409999999999</v>
      </c>
      <c r="J281" s="201"/>
      <c r="K281" s="78"/>
      <c r="L281" s="78"/>
      <c r="M281" s="78"/>
      <c r="N281" s="78"/>
      <c r="O281" s="78"/>
      <c r="P281" s="78"/>
      <c r="Q281" s="78"/>
    </row>
    <row r="282" spans="1:17" s="87" customFormat="1" ht="25.5">
      <c r="A282" s="232" t="s">
        <v>4544</v>
      </c>
      <c r="B282" s="464">
        <v>5045</v>
      </c>
      <c r="C282" s="451" t="str">
        <f>IF(A282="SERVIÇO",VLOOKUP(B282,SERVIÇOS!$A$6:$D$7645,2,0),IF(A282="INSUMO",VLOOKUP(B282,INSUMOS!$A$6:$D$6961,2,0),IF(A282="COTAÇÃO",VLOOKUP(B282,'036-20-Cotação'!$A$9:$G$529,2,0))))</f>
        <v xml:space="preserve">POSTE DE CONCRETO CIRCULAR, 200 KG, H = 11 M (NBR 8451)                                                                                                                                                                                                                                                                                                                                                                                                                                                   </v>
      </c>
      <c r="D282" s="452" t="str">
        <f>IF(A282="SERVIÇO",VLOOKUP(B282,SERVIÇOS!$A$6:$E$7645,5,0),IF(A282="INSUMO",VLOOKUP(B282,INSUMOS!$A$6:$E$6961,5,0),IF(A282="COTAÇÃO",VLOOKUP(B282,'036-20-Cotação'!$A$9:$H$529,8,0))))</f>
        <v>MAT.</v>
      </c>
      <c r="E282" s="452" t="str">
        <f>IF(A282="SERVIÇO",VLOOKUP(B282,SERVIÇOS!$A$6:$D$7645,3,0),IF(A282="INSUMO",VLOOKUP(B282,INSUMOS!$A$6:$D$6961,3,0),IF(A282="COTAÇÃO",VLOOKUP(B282,'036-20-Cotação'!$A$9:$G$529,4,0))))</f>
        <v xml:space="preserve">UN    </v>
      </c>
      <c r="F282" s="462" t="s">
        <v>6488</v>
      </c>
      <c r="G282" s="453" t="str">
        <f>IF(A282="SERVIÇO",VLOOKUP(B282,SERVIÇOS!$A$6:$D$7645,4,0),IF(A282="INSUMO",VLOOKUP(B282,INSUMOS!$A$6:$D$6961,4,0),IF(A282="COTAÇÃO",VLOOKUP(B282,'036-20-Cotação'!$A$9:$G$529,3,0))))</f>
        <v>752,13</v>
      </c>
      <c r="H282" s="463">
        <f t="shared" ref="H282:H286" si="31">G282*F282</f>
        <v>752.13</v>
      </c>
      <c r="J282" s="201"/>
    </row>
    <row r="283" spans="1:17" s="87" customFormat="1" ht="12.75">
      <c r="A283" s="232" t="s">
        <v>4542</v>
      </c>
      <c r="B283" s="531" t="s">
        <v>6602</v>
      </c>
      <c r="C283" s="451" t="str">
        <f>IF(A283="SERVIÇO",VLOOKUP(B283,SERVIÇOS!$A$6:$D$7645,2,0),IF(A283="INSUMO",VLOOKUP(B283,INSUMOS!$A$6:$D$6961,2,0),IF(A283="COTAÇÃO",VLOOKUP(B283,'036-20-Cotação'!$A$9:$G$529,2,0))))</f>
        <v>SERVENTE</v>
      </c>
      <c r="D283" s="452" t="str">
        <f>IF(A283="SERVIÇO",VLOOKUP(B283,SERVIÇOS!$A$6:$E$7645,5,0),IF(A283="INSUMO",VLOOKUP(B283,INSUMOS!$A$6:$E$6961,5,0),IF(A283="COTAÇÃO",VLOOKUP(B283,'036-20-Cotação'!$A$9:$H$529,8,0))))</f>
        <v>M.O</v>
      </c>
      <c r="E283" s="452" t="str">
        <f>IF(A283="SERVIÇO",VLOOKUP(B283,SERVIÇOS!$A$6:$D$7645,3,0),IF(A283="INSUMO",VLOOKUP(B283,INSUMOS!$A$6:$D$6961,3,0),IF(A283="COTAÇÃO",VLOOKUP(B283,'036-20-Cotação'!$A$9:$G$529,4,0))))</f>
        <v>H</v>
      </c>
      <c r="F283" s="462" t="s">
        <v>6493</v>
      </c>
      <c r="G283" s="453">
        <f>IF(A283="SERVIÇO",VLOOKUP(B283,SERVIÇOS!$A$6:$D$7645,4,0),IF(A283="INSUMO",VLOOKUP(B283,INSUMOS!$A$6:$D$6961,4,0),IF(A283="COTAÇÃO",VLOOKUP(B283,'036-20-Cotação'!$A$9:$G$529,3,0))))</f>
        <v>15.637499999999999</v>
      </c>
      <c r="H283" s="463">
        <f t="shared" si="31"/>
        <v>93.824999999999989</v>
      </c>
      <c r="J283" s="201"/>
    </row>
    <row r="284" spans="1:17" s="87" customFormat="1" ht="76.5">
      <c r="A284" s="232" t="s">
        <v>4542</v>
      </c>
      <c r="B284" s="464">
        <v>91634</v>
      </c>
      <c r="C284" s="451" t="str">
        <f>IF(A284="SERVIÇO",VLOOKUP(B284,SERVIÇOS!$A$6:$D$7645,2,0),IF(A284="INSUMO",VLOOKUP(B284,INSUMOS!$A$6:$D$6961,2,0),IF(A284="COTAÇÃO",VLOOKUP(B284,'036-20-Cotação'!$A$9:$G$529,2,0))))</f>
        <v>GUINDAUTO HIDRÁULICO, CAPACIDADE MÁXIMA DE CARGA 6500 KG, MOMENTO MÁXIMO DE CARGA 5,8 TM, ALCANCE MÁXIMO HORIZONTAL 7,60 M, INCLUSIVE CAMINHÃO TOCO PBT 9.700 KG, POTÊNCIA DE 160 CV - CHP DIURNO. AF_08/2015</v>
      </c>
      <c r="D284" s="452" t="str">
        <f>IF(A284="SERVIÇO",VLOOKUP(B284,SERVIÇOS!$A$6:$E$7645,5,0),IF(A284="INSUMO",VLOOKUP(B284,INSUMOS!$A$6:$E$6961,5,0),IF(A284="COTAÇÃO",VLOOKUP(B284,'036-20-Cotação'!$A$9:$H$529,8,0))))</f>
        <v>EQUIP.</v>
      </c>
      <c r="E284" s="452" t="str">
        <f>IF(A284="SERVIÇO",VLOOKUP(B284,SERVIÇOS!$A$6:$D$7645,3,0),IF(A284="INSUMO",VLOOKUP(B284,INSUMOS!$A$6:$D$6961,3,0),IF(A284="COTAÇÃO",VLOOKUP(B284,'036-20-Cotação'!$A$9:$G$529,4,0))))</f>
        <v>CHP</v>
      </c>
      <c r="F284" s="462" t="s">
        <v>6494</v>
      </c>
      <c r="G284" s="453" t="str">
        <f>IF(A284="SERVIÇO",VLOOKUP(B284,SERVIÇOS!$A$6:$D$7645,4,0),IF(A284="INSUMO",VLOOKUP(B284,INSUMOS!$A$6:$D$6961,4,0),IF(A284="COTAÇÃO",VLOOKUP(B284,'036-20-Cotação'!$A$9:$G$529,3,0))))</f>
        <v>132,58</v>
      </c>
      <c r="H284" s="463">
        <f t="shared" si="31"/>
        <v>165.72500000000002</v>
      </c>
      <c r="J284" s="201"/>
    </row>
    <row r="285" spans="1:17" s="87" customFormat="1" ht="38.25">
      <c r="A285" s="232" t="s">
        <v>4542</v>
      </c>
      <c r="B285" s="464">
        <v>92873</v>
      </c>
      <c r="C285" s="451" t="str">
        <f>IF(A285="SERVIÇO",VLOOKUP(B285,SERVIÇOS!$A$6:$D$7645,2,0),IF(A285="INSUMO",VLOOKUP(B285,INSUMOS!$A$6:$D$6961,2,0),IF(A285="COTAÇÃO",VLOOKUP(B285,'036-20-Cotação'!$A$9:$G$529,2,0))))</f>
        <v>LANÇAMENTO COM USO DE BALDES, ADENSAMENTO E ACABAMENTO DE CONCRETO EM ESTRUTURAS. AF_12/2015</v>
      </c>
      <c r="D285" s="452" t="str">
        <f>IF(A285="SERVIÇO",VLOOKUP(B285,SERVIÇOS!$A$6:$E$7645,5,0),IF(A285="INSUMO",VLOOKUP(B285,INSUMOS!$A$6:$E$6961,5,0),IF(A285="COTAÇÃO",VLOOKUP(B285,'036-20-Cotação'!$A$9:$H$529,8,0))))</f>
        <v>SER.CG</v>
      </c>
      <c r="E285" s="452" t="str">
        <f>IF(A285="SERVIÇO",VLOOKUP(B285,SERVIÇOS!$A$6:$D$7645,3,0),IF(A285="INSUMO",VLOOKUP(B285,INSUMOS!$A$6:$D$6961,3,0),IF(A285="COTAÇÃO",VLOOKUP(B285,'036-20-Cotação'!$A$9:$G$529,4,0))))</f>
        <v>M3</v>
      </c>
      <c r="F285" s="462" t="s">
        <v>6495</v>
      </c>
      <c r="G285" s="453" t="str">
        <f>IF(A285="SERVIÇO",VLOOKUP(B285,SERVIÇOS!$A$6:$D$7645,4,0),IF(A285="INSUMO",VLOOKUP(B285,INSUMOS!$A$6:$D$6961,4,0),IF(A285="COTAÇÃO",VLOOKUP(B285,'036-20-Cotação'!$A$9:$G$529,3,0))))</f>
        <v>175,67</v>
      </c>
      <c r="H285" s="463">
        <f t="shared" si="31"/>
        <v>26.350499999999997</v>
      </c>
      <c r="J285" s="201"/>
    </row>
    <row r="286" spans="1:17" s="87" customFormat="1" ht="38.25">
      <c r="A286" s="232" t="s">
        <v>4542</v>
      </c>
      <c r="B286" s="464">
        <v>94969</v>
      </c>
      <c r="C286" s="451" t="str">
        <f>IF(A286="SERVIÇO",VLOOKUP(B286,SERVIÇOS!$A$6:$D$7645,2,0),IF(A286="INSUMO",VLOOKUP(B286,INSUMOS!$A$6:$D$6961,2,0),IF(A286="COTAÇÃO",VLOOKUP(B286,'036-20-Cotação'!$A$9:$G$529,2,0))))</f>
        <v>CONCRETO FCK = 15MPA, TRAÇO 1:3,4:3,5 (CIMENTO/ AREIA MÉDIA/ BRITA 1)  - PREPARO MECÂNICO COM BETONEIRA 600 L. AF_07/2016</v>
      </c>
      <c r="D286" s="452" t="str">
        <f>IF(A286="SERVIÇO",VLOOKUP(B286,SERVIÇOS!$A$6:$E$7645,5,0),IF(A286="INSUMO",VLOOKUP(B286,INSUMOS!$A$6:$E$6961,5,0),IF(A286="COTAÇÃO",VLOOKUP(B286,'036-20-Cotação'!$A$9:$H$529,8,0))))</f>
        <v>SER.CG</v>
      </c>
      <c r="E286" s="452" t="str">
        <f>IF(A286="SERVIÇO",VLOOKUP(B286,SERVIÇOS!$A$6:$D$7645,3,0),IF(A286="INSUMO",VLOOKUP(B286,INSUMOS!$A$6:$D$6961,3,0),IF(A286="COTAÇÃO",VLOOKUP(B286,'036-20-Cotação'!$A$9:$G$529,4,0))))</f>
        <v>M3</v>
      </c>
      <c r="F286" s="462" t="s">
        <v>6495</v>
      </c>
      <c r="G286" s="453" t="str">
        <f>IF(A286="SERVIÇO",VLOOKUP(B286,SERVIÇOS!$A$6:$D$7645,4,0),IF(A286="INSUMO",VLOOKUP(B286,INSUMOS!$A$6:$D$6961,4,0),IF(A286="COTAÇÃO",VLOOKUP(B286,'036-20-Cotação'!$A$9:$G$529,3,0))))</f>
        <v>302,07</v>
      </c>
      <c r="H286" s="463">
        <f t="shared" si="31"/>
        <v>45.310499999999998</v>
      </c>
      <c r="J286" s="201"/>
    </row>
    <row r="287" spans="1:17" s="87" customFormat="1" ht="12.75">
      <c r="A287" s="188"/>
      <c r="B287" s="348" t="s">
        <v>123</v>
      </c>
      <c r="C287" s="695" t="s">
        <v>6492</v>
      </c>
      <c r="D287" s="696"/>
      <c r="E287" s="696"/>
      <c r="F287" s="696"/>
      <c r="G287" s="696"/>
      <c r="H287" s="697"/>
      <c r="J287" s="201"/>
      <c r="K287" s="78"/>
      <c r="L287" s="78"/>
      <c r="M287" s="78"/>
      <c r="N287" s="78"/>
      <c r="O287" s="78"/>
      <c r="P287" s="78"/>
      <c r="Q287" s="78"/>
    </row>
    <row r="288" spans="1:17" s="78" customFormat="1" ht="15.75" customHeight="1">
      <c r="A288" s="188"/>
      <c r="B288" s="346"/>
      <c r="C288" s="347"/>
      <c r="D288" s="347"/>
      <c r="E288" s="347"/>
      <c r="F288" s="347"/>
      <c r="G288" s="347"/>
      <c r="H288" s="347"/>
      <c r="J288" s="79"/>
      <c r="K288" s="87"/>
      <c r="L288" s="87"/>
      <c r="M288" s="87"/>
      <c r="N288" s="87"/>
      <c r="O288" s="87"/>
      <c r="P288" s="87"/>
      <c r="Q288" s="87"/>
    </row>
    <row r="289" spans="1:17" s="87" customFormat="1" ht="51">
      <c r="A289" s="64"/>
      <c r="B289" s="80" t="s">
        <v>6270</v>
      </c>
      <c r="C289" s="81" t="s">
        <v>6521</v>
      </c>
      <c r="D289" s="82" t="s">
        <v>84</v>
      </c>
      <c r="E289" s="82" t="s">
        <v>5</v>
      </c>
      <c r="F289" s="83"/>
      <c r="G289" s="84"/>
      <c r="H289" s="85">
        <f>SUM(H290:H292)</f>
        <v>54.507899999999999</v>
      </c>
      <c r="J289" s="201"/>
    </row>
    <row r="290" spans="1:17" s="87" customFormat="1" ht="25.5">
      <c r="A290" s="232" t="s">
        <v>4542</v>
      </c>
      <c r="B290" s="531">
        <v>88247</v>
      </c>
      <c r="C290" s="451" t="str">
        <f>IF(A290="SERVIÇO",VLOOKUP(B290,SERVIÇOS!$A$6:$D$7645,2,0),IF(A290="INSUMO",VLOOKUP(B290,INSUMOS!$A$6:$D$6961,2,0),IF(A290="COTAÇÃO",VLOOKUP(B290,'036-20-Cotação'!$A$9:$G$529,2,0))))</f>
        <v>AUXILIAR DE ELETRICISTA COM ENCARGOS COMPLEMENTARES</v>
      </c>
      <c r="D290" s="452" t="str">
        <f>IF(A290="SERVIÇO",VLOOKUP(B290,SERVIÇOS!$A$6:$E$7645,5,0),IF(A290="INSUMO",VLOOKUP(B290,INSUMOS!$A$6:$E$6961,5,0),IF(A290="COTAÇÃO",VLOOKUP(B290,'036-20-Cotação'!$A$9:$H$529,8,0))))</f>
        <v>M.O</v>
      </c>
      <c r="E290" s="452" t="str">
        <f>IF(A290="SERVIÇO",VLOOKUP(B290,SERVIÇOS!$A$6:$D$7645,3,0),IF(A290="INSUMO",VLOOKUP(B290,INSUMOS!$A$6:$D$6961,3,0),IF(A290="COTAÇÃO",VLOOKUP(B290,'036-20-Cotação'!$A$9:$G$529,4,0))))</f>
        <v>H</v>
      </c>
      <c r="F290" s="462">
        <v>0.21</v>
      </c>
      <c r="G290" s="453" t="str">
        <f>IF(A290="SERVIÇO",VLOOKUP(B290,SERVIÇOS!$A$6:$D$7645,4,0),IF(A290="INSUMO",VLOOKUP(B290,INSUMOS!$A$6:$D$6961,4,0),IF(A290="COTAÇÃO",VLOOKUP(B290,'036-20-Cotação'!$A$9:$G$529,3,0))))</f>
        <v>17,65</v>
      </c>
      <c r="H290" s="463">
        <f t="shared" ref="H290:H292" si="32">G290*F290</f>
        <v>3.7064999999999997</v>
      </c>
    </row>
    <row r="291" spans="1:17" s="87" customFormat="1" ht="25.5">
      <c r="A291" s="232" t="s">
        <v>4542</v>
      </c>
      <c r="B291" s="531">
        <v>88264</v>
      </c>
      <c r="C291" s="451" t="str">
        <f>IF(A291="SERVIÇO",VLOOKUP(B291,SERVIÇOS!$A$6:$D$7645,2,0),IF(A291="INSUMO",VLOOKUP(B291,INSUMOS!$A$6:$D$6961,2,0),IF(A291="COTAÇÃO",VLOOKUP(B291,'036-20-Cotação'!$A$9:$G$529,2,0))))</f>
        <v>ELETRICISTA COM ENCARGOS COMPLEMENTARES</v>
      </c>
      <c r="D291" s="452" t="str">
        <f>IF(A291="SERVIÇO",VLOOKUP(B291,SERVIÇOS!$A$6:$E$7645,5,0),IF(A291="INSUMO",VLOOKUP(B291,INSUMOS!$A$6:$E$6961,5,0),IF(A291="COTAÇÃO",VLOOKUP(B291,'036-20-Cotação'!$A$9:$H$529,8,0))))</f>
        <v>M.O</v>
      </c>
      <c r="E291" s="452" t="str">
        <f>IF(A291="SERVIÇO",VLOOKUP(B291,SERVIÇOS!$A$6:$D$7645,3,0),IF(A291="INSUMO",VLOOKUP(B291,INSUMOS!$A$6:$D$6961,3,0),IF(A291="COTAÇÃO",VLOOKUP(B291,'036-20-Cotação'!$A$9:$G$529,4,0))))</f>
        <v>H</v>
      </c>
      <c r="F291" s="462">
        <v>0.21</v>
      </c>
      <c r="G291" s="453" t="str">
        <f>IF(A291="SERVIÇO",VLOOKUP(B291,SERVIÇOS!$A$6:$D$7645,4,0),IF(A291="INSUMO",VLOOKUP(B291,INSUMOS!$A$6:$D$6961,4,0),IF(A291="COTAÇÃO",VLOOKUP(B291,'036-20-Cotação'!$A$9:$G$529,3,0))))</f>
        <v>22,66</v>
      </c>
      <c r="H291" s="463">
        <f t="shared" si="32"/>
        <v>4.7585999999999995</v>
      </c>
    </row>
    <row r="292" spans="1:17" s="87" customFormat="1" ht="38.25">
      <c r="A292" s="232" t="s">
        <v>4544</v>
      </c>
      <c r="B292" s="531">
        <v>955</v>
      </c>
      <c r="C292" s="451" t="str">
        <f>IF(A292="SERVIÇO",VLOOKUP(B292,SERVIÇOS!$A$6:$D$7645,2,0),IF(A292="INSUMO",VLOOKUP(B292,INSUMOS!$A$6:$D$6961,2,0),IF(A292="COTAÇÃO",VLOOKUP(B292,'036-20-Cotação'!$A$9:$G$529,2,0))))</f>
        <v xml:space="preserve">CABO DE COBRE UNIPOLAR 50 MM2, BLINDADO, ISOLACAO 12/20 KV EPR, COBERTURA EM PVC                                                                                                                                                                                                                                                                                                                                                                                                                          </v>
      </c>
      <c r="D292" s="452" t="str">
        <f>IF(A292="SERVIÇO",VLOOKUP(B292,SERVIÇOS!$A$6:$E$7645,5,0),IF(A292="INSUMO",VLOOKUP(B292,INSUMOS!$A$6:$E$6961,5,0),IF(A292="COTAÇÃO",VLOOKUP(B292,'036-20-Cotação'!$A$9:$H$529,8,0))))</f>
        <v>MAT.</v>
      </c>
      <c r="E292" s="452" t="str">
        <f>IF(A292="SERVIÇO",VLOOKUP(B292,SERVIÇOS!$A$6:$D$7645,3,0),IF(A292="INSUMO",VLOOKUP(B292,INSUMOS!$A$6:$D$6961,3,0),IF(A292="COTAÇÃO",VLOOKUP(B292,'036-20-Cotação'!$A$9:$G$529,4,0))))</f>
        <v xml:space="preserve">M     </v>
      </c>
      <c r="F292" s="462">
        <v>1.02</v>
      </c>
      <c r="G292" s="453" t="str">
        <f>IF(A292="SERVIÇO",VLOOKUP(B292,SERVIÇOS!$A$6:$D$7645,4,0),IF(A292="INSUMO",VLOOKUP(B292,INSUMOS!$A$6:$D$6961,4,0),IF(A292="COTAÇÃO",VLOOKUP(B292,'036-20-Cotação'!$A$9:$G$529,3,0))))</f>
        <v>45,14</v>
      </c>
      <c r="H292" s="463">
        <f t="shared" si="32"/>
        <v>46.0428</v>
      </c>
      <c r="J292" s="201"/>
    </row>
    <row r="293" spans="1:17">
      <c r="B293" s="348" t="s">
        <v>123</v>
      </c>
      <c r="C293" s="695" t="s">
        <v>6531</v>
      </c>
      <c r="D293" s="696"/>
      <c r="E293" s="696"/>
      <c r="F293" s="696"/>
      <c r="G293" s="696"/>
      <c r="H293" s="697"/>
      <c r="J293" s="64"/>
      <c r="K293" s="78"/>
      <c r="L293" s="78"/>
      <c r="M293" s="78"/>
      <c r="N293" s="87"/>
      <c r="O293" s="87"/>
      <c r="P293" s="87"/>
      <c r="Q293" s="87"/>
    </row>
    <row r="294" spans="1:17" s="78" customFormat="1" ht="15.75" customHeight="1">
      <c r="A294" s="188"/>
      <c r="B294" s="346"/>
      <c r="C294" s="347"/>
      <c r="D294" s="347"/>
      <c r="E294" s="347"/>
      <c r="F294" s="347"/>
      <c r="G294" s="347"/>
      <c r="H294" s="347"/>
      <c r="J294" s="79"/>
      <c r="K294" s="87"/>
      <c r="L294" s="87"/>
      <c r="M294" s="87"/>
      <c r="N294" s="87"/>
      <c r="O294" s="87"/>
      <c r="P294" s="87"/>
      <c r="Q294" s="87"/>
    </row>
    <row r="295" spans="1:17" s="87" customFormat="1" ht="25.5">
      <c r="A295" s="64"/>
      <c r="B295" s="80" t="s">
        <v>6271</v>
      </c>
      <c r="C295" s="81" t="s">
        <v>6522</v>
      </c>
      <c r="D295" s="82" t="s">
        <v>84</v>
      </c>
      <c r="E295" s="82" t="s">
        <v>5</v>
      </c>
      <c r="F295" s="83"/>
      <c r="G295" s="84"/>
      <c r="H295" s="85">
        <f>SUM(H296:H298)</f>
        <v>11.010464800000001</v>
      </c>
      <c r="J295" s="201"/>
    </row>
    <row r="296" spans="1:17" s="87" customFormat="1" ht="25.5">
      <c r="A296" s="232" t="s">
        <v>4542</v>
      </c>
      <c r="B296" s="531">
        <v>88247</v>
      </c>
      <c r="C296" s="451" t="str">
        <f>IF(A296="SERVIÇO",VLOOKUP(B296,SERVIÇOS!$A$6:$D$7645,2,0),IF(A296="INSUMO",VLOOKUP(B296,INSUMOS!$A$6:$D$6961,2,0),IF(A296="COTAÇÃO",VLOOKUP(B296,'036-20-Cotação'!$A$9:$G$529,2,0))))</f>
        <v>AUXILIAR DE ELETRICISTA COM ENCARGOS COMPLEMENTARES</v>
      </c>
      <c r="D296" s="452" t="str">
        <f>IF(A296="SERVIÇO",VLOOKUP(B296,SERVIÇOS!$A$6:$E$7645,5,0),IF(A296="INSUMO",VLOOKUP(B296,INSUMOS!$A$6:$E$6961,5,0),IF(A296="COTAÇÃO",VLOOKUP(B296,'036-20-Cotação'!$A$9:$H$529,8,0))))</f>
        <v>M.O</v>
      </c>
      <c r="E296" s="452" t="str">
        <f>IF(A296="SERVIÇO",VLOOKUP(B296,SERVIÇOS!$A$6:$D$7645,3,0),IF(A296="INSUMO",VLOOKUP(B296,INSUMOS!$A$6:$D$6961,3,0),IF(A296="COTAÇÃO",VLOOKUP(B296,'036-20-Cotação'!$A$9:$G$529,4,0))))</f>
        <v>H</v>
      </c>
      <c r="F296" s="462">
        <v>0.17</v>
      </c>
      <c r="G296" s="453" t="str">
        <f>IF(A296="SERVIÇO",VLOOKUP(B296,SERVIÇOS!$A$6:$D$7645,4,0),IF(A296="INSUMO",VLOOKUP(B296,INSUMOS!$A$6:$D$6961,4,0),IF(A296="COTAÇÃO",VLOOKUP(B296,'036-20-Cotação'!$A$9:$G$529,3,0))))</f>
        <v>17,65</v>
      </c>
      <c r="H296" s="463">
        <f t="shared" ref="H296:H298" si="33">G296*F296</f>
        <v>3.0005000000000002</v>
      </c>
    </row>
    <row r="297" spans="1:17" s="87" customFormat="1" ht="25.5">
      <c r="A297" s="232" t="s">
        <v>4542</v>
      </c>
      <c r="B297" s="531">
        <v>88264</v>
      </c>
      <c r="C297" s="451" t="str">
        <f>IF(A297="SERVIÇO",VLOOKUP(B297,SERVIÇOS!$A$6:$D$7645,2,0),IF(A297="INSUMO",VLOOKUP(B297,INSUMOS!$A$6:$D$6961,2,0),IF(A297="COTAÇÃO",VLOOKUP(B297,'036-20-Cotação'!$A$9:$G$529,2,0))))</f>
        <v>ELETRICISTA COM ENCARGOS COMPLEMENTARES</v>
      </c>
      <c r="D297" s="452" t="str">
        <f>IF(A297="SERVIÇO",VLOOKUP(B297,SERVIÇOS!$A$6:$E$7645,5,0),IF(A297="INSUMO",VLOOKUP(B297,INSUMOS!$A$6:$E$6961,5,0),IF(A297="COTAÇÃO",VLOOKUP(B297,'036-20-Cotação'!$A$9:$H$529,8,0))))</f>
        <v>M.O</v>
      </c>
      <c r="E297" s="452" t="str">
        <f>IF(A297="SERVIÇO",VLOOKUP(B297,SERVIÇOS!$A$6:$D$7645,3,0),IF(A297="INSUMO",VLOOKUP(B297,INSUMOS!$A$6:$D$6961,3,0),IF(A297="COTAÇÃO",VLOOKUP(B297,'036-20-Cotação'!$A$9:$G$529,4,0))))</f>
        <v>H</v>
      </c>
      <c r="F297" s="462">
        <v>0.17</v>
      </c>
      <c r="G297" s="453" t="str">
        <f>IF(A297="SERVIÇO",VLOOKUP(B297,SERVIÇOS!$A$6:$D$7645,4,0),IF(A297="INSUMO",VLOOKUP(B297,INSUMOS!$A$6:$D$6961,4,0),IF(A297="COTAÇÃO",VLOOKUP(B297,'036-20-Cotação'!$A$9:$G$529,3,0))))</f>
        <v>22,66</v>
      </c>
      <c r="H297" s="463">
        <f t="shared" si="33"/>
        <v>3.8522000000000003</v>
      </c>
    </row>
    <row r="298" spans="1:17" s="87" customFormat="1" ht="38.25">
      <c r="A298" s="232" t="s">
        <v>4544</v>
      </c>
      <c r="B298" s="531">
        <v>42655</v>
      </c>
      <c r="C298" s="451" t="str">
        <f>IF(A298="SERVIÇO",VLOOKUP(B298,SERVIÇOS!$A$6:$D$7645,2,0),IF(A298="INSUMO",VLOOKUP(B298,INSUMOS!$A$6:$D$6961,2,0),IF(A298="COTAÇÃO",VLOOKUP(B298,'036-20-Cotação'!$A$9:$G$529,2,0))))</f>
        <v xml:space="preserve">CABO DE ACO GALVANIZADO, DIAMETRO 9,53 MM (3/8"), COM ALMA DE FIBRA 6 X 25 F  (COLETADO CAIXA)                                                                                                                                                                                                                                                                                                                                                                                                            </v>
      </c>
      <c r="D298" s="452" t="str">
        <f>IF(A298="SERVIÇO",VLOOKUP(B298,SERVIÇOS!$A$6:$E$7645,5,0),IF(A298="INSUMO",VLOOKUP(B298,INSUMOS!$A$6:$E$6961,5,0),IF(A298="COTAÇÃO",VLOOKUP(B298,'036-20-Cotação'!$A$9:$H$529,8,0))))</f>
        <v>MAT.</v>
      </c>
      <c r="E298" s="452" t="str">
        <f>IF(A298="SERVIÇO",VLOOKUP(B298,SERVIÇOS!$A$6:$D$7645,3,0),IF(A298="INSUMO",VLOOKUP(B298,INSUMOS!$A$6:$D$6961,3,0),IF(A298="COTAÇÃO",VLOOKUP(B298,'036-20-Cotação'!$A$9:$G$529,4,0))))</f>
        <v xml:space="preserve">KG    </v>
      </c>
      <c r="F298" s="462">
        <f>1.02*0.406</f>
        <v>0.41412000000000004</v>
      </c>
      <c r="G298" s="453" t="str">
        <f>IF(A298="SERVIÇO",VLOOKUP(B298,SERVIÇOS!$A$6:$D$7645,4,0),IF(A298="INSUMO",VLOOKUP(B298,INSUMOS!$A$6:$D$6961,4,0),IF(A298="COTAÇÃO",VLOOKUP(B298,'036-20-Cotação'!$A$9:$G$529,3,0))))</f>
        <v>10,04</v>
      </c>
      <c r="H298" s="463">
        <f t="shared" si="33"/>
        <v>4.1577647999999998</v>
      </c>
      <c r="J298" s="201"/>
    </row>
    <row r="299" spans="1:17">
      <c r="B299" s="348" t="s">
        <v>123</v>
      </c>
      <c r="C299" s="695" t="s">
        <v>6532</v>
      </c>
      <c r="D299" s="696"/>
      <c r="E299" s="696"/>
      <c r="F299" s="696"/>
      <c r="G299" s="696"/>
      <c r="H299" s="697"/>
      <c r="J299" s="64"/>
      <c r="K299" s="78"/>
      <c r="L299" s="78"/>
      <c r="M299" s="78"/>
      <c r="N299" s="87"/>
      <c r="O299" s="87"/>
      <c r="P299" s="87"/>
      <c r="Q299" s="87"/>
    </row>
    <row r="300" spans="1:17" s="78" customFormat="1" ht="15.75" customHeight="1">
      <c r="A300" s="188"/>
      <c r="B300" s="346"/>
      <c r="C300" s="347"/>
      <c r="D300" s="347"/>
      <c r="E300" s="347"/>
      <c r="F300" s="347"/>
      <c r="G300" s="347"/>
      <c r="H300" s="347"/>
      <c r="J300" s="79"/>
      <c r="K300" s="87"/>
      <c r="L300" s="87"/>
      <c r="M300" s="87"/>
      <c r="N300" s="87"/>
      <c r="O300" s="87"/>
      <c r="P300" s="87"/>
      <c r="Q300" s="87"/>
    </row>
    <row r="301" spans="1:17" s="87" customFormat="1" ht="38.25">
      <c r="A301" s="64"/>
      <c r="B301" s="80" t="s">
        <v>6272</v>
      </c>
      <c r="C301" s="81" t="s">
        <v>6525</v>
      </c>
      <c r="D301" s="82" t="s">
        <v>84</v>
      </c>
      <c r="E301" s="82" t="s">
        <v>4521</v>
      </c>
      <c r="F301" s="83"/>
      <c r="G301" s="84"/>
      <c r="H301" s="85">
        <f>SUM(H302:H305)</f>
        <v>84.701522999999995</v>
      </c>
      <c r="J301" s="201"/>
    </row>
    <row r="302" spans="1:17" s="87" customFormat="1" ht="25.5">
      <c r="A302" s="232" t="s">
        <v>4544</v>
      </c>
      <c r="B302" s="464">
        <v>38194</v>
      </c>
      <c r="C302" s="451" t="str">
        <f>IF(A302="SERVIÇO",VLOOKUP(B302,SERVIÇOS!$A$6:$D$7645,2,0),IF(A302="INSUMO",VLOOKUP(B302,INSUMOS!$A$6:$D$6961,2,0),IF(A302="COTAÇÃO",VLOOKUP(B302,'036-20-Cotação'!$A$9:$G$529,2,0))))</f>
        <v xml:space="preserve">LAMPADA LED 10 W BIVOLT BRANCA, FORMATO TRADICIONAL (BASE E27)                                                                                                                                                                                                                                                                                                                                                                                                                                            </v>
      </c>
      <c r="D302" s="452" t="str">
        <f>IF(A302="SERVIÇO",VLOOKUP(B302,SERVIÇOS!$A$6:$E$7645,5,0),IF(A302="INSUMO",VLOOKUP(B302,INSUMOS!$A$6:$E$6961,5,0),IF(A302="COTAÇÃO",VLOOKUP(B302,'036-20-Cotação'!$A$9:$H$529,8,0))))</f>
        <v>MAT.</v>
      </c>
      <c r="E302" s="452" t="str">
        <f>IF(A302="SERVIÇO",VLOOKUP(B302,SERVIÇOS!$A$6:$D$7645,3,0),IF(A302="INSUMO",VLOOKUP(B302,INSUMOS!$A$6:$D$6961,3,0),IF(A302="COTAÇÃO",VLOOKUP(B302,'036-20-Cotação'!$A$9:$G$529,4,0))))</f>
        <v xml:space="preserve">UN    </v>
      </c>
      <c r="F302" s="462" t="s">
        <v>6488</v>
      </c>
      <c r="G302" s="453" t="str">
        <f>IF(A302="SERVIÇO",VLOOKUP(B302,SERVIÇOS!$A$6:$D$7645,4,0),IF(A302="INSUMO",VLOOKUP(B302,INSUMOS!$A$6:$D$6961,4,0),IF(A302="COTAÇÃO",VLOOKUP(B302,'036-20-Cotação'!$A$9:$G$529,3,0))))</f>
        <v>29,02</v>
      </c>
      <c r="H302" s="463">
        <f t="shared" ref="H302:H305" si="34">G302*F302</f>
        <v>29.02</v>
      </c>
    </row>
    <row r="303" spans="1:17" s="87" customFormat="1" ht="51">
      <c r="A303" s="232" t="s">
        <v>4544</v>
      </c>
      <c r="B303" s="464">
        <v>38775</v>
      </c>
      <c r="C303" s="451" t="str">
        <f>IF(A303="SERVIÇO",VLOOKUP(B303,SERVIÇOS!$A$6:$D$7645,2,0),IF(A303="INSUMO",VLOOKUP(B303,INSUMOS!$A$6:$D$6961,2,0),IF(A303="COTAÇÃO",VLOOKUP(B303,'036-20-Cotação'!$A$9:$G$529,2,0))))</f>
        <v xml:space="preserve">LUMINARIA TIPO TARTARUGA PARA AREA EXTERNA EM ALUMINIO, COM GRADE, PARA 1 LAMPADA, BASE E27, POTENCIA MAXIMA 40/60 W (NAO INCLUI LAMPADA)                                                                                                                                                                                                                                                                                                                                                                 </v>
      </c>
      <c r="D303" s="452" t="str">
        <f>IF(A303="SERVIÇO",VLOOKUP(B303,SERVIÇOS!$A$6:$E$7645,5,0),IF(A303="INSUMO",VLOOKUP(B303,INSUMOS!$A$6:$E$6961,5,0),IF(A303="COTAÇÃO",VLOOKUP(B303,'036-20-Cotação'!$A$9:$H$529,8,0))))</f>
        <v>MAT.</v>
      </c>
      <c r="E303" s="452" t="str">
        <f>IF(A303="SERVIÇO",VLOOKUP(B303,SERVIÇOS!$A$6:$D$7645,3,0),IF(A303="INSUMO",VLOOKUP(B303,INSUMOS!$A$6:$D$6961,3,0),IF(A303="COTAÇÃO",VLOOKUP(B303,'036-20-Cotação'!$A$9:$G$529,4,0))))</f>
        <v xml:space="preserve">UN    </v>
      </c>
      <c r="F303" s="462" t="s">
        <v>6488</v>
      </c>
      <c r="G303" s="453" t="str">
        <f>IF(A303="SERVIÇO",VLOOKUP(B303,SERVIÇOS!$A$6:$D$7645,4,0),IF(A303="INSUMO",VLOOKUP(B303,INSUMOS!$A$6:$D$6961,4,0),IF(A303="COTAÇÃO",VLOOKUP(B303,'036-20-Cotação'!$A$9:$G$529,3,0))))</f>
        <v>39,12</v>
      </c>
      <c r="H303" s="463">
        <f t="shared" si="34"/>
        <v>39.119999999999997</v>
      </c>
    </row>
    <row r="304" spans="1:17" s="87" customFormat="1" ht="25.5">
      <c r="A304" s="232" t="s">
        <v>4542</v>
      </c>
      <c r="B304" s="464">
        <v>88247</v>
      </c>
      <c r="C304" s="451" t="str">
        <f>IF(A304="SERVIÇO",VLOOKUP(B304,SERVIÇOS!$A$6:$D$7645,2,0),IF(A304="INSUMO",VLOOKUP(B304,INSUMOS!$A$6:$D$6961,2,0),IF(A304="COTAÇÃO",VLOOKUP(B304,'036-20-Cotação'!$A$9:$G$529,2,0))))</f>
        <v>AUXILIAR DE ELETRICISTA COM ENCARGOS COMPLEMENTARES</v>
      </c>
      <c r="D304" s="452" t="str">
        <f>IF(A304="SERVIÇO",VLOOKUP(B304,SERVIÇOS!$A$6:$E$7645,5,0),IF(A304="INSUMO",VLOOKUP(B304,INSUMOS!$A$6:$E$6961,5,0),IF(A304="COTAÇÃO",VLOOKUP(B304,'036-20-Cotação'!$A$9:$H$529,8,0))))</f>
        <v>M.O</v>
      </c>
      <c r="E304" s="452" t="str">
        <f>IF(A304="SERVIÇO",VLOOKUP(B304,SERVIÇOS!$A$6:$D$7645,3,0),IF(A304="INSUMO",VLOOKUP(B304,INSUMOS!$A$6:$D$6961,3,0),IF(A304="COTAÇÃO",VLOOKUP(B304,'036-20-Cotação'!$A$9:$G$529,4,0))))</f>
        <v>H</v>
      </c>
      <c r="F304" s="462" t="s">
        <v>6523</v>
      </c>
      <c r="G304" s="453" t="str">
        <f>IF(A304="SERVIÇO",VLOOKUP(B304,SERVIÇOS!$A$6:$D$7645,4,0),IF(A304="INSUMO",VLOOKUP(B304,INSUMOS!$A$6:$D$6961,4,0),IF(A304="COTAÇÃO",VLOOKUP(B304,'036-20-Cotação'!$A$9:$G$529,3,0))))</f>
        <v>17,65</v>
      </c>
      <c r="H304" s="463">
        <f t="shared" si="34"/>
        <v>4.0577349999999992</v>
      </c>
      <c r="J304" s="201"/>
    </row>
    <row r="305" spans="1:17" s="87" customFormat="1" ht="25.5">
      <c r="A305" s="232" t="s">
        <v>4542</v>
      </c>
      <c r="B305" s="464">
        <v>88264</v>
      </c>
      <c r="C305" s="451" t="str">
        <f>IF(A305="SERVIÇO",VLOOKUP(B305,SERVIÇOS!$A$6:$D$7645,2,0),IF(A305="INSUMO",VLOOKUP(B305,INSUMOS!$A$6:$D$6961,2,0),IF(A305="COTAÇÃO",VLOOKUP(B305,'036-20-Cotação'!$A$9:$G$529,2,0))))</f>
        <v>ELETRICISTA COM ENCARGOS COMPLEMENTARES</v>
      </c>
      <c r="D305" s="452" t="str">
        <f>IF(A305="SERVIÇO",VLOOKUP(B305,SERVIÇOS!$A$6:$E$7645,5,0),IF(A305="INSUMO",VLOOKUP(B305,INSUMOS!$A$6:$E$6961,5,0),IF(A305="COTAÇÃO",VLOOKUP(B305,'036-20-Cotação'!$A$9:$H$529,8,0))))</f>
        <v>M.O</v>
      </c>
      <c r="E305" s="452" t="str">
        <f>IF(A305="SERVIÇO",VLOOKUP(B305,SERVIÇOS!$A$6:$D$7645,3,0),IF(A305="INSUMO",VLOOKUP(B305,INSUMOS!$A$6:$D$6961,3,0),IF(A305="COTAÇÃO",VLOOKUP(B305,'036-20-Cotação'!$A$9:$G$529,4,0))))</f>
        <v>H</v>
      </c>
      <c r="F305" s="462" t="s">
        <v>6524</v>
      </c>
      <c r="G305" s="453" t="str">
        <f>IF(A305="SERVIÇO",VLOOKUP(B305,SERVIÇOS!$A$6:$D$7645,4,0),IF(A305="INSUMO",VLOOKUP(B305,INSUMOS!$A$6:$D$6961,4,0),IF(A305="COTAÇÃO",VLOOKUP(B305,'036-20-Cotação'!$A$9:$G$529,3,0))))</f>
        <v>22,66</v>
      </c>
      <c r="H305" s="463">
        <f t="shared" si="34"/>
        <v>12.503787999999998</v>
      </c>
      <c r="J305" s="201"/>
    </row>
    <row r="306" spans="1:17">
      <c r="B306" s="348" t="s">
        <v>123</v>
      </c>
      <c r="C306" s="695" t="s">
        <v>6533</v>
      </c>
      <c r="D306" s="696"/>
      <c r="E306" s="696"/>
      <c r="F306" s="696"/>
      <c r="G306" s="696"/>
      <c r="H306" s="697"/>
      <c r="J306" s="64"/>
      <c r="K306" s="78"/>
      <c r="L306" s="78"/>
      <c r="M306" s="78"/>
      <c r="N306" s="87"/>
      <c r="O306" s="87"/>
      <c r="P306" s="87"/>
      <c r="Q306" s="87"/>
    </row>
    <row r="307" spans="1:17" s="78" customFormat="1" ht="15.75" customHeight="1">
      <c r="A307" s="188"/>
      <c r="B307" s="346"/>
      <c r="C307" s="347"/>
      <c r="D307" s="347"/>
      <c r="E307" s="347"/>
      <c r="F307" s="347"/>
      <c r="G307" s="347"/>
      <c r="H307" s="347"/>
      <c r="J307" s="79"/>
      <c r="K307" s="87"/>
      <c r="L307" s="87"/>
      <c r="M307" s="87"/>
      <c r="N307" s="87"/>
      <c r="O307" s="87"/>
      <c r="P307" s="87"/>
      <c r="Q307" s="87"/>
    </row>
    <row r="308" spans="1:17" s="87" customFormat="1" ht="25.5">
      <c r="A308" s="64"/>
      <c r="B308" s="80" t="s">
        <v>6273</v>
      </c>
      <c r="C308" s="81" t="s">
        <v>6535</v>
      </c>
      <c r="D308" s="82" t="s">
        <v>84</v>
      </c>
      <c r="E308" s="82" t="s">
        <v>4521</v>
      </c>
      <c r="F308" s="83"/>
      <c r="G308" s="84"/>
      <c r="H308" s="85">
        <f>SUM(H309:H311)</f>
        <v>66.525000000000006</v>
      </c>
      <c r="J308" s="201"/>
    </row>
    <row r="309" spans="1:17" s="87" customFormat="1" ht="25.5">
      <c r="A309" s="232" t="s">
        <v>4542</v>
      </c>
      <c r="B309" s="531">
        <v>88247</v>
      </c>
      <c r="C309" s="451" t="str">
        <f>IF(A309="SERVIÇO",VLOOKUP(B309,SERVIÇOS!$A$6:$D$7645,2,0),IF(A309="INSUMO",VLOOKUP(B309,INSUMOS!$A$6:$D$6961,2,0),IF(A309="COTAÇÃO",VLOOKUP(B309,'036-20-Cotação'!$A$9:$G$529,2,0))))</f>
        <v>AUXILIAR DE ELETRICISTA COM ENCARGOS COMPLEMENTARES</v>
      </c>
      <c r="D309" s="452" t="str">
        <f>IF(A309="SERVIÇO",VLOOKUP(B309,SERVIÇOS!$A$6:$E$7645,5,0),IF(A309="INSUMO",VLOOKUP(B309,INSUMOS!$A$6:$E$6961,5,0),IF(A309="COTAÇÃO",VLOOKUP(B309,'036-20-Cotação'!$A$9:$H$529,8,0))))</f>
        <v>M.O</v>
      </c>
      <c r="E309" s="452" t="str">
        <f>IF(A309="SERVIÇO",VLOOKUP(B309,SERVIÇOS!$A$6:$D$7645,3,0),IF(A309="INSUMO",VLOOKUP(B309,INSUMOS!$A$6:$D$6961,3,0),IF(A309="COTAÇÃO",VLOOKUP(B309,'036-20-Cotação'!$A$9:$G$529,4,0))))</f>
        <v>H</v>
      </c>
      <c r="F309" s="462">
        <v>0.3</v>
      </c>
      <c r="G309" s="453" t="str">
        <f>IF(A309="SERVIÇO",VLOOKUP(B309,SERVIÇOS!$A$6:$D$7645,4,0),IF(A309="INSUMO",VLOOKUP(B309,INSUMOS!$A$6:$D$6961,4,0),IF(A309="COTAÇÃO",VLOOKUP(B309,'036-20-Cotação'!$A$9:$G$529,3,0))))</f>
        <v>17,65</v>
      </c>
      <c r="H309" s="463">
        <f t="shared" ref="H309:H311" si="35">G309*F309</f>
        <v>5.294999999999999</v>
      </c>
    </row>
    <row r="310" spans="1:17" s="87" customFormat="1" ht="25.5">
      <c r="A310" s="232" t="s">
        <v>4542</v>
      </c>
      <c r="B310" s="531">
        <v>88264</v>
      </c>
      <c r="C310" s="451" t="str">
        <f>IF(A310="SERVIÇO",VLOOKUP(B310,SERVIÇOS!$A$6:$D$7645,2,0),IF(A310="INSUMO",VLOOKUP(B310,INSUMOS!$A$6:$D$6961,2,0),IF(A310="COTAÇÃO",VLOOKUP(B310,'036-20-Cotação'!$A$9:$G$529,2,0))))</f>
        <v>ELETRICISTA COM ENCARGOS COMPLEMENTARES</v>
      </c>
      <c r="D310" s="452" t="str">
        <f>IF(A310="SERVIÇO",VLOOKUP(B310,SERVIÇOS!$A$6:$E$7645,5,0),IF(A310="INSUMO",VLOOKUP(B310,INSUMOS!$A$6:$E$6961,5,0),IF(A310="COTAÇÃO",VLOOKUP(B310,'036-20-Cotação'!$A$9:$H$529,8,0))))</f>
        <v>M.O</v>
      </c>
      <c r="E310" s="452" t="str">
        <f>IF(A310="SERVIÇO",VLOOKUP(B310,SERVIÇOS!$A$6:$D$7645,3,0),IF(A310="INSUMO",VLOOKUP(B310,INSUMOS!$A$6:$D$6961,3,0),IF(A310="COTAÇÃO",VLOOKUP(B310,'036-20-Cotação'!$A$9:$G$529,4,0))))</f>
        <v>H</v>
      </c>
      <c r="F310" s="462">
        <v>0.5</v>
      </c>
      <c r="G310" s="453" t="str">
        <f>IF(A310="SERVIÇO",VLOOKUP(B310,SERVIÇOS!$A$6:$D$7645,4,0),IF(A310="INSUMO",VLOOKUP(B310,INSUMOS!$A$6:$D$6961,4,0),IF(A310="COTAÇÃO",VLOOKUP(B310,'036-20-Cotação'!$A$9:$G$529,3,0))))</f>
        <v>22,66</v>
      </c>
      <c r="H310" s="463">
        <f t="shared" si="35"/>
        <v>11.33</v>
      </c>
    </row>
    <row r="311" spans="1:17" s="87" customFormat="1" ht="25.5">
      <c r="A311" s="232" t="s">
        <v>12</v>
      </c>
      <c r="B311" s="531" t="s">
        <v>6489</v>
      </c>
      <c r="C311" s="451" t="str">
        <f>IF(A311="SERVIÇO",VLOOKUP(B311,SERVIÇOS!$A$6:$D$7645,2,0),IF(A311="INSUMO",VLOOKUP(B311,INSUMOS!$A$6:$D$6961,2,0),IF(A311="COTAÇÃO",VLOOKUP(B311,'036-20-Cotação'!$A$9:$G$529,2,0))))</f>
        <v>REFLETOR LED COM POTENCIA DE 30W</v>
      </c>
      <c r="D311" s="452" t="str">
        <f>IF(A311="SERVIÇO",VLOOKUP(B311,SERVIÇOS!$A$6:$E$7645,5,0),IF(A311="INSUMO",VLOOKUP(B311,INSUMOS!$A$6:$E$6961,5,0),IF(A311="COTAÇÃO",VLOOKUP(B311,'036-20-Cotação'!$A$9:$H$529,8,0))))</f>
        <v>MAT.</v>
      </c>
      <c r="E311" s="452" t="str">
        <f>IF(A311="SERVIÇO",VLOOKUP(B311,SERVIÇOS!$A$6:$D$7645,3,0),IF(A311="INSUMO",VLOOKUP(B311,INSUMOS!$A$6:$D$6961,3,0),IF(A311="COTAÇÃO",VLOOKUP(B311,'036-20-Cotação'!$A$9:$G$529,4,0))))</f>
        <v>UN</v>
      </c>
      <c r="F311" s="462">
        <v>1</v>
      </c>
      <c r="G311" s="453">
        <f>IF(A311="SERVIÇO",VLOOKUP(B311,SERVIÇOS!$A$6:$D$7645,4,0),IF(A311="INSUMO",VLOOKUP(B311,INSUMOS!$A$6:$D$6961,4,0),IF(A311="COTAÇÃO",VLOOKUP(B311,'036-20-Cotação'!$A$9:$G$529,3,0))))</f>
        <v>49.9</v>
      </c>
      <c r="H311" s="463">
        <f t="shared" si="35"/>
        <v>49.9</v>
      </c>
      <c r="J311" s="201"/>
    </row>
    <row r="312" spans="1:17">
      <c r="B312" s="348" t="s">
        <v>123</v>
      </c>
      <c r="C312" s="695" t="s">
        <v>6534</v>
      </c>
      <c r="D312" s="696"/>
      <c r="E312" s="696"/>
      <c r="F312" s="696"/>
      <c r="G312" s="696"/>
      <c r="H312" s="697"/>
      <c r="J312" s="64"/>
      <c r="K312" s="78"/>
      <c r="L312" s="78"/>
      <c r="M312" s="78"/>
      <c r="N312" s="87"/>
      <c r="O312" s="87"/>
      <c r="P312" s="87"/>
      <c r="Q312" s="87"/>
    </row>
    <row r="313" spans="1:17" s="78" customFormat="1" ht="15.75" customHeight="1">
      <c r="A313" s="188"/>
      <c r="B313" s="346"/>
      <c r="C313" s="347"/>
      <c r="D313" s="347"/>
      <c r="E313" s="347"/>
      <c r="F313" s="347"/>
      <c r="G313" s="347"/>
      <c r="H313" s="347"/>
      <c r="J313" s="79"/>
      <c r="K313" s="87"/>
      <c r="L313" s="87"/>
      <c r="M313" s="87"/>
      <c r="N313" s="87"/>
      <c r="O313" s="87"/>
      <c r="P313" s="87"/>
      <c r="Q313" s="87"/>
    </row>
    <row r="314" spans="1:17" s="87" customFormat="1" ht="51">
      <c r="A314" s="64"/>
      <c r="B314" s="80" t="s">
        <v>6274</v>
      </c>
      <c r="C314" s="81" t="s">
        <v>6536</v>
      </c>
      <c r="D314" s="82" t="s">
        <v>84</v>
      </c>
      <c r="E314" s="82" t="s">
        <v>4521</v>
      </c>
      <c r="F314" s="83"/>
      <c r="G314" s="84"/>
      <c r="H314" s="85">
        <f>SUM(H315:H316)</f>
        <v>918.14</v>
      </c>
      <c r="J314" s="201"/>
    </row>
    <row r="315" spans="1:17" s="87" customFormat="1" ht="38.25">
      <c r="A315" s="232" t="s">
        <v>4544</v>
      </c>
      <c r="B315" s="464">
        <v>14166</v>
      </c>
      <c r="C315" s="451" t="str">
        <f>IF(A315="SERVIÇO",VLOOKUP(B315,SERVIÇOS!$A$6:$D$7645,2,0),IF(A315="INSUMO",VLOOKUP(B315,INSUMOS!$A$6:$D$6961,2,0),IF(A315="COTAÇÃO",VLOOKUP(B315,'036-20-Cotação'!$A$9:$G$529,2,0))))</f>
        <v xml:space="preserve">POSTE CONICO CONTINUO EM ACO GALVANIZADO, RETO, ENGASTADO,  H = 7 M, DIAMETRO INFERIOR = *125* MM                                                                                                                                                                                                                                                                                                                                                                                                         </v>
      </c>
      <c r="D315" s="452" t="str">
        <f>IF(A315="SERVIÇO",VLOOKUP(B315,SERVIÇOS!$A$6:$E$7645,5,0),IF(A315="INSUMO",VLOOKUP(B315,INSUMOS!$A$6:$E$6961,5,0),IF(A315="COTAÇÃO",VLOOKUP(B315,'036-20-Cotação'!$A$9:$H$529,8,0))))</f>
        <v>MAT.</v>
      </c>
      <c r="E315" s="452" t="str">
        <f>IF(A315="SERVIÇO",VLOOKUP(B315,SERVIÇOS!$A$6:$D$7645,3,0),IF(A315="INSUMO",VLOOKUP(B315,INSUMOS!$A$6:$D$6961,3,0),IF(A315="COTAÇÃO",VLOOKUP(B315,'036-20-Cotação'!$A$9:$G$529,4,0))))</f>
        <v xml:space="preserve">UN    </v>
      </c>
      <c r="F315" s="462">
        <v>1</v>
      </c>
      <c r="G315" s="453" t="str">
        <f>IF(A315="SERVIÇO",VLOOKUP(B315,SERVIÇOS!$A$6:$D$7645,4,0),IF(A315="INSUMO",VLOOKUP(B315,INSUMOS!$A$6:$D$6961,4,0),IF(A315="COTAÇÃO",VLOOKUP(B315,'036-20-Cotação'!$A$9:$G$529,3,0))))</f>
        <v>759,52</v>
      </c>
      <c r="H315" s="463">
        <f t="shared" ref="H315:H316" si="36">G315*F315</f>
        <v>759.52</v>
      </c>
    </row>
    <row r="316" spans="1:17" s="87" customFormat="1" ht="25.5">
      <c r="A316" s="232" t="s">
        <v>4542</v>
      </c>
      <c r="B316" s="464">
        <v>88264</v>
      </c>
      <c r="C316" s="451" t="str">
        <f>IF(A316="SERVIÇO",VLOOKUP(B316,SERVIÇOS!$A$6:$D$7645,2,0),IF(A316="INSUMO",VLOOKUP(B316,INSUMOS!$A$6:$D$6961,2,0),IF(A316="COTAÇÃO",VLOOKUP(B316,'036-20-Cotação'!$A$9:$G$529,2,0))))</f>
        <v>ELETRICISTA COM ENCARGOS COMPLEMENTARES</v>
      </c>
      <c r="D316" s="452" t="str">
        <f>IF(A316="SERVIÇO",VLOOKUP(B316,SERVIÇOS!$A$6:$E$7645,5,0),IF(A316="INSUMO",VLOOKUP(B316,INSUMOS!$A$6:$E$6961,5,0),IF(A316="COTAÇÃO",VLOOKUP(B316,'036-20-Cotação'!$A$9:$H$529,8,0))))</f>
        <v>M.O</v>
      </c>
      <c r="E316" s="452" t="str">
        <f>IF(A316="SERVIÇO",VLOOKUP(B316,SERVIÇOS!$A$6:$D$7645,3,0),IF(A316="INSUMO",VLOOKUP(B316,INSUMOS!$A$6:$D$6961,3,0),IF(A316="COTAÇÃO",VLOOKUP(B316,'036-20-Cotação'!$A$9:$G$529,4,0))))</f>
        <v>H</v>
      </c>
      <c r="F316" s="462">
        <v>7</v>
      </c>
      <c r="G316" s="453" t="str">
        <f>IF(A316="SERVIÇO",VLOOKUP(B316,SERVIÇOS!$A$6:$D$7645,4,0),IF(A316="INSUMO",VLOOKUP(B316,INSUMOS!$A$6:$D$6961,4,0),IF(A316="COTAÇÃO",VLOOKUP(B316,'036-20-Cotação'!$A$9:$G$529,3,0))))</f>
        <v>22,66</v>
      </c>
      <c r="H316" s="463">
        <f t="shared" si="36"/>
        <v>158.62</v>
      </c>
      <c r="J316" s="201"/>
    </row>
    <row r="317" spans="1:17">
      <c r="B317" s="348" t="s">
        <v>123</v>
      </c>
      <c r="C317" s="695" t="s">
        <v>6534</v>
      </c>
      <c r="D317" s="696"/>
      <c r="E317" s="696"/>
      <c r="F317" s="696"/>
      <c r="G317" s="696"/>
      <c r="H317" s="697"/>
      <c r="J317" s="64"/>
      <c r="K317" s="78"/>
      <c r="L317" s="78"/>
      <c r="M317" s="78"/>
      <c r="N317" s="87"/>
      <c r="O317" s="87"/>
      <c r="P317" s="87"/>
      <c r="Q317" s="87"/>
    </row>
    <row r="318" spans="1:17" s="78" customFormat="1" ht="12.75">
      <c r="A318" s="188"/>
      <c r="B318" s="346"/>
      <c r="C318" s="347"/>
      <c r="D318" s="347"/>
      <c r="E318" s="347"/>
      <c r="F318" s="347"/>
      <c r="G318" s="347"/>
      <c r="H318" s="347"/>
      <c r="J318" s="79"/>
      <c r="K318" s="87"/>
      <c r="L318" s="87"/>
      <c r="M318" s="87"/>
      <c r="N318" s="87"/>
      <c r="O318" s="87"/>
      <c r="P318" s="87"/>
      <c r="Q318" s="87"/>
    </row>
    <row r="319" spans="1:17" s="78" customFormat="1" ht="63.75">
      <c r="A319" s="188"/>
      <c r="B319" s="80" t="s">
        <v>6275</v>
      </c>
      <c r="C319" s="81" t="s">
        <v>6545</v>
      </c>
      <c r="D319" s="82" t="s">
        <v>84</v>
      </c>
      <c r="E319" s="82" t="s">
        <v>10</v>
      </c>
      <c r="F319" s="83"/>
      <c r="G319" s="84"/>
      <c r="H319" s="85">
        <f>SUM(H320:H330)</f>
        <v>20019.859899999999</v>
      </c>
      <c r="J319" s="79" t="s">
        <v>6709</v>
      </c>
      <c r="K319" s="87"/>
      <c r="L319" s="87"/>
      <c r="M319" s="87"/>
      <c r="N319" s="87"/>
      <c r="O319" s="87"/>
      <c r="P319" s="87"/>
      <c r="Q319" s="87"/>
    </row>
    <row r="320" spans="1:17" s="87" customFormat="1" ht="12.75">
      <c r="A320" s="232" t="s">
        <v>4542</v>
      </c>
      <c r="B320" s="531" t="s">
        <v>1773</v>
      </c>
      <c r="C320" s="451" t="str">
        <f>IF(A320="SERVIÇO",VLOOKUP(B320,SERVIÇOS!$A$6:$D$7645,2,0),IF(A320="INSUMO",VLOOKUP(B320,INSUMOS!$A$6:$D$6961,2,0),IF(A320="COTAÇÃO",VLOOKUP(B320,'036-20-Cotação'!$A$9:$G$529,2,0))))</f>
        <v>ARMACAO ACO CA-50 P/1,0M3 DE CONCRETO</v>
      </c>
      <c r="D320" s="452" t="str">
        <f>IF(A320="SERVIÇO",VLOOKUP(B320,SERVIÇOS!$A$6:$E$7645,5,0),IF(A320="INSUMO",VLOOKUP(B320,INSUMOS!$A$6:$E$6961,5,0),IF(A320="COTAÇÃO",VLOOKUP(B320,'036-20-Cotação'!$A$9:$H$529,8,0))))</f>
        <v>SER.CG</v>
      </c>
      <c r="E320" s="452" t="str">
        <f>IF(A320="SERVIÇO",VLOOKUP(B320,SERVIÇOS!$A$6:$D$7645,3,0),IF(A320="INSUMO",VLOOKUP(B320,INSUMOS!$A$6:$D$6961,3,0),IF(A320="COTAÇÃO",VLOOKUP(B320,'036-20-Cotação'!$A$9:$G$529,4,0))))</f>
        <v>UN</v>
      </c>
      <c r="F320" s="462">
        <f>F324+F329</f>
        <v>10.24</v>
      </c>
      <c r="G320" s="453" t="str">
        <f>IF(A320="SERVIÇO",VLOOKUP(B320,SERVIÇOS!$A$6:$D$7645,4,0),IF(A320="INSUMO",VLOOKUP(B320,INSUMOS!$A$6:$D$6961,4,0),IF(A320="COTAÇÃO",VLOOKUP(B320,'036-20-Cotação'!$A$9:$G$529,3,0))))</f>
        <v>573,87</v>
      </c>
      <c r="H320" s="463">
        <f t="shared" ref="H320:H330" si="37">G320*F320</f>
        <v>5876.4288000000006</v>
      </c>
      <c r="J320" s="201"/>
    </row>
    <row r="321" spans="1:17" s="87" customFormat="1" ht="63.75">
      <c r="A321" s="232" t="s">
        <v>4542</v>
      </c>
      <c r="B321" s="531">
        <v>92518</v>
      </c>
      <c r="C321" s="451" t="str">
        <f>IF(A321="SERVIÇO",VLOOKUP(B321,SERVIÇOS!$A$6:$D$7645,2,0),IF(A321="INSUMO",VLOOKUP(B321,INSUMOS!$A$6:$D$6961,2,0),IF(A321="COTAÇÃO",VLOOKUP(B321,'036-20-Cotação'!$A$9:$G$529,2,0))))</f>
        <v>MONTAGEM E DESMONTAGEM DE FÔRMA DE LAJE MACIÇA COM ÁREA MÉDIA MAIOR QUE 20 M², PÉ-DIREITO SIMPLES, EM CHAPA DE MADEIRA COMPENSADA RESINADA, 6 UTILIZAÇÕES. AF_12/2015</v>
      </c>
      <c r="D321" s="452" t="str">
        <f>IF(A321="SERVIÇO",VLOOKUP(B321,SERVIÇOS!$A$6:$E$7645,5,0),IF(A321="INSUMO",VLOOKUP(B321,INSUMOS!$A$6:$E$6961,5,0),IF(A321="COTAÇÃO",VLOOKUP(B321,'036-20-Cotação'!$A$9:$H$529,8,0))))</f>
        <v>SER.CG</v>
      </c>
      <c r="E321" s="452" t="str">
        <f>IF(A321="SERVIÇO",VLOOKUP(B321,SERVIÇOS!$A$6:$D$7645,3,0),IF(A321="INSUMO",VLOOKUP(B321,INSUMOS!$A$6:$D$6961,3,0),IF(A321="COTAÇÃO",VLOOKUP(B321,'036-20-Cotação'!$A$9:$G$529,4,0))))</f>
        <v>M2</v>
      </c>
      <c r="F321" s="462">
        <v>87.43</v>
      </c>
      <c r="G321" s="453" t="str">
        <f>IF(A321="SERVIÇO",VLOOKUP(B321,SERVIÇOS!$A$6:$D$7645,4,0),IF(A321="INSUMO",VLOOKUP(B321,INSUMOS!$A$6:$D$6961,4,0),IF(A321="COTAÇÃO",VLOOKUP(B321,'036-20-Cotação'!$A$9:$G$529,3,0))))</f>
        <v>22,23</v>
      </c>
      <c r="H321" s="463">
        <f t="shared" si="37"/>
        <v>1943.5689000000002</v>
      </c>
      <c r="J321" s="201">
        <f>5*4*2</f>
        <v>40</v>
      </c>
    </row>
    <row r="322" spans="1:17" s="87" customFormat="1" ht="38.25">
      <c r="A322" s="232" t="s">
        <v>4542</v>
      </c>
      <c r="B322" s="531">
        <v>95241</v>
      </c>
      <c r="C322" s="451" t="str">
        <f>IF(A322="SERVIÇO",VLOOKUP(B322,SERVIÇOS!$A$6:$D$7645,2,0),IF(A322="INSUMO",VLOOKUP(B322,INSUMOS!$A$6:$D$6961,2,0),IF(A322="COTAÇÃO",VLOOKUP(B322,'036-20-Cotação'!$A$9:$G$529,2,0))))</f>
        <v>LASTRO DE CONCRETO MAGRO, APLICADO EM PISOS OU RADIERS, ESPESSURA DE 5 CM. AF_07/2016</v>
      </c>
      <c r="D322" s="452" t="str">
        <f>IF(A322="SERVIÇO",VLOOKUP(B322,SERVIÇOS!$A$6:$E$7645,5,0),IF(A322="INSUMO",VLOOKUP(B322,INSUMOS!$A$6:$E$6961,5,0),IF(A322="COTAÇÃO",VLOOKUP(B322,'036-20-Cotação'!$A$9:$H$529,8,0))))</f>
        <v>SER.CG</v>
      </c>
      <c r="E322" s="452" t="str">
        <f>IF(A322="SERVIÇO",VLOOKUP(B322,SERVIÇOS!$A$6:$D$7645,3,0),IF(A322="INSUMO",VLOOKUP(B322,INSUMOS!$A$6:$D$6961,3,0),IF(A322="COTAÇÃO",VLOOKUP(B322,'036-20-Cotação'!$A$9:$G$529,4,0))))</f>
        <v>M2</v>
      </c>
      <c r="F322" s="462">
        <v>15.02</v>
      </c>
      <c r="G322" s="453" t="str">
        <f>IF(A322="SERVIÇO",VLOOKUP(B322,SERVIÇOS!$A$6:$D$7645,4,0),IF(A322="INSUMO",VLOOKUP(B322,INSUMOS!$A$6:$D$6961,4,0),IF(A322="COTAÇÃO",VLOOKUP(B322,'036-20-Cotação'!$A$9:$G$529,3,0))))</f>
        <v>23,17</v>
      </c>
      <c r="H322" s="463">
        <f t="shared" si="37"/>
        <v>348.01339999999999</v>
      </c>
      <c r="J322" s="201"/>
    </row>
    <row r="323" spans="1:17" s="87" customFormat="1" ht="38.25">
      <c r="A323" s="232" t="s">
        <v>4542</v>
      </c>
      <c r="B323" s="531">
        <v>97086</v>
      </c>
      <c r="C323" s="451" t="str">
        <f>IF(A323="SERVIÇO",VLOOKUP(B323,SERVIÇOS!$A$6:$D$7645,2,0),IF(A323="INSUMO",VLOOKUP(B323,INSUMOS!$A$6:$D$6961,2,0),IF(A323="COTAÇÃO",VLOOKUP(B323,'036-20-Cotação'!$A$9:$G$529,2,0))))</f>
        <v>FABRICAÇÃO, MONTAGEM E DESMONTAGEM DE FORMA PARA RADIER, EM MADEIRA SERRADA, 4 UTILIZAÇÕES. AF_09/2017</v>
      </c>
      <c r="D323" s="452" t="str">
        <f>IF(A323="SERVIÇO",VLOOKUP(B323,SERVIÇOS!$A$6:$E$7645,5,0),IF(A323="INSUMO",VLOOKUP(B323,INSUMOS!$A$6:$E$6961,5,0),IF(A323="COTAÇÃO",VLOOKUP(B323,'036-20-Cotação'!$A$9:$H$529,8,0))))</f>
        <v>SER.CG</v>
      </c>
      <c r="E323" s="452" t="str">
        <f>IF(A323="SERVIÇO",VLOOKUP(B323,SERVIÇOS!$A$6:$D$7645,3,0),IF(A323="INSUMO",VLOOKUP(B323,INSUMOS!$A$6:$D$6961,3,0),IF(A323="COTAÇÃO",VLOOKUP(B323,'036-20-Cotação'!$A$9:$G$529,4,0))))</f>
        <v>M2</v>
      </c>
      <c r="F323" s="462">
        <v>1.64</v>
      </c>
      <c r="G323" s="453" t="str">
        <f>IF(A323="SERVIÇO",VLOOKUP(B323,SERVIÇOS!$A$6:$D$7645,4,0),IF(A323="INSUMO",VLOOKUP(B323,INSUMOS!$A$6:$D$6961,4,0),IF(A323="COTAÇÃO",VLOOKUP(B323,'036-20-Cotação'!$A$9:$G$529,3,0))))</f>
        <v>96,71</v>
      </c>
      <c r="H323" s="463">
        <f t="shared" si="37"/>
        <v>158.60439999999997</v>
      </c>
      <c r="J323" s="201"/>
    </row>
    <row r="324" spans="1:17" s="87" customFormat="1" ht="51">
      <c r="A324" s="232" t="s">
        <v>4542</v>
      </c>
      <c r="B324" s="531">
        <v>97094</v>
      </c>
      <c r="C324" s="451" t="str">
        <f>IF(A324="SERVIÇO",VLOOKUP(B324,SERVIÇOS!$A$6:$D$7645,2,0),IF(A324="INSUMO",VLOOKUP(B324,INSUMOS!$A$6:$D$6961,2,0),IF(A324="COTAÇÃO",VLOOKUP(B324,'036-20-Cotação'!$A$9:$G$529,2,0))))</f>
        <v>CONCRETAGEM DE RADIER, PISO OU LAJE SOBRE SOLO, FCK 30 MPA, PARA ESPESSURA DE 10 CM - LANÇAMENTO, ADENSAMENTO E ACABAMENTO. AF_09/2017</v>
      </c>
      <c r="D324" s="452" t="str">
        <f>IF(A324="SERVIÇO",VLOOKUP(B324,SERVIÇOS!$A$6:$E$7645,5,0),IF(A324="INSUMO",VLOOKUP(B324,INSUMOS!$A$6:$E$6961,5,0),IF(A324="COTAÇÃO",VLOOKUP(B324,'036-20-Cotação'!$A$9:$H$529,8,0))))</f>
        <v>SER.CG</v>
      </c>
      <c r="E324" s="452" t="str">
        <f>IF(A324="SERVIÇO",VLOOKUP(B324,SERVIÇOS!$A$6:$D$7645,3,0),IF(A324="INSUMO",VLOOKUP(B324,INSUMOS!$A$6:$D$6961,3,0),IF(A324="COTAÇÃO",VLOOKUP(B324,'036-20-Cotação'!$A$9:$G$529,4,0))))</f>
        <v>M3</v>
      </c>
      <c r="F324" s="462">
        <v>1.5</v>
      </c>
      <c r="G324" s="453" t="str">
        <f>IF(A324="SERVIÇO",VLOOKUP(B324,SERVIÇOS!$A$6:$D$7645,4,0),IF(A324="INSUMO",VLOOKUP(B324,INSUMOS!$A$6:$D$6961,4,0),IF(A324="COTAÇÃO",VLOOKUP(B324,'036-20-Cotação'!$A$9:$G$529,3,0))))</f>
        <v>381,80</v>
      </c>
      <c r="H324" s="463">
        <f t="shared" si="37"/>
        <v>572.70000000000005</v>
      </c>
      <c r="J324" s="201"/>
    </row>
    <row r="325" spans="1:17" s="87" customFormat="1" ht="38.25">
      <c r="A325" s="232" t="s">
        <v>4542</v>
      </c>
      <c r="B325" s="531">
        <v>68053</v>
      </c>
      <c r="C325" s="451" t="str">
        <f>IF(A325="SERVIÇO",VLOOKUP(B325,SERVIÇOS!$A$6:$D$7645,2,0),IF(A325="INSUMO",VLOOKUP(B325,INSUMOS!$A$6:$D$6961,2,0),IF(A325="COTAÇÃO",VLOOKUP(B325,'036-20-Cotação'!$A$9:$G$529,2,0))))</f>
        <v>FORNECIMENTO/INSTALACAO LONA PLASTICA PRETA, PARA IMPERMEABILIZACAO, ESPESSURA 150 MICRAS.</v>
      </c>
      <c r="D325" s="452" t="str">
        <f>IF(A325="SERVIÇO",VLOOKUP(B325,SERVIÇOS!$A$6:$E$7645,5,0),IF(A325="INSUMO",VLOOKUP(B325,INSUMOS!$A$6:$E$6961,5,0),IF(A325="COTAÇÃO",VLOOKUP(B325,'036-20-Cotação'!$A$9:$H$529,8,0))))</f>
        <v>SER.CG</v>
      </c>
      <c r="E325" s="452" t="str">
        <f>IF(A325="SERVIÇO",VLOOKUP(B325,SERVIÇOS!$A$6:$D$7645,3,0),IF(A325="INSUMO",VLOOKUP(B325,INSUMOS!$A$6:$D$6961,3,0),IF(A325="COTAÇÃO",VLOOKUP(B325,'036-20-Cotação'!$A$9:$G$529,4,0))))</f>
        <v>M2</v>
      </c>
      <c r="F325" s="462">
        <v>15.02</v>
      </c>
      <c r="G325" s="453" t="str">
        <f>IF(A325="SERVIÇO",VLOOKUP(B325,SERVIÇOS!$A$6:$D$7645,4,0),IF(A325="INSUMO",VLOOKUP(B325,INSUMOS!$A$6:$D$6961,4,0),IF(A325="COTAÇÃO",VLOOKUP(B325,'036-20-Cotação'!$A$9:$G$529,3,0))))</f>
        <v>5,59</v>
      </c>
      <c r="H325" s="463">
        <f t="shared" si="37"/>
        <v>83.961799999999997</v>
      </c>
      <c r="J325" s="201"/>
    </row>
    <row r="326" spans="1:17" s="87" customFormat="1" ht="25.5">
      <c r="A326" s="232" t="s">
        <v>4542</v>
      </c>
      <c r="B326" s="531" t="s">
        <v>3536</v>
      </c>
      <c r="C326" s="451" t="str">
        <f>IF(A326="SERVIÇO",VLOOKUP(B326,SERVIÇOS!$A$6:$D$7645,2,0),IF(A326="INSUMO",VLOOKUP(B326,INSUMOS!$A$6:$D$6961,2,0),IF(A326="COTAÇÃO",VLOOKUP(B326,'036-20-Cotação'!$A$9:$G$529,2,0))))</f>
        <v>COMPACTACAO MECANICA, SEM CONTROLE DO GC (C/COMPACTADOR PLACA 400 KG)</v>
      </c>
      <c r="D326" s="452" t="str">
        <f>IF(A326="SERVIÇO",VLOOKUP(B326,SERVIÇOS!$A$6:$E$7645,5,0),IF(A326="INSUMO",VLOOKUP(B326,INSUMOS!$A$6:$E$6961,5,0),IF(A326="COTAÇÃO",VLOOKUP(B326,'036-20-Cotação'!$A$9:$H$529,8,0))))</f>
        <v>SER.CG</v>
      </c>
      <c r="E326" s="452" t="str">
        <f>IF(A326="SERVIÇO",VLOOKUP(B326,SERVIÇOS!$A$6:$D$7645,3,0),IF(A326="INSUMO",VLOOKUP(B326,INSUMOS!$A$6:$D$6961,3,0),IF(A326="COTAÇÃO",VLOOKUP(B326,'036-20-Cotação'!$A$9:$G$529,4,0))))</f>
        <v>M3</v>
      </c>
      <c r="F326" s="462">
        <v>63.11</v>
      </c>
      <c r="G326" s="453" t="str">
        <f>IF(A326="SERVIÇO",VLOOKUP(B326,SERVIÇOS!$A$6:$D$7645,4,0),IF(A326="INSUMO",VLOOKUP(B326,INSUMOS!$A$6:$D$6961,4,0),IF(A326="COTAÇÃO",VLOOKUP(B326,'036-20-Cotação'!$A$9:$G$529,3,0))))</f>
        <v>5,08</v>
      </c>
      <c r="H326" s="463">
        <f t="shared" si="37"/>
        <v>320.59879999999998</v>
      </c>
      <c r="J326" s="201"/>
    </row>
    <row r="327" spans="1:17" s="87" customFormat="1" ht="51">
      <c r="A327" s="232" t="s">
        <v>4542</v>
      </c>
      <c r="B327" s="531">
        <v>83338</v>
      </c>
      <c r="C327" s="451" t="str">
        <f>IF(A327="SERVIÇO",VLOOKUP(B327,SERVIÇOS!$A$6:$D$7645,2,0),IF(A327="INSUMO",VLOOKUP(B327,INSUMOS!$A$6:$D$6961,2,0),IF(A327="COTAÇÃO",VLOOKUP(B327,'036-20-Cotação'!$A$9:$G$529,2,0))))</f>
        <v>ESCAVACAO MECANICA, A CEU ABERTO, EM MATERIAL DE 1A CATEGORIA, COM ESCAVADEIRA HIDRAULICA, CAPACIDADE DE 0,78 M3</v>
      </c>
      <c r="D327" s="452" t="str">
        <f>IF(A327="SERVIÇO",VLOOKUP(B327,SERVIÇOS!$A$6:$E$7645,5,0),IF(A327="INSUMO",VLOOKUP(B327,INSUMOS!$A$6:$E$6961,5,0),IF(A327="COTAÇÃO",VLOOKUP(B327,'036-20-Cotação'!$A$9:$H$529,8,0))))</f>
        <v>SER.CG</v>
      </c>
      <c r="E327" s="452" t="str">
        <f>IF(A327="SERVIÇO",VLOOKUP(B327,SERVIÇOS!$A$6:$D$7645,3,0),IF(A327="INSUMO",VLOOKUP(B327,INSUMOS!$A$6:$D$6961,3,0),IF(A327="COTAÇÃO",VLOOKUP(B327,'036-20-Cotação'!$A$9:$G$529,4,0))))</f>
        <v>M3</v>
      </c>
      <c r="F327" s="462">
        <v>77.61</v>
      </c>
      <c r="G327" s="453" t="str">
        <f>IF(A327="SERVIÇO",VLOOKUP(B327,SERVIÇOS!$A$6:$D$7645,4,0),IF(A327="INSUMO",VLOOKUP(B327,INSUMOS!$A$6:$D$6961,4,0),IF(A327="COTAÇÃO",VLOOKUP(B327,'036-20-Cotação'!$A$9:$G$529,3,0))))</f>
        <v>2,14</v>
      </c>
      <c r="H327" s="463">
        <f t="shared" si="37"/>
        <v>166.08540000000002</v>
      </c>
      <c r="J327" s="201">
        <f>5*5*2</f>
        <v>50</v>
      </c>
    </row>
    <row r="328" spans="1:17" s="87" customFormat="1" ht="89.25">
      <c r="A328" s="232" t="s">
        <v>4542</v>
      </c>
      <c r="B328" s="531">
        <v>93373</v>
      </c>
      <c r="C328" s="451" t="str">
        <f>IF(A328="SERVIÇO",VLOOKUP(B328,SERVIÇOS!$A$6:$D$7645,2,0),IF(A328="INSUMO",VLOOKUP(B328,INSUMOS!$A$6:$D$6961,2,0),IF(A328="COTAÇÃO",VLOOKUP(B328,'036-20-Cotação'!$A$9:$G$529,2,0))))</f>
        <v>REATERRO MECANIZADO DE VALA COM ESCAVADEIRA HIDRÁULICA (CAPACIDADE DA CAÇAMBA: 0,8 M³ / POTÊNCIA: 111 HP), LARGURA DE 1,5 A 2,5 M, PROFUNDIDADE DE 4,5 A 6,0 M, COM SOLO (SEM SUBSTITUIÇÃO) DE 1ª CATEGORIA EM LOCAIS COM BAIXO NÍVEL DE INTERFERÊNCIA. AF_04/2016</v>
      </c>
      <c r="D328" s="452" t="str">
        <f>IF(A328="SERVIÇO",VLOOKUP(B328,SERVIÇOS!$A$6:$E$7645,5,0),IF(A328="INSUMO",VLOOKUP(B328,INSUMOS!$A$6:$E$6961,5,0),IF(A328="COTAÇÃO",VLOOKUP(B328,'036-20-Cotação'!$A$9:$H$529,8,0))))</f>
        <v>SER.CG</v>
      </c>
      <c r="E328" s="452" t="str">
        <f>IF(A328="SERVIÇO",VLOOKUP(B328,SERVIÇOS!$A$6:$D$7645,3,0),IF(A328="INSUMO",VLOOKUP(B328,INSUMOS!$A$6:$D$6961,3,0),IF(A328="COTAÇÃO",VLOOKUP(B328,'036-20-Cotação'!$A$9:$G$529,4,0))))</f>
        <v>M3</v>
      </c>
      <c r="F328" s="462">
        <v>63.11</v>
      </c>
      <c r="G328" s="453" t="str">
        <f>IF(A328="SERVIÇO",VLOOKUP(B328,SERVIÇOS!$A$6:$D$7645,4,0),IF(A328="INSUMO",VLOOKUP(B328,INSUMOS!$A$6:$D$6961,4,0),IF(A328="COTAÇÃO",VLOOKUP(B328,'036-20-Cotação'!$A$9:$G$529,3,0))))</f>
        <v>5,48</v>
      </c>
      <c r="H328" s="463">
        <f t="shared" si="37"/>
        <v>345.84280000000001</v>
      </c>
      <c r="J328" s="201">
        <f>5*5*2</f>
        <v>50</v>
      </c>
    </row>
    <row r="329" spans="1:17" s="87" customFormat="1" ht="76.5">
      <c r="A329" s="232" t="s">
        <v>4542</v>
      </c>
      <c r="B329" s="531">
        <v>92726</v>
      </c>
      <c r="C329" s="451" t="str">
        <f>IF(A329="SERVIÇO",VLOOKUP(B329,SERVIÇOS!$A$6:$D$7645,2,0),IF(A329="INSUMO",VLOOKUP(B329,INSUMOS!$A$6:$D$6961,2,0),IF(A329="COTAÇÃO",VLOOKUP(B329,'036-20-Cotação'!$A$9:$G$529,2,0))))</f>
        <v>CONCRETAGEM DE VIGAS E LAJES, FCK=20 MPA, PARA LAJES MACIÇAS OU NERVURADAS COM USO DE BOMBA EM EDIFICAÇÃO COM ÁREA MÉDIA DE LAJES MAIOR QUE 20 M² - LANÇAMENTO, ADENSAMENTO E ACABAMENTO. AF_12/2015</v>
      </c>
      <c r="D329" s="452" t="str">
        <f>IF(A329="SERVIÇO",VLOOKUP(B329,SERVIÇOS!$A$6:$E$7645,5,0),IF(A329="INSUMO",VLOOKUP(B329,INSUMOS!$A$6:$E$6961,5,0),IF(A329="COTAÇÃO",VLOOKUP(B329,'036-20-Cotação'!$A$9:$H$529,8,0))))</f>
        <v>SER.CG</v>
      </c>
      <c r="E329" s="452" t="str">
        <f>IF(A329="SERVIÇO",VLOOKUP(B329,SERVIÇOS!$A$6:$D$7645,3,0),IF(A329="INSUMO",VLOOKUP(B329,INSUMOS!$A$6:$D$6961,3,0),IF(A329="COTAÇÃO",VLOOKUP(B329,'036-20-Cotação'!$A$9:$G$529,4,0))))</f>
        <v>M3</v>
      </c>
      <c r="F329" s="462">
        <v>8.74</v>
      </c>
      <c r="G329" s="453" t="str">
        <f>IF(A329="SERVIÇO",VLOOKUP(B329,SERVIÇOS!$A$6:$D$7645,4,0),IF(A329="INSUMO",VLOOKUP(B329,INSUMOS!$A$6:$D$6961,4,0),IF(A329="COTAÇÃO",VLOOKUP(B329,'036-20-Cotação'!$A$9:$G$529,3,0))))</f>
        <v>341,94</v>
      </c>
      <c r="H329" s="463">
        <f t="shared" si="37"/>
        <v>2988.5556000000001</v>
      </c>
      <c r="J329" s="201"/>
    </row>
    <row r="330" spans="1:17" s="87" customFormat="1" ht="63.75">
      <c r="A330" s="232" t="s">
        <v>4544</v>
      </c>
      <c r="B330" s="531">
        <v>39363</v>
      </c>
      <c r="C330" s="451" t="str">
        <f>IF(A330="SERVIÇO",VLOOKUP(B330,SERVIÇOS!$A$6:$D$7645,2,0),IF(A330="INSUMO",VLOOKUP(B330,INSUMOS!$A$6:$D$6961,2,0),IF(A330="COTAÇÃO",VLOOKUP(B330,'036-20-Cotação'!$A$9:$G$529,2,0))))</f>
        <v xml:space="preserve">FOSSA SEPTICA, SEM FILTRO, PARA 15 A 30 CONTRIBUINTES, CILINDRICA, COM TAMPA, EM POLIETILENO DE ALTA DENSIDADE (PEAD), CAPACIDADE APROXIMADA DE 5500 LITROS (NBR 7229)                                                                                                                                                                                                                                                                                                                                    </v>
      </c>
      <c r="D330" s="452" t="str">
        <f>IF(A330="SERVIÇO",VLOOKUP(B330,SERVIÇOS!$A$6:$E$7645,5,0),IF(A330="INSUMO",VLOOKUP(B330,INSUMOS!$A$6:$E$6961,5,0),IF(A330="COTAÇÃO",VLOOKUP(B330,'036-20-Cotação'!$A$9:$H$529,8,0))))</f>
        <v>MAT.</v>
      </c>
      <c r="E330" s="452" t="str">
        <f>IF(A330="SERVIÇO",VLOOKUP(B330,SERVIÇOS!$A$6:$D$7645,3,0),IF(A330="INSUMO",VLOOKUP(B330,INSUMOS!$A$6:$D$6961,3,0),IF(A330="COTAÇÃO",VLOOKUP(B330,'036-20-Cotação'!$A$9:$G$529,4,0))))</f>
        <v xml:space="preserve">UN    </v>
      </c>
      <c r="F330" s="462">
        <v>2</v>
      </c>
      <c r="G330" s="453" t="str">
        <f>IF(A330="SERVIÇO",VLOOKUP(B330,SERVIÇOS!$A$6:$D$7645,4,0),IF(A330="INSUMO",VLOOKUP(B330,INSUMOS!$A$6:$D$6961,4,0),IF(A330="COTAÇÃO",VLOOKUP(B330,'036-20-Cotação'!$A$9:$G$529,3,0))))</f>
        <v>3.607,75</v>
      </c>
      <c r="H330" s="463">
        <f t="shared" si="37"/>
        <v>7215.5</v>
      </c>
      <c r="J330" s="201"/>
    </row>
    <row r="331" spans="1:17" s="87" customFormat="1" ht="12.75">
      <c r="A331" s="232"/>
      <c r="B331" s="199" t="s">
        <v>123</v>
      </c>
      <c r="C331" s="698" t="s">
        <v>6710</v>
      </c>
      <c r="D331" s="699"/>
      <c r="E331" s="699"/>
      <c r="F331" s="699"/>
      <c r="G331" s="699"/>
      <c r="H331" s="700"/>
      <c r="J331" s="201"/>
    </row>
    <row r="332" spans="1:17" s="78" customFormat="1" ht="12.75">
      <c r="A332" s="188"/>
      <c r="B332" s="346"/>
      <c r="C332" s="347"/>
      <c r="D332" s="347"/>
      <c r="E332" s="347"/>
      <c r="F332" s="347"/>
      <c r="G332" s="347"/>
      <c r="H332" s="347"/>
      <c r="J332" s="79"/>
      <c r="K332" s="87"/>
      <c r="L332" s="87"/>
      <c r="M332" s="87"/>
      <c r="N332" s="87"/>
      <c r="O332" s="87"/>
      <c r="P332" s="87"/>
      <c r="Q332" s="87"/>
    </row>
    <row r="333" spans="1:17" s="78" customFormat="1" ht="51">
      <c r="A333" s="188"/>
      <c r="B333" s="80" t="s">
        <v>6276</v>
      </c>
      <c r="C333" s="81" t="s">
        <v>6606</v>
      </c>
      <c r="D333" s="82" t="s">
        <v>84</v>
      </c>
      <c r="E333" s="82" t="s">
        <v>150</v>
      </c>
      <c r="F333" s="83"/>
      <c r="G333" s="84"/>
      <c r="H333" s="85">
        <f>SUM(H334:H338)</f>
        <v>308.63885126525958</v>
      </c>
      <c r="J333" s="79"/>
      <c r="K333" s="87"/>
      <c r="L333" s="87"/>
      <c r="M333" s="87"/>
      <c r="N333" s="87"/>
      <c r="O333" s="87"/>
      <c r="P333" s="87"/>
      <c r="Q333" s="87"/>
    </row>
    <row r="334" spans="1:17" s="87" customFormat="1" ht="38.25">
      <c r="A334" s="232" t="s">
        <v>4542</v>
      </c>
      <c r="B334" s="531">
        <v>5213417</v>
      </c>
      <c r="C334" s="451" t="str">
        <f>'036-20-CCA''s'!$C$344</f>
        <v>CONFECÇÃO DE PLACA EM AÇO Nº 16 GALVANIZADO, COM PELÍCULA RETRORREFLETIVA TIPO I + III</v>
      </c>
      <c r="D334" s="452" t="str">
        <f>'036-20-CCA''s'!$D$344</f>
        <v>SER.CG</v>
      </c>
      <c r="E334" s="452" t="str">
        <f>'036-20-CCA''s'!$E$344</f>
        <v>M2</v>
      </c>
      <c r="F334" s="462">
        <v>1</v>
      </c>
      <c r="G334" s="453">
        <f>'036-20-CCA''s'!$H$344</f>
        <v>273.76893459859292</v>
      </c>
      <c r="H334" s="463">
        <f t="shared" ref="H334:H338" si="38">G334*F334</f>
        <v>273.76893459859292</v>
      </c>
      <c r="J334" s="201"/>
    </row>
    <row r="335" spans="1:17" s="87" customFormat="1" ht="25.5">
      <c r="A335" s="232" t="s">
        <v>4542</v>
      </c>
      <c r="B335" s="531" t="s">
        <v>9567</v>
      </c>
      <c r="C335" s="451" t="str">
        <f>IF(A335="SERVIÇO",VLOOKUP(B335,SERVIÇOS!$A$6:$D$7645,2,0),IF(A335="INSUMO",VLOOKUP(B335,INSUMOS!$A$6:$D$6961,2,0),IF(A335="COTAÇÃO",VLOOKUP(B335,'036-20-Cotação'!$A$9:$G$529,2,0))))</f>
        <v>CAMINHÃO CARROCERIA COM CAPACIDADE DE 5 T - 115 KW</v>
      </c>
      <c r="D335" s="452" t="str">
        <f>IF(A335="SERVIÇO",VLOOKUP(B335,SERVIÇOS!$A$6:$E$7645,5,0),IF(A335="INSUMO",VLOOKUP(B335,INSUMOS!$A$6:$E$6961,5,0),IF(A335="COTAÇÃO",VLOOKUP(B335,'036-20-Cotação'!$A$9:$H$529,8,0))))</f>
        <v>EQUIP.</v>
      </c>
      <c r="E335" s="452" t="str">
        <f>IF(A335="SERVIÇO",VLOOKUP(B335,SERVIÇOS!$A$6:$D$7645,3,0),IF(A335="INSUMO",VLOOKUP(B335,INSUMOS!$A$6:$D$6961,3,0),IF(A335="COTAÇÃO",VLOOKUP(B335,'036-20-Cotação'!$A$9:$G$529,4,0))))</f>
        <v>CHP</v>
      </c>
      <c r="F335" s="462">
        <f>0.3/3</f>
        <v>9.9999999999999992E-2</v>
      </c>
      <c r="G335" s="453">
        <f>IF(A335="SERVIÇO",VLOOKUP(B335,SERVIÇOS!$A$6:$D$7645,4,0),IF(A335="INSUMO",VLOOKUP(B335,INSUMOS!$A$6:$D$6961,4,0),IF(A335="COTAÇÃO",VLOOKUP(B335,'036-20-Cotação'!$A$9:$G$529,3,0))))</f>
        <v>87.3249</v>
      </c>
      <c r="H335" s="463">
        <f t="shared" si="38"/>
        <v>8.7324899999999985</v>
      </c>
      <c r="J335" s="201"/>
    </row>
    <row r="336" spans="1:17" s="87" customFormat="1" ht="25.5">
      <c r="A336" s="232" t="s">
        <v>4542</v>
      </c>
      <c r="B336" s="531" t="s">
        <v>10052</v>
      </c>
      <c r="C336" s="451" t="str">
        <f>IF(A336="SERVIÇO",VLOOKUP(B336,SERVIÇOS!$A$6:$D$7645,2,0),IF(A336="INSUMO",VLOOKUP(B336,INSUMOS!$A$6:$D$6961,2,0),IF(A336="COTAÇÃO",VLOOKUP(B336,'036-20-Cotação'!$A$9:$G$529,2,0))))</f>
        <v>CAMINHÃO CARROCERIA COM CAPACIDADE DE 5 T - 115 KW</v>
      </c>
      <c r="D336" s="452" t="str">
        <f>IF(A336="SERVIÇO",VLOOKUP(B336,SERVIÇOS!$A$6:$E$7645,5,0),IF(A336="INSUMO",VLOOKUP(B336,INSUMOS!$A$6:$E$6961,5,0),IF(A336="COTAÇÃO",VLOOKUP(B336,'036-20-Cotação'!$A$9:$H$529,8,0))))</f>
        <v>EQUIP.</v>
      </c>
      <c r="E336" s="452" t="str">
        <f>IF(A336="SERVIÇO",VLOOKUP(B336,SERVIÇOS!$A$6:$D$7645,3,0),IF(A336="INSUMO",VLOOKUP(B336,INSUMOS!$A$6:$D$6961,3,0),IF(A336="COTAÇÃO",VLOOKUP(B336,'036-20-Cotação'!$A$9:$G$529,4,0))))</f>
        <v>CHI</v>
      </c>
      <c r="F336" s="462">
        <f>0.7/3</f>
        <v>0.23333333333333331</v>
      </c>
      <c r="G336" s="453">
        <f>IF(A336="SERVIÇO",VLOOKUP(B336,SERVIÇOS!$A$6:$D$7645,4,0),IF(A336="INSUMO",VLOOKUP(B336,INSUMOS!$A$6:$D$6961,4,0),IF(A336="COTAÇÃO",VLOOKUP(B336,'036-20-Cotação'!$A$9:$G$529,3,0))))</f>
        <v>33.813400000000001</v>
      </c>
      <c r="H336" s="463">
        <f t="shared" si="38"/>
        <v>7.8897933333333325</v>
      </c>
      <c r="J336" s="201"/>
    </row>
    <row r="337" spans="1:17" s="87" customFormat="1" ht="12.75">
      <c r="A337" s="232" t="s">
        <v>4542</v>
      </c>
      <c r="B337" s="531" t="s">
        <v>6601</v>
      </c>
      <c r="C337" s="451" t="str">
        <f>IF(A337="SERVIÇO",VLOOKUP(B337,SERVIÇOS!$A$6:$D$7645,2,0),IF(A337="INSUMO",VLOOKUP(B337,INSUMOS!$A$6:$D$6961,2,0),IF(A337="COTAÇÃO",VLOOKUP(B337,'036-20-Cotação'!$A$9:$G$529,2,0))))</f>
        <v>MONTADOR</v>
      </c>
      <c r="D337" s="452" t="str">
        <f>IF(A337="SERVIÇO",VLOOKUP(B337,SERVIÇOS!$A$6:$E$7645,5,0),IF(A337="INSUMO",VLOOKUP(B337,INSUMOS!$A$6:$E$6961,5,0),IF(A337="COTAÇÃO",VLOOKUP(B337,'036-20-Cotação'!$A$9:$H$529,8,0))))</f>
        <v>M.O</v>
      </c>
      <c r="E337" s="452" t="str">
        <f>IF(A337="SERVIÇO",VLOOKUP(B337,SERVIÇOS!$A$6:$D$7645,3,0),IF(A337="INSUMO",VLOOKUP(B337,INSUMOS!$A$6:$D$6961,3,0),IF(A337="COTAÇÃO",VLOOKUP(B337,'036-20-Cotação'!$A$9:$G$529,4,0))))</f>
        <v>H</v>
      </c>
      <c r="F337" s="462">
        <f>1/3</f>
        <v>0.33333333333333331</v>
      </c>
      <c r="G337" s="453">
        <f>IF(A337="SERVIÇO",VLOOKUP(B337,SERVIÇOS!$A$6:$D$7645,4,0),IF(A337="INSUMO",VLOOKUP(B337,INSUMOS!$A$6:$D$6961,4,0),IF(A337="COTAÇÃO",VLOOKUP(B337,'036-20-Cotação'!$A$9:$G$529,3,0))))</f>
        <v>23.4679</v>
      </c>
      <c r="H337" s="463">
        <f t="shared" si="38"/>
        <v>7.8226333333333331</v>
      </c>
      <c r="J337" s="201"/>
    </row>
    <row r="338" spans="1:17" s="87" customFormat="1" ht="12.75">
      <c r="A338" s="232" t="s">
        <v>4542</v>
      </c>
      <c r="B338" s="531" t="s">
        <v>6602</v>
      </c>
      <c r="C338" s="451" t="str">
        <f>IF(A338="SERVIÇO",VLOOKUP(B338,SERVIÇOS!$A$6:$D$7645,2,0),IF(A338="INSUMO",VLOOKUP(B338,INSUMOS!$A$6:$D$6961,2,0),IF(A338="COTAÇÃO",VLOOKUP(B338,'036-20-Cotação'!$A$9:$G$529,2,0))))</f>
        <v>SERVENTE</v>
      </c>
      <c r="D338" s="452" t="str">
        <f>IF(A338="SERVIÇO",VLOOKUP(B338,SERVIÇOS!$A$6:$E$7645,5,0),IF(A338="INSUMO",VLOOKUP(B338,INSUMOS!$A$6:$E$6961,5,0),IF(A338="COTAÇÃO",VLOOKUP(B338,'036-20-Cotação'!$A$9:$H$529,8,0))))</f>
        <v>M.O</v>
      </c>
      <c r="E338" s="452" t="str">
        <f>IF(A338="SERVIÇO",VLOOKUP(B338,SERVIÇOS!$A$6:$D$7645,3,0),IF(A338="INSUMO",VLOOKUP(B338,INSUMOS!$A$6:$D$6961,3,0),IF(A338="COTAÇÃO",VLOOKUP(B338,'036-20-Cotação'!$A$9:$G$529,4,0))))</f>
        <v>H</v>
      </c>
      <c r="F338" s="462">
        <f>2/3</f>
        <v>0.66666666666666663</v>
      </c>
      <c r="G338" s="453">
        <f>IF(A338="SERVIÇO",VLOOKUP(B338,SERVIÇOS!$A$6:$D$7645,4,0),IF(A338="INSUMO",VLOOKUP(B338,INSUMOS!$A$6:$D$6961,4,0),IF(A338="COTAÇÃO",VLOOKUP(B338,'036-20-Cotação'!$A$9:$G$529,3,0))))</f>
        <v>15.637499999999999</v>
      </c>
      <c r="H338" s="463">
        <f t="shared" si="38"/>
        <v>10.424999999999999</v>
      </c>
      <c r="J338" s="201"/>
    </row>
    <row r="339" spans="1:17" s="87" customFormat="1" ht="12.75">
      <c r="A339" s="188"/>
      <c r="B339" s="348" t="s">
        <v>123</v>
      </c>
      <c r="C339" s="695" t="s">
        <v>6599</v>
      </c>
      <c r="D339" s="696"/>
      <c r="E339" s="696"/>
      <c r="F339" s="696"/>
      <c r="G339" s="696"/>
      <c r="H339" s="697"/>
      <c r="J339" s="201"/>
    </row>
    <row r="340" spans="1:17" s="78" customFormat="1" ht="12.75">
      <c r="A340" s="188"/>
      <c r="B340" s="346"/>
      <c r="C340" s="347"/>
      <c r="D340" s="347"/>
      <c r="E340" s="347"/>
      <c r="F340" s="347"/>
      <c r="G340" s="347"/>
      <c r="H340" s="347"/>
      <c r="J340" s="79"/>
      <c r="K340" s="87"/>
      <c r="L340" s="87"/>
      <c r="M340" s="87"/>
      <c r="N340" s="87"/>
      <c r="O340" s="87"/>
      <c r="P340" s="87"/>
      <c r="Q340" s="87"/>
    </row>
    <row r="341" spans="1:17" s="78" customFormat="1" ht="76.5">
      <c r="A341" s="188"/>
      <c r="B341" s="80" t="s">
        <v>6277</v>
      </c>
      <c r="C341" s="81" t="s">
        <v>6607</v>
      </c>
      <c r="D341" s="82" t="s">
        <v>84</v>
      </c>
      <c r="E341" s="82" t="s">
        <v>5</v>
      </c>
      <c r="F341" s="83"/>
      <c r="G341" s="84"/>
      <c r="H341" s="85">
        <f>SUM(H342:H349)</f>
        <v>71.79360682851491</v>
      </c>
      <c r="J341" s="79"/>
      <c r="K341" s="87"/>
      <c r="L341" s="87"/>
      <c r="M341" s="87"/>
      <c r="N341" s="87"/>
      <c r="O341" s="87"/>
      <c r="P341" s="87"/>
      <c r="Q341" s="87"/>
    </row>
    <row r="342" spans="1:17" s="87" customFormat="1" ht="12.75">
      <c r="A342" s="232" t="s">
        <v>4542</v>
      </c>
      <c r="B342" s="531" t="s">
        <v>8739</v>
      </c>
      <c r="C342" s="451" t="str">
        <f>IF(A342="SERVIÇO",VLOOKUP(B342,SERVIÇOS!$A$6:$D$7645,2,0),IF(A342="INSUMO",VLOOKUP(B342,INSUMOS!$A$6:$D$6961,2,0),IF(A342="COTAÇÃO",VLOOKUP(B342,'036-20-Cotação'!$A$9:$G$529,2,0))))</f>
        <v>REBOCADOR - 360 HP</v>
      </c>
      <c r="D342" s="452" t="str">
        <f>IF(A342="SERVIÇO",VLOOKUP(B342,SERVIÇOS!$A$6:$E$7645,5,0),IF(A342="INSUMO",VLOOKUP(B342,INSUMOS!$A$6:$E$6961,5,0),IF(A342="COTAÇÃO",VLOOKUP(B342,'036-20-Cotação'!$A$9:$H$529,8,0))))</f>
        <v>EQUIP.</v>
      </c>
      <c r="E342" s="452" t="str">
        <f>IF(A342="SERVIÇO",VLOOKUP(B342,SERVIÇOS!$A$6:$D$7645,3,0),IF(A342="INSUMO",VLOOKUP(B342,INSUMOS!$A$6:$D$6961,3,0),IF(A342="COTAÇÃO",VLOOKUP(B342,'036-20-Cotação'!$A$9:$G$529,4,0))))</f>
        <v>CHP</v>
      </c>
      <c r="F342" s="462">
        <v>0.05</v>
      </c>
      <c r="G342" s="453">
        <f>IF(A342="SERVIÇO",VLOOKUP(B342,SERVIÇOS!$A$6:$D$7645,4,0),IF(A342="INSUMO",VLOOKUP(B342,INSUMOS!$A$6:$D$6961,4,0),IF(A342="COTAÇÃO",VLOOKUP(B342,'036-20-Cotação'!$A$9:$G$529,3,0))))</f>
        <v>339.82830000000001</v>
      </c>
      <c r="H342" s="463">
        <f t="shared" ref="H342:H349" si="39">G342*F342</f>
        <v>16.991415</v>
      </c>
      <c r="J342" s="201"/>
    </row>
    <row r="343" spans="1:17" s="87" customFormat="1" ht="12.75">
      <c r="A343" s="232" t="s">
        <v>4542</v>
      </c>
      <c r="B343" s="531" t="s">
        <v>6602</v>
      </c>
      <c r="C343" s="451" t="str">
        <f>IF(A343="SERVIÇO",VLOOKUP(B343,SERVIÇOS!$A$6:$D$7645,2,0),IF(A343="INSUMO",VLOOKUP(B343,INSUMOS!$A$6:$D$6961,2,0),IF(A343="COTAÇÃO",VLOOKUP(B343,'036-20-Cotação'!$A$9:$G$529,2,0))))</f>
        <v>SERVENTE</v>
      </c>
      <c r="D343" s="452" t="str">
        <f>IF(A343="SERVIÇO",VLOOKUP(B343,SERVIÇOS!$A$6:$E$7645,5,0),IF(A343="INSUMO",VLOOKUP(B343,INSUMOS!$A$6:$E$6961,5,0),IF(A343="COTAÇÃO",VLOOKUP(B343,'036-20-Cotação'!$A$9:$H$529,8,0))))</f>
        <v>M.O</v>
      </c>
      <c r="E343" s="452" t="str">
        <f>IF(A343="SERVIÇO",VLOOKUP(B343,SERVIÇOS!$A$6:$D$7645,3,0),IF(A343="INSUMO",VLOOKUP(B343,INSUMOS!$A$6:$D$6961,3,0),IF(A343="COTAÇÃO",VLOOKUP(B343,'036-20-Cotação'!$A$9:$G$529,4,0))))</f>
        <v>H</v>
      </c>
      <c r="F343" s="462">
        <v>0.1</v>
      </c>
      <c r="G343" s="453">
        <f>IF(A343="SERVIÇO",VLOOKUP(B343,SERVIÇOS!$A$6:$D$7645,4,0),IF(A343="INSUMO",VLOOKUP(B343,INSUMOS!$A$6:$D$6961,4,0),IF(A343="COTAÇÃO",VLOOKUP(B343,'036-20-Cotação'!$A$9:$G$529,3,0))))</f>
        <v>15.637499999999999</v>
      </c>
      <c r="H343" s="463">
        <f t="shared" si="39"/>
        <v>1.56375</v>
      </c>
      <c r="J343" s="201"/>
    </row>
    <row r="344" spans="1:17" s="87" customFormat="1" ht="38.25">
      <c r="A344" s="232" t="s">
        <v>4542</v>
      </c>
      <c r="B344" s="531">
        <v>1107892</v>
      </c>
      <c r="C344" s="451" t="str">
        <f>'036-20-CCA''s'!$C$498</f>
        <v>CONCRETO FCK = 20 MPA - CONFECÇÃO EM BETONEIRA E LANÇAMENTO MANUAL - AREIA E BRITA COMERCIAIS</v>
      </c>
      <c r="D344" s="452" t="str">
        <f>'036-20-CCA''s'!$D$498</f>
        <v>SER.CG</v>
      </c>
      <c r="E344" s="452" t="str">
        <f>'036-20-CCA''s'!$E$498</f>
        <v>M3</v>
      </c>
      <c r="F344" s="462">
        <v>5.4000000000000003E-3</v>
      </c>
      <c r="G344" s="453">
        <f>'036-20-CCA''s'!$H$498</f>
        <v>352.83176937680884</v>
      </c>
      <c r="H344" s="463">
        <f t="shared" si="39"/>
        <v>1.9052915546347677</v>
      </c>
      <c r="J344" s="201"/>
    </row>
    <row r="345" spans="1:17" s="87" customFormat="1" ht="38.25">
      <c r="A345" s="232" t="s">
        <v>4542</v>
      </c>
      <c r="B345" s="531">
        <v>3107997</v>
      </c>
      <c r="C345" s="451" t="str">
        <f>'036-20-CCA''s'!$C$409</f>
        <v>FORMAS DE COMPENSADO RESINADO 10 MM - USO GERAL - UTILIZAÇÃO DE 3 VEZES - CONFECÇÃO, ENTALAÇÃO E RETIRADA</v>
      </c>
      <c r="D345" s="452" t="str">
        <f>'036-20-CCA''s'!$D$409</f>
        <v>SER.CG</v>
      </c>
      <c r="E345" s="452" t="str">
        <f>'036-20-CCA''s'!$E$409</f>
        <v>M2</v>
      </c>
      <c r="F345" s="462">
        <v>7.1999999999999995E-2</v>
      </c>
      <c r="G345" s="453">
        <f>'036-20-CCA''s'!$H$409</f>
        <v>61.214332088580534</v>
      </c>
      <c r="H345" s="463">
        <f t="shared" si="39"/>
        <v>4.4074319103777979</v>
      </c>
      <c r="J345" s="201"/>
    </row>
    <row r="346" spans="1:17" s="87" customFormat="1" ht="25.5">
      <c r="A346" s="232" t="s">
        <v>4544</v>
      </c>
      <c r="B346" s="531" t="s">
        <v>6609</v>
      </c>
      <c r="C346" s="451" t="str">
        <f>IF(A346="SERVIÇO",VLOOKUP(B346,SERVIÇOS!$A$6:$D$7645,2,0),IF(A346="INSUMO",VLOOKUP(B346,INSUMOS!$A$6:$D$6961,2,0),IF(A346="COTAÇÃO",VLOOKUP(B346,'036-20-Cotação'!$A$9:$G$529,2,0))))</f>
        <v>CORDA DE NYLON TORCIDA COM 4 PERNAS - D = 10 MM</v>
      </c>
      <c r="D346" s="452" t="str">
        <f>IF(A346="SERVIÇO",VLOOKUP(B346,SERVIÇOS!$A$6:$E$7645,5,0),IF(A346="INSUMO",VLOOKUP(B346,INSUMOS!$A$6:$E$6961,5,0),IF(A346="COTAÇÃO",VLOOKUP(B346,'036-20-Cotação'!$A$9:$H$529,8,0))))</f>
        <v>MAT.</v>
      </c>
      <c r="E346" s="452" t="str">
        <f>IF(A346="SERVIÇO",VLOOKUP(B346,SERVIÇOS!$A$6:$D$7645,3,0),IF(A346="INSUMO",VLOOKUP(B346,INSUMOS!$A$6:$D$6961,3,0),IF(A346="COTAÇÃO",VLOOKUP(B346,'036-20-Cotação'!$A$9:$G$529,4,0))))</f>
        <v>M</v>
      </c>
      <c r="F346" s="462">
        <v>1.01</v>
      </c>
      <c r="G346" s="453">
        <f>IF(A346="SERVIÇO",VLOOKUP(B346,SERVIÇOS!$A$6:$D$7645,4,0),IF(A346="INSUMO",VLOOKUP(B346,INSUMOS!$A$6:$D$6961,4,0),IF(A346="COTAÇÃO",VLOOKUP(B346,'036-20-Cotação'!$A$9:$G$529,3,0))))</f>
        <v>4.1195000000000004</v>
      </c>
      <c r="H346" s="463">
        <f t="shared" si="39"/>
        <v>4.1606950000000005</v>
      </c>
      <c r="J346" s="201"/>
    </row>
    <row r="347" spans="1:17" s="87" customFormat="1" ht="25.5">
      <c r="A347" s="232" t="s">
        <v>12</v>
      </c>
      <c r="B347" s="531" t="s">
        <v>6610</v>
      </c>
      <c r="C347" s="451" t="str">
        <f>IF(A347="SERVIÇO",VLOOKUP(B347,SERVIÇOS!$A$6:$D$7645,2,0),IF(A347="INSUMO",VLOOKUP(B347,INSUMOS!$A$6:$D$6961,2,0),IF(A347="COTAÇÃO",VLOOKUP(B347,'036-20-Cotação'!$A$9:$G$529,2,0))))</f>
        <v>BÓIA DE ARINQUE POITA AMARELA  D=40CM - REDONDA</v>
      </c>
      <c r="D347" s="452" t="str">
        <f>IF(A347="SERVIÇO",VLOOKUP(B347,SERVIÇOS!$A$6:$E$7645,5,0),IF(A347="INSUMO",VLOOKUP(B347,INSUMOS!$A$6:$E$6961,5,0),IF(A347="COTAÇÃO",VLOOKUP(B347,'036-20-Cotação'!$A$9:$H$529,8,0))))</f>
        <v>MAT.</v>
      </c>
      <c r="E347" s="452" t="str">
        <f>IF(A347="SERVIÇO",VLOOKUP(B347,SERVIÇOS!$A$6:$D$7645,3,0),IF(A347="INSUMO",VLOOKUP(B347,INSUMOS!$A$6:$D$6961,3,0),IF(A347="COTAÇÃO",VLOOKUP(B347,'036-20-Cotação'!$A$9:$G$529,4,0))))</f>
        <v>UN</v>
      </c>
      <c r="F347" s="462">
        <v>1.4999999999999999E-2</v>
      </c>
      <c r="G347" s="453">
        <f>IF(A347="SERVIÇO",VLOOKUP(B347,SERVIÇOS!$A$6:$D$7645,4,0),IF(A347="INSUMO",VLOOKUP(B347,INSUMOS!$A$6:$D$6961,4,0),IF(A347="COTAÇÃO",VLOOKUP(B347,'036-20-Cotação'!$A$9:$G$529,3,0))))</f>
        <v>258.40499185079295</v>
      </c>
      <c r="H347" s="463">
        <f t="shared" si="39"/>
        <v>3.8760748777618943</v>
      </c>
      <c r="J347" s="201"/>
    </row>
    <row r="348" spans="1:17" s="87" customFormat="1" ht="25.5">
      <c r="A348" s="232" t="s">
        <v>12</v>
      </c>
      <c r="B348" s="531" t="s">
        <v>6611</v>
      </c>
      <c r="C348" s="451" t="str">
        <f>IF(A348="SERVIÇO",VLOOKUP(B348,SERVIÇOS!$A$6:$D$7645,2,0),IF(A348="INSUMO",VLOOKUP(B348,INSUMOS!$A$6:$D$6961,2,0),IF(A348="COTAÇÃO",VLOOKUP(B348,'036-20-Cotação'!$A$9:$G$529,2,0))))</f>
        <v>SINALIZAÇÃO LUMINOSA SOLAR  B-60</v>
      </c>
      <c r="D348" s="452" t="str">
        <f>IF(A348="SERVIÇO",VLOOKUP(B348,SERVIÇOS!$A$6:$E$7645,5,0),IF(A348="INSUMO",VLOOKUP(B348,INSUMOS!$A$6:$E$6961,5,0),IF(A348="COTAÇÃO",VLOOKUP(B348,'036-20-Cotação'!$A$9:$H$529,8,0))))</f>
        <v>MAT.</v>
      </c>
      <c r="E348" s="452" t="str">
        <f>IF(A348="SERVIÇO",VLOOKUP(B348,SERVIÇOS!$A$6:$D$7645,3,0),IF(A348="INSUMO",VLOOKUP(B348,INSUMOS!$A$6:$D$6961,3,0),IF(A348="COTAÇÃO",VLOOKUP(B348,'036-20-Cotação'!$A$9:$G$529,4,0))))</f>
        <v>UN</v>
      </c>
      <c r="F348" s="462">
        <v>0.01</v>
      </c>
      <c r="G348" s="453">
        <f>IF(A348="SERVIÇO",VLOOKUP(B348,SERVIÇOS!$A$6:$D$7645,4,0),IF(A348="INSUMO",VLOOKUP(B348,INSUMOS!$A$6:$D$6961,4,0),IF(A348="COTAÇÃO",VLOOKUP(B348,'036-20-Cotação'!$A$9:$G$529,3,0))))</f>
        <v>3462.1652485740451</v>
      </c>
      <c r="H348" s="463">
        <f t="shared" si="39"/>
        <v>34.621652485740455</v>
      </c>
      <c r="J348" s="201"/>
    </row>
    <row r="349" spans="1:17" s="87" customFormat="1" ht="38.25">
      <c r="A349" s="232" t="s">
        <v>4544</v>
      </c>
      <c r="B349" s="531">
        <v>5086</v>
      </c>
      <c r="C349" s="451" t="str">
        <f>IF(A349="SERVIÇO",VLOOKUP(B349,SERVIÇOS!$A$6:$D$7645,2,0),IF(A349="INSUMO",VLOOKUP(B349,INSUMOS!$A$6:$D$6961,2,0),IF(A349="COTAÇÃO",VLOOKUP(B349,'036-20-Cotação'!$A$9:$G$529,2,0))))</f>
        <v xml:space="preserve">CORRENTE DE ELO CURTO COMUM, SOLDADA, GALVANIZADA, ESPESSURA DO ELO = 1/2" (12,5 MM)                                                                                                                                                                                                                                                                                                                                                                                                                      </v>
      </c>
      <c r="D349" s="452" t="str">
        <f>IF(A349="SERVIÇO",VLOOKUP(B349,SERVIÇOS!$A$6:$E$7645,5,0),IF(A349="INSUMO",VLOOKUP(B349,INSUMOS!$A$6:$E$6961,5,0),IF(A349="COTAÇÃO",VLOOKUP(B349,'036-20-Cotação'!$A$9:$H$529,8,0))))</f>
        <v>MAT.</v>
      </c>
      <c r="E349" s="452" t="str">
        <f>IF(A349="SERVIÇO",VLOOKUP(B349,SERVIÇOS!$A$6:$D$7645,3,0),IF(A349="INSUMO",VLOOKUP(B349,INSUMOS!$A$6:$D$6961,3,0),IF(A349="COTAÇÃO",VLOOKUP(B349,'036-20-Cotação'!$A$9:$G$529,4,0))))</f>
        <v xml:space="preserve">KG    </v>
      </c>
      <c r="F349" s="462">
        <v>0.19008</v>
      </c>
      <c r="G349" s="453" t="str">
        <f>IF(A349="SERVIÇO",VLOOKUP(B349,SERVIÇOS!$A$6:$D$7645,4,0),IF(A349="INSUMO",VLOOKUP(B349,INSUMOS!$A$6:$D$6961,4,0),IF(A349="COTAÇÃO",VLOOKUP(B349,'036-20-Cotação'!$A$9:$G$529,3,0))))</f>
        <v>22,45</v>
      </c>
      <c r="H349" s="463">
        <f t="shared" si="39"/>
        <v>4.267296</v>
      </c>
      <c r="J349" s="201"/>
    </row>
    <row r="350" spans="1:17" s="78" customFormat="1" ht="12.75">
      <c r="A350" s="188"/>
      <c r="B350" s="346"/>
      <c r="C350" s="347"/>
      <c r="D350" s="347"/>
      <c r="E350" s="347"/>
      <c r="F350" s="347"/>
      <c r="G350" s="347"/>
      <c r="H350" s="347"/>
      <c r="J350" s="79"/>
      <c r="K350" s="87"/>
      <c r="L350" s="87"/>
      <c r="M350" s="87"/>
      <c r="N350" s="87"/>
      <c r="O350" s="87"/>
      <c r="P350" s="87"/>
      <c r="Q350" s="87"/>
    </row>
    <row r="351" spans="1:17" s="78" customFormat="1" ht="51">
      <c r="A351" s="188"/>
      <c r="B351" s="80" t="s">
        <v>6278</v>
      </c>
      <c r="C351" s="81" t="s">
        <v>6631</v>
      </c>
      <c r="D351" s="82" t="s">
        <v>84</v>
      </c>
      <c r="E351" s="82" t="s">
        <v>90</v>
      </c>
      <c r="F351" s="83"/>
      <c r="G351" s="84"/>
      <c r="H351" s="85">
        <f>SUM(H352:H353)</f>
        <v>3704.5980609138992</v>
      </c>
      <c r="J351" s="79"/>
      <c r="K351" s="87"/>
      <c r="L351" s="87"/>
      <c r="M351" s="87"/>
      <c r="N351" s="87"/>
      <c r="O351" s="87"/>
      <c r="P351" s="87"/>
      <c r="Q351" s="87"/>
    </row>
    <row r="352" spans="1:17" s="87" customFormat="1" ht="12.75">
      <c r="A352" s="232" t="s">
        <v>4542</v>
      </c>
      <c r="B352" s="531" t="s">
        <v>8739</v>
      </c>
      <c r="C352" s="451" t="str">
        <f>IF(A352="SERVIÇO",VLOOKUP(B352,SERVIÇOS!$A$6:$D$7645,2,0),IF(A352="INSUMO",VLOOKUP(B352,INSUMOS!$A$6:$D$6961,2,0),IF(A352="COTAÇÃO",VLOOKUP(B352,'036-20-Cotação'!$A$9:$G$529,2,0))))</f>
        <v>REBOCADOR - 360 HP</v>
      </c>
      <c r="D352" s="452" t="str">
        <f>IF(A352="SERVIÇO",VLOOKUP(B352,SERVIÇOS!$A$6:$E$7645,5,0),IF(A352="INSUMO",VLOOKUP(B352,INSUMOS!$A$6:$E$6961,5,0),IF(A352="COTAÇÃO",VLOOKUP(B352,'036-20-Cotação'!$A$9:$H$529,8,0))))</f>
        <v>EQUIP.</v>
      </c>
      <c r="E352" s="452" t="str">
        <f>IF(A352="SERVIÇO",VLOOKUP(B352,SERVIÇOS!$A$6:$D$7645,3,0),IF(A352="INSUMO",VLOOKUP(B352,INSUMOS!$A$6:$D$6961,3,0),IF(A352="COTAÇÃO",VLOOKUP(B352,'036-20-Cotação'!$A$9:$G$529,4,0))))</f>
        <v>CHP</v>
      </c>
      <c r="F352" s="462">
        <v>0.1</v>
      </c>
      <c r="G352" s="453">
        <f>IF(A352="SERVIÇO",VLOOKUP(B352,SERVIÇOS!$A$6:$D$7645,4,0),IF(A352="INSUMO",VLOOKUP(B352,INSUMOS!$A$6:$D$6961,4,0),IF(A352="COTAÇÃO",VLOOKUP(B352,'036-20-Cotação'!$A$9:$G$529,3,0))))</f>
        <v>339.82830000000001</v>
      </c>
      <c r="H352" s="463">
        <f t="shared" ref="H352:H353" si="40">G352*F352</f>
        <v>33.98283</v>
      </c>
      <c r="J352" s="201"/>
    </row>
    <row r="353" spans="1:17" s="87" customFormat="1" ht="51">
      <c r="A353" s="232" t="s">
        <v>12</v>
      </c>
      <c r="B353" s="531" t="s">
        <v>6514</v>
      </c>
      <c r="C353" s="451" t="str">
        <f>IF(A353="SERVIÇO",VLOOKUP(B353,SERVIÇOS!$A$6:$D$7645,2,0),IF(A353="INSUMO",VLOOKUP(B353,INSUMOS!$A$6:$D$6961,2,0),IF(A353="COTAÇÃO",VLOOKUP(B353,'036-20-Cotação'!$A$9:$G$529,2,0))))</f>
        <v>SINALIZAÇÃO DE BALIZAMENTO TIPO P-60, EM POLIETILENO PIGMENTADO, CONFORME NORMAN 17, COM POITA COM ILUMINAÇÃO SOLAR.</v>
      </c>
      <c r="D353" s="452" t="str">
        <f>IF(A353="SERVIÇO",VLOOKUP(B353,SERVIÇOS!$A$6:$E$7645,5,0),IF(A353="INSUMO",VLOOKUP(B353,INSUMOS!$A$6:$E$6961,5,0),IF(A353="COTAÇÃO",VLOOKUP(B353,'036-20-Cotação'!$A$9:$H$529,8,0))))</f>
        <v>MAT.</v>
      </c>
      <c r="E353" s="452" t="str">
        <f>IF(A353="SERVIÇO",VLOOKUP(B353,SERVIÇOS!$A$6:$D$7645,3,0),IF(A353="INSUMO",VLOOKUP(B353,INSUMOS!$A$6:$D$6961,3,0),IF(A353="COTAÇÃO",VLOOKUP(B353,'036-20-Cotação'!$A$9:$G$529,4,0))))</f>
        <v>UN</v>
      </c>
      <c r="F353" s="462">
        <v>1</v>
      </c>
      <c r="G353" s="453">
        <f>IF(A353="SERVIÇO",VLOOKUP(B353,SERVIÇOS!$A$6:$D$7645,4,0),IF(A353="INSUMO",VLOOKUP(B353,INSUMOS!$A$6:$D$6961,4,0),IF(A353="COTAÇÃO",VLOOKUP(B353,'036-20-Cotação'!$A$9:$G$529,3,0))))</f>
        <v>3670.6152309138993</v>
      </c>
      <c r="H353" s="463">
        <f t="shared" si="40"/>
        <v>3670.6152309138993</v>
      </c>
      <c r="J353" s="201"/>
    </row>
    <row r="354" spans="1:17" s="78" customFormat="1" ht="12.75">
      <c r="A354" s="188"/>
      <c r="B354" s="346"/>
      <c r="C354" s="347"/>
      <c r="D354" s="347"/>
      <c r="E354" s="347"/>
      <c r="F354" s="347"/>
      <c r="G354" s="347"/>
      <c r="H354" s="347"/>
      <c r="J354" s="79"/>
      <c r="K354" s="87"/>
      <c r="L354" s="87"/>
      <c r="M354" s="87"/>
      <c r="N354" s="87"/>
      <c r="O354" s="87"/>
      <c r="P354" s="87"/>
      <c r="Q354" s="87"/>
    </row>
    <row r="355" spans="1:17" s="78" customFormat="1" ht="38.25">
      <c r="A355" s="188"/>
      <c r="B355" s="80" t="s">
        <v>6279</v>
      </c>
      <c r="C355" s="81" t="s">
        <v>6636</v>
      </c>
      <c r="D355" s="82" t="s">
        <v>84</v>
      </c>
      <c r="E355" s="82" t="s">
        <v>150</v>
      </c>
      <c r="F355" s="83"/>
      <c r="G355" s="84"/>
      <c r="H355" s="85">
        <f>SUM(H356:H361)</f>
        <v>116.9858</v>
      </c>
      <c r="J355" s="79"/>
      <c r="K355" s="87"/>
      <c r="L355" s="87"/>
      <c r="M355" s="87"/>
      <c r="N355" s="87"/>
      <c r="O355" s="87"/>
      <c r="P355" s="87"/>
      <c r="Q355" s="87"/>
    </row>
    <row r="356" spans="1:17" s="87" customFormat="1" ht="25.5">
      <c r="A356" s="232" t="s">
        <v>4544</v>
      </c>
      <c r="B356" s="464">
        <v>333</v>
      </c>
      <c r="C356" s="451" t="str">
        <f>IF(A356="SERVIÇO",VLOOKUP(B356,SERVIÇOS!$A$6:$D$7645,2,0),IF(A356="INSUMO",VLOOKUP(B356,INSUMOS!$A$6:$D$6961,2,0),IF(A356="COTAÇÃO",VLOOKUP(B356,'036-20-Cotação'!$A$9:$G$529,2,0))))</f>
        <v xml:space="preserve">ARAME GALVANIZADO 14 BWG, D = 2,11 MM (0,026 KG/M)                                                                                                                                                                                                                                                                                                                                                                                                                                                        </v>
      </c>
      <c r="D356" s="452" t="str">
        <f>IF(A356="SERVIÇO",VLOOKUP(B356,SERVIÇOS!$A$6:$E$7645,5,0),IF(A356="INSUMO",VLOOKUP(B356,INSUMOS!$A$6:$E$6961,5,0),IF(A356="COTAÇÃO",VLOOKUP(B356,'036-20-Cotação'!$A$9:$H$529,8,0))))</f>
        <v>MAT.</v>
      </c>
      <c r="E356" s="452" t="str">
        <f>IF(A356="SERVIÇO",VLOOKUP(B356,SERVIÇOS!$A$6:$D$7645,3,0),IF(A356="INSUMO",VLOOKUP(B356,INSUMOS!$A$6:$D$6961,3,0),IF(A356="COTAÇÃO",VLOOKUP(B356,'036-20-Cotação'!$A$9:$G$529,4,0))))</f>
        <v xml:space="preserve">KG    </v>
      </c>
      <c r="F356" s="462" t="s">
        <v>6637</v>
      </c>
      <c r="G356" s="453" t="str">
        <f>IF(A356="SERVIÇO",VLOOKUP(B356,SERVIÇOS!$A$6:$D$7645,4,0),IF(A356="INSUMO",VLOOKUP(B356,INSUMOS!$A$6:$D$6961,4,0),IF(A356="COTAÇÃO",VLOOKUP(B356,'036-20-Cotação'!$A$9:$G$529,3,0))))</f>
        <v>13,45</v>
      </c>
      <c r="H356" s="463">
        <f t="shared" ref="H356:H361" si="41">G356*F356</f>
        <v>0.9415</v>
      </c>
      <c r="J356" s="201"/>
    </row>
    <row r="357" spans="1:17" s="87" customFormat="1" ht="38.25">
      <c r="A357" s="232" t="s">
        <v>4544</v>
      </c>
      <c r="B357" s="464">
        <v>43130</v>
      </c>
      <c r="C357" s="451" t="str">
        <f>IF(A357="SERVIÇO",VLOOKUP(B357,SERVIÇOS!$A$6:$D$7645,2,0),IF(A357="INSUMO",VLOOKUP(B357,INSUMOS!$A$6:$D$6961,2,0),IF(A357="COTAÇÃO",VLOOKUP(B357,'036-20-Cotação'!$A$9:$G$529,2,0))))</f>
        <v xml:space="preserve">ARAME GALVANIZADO 12 BWG, D = 2,76 MM (0,048 KG/M) OU 14 BWG, D = 2,11 MM (0,026 KG/M)                                                                                                                                                                                                                                                                                                                                                                                                                    </v>
      </c>
      <c r="D357" s="452" t="str">
        <f>IF(A357="SERVIÇO",VLOOKUP(B357,SERVIÇOS!$A$6:$E$7645,5,0),IF(A357="INSUMO",VLOOKUP(B357,INSUMOS!$A$6:$E$6961,5,0),IF(A357="COTAÇÃO",VLOOKUP(B357,'036-20-Cotação'!$A$9:$H$529,8,0))))</f>
        <v>MAT.</v>
      </c>
      <c r="E357" s="452" t="str">
        <f>IF(A357="SERVIÇO",VLOOKUP(B357,SERVIÇOS!$A$6:$D$7645,3,0),IF(A357="INSUMO",VLOOKUP(B357,INSUMOS!$A$6:$D$6961,3,0),IF(A357="COTAÇÃO",VLOOKUP(B357,'036-20-Cotação'!$A$9:$G$529,4,0))))</f>
        <v xml:space="preserve">KG    </v>
      </c>
      <c r="F357" s="462" t="s">
        <v>6495</v>
      </c>
      <c r="G357" s="453" t="str">
        <f>IF(A357="SERVIÇO",VLOOKUP(B357,SERVIÇOS!$A$6:$D$7645,4,0),IF(A357="INSUMO",VLOOKUP(B357,INSUMOS!$A$6:$D$6961,4,0),IF(A357="COTAÇÃO",VLOOKUP(B357,'036-20-Cotação'!$A$9:$G$529,3,0))))</f>
        <v>13,45</v>
      </c>
      <c r="H357" s="463">
        <f t="shared" si="41"/>
        <v>2.0174999999999996</v>
      </c>
      <c r="J357" s="201"/>
    </row>
    <row r="358" spans="1:17" s="87" customFormat="1" ht="25.5">
      <c r="A358" s="232" t="s">
        <v>4544</v>
      </c>
      <c r="B358" s="531">
        <v>10931</v>
      </c>
      <c r="C358" s="451" t="str">
        <f>IF(A358="SERVIÇO",VLOOKUP(B358,SERVIÇOS!$A$6:$D$7645,2,0),IF(A358="INSUMO",VLOOKUP(B358,INSUMOS!$A$6:$D$6961,2,0),IF(A358="COTAÇÃO",VLOOKUP(B358,'036-20-Cotação'!$A$9:$G$529,2,0))))</f>
        <v xml:space="preserve">TELA DE ARAME GALVANIZADA, HEXAGONAL, FIO 0,56 MM (24 BWG), MALHA 1/2", H = 1 M                                                                                                                                                                                                                                                                                                                                                                                                                           </v>
      </c>
      <c r="D358" s="452" t="str">
        <f>IF(A358="SERVIÇO",VLOOKUP(B358,SERVIÇOS!$A$6:$E$7645,5,0),IF(A358="INSUMO",VLOOKUP(B358,INSUMOS!$A$6:$E$6961,5,0),IF(A358="COTAÇÃO",VLOOKUP(B358,'036-20-Cotação'!$A$9:$H$529,8,0))))</f>
        <v>MAT.</v>
      </c>
      <c r="E358" s="452" t="str">
        <f>IF(A358="SERVIÇO",VLOOKUP(B358,SERVIÇOS!$A$6:$D$7645,3,0),IF(A358="INSUMO",VLOOKUP(B358,INSUMOS!$A$6:$D$6961,3,0),IF(A358="COTAÇÃO",VLOOKUP(B358,'036-20-Cotação'!$A$9:$G$529,4,0))))</f>
        <v xml:space="preserve">M2    </v>
      </c>
      <c r="F358" s="462" t="s">
        <v>6638</v>
      </c>
      <c r="G358" s="453" t="str">
        <f>IF(A358="SERVIÇO",VLOOKUP(B358,SERVIÇOS!$A$6:$D$7645,4,0),IF(A358="INSUMO",VLOOKUP(B358,INSUMOS!$A$6:$D$6961,4,0),IF(A358="COTAÇÃO",VLOOKUP(B358,'036-20-Cotação'!$A$9:$G$529,3,0))))</f>
        <v>6,89</v>
      </c>
      <c r="H358" s="463">
        <f t="shared" si="41"/>
        <v>7.2344999999999997</v>
      </c>
      <c r="J358" s="201"/>
    </row>
    <row r="359" spans="1:17" s="87" customFormat="1" ht="38.25">
      <c r="A359" s="232" t="s">
        <v>4544</v>
      </c>
      <c r="B359" s="464">
        <v>7696</v>
      </c>
      <c r="C359" s="451" t="str">
        <f>IF(A359="SERVIÇO",VLOOKUP(B359,SERVIÇOS!$A$6:$D$7645,2,0),IF(A359="INSUMO",VLOOKUP(B359,INSUMOS!$A$6:$D$6961,2,0),IF(A359="COTAÇÃO",VLOOKUP(B359,'036-20-Cotação'!$A$9:$G$529,2,0))))</f>
        <v xml:space="preserve">TUBO ACO GALVANIZADO COM COSTURA, CLASSE MEDIA, DN 2", E = *3,65* MM, PESO *5,10* KG/M (NBR 5580)                                                                                                                                                                                                                                                                                                                                                                                                         </v>
      </c>
      <c r="D359" s="452" t="str">
        <f>IF(A359="SERVIÇO",VLOOKUP(B359,SERVIÇOS!$A$6:$E$7645,5,0),IF(A359="INSUMO",VLOOKUP(B359,INSUMOS!$A$6:$E$6961,5,0),IF(A359="COTAÇÃO",VLOOKUP(B359,'036-20-Cotação'!$A$9:$H$529,8,0))))</f>
        <v>MAT.</v>
      </c>
      <c r="E359" s="452" t="str">
        <f>IF(A359="SERVIÇO",VLOOKUP(B359,SERVIÇOS!$A$6:$D$7645,3,0),IF(A359="INSUMO",VLOOKUP(B359,INSUMOS!$A$6:$D$6961,3,0),IF(A359="COTAÇÃO",VLOOKUP(B359,'036-20-Cotação'!$A$9:$G$529,4,0))))</f>
        <v xml:space="preserve">M     </v>
      </c>
      <c r="F359" s="462" t="s">
        <v>6639</v>
      </c>
      <c r="G359" s="453" t="str">
        <f>IF(A359="SERVIÇO",VLOOKUP(B359,SERVIÇOS!$A$6:$D$7645,4,0),IF(A359="INSUMO",VLOOKUP(B359,INSUMOS!$A$6:$D$6961,4,0),IF(A359="COTAÇÃO",VLOOKUP(B359,'036-20-Cotação'!$A$9:$G$529,3,0))))</f>
        <v>47,61</v>
      </c>
      <c r="H359" s="463">
        <f t="shared" si="41"/>
        <v>79.984799999999993</v>
      </c>
      <c r="J359" s="201"/>
    </row>
    <row r="360" spans="1:17" s="87" customFormat="1" ht="25.5">
      <c r="A360" s="232" t="s">
        <v>4542</v>
      </c>
      <c r="B360" s="464">
        <v>88315</v>
      </c>
      <c r="C360" s="451" t="str">
        <f>IF(A360="SERVIÇO",VLOOKUP(B360,SERVIÇOS!$A$6:$D$7645,2,0),IF(A360="INSUMO",VLOOKUP(B360,INSUMOS!$A$6:$D$6961,2,0),IF(A360="COTAÇÃO",VLOOKUP(B360,'036-20-Cotação'!$A$9:$G$529,2,0))))</f>
        <v>SERRALHEIRO COM ENCARGOS COMPLEMENTARES</v>
      </c>
      <c r="D360" s="452" t="str">
        <f>IF(A360="SERVIÇO",VLOOKUP(B360,SERVIÇOS!$A$6:$E$7645,5,0),IF(A360="INSUMO",VLOOKUP(B360,INSUMOS!$A$6:$E$6961,5,0),IF(A360="COTAÇÃO",VLOOKUP(B360,'036-20-Cotação'!$A$9:$H$529,8,0))))</f>
        <v>M.O</v>
      </c>
      <c r="E360" s="452" t="str">
        <f>IF(A360="SERVIÇO",VLOOKUP(B360,SERVIÇOS!$A$6:$D$7645,3,0),IF(A360="INSUMO",VLOOKUP(B360,INSUMOS!$A$6:$D$6961,3,0),IF(A360="COTAÇÃO",VLOOKUP(B360,'036-20-Cotação'!$A$9:$G$529,4,0))))</f>
        <v>H</v>
      </c>
      <c r="F360" s="462" t="s">
        <v>6640</v>
      </c>
      <c r="G360" s="453" t="str">
        <f>IF(A360="SERVIÇO",VLOOKUP(B360,SERVIÇOS!$A$6:$D$7645,4,0),IF(A360="INSUMO",VLOOKUP(B360,INSUMOS!$A$6:$D$6961,4,0),IF(A360="COTAÇÃO",VLOOKUP(B360,'036-20-Cotação'!$A$9:$G$529,3,0))))</f>
        <v>22,34</v>
      </c>
      <c r="H360" s="463">
        <f t="shared" si="41"/>
        <v>11.17</v>
      </c>
      <c r="J360" s="201"/>
    </row>
    <row r="361" spans="1:17" s="87" customFormat="1" ht="12.75">
      <c r="A361" s="232" t="s">
        <v>4542</v>
      </c>
      <c r="B361" s="531" t="s">
        <v>6602</v>
      </c>
      <c r="C361" s="451" t="str">
        <f>IF(A361="SERVIÇO",VLOOKUP(B361,SERVIÇOS!$A$6:$D$7645,2,0),IF(A361="INSUMO",VLOOKUP(B361,INSUMOS!$A$6:$D$6961,2,0),IF(A361="COTAÇÃO",VLOOKUP(B361,'036-20-Cotação'!$A$9:$G$529,2,0))))</f>
        <v>SERVENTE</v>
      </c>
      <c r="D361" s="452" t="str">
        <f>IF(A361="SERVIÇO",VLOOKUP(B361,SERVIÇOS!$A$6:$E$7645,5,0),IF(A361="INSUMO",VLOOKUP(B361,INSUMOS!$A$6:$E$6961,5,0),IF(A361="COTAÇÃO",VLOOKUP(B361,'036-20-Cotação'!$A$9:$H$529,8,0))))</f>
        <v>M.O</v>
      </c>
      <c r="E361" s="452" t="str">
        <f>IF(A361="SERVIÇO",VLOOKUP(B361,SERVIÇOS!$A$6:$D$7645,3,0),IF(A361="INSUMO",VLOOKUP(B361,INSUMOS!$A$6:$D$6961,3,0),IF(A361="COTAÇÃO",VLOOKUP(B361,'036-20-Cotação'!$A$9:$G$529,4,0))))</f>
        <v>H</v>
      </c>
      <c r="F361" s="462" t="s">
        <v>6488</v>
      </c>
      <c r="G361" s="453">
        <f>IF(A361="SERVIÇO",VLOOKUP(B361,SERVIÇOS!$A$6:$D$7645,4,0),IF(A361="INSUMO",VLOOKUP(B361,INSUMOS!$A$6:$D$6961,4,0),IF(A361="COTAÇÃO",VLOOKUP(B361,'036-20-Cotação'!$A$9:$G$529,3,0))))</f>
        <v>15.637499999999999</v>
      </c>
      <c r="H361" s="463">
        <f t="shared" si="41"/>
        <v>15.637499999999999</v>
      </c>
      <c r="J361" s="201"/>
    </row>
    <row r="362" spans="1:17" s="87" customFormat="1" ht="12.75">
      <c r="A362" s="188"/>
      <c r="B362" s="348" t="s">
        <v>123</v>
      </c>
      <c r="C362" s="695" t="s">
        <v>6641</v>
      </c>
      <c r="D362" s="696"/>
      <c r="E362" s="696"/>
      <c r="F362" s="696"/>
      <c r="G362" s="696"/>
      <c r="H362" s="697"/>
      <c r="J362" s="201"/>
    </row>
    <row r="363" spans="1:17" s="78" customFormat="1" ht="12.75">
      <c r="A363" s="188"/>
      <c r="B363" s="346"/>
      <c r="C363" s="347"/>
      <c r="D363" s="347"/>
      <c r="E363" s="347"/>
      <c r="F363" s="347"/>
      <c r="G363" s="347"/>
      <c r="H363" s="347"/>
      <c r="J363" s="79"/>
      <c r="K363" s="87"/>
      <c r="L363" s="87"/>
      <c r="M363" s="87"/>
      <c r="N363" s="87"/>
      <c r="O363" s="87"/>
      <c r="P363" s="87"/>
      <c r="Q363" s="87"/>
    </row>
    <row r="364" spans="1:17" s="78" customFormat="1" ht="51">
      <c r="A364" s="188"/>
      <c r="B364" s="80" t="s">
        <v>6335</v>
      </c>
      <c r="C364" s="81" t="s">
        <v>6669</v>
      </c>
      <c r="D364" s="82" t="s">
        <v>84</v>
      </c>
      <c r="E364" s="82" t="s">
        <v>172</v>
      </c>
      <c r="F364" s="83"/>
      <c r="G364" s="84"/>
      <c r="H364" s="85">
        <f>SUM(H365:H367)</f>
        <v>5.5829336918396422</v>
      </c>
      <c r="J364" s="79"/>
      <c r="K364" s="87"/>
      <c r="L364" s="87"/>
      <c r="M364" s="87"/>
      <c r="N364" s="87"/>
      <c r="O364" s="87"/>
      <c r="P364" s="87"/>
      <c r="Q364" s="87"/>
    </row>
    <row r="365" spans="1:17" s="87" customFormat="1" ht="12.75">
      <c r="A365" s="232" t="s">
        <v>4542</v>
      </c>
      <c r="B365" s="531" t="s">
        <v>6602</v>
      </c>
      <c r="C365" s="451" t="str">
        <f>IF(A365="SERVIÇO",VLOOKUP(B365,SERVIÇOS!$A$6:$D$7645,2,0),IF(A365="INSUMO",VLOOKUP(B365,INSUMOS!$A$6:$D$6961,2,0),IF(A365="COTAÇÃO",VLOOKUP(B365,'036-20-Cotação'!$A$9:$G$529,2,0))))</f>
        <v>SERVENTE</v>
      </c>
      <c r="D365" s="452" t="str">
        <f>IF(A365="SERVIÇO",VLOOKUP(B365,SERVIÇOS!$A$6:$E$7645,5,0),IF(A365="INSUMO",VLOOKUP(B365,INSUMOS!$A$6:$E$6961,5,0),IF(A365="COTAÇÃO",VLOOKUP(B365,'036-20-Cotação'!$A$9:$H$529,8,0))))</f>
        <v>M.O</v>
      </c>
      <c r="E365" s="452" t="str">
        <f>IF(A365="SERVIÇO",VLOOKUP(B365,SERVIÇOS!$A$6:$D$7645,3,0),IF(A365="INSUMO",VLOOKUP(B365,INSUMOS!$A$6:$D$6961,3,0),IF(A365="COTAÇÃO",VLOOKUP(B365,'036-20-Cotação'!$A$9:$G$529,4,0))))</f>
        <v>H</v>
      </c>
      <c r="F365" s="462">
        <v>0.15</v>
      </c>
      <c r="G365" s="453">
        <f>IF(A365="SERVIÇO",VLOOKUP(B365,SERVIÇOS!$A$6:$D$7645,4,0),IF(A365="INSUMO",VLOOKUP(B365,INSUMOS!$A$6:$D$6961,4,0),IF(A365="COTAÇÃO",VLOOKUP(B365,'036-20-Cotação'!$A$9:$G$529,3,0))))</f>
        <v>15.637499999999999</v>
      </c>
      <c r="H365" s="463">
        <f t="shared" ref="H365:H367" si="42">G365*F365</f>
        <v>2.3456249999999996</v>
      </c>
      <c r="J365" s="201"/>
    </row>
    <row r="366" spans="1:17" s="87" customFormat="1" ht="38.25">
      <c r="A366" s="232" t="s">
        <v>4542</v>
      </c>
      <c r="B366" s="464">
        <v>4016007</v>
      </c>
      <c r="C366" s="451" t="str">
        <f>'036-20-CCA''s'!$C$157</f>
        <v>ESCAVAÇÃO E CARGA DE MATERIAL DE JAZIDA COM TRATOR DE 74,5 KW E CARREGADEIRA DE 1,53 M³</v>
      </c>
      <c r="D366" s="452" t="str">
        <f>'036-20-CCA''s'!$D$157</f>
        <v>SER.CG</v>
      </c>
      <c r="E366" s="452" t="str">
        <f>'036-20-CCA''s'!$E$157</f>
        <v>M3</v>
      </c>
      <c r="F366" s="462">
        <v>1</v>
      </c>
      <c r="G366" s="453">
        <f>'036-20-CCA''s'!$H$157</f>
        <v>2.7068608206151894</v>
      </c>
      <c r="H366" s="463">
        <f t="shared" si="42"/>
        <v>2.7068608206151894</v>
      </c>
      <c r="J366" s="201"/>
    </row>
    <row r="367" spans="1:17" s="87" customFormat="1" ht="25.5">
      <c r="A367" s="232" t="s">
        <v>4542</v>
      </c>
      <c r="B367" s="464">
        <v>5915321</v>
      </c>
      <c r="C367" s="451" t="str">
        <f>'036-20-CCA''s'!$C$164</f>
        <v>TRANSPORTE COM CAMINHÃO BASCULANTE DE 14 M³ - RODOVIA PAVIMENTADA</v>
      </c>
      <c r="D367" s="452" t="str">
        <f>'036-20-CCA''s'!$D$164</f>
        <v xml:space="preserve">SER.CG </v>
      </c>
      <c r="E367" s="452" t="str">
        <f>'036-20-CCA''s'!$E$164</f>
        <v>T.KM</v>
      </c>
      <c r="F367" s="462">
        <f>1.4*1.3</f>
        <v>1.8199999999999998</v>
      </c>
      <c r="G367" s="453">
        <f>'036-20-CCA''s'!$H$164</f>
        <v>0.29145487429914996</v>
      </c>
      <c r="H367" s="463">
        <f t="shared" si="42"/>
        <v>0.53044787122445292</v>
      </c>
      <c r="J367" s="201" t="s">
        <v>6708</v>
      </c>
    </row>
    <row r="368" spans="1:17" s="87" customFormat="1" ht="12.75">
      <c r="A368" s="188"/>
      <c r="B368" s="348" t="s">
        <v>123</v>
      </c>
      <c r="C368" s="695" t="s">
        <v>6685</v>
      </c>
      <c r="D368" s="696"/>
      <c r="E368" s="696"/>
      <c r="F368" s="696"/>
      <c r="G368" s="696"/>
      <c r="H368" s="697"/>
      <c r="J368" s="201"/>
    </row>
    <row r="369" spans="1:17" s="78" customFormat="1" ht="12.75">
      <c r="A369" s="188"/>
      <c r="B369" s="346"/>
      <c r="C369" s="347"/>
      <c r="D369" s="347"/>
      <c r="E369" s="347"/>
      <c r="F369" s="347"/>
      <c r="G369" s="347"/>
      <c r="H369" s="347"/>
      <c r="J369" s="79"/>
      <c r="K369" s="87"/>
      <c r="L369" s="87"/>
      <c r="M369" s="87"/>
      <c r="N369" s="87"/>
      <c r="O369" s="87"/>
      <c r="P369" s="87"/>
      <c r="Q369" s="87"/>
    </row>
    <row r="370" spans="1:17" s="78" customFormat="1" ht="25.5">
      <c r="A370" s="188"/>
      <c r="B370" s="80" t="s">
        <v>6676</v>
      </c>
      <c r="C370" s="81" t="s">
        <v>6677</v>
      </c>
      <c r="D370" s="82" t="s">
        <v>84</v>
      </c>
      <c r="E370" s="82" t="s">
        <v>5</v>
      </c>
      <c r="F370" s="83"/>
      <c r="G370" s="84"/>
      <c r="H370" s="85">
        <f>SUM(H371:H373)</f>
        <v>0.9627155645311356</v>
      </c>
      <c r="J370" s="79"/>
      <c r="K370" s="87"/>
      <c r="L370" s="87"/>
      <c r="M370" s="87"/>
      <c r="N370" s="87"/>
      <c r="O370" s="87"/>
      <c r="P370" s="87"/>
      <c r="Q370" s="87"/>
    </row>
    <row r="371" spans="1:17" s="87" customFormat="1" ht="51">
      <c r="A371" s="232" t="s">
        <v>4542</v>
      </c>
      <c r="B371" s="531">
        <v>97662</v>
      </c>
      <c r="C371" s="451" t="str">
        <f>IF(A371="SERVIÇO",VLOOKUP(B371,SERVIÇOS!$A$6:$D$7645,2,0),IF(A371="INSUMO",VLOOKUP(B371,INSUMOS!$A$6:$D$6961,2,0),IF(A371="COTAÇÃO",VLOOKUP(B371,'036-20-Cotação'!$A$9:$G$529,2,0))))</f>
        <v>REMOÇÃO DE TUBULAÇÕES (TUBOS E CONEXÕES) DE ÁGUA FRIA, DE FORMA MANUAL, SEM REAPROVEITAMENTO. AF_12/2017</v>
      </c>
      <c r="D371" s="452" t="str">
        <f>IF(A371="SERVIÇO",VLOOKUP(B371,SERVIÇOS!$A$6:$E$7645,5,0),IF(A371="INSUMO",VLOOKUP(B371,INSUMOS!$A$6:$E$6961,5,0),IF(A371="COTAÇÃO",VLOOKUP(B371,'036-20-Cotação'!$A$9:$H$529,8,0))))</f>
        <v>SER.CG</v>
      </c>
      <c r="E371" s="452" t="str">
        <f>IF(A371="SERVIÇO",VLOOKUP(B371,SERVIÇOS!$A$6:$D$7645,3,0),IF(A371="INSUMO",VLOOKUP(B371,INSUMOS!$A$6:$D$6961,3,0),IF(A371="COTAÇÃO",VLOOKUP(B371,'036-20-Cotação'!$A$9:$G$529,4,0))))</f>
        <v>M</v>
      </c>
      <c r="F371" s="462">
        <v>1</v>
      </c>
      <c r="G371" s="453" t="str">
        <f>IF(A371="SERVIÇO",VLOOKUP(B371,SERVIÇOS!$A$6:$D$7645,4,0),IF(A371="INSUMO",VLOOKUP(B371,INSUMOS!$A$6:$D$6961,4,0),IF(A371="COTAÇÃO",VLOOKUP(B371,'036-20-Cotação'!$A$9:$G$529,3,0))))</f>
        <v>0,38</v>
      </c>
      <c r="H371" s="463">
        <f t="shared" ref="H371:H373" si="43">G371*F371</f>
        <v>0.38</v>
      </c>
      <c r="J371" s="201"/>
    </row>
    <row r="372" spans="1:17" s="87" customFormat="1" ht="38.25">
      <c r="A372" s="232" t="s">
        <v>4542</v>
      </c>
      <c r="B372" s="464">
        <v>4016007</v>
      </c>
      <c r="C372" s="451" t="str">
        <f>'036-20-CCA''s'!$C$157</f>
        <v>ESCAVAÇÃO E CARGA DE MATERIAL DE JAZIDA COM TRATOR DE 74,5 KW E CARREGADEIRA DE 1,53 M³</v>
      </c>
      <c r="D372" s="452" t="str">
        <f>'036-20-CCA''s'!$D$157</f>
        <v>SER.CG</v>
      </c>
      <c r="E372" s="452" t="str">
        <f>'036-20-CCA''s'!$E$157</f>
        <v>M3</v>
      </c>
      <c r="F372" s="462">
        <f>0.6*0.3</f>
        <v>0.18</v>
      </c>
      <c r="G372" s="453">
        <f>'036-20-CCA''s'!$H$157</f>
        <v>2.7068608206151894</v>
      </c>
      <c r="H372" s="463">
        <f t="shared" si="43"/>
        <v>0.48723494771073406</v>
      </c>
      <c r="J372" s="201"/>
      <c r="K372" s="462"/>
    </row>
    <row r="373" spans="1:17" s="87" customFormat="1" ht="25.5">
      <c r="A373" s="232" t="s">
        <v>4542</v>
      </c>
      <c r="B373" s="464">
        <v>5915321</v>
      </c>
      <c r="C373" s="451" t="str">
        <f>'036-20-CCA''s'!$C$164</f>
        <v>TRANSPORTE COM CAMINHÃO BASCULANTE DE 14 M³ - RODOVIA PAVIMENTADA</v>
      </c>
      <c r="D373" s="452" t="str">
        <f>'036-20-CCA''s'!$D$164</f>
        <v xml:space="preserve">SER.CG </v>
      </c>
      <c r="E373" s="452" t="str">
        <f>'036-20-CCA''s'!$E$164</f>
        <v>T.KM</v>
      </c>
      <c r="F373" s="462">
        <f>1.4*F372*1.3</f>
        <v>0.3276</v>
      </c>
      <c r="G373" s="453">
        <f>'036-20-CCA''s'!$H$164</f>
        <v>0.29145487429914996</v>
      </c>
      <c r="H373" s="463">
        <f t="shared" si="43"/>
        <v>9.5480616820401529E-2</v>
      </c>
      <c r="J373" s="201" t="s">
        <v>6708</v>
      </c>
    </row>
    <row r="374" spans="1:17" s="87" customFormat="1" ht="12.75">
      <c r="A374" s="188"/>
      <c r="B374" s="348" t="s">
        <v>123</v>
      </c>
      <c r="C374" s="695" t="s">
        <v>6685</v>
      </c>
      <c r="D374" s="696"/>
      <c r="E374" s="696"/>
      <c r="F374" s="696"/>
      <c r="G374" s="696"/>
      <c r="H374" s="697"/>
      <c r="J374" s="201"/>
    </row>
    <row r="375" spans="1:17" s="78" customFormat="1" ht="12.75">
      <c r="A375" s="188"/>
      <c r="B375" s="346"/>
      <c r="C375" s="347"/>
      <c r="D375" s="347"/>
      <c r="E375" s="347"/>
      <c r="F375" s="347"/>
      <c r="G375" s="347"/>
      <c r="H375" s="347"/>
      <c r="J375" s="79"/>
      <c r="K375" s="87"/>
      <c r="L375" s="87"/>
      <c r="M375" s="87"/>
      <c r="N375" s="87"/>
      <c r="O375" s="87"/>
      <c r="P375" s="87"/>
      <c r="Q375" s="87"/>
    </row>
    <row r="376" spans="1:17" s="78" customFormat="1" ht="38.25">
      <c r="A376" s="188"/>
      <c r="B376" s="80" t="s">
        <v>6681</v>
      </c>
      <c r="C376" s="81" t="s">
        <v>6682</v>
      </c>
      <c r="D376" s="82" t="s">
        <v>84</v>
      </c>
      <c r="E376" s="82" t="s">
        <v>4521</v>
      </c>
      <c r="F376" s="83"/>
      <c r="G376" s="84"/>
      <c r="H376" s="85">
        <f>SUM(H377:H378)</f>
        <v>169.52112</v>
      </c>
      <c r="J376" s="79"/>
      <c r="K376" s="87"/>
      <c r="L376" s="87"/>
      <c r="M376" s="87"/>
      <c r="N376" s="87"/>
      <c r="O376" s="87"/>
      <c r="P376" s="87"/>
      <c r="Q376" s="87"/>
    </row>
    <row r="377" spans="1:17" s="87" customFormat="1" ht="12.75">
      <c r="A377" s="232" t="s">
        <v>4542</v>
      </c>
      <c r="B377" s="531" t="s">
        <v>6602</v>
      </c>
      <c r="C377" s="451" t="str">
        <f>IF(A377="SERVIÇO",VLOOKUP(B377,SERVIÇOS!$A$6:$D$7645,2,0),IF(A377="INSUMO",VLOOKUP(B377,INSUMOS!$A$6:$D$6961,2,0),IF(A377="COTAÇÃO",VLOOKUP(B377,'036-20-Cotação'!$A$9:$G$529,2,0))))</f>
        <v>SERVENTE</v>
      </c>
      <c r="D377" s="452" t="str">
        <f>IF(A377="SERVIÇO",VLOOKUP(B377,SERVIÇOS!$A$6:$E$7645,5,0),IF(A377="INSUMO",VLOOKUP(B377,INSUMOS!$A$6:$E$6961,5,0),IF(A377="COTAÇÃO",VLOOKUP(B377,'036-20-Cotação'!$A$9:$H$529,8,0))))</f>
        <v>M.O</v>
      </c>
      <c r="E377" s="452" t="str">
        <f>IF(A377="SERVIÇO",VLOOKUP(B377,SERVIÇOS!$A$6:$D$7645,3,0),IF(A377="INSUMO",VLOOKUP(B377,INSUMOS!$A$6:$D$6961,3,0),IF(A377="COTAÇÃO",VLOOKUP(B377,'036-20-Cotação'!$A$9:$G$529,4,0))))</f>
        <v>H</v>
      </c>
      <c r="F377" s="462">
        <v>8</v>
      </c>
      <c r="G377" s="453">
        <f>IF(A377="SERVIÇO",VLOOKUP(B377,SERVIÇOS!$A$6:$D$7645,4,0),IF(A377="INSUMO",VLOOKUP(B377,INSUMOS!$A$6:$D$6961,4,0),IF(A377="COTAÇÃO",VLOOKUP(B377,'036-20-Cotação'!$A$9:$G$529,3,0))))</f>
        <v>15.637499999999999</v>
      </c>
      <c r="H377" s="463">
        <f t="shared" ref="H377:H378" si="44">G377*F377</f>
        <v>125.1</v>
      </c>
      <c r="J377" s="201"/>
    </row>
    <row r="378" spans="1:17" s="87" customFormat="1" ht="25.5">
      <c r="A378" s="232" t="s">
        <v>4542</v>
      </c>
      <c r="B378" s="464" t="s">
        <v>8804</v>
      </c>
      <c r="C378" s="451" t="str">
        <f>IF(A378="SERVIÇO",VLOOKUP(B378,SERVIÇOS!$A$6:$D$7645,2,0),IF(A378="INSUMO",VLOOKUP(B378,INSUMOS!$A$6:$D$6961,2,0),IF(A378="COTAÇÃO",VLOOKUP(B378,'036-20-Cotação'!$A$9:$G$529,2,0))))</f>
        <v>GUINDASTE SOBRE RODAS COM CAPACIDADE DE 370 KN.M - 75 KW</v>
      </c>
      <c r="D378" s="452" t="str">
        <f>IF(A378="SERVIÇO",VLOOKUP(B378,SERVIÇOS!$A$6:$E$7645,5,0),IF(A378="INSUMO",VLOOKUP(B378,INSUMOS!$A$6:$E$6961,5,0),IF(A378="COTAÇÃO",VLOOKUP(B378,'036-20-Cotação'!$A$9:$H$529,8,0))))</f>
        <v>EQUIP.</v>
      </c>
      <c r="E378" s="452" t="str">
        <f>IF(A378="SERVIÇO",VLOOKUP(B378,SERVIÇOS!$A$6:$D$7645,3,0),IF(A378="INSUMO",VLOOKUP(B378,INSUMOS!$A$6:$D$6961,3,0),IF(A378="COTAÇÃO",VLOOKUP(B378,'036-20-Cotação'!$A$9:$G$529,4,0))))</f>
        <v>CHP</v>
      </c>
      <c r="F378" s="462">
        <v>0.3</v>
      </c>
      <c r="G378" s="453">
        <f>IF(A378="SERVIÇO",VLOOKUP(B378,SERVIÇOS!$A$6:$D$7645,4,0),IF(A378="INSUMO",VLOOKUP(B378,INSUMOS!$A$6:$D$6961,4,0),IF(A378="COTAÇÃO",VLOOKUP(B378,'036-20-Cotação'!$A$9:$G$529,3,0))))</f>
        <v>148.07040000000001</v>
      </c>
      <c r="H378" s="463">
        <f t="shared" si="44"/>
        <v>44.421120000000002</v>
      </c>
      <c r="J378" s="201"/>
    </row>
    <row r="379" spans="1:17" s="87" customFormat="1" ht="12.75">
      <c r="A379" s="188"/>
      <c r="B379" s="348" t="s">
        <v>123</v>
      </c>
      <c r="C379" s="695" t="s">
        <v>6667</v>
      </c>
      <c r="D379" s="696"/>
      <c r="E379" s="696"/>
      <c r="F379" s="696"/>
      <c r="G379" s="696"/>
      <c r="H379" s="697"/>
      <c r="J379" s="201"/>
    </row>
    <row r="380" spans="1:17" s="78" customFormat="1" ht="12.75">
      <c r="A380" s="188"/>
      <c r="B380" s="346"/>
      <c r="C380" s="347"/>
      <c r="D380" s="347"/>
      <c r="E380" s="347"/>
      <c r="F380" s="347"/>
      <c r="G380" s="347"/>
      <c r="H380" s="347"/>
      <c r="J380" s="79"/>
      <c r="K380" s="87"/>
      <c r="L380" s="87"/>
      <c r="M380" s="87"/>
      <c r="N380" s="87"/>
      <c r="O380" s="87"/>
      <c r="P380" s="87"/>
      <c r="Q380" s="87"/>
    </row>
    <row r="381" spans="1:17" s="78" customFormat="1" ht="25.5">
      <c r="A381" s="188"/>
      <c r="B381" s="80" t="s">
        <v>6683</v>
      </c>
      <c r="C381" s="81" t="s">
        <v>6704</v>
      </c>
      <c r="D381" s="82" t="s">
        <v>84</v>
      </c>
      <c r="E381" s="82" t="s">
        <v>4521</v>
      </c>
      <c r="F381" s="83"/>
      <c r="G381" s="84"/>
      <c r="H381" s="85">
        <f>SUM(H382:H384)</f>
        <v>865.70280000000002</v>
      </c>
      <c r="J381" s="79"/>
      <c r="K381" s="87"/>
      <c r="L381" s="87"/>
      <c r="M381" s="87"/>
      <c r="N381" s="87"/>
      <c r="O381" s="87"/>
      <c r="P381" s="87"/>
      <c r="Q381" s="87"/>
    </row>
    <row r="382" spans="1:17" s="87" customFormat="1" ht="12.75">
      <c r="A382" s="232" t="s">
        <v>4542</v>
      </c>
      <c r="B382" s="531" t="s">
        <v>6602</v>
      </c>
      <c r="C382" s="451" t="str">
        <f>IF(A382="SERVIÇO",VLOOKUP(B382,SERVIÇOS!$A$6:$D$7645,2,0),IF(A382="INSUMO",VLOOKUP(B382,INSUMOS!$A$6:$D$6961,2,0),IF(A382="COTAÇÃO",VLOOKUP(B382,'036-20-Cotação'!$A$9:$G$529,2,0))))</f>
        <v>SERVENTE</v>
      </c>
      <c r="D382" s="452" t="str">
        <f>IF(A382="SERVIÇO",VLOOKUP(B382,SERVIÇOS!$A$6:$E$7645,5,0),IF(A382="INSUMO",VLOOKUP(B382,INSUMOS!$A$6:$E$6961,5,0),IF(A382="COTAÇÃO",VLOOKUP(B382,'036-20-Cotação'!$A$9:$H$529,8,0))))</f>
        <v>M.O</v>
      </c>
      <c r="E382" s="452" t="str">
        <f>IF(A382="SERVIÇO",VLOOKUP(B382,SERVIÇOS!$A$6:$D$7645,3,0),IF(A382="INSUMO",VLOOKUP(B382,INSUMOS!$A$6:$D$6961,3,0),IF(A382="COTAÇÃO",VLOOKUP(B382,'036-20-Cotação'!$A$9:$G$529,4,0))))</f>
        <v>H</v>
      </c>
      <c r="F382" s="462">
        <v>12</v>
      </c>
      <c r="G382" s="453">
        <f>IF(A382="SERVIÇO",VLOOKUP(B382,SERVIÇOS!$A$6:$D$7645,4,0),IF(A382="INSUMO",VLOOKUP(B382,INSUMOS!$A$6:$D$6961,4,0),IF(A382="COTAÇÃO",VLOOKUP(B382,'036-20-Cotação'!$A$9:$G$529,3,0))))</f>
        <v>15.637499999999999</v>
      </c>
      <c r="H382" s="463">
        <f t="shared" ref="H382:H384" si="45">G382*F382</f>
        <v>187.64999999999998</v>
      </c>
      <c r="J382" s="201"/>
    </row>
    <row r="383" spans="1:17" s="87" customFormat="1" ht="12.75">
      <c r="A383" s="232" t="s">
        <v>4542</v>
      </c>
      <c r="B383" s="531" t="s">
        <v>6684</v>
      </c>
      <c r="C383" s="451" t="str">
        <f>IF(A383="SERVIÇO",VLOOKUP(B383,SERVIÇOS!$A$6:$D$7645,2,0),IF(A383="INSUMO",VLOOKUP(B383,INSUMOS!$A$6:$D$6961,2,0),IF(A383="COTAÇÃO",VLOOKUP(B383,'036-20-Cotação'!$A$9:$G$529,2,0))))</f>
        <v>ELETRICISTA</v>
      </c>
      <c r="D383" s="452" t="str">
        <f>IF(A383="SERVIÇO",VLOOKUP(B383,SERVIÇOS!$A$6:$E$7645,5,0),IF(A383="INSUMO",VLOOKUP(B383,INSUMOS!$A$6:$E$6961,5,0),IF(A383="COTAÇÃO",VLOOKUP(B383,'036-20-Cotação'!$A$9:$H$529,8,0))))</f>
        <v>M.O</v>
      </c>
      <c r="E383" s="452" t="str">
        <f>IF(A383="SERVIÇO",VLOOKUP(B383,SERVIÇOS!$A$6:$D$7645,3,0),IF(A383="INSUMO",VLOOKUP(B383,INSUMOS!$A$6:$D$6961,3,0),IF(A383="COTAÇÃO",VLOOKUP(B383,'036-20-Cotação'!$A$9:$G$529,4,0))))</f>
        <v>H</v>
      </c>
      <c r="F383" s="462">
        <v>24</v>
      </c>
      <c r="G383" s="453">
        <f>IF(A383="SERVIÇO",VLOOKUP(B383,SERVIÇOS!$A$6:$D$7645,4,0),IF(A383="INSUMO",VLOOKUP(B383,INSUMOS!$A$6:$D$6961,4,0),IF(A383="COTAÇÃO",VLOOKUP(B383,'036-20-Cotação'!$A$9:$G$529,3,0))))</f>
        <v>22.082599999999999</v>
      </c>
      <c r="H383" s="463">
        <f t="shared" si="45"/>
        <v>529.98239999999998</v>
      </c>
      <c r="J383" s="201"/>
    </row>
    <row r="384" spans="1:17" s="87" customFormat="1" ht="25.5">
      <c r="A384" s="232" t="s">
        <v>4542</v>
      </c>
      <c r="B384" s="464" t="s">
        <v>8804</v>
      </c>
      <c r="C384" s="451" t="str">
        <f>IF(A384="SERVIÇO",VLOOKUP(B384,SERVIÇOS!$A$6:$D$7645,2,0),IF(A384="INSUMO",VLOOKUP(B384,INSUMOS!$A$6:$D$6961,2,0),IF(A384="COTAÇÃO",VLOOKUP(B384,'036-20-Cotação'!$A$9:$G$529,2,0))))</f>
        <v>GUINDASTE SOBRE RODAS COM CAPACIDADE DE 370 KN.M - 75 KW</v>
      </c>
      <c r="D384" s="452" t="str">
        <f>IF(A384="SERVIÇO",VLOOKUP(B384,SERVIÇOS!$A$6:$E$7645,5,0),IF(A384="INSUMO",VLOOKUP(B384,INSUMOS!$A$6:$E$6961,5,0),IF(A384="COTAÇÃO",VLOOKUP(B384,'036-20-Cotação'!$A$9:$H$529,8,0))))</f>
        <v>EQUIP.</v>
      </c>
      <c r="E384" s="452" t="str">
        <f>IF(A384="SERVIÇO",VLOOKUP(B384,SERVIÇOS!$A$6:$D$7645,3,0),IF(A384="INSUMO",VLOOKUP(B384,INSUMOS!$A$6:$D$6961,3,0),IF(A384="COTAÇÃO",VLOOKUP(B384,'036-20-Cotação'!$A$9:$G$529,4,0))))</f>
        <v>CHP</v>
      </c>
      <c r="F384" s="462">
        <v>1</v>
      </c>
      <c r="G384" s="453">
        <f>IF(A384="SERVIÇO",VLOOKUP(B384,SERVIÇOS!$A$6:$D$7645,4,0),IF(A384="INSUMO",VLOOKUP(B384,INSUMOS!$A$6:$D$6961,4,0),IF(A384="COTAÇÃO",VLOOKUP(B384,'036-20-Cotação'!$A$9:$G$529,3,0))))</f>
        <v>148.07040000000001</v>
      </c>
      <c r="H384" s="463">
        <f t="shared" si="45"/>
        <v>148.07040000000001</v>
      </c>
      <c r="J384" s="201"/>
    </row>
    <row r="385" spans="1:17" s="87" customFormat="1" ht="12.75">
      <c r="A385" s="188"/>
      <c r="B385" s="348" t="s">
        <v>123</v>
      </c>
      <c r="C385" s="695" t="s">
        <v>6685</v>
      </c>
      <c r="D385" s="696"/>
      <c r="E385" s="696"/>
      <c r="F385" s="696"/>
      <c r="G385" s="696"/>
      <c r="H385" s="697"/>
      <c r="J385" s="201"/>
    </row>
    <row r="386" spans="1:17" s="78" customFormat="1" ht="12.75">
      <c r="A386" s="188"/>
      <c r="B386" s="346"/>
      <c r="C386" s="347"/>
      <c r="D386" s="347"/>
      <c r="E386" s="347"/>
      <c r="F386" s="347"/>
      <c r="G386" s="347"/>
      <c r="H386" s="347"/>
      <c r="J386" s="79"/>
      <c r="K386" s="87"/>
      <c r="L386" s="87"/>
      <c r="M386" s="87"/>
      <c r="N386" s="87"/>
      <c r="O386" s="87"/>
      <c r="P386" s="87"/>
      <c r="Q386" s="87"/>
    </row>
    <row r="387" spans="1:17" s="78" customFormat="1" ht="38.25">
      <c r="A387" s="188"/>
      <c r="B387" s="80" t="s">
        <v>6703</v>
      </c>
      <c r="C387" s="81" t="s">
        <v>26842</v>
      </c>
      <c r="D387" s="82" t="s">
        <v>84</v>
      </c>
      <c r="E387" s="82" t="s">
        <v>150</v>
      </c>
      <c r="F387" s="83"/>
      <c r="G387" s="84"/>
      <c r="H387" s="85">
        <f>SUM(H388:H389)</f>
        <v>91.632000000000005</v>
      </c>
      <c r="J387" s="79"/>
      <c r="K387" s="87"/>
      <c r="L387" s="87"/>
      <c r="M387" s="87"/>
      <c r="N387" s="87"/>
      <c r="O387" s="87"/>
      <c r="P387" s="87"/>
      <c r="Q387" s="87"/>
    </row>
    <row r="388" spans="1:17" s="87" customFormat="1" ht="12.75">
      <c r="A388" s="232" t="s">
        <v>4542</v>
      </c>
      <c r="B388" s="531">
        <v>98459</v>
      </c>
      <c r="C388" s="451" t="str">
        <f>IF(A388="SERVIÇO",VLOOKUP(B388,SERVIÇOS!$A$6:$D$7645,2,0),IF(A388="INSUMO",VLOOKUP(B388,INSUMOS!$A$6:$D$6961,2,0),IF(A388="COTAÇÃO",VLOOKUP(B388,'036-20-Cotação'!$A$9:$G$529,2,0))))</f>
        <v>TAPUME COM TELHA METÁLICA. AF_05/2018</v>
      </c>
      <c r="D388" s="452" t="str">
        <f>IF(A388="SERVIÇO",VLOOKUP(B388,SERVIÇOS!$A$6:$E$7645,5,0),IF(A388="INSUMO",VLOOKUP(B388,INSUMOS!$A$6:$E$6961,5,0),IF(A388="COTAÇÃO",VLOOKUP(B388,'036-20-Cotação'!$A$9:$H$529,8,0))))</f>
        <v>SER.CG</v>
      </c>
      <c r="E388" s="452" t="str">
        <f>IF(A388="SERVIÇO",VLOOKUP(B388,SERVIÇOS!$A$6:$D$7645,3,0),IF(A388="INSUMO",VLOOKUP(B388,INSUMOS!$A$6:$D$6961,3,0),IF(A388="COTAÇÃO",VLOOKUP(B388,'036-20-Cotação'!$A$9:$G$529,4,0))))</f>
        <v>M2</v>
      </c>
      <c r="F388" s="462">
        <v>1</v>
      </c>
      <c r="G388" s="453" t="str">
        <f>IF(A388="SERVIÇO",VLOOKUP(B388,SERVIÇOS!$A$6:$D$7645,4,0),IF(A388="INSUMO",VLOOKUP(B388,INSUMOS!$A$6:$D$6961,4,0),IF(A388="COTAÇÃO",VLOOKUP(B388,'036-20-Cotação'!$A$9:$G$529,3,0))))</f>
        <v>77,64</v>
      </c>
      <c r="H388" s="463">
        <f t="shared" ref="H388:H389" si="46">G388*F388</f>
        <v>77.64</v>
      </c>
      <c r="J388" s="201"/>
    </row>
    <row r="389" spans="1:17" s="87" customFormat="1" ht="63.75">
      <c r="A389" s="232" t="s">
        <v>4542</v>
      </c>
      <c r="B389" s="531">
        <v>100734</v>
      </c>
      <c r="C389" s="451" t="str">
        <f>IF(A389="SERVIÇO",VLOOKUP(B389,SERVIÇOS!$A$6:$D$7645,2,0),IF(A389="INSUMO",VLOOKUP(B389,INSUMOS!$A$6:$D$6961,2,0),IF(A389="COTAÇÃO",VLOOKUP(B389,'036-20-Cotação'!$A$9:$G$529,2,0))))</f>
        <v>PINTURA COM TINTA ACRÍLICA DE FUNDO APLICADA A ROLO OU PINCEL SOBRE SUPERFÍCIES METÁLICAS (EXCETO PERFIL) EXECUTADO EM OBRA (POR DEMÃO). AF_01/2020</v>
      </c>
      <c r="D389" s="452" t="str">
        <f>IF(A389="SERVIÇO",VLOOKUP(B389,SERVIÇOS!$A$6:$E$7645,5,0),IF(A389="INSUMO",VLOOKUP(B389,INSUMOS!$A$6:$E$6961,5,0),IF(A389="COTAÇÃO",VLOOKUP(B389,'036-20-Cotação'!$A$9:$H$529,8,0))))</f>
        <v>SER.CG</v>
      </c>
      <c r="E389" s="452" t="str">
        <f>IF(A389="SERVIÇO",VLOOKUP(B389,SERVIÇOS!$A$6:$D$7645,3,0),IF(A389="INSUMO",VLOOKUP(B389,INSUMOS!$A$6:$D$6961,3,0),IF(A389="COTAÇÃO",VLOOKUP(B389,'036-20-Cotação'!$A$9:$G$529,4,0))))</f>
        <v>M2</v>
      </c>
      <c r="F389" s="462">
        <v>1.1000000000000001</v>
      </c>
      <c r="G389" s="453" t="str">
        <f>IF(A389="SERVIÇO",VLOOKUP(B389,SERVIÇOS!$A$6:$D$7645,4,0),IF(A389="INSUMO",VLOOKUP(B389,INSUMOS!$A$6:$D$6961,4,0),IF(A389="COTAÇÃO",VLOOKUP(B389,'036-20-Cotação'!$A$9:$G$529,3,0))))</f>
        <v>12,72</v>
      </c>
      <c r="H389" s="463">
        <f t="shared" si="46"/>
        <v>13.992000000000003</v>
      </c>
      <c r="J389" s="201"/>
    </row>
    <row r="390" spans="1:17" s="87" customFormat="1" ht="12.75">
      <c r="A390" s="188"/>
      <c r="B390" s="348" t="s">
        <v>123</v>
      </c>
      <c r="C390" s="695" t="s">
        <v>6685</v>
      </c>
      <c r="D390" s="696"/>
      <c r="E390" s="696"/>
      <c r="F390" s="696"/>
      <c r="G390" s="696"/>
      <c r="H390" s="697"/>
      <c r="J390" s="201"/>
    </row>
    <row r="391" spans="1:17" s="78" customFormat="1" ht="12.75">
      <c r="A391" s="188"/>
      <c r="B391" s="346"/>
      <c r="C391" s="347"/>
      <c r="D391" s="347"/>
      <c r="E391" s="347"/>
      <c r="F391" s="347"/>
      <c r="G391" s="347"/>
      <c r="H391" s="347"/>
      <c r="J391" s="79"/>
      <c r="K391" s="87"/>
      <c r="L391" s="87"/>
      <c r="M391" s="87"/>
      <c r="N391" s="87"/>
      <c r="O391" s="87"/>
      <c r="P391" s="87"/>
      <c r="Q391" s="87"/>
    </row>
    <row r="392" spans="1:17" s="78" customFormat="1" ht="38.25">
      <c r="A392" s="188"/>
      <c r="B392" s="80" t="s">
        <v>6705</v>
      </c>
      <c r="C392" s="81" t="s">
        <v>6706</v>
      </c>
      <c r="D392" s="82" t="s">
        <v>84</v>
      </c>
      <c r="E392" s="82" t="s">
        <v>150</v>
      </c>
      <c r="F392" s="83"/>
      <c r="G392" s="84"/>
      <c r="H392" s="85">
        <f>SUM(H393:H394)</f>
        <v>238.83085000000003</v>
      </c>
      <c r="J392" s="79"/>
      <c r="K392" s="87"/>
      <c r="L392" s="87"/>
      <c r="M392" s="87"/>
      <c r="N392" s="87"/>
      <c r="O392" s="87"/>
      <c r="P392" s="87"/>
      <c r="Q392" s="87"/>
    </row>
    <row r="393" spans="1:17" s="87" customFormat="1" ht="25.5">
      <c r="A393" s="232" t="s">
        <v>4542</v>
      </c>
      <c r="B393" s="531" t="s">
        <v>7336</v>
      </c>
      <c r="C393" s="451" t="str">
        <f>'036-20-CCA''s'!$C$26</f>
        <v>PORTAO DE FERRO EM CHAPA GALVANIZADA PLANA 14 GSG</v>
      </c>
      <c r="D393" s="452" t="str">
        <f>'036-20-CCA''s'!$D$26</f>
        <v xml:space="preserve">SER.CG </v>
      </c>
      <c r="E393" s="452" t="str">
        <f>'036-20-CCA''s'!$E$26</f>
        <v>M2</v>
      </c>
      <c r="F393" s="462">
        <v>1</v>
      </c>
      <c r="G393" s="453">
        <f>'036-20-CCA''s'!$H$26</f>
        <v>226.11085000000003</v>
      </c>
      <c r="H393" s="463">
        <f t="shared" ref="H393:H394" si="47">G393*F393</f>
        <v>226.11085000000003</v>
      </c>
      <c r="J393" s="201"/>
    </row>
    <row r="394" spans="1:17" s="87" customFormat="1" ht="63.75">
      <c r="A394" s="232" t="s">
        <v>4542</v>
      </c>
      <c r="B394" s="531">
        <v>100734</v>
      </c>
      <c r="C394" s="451" t="str">
        <f>IF(A394="SERVIÇO",VLOOKUP(B394,SERVIÇOS!$A$6:$D$7645,2,0),IF(A394="INSUMO",VLOOKUP(B394,INSUMOS!$A$6:$D$6961,2,0),IF(A394="COTAÇÃO",VLOOKUP(B394,'036-20-Cotação'!$A$9:$G$529,2,0))))</f>
        <v>PINTURA COM TINTA ACRÍLICA DE FUNDO APLICADA A ROLO OU PINCEL SOBRE SUPERFÍCIES METÁLICAS (EXCETO PERFIL) EXECUTADO EM OBRA (POR DEMÃO). AF_01/2020</v>
      </c>
      <c r="D394" s="452" t="str">
        <f>IF(A394="SERVIÇO",VLOOKUP(B394,SERVIÇOS!$A$6:$E$7645,5,0),IF(A394="INSUMO",VLOOKUP(B394,INSUMOS!$A$6:$E$6961,5,0),IF(A394="COTAÇÃO",VLOOKUP(B394,'036-20-Cotação'!$A$9:$H$529,8,0))))</f>
        <v>SER.CG</v>
      </c>
      <c r="E394" s="452" t="str">
        <f>IF(A394="SERVIÇO",VLOOKUP(B394,SERVIÇOS!$A$6:$D$7645,3,0),IF(A394="INSUMO",VLOOKUP(B394,INSUMOS!$A$6:$D$6961,3,0),IF(A394="COTAÇÃO",VLOOKUP(B394,'036-20-Cotação'!$A$9:$G$529,4,0))))</f>
        <v>M2</v>
      </c>
      <c r="F394" s="462">
        <v>1</v>
      </c>
      <c r="G394" s="453" t="str">
        <f>IF(A394="SERVIÇO",VLOOKUP(B394,SERVIÇOS!$A$6:$D$7645,4,0),IF(A394="INSUMO",VLOOKUP(B394,INSUMOS!$A$6:$D$6961,4,0),IF(A394="COTAÇÃO",VLOOKUP(B394,'036-20-Cotação'!$A$9:$G$529,3,0))))</f>
        <v>12,72</v>
      </c>
      <c r="H394" s="463">
        <f t="shared" si="47"/>
        <v>12.72</v>
      </c>
      <c r="J394" s="201"/>
    </row>
    <row r="395" spans="1:17" s="87" customFormat="1" ht="12.75">
      <c r="A395" s="188"/>
      <c r="B395" s="348" t="s">
        <v>123</v>
      </c>
      <c r="C395" s="695" t="s">
        <v>6685</v>
      </c>
      <c r="D395" s="696"/>
      <c r="E395" s="696"/>
      <c r="F395" s="696"/>
      <c r="G395" s="696"/>
      <c r="H395" s="697"/>
      <c r="J395" s="201"/>
    </row>
    <row r="396" spans="1:17" s="78" customFormat="1" ht="12.75">
      <c r="A396" s="188"/>
      <c r="B396" s="346"/>
      <c r="C396" s="347"/>
      <c r="D396" s="347"/>
      <c r="E396" s="347"/>
      <c r="F396" s="347"/>
      <c r="G396" s="347"/>
      <c r="H396" s="347"/>
      <c r="J396" s="79"/>
      <c r="K396" s="87"/>
      <c r="L396" s="87"/>
      <c r="M396" s="87"/>
      <c r="N396" s="87"/>
      <c r="O396" s="87"/>
      <c r="P396" s="87"/>
      <c r="Q396" s="87"/>
    </row>
    <row r="397" spans="1:17" s="78" customFormat="1" ht="51">
      <c r="A397" s="188"/>
      <c r="B397" s="80" t="s">
        <v>6824</v>
      </c>
      <c r="C397" s="81" t="s">
        <v>13452</v>
      </c>
      <c r="D397" s="82" t="s">
        <v>84</v>
      </c>
      <c r="E397" s="82" t="s">
        <v>5</v>
      </c>
      <c r="F397" s="83"/>
      <c r="G397" s="84"/>
      <c r="H397" s="85">
        <f>SUM(H398:H415)</f>
        <v>447.84265609207642</v>
      </c>
      <c r="J397" s="79"/>
      <c r="K397" s="87"/>
      <c r="L397" s="87"/>
      <c r="M397" s="87"/>
      <c r="N397" s="87"/>
      <c r="O397" s="87"/>
      <c r="P397" s="87"/>
      <c r="Q397" s="87"/>
    </row>
    <row r="398" spans="1:17" s="87" customFormat="1" ht="12.75">
      <c r="A398" s="232" t="s">
        <v>4542</v>
      </c>
      <c r="B398" s="464" t="s">
        <v>6825</v>
      </c>
      <c r="C398" s="451" t="str">
        <f>IF(A398="SERVIÇO",VLOOKUP(B398,SERVIÇOS!$A$6:$D$7645,2,0),IF(A398="INSUMO",VLOOKUP(B398,INSUMOS!$A$6:$D$6961,2,0),IF(A398="COTAÇÃO",VLOOKUP(B398,'036-20-Cotação'!$A$9:$G$529,2,0))))</f>
        <v>AJUDANTE</v>
      </c>
      <c r="D398" s="452" t="str">
        <f>IF(A398="SERVIÇO",VLOOKUP(B398,SERVIÇOS!$A$6:$E$7645,5,0),IF(A398="INSUMO",VLOOKUP(B398,INSUMOS!$A$6:$E$6961,5,0),IF(A398="COTAÇÃO",VLOOKUP(B398,'036-20-Cotação'!$A$9:$H$529,8,0))))</f>
        <v>M.O</v>
      </c>
      <c r="E398" s="452" t="str">
        <f>IF(A398="SERVIÇO",VLOOKUP(B398,SERVIÇOS!$A$6:$D$7645,3,0),IF(A398="INSUMO",VLOOKUP(B398,INSUMOS!$A$6:$D$6961,3,0),IF(A398="COTAÇÃO",VLOOKUP(B398,'036-20-Cotação'!$A$9:$G$529,4,0))))</f>
        <v>H</v>
      </c>
      <c r="F398" s="462">
        <v>2.06</v>
      </c>
      <c r="G398" s="453">
        <f>IF(A398="SERVIÇO",VLOOKUP(B398,SERVIÇOS!$A$6:$D$7645,4,0),IF(A398="INSUMO",VLOOKUP(B398,INSUMOS!$A$6:$D$6961,4,0),IF(A398="COTAÇÃO",VLOOKUP(B398,'036-20-Cotação'!$A$9:$G$529,3,0))))</f>
        <v>17.9801</v>
      </c>
      <c r="H398" s="463">
        <f t="shared" ref="H398:H415" si="48">G398*F398</f>
        <v>37.039006000000001</v>
      </c>
      <c r="I398" s="545"/>
      <c r="J398" s="201"/>
    </row>
    <row r="399" spans="1:17" s="87" customFormat="1" ht="12.75">
      <c r="A399" s="232" t="s">
        <v>4542</v>
      </c>
      <c r="B399" s="464" t="s">
        <v>6613</v>
      </c>
      <c r="C399" s="451" t="str">
        <f>IF(A399="SERVIÇO",VLOOKUP(B399,SERVIÇOS!$A$6:$D$7645,2,0),IF(A399="INSUMO",VLOOKUP(B399,INSUMOS!$A$6:$D$6961,2,0),IF(A399="COTAÇÃO",VLOOKUP(B399,'036-20-Cotação'!$A$9:$G$529,2,0))))</f>
        <v>CARPINTEIRO</v>
      </c>
      <c r="D399" s="452" t="str">
        <f>IF(A399="SERVIÇO",VLOOKUP(B399,SERVIÇOS!$A$6:$E$7645,5,0),IF(A399="INSUMO",VLOOKUP(B399,INSUMOS!$A$6:$E$6961,5,0),IF(A399="COTAÇÃO",VLOOKUP(B399,'036-20-Cotação'!$A$9:$H$529,8,0))))</f>
        <v>M.O</v>
      </c>
      <c r="E399" s="452" t="str">
        <f>IF(A399="SERVIÇO",VLOOKUP(B399,SERVIÇOS!$A$6:$D$7645,3,0),IF(A399="INSUMO",VLOOKUP(B399,INSUMOS!$A$6:$D$6961,3,0),IF(A399="COTAÇÃO",VLOOKUP(B399,'036-20-Cotação'!$A$9:$G$529,4,0))))</f>
        <v>H</v>
      </c>
      <c r="F399" s="462">
        <v>2</v>
      </c>
      <c r="G399" s="453">
        <f>IF(A399="SERVIÇO",VLOOKUP(B399,SERVIÇOS!$A$6:$D$7645,4,0),IF(A399="INSUMO",VLOOKUP(B399,INSUMOS!$A$6:$D$6961,4,0),IF(A399="COTAÇÃO",VLOOKUP(B399,'036-20-Cotação'!$A$9:$G$529,3,0))))</f>
        <v>21.710999999999999</v>
      </c>
      <c r="H399" s="463">
        <f t="shared" si="48"/>
        <v>43.421999999999997</v>
      </c>
      <c r="J399" s="201"/>
    </row>
    <row r="400" spans="1:17" s="87" customFormat="1" ht="12.75">
      <c r="A400" s="232" t="s">
        <v>4542</v>
      </c>
      <c r="B400" s="531" t="s">
        <v>6684</v>
      </c>
      <c r="C400" s="451" t="str">
        <f>IF(A400="SERVIÇO",VLOOKUP(B400,SERVIÇOS!$A$6:$D$7645,2,0),IF(A400="INSUMO",VLOOKUP(B400,INSUMOS!$A$6:$D$6961,2,0),IF(A400="COTAÇÃO",VLOOKUP(B400,'036-20-Cotação'!$A$9:$G$529,2,0))))</f>
        <v>ELETRICISTA</v>
      </c>
      <c r="D400" s="452" t="str">
        <f>IF(A400="SERVIÇO",VLOOKUP(B400,SERVIÇOS!$A$6:$E$7645,5,0),IF(A400="INSUMO",VLOOKUP(B400,INSUMOS!$A$6:$E$6961,5,0),IF(A400="COTAÇÃO",VLOOKUP(B400,'036-20-Cotação'!$A$9:$H$529,8,0))))</f>
        <v>M.O</v>
      </c>
      <c r="E400" s="452" t="str">
        <f>IF(A400="SERVIÇO",VLOOKUP(B400,SERVIÇOS!$A$6:$D$7645,3,0),IF(A400="INSUMO",VLOOKUP(B400,INSUMOS!$A$6:$D$6961,3,0),IF(A400="COTAÇÃO",VLOOKUP(B400,'036-20-Cotação'!$A$9:$G$529,4,0))))</f>
        <v>H</v>
      </c>
      <c r="F400" s="462">
        <v>0.35</v>
      </c>
      <c r="G400" s="453">
        <f>IF(A400="SERVIÇO",VLOOKUP(B400,SERVIÇOS!$A$6:$D$7645,4,0),IF(A400="INSUMO",VLOOKUP(B400,INSUMOS!$A$6:$D$6961,4,0),IF(A400="COTAÇÃO",VLOOKUP(B400,'036-20-Cotação'!$A$9:$G$529,3,0))))</f>
        <v>22.082599999999999</v>
      </c>
      <c r="H400" s="463">
        <f t="shared" si="48"/>
        <v>7.7289099999999991</v>
      </c>
      <c r="J400" s="201"/>
    </row>
    <row r="401" spans="1:10" s="87" customFormat="1" ht="12.75">
      <c r="A401" s="232" t="s">
        <v>4544</v>
      </c>
      <c r="B401" s="464">
        <v>4815</v>
      </c>
      <c r="C401" s="451" t="str">
        <f>IF(A401="SERVIÇO",VLOOKUP(B401,SERVIÇOS!$A$6:$D$7645,2,0),IF(A401="INSUMO",VLOOKUP(B401,INSUMOS!$A$6:$D$6961,2,0),IF(A401="COTAÇÃO",VLOOKUP(B401,'036-20-Cotação'!$A$9:$G$529,2,0))))</f>
        <v xml:space="preserve">BALDE VERMELHO PARA SINALIZACAO DE VIAS                                                                                                                                                                                                                                                                                                                                                                                                                                                                   </v>
      </c>
      <c r="D401" s="452" t="str">
        <f>IF(A401="SERVIÇO",VLOOKUP(B401,SERVIÇOS!$A$6:$E$7645,5,0),IF(A401="INSUMO",VLOOKUP(B401,INSUMOS!$A$6:$E$6961,5,0),IF(A401="COTAÇÃO",VLOOKUP(B401,'036-20-Cotação'!$A$9:$H$529,8,0))))</f>
        <v>MAT.</v>
      </c>
      <c r="E401" s="452" t="str">
        <f>IF(A401="SERVIÇO",VLOOKUP(B401,SERVIÇOS!$A$6:$D$7645,3,0),IF(A401="INSUMO",VLOOKUP(B401,INSUMOS!$A$6:$D$6961,3,0),IF(A401="COTAÇÃO",VLOOKUP(B401,'036-20-Cotação'!$A$9:$G$529,4,0))))</f>
        <v xml:space="preserve">UN    </v>
      </c>
      <c r="F401" s="462">
        <v>0.625</v>
      </c>
      <c r="G401" s="453" t="str">
        <f>IF(A401="SERVIÇO",VLOOKUP(B401,SERVIÇOS!$A$6:$D$7645,4,0),IF(A401="INSUMO",VLOOKUP(B401,INSUMOS!$A$6:$D$6961,4,0),IF(A401="COTAÇÃO",VLOOKUP(B401,'036-20-Cotação'!$A$9:$G$529,3,0))))</f>
        <v>4,71</v>
      </c>
      <c r="H401" s="463">
        <f t="shared" si="48"/>
        <v>2.9437500000000001</v>
      </c>
      <c r="J401" s="201"/>
    </row>
    <row r="402" spans="1:10" s="87" customFormat="1" ht="25.5">
      <c r="A402" s="232" t="s">
        <v>4544</v>
      </c>
      <c r="B402" s="464">
        <v>2370</v>
      </c>
      <c r="C402" s="451" t="str">
        <f>IF(A402="SERVIÇO",VLOOKUP(B402,SERVIÇOS!$A$6:$D$7645,2,0),IF(A402="INSUMO",VLOOKUP(B402,INSUMOS!$A$6:$D$6961,2,0),IF(A402="COTAÇÃO",VLOOKUP(B402,'036-20-Cotação'!$A$9:$G$529,2,0))))</f>
        <v xml:space="preserve">DISJUNTOR TIPO NEMA, MONOPOLAR 10 ATE 30A, TENSAO MAXIMA DE 240 V                                                                                                                                                                                                                                                                                                                                                                                                                                         </v>
      </c>
      <c r="D402" s="452" t="str">
        <f>IF(A402="SERVIÇO",VLOOKUP(B402,SERVIÇOS!$A$6:$E$7645,5,0),IF(A402="INSUMO",VLOOKUP(B402,INSUMOS!$A$6:$E$6961,5,0),IF(A402="COTAÇÃO",VLOOKUP(B402,'036-20-Cotação'!$A$9:$H$529,8,0))))</f>
        <v>MAT.</v>
      </c>
      <c r="E402" s="452" t="str">
        <f>IF(A402="SERVIÇO",VLOOKUP(B402,SERVIÇOS!$A$6:$D$7645,3,0),IF(A402="INSUMO",VLOOKUP(B402,INSUMOS!$A$6:$D$6961,3,0),IF(A402="COTAÇÃO",VLOOKUP(B402,'036-20-Cotação'!$A$9:$G$529,4,0))))</f>
        <v xml:space="preserve">UN    </v>
      </c>
      <c r="F402" s="462">
        <v>0.02</v>
      </c>
      <c r="G402" s="453" t="str">
        <f>IF(A402="SERVIÇO",VLOOKUP(B402,SERVIÇOS!$A$6:$D$7645,4,0),IF(A402="INSUMO",VLOOKUP(B402,INSUMOS!$A$6:$D$6961,4,0),IF(A402="COTAÇÃO",VLOOKUP(B402,'036-20-Cotação'!$A$9:$G$529,3,0))))</f>
        <v>10,71</v>
      </c>
      <c r="H402" s="463">
        <f t="shared" si="48"/>
        <v>0.21420000000000003</v>
      </c>
      <c r="J402" s="201"/>
    </row>
    <row r="403" spans="1:10" s="87" customFormat="1" ht="12.75">
      <c r="A403" s="232" t="s">
        <v>4544</v>
      </c>
      <c r="B403" s="464" t="s">
        <v>6828</v>
      </c>
      <c r="C403" s="451" t="str">
        <f>IF(A403="SERVIÇO",VLOOKUP(B403,SERVIÇOS!$A$6:$D$7645,2,0),IF(A403="INSUMO",VLOOKUP(B403,INSUMOS!$A$6:$D$6961,2,0),IF(A403="COTAÇÃO",VLOOKUP(B403,'036-20-Cotação'!$A$9:$G$529,2,0))))</f>
        <v>LÂMPADA COMPACTA ELETRÔNICA PLE 20 W</v>
      </c>
      <c r="D403" s="452" t="str">
        <f>IF(A403="SERVIÇO",VLOOKUP(B403,SERVIÇOS!$A$6:$E$7645,5,0),IF(A403="INSUMO",VLOOKUP(B403,INSUMOS!$A$6:$E$6961,5,0),IF(A403="COTAÇÃO",VLOOKUP(B403,'036-20-Cotação'!$A$9:$H$529,8,0))))</f>
        <v>MAT.</v>
      </c>
      <c r="E403" s="452" t="str">
        <f>IF(A403="SERVIÇO",VLOOKUP(B403,SERVIÇOS!$A$6:$D$7645,3,0),IF(A403="INSUMO",VLOOKUP(B403,INSUMOS!$A$6:$D$6961,3,0),IF(A403="COTAÇÃO",VLOOKUP(B403,'036-20-Cotação'!$A$9:$G$529,4,0))))</f>
        <v>UN</v>
      </c>
      <c r="F403" s="462">
        <v>1.667</v>
      </c>
      <c r="G403" s="453">
        <f>IF(A403="SERVIÇO",VLOOKUP(B403,SERVIÇOS!$A$6:$D$7645,4,0),IF(A403="INSUMO",VLOOKUP(B403,INSUMOS!$A$6:$D$6961,4,0),IF(A403="COTAÇÃO",VLOOKUP(B403,'036-20-Cotação'!$A$9:$G$529,3,0))))</f>
        <v>9.3046000000000006</v>
      </c>
      <c r="H403" s="463">
        <f t="shared" si="48"/>
        <v>15.510768200000001</v>
      </c>
      <c r="J403" s="201"/>
    </row>
    <row r="404" spans="1:10" s="87" customFormat="1" ht="25.5">
      <c r="A404" s="232" t="s">
        <v>4544</v>
      </c>
      <c r="B404" s="464">
        <v>34607</v>
      </c>
      <c r="C404" s="451" t="str">
        <f>IF(A404="SERVIÇO",VLOOKUP(B404,SERVIÇOS!$A$6:$D$7645,2,0),IF(A404="INSUMO",VLOOKUP(B404,INSUMOS!$A$6:$D$6961,2,0),IF(A404="COTAÇÃO",VLOOKUP(B404,'036-20-Cotação'!$A$9:$G$529,2,0))))</f>
        <v xml:space="preserve">CABO FLEXIVEL PVC 750 V, 2 CONDUTORES DE 4,0 MM2                                                                                                                                                                                                                                                                                                                                                                                                                                                          </v>
      </c>
      <c r="D404" s="452" t="str">
        <f>IF(A404="SERVIÇO",VLOOKUP(B404,SERVIÇOS!$A$6:$E$7645,5,0),IF(A404="INSUMO",VLOOKUP(B404,INSUMOS!$A$6:$E$6961,5,0),IF(A404="COTAÇÃO",VLOOKUP(B404,'036-20-Cotação'!$A$9:$H$529,8,0))))</f>
        <v>MAT.</v>
      </c>
      <c r="E404" s="452" t="str">
        <f>IF(A404="SERVIÇO",VLOOKUP(B404,SERVIÇOS!$A$6:$D$7645,3,0),IF(A404="INSUMO",VLOOKUP(B404,INSUMOS!$A$6:$D$6961,3,0),IF(A404="COTAÇÃO",VLOOKUP(B404,'036-20-Cotação'!$A$9:$G$529,4,0))))</f>
        <v xml:space="preserve">M     </v>
      </c>
      <c r="F404" s="462">
        <v>1.875</v>
      </c>
      <c r="G404" s="453" t="str">
        <f>IF(A404="SERVIÇO",VLOOKUP(B404,SERVIÇOS!$A$6:$D$7645,4,0),IF(A404="INSUMO",VLOOKUP(B404,INSUMOS!$A$6:$D$6961,4,0),IF(A404="COTAÇÃO",VLOOKUP(B404,'036-20-Cotação'!$A$9:$G$529,3,0))))</f>
        <v>4,44</v>
      </c>
      <c r="H404" s="463">
        <f t="shared" si="48"/>
        <v>8.3250000000000011</v>
      </c>
      <c r="J404" s="201"/>
    </row>
    <row r="405" spans="1:10" s="87" customFormat="1" ht="25.5">
      <c r="A405" s="232" t="s">
        <v>4544</v>
      </c>
      <c r="B405" s="464">
        <v>13329</v>
      </c>
      <c r="C405" s="451" t="str">
        <f>IF(A405="SERVIÇO",VLOOKUP(B405,SERVIÇOS!$A$6:$D$7645,2,0),IF(A405="INSUMO",VLOOKUP(B405,INSUMOS!$A$6:$D$6961,2,0),IF(A405="COTAÇÃO",VLOOKUP(B405,'036-20-Cotação'!$A$9:$G$529,2,0))))</f>
        <v xml:space="preserve">SOQUETE DE PVC / TERMOPLASTICO BASE E27, COM RABICHO, PARA LAMPADAS                                                                                                                                                                                                                                                                                                                                                                                                                                       </v>
      </c>
      <c r="D405" s="452" t="str">
        <f>IF(A405="SERVIÇO",VLOOKUP(B405,SERVIÇOS!$A$6:$E$7645,5,0),IF(A405="INSUMO",VLOOKUP(B405,INSUMOS!$A$6:$E$6961,5,0),IF(A405="COTAÇÃO",VLOOKUP(B405,'036-20-Cotação'!$A$9:$H$529,8,0))))</f>
        <v>MAT.</v>
      </c>
      <c r="E405" s="452" t="str">
        <f>IF(A405="SERVIÇO",VLOOKUP(B405,SERVIÇOS!$A$6:$D$7645,3,0),IF(A405="INSUMO",VLOOKUP(B405,INSUMOS!$A$6:$D$6961,3,0),IF(A405="COTAÇÃO",VLOOKUP(B405,'036-20-Cotação'!$A$9:$G$529,4,0))))</f>
        <v xml:space="preserve">UN    </v>
      </c>
      <c r="F405" s="462">
        <v>0.625</v>
      </c>
      <c r="G405" s="453" t="str">
        <f>IF(A405="SERVIÇO",VLOOKUP(B405,SERVIÇOS!$A$6:$D$7645,4,0),IF(A405="INSUMO",VLOOKUP(B405,INSUMOS!$A$6:$D$6961,4,0),IF(A405="COTAÇÃO",VLOOKUP(B405,'036-20-Cotação'!$A$9:$G$529,3,0))))</f>
        <v>3,00</v>
      </c>
      <c r="H405" s="463">
        <f t="shared" si="48"/>
        <v>1.875</v>
      </c>
      <c r="J405" s="201"/>
    </row>
    <row r="406" spans="1:10" s="87" customFormat="1" ht="25.5">
      <c r="A406" s="232" t="s">
        <v>12</v>
      </c>
      <c r="B406" s="464" t="s">
        <v>7850</v>
      </c>
      <c r="C406" s="451" t="str">
        <f>IF(A406="SERVIÇO",VLOOKUP(B406,SERVIÇOS!$A$6:$D$7645,2,0),IF(A406="INSUMO",VLOOKUP(B406,INSUMOS!$A$6:$D$6961,2,0),IF(A406="COTAÇÃO",VLOOKUP(B406,'036-20-Cotação'!$A$9:$G$529,2,0))))</f>
        <v>ARRUELA SIMPLES ZINCADA ¼”</v>
      </c>
      <c r="D406" s="452" t="str">
        <f>IF(A406="SERVIÇO",VLOOKUP(B406,SERVIÇOS!$A$6:$E$7645,5,0),IF(A406="INSUMO",VLOOKUP(B406,INSUMOS!$A$6:$E$6961,5,0),IF(A406="COTAÇÃO",VLOOKUP(B406,'036-20-Cotação'!$A$9:$H$529,8,0))))</f>
        <v>MAT.</v>
      </c>
      <c r="E406" s="452" t="str">
        <f>IF(A406="SERVIÇO",VLOOKUP(B406,SERVIÇOS!$A$6:$D$7645,3,0),IF(A406="INSUMO",VLOOKUP(B406,INSUMOS!$A$6:$D$6961,3,0),IF(A406="COTAÇÃO",VLOOKUP(B406,'036-20-Cotação'!$A$9:$G$529,4,0))))</f>
        <v>UN</v>
      </c>
      <c r="F406" s="462">
        <v>8</v>
      </c>
      <c r="G406" s="453">
        <f>IF(A406="SERVIÇO",VLOOKUP(B406,SERVIÇOS!$A$6:$D$7645,4,0),IF(A406="INSUMO",VLOOKUP(B406,INSUMOS!$A$6:$D$6961,4,0),IF(A406="COTAÇÃO",VLOOKUP(B406,'036-20-Cotação'!$A$9:$G$529,3,0))))</f>
        <v>3.1717391304347829E-2</v>
      </c>
      <c r="H406" s="463">
        <f t="shared" si="48"/>
        <v>0.25373913043478263</v>
      </c>
      <c r="J406" s="201"/>
    </row>
    <row r="407" spans="1:10" s="87" customFormat="1" ht="25.5">
      <c r="A407" s="232" t="s">
        <v>12</v>
      </c>
      <c r="B407" s="464" t="s">
        <v>7851</v>
      </c>
      <c r="C407" s="451" t="str">
        <f>IF(A407="SERVIÇO",VLOOKUP(B407,SERVIÇOS!$A$6:$D$7645,2,0),IF(A407="INSUMO",VLOOKUP(B407,INSUMOS!$A$6:$D$6961,2,0),IF(A407="COTAÇÃO",VLOOKUP(B407,'036-20-Cotação'!$A$9:$G$529,2,0))))</f>
        <v>PORCA SEXTAVADA ZINCADA ¼”</v>
      </c>
      <c r="D407" s="452" t="str">
        <f>IF(A407="SERVIÇO",VLOOKUP(B407,SERVIÇOS!$A$6:$E$7645,5,0),IF(A407="INSUMO",VLOOKUP(B407,INSUMOS!$A$6:$E$6961,5,0),IF(A407="COTAÇÃO",VLOOKUP(B407,'036-20-Cotação'!$A$9:$H$529,8,0))))</f>
        <v>MAT.</v>
      </c>
      <c r="E407" s="452" t="str">
        <f>IF(A407="SERVIÇO",VLOOKUP(B407,SERVIÇOS!$A$6:$D$7645,3,0),IF(A407="INSUMO",VLOOKUP(B407,INSUMOS!$A$6:$D$6961,3,0),IF(A407="COTAÇÃO",VLOOKUP(B407,'036-20-Cotação'!$A$9:$G$529,4,0))))</f>
        <v>UN</v>
      </c>
      <c r="F407" s="462">
        <v>8</v>
      </c>
      <c r="G407" s="453">
        <f>IF(A407="SERVIÇO",VLOOKUP(B407,SERVIÇOS!$A$6:$D$7645,4,0),IF(A407="INSUMO",VLOOKUP(B407,INSUMOS!$A$6:$D$6961,4,0),IF(A407="COTAÇÃO",VLOOKUP(B407,'036-20-Cotação'!$A$9:$G$529,3,0))))</f>
        <v>4.7509999999999997E-2</v>
      </c>
      <c r="H407" s="463">
        <f t="shared" si="48"/>
        <v>0.38007999999999997</v>
      </c>
      <c r="J407" s="201"/>
    </row>
    <row r="408" spans="1:10" s="87" customFormat="1" ht="25.5">
      <c r="A408" s="232" t="s">
        <v>4544</v>
      </c>
      <c r="B408" s="464">
        <v>39996</v>
      </c>
      <c r="C408" s="451" t="str">
        <f>IF(A408="SERVIÇO",VLOOKUP(B408,SERVIÇOS!$A$6:$D$7645,2,0),IF(A408="INSUMO",VLOOKUP(B408,INSUMOS!$A$6:$D$6961,2,0),IF(A408="COTAÇÃO",VLOOKUP(B408,'036-20-Cotação'!$A$9:$G$529,2,0))))</f>
        <v xml:space="preserve">VERGALHAO ZINCADO ROSCA TOTAL, 1/4 " (6,3 MM)                                                                                                                                                                                                                                                                                                                                                                                                                                                             </v>
      </c>
      <c r="D408" s="452" t="str">
        <f>IF(A408="SERVIÇO",VLOOKUP(B408,SERVIÇOS!$A$6:$E$7645,5,0),IF(A408="INSUMO",VLOOKUP(B408,INSUMOS!$A$6:$E$6961,5,0),IF(A408="COTAÇÃO",VLOOKUP(B408,'036-20-Cotação'!$A$9:$H$529,8,0))))</f>
        <v>MAT.</v>
      </c>
      <c r="E408" s="452" t="str">
        <f>IF(A408="SERVIÇO",VLOOKUP(B408,SERVIÇOS!$A$6:$D$7645,3,0),IF(A408="INSUMO",VLOOKUP(B408,INSUMOS!$A$6:$D$6961,3,0),IF(A408="COTAÇÃO",VLOOKUP(B408,'036-20-Cotação'!$A$9:$G$529,4,0))))</f>
        <v xml:space="preserve">M     </v>
      </c>
      <c r="F408" s="462">
        <v>0.8</v>
      </c>
      <c r="G408" s="453" t="str">
        <f>IF(A408="SERVIÇO",VLOOKUP(B408,SERVIÇOS!$A$6:$D$7645,4,0),IF(A408="INSUMO",VLOOKUP(B408,INSUMOS!$A$6:$D$6961,4,0),IF(A408="COTAÇÃO",VLOOKUP(B408,'036-20-Cotação'!$A$9:$G$529,3,0))))</f>
        <v>1,96</v>
      </c>
      <c r="H408" s="463">
        <f t="shared" si="48"/>
        <v>1.5680000000000001</v>
      </c>
      <c r="J408" s="201"/>
    </row>
    <row r="409" spans="1:10" s="87" customFormat="1" ht="12.75">
      <c r="A409" s="232" t="s">
        <v>4544</v>
      </c>
      <c r="B409" s="464" t="s">
        <v>6829</v>
      </c>
      <c r="C409" s="451" t="str">
        <f>IF(A409="SERVIÇO",VLOOKUP(B409,SERVIÇOS!$A$6:$D$7645,2,0),IF(A409="INSUMO",VLOOKUP(B409,INSUMOS!$A$6:$D$6961,2,0),IF(A409="COTAÇÃO",VLOOKUP(B409,'036-20-Cotação'!$A$9:$G$529,2,0))))</f>
        <v>PREGO DE FERRO</v>
      </c>
      <c r="D409" s="452" t="str">
        <f>IF(A409="SERVIÇO",VLOOKUP(B409,SERVIÇOS!$A$6:$E$7645,5,0),IF(A409="INSUMO",VLOOKUP(B409,INSUMOS!$A$6:$E$6961,5,0),IF(A409="COTAÇÃO",VLOOKUP(B409,'036-20-Cotação'!$A$9:$H$529,8,0))))</f>
        <v>MAT.</v>
      </c>
      <c r="E409" s="452" t="str">
        <f>IF(A409="SERVIÇO",VLOOKUP(B409,SERVIÇOS!$A$6:$D$7645,3,0),IF(A409="INSUMO",VLOOKUP(B409,INSUMOS!$A$6:$D$6961,3,0),IF(A409="COTAÇÃO",VLOOKUP(B409,'036-20-Cotação'!$A$9:$G$529,4,0))))</f>
        <v>KG</v>
      </c>
      <c r="F409" s="462">
        <v>0.54166999999999998</v>
      </c>
      <c r="G409" s="453">
        <f>IF(A409="SERVIÇO",VLOOKUP(B409,SERVIÇOS!$A$6:$D$7645,4,0),IF(A409="INSUMO",VLOOKUP(B409,INSUMOS!$A$6:$D$6961,4,0),IF(A409="COTAÇÃO",VLOOKUP(B409,'036-20-Cotação'!$A$9:$G$529,3,0))))</f>
        <v>9.5221</v>
      </c>
      <c r="H409" s="463">
        <f t="shared" si="48"/>
        <v>5.1578359069999999</v>
      </c>
      <c r="J409" s="201"/>
    </row>
    <row r="410" spans="1:10" s="87" customFormat="1" ht="38.25">
      <c r="A410" s="232" t="s">
        <v>4544</v>
      </c>
      <c r="B410" s="464">
        <v>6189</v>
      </c>
      <c r="C410" s="451" t="str">
        <f>IF(A410="SERVIÇO",VLOOKUP(B410,SERVIÇOS!$A$6:$D$7645,2,0),IF(A410="INSUMO",VLOOKUP(B410,INSUMOS!$A$6:$D$6961,2,0),IF(A410="COTAÇÃO",VLOOKUP(B410,'036-20-Cotação'!$A$9:$G$529,2,0))))</f>
        <v xml:space="preserve">TABUA DE MADEIRA NAO APARELHADA *2,5 X 30* CM, CEDRINHO OU EQUIVALENTE DA REGIAO                                                                                                                                                                                                                                                                                                                                                                                                                          </v>
      </c>
      <c r="D410" s="452" t="str">
        <f>IF(A410="SERVIÇO",VLOOKUP(B410,SERVIÇOS!$A$6:$E$7645,5,0),IF(A410="INSUMO",VLOOKUP(B410,INSUMOS!$A$6:$E$6961,5,0),IF(A410="COTAÇÃO",VLOOKUP(B410,'036-20-Cotação'!$A$9:$H$529,8,0))))</f>
        <v>MAT.</v>
      </c>
      <c r="E410" s="452" t="str">
        <f>IF(A410="SERVIÇO",VLOOKUP(B410,SERVIÇOS!$A$6:$D$7645,3,0),IF(A410="INSUMO",VLOOKUP(B410,INSUMOS!$A$6:$D$6961,3,0),IF(A410="COTAÇÃO",VLOOKUP(B410,'036-20-Cotação'!$A$9:$G$529,4,0))))</f>
        <v xml:space="preserve">M     </v>
      </c>
      <c r="F410" s="462">
        <v>5.2</v>
      </c>
      <c r="G410" s="453" t="str">
        <f>IF(A410="SERVIÇO",VLOOKUP(B410,SERVIÇOS!$A$6:$D$7645,4,0),IF(A410="INSUMO",VLOOKUP(B410,INSUMOS!$A$6:$D$6961,4,0),IF(A410="COTAÇÃO",VLOOKUP(B410,'036-20-Cotação'!$A$9:$G$529,3,0))))</f>
        <v>15,54</v>
      </c>
      <c r="H410" s="463">
        <f t="shared" si="48"/>
        <v>80.807999999999993</v>
      </c>
      <c r="J410" s="201"/>
    </row>
    <row r="411" spans="1:10" s="87" customFormat="1" ht="12.75">
      <c r="A411" s="232" t="s">
        <v>4544</v>
      </c>
      <c r="B411" s="464" t="s">
        <v>6827</v>
      </c>
      <c r="C411" s="451" t="str">
        <f>IF(A411="SERVIÇO",VLOOKUP(B411,SERVIÇOS!$A$6:$D$7645,2,0),IF(A411="INSUMO",VLOOKUP(B411,INSUMOS!$A$6:$D$6961,2,0),IF(A411="COTAÇÃO",VLOOKUP(B411,'036-20-Cotação'!$A$9:$G$529,2,0))))</f>
        <v>PEÇA DE MADEIRA DE 2,5 X 7,5 CM</v>
      </c>
      <c r="D411" s="452" t="str">
        <f>IF(A411="SERVIÇO",VLOOKUP(B411,SERVIÇOS!$A$6:$E$7645,5,0),IF(A411="INSUMO",VLOOKUP(B411,INSUMOS!$A$6:$E$6961,5,0),IF(A411="COTAÇÃO",VLOOKUP(B411,'036-20-Cotação'!$A$9:$H$529,8,0))))</f>
        <v>MAT.</v>
      </c>
      <c r="E411" s="452" t="str">
        <f>IF(A411="SERVIÇO",VLOOKUP(B411,SERVIÇOS!$A$6:$D$7645,3,0),IF(A411="INSUMO",VLOOKUP(B411,INSUMOS!$A$6:$D$6961,3,0),IF(A411="COTAÇÃO",VLOOKUP(B411,'036-20-Cotação'!$A$9:$G$529,4,0))))</f>
        <v>M</v>
      </c>
      <c r="F411" s="462">
        <v>5.2</v>
      </c>
      <c r="G411" s="453">
        <f>IF(A411="SERVIÇO",VLOOKUP(B411,SERVIÇOS!$A$6:$D$7645,4,0),IF(A411="INSUMO",VLOOKUP(B411,INSUMOS!$A$6:$D$6961,4,0),IF(A411="COTAÇÃO",VLOOKUP(B411,'036-20-Cotação'!$A$9:$G$529,3,0))))</f>
        <v>3.3033999999999999</v>
      </c>
      <c r="H411" s="463">
        <f t="shared" si="48"/>
        <v>17.177679999999999</v>
      </c>
      <c r="J411" s="201"/>
    </row>
    <row r="412" spans="1:10" s="87" customFormat="1" ht="38.25">
      <c r="A412" s="232" t="s">
        <v>4544</v>
      </c>
      <c r="B412" s="464">
        <v>6193</v>
      </c>
      <c r="C412" s="451" t="str">
        <f>IF(A412="SERVIÇO",VLOOKUP(B412,SERVIÇOS!$A$6:$D$7645,2,0),IF(A412="INSUMO",VLOOKUP(B412,INSUMOS!$A$6:$D$6961,2,0),IF(A412="COTAÇÃO",VLOOKUP(B412,'036-20-Cotação'!$A$9:$G$529,2,0))))</f>
        <v xml:space="preserve">TABUA DE MADEIRA NAO APARELHADA *2,5 X 20* CM, CEDRINHO OU EQUIVALENTE DA REGIAO                                                                                                                                                                                                                                                                                                                                                                                                                          </v>
      </c>
      <c r="D412" s="452" t="str">
        <f>IF(A412="SERVIÇO",VLOOKUP(B412,SERVIÇOS!$A$6:$E$7645,5,0),IF(A412="INSUMO",VLOOKUP(B412,INSUMOS!$A$6:$E$6961,5,0),IF(A412="COTAÇÃO",VLOOKUP(B412,'036-20-Cotação'!$A$9:$H$529,8,0))))</f>
        <v>MAT.</v>
      </c>
      <c r="E412" s="452" t="str">
        <f>IF(A412="SERVIÇO",VLOOKUP(B412,SERVIÇOS!$A$6:$D$7645,3,0),IF(A412="INSUMO",VLOOKUP(B412,INSUMOS!$A$6:$D$6961,3,0),IF(A412="COTAÇÃO",VLOOKUP(B412,'036-20-Cotação'!$A$9:$G$529,4,0))))</f>
        <v xml:space="preserve">M     </v>
      </c>
      <c r="F412" s="462">
        <v>2.6</v>
      </c>
      <c r="G412" s="453" t="str">
        <f>IF(A412="SERVIÇO",VLOOKUP(B412,SERVIÇOS!$A$6:$D$7645,4,0),IF(A412="INSUMO",VLOOKUP(B412,INSUMOS!$A$6:$D$6961,4,0),IF(A412="COTAÇÃO",VLOOKUP(B412,'036-20-Cotação'!$A$9:$G$529,3,0))))</f>
        <v>10,62</v>
      </c>
      <c r="H412" s="463">
        <f t="shared" si="48"/>
        <v>27.611999999999998</v>
      </c>
      <c r="J412" s="201"/>
    </row>
    <row r="413" spans="1:10" s="87" customFormat="1" ht="38.25">
      <c r="A413" s="232" t="s">
        <v>4544</v>
      </c>
      <c r="B413" s="531">
        <v>4433</v>
      </c>
      <c r="C413" s="451" t="str">
        <f>IF(A413="SERVIÇO",VLOOKUP(B413,SERVIÇOS!$A$6:$D$7645,2,0),IF(A413="INSUMO",VLOOKUP(B413,INSUMOS!$A$6:$D$6961,2,0),IF(A413="COTAÇÃO",VLOOKUP(B413,'036-20-Cotação'!$A$9:$G$529,2,0))))</f>
        <v xml:space="preserve">PECA DE MADEIRA NAO APARELHADA *7,5 X 7,5* CM (3 X 3 ") MACARANDUBA, ANGELIM OU EQUIVALENTE DA REGIAO                                                                                                                                                                                                                                                                                                                                                                                                     </v>
      </c>
      <c r="D413" s="452" t="str">
        <f>IF(A413="SERVIÇO",VLOOKUP(B413,SERVIÇOS!$A$6:$E$7645,5,0),IF(A413="INSUMO",VLOOKUP(B413,INSUMOS!$A$6:$E$6961,5,0),IF(A413="COTAÇÃO",VLOOKUP(B413,'036-20-Cotação'!$A$9:$H$529,8,0))))</f>
        <v>MAT.</v>
      </c>
      <c r="E413" s="452" t="str">
        <f>IF(A413="SERVIÇO",VLOOKUP(B413,SERVIÇOS!$A$6:$D$7645,3,0),IF(A413="INSUMO",VLOOKUP(B413,INSUMOS!$A$6:$D$6961,3,0),IF(A413="COTAÇÃO",VLOOKUP(B413,'036-20-Cotação'!$A$9:$G$529,4,0))))</f>
        <v xml:space="preserve">M     </v>
      </c>
      <c r="F413" s="462">
        <v>10.4</v>
      </c>
      <c r="G413" s="453" t="str">
        <f>IF(A413="SERVIÇO",VLOOKUP(B413,SERVIÇOS!$A$6:$D$7645,4,0),IF(A413="INSUMO",VLOOKUP(B413,INSUMOS!$A$6:$D$6961,4,0),IF(A413="COTAÇÃO",VLOOKUP(B413,'036-20-Cotação'!$A$9:$G$529,3,0))))</f>
        <v>12,34</v>
      </c>
      <c r="H413" s="463">
        <f t="shared" si="48"/>
        <v>128.33600000000001</v>
      </c>
      <c r="J413" s="201"/>
    </row>
    <row r="414" spans="1:10" s="87" customFormat="1" ht="25.5">
      <c r="A414" s="232" t="s">
        <v>4544</v>
      </c>
      <c r="B414" s="464">
        <v>406</v>
      </c>
      <c r="C414" s="451" t="str">
        <f>IF(A414="SERVIÇO",VLOOKUP(B414,SERVIÇOS!$A$6:$D$7645,2,0),IF(A414="INSUMO",VLOOKUP(B414,INSUMOS!$A$6:$D$6961,2,0),IF(A414="COTAÇÃO",VLOOKUP(B414,'036-20-Cotação'!$A$9:$G$529,2,0))))</f>
        <v xml:space="preserve">FITA ACO INOX PARA CINTAR POSTE, L = 19 MM, E = 0,5 MM (ROLO DE 30M)                                                                                                                                                                                                                                                                                                                                                                                                                                      </v>
      </c>
      <c r="D414" s="452" t="str">
        <f>IF(A414="SERVIÇO",VLOOKUP(B414,SERVIÇOS!$A$6:$E$7645,5,0),IF(A414="INSUMO",VLOOKUP(B414,INSUMOS!$A$6:$E$6961,5,0),IF(A414="COTAÇÃO",VLOOKUP(B414,'036-20-Cotação'!$A$9:$H$529,8,0))))</f>
        <v>MAT.</v>
      </c>
      <c r="E414" s="452" t="str">
        <f>IF(A414="SERVIÇO",VLOOKUP(B414,SERVIÇOS!$A$6:$D$7645,3,0),IF(A414="INSUMO",VLOOKUP(B414,INSUMOS!$A$6:$D$6961,3,0),IF(A414="COTAÇÃO",VLOOKUP(B414,'036-20-Cotação'!$A$9:$G$529,4,0))))</f>
        <v xml:space="preserve">UN    </v>
      </c>
      <c r="F414" s="462">
        <v>0.1167</v>
      </c>
      <c r="G414" s="453" t="str">
        <f>IF(A414="SERVIÇO",VLOOKUP(B414,SERVIÇOS!$A$6:$D$7645,4,0),IF(A414="INSUMO",VLOOKUP(B414,INSUMOS!$A$6:$D$6961,4,0),IF(A414="COTAÇÃO",VLOOKUP(B414,'036-20-Cotação'!$A$9:$G$529,3,0))))</f>
        <v>63,40</v>
      </c>
      <c r="H414" s="463">
        <f t="shared" si="48"/>
        <v>7.3987799999999995</v>
      </c>
      <c r="J414" s="201"/>
    </row>
    <row r="415" spans="1:10" s="87" customFormat="1" ht="25.5">
      <c r="A415" s="232" t="s">
        <v>12</v>
      </c>
      <c r="B415" s="464" t="s">
        <v>6628</v>
      </c>
      <c r="C415" s="451" t="str">
        <f>IF(A415="SERVIÇO",VLOOKUP(B415,SERVIÇOS!$A$6:$D$7645,2,0),IF(A415="INSUMO",VLOOKUP(B415,INSUMOS!$A$6:$D$6961,2,0),IF(A415="COTAÇÃO",VLOOKUP(B415,'036-20-Cotação'!$A$9:$G$529,2,0))))</f>
        <v>TAMBOR DE AÇO COM CAPACIDADE DE 200 L</v>
      </c>
      <c r="D415" s="452" t="str">
        <f>IF(A415="SERVIÇO",VLOOKUP(B415,SERVIÇOS!$A$6:$E$7645,5,0),IF(A415="INSUMO",VLOOKUP(B415,INSUMOS!$A$6:$E$6961,5,0),IF(A415="COTAÇÃO",VLOOKUP(B415,'036-20-Cotação'!$A$9:$H$529,8,0))))</f>
        <v>MAT.</v>
      </c>
      <c r="E415" s="452" t="str">
        <f>IF(A415="SERVIÇO",VLOOKUP(B415,SERVIÇOS!$A$6:$D$7645,3,0),IF(A415="INSUMO",VLOOKUP(B415,INSUMOS!$A$6:$D$6961,3,0),IF(A415="COTAÇÃO",VLOOKUP(B415,'036-20-Cotação'!$A$9:$G$529,4,0))))</f>
        <v>UN</v>
      </c>
      <c r="F415" s="462">
        <v>1.25</v>
      </c>
      <c r="G415" s="453">
        <f>IF(A415="SERVIÇO",VLOOKUP(B415,SERVIÇOS!$A$6:$D$7645,4,0),IF(A415="INSUMO",VLOOKUP(B415,INSUMOS!$A$6:$D$6961,4,0),IF(A415="COTAÇÃO",VLOOKUP(B415,'036-20-Cotação'!$A$9:$G$529,3,0))))</f>
        <v>49.673525483713327</v>
      </c>
      <c r="H415" s="463">
        <f t="shared" si="48"/>
        <v>62.091906854641657</v>
      </c>
      <c r="J415" s="201"/>
    </row>
    <row r="416" spans="1:10" s="87" customFormat="1" ht="12.75">
      <c r="A416" s="188"/>
      <c r="B416" s="348" t="s">
        <v>123</v>
      </c>
      <c r="C416" s="695" t="s">
        <v>26843</v>
      </c>
      <c r="D416" s="696"/>
      <c r="E416" s="696"/>
      <c r="F416" s="696"/>
      <c r="G416" s="696"/>
      <c r="H416" s="697"/>
      <c r="J416" s="201"/>
    </row>
    <row r="417" spans="1:17" s="78" customFormat="1" ht="12.75">
      <c r="A417" s="188"/>
      <c r="B417" s="346"/>
      <c r="C417" s="347"/>
      <c r="D417" s="347"/>
      <c r="E417" s="347"/>
      <c r="F417" s="347"/>
      <c r="G417" s="347"/>
      <c r="H417" s="347"/>
      <c r="J417" s="79"/>
      <c r="K417" s="87"/>
      <c r="L417" s="87"/>
      <c r="M417" s="87"/>
      <c r="N417" s="87"/>
      <c r="O417" s="87"/>
      <c r="P417" s="87"/>
      <c r="Q417" s="87"/>
    </row>
    <row r="418" spans="1:17" s="78" customFormat="1" ht="63.75">
      <c r="A418" s="188"/>
      <c r="B418" s="80" t="s">
        <v>6866</v>
      </c>
      <c r="C418" s="81" t="s">
        <v>6867</v>
      </c>
      <c r="D418" s="82" t="s">
        <v>84</v>
      </c>
      <c r="E418" s="82" t="s">
        <v>172</v>
      </c>
      <c r="F418" s="83"/>
      <c r="G418" s="84"/>
      <c r="H418" s="85">
        <f>SUM(H419:H430)</f>
        <v>103.31475596659133</v>
      </c>
      <c r="J418" s="201" t="s">
        <v>7852</v>
      </c>
      <c r="K418" s="87"/>
      <c r="L418" s="87"/>
      <c r="M418" s="87"/>
      <c r="N418" s="87"/>
      <c r="O418" s="87"/>
      <c r="P418" s="87"/>
      <c r="Q418" s="87"/>
    </row>
    <row r="419" spans="1:17" s="87" customFormat="1" ht="12.75">
      <c r="A419" s="232" t="s">
        <v>4542</v>
      </c>
      <c r="B419" s="464" t="s">
        <v>6825</v>
      </c>
      <c r="C419" s="451" t="str">
        <f>IF(A419="SERVIÇO",VLOOKUP(B419,SERVIÇOS!$A$6:$D$7645,2,0),IF(A419="INSUMO",VLOOKUP(B419,INSUMOS!$A$6:$D$6961,2,0),IF(A419="COTAÇÃO",VLOOKUP(B419,'036-20-Cotação'!$A$9:$G$529,2,0))))</f>
        <v>AJUDANTE</v>
      </c>
      <c r="D419" s="452" t="str">
        <f>IF(A419="SERVIÇO",VLOOKUP(B419,SERVIÇOS!$A$6:$E$7645,5,0),IF(A419="INSUMO",VLOOKUP(B419,INSUMOS!$A$6:$E$6961,5,0),IF(A419="COTAÇÃO",VLOOKUP(B419,'036-20-Cotação'!$A$9:$H$529,8,0))))</f>
        <v>M.O</v>
      </c>
      <c r="E419" s="452" t="str">
        <f>IF(A419="SERVIÇO",VLOOKUP(B419,SERVIÇOS!$A$6:$D$7645,3,0),IF(A419="INSUMO",VLOOKUP(B419,INSUMOS!$A$6:$D$6961,3,0),IF(A419="COTAÇÃO",VLOOKUP(B419,'036-20-Cotação'!$A$9:$G$529,4,0))))</f>
        <v>H</v>
      </c>
      <c r="F419" s="462">
        <f>1/1.5</f>
        <v>0.66666666666666663</v>
      </c>
      <c r="G419" s="453">
        <f>IF(A419="SERVIÇO",VLOOKUP(B419,SERVIÇOS!$A$6:$D$7645,4,0),IF(A419="INSUMO",VLOOKUP(B419,INSUMOS!$A$6:$D$6961,4,0),IF(A419="COTAÇÃO",VLOOKUP(B419,'036-20-Cotação'!$A$9:$G$529,3,0))))</f>
        <v>17.9801</v>
      </c>
      <c r="H419" s="463">
        <f t="shared" ref="H419:H430" si="49">G419*F419</f>
        <v>11.986733333333333</v>
      </c>
      <c r="J419" s="201"/>
    </row>
    <row r="420" spans="1:17" s="87" customFormat="1" ht="12.75">
      <c r="A420" s="232" t="s">
        <v>4542</v>
      </c>
      <c r="B420" s="464" t="s">
        <v>6613</v>
      </c>
      <c r="C420" s="451" t="str">
        <f>IF(A420="SERVIÇO",VLOOKUP(B420,SERVIÇOS!$A$6:$D$7645,2,0),IF(A420="INSUMO",VLOOKUP(B420,INSUMOS!$A$6:$D$6961,2,0),IF(A420="COTAÇÃO",VLOOKUP(B420,'036-20-Cotação'!$A$9:$G$529,2,0))))</f>
        <v>CARPINTEIRO</v>
      </c>
      <c r="D420" s="452" t="str">
        <f>IF(A420="SERVIÇO",VLOOKUP(B420,SERVIÇOS!$A$6:$E$7645,5,0),IF(A420="INSUMO",VLOOKUP(B420,INSUMOS!$A$6:$E$6961,5,0),IF(A420="COTAÇÃO",VLOOKUP(B420,'036-20-Cotação'!$A$9:$H$529,8,0))))</f>
        <v>M.O</v>
      </c>
      <c r="E420" s="452" t="str">
        <f>IF(A420="SERVIÇO",VLOOKUP(B420,SERVIÇOS!$A$6:$D$7645,3,0),IF(A420="INSUMO",VLOOKUP(B420,INSUMOS!$A$6:$D$6961,3,0),IF(A420="COTAÇÃO",VLOOKUP(B420,'036-20-Cotação'!$A$9:$G$529,4,0))))</f>
        <v>H</v>
      </c>
      <c r="F420" s="462">
        <f>1/1.5</f>
        <v>0.66666666666666663</v>
      </c>
      <c r="G420" s="453">
        <f>IF(A420="SERVIÇO",VLOOKUP(B420,SERVIÇOS!$A$6:$D$7645,4,0),IF(A420="INSUMO",VLOOKUP(B420,INSUMOS!$A$6:$D$6961,4,0),IF(A420="COTAÇÃO",VLOOKUP(B420,'036-20-Cotação'!$A$9:$G$529,3,0))))</f>
        <v>21.710999999999999</v>
      </c>
      <c r="H420" s="463">
        <f t="shared" si="49"/>
        <v>14.473999999999998</v>
      </c>
      <c r="J420" s="201"/>
    </row>
    <row r="421" spans="1:17" s="87" customFormat="1" ht="25.5">
      <c r="A421" s="232" t="s">
        <v>4542</v>
      </c>
      <c r="B421" s="464">
        <v>3807861</v>
      </c>
      <c r="C421" s="451" t="str">
        <f>'036-20-CCA''s'!$C$126</f>
        <v>CHUMBADOR PARA CONCRETO D = 6,3 MM TIPO TECBOLT - FORNECIMENTO E INSTALAÇÃO</v>
      </c>
      <c r="D421" s="452" t="str">
        <f>'036-20-CCA''s'!$D$126</f>
        <v>SER.CG</v>
      </c>
      <c r="E421" s="452" t="str">
        <f>'036-20-CCA''s'!$E$126</f>
        <v>UN</v>
      </c>
      <c r="F421" s="462">
        <v>0.29630000000000001</v>
      </c>
      <c r="G421" s="453">
        <f>'036-20-CCA''s'!$H$126</f>
        <v>2.3260791408977557</v>
      </c>
      <c r="H421" s="463">
        <f t="shared" si="49"/>
        <v>0.689217249448005</v>
      </c>
      <c r="J421" s="201"/>
    </row>
    <row r="422" spans="1:17" s="87" customFormat="1" ht="25.5">
      <c r="A422" s="232" t="s">
        <v>4542</v>
      </c>
      <c r="B422" s="464">
        <v>3807863</v>
      </c>
      <c r="C422" s="451" t="str">
        <f>'036-20-CCA''s'!C134</f>
        <v>CHUMBADOR PARA CONCRETO D = 12,5 MM TIPO TECBOLT - FORNECIMENTO E INSTALAÇÃO</v>
      </c>
      <c r="D422" s="452" t="str">
        <f>'036-20-CCA''s'!D134</f>
        <v>SER.CG</v>
      </c>
      <c r="E422" s="452" t="str">
        <f>'036-20-CCA''s'!E134</f>
        <v>UN</v>
      </c>
      <c r="F422" s="462">
        <v>0.1852</v>
      </c>
      <c r="G422" s="453">
        <f>'036-20-CCA''s'!H134</f>
        <v>8.0054770873015872</v>
      </c>
      <c r="H422" s="463">
        <f t="shared" si="49"/>
        <v>1.4826143565682539</v>
      </c>
      <c r="J422" s="201"/>
    </row>
    <row r="423" spans="1:17" s="87" customFormat="1" ht="25.5">
      <c r="A423" s="232" t="s">
        <v>4544</v>
      </c>
      <c r="B423" s="464" t="s">
        <v>6868</v>
      </c>
      <c r="C423" s="451" t="str">
        <f>IF(A423="SERVIÇO",VLOOKUP(B423,SERVIÇOS!$A$6:$D$7645,2,0),IF(A423="INSUMO",VLOOKUP(B423,INSUMOS!$A$6:$D$6961,2,0),IF(A423="COTAÇÃO",VLOOKUP(B423,'036-20-Cotação'!$A$9:$G$529,2,0))))</f>
        <v>GRAMPO PESADO PARA CABO DE AÇO - D = 13 MM</v>
      </c>
      <c r="D423" s="452" t="str">
        <f>IF(A423="SERVIÇO",VLOOKUP(B423,SERVIÇOS!$A$6:$E$7645,5,0),IF(A423="INSUMO",VLOOKUP(B423,INSUMOS!$A$6:$E$6961,5,0),IF(A423="COTAÇÃO",VLOOKUP(B423,'036-20-Cotação'!$A$9:$H$529,8,0))))</f>
        <v>MAT.</v>
      </c>
      <c r="E423" s="452" t="str">
        <f>IF(A423="SERVIÇO",VLOOKUP(B423,SERVIÇOS!$A$6:$D$7645,3,0),IF(A423="INSUMO",VLOOKUP(B423,INSUMOS!$A$6:$D$6961,3,0),IF(A423="COTAÇÃO",VLOOKUP(B423,'036-20-Cotação'!$A$9:$G$529,4,0))))</f>
        <v>UN</v>
      </c>
      <c r="F423" s="462">
        <v>0.74070000000000003</v>
      </c>
      <c r="G423" s="453">
        <f>IF(A423="SERVIÇO",VLOOKUP(B423,SERVIÇOS!$A$6:$D$7645,4,0),IF(A423="INSUMO",VLOOKUP(B423,INSUMOS!$A$6:$D$6961,4,0),IF(A423="COTAÇÃO",VLOOKUP(B423,'036-20-Cotação'!$A$9:$G$529,3,0))))</f>
        <v>12.2537</v>
      </c>
      <c r="H423" s="463">
        <f t="shared" si="49"/>
        <v>9.0763155900000001</v>
      </c>
      <c r="J423" s="201"/>
    </row>
    <row r="424" spans="1:17" s="87" customFormat="1" ht="12.75">
      <c r="A424" s="232" t="s">
        <v>4544</v>
      </c>
      <c r="B424" s="464" t="s">
        <v>6869</v>
      </c>
      <c r="C424" s="451" t="str">
        <f>IF(A424="SERVIÇO",VLOOKUP(B424,SERVIÇOS!$A$6:$D$7645,2,0),IF(A424="INSUMO",VLOOKUP(B424,INSUMOS!$A$6:$D$6961,2,0),IF(A424="COTAÇÃO",VLOOKUP(B424,'036-20-Cotação'!$A$9:$G$529,2,0))))</f>
        <v>ESTICADOR PARA CABO DE AÇO - D = 13 MM</v>
      </c>
      <c r="D424" s="452" t="str">
        <f>IF(A424="SERVIÇO",VLOOKUP(B424,SERVIÇOS!$A$6:$E$7645,5,0),IF(A424="INSUMO",VLOOKUP(B424,INSUMOS!$A$6:$E$6961,5,0),IF(A424="COTAÇÃO",VLOOKUP(B424,'036-20-Cotação'!$A$9:$H$529,8,0))))</f>
        <v>MAT.</v>
      </c>
      <c r="E424" s="452" t="str">
        <f>IF(A424="SERVIÇO",VLOOKUP(B424,SERVIÇOS!$A$6:$D$7645,3,0),IF(A424="INSUMO",VLOOKUP(B424,INSUMOS!$A$6:$D$6961,3,0),IF(A424="COTAÇÃO",VLOOKUP(B424,'036-20-Cotação'!$A$9:$G$529,4,0))))</f>
        <v>UN</v>
      </c>
      <c r="F424" s="462">
        <v>0.37037037037037035</v>
      </c>
      <c r="G424" s="453">
        <f>IF(A424="SERVIÇO",VLOOKUP(B424,SERVIÇOS!$A$6:$D$7645,4,0),IF(A424="INSUMO",VLOOKUP(B424,INSUMOS!$A$6:$D$6961,4,0),IF(A424="COTAÇÃO",VLOOKUP(B424,'036-20-Cotação'!$A$9:$G$529,3,0))))</f>
        <v>80.767899999999997</v>
      </c>
      <c r="H424" s="463">
        <f t="shared" si="49"/>
        <v>29.914037037037033</v>
      </c>
      <c r="J424" s="201"/>
    </row>
    <row r="425" spans="1:17" s="87" customFormat="1" ht="12.75">
      <c r="A425" s="232" t="s">
        <v>4544</v>
      </c>
      <c r="B425" s="464" t="s">
        <v>6870</v>
      </c>
      <c r="C425" s="451" t="str">
        <f>IF(A425="SERVIÇO",VLOOKUP(B425,SERVIÇOS!$A$6:$D$7645,2,0),IF(A425="INSUMO",VLOOKUP(B425,INSUMOS!$A$6:$D$6961,2,0),IF(A425="COTAÇÃO",VLOOKUP(B425,'036-20-Cotação'!$A$9:$G$529,2,0))))</f>
        <v>CAIBRO DE PINHO DE 7,5 X 7,5 CM</v>
      </c>
      <c r="D425" s="452" t="str">
        <f>IF(A425="SERVIÇO",VLOOKUP(B425,SERVIÇOS!$A$6:$E$7645,5,0),IF(A425="INSUMO",VLOOKUP(B425,INSUMOS!$A$6:$E$6961,5,0),IF(A425="COTAÇÃO",VLOOKUP(B425,'036-20-Cotação'!$A$9:$H$529,8,0))))</f>
        <v>MAT.</v>
      </c>
      <c r="E425" s="452" t="str">
        <f>IF(A425="SERVIÇO",VLOOKUP(B425,SERVIÇOS!$A$6:$D$7645,3,0),IF(A425="INSUMO",VLOOKUP(B425,INSUMOS!$A$6:$D$6961,3,0),IF(A425="COTAÇÃO",VLOOKUP(B425,'036-20-Cotação'!$A$9:$G$529,4,0))))</f>
        <v>M</v>
      </c>
      <c r="F425" s="462">
        <v>0.8</v>
      </c>
      <c r="G425" s="453">
        <f>IF(A425="SERVIÇO",VLOOKUP(B425,SERVIÇOS!$A$6:$D$7645,4,0),IF(A425="INSUMO",VLOOKUP(B425,INSUMOS!$A$6:$D$6961,4,0),IF(A425="COTAÇÃO",VLOOKUP(B425,'036-20-Cotação'!$A$9:$G$529,3,0))))</f>
        <v>26.3032</v>
      </c>
      <c r="H425" s="463">
        <f t="shared" si="49"/>
        <v>21.042560000000002</v>
      </c>
      <c r="J425" s="201"/>
    </row>
    <row r="426" spans="1:17" s="87" customFormat="1" ht="12.75">
      <c r="A426" s="232" t="s">
        <v>4544</v>
      </c>
      <c r="B426" s="464" t="s">
        <v>6871</v>
      </c>
      <c r="C426" s="451" t="str">
        <f>IF(A426="SERVIÇO",VLOOKUP(B426,SERVIÇOS!$A$6:$D$7645,2,0),IF(A426="INSUMO",VLOOKUP(B426,INSUMOS!$A$6:$D$6961,2,0),IF(A426="COTAÇÃO",VLOOKUP(B426,'036-20-Cotação'!$A$9:$G$529,2,0))))</f>
        <v>TÁBUA DE 2,5 X 30 CM</v>
      </c>
      <c r="D426" s="452" t="str">
        <f>IF(A426="SERVIÇO",VLOOKUP(B426,SERVIÇOS!$A$6:$E$7645,5,0),IF(A426="INSUMO",VLOOKUP(B426,INSUMOS!$A$6:$E$6961,5,0),IF(A426="COTAÇÃO",VLOOKUP(B426,'036-20-Cotação'!$A$9:$H$529,8,0))))</f>
        <v>MAT.</v>
      </c>
      <c r="E426" s="452" t="str">
        <f>IF(A426="SERVIÇO",VLOOKUP(B426,SERVIÇOS!$A$6:$D$7645,3,0),IF(A426="INSUMO",VLOOKUP(B426,INSUMOS!$A$6:$D$6961,3,0),IF(A426="COTAÇÃO",VLOOKUP(B426,'036-20-Cotação'!$A$9:$G$529,4,0))))</f>
        <v>M</v>
      </c>
      <c r="F426" s="462">
        <v>0.11111</v>
      </c>
      <c r="G426" s="453">
        <f>IF(A426="SERVIÇO",VLOOKUP(B426,SERVIÇOS!$A$6:$D$7645,4,0),IF(A426="INSUMO",VLOOKUP(B426,INSUMOS!$A$6:$D$6961,4,0),IF(A426="COTAÇÃO",VLOOKUP(B426,'036-20-Cotação'!$A$9:$G$529,3,0))))</f>
        <v>9.7302</v>
      </c>
      <c r="H426" s="463">
        <f t="shared" si="49"/>
        <v>1.081122522</v>
      </c>
      <c r="J426" s="201"/>
    </row>
    <row r="427" spans="1:17" s="87" customFormat="1" ht="12.75">
      <c r="A427" s="232" t="s">
        <v>4544</v>
      </c>
      <c r="B427" s="464" t="s">
        <v>6827</v>
      </c>
      <c r="C427" s="451" t="str">
        <f>IF(A427="SERVIÇO",VLOOKUP(B427,SERVIÇOS!$A$6:$D$7645,2,0),IF(A427="INSUMO",VLOOKUP(B427,INSUMOS!$A$6:$D$6961,2,0),IF(A427="COTAÇÃO",VLOOKUP(B427,'036-20-Cotação'!$A$9:$G$529,2,0))))</f>
        <v>PEÇA DE MADEIRA DE 2,5 X 7,5 CM</v>
      </c>
      <c r="D427" s="452" t="str">
        <f>IF(A427="SERVIÇO",VLOOKUP(B427,SERVIÇOS!$A$6:$E$7645,5,0),IF(A427="INSUMO",VLOOKUP(B427,INSUMOS!$A$6:$E$6961,5,0),IF(A427="COTAÇÃO",VLOOKUP(B427,'036-20-Cotação'!$A$9:$H$529,8,0))))</f>
        <v>MAT.</v>
      </c>
      <c r="E427" s="452" t="str">
        <f>IF(A427="SERVIÇO",VLOOKUP(B427,SERVIÇOS!$A$6:$D$7645,3,0),IF(A427="INSUMO",VLOOKUP(B427,INSUMOS!$A$6:$D$6961,3,0),IF(A427="COTAÇÃO",VLOOKUP(B427,'036-20-Cotação'!$A$9:$G$529,4,0))))</f>
        <v>M</v>
      </c>
      <c r="F427" s="462">
        <v>2.0666699999999998</v>
      </c>
      <c r="G427" s="453">
        <f>IF(A427="SERVIÇO",VLOOKUP(B427,SERVIÇOS!$A$6:$D$7645,4,0),IF(A427="INSUMO",VLOOKUP(B427,INSUMOS!$A$6:$D$6961,4,0),IF(A427="COTAÇÃO",VLOOKUP(B427,'036-20-Cotação'!$A$9:$G$529,3,0))))</f>
        <v>3.3033999999999999</v>
      </c>
      <c r="H427" s="463">
        <f t="shared" si="49"/>
        <v>6.8270376779999991</v>
      </c>
      <c r="J427" s="201"/>
    </row>
    <row r="428" spans="1:17" s="87" customFormat="1" ht="12.75">
      <c r="A428" s="232" t="s">
        <v>4544</v>
      </c>
      <c r="B428" s="464" t="s">
        <v>6872</v>
      </c>
      <c r="C428" s="451" t="str">
        <f>IF(A428="SERVIÇO",VLOOKUP(B428,SERVIÇOS!$A$6:$D$7645,2,0),IF(A428="INSUMO",VLOOKUP(B428,INSUMOS!$A$6:$D$6961,2,0),IF(A428="COTAÇÃO",VLOOKUP(B428,'036-20-Cotação'!$A$9:$G$529,2,0))))</f>
        <v>CABO DE AÇO - D = 13 MM</v>
      </c>
      <c r="D428" s="452" t="str">
        <f>IF(A428="SERVIÇO",VLOOKUP(B428,SERVIÇOS!$A$6:$E$7645,5,0),IF(A428="INSUMO",VLOOKUP(B428,INSUMOS!$A$6:$E$6961,5,0),IF(A428="COTAÇÃO",VLOOKUP(B428,'036-20-Cotação'!$A$9:$H$529,8,0))))</f>
        <v>MAT.</v>
      </c>
      <c r="E428" s="452" t="str">
        <f>IF(A428="SERVIÇO",VLOOKUP(B428,SERVIÇOS!$A$6:$D$7645,3,0),IF(A428="INSUMO",VLOOKUP(B428,INSUMOS!$A$6:$D$6961,3,0),IF(A428="COTAÇÃO",VLOOKUP(B428,'036-20-Cotação'!$A$9:$G$529,4,0))))</f>
        <v>M</v>
      </c>
      <c r="F428" s="462">
        <v>0.2344</v>
      </c>
      <c r="G428" s="453">
        <f>IF(A428="SERVIÇO",VLOOKUP(B428,SERVIÇOS!$A$6:$D$7645,4,0),IF(A428="INSUMO",VLOOKUP(B428,INSUMOS!$A$6:$D$6961,4,0),IF(A428="COTAÇÃO",VLOOKUP(B428,'036-20-Cotação'!$A$9:$G$529,3,0))))</f>
        <v>13.546900000000001</v>
      </c>
      <c r="H428" s="463">
        <f t="shared" si="49"/>
        <v>3.1753933600000002</v>
      </c>
      <c r="J428" s="201"/>
    </row>
    <row r="429" spans="1:17" s="87" customFormat="1" ht="12.75">
      <c r="A429" s="232" t="s">
        <v>4544</v>
      </c>
      <c r="B429" s="464" t="s">
        <v>6829</v>
      </c>
      <c r="C429" s="451" t="str">
        <f>IF(A429="SERVIÇO",VLOOKUP(B429,SERVIÇOS!$A$6:$D$7645,2,0),IF(A429="INSUMO",VLOOKUP(B429,INSUMOS!$A$6:$D$6961,2,0),IF(A429="COTAÇÃO",VLOOKUP(B429,'036-20-Cotação'!$A$9:$G$529,2,0))))</f>
        <v>PREGO DE FERRO</v>
      </c>
      <c r="D429" s="452" t="str">
        <f>IF(A429="SERVIÇO",VLOOKUP(B429,SERVIÇOS!$A$6:$E$7645,5,0),IF(A429="INSUMO",VLOOKUP(B429,INSUMOS!$A$6:$E$6961,5,0),IF(A429="COTAÇÃO",VLOOKUP(B429,'036-20-Cotação'!$A$9:$H$529,8,0))))</f>
        <v>MAT.</v>
      </c>
      <c r="E429" s="452" t="str">
        <f>IF(A429="SERVIÇO",VLOOKUP(B429,SERVIÇOS!$A$6:$D$7645,3,0),IF(A429="INSUMO",VLOOKUP(B429,INSUMOS!$A$6:$D$6961,3,0),IF(A429="COTAÇÃO",VLOOKUP(B429,'036-20-Cotação'!$A$9:$G$529,4,0))))</f>
        <v>KG</v>
      </c>
      <c r="F429" s="462">
        <v>0.35261999999999999</v>
      </c>
      <c r="G429" s="453">
        <f>IF(A429="SERVIÇO",VLOOKUP(B429,SERVIÇOS!$A$6:$D$7645,4,0),IF(A429="INSUMO",VLOOKUP(B429,INSUMOS!$A$6:$D$6961,4,0),IF(A429="COTAÇÃO",VLOOKUP(B429,'036-20-Cotação'!$A$9:$G$529,3,0))))</f>
        <v>9.5221</v>
      </c>
      <c r="H429" s="463">
        <f t="shared" si="49"/>
        <v>3.3576829020000001</v>
      </c>
      <c r="J429" s="201"/>
    </row>
    <row r="430" spans="1:17" s="87" customFormat="1" ht="25.5">
      <c r="A430" s="232" t="s">
        <v>4542</v>
      </c>
      <c r="B430" s="464" t="s">
        <v>13206</v>
      </c>
      <c r="C430" s="451" t="str">
        <f>'036-20-CCA''s'!$C$281</f>
        <v>TEMPO FIXO - CAMINHÃO CARROCERIA 15 T - CARGA E DESCARGA MANUAIS</v>
      </c>
      <c r="D430" s="452" t="str">
        <f>'036-20-CCA''s'!$D$281</f>
        <v>SER.CG</v>
      </c>
      <c r="E430" s="452" t="str">
        <f>'036-20-CCA''s'!$E$281</f>
        <v>T</v>
      </c>
      <c r="F430" s="462">
        <v>9.9419999999999994E-3</v>
      </c>
      <c r="G430" s="453">
        <f>'036-20-CCA''s'!$H$281</f>
        <v>20.925562080536913</v>
      </c>
      <c r="H430" s="463">
        <f t="shared" si="49"/>
        <v>0.20804193820469799</v>
      </c>
      <c r="J430" s="201"/>
    </row>
    <row r="431" spans="1:17" s="87" customFormat="1" ht="12.75">
      <c r="A431" s="188"/>
      <c r="B431" s="348" t="s">
        <v>123</v>
      </c>
      <c r="C431" s="695" t="s">
        <v>7853</v>
      </c>
      <c r="D431" s="696"/>
      <c r="E431" s="696"/>
      <c r="F431" s="696"/>
      <c r="G431" s="696"/>
      <c r="H431" s="697"/>
      <c r="J431" s="201"/>
    </row>
    <row r="432" spans="1:17" s="78" customFormat="1" ht="12.75">
      <c r="A432" s="188"/>
      <c r="B432" s="346"/>
      <c r="C432" s="347"/>
      <c r="D432" s="347"/>
      <c r="E432" s="347"/>
      <c r="F432" s="347"/>
      <c r="G432" s="347"/>
      <c r="H432" s="347"/>
      <c r="J432" s="79"/>
      <c r="K432" s="87"/>
      <c r="L432" s="87"/>
      <c r="M432" s="87"/>
      <c r="N432" s="87"/>
      <c r="O432" s="87"/>
      <c r="P432" s="87"/>
      <c r="Q432" s="87"/>
    </row>
    <row r="433" spans="1:17" s="78" customFormat="1" ht="63.75">
      <c r="A433" s="188"/>
      <c r="B433" s="80" t="s">
        <v>6873</v>
      </c>
      <c r="C433" s="81" t="s">
        <v>6874</v>
      </c>
      <c r="D433" s="82" t="s">
        <v>84</v>
      </c>
      <c r="E433" s="82" t="s">
        <v>150</v>
      </c>
      <c r="F433" s="83"/>
      <c r="G433" s="84"/>
      <c r="H433" s="85">
        <f>SUM(H434:H449)</f>
        <v>38.861475942486315</v>
      </c>
      <c r="J433" s="201" t="s">
        <v>7854</v>
      </c>
      <c r="K433" s="87"/>
      <c r="L433" s="87"/>
      <c r="M433" s="87"/>
      <c r="N433" s="87"/>
      <c r="O433" s="87"/>
      <c r="P433" s="87"/>
      <c r="Q433" s="87"/>
    </row>
    <row r="434" spans="1:17" s="87" customFormat="1" ht="12.75">
      <c r="A434" s="232" t="s">
        <v>4542</v>
      </c>
      <c r="B434" s="464" t="s">
        <v>6825</v>
      </c>
      <c r="C434" s="451" t="str">
        <f>IF(A434="SERVIÇO",VLOOKUP(B434,SERVIÇOS!$A$6:$D$7645,2,0),IF(A434="INSUMO",VLOOKUP(B434,INSUMOS!$A$6:$D$6961,2,0),IF(A434="COTAÇÃO",VLOOKUP(B434,'036-20-Cotação'!$A$9:$G$529,2,0))))</f>
        <v>AJUDANTE</v>
      </c>
      <c r="D434" s="452" t="str">
        <f>IF(A434="SERVIÇO",VLOOKUP(B434,SERVIÇOS!$A$6:$E$7645,5,0),IF(A434="INSUMO",VLOOKUP(B434,INSUMOS!$A$6:$E$6961,5,0),IF(A434="COTAÇÃO",VLOOKUP(B434,'036-20-Cotação'!$A$9:$H$529,8,0))))</f>
        <v>M.O</v>
      </c>
      <c r="E434" s="452" t="str">
        <f>IF(A434="SERVIÇO",VLOOKUP(B434,SERVIÇOS!$A$6:$D$7645,3,0),IF(A434="INSUMO",VLOOKUP(B434,INSUMOS!$A$6:$D$6961,3,0),IF(A434="COTAÇÃO",VLOOKUP(B434,'036-20-Cotação'!$A$9:$G$529,4,0))))</f>
        <v>H</v>
      </c>
      <c r="F434" s="462">
        <f>0.02264/6.144</f>
        <v>3.6848958333333334E-3</v>
      </c>
      <c r="G434" s="453">
        <f>IF(A434="SERVIÇO",VLOOKUP(B434,SERVIÇOS!$A$6:$D$7645,4,0),IF(A434="INSUMO",VLOOKUP(B434,INSUMOS!$A$6:$D$6961,4,0),IF(A434="COTAÇÃO",VLOOKUP(B434,'036-20-Cotação'!$A$9:$G$529,3,0))))</f>
        <v>17.9801</v>
      </c>
      <c r="H434" s="463">
        <f t="shared" ref="H434:H449" si="50">G434*F434</f>
        <v>6.6254795572916664E-2</v>
      </c>
      <c r="J434" s="201"/>
    </row>
    <row r="435" spans="1:17" s="87" customFormat="1" ht="12.75">
      <c r="A435" s="232" t="s">
        <v>4542</v>
      </c>
      <c r="B435" s="464" t="s">
        <v>6601</v>
      </c>
      <c r="C435" s="451" t="str">
        <f>IF(A435="SERVIÇO",VLOOKUP(B435,SERVIÇOS!$A$6:$D$7645,2,0),IF(A435="INSUMO",VLOOKUP(B435,INSUMOS!$A$6:$D$6961,2,0),IF(A435="COTAÇÃO",VLOOKUP(B435,'036-20-Cotação'!$A$9:$G$529,2,0))))</f>
        <v>MONTADOR</v>
      </c>
      <c r="D435" s="452" t="str">
        <f>IF(A435="SERVIÇO",VLOOKUP(B435,SERVIÇOS!$A$6:$E$7645,5,0),IF(A435="INSUMO",VLOOKUP(B435,INSUMOS!$A$6:$E$6961,5,0),IF(A435="COTAÇÃO",VLOOKUP(B435,'036-20-Cotação'!$A$9:$H$529,8,0))))</f>
        <v>M.O</v>
      </c>
      <c r="E435" s="452" t="str">
        <f>IF(A435="SERVIÇO",VLOOKUP(B435,SERVIÇOS!$A$6:$D$7645,3,0),IF(A435="INSUMO",VLOOKUP(B435,INSUMOS!$A$6:$D$6961,3,0),IF(A435="COTAÇÃO",VLOOKUP(B435,'036-20-Cotação'!$A$9:$G$529,4,0))))</f>
        <v>H</v>
      </c>
      <c r="F435" s="462">
        <f>4/6.144</f>
        <v>0.65104166666666663</v>
      </c>
      <c r="G435" s="453">
        <f>IF(A435="SERVIÇO",VLOOKUP(B435,SERVIÇOS!$A$6:$D$7645,4,0),IF(A435="INSUMO",VLOOKUP(B435,INSUMOS!$A$6:$D$6961,4,0),IF(A435="COTAÇÃO",VLOOKUP(B435,'036-20-Cotação'!$A$9:$G$529,3,0))))</f>
        <v>23.4679</v>
      </c>
      <c r="H435" s="463">
        <f t="shared" si="50"/>
        <v>15.278580729166666</v>
      </c>
      <c r="J435" s="201"/>
    </row>
    <row r="436" spans="1:17" s="87" customFormat="1" ht="12.75">
      <c r="A436" s="232" t="s">
        <v>4542</v>
      </c>
      <c r="B436" s="464" t="s">
        <v>6875</v>
      </c>
      <c r="C436" s="451" t="str">
        <f>IF(A436="SERVIÇO",VLOOKUP(B436,SERVIÇOS!$A$6:$D$7645,2,0),IF(A436="INSUMO",VLOOKUP(B436,INSUMOS!$A$6:$D$6961,2,0),IF(A436="COTAÇÃO",VLOOKUP(B436,'036-20-Cotação'!$A$9:$G$529,2,0))))</f>
        <v>SERRALHEIRO</v>
      </c>
      <c r="D436" s="452" t="str">
        <f>IF(A436="SERVIÇO",VLOOKUP(B436,SERVIÇOS!$A$6:$E$7645,5,0),IF(A436="INSUMO",VLOOKUP(B436,INSUMOS!$A$6:$E$6961,5,0),IF(A436="COTAÇÃO",VLOOKUP(B436,'036-20-Cotação'!$A$9:$H$529,8,0))))</f>
        <v>M.O</v>
      </c>
      <c r="E436" s="452" t="str">
        <f>IF(A436="SERVIÇO",VLOOKUP(B436,SERVIÇOS!$A$6:$D$7645,3,0),IF(A436="INSUMO",VLOOKUP(B436,INSUMOS!$A$6:$D$6961,3,0),IF(A436="COTAÇÃO",VLOOKUP(B436,'036-20-Cotação'!$A$9:$G$529,4,0))))</f>
        <v>H</v>
      </c>
      <c r="F436" s="462">
        <f>0.02264/6.144</f>
        <v>3.6848958333333334E-3</v>
      </c>
      <c r="G436" s="453">
        <f>IF(A436="SERVIÇO",VLOOKUP(B436,SERVIÇOS!$A$6:$D$7645,4,0),IF(A436="INSUMO",VLOOKUP(B436,INSUMOS!$A$6:$D$6961,4,0),IF(A436="COTAÇÃO",VLOOKUP(B436,'036-20-Cotação'!$A$9:$G$529,3,0))))</f>
        <v>21.641200000000001</v>
      </c>
      <c r="H436" s="463">
        <f t="shared" si="50"/>
        <v>7.974556770833334E-2</v>
      </c>
      <c r="J436" s="201"/>
    </row>
    <row r="437" spans="1:17" s="87" customFormat="1" ht="12.75">
      <c r="A437" s="232" t="s">
        <v>4542</v>
      </c>
      <c r="B437" s="531" t="s">
        <v>6602</v>
      </c>
      <c r="C437" s="451" t="str">
        <f>IF(A437="SERVIÇO",VLOOKUP(B437,SERVIÇOS!$A$6:$D$7645,2,0),IF(A437="INSUMO",VLOOKUP(B437,INSUMOS!$A$6:$D$6961,2,0),IF(A437="COTAÇÃO",VLOOKUP(B437,'036-20-Cotação'!$A$9:$G$529,2,0))))</f>
        <v>SERVENTE</v>
      </c>
      <c r="D437" s="452" t="str">
        <f>IF(A437="SERVIÇO",VLOOKUP(B437,SERVIÇOS!$A$6:$E$7645,5,0),IF(A437="INSUMO",VLOOKUP(B437,INSUMOS!$A$6:$E$6961,5,0),IF(A437="COTAÇÃO",VLOOKUP(B437,'036-20-Cotação'!$A$9:$H$529,8,0))))</f>
        <v>M.O</v>
      </c>
      <c r="E437" s="452" t="str">
        <f>IF(A437="SERVIÇO",VLOOKUP(B437,SERVIÇOS!$A$6:$D$7645,3,0),IF(A437="INSUMO",VLOOKUP(B437,INSUMOS!$A$6:$D$6961,3,0),IF(A437="COTAÇÃO",VLOOKUP(B437,'036-20-Cotação'!$A$9:$G$529,4,0))))</f>
        <v>H</v>
      </c>
      <c r="F437" s="462">
        <f>2/6.144</f>
        <v>0.32552083333333331</v>
      </c>
      <c r="G437" s="453">
        <f>IF(A437="SERVIÇO",VLOOKUP(B437,SERVIÇOS!$A$6:$D$7645,4,0),IF(A437="INSUMO",VLOOKUP(B437,INSUMOS!$A$6:$D$6961,4,0),IF(A437="COTAÇÃO",VLOOKUP(B437,'036-20-Cotação'!$A$9:$G$529,3,0))))</f>
        <v>15.637499999999999</v>
      </c>
      <c r="H437" s="463">
        <f t="shared" si="50"/>
        <v>5.0903320312499991</v>
      </c>
      <c r="J437" s="201"/>
    </row>
    <row r="438" spans="1:17" s="87" customFormat="1" ht="12.75">
      <c r="A438" s="232" t="s">
        <v>4544</v>
      </c>
      <c r="B438" s="464" t="s">
        <v>6317</v>
      </c>
      <c r="C438" s="451" t="str">
        <f>IF(A438="SERVIÇO",VLOOKUP(B438,SERVIÇOS!$A$6:$D$7645,2,0),IF(A438="INSUMO",VLOOKUP(B438,INSUMOS!$A$6:$D$6961,2,0),IF(A438="COTAÇÃO",VLOOKUP(B438,'036-20-Cotação'!$A$9:$G$529,2,0))))</f>
        <v>AÇO EM PERFIS ASTM A36</v>
      </c>
      <c r="D438" s="452" t="str">
        <f>IF(A438="SERVIÇO",VLOOKUP(B438,SERVIÇOS!$A$6:$E$7645,5,0),IF(A438="INSUMO",VLOOKUP(B438,INSUMOS!$A$6:$E$6961,5,0),IF(A438="COTAÇÃO",VLOOKUP(B438,'036-20-Cotação'!$A$9:$H$529,8,0))))</f>
        <v>MAT.</v>
      </c>
      <c r="E438" s="452" t="str">
        <f>IF(A438="SERVIÇO",VLOOKUP(B438,SERVIÇOS!$A$6:$D$7645,3,0),IF(A438="INSUMO",VLOOKUP(B438,INSUMOS!$A$6:$D$6961,3,0),IF(A438="COTAÇÃO",VLOOKUP(B438,'036-20-Cotação'!$A$9:$G$529,4,0))))</f>
        <v>KG</v>
      </c>
      <c r="F438" s="462">
        <v>0.20607</v>
      </c>
      <c r="G438" s="453">
        <f>IF(A438="SERVIÇO",VLOOKUP(B438,SERVIÇOS!$A$6:$D$7645,4,0),IF(A438="INSUMO",VLOOKUP(B438,INSUMOS!$A$6:$D$6961,4,0),IF(A438="COTAÇÃO",VLOOKUP(B438,'036-20-Cotação'!$A$9:$G$529,3,0))))</f>
        <v>5.1818</v>
      </c>
      <c r="H438" s="463">
        <f t="shared" si="50"/>
        <v>1.0678135259999999</v>
      </c>
      <c r="J438" s="201"/>
    </row>
    <row r="439" spans="1:17" s="87" customFormat="1" ht="12.75">
      <c r="A439" s="232" t="s">
        <v>4544</v>
      </c>
      <c r="B439" s="464" t="s">
        <v>6336</v>
      </c>
      <c r="C439" s="451" t="str">
        <f>IF(A439="SERVIÇO",VLOOKUP(B439,SERVIÇOS!$A$6:$D$7645,2,0),IF(A439="INSUMO",VLOOKUP(B439,INSUMOS!$A$6:$D$6961,2,0),IF(A439="COTAÇÃO",VLOOKUP(B439,'036-20-Cotação'!$A$9:$G$529,2,0))))</f>
        <v>CHAPA DE AÇO ASTM A36</v>
      </c>
      <c r="D439" s="452" t="str">
        <f>IF(A439="SERVIÇO",VLOOKUP(B439,SERVIÇOS!$A$6:$E$7645,5,0),IF(A439="INSUMO",VLOOKUP(B439,INSUMOS!$A$6:$E$6961,5,0),IF(A439="COTAÇÃO",VLOOKUP(B439,'036-20-Cotação'!$A$9:$H$529,8,0))))</f>
        <v>MAT.</v>
      </c>
      <c r="E439" s="452" t="str">
        <f>IF(A439="SERVIÇO",VLOOKUP(B439,SERVIÇOS!$A$6:$D$7645,3,0),IF(A439="INSUMO",VLOOKUP(B439,INSUMOS!$A$6:$D$6961,3,0),IF(A439="COTAÇÃO",VLOOKUP(B439,'036-20-Cotação'!$A$9:$G$529,4,0))))</f>
        <v>KG</v>
      </c>
      <c r="F439" s="462">
        <v>0.48020000000000002</v>
      </c>
      <c r="G439" s="453">
        <f>IF(A439="SERVIÇO",VLOOKUP(B439,SERVIÇOS!$A$6:$D$7645,4,0),IF(A439="INSUMO",VLOOKUP(B439,INSUMOS!$A$6:$D$6961,4,0),IF(A439="COTAÇÃO",VLOOKUP(B439,'036-20-Cotação'!$A$9:$G$529,3,0))))</f>
        <v>5.5800999999999998</v>
      </c>
      <c r="H439" s="463">
        <f t="shared" si="50"/>
        <v>2.6795640199999999</v>
      </c>
      <c r="J439" s="201"/>
    </row>
    <row r="440" spans="1:17" s="87" customFormat="1" ht="25.5">
      <c r="A440" s="232" t="s">
        <v>4544</v>
      </c>
      <c r="B440" s="464" t="s">
        <v>6876</v>
      </c>
      <c r="C440" s="451" t="str">
        <f>IF(A440="SERVIÇO",VLOOKUP(B440,SERVIÇOS!$A$6:$D$7645,2,0),IF(A440="INSUMO",VLOOKUP(B440,INSUMOS!$A$6:$D$6961,2,0),IF(A440="COTAÇÃO",VLOOKUP(B440,'036-20-Cotação'!$A$9:$G$529,2,0))))</f>
        <v>CHUMBADOR PARA CONCRETO TECBOLT DE 12,5 MM</v>
      </c>
      <c r="D440" s="452" t="str">
        <f>IF(A440="SERVIÇO",VLOOKUP(B440,SERVIÇOS!$A$6:$E$7645,5,0),IF(A440="INSUMO",VLOOKUP(B440,INSUMOS!$A$6:$E$6961,5,0),IF(A440="COTAÇÃO",VLOOKUP(B440,'036-20-Cotação'!$A$9:$H$529,8,0))))</f>
        <v>MAT.</v>
      </c>
      <c r="E440" s="452" t="str">
        <f>IF(A440="SERVIÇO",VLOOKUP(B440,SERVIÇOS!$A$6:$D$7645,3,0),IF(A440="INSUMO",VLOOKUP(B440,INSUMOS!$A$6:$D$6961,3,0),IF(A440="COTAÇÃO",VLOOKUP(B440,'036-20-Cotação'!$A$9:$G$529,4,0))))</f>
        <v>UN</v>
      </c>
      <c r="F440" s="462">
        <v>0.9375</v>
      </c>
      <c r="G440" s="453">
        <f>IF(A440="SERVIÇO",VLOOKUP(B440,SERVIÇOS!$A$6:$D$7645,4,0),IF(A440="INSUMO",VLOOKUP(B440,INSUMOS!$A$6:$D$6961,4,0),IF(A440="COTAÇÃO",VLOOKUP(B440,'036-20-Cotação'!$A$9:$G$529,3,0))))</f>
        <v>5.2050000000000001</v>
      </c>
      <c r="H440" s="463">
        <f t="shared" si="50"/>
        <v>4.8796875000000002</v>
      </c>
      <c r="J440" s="201"/>
    </row>
    <row r="441" spans="1:17" s="87" customFormat="1" ht="38.25">
      <c r="A441" s="232" t="s">
        <v>4544</v>
      </c>
      <c r="B441" s="531" t="s">
        <v>6879</v>
      </c>
      <c r="C441" s="451" t="str">
        <f>IF(A441="SERVIÇO",VLOOKUP(B441,SERVIÇOS!$A$6:$D$7645,2,0),IF(A441="INSUMO",VLOOKUP(B441,INSUMOS!$A$6:$D$6961,2,0),IF(A441="COTAÇÃO",VLOOKUP(B441,'036-20-Cotação'!$A$9:$G$529,2,0))))</f>
        <v>CINTA DE ELEVAÇÃO TIPO GRAB COM 1 RAMAL ANEL, GANCHO DE 3 A 5 M E CAPACIDADE DE 5.000 KG - SEGURANÇA 4:1</v>
      </c>
      <c r="D441" s="452" t="str">
        <f>IF(A441="SERVIÇO",VLOOKUP(B441,SERVIÇOS!$A$6:$E$7645,5,0),IF(A441="INSUMO",VLOOKUP(B441,INSUMOS!$A$6:$E$6961,5,0),IF(A441="COTAÇÃO",VLOOKUP(B441,'036-20-Cotação'!$A$9:$H$529,8,0))))</f>
        <v>MAT.</v>
      </c>
      <c r="E441" s="452" t="str">
        <f>IF(A441="SERVIÇO",VLOOKUP(B441,SERVIÇOS!$A$6:$D$7645,3,0),IF(A441="INSUMO",VLOOKUP(B441,INSUMOS!$A$6:$D$6961,3,0),IF(A441="COTAÇÃO",VLOOKUP(B441,'036-20-Cotação'!$A$9:$G$529,4,0))))</f>
        <v>UN</v>
      </c>
      <c r="F441" s="462">
        <v>3.13E-3</v>
      </c>
      <c r="G441" s="453">
        <f>IF(A441="SERVIÇO",VLOOKUP(B441,SERVIÇOS!$A$6:$D$7645,4,0),IF(A441="INSUMO",VLOOKUP(B441,INSUMOS!$A$6:$D$6961,4,0),IF(A441="COTAÇÃO",VLOOKUP(B441,'036-20-Cotação'!$A$9:$G$529,3,0))))</f>
        <v>473.06760000000003</v>
      </c>
      <c r="H441" s="463">
        <f t="shared" si="50"/>
        <v>1.4807015880000001</v>
      </c>
      <c r="J441" s="201"/>
    </row>
    <row r="442" spans="1:17" s="87" customFormat="1" ht="38.25">
      <c r="A442" s="232" t="s">
        <v>4544</v>
      </c>
      <c r="B442" s="464" t="s">
        <v>6880</v>
      </c>
      <c r="C442" s="451" t="str">
        <f>IF(A442="SERVIÇO",VLOOKUP(B442,SERVIÇOS!$A$6:$D$7645,2,0),IF(A442="INSUMO",VLOOKUP(B442,INSUMOS!$A$6:$D$6961,2,0),IF(A442="COTAÇÃO",VLOOKUP(B442,'036-20-Cotação'!$A$9:$G$529,2,0))))</f>
        <v>CINTA DE ELEVAÇÃO TIPO GRAB COM 2 RAMAIS ANEL, GANCHO DE 3 A 5 M E CAPACIDADE DE 5.000 KG - SEGURANÇA 4:1</v>
      </c>
      <c r="D442" s="452" t="str">
        <f>IF(A442="SERVIÇO",VLOOKUP(B442,SERVIÇOS!$A$6:$E$7645,5,0),IF(A442="INSUMO",VLOOKUP(B442,INSUMOS!$A$6:$E$6961,5,0),IF(A442="COTAÇÃO",VLOOKUP(B442,'036-20-Cotação'!$A$9:$H$529,8,0))))</f>
        <v>MAT.</v>
      </c>
      <c r="E442" s="452" t="str">
        <f>IF(A442="SERVIÇO",VLOOKUP(B442,SERVIÇOS!$A$6:$D$7645,3,0),IF(A442="INSUMO",VLOOKUP(B442,INSUMOS!$A$6:$D$6961,3,0),IF(A442="COTAÇÃO",VLOOKUP(B442,'036-20-Cotação'!$A$9:$G$529,4,0))))</f>
        <v>UN</v>
      </c>
      <c r="F442" s="462">
        <v>1.56E-3</v>
      </c>
      <c r="G442" s="453">
        <f>IF(A442="SERVIÇO",VLOOKUP(B442,SERVIÇOS!$A$6:$D$7645,4,0),IF(A442="INSUMO",VLOOKUP(B442,INSUMOS!$A$6:$D$6961,4,0),IF(A442="COTAÇÃO",VLOOKUP(B442,'036-20-Cotação'!$A$9:$G$529,3,0))))</f>
        <v>935.77070000000003</v>
      </c>
      <c r="H442" s="463">
        <f t="shared" si="50"/>
        <v>1.459802292</v>
      </c>
      <c r="J442" s="201"/>
    </row>
    <row r="443" spans="1:17" s="87" customFormat="1" ht="25.5">
      <c r="A443" s="232" t="s">
        <v>4544</v>
      </c>
      <c r="B443" s="464" t="s">
        <v>6609</v>
      </c>
      <c r="C443" s="451" t="str">
        <f>IF(A443="SERVIÇO",VLOOKUP(B443,SERVIÇOS!$A$6:$D$7645,2,0),IF(A443="INSUMO",VLOOKUP(B443,INSUMOS!$A$6:$D$6961,2,0),IF(A443="COTAÇÃO",VLOOKUP(B443,'036-20-Cotação'!$A$9:$G$529,2,0))))</f>
        <v>CORDA DE NYLON TORCIDA COM 4 PERNAS - D = 10 MM</v>
      </c>
      <c r="D443" s="452" t="str">
        <f>IF(A443="SERVIÇO",VLOOKUP(B443,SERVIÇOS!$A$6:$E$7645,5,0),IF(A443="INSUMO",VLOOKUP(B443,INSUMOS!$A$6:$E$6961,5,0),IF(A443="COTAÇÃO",VLOOKUP(B443,'036-20-Cotação'!$A$9:$H$529,8,0))))</f>
        <v>MAT.</v>
      </c>
      <c r="E443" s="452" t="str">
        <f>IF(A443="SERVIÇO",VLOOKUP(B443,SERVIÇOS!$A$6:$D$7645,3,0),IF(A443="INSUMO",VLOOKUP(B443,INSUMOS!$A$6:$D$6961,3,0),IF(A443="COTAÇÃO",VLOOKUP(B443,'036-20-Cotação'!$A$9:$G$529,4,0))))</f>
        <v>M</v>
      </c>
      <c r="F443" s="462">
        <v>0.16156000000000001</v>
      </c>
      <c r="G443" s="453">
        <f>IF(A443="SERVIÇO",VLOOKUP(B443,SERVIÇOS!$A$6:$D$7645,4,0),IF(A443="INSUMO",VLOOKUP(B443,INSUMOS!$A$6:$D$6961,4,0),IF(A443="COTAÇÃO",VLOOKUP(B443,'036-20-Cotação'!$A$9:$G$529,3,0))))</f>
        <v>4.1195000000000004</v>
      </c>
      <c r="H443" s="463">
        <f t="shared" si="50"/>
        <v>0.66554642000000008</v>
      </c>
      <c r="J443" s="201"/>
    </row>
    <row r="444" spans="1:17" s="87" customFormat="1" ht="25.5">
      <c r="A444" s="232" t="s">
        <v>4544</v>
      </c>
      <c r="B444" s="464" t="s">
        <v>6877</v>
      </c>
      <c r="C444" s="451" t="str">
        <f>IF(A444="SERVIÇO",VLOOKUP(B444,SERVIÇOS!$A$6:$D$7645,2,0),IF(A444="INSUMO",VLOOKUP(B444,INSUMOS!$A$6:$D$6961,2,0),IF(A444="COTAÇÃO",VLOOKUP(B444,'036-20-Cotação'!$A$9:$G$529,2,0))))</f>
        <v>PARAFUSO CABEÇA SEXTAVADA - D = 1/4" COM PORCA E ARRUELA DE PRESSÃO</v>
      </c>
      <c r="D444" s="452" t="str">
        <f>IF(A444="SERVIÇO",VLOOKUP(B444,SERVIÇOS!$A$6:$E$7645,5,0),IF(A444="INSUMO",VLOOKUP(B444,INSUMOS!$A$6:$E$6961,5,0),IF(A444="COTAÇÃO",VLOOKUP(B444,'036-20-Cotação'!$A$9:$H$529,8,0))))</f>
        <v>MAT.</v>
      </c>
      <c r="E444" s="452" t="str">
        <f>IF(A444="SERVIÇO",VLOOKUP(B444,SERVIÇOS!$A$6:$D$7645,3,0),IF(A444="INSUMO",VLOOKUP(B444,INSUMOS!$A$6:$D$6961,3,0),IF(A444="COTAÇÃO",VLOOKUP(B444,'036-20-Cotação'!$A$9:$G$529,4,0))))</f>
        <v>CJ</v>
      </c>
      <c r="F444" s="462">
        <v>1.11111</v>
      </c>
      <c r="G444" s="453">
        <f>IF(A444="SERVIÇO",VLOOKUP(B444,SERVIÇOS!$A$6:$D$7645,4,0),IF(A444="INSUMO",VLOOKUP(B444,INSUMOS!$A$6:$D$6961,4,0),IF(A444="COTAÇÃO",VLOOKUP(B444,'036-20-Cotação'!$A$9:$G$529,3,0))))</f>
        <v>0.5141</v>
      </c>
      <c r="H444" s="463">
        <f t="shared" si="50"/>
        <v>0.571221651</v>
      </c>
      <c r="J444" s="201"/>
    </row>
    <row r="445" spans="1:17" s="87" customFormat="1" ht="25.5">
      <c r="A445" s="232" t="s">
        <v>4544</v>
      </c>
      <c r="B445" s="464" t="s">
        <v>6881</v>
      </c>
      <c r="C445" s="451" t="str">
        <f>IF(A445="SERVIÇO",VLOOKUP(B445,SERVIÇOS!$A$6:$D$7645,2,0),IF(A445="INSUMO",VLOOKUP(B445,INSUMOS!$A$6:$D$6961,2,0),IF(A445="COTAÇÃO",VLOOKUP(B445,'036-20-Cotação'!$A$9:$G$529,2,0))))</f>
        <v>PARAFUSO CABEÇA SEXTAVADA - D = 5/16" COM PORCA E ARRUELA DE PRESSÃO</v>
      </c>
      <c r="D445" s="452" t="str">
        <f>IF(A445="SERVIÇO",VLOOKUP(B445,SERVIÇOS!$A$6:$E$7645,5,0),IF(A445="INSUMO",VLOOKUP(B445,INSUMOS!$A$6:$E$6961,5,0),IF(A445="COTAÇÃO",VLOOKUP(B445,'036-20-Cotação'!$A$9:$H$529,8,0))))</f>
        <v>MAT.</v>
      </c>
      <c r="E445" s="452" t="str">
        <f>IF(A445="SERVIÇO",VLOOKUP(B445,SERVIÇOS!$A$6:$D$7645,3,0),IF(A445="INSUMO",VLOOKUP(B445,INSUMOS!$A$6:$D$6961,3,0),IF(A445="COTAÇÃO",VLOOKUP(B445,'036-20-Cotação'!$A$9:$G$529,4,0))))</f>
        <v>CJ</v>
      </c>
      <c r="F445" s="462">
        <v>1.5625</v>
      </c>
      <c r="G445" s="453">
        <f>IF(A445="SERVIÇO",VLOOKUP(B445,SERVIÇOS!$A$6:$D$7645,4,0),IF(A445="INSUMO",VLOOKUP(B445,INSUMOS!$A$6:$D$6961,4,0),IF(A445="COTAÇÃO",VLOOKUP(B445,'036-20-Cotação'!$A$9:$G$529,3,0))))</f>
        <v>0.80959999999999999</v>
      </c>
      <c r="H445" s="463">
        <f t="shared" si="50"/>
        <v>1.2649999999999999</v>
      </c>
      <c r="J445" s="201"/>
    </row>
    <row r="446" spans="1:17" s="87" customFormat="1" ht="12.75">
      <c r="A446" s="232" t="s">
        <v>4544</v>
      </c>
      <c r="B446" s="464" t="s">
        <v>6871</v>
      </c>
      <c r="C446" s="451" t="str">
        <f>IF(A446="SERVIÇO",VLOOKUP(B446,SERVIÇOS!$A$6:$D$7645,2,0),IF(A446="INSUMO",VLOOKUP(B446,INSUMOS!$A$6:$D$6961,2,0),IF(A446="COTAÇÃO",VLOOKUP(B446,'036-20-Cotação'!$A$9:$G$529,2,0))))</f>
        <v>TÁBUA DE 2,5 X 30 CM</v>
      </c>
      <c r="D446" s="452" t="str">
        <f>IF(A446="SERVIÇO",VLOOKUP(B446,SERVIÇOS!$A$6:$E$7645,5,0),IF(A446="INSUMO",VLOOKUP(B446,INSUMOS!$A$6:$E$6961,5,0),IF(A446="COTAÇÃO",VLOOKUP(B446,'036-20-Cotação'!$A$9:$H$529,8,0))))</f>
        <v>MAT.</v>
      </c>
      <c r="E446" s="452" t="str">
        <f>IF(A446="SERVIÇO",VLOOKUP(B446,SERVIÇOS!$A$6:$D$7645,3,0),IF(A446="INSUMO",VLOOKUP(B446,INSUMOS!$A$6:$D$6961,3,0),IF(A446="COTAÇÃO",VLOOKUP(B446,'036-20-Cotação'!$A$9:$G$529,4,0))))</f>
        <v>M</v>
      </c>
      <c r="F446" s="462">
        <v>0.35</v>
      </c>
      <c r="G446" s="453">
        <f>IF(A446="SERVIÇO",VLOOKUP(B446,SERVIÇOS!$A$6:$D$7645,4,0),IF(A446="INSUMO",VLOOKUP(B446,INSUMOS!$A$6:$D$6961,4,0),IF(A446="COTAÇÃO",VLOOKUP(B446,'036-20-Cotação'!$A$9:$G$529,3,0))))</f>
        <v>9.7302</v>
      </c>
      <c r="H446" s="463">
        <f t="shared" si="50"/>
        <v>3.40557</v>
      </c>
      <c r="J446" s="201"/>
    </row>
    <row r="447" spans="1:17" s="87" customFormat="1" ht="25.5">
      <c r="A447" s="232" t="s">
        <v>4542</v>
      </c>
      <c r="B447" s="464">
        <v>2408058</v>
      </c>
      <c r="C447" s="451" t="str">
        <f>'036-20-CCA''s'!$C$142</f>
        <v>SOLDA ELÉTRICA DE PERFIS METÁLICOS E CHAPAS DE AÇO COM ELETRODO E70XX</v>
      </c>
      <c r="D447" s="452" t="str">
        <f>'036-20-CCA''s'!$D$142</f>
        <v>SER.CG</v>
      </c>
      <c r="E447" s="452" t="str">
        <f>'036-20-CCA''s'!$E$142</f>
        <v>KG</v>
      </c>
      <c r="F447" s="462">
        <v>1.132E-2</v>
      </c>
      <c r="G447" s="453">
        <f>'036-20-CCA''s'!$H$142</f>
        <v>70.963465562080543</v>
      </c>
      <c r="H447" s="463">
        <f t="shared" si="50"/>
        <v>0.80330643016275172</v>
      </c>
      <c r="J447" s="201"/>
    </row>
    <row r="448" spans="1:17" s="87" customFormat="1" ht="25.5">
      <c r="A448" s="232" t="s">
        <v>4542</v>
      </c>
      <c r="B448" s="464" t="s">
        <v>13206</v>
      </c>
      <c r="C448" s="451" t="str">
        <f>'036-20-CCA''s'!$C$281</f>
        <v>TEMPO FIXO - CAMINHÃO CARROCERIA 15 T - CARGA E DESCARGA MANUAIS</v>
      </c>
      <c r="D448" s="452" t="str">
        <f>'036-20-CCA''s'!$D$281</f>
        <v>SER.CG</v>
      </c>
      <c r="E448" s="452" t="str">
        <f>'036-20-CCA''s'!$E$281</f>
        <v>T</v>
      </c>
      <c r="F448" s="462">
        <f>0.00021+0.00001+0.00263</f>
        <v>2.8500000000000001E-3</v>
      </c>
      <c r="G448" s="453">
        <f>'036-20-CCA''s'!$H$281</f>
        <v>20.925562080536913</v>
      </c>
      <c r="H448" s="463">
        <f t="shared" si="50"/>
        <v>5.9637851929530208E-2</v>
      </c>
      <c r="J448" s="201"/>
    </row>
    <row r="449" spans="1:17" s="87" customFormat="1" ht="38.25">
      <c r="A449" s="232" t="s">
        <v>4542</v>
      </c>
      <c r="B449" s="464" t="s">
        <v>13207</v>
      </c>
      <c r="C449" s="451" t="str">
        <f>'036-20-CCA''s'!$C$286</f>
        <v>TEMPO FIXO - CAMINHÃO CARROCERIA 15 T - CARGA E DESCARGA COM CAMINHÃO GUINDAUTO</v>
      </c>
      <c r="D449" s="452" t="str">
        <f>'036-20-CCA''s'!$D$286</f>
        <v>SER.CG</v>
      </c>
      <c r="E449" s="452" t="str">
        <f>'036-20-CCA''s'!$E$286</f>
        <v>T</v>
      </c>
      <c r="F449" s="462">
        <v>4.8000000000000001E-4</v>
      </c>
      <c r="G449" s="453">
        <f>'036-20-CCA''s'!$H$286</f>
        <v>18.149041033591729</v>
      </c>
      <c r="H449" s="463">
        <f t="shared" si="50"/>
        <v>8.7115396961240307E-3</v>
      </c>
      <c r="J449" s="201"/>
    </row>
    <row r="450" spans="1:17" s="87" customFormat="1" ht="12.75">
      <c r="A450" s="188"/>
      <c r="B450" s="348" t="s">
        <v>123</v>
      </c>
      <c r="C450" s="695" t="s">
        <v>26844</v>
      </c>
      <c r="D450" s="696"/>
      <c r="E450" s="696"/>
      <c r="F450" s="696"/>
      <c r="G450" s="696"/>
      <c r="H450" s="697"/>
      <c r="J450" s="201"/>
    </row>
    <row r="451" spans="1:17" s="78" customFormat="1" ht="12.75">
      <c r="A451" s="188"/>
      <c r="B451" s="346"/>
      <c r="C451" s="347"/>
      <c r="D451" s="347"/>
      <c r="E451" s="347"/>
      <c r="F451" s="347"/>
      <c r="G451" s="347"/>
      <c r="H451" s="347"/>
      <c r="J451" s="79"/>
      <c r="K451" s="87"/>
      <c r="L451" s="87"/>
      <c r="M451" s="87"/>
      <c r="N451" s="87"/>
      <c r="O451" s="87"/>
      <c r="P451" s="87"/>
      <c r="Q451" s="87"/>
    </row>
    <row r="452" spans="1:17" s="78" customFormat="1" ht="76.5">
      <c r="A452" s="188"/>
      <c r="B452" s="80" t="s">
        <v>6882</v>
      </c>
      <c r="C452" s="81" t="s">
        <v>8376</v>
      </c>
      <c r="D452" s="82" t="s">
        <v>84</v>
      </c>
      <c r="E452" s="82" t="s">
        <v>150</v>
      </c>
      <c r="F452" s="83"/>
      <c r="G452" s="84"/>
      <c r="H452" s="85">
        <f>SUM(H453:H468)</f>
        <v>38.861475942486315</v>
      </c>
      <c r="J452" s="201" t="s">
        <v>7854</v>
      </c>
      <c r="K452" s="87"/>
      <c r="L452" s="87"/>
      <c r="M452" s="87"/>
      <c r="N452" s="87"/>
      <c r="O452" s="87"/>
      <c r="P452" s="87"/>
      <c r="Q452" s="87"/>
    </row>
    <row r="453" spans="1:17" s="87" customFormat="1" ht="12.75">
      <c r="A453" s="232" t="s">
        <v>4542</v>
      </c>
      <c r="B453" s="464" t="s">
        <v>6825</v>
      </c>
      <c r="C453" s="451" t="str">
        <f>IF(A453="SERVIÇO",VLOOKUP(B453,SERVIÇOS!$A$6:$D$7645,2,0),IF(A453="INSUMO",VLOOKUP(B453,INSUMOS!$A$6:$D$6961,2,0),IF(A453="COTAÇÃO",VLOOKUP(B453,'036-20-Cotação'!$A$9:$G$529,2,0))))</f>
        <v>AJUDANTE</v>
      </c>
      <c r="D453" s="452" t="str">
        <f>IF(A453="SERVIÇO",VLOOKUP(B453,SERVIÇOS!$A$6:$E$7645,5,0),IF(A453="INSUMO",VLOOKUP(B453,INSUMOS!$A$6:$E$6961,5,0),IF(A453="COTAÇÃO",VLOOKUP(B453,'036-20-Cotação'!$A$9:$H$529,8,0))))</f>
        <v>M.O</v>
      </c>
      <c r="E453" s="452" t="str">
        <f>IF(A453="SERVIÇO",VLOOKUP(B453,SERVIÇOS!$A$6:$D$7645,3,0),IF(A453="INSUMO",VLOOKUP(B453,INSUMOS!$A$6:$D$6961,3,0),IF(A453="COTAÇÃO",VLOOKUP(B453,'036-20-Cotação'!$A$9:$G$529,4,0))))</f>
        <v>H</v>
      </c>
      <c r="F453" s="462">
        <f>0.02264/6.144</f>
        <v>3.6848958333333334E-3</v>
      </c>
      <c r="G453" s="453">
        <f>IF(A453="SERVIÇO",VLOOKUP(B453,SERVIÇOS!$A$6:$D$7645,4,0),IF(A453="INSUMO",VLOOKUP(B453,INSUMOS!$A$6:$D$6961,4,0),IF(A453="COTAÇÃO",VLOOKUP(B453,'036-20-Cotação'!$A$9:$G$529,3,0))))</f>
        <v>17.9801</v>
      </c>
      <c r="H453" s="463">
        <f t="shared" ref="H453:H461" si="51">G453*F453</f>
        <v>6.6254795572916664E-2</v>
      </c>
      <c r="J453" s="201"/>
    </row>
    <row r="454" spans="1:17" s="87" customFormat="1" ht="12.75">
      <c r="A454" s="232" t="s">
        <v>4542</v>
      </c>
      <c r="B454" s="464" t="s">
        <v>6601</v>
      </c>
      <c r="C454" s="451" t="str">
        <f>IF(A454="SERVIÇO",VLOOKUP(B454,SERVIÇOS!$A$6:$D$7645,2,0),IF(A454="INSUMO",VLOOKUP(B454,INSUMOS!$A$6:$D$6961,2,0),IF(A454="COTAÇÃO",VLOOKUP(B454,'036-20-Cotação'!$A$9:$G$529,2,0))))</f>
        <v>MONTADOR</v>
      </c>
      <c r="D454" s="452" t="str">
        <f>IF(A454="SERVIÇO",VLOOKUP(B454,SERVIÇOS!$A$6:$E$7645,5,0),IF(A454="INSUMO",VLOOKUP(B454,INSUMOS!$A$6:$E$6961,5,0),IF(A454="COTAÇÃO",VLOOKUP(B454,'036-20-Cotação'!$A$9:$H$529,8,0))))</f>
        <v>M.O</v>
      </c>
      <c r="E454" s="452" t="str">
        <f>IF(A454="SERVIÇO",VLOOKUP(B454,SERVIÇOS!$A$6:$D$7645,3,0),IF(A454="INSUMO",VLOOKUP(B454,INSUMOS!$A$6:$D$6961,3,0),IF(A454="COTAÇÃO",VLOOKUP(B454,'036-20-Cotação'!$A$9:$G$529,4,0))))</f>
        <v>H</v>
      </c>
      <c r="F454" s="462">
        <f>4/6.144</f>
        <v>0.65104166666666663</v>
      </c>
      <c r="G454" s="453">
        <f>IF(A454="SERVIÇO",VLOOKUP(B454,SERVIÇOS!$A$6:$D$7645,4,0),IF(A454="INSUMO",VLOOKUP(B454,INSUMOS!$A$6:$D$6961,4,0),IF(A454="COTAÇÃO",VLOOKUP(B454,'036-20-Cotação'!$A$9:$G$529,3,0))))</f>
        <v>23.4679</v>
      </c>
      <c r="H454" s="463">
        <f t="shared" si="51"/>
        <v>15.278580729166666</v>
      </c>
      <c r="J454" s="201"/>
    </row>
    <row r="455" spans="1:17" s="87" customFormat="1" ht="12.75">
      <c r="A455" s="232" t="s">
        <v>4542</v>
      </c>
      <c r="B455" s="464" t="s">
        <v>6875</v>
      </c>
      <c r="C455" s="451" t="str">
        <f>IF(A455="SERVIÇO",VLOOKUP(B455,SERVIÇOS!$A$6:$D$7645,2,0),IF(A455="INSUMO",VLOOKUP(B455,INSUMOS!$A$6:$D$6961,2,0),IF(A455="COTAÇÃO",VLOOKUP(B455,'036-20-Cotação'!$A$9:$G$529,2,0))))</f>
        <v>SERRALHEIRO</v>
      </c>
      <c r="D455" s="452" t="str">
        <f>IF(A455="SERVIÇO",VLOOKUP(B455,SERVIÇOS!$A$6:$E$7645,5,0),IF(A455="INSUMO",VLOOKUP(B455,INSUMOS!$A$6:$E$6961,5,0),IF(A455="COTAÇÃO",VLOOKUP(B455,'036-20-Cotação'!$A$9:$H$529,8,0))))</f>
        <v>M.O</v>
      </c>
      <c r="E455" s="452" t="str">
        <f>IF(A455="SERVIÇO",VLOOKUP(B455,SERVIÇOS!$A$6:$D$7645,3,0),IF(A455="INSUMO",VLOOKUP(B455,INSUMOS!$A$6:$D$6961,3,0),IF(A455="COTAÇÃO",VLOOKUP(B455,'036-20-Cotação'!$A$9:$G$529,4,0))))</f>
        <v>H</v>
      </c>
      <c r="F455" s="462">
        <f>0.02264/6.144</f>
        <v>3.6848958333333334E-3</v>
      </c>
      <c r="G455" s="453">
        <f>IF(A455="SERVIÇO",VLOOKUP(B455,SERVIÇOS!$A$6:$D$7645,4,0),IF(A455="INSUMO",VLOOKUP(B455,INSUMOS!$A$6:$D$6961,4,0),IF(A455="COTAÇÃO",VLOOKUP(B455,'036-20-Cotação'!$A$9:$G$529,3,0))))</f>
        <v>21.641200000000001</v>
      </c>
      <c r="H455" s="463">
        <f t="shared" si="51"/>
        <v>7.974556770833334E-2</v>
      </c>
      <c r="J455" s="201"/>
    </row>
    <row r="456" spans="1:17" s="87" customFormat="1" ht="12.75">
      <c r="A456" s="232" t="s">
        <v>4542</v>
      </c>
      <c r="B456" s="531" t="s">
        <v>6602</v>
      </c>
      <c r="C456" s="451" t="str">
        <f>IF(A456="SERVIÇO",VLOOKUP(B456,SERVIÇOS!$A$6:$D$7645,2,0),IF(A456="INSUMO",VLOOKUP(B456,INSUMOS!$A$6:$D$6961,2,0),IF(A456="COTAÇÃO",VLOOKUP(B456,'036-20-Cotação'!$A$9:$G$529,2,0))))</f>
        <v>SERVENTE</v>
      </c>
      <c r="D456" s="452" t="str">
        <f>IF(A456="SERVIÇO",VLOOKUP(B456,SERVIÇOS!$A$6:$E$7645,5,0),IF(A456="INSUMO",VLOOKUP(B456,INSUMOS!$A$6:$E$6961,5,0),IF(A456="COTAÇÃO",VLOOKUP(B456,'036-20-Cotação'!$A$9:$H$529,8,0))))</f>
        <v>M.O</v>
      </c>
      <c r="E456" s="452" t="str">
        <f>IF(A456="SERVIÇO",VLOOKUP(B456,SERVIÇOS!$A$6:$D$7645,3,0),IF(A456="INSUMO",VLOOKUP(B456,INSUMOS!$A$6:$D$6961,3,0),IF(A456="COTAÇÃO",VLOOKUP(B456,'036-20-Cotação'!$A$9:$G$529,4,0))))</f>
        <v>H</v>
      </c>
      <c r="F456" s="462">
        <f>2/6.144</f>
        <v>0.32552083333333331</v>
      </c>
      <c r="G456" s="453">
        <f>IF(A456="SERVIÇO",VLOOKUP(B456,SERVIÇOS!$A$6:$D$7645,4,0),IF(A456="INSUMO",VLOOKUP(B456,INSUMOS!$A$6:$D$6961,4,0),IF(A456="COTAÇÃO",VLOOKUP(B456,'036-20-Cotação'!$A$9:$G$529,3,0))))</f>
        <v>15.637499999999999</v>
      </c>
      <c r="H456" s="463">
        <f t="shared" si="51"/>
        <v>5.0903320312499991</v>
      </c>
      <c r="J456" s="201"/>
    </row>
    <row r="457" spans="1:17" s="87" customFormat="1" ht="12.75">
      <c r="A457" s="232" t="s">
        <v>4544</v>
      </c>
      <c r="B457" s="464" t="s">
        <v>6317</v>
      </c>
      <c r="C457" s="451" t="str">
        <f>IF(A457="SERVIÇO",VLOOKUP(B457,SERVIÇOS!$A$6:$D$7645,2,0),IF(A457="INSUMO",VLOOKUP(B457,INSUMOS!$A$6:$D$6961,2,0),IF(A457="COTAÇÃO",VLOOKUP(B457,'036-20-Cotação'!$A$9:$G$529,2,0))))</f>
        <v>AÇO EM PERFIS ASTM A36</v>
      </c>
      <c r="D457" s="452" t="str">
        <f>IF(A457="SERVIÇO",VLOOKUP(B457,SERVIÇOS!$A$6:$E$7645,5,0),IF(A457="INSUMO",VLOOKUP(B457,INSUMOS!$A$6:$E$6961,5,0),IF(A457="COTAÇÃO",VLOOKUP(B457,'036-20-Cotação'!$A$9:$H$529,8,0))))</f>
        <v>MAT.</v>
      </c>
      <c r="E457" s="452" t="str">
        <f>IF(A457="SERVIÇO",VLOOKUP(B457,SERVIÇOS!$A$6:$D$7645,3,0),IF(A457="INSUMO",VLOOKUP(B457,INSUMOS!$A$6:$D$6961,3,0),IF(A457="COTAÇÃO",VLOOKUP(B457,'036-20-Cotação'!$A$9:$G$529,4,0))))</f>
        <v>KG</v>
      </c>
      <c r="F457" s="462">
        <v>0.20607</v>
      </c>
      <c r="G457" s="453">
        <f>IF(A457="SERVIÇO",VLOOKUP(B457,SERVIÇOS!$A$6:$D$7645,4,0),IF(A457="INSUMO",VLOOKUP(B457,INSUMOS!$A$6:$D$6961,4,0),IF(A457="COTAÇÃO",VLOOKUP(B457,'036-20-Cotação'!$A$9:$G$529,3,0))))</f>
        <v>5.1818</v>
      </c>
      <c r="H457" s="463">
        <f t="shared" si="51"/>
        <v>1.0678135259999999</v>
      </c>
      <c r="J457" s="201"/>
    </row>
    <row r="458" spans="1:17" s="87" customFormat="1" ht="12.75">
      <c r="A458" s="232" t="s">
        <v>4544</v>
      </c>
      <c r="B458" s="464" t="s">
        <v>6336</v>
      </c>
      <c r="C458" s="451" t="str">
        <f>IF(A458="SERVIÇO",VLOOKUP(B458,SERVIÇOS!$A$6:$D$7645,2,0),IF(A458="INSUMO",VLOOKUP(B458,INSUMOS!$A$6:$D$6961,2,0),IF(A458="COTAÇÃO",VLOOKUP(B458,'036-20-Cotação'!$A$9:$G$529,2,0))))</f>
        <v>CHAPA DE AÇO ASTM A36</v>
      </c>
      <c r="D458" s="452" t="str">
        <f>IF(A458="SERVIÇO",VLOOKUP(B458,SERVIÇOS!$A$6:$E$7645,5,0),IF(A458="INSUMO",VLOOKUP(B458,INSUMOS!$A$6:$E$6961,5,0),IF(A458="COTAÇÃO",VLOOKUP(B458,'036-20-Cotação'!$A$9:$H$529,8,0))))</f>
        <v>MAT.</v>
      </c>
      <c r="E458" s="452" t="str">
        <f>IF(A458="SERVIÇO",VLOOKUP(B458,SERVIÇOS!$A$6:$D$7645,3,0),IF(A458="INSUMO",VLOOKUP(B458,INSUMOS!$A$6:$D$6961,3,0),IF(A458="COTAÇÃO",VLOOKUP(B458,'036-20-Cotação'!$A$9:$G$529,4,0))))</f>
        <v>KG</v>
      </c>
      <c r="F458" s="462">
        <v>0.48020000000000002</v>
      </c>
      <c r="G458" s="453">
        <f>IF(A458="SERVIÇO",VLOOKUP(B458,SERVIÇOS!$A$6:$D$7645,4,0),IF(A458="INSUMO",VLOOKUP(B458,INSUMOS!$A$6:$D$6961,4,0),IF(A458="COTAÇÃO",VLOOKUP(B458,'036-20-Cotação'!$A$9:$G$529,3,0))))</f>
        <v>5.5800999999999998</v>
      </c>
      <c r="H458" s="463">
        <f t="shared" si="51"/>
        <v>2.6795640199999999</v>
      </c>
      <c r="J458" s="201"/>
    </row>
    <row r="459" spans="1:17" s="87" customFormat="1" ht="25.5">
      <c r="A459" s="232" t="s">
        <v>4544</v>
      </c>
      <c r="B459" s="464" t="s">
        <v>6876</v>
      </c>
      <c r="C459" s="451" t="str">
        <f>IF(A459="SERVIÇO",VLOOKUP(B459,SERVIÇOS!$A$6:$D$7645,2,0),IF(A459="INSUMO",VLOOKUP(B459,INSUMOS!$A$6:$D$6961,2,0),IF(A459="COTAÇÃO",VLOOKUP(B459,'036-20-Cotação'!$A$9:$G$529,2,0))))</f>
        <v>CHUMBADOR PARA CONCRETO TECBOLT DE 12,5 MM</v>
      </c>
      <c r="D459" s="452" t="str">
        <f>IF(A459="SERVIÇO",VLOOKUP(B459,SERVIÇOS!$A$6:$E$7645,5,0),IF(A459="INSUMO",VLOOKUP(B459,INSUMOS!$A$6:$E$6961,5,0),IF(A459="COTAÇÃO",VLOOKUP(B459,'036-20-Cotação'!$A$9:$H$529,8,0))))</f>
        <v>MAT.</v>
      </c>
      <c r="E459" s="452" t="str">
        <f>IF(A459="SERVIÇO",VLOOKUP(B459,SERVIÇOS!$A$6:$D$7645,3,0),IF(A459="INSUMO",VLOOKUP(B459,INSUMOS!$A$6:$D$6961,3,0),IF(A459="COTAÇÃO",VLOOKUP(B459,'036-20-Cotação'!$A$9:$G$529,4,0))))</f>
        <v>UN</v>
      </c>
      <c r="F459" s="462">
        <v>0.9375</v>
      </c>
      <c r="G459" s="453">
        <f>IF(A459="SERVIÇO",VLOOKUP(B459,SERVIÇOS!$A$6:$D$7645,4,0),IF(A459="INSUMO",VLOOKUP(B459,INSUMOS!$A$6:$D$6961,4,0),IF(A459="COTAÇÃO",VLOOKUP(B459,'036-20-Cotação'!$A$9:$G$529,3,0))))</f>
        <v>5.2050000000000001</v>
      </c>
      <c r="H459" s="463">
        <f t="shared" si="51"/>
        <v>4.8796875000000002</v>
      </c>
      <c r="J459" s="201"/>
    </row>
    <row r="460" spans="1:17" s="87" customFormat="1" ht="38.25">
      <c r="A460" s="232" t="s">
        <v>4544</v>
      </c>
      <c r="B460" s="531" t="s">
        <v>6879</v>
      </c>
      <c r="C460" s="451" t="str">
        <f>IF(A460="SERVIÇO",VLOOKUP(B460,SERVIÇOS!$A$6:$D$7645,2,0),IF(A460="INSUMO",VLOOKUP(B460,INSUMOS!$A$6:$D$6961,2,0),IF(A460="COTAÇÃO",VLOOKUP(B460,'036-20-Cotação'!$A$9:$G$529,2,0))))</f>
        <v>CINTA DE ELEVAÇÃO TIPO GRAB COM 1 RAMAL ANEL, GANCHO DE 3 A 5 M E CAPACIDADE DE 5.000 KG - SEGURANÇA 4:1</v>
      </c>
      <c r="D460" s="452" t="str">
        <f>IF(A460="SERVIÇO",VLOOKUP(B460,SERVIÇOS!$A$6:$E$7645,5,0),IF(A460="INSUMO",VLOOKUP(B460,INSUMOS!$A$6:$E$6961,5,0),IF(A460="COTAÇÃO",VLOOKUP(B460,'036-20-Cotação'!$A$9:$H$529,8,0))))</f>
        <v>MAT.</v>
      </c>
      <c r="E460" s="452" t="str">
        <f>IF(A460="SERVIÇO",VLOOKUP(B460,SERVIÇOS!$A$6:$D$7645,3,0),IF(A460="INSUMO",VLOOKUP(B460,INSUMOS!$A$6:$D$6961,3,0),IF(A460="COTAÇÃO",VLOOKUP(B460,'036-20-Cotação'!$A$9:$G$529,4,0))))</f>
        <v>UN</v>
      </c>
      <c r="F460" s="462">
        <v>3.13E-3</v>
      </c>
      <c r="G460" s="453">
        <f>IF(A460="SERVIÇO",VLOOKUP(B460,SERVIÇOS!$A$6:$D$7645,4,0),IF(A460="INSUMO",VLOOKUP(B460,INSUMOS!$A$6:$D$6961,4,0),IF(A460="COTAÇÃO",VLOOKUP(B460,'036-20-Cotação'!$A$9:$G$529,3,0))))</f>
        <v>473.06760000000003</v>
      </c>
      <c r="H460" s="463">
        <f t="shared" si="51"/>
        <v>1.4807015880000001</v>
      </c>
      <c r="J460" s="201"/>
    </row>
    <row r="461" spans="1:17" s="87" customFormat="1" ht="38.25">
      <c r="A461" s="232" t="s">
        <v>4544</v>
      </c>
      <c r="B461" s="464" t="s">
        <v>6880</v>
      </c>
      <c r="C461" s="451" t="str">
        <f>IF(A461="SERVIÇO",VLOOKUP(B461,SERVIÇOS!$A$6:$D$7645,2,0),IF(A461="INSUMO",VLOOKUP(B461,INSUMOS!$A$6:$D$6961,2,0),IF(A461="COTAÇÃO",VLOOKUP(B461,'036-20-Cotação'!$A$9:$G$529,2,0))))</f>
        <v>CINTA DE ELEVAÇÃO TIPO GRAB COM 2 RAMAIS ANEL, GANCHO DE 3 A 5 M E CAPACIDADE DE 5.000 KG - SEGURANÇA 4:1</v>
      </c>
      <c r="D461" s="452" t="str">
        <f>IF(A461="SERVIÇO",VLOOKUP(B461,SERVIÇOS!$A$6:$E$7645,5,0),IF(A461="INSUMO",VLOOKUP(B461,INSUMOS!$A$6:$E$6961,5,0),IF(A461="COTAÇÃO",VLOOKUP(B461,'036-20-Cotação'!$A$9:$H$529,8,0))))</f>
        <v>MAT.</v>
      </c>
      <c r="E461" s="452" t="str">
        <f>IF(A461="SERVIÇO",VLOOKUP(B461,SERVIÇOS!$A$6:$D$7645,3,0),IF(A461="INSUMO",VLOOKUP(B461,INSUMOS!$A$6:$D$6961,3,0),IF(A461="COTAÇÃO",VLOOKUP(B461,'036-20-Cotação'!$A$9:$G$529,4,0))))</f>
        <v>UN</v>
      </c>
      <c r="F461" s="462">
        <v>1.56E-3</v>
      </c>
      <c r="G461" s="453">
        <f>IF(A461="SERVIÇO",VLOOKUP(B461,SERVIÇOS!$A$6:$D$7645,4,0),IF(A461="INSUMO",VLOOKUP(B461,INSUMOS!$A$6:$D$6961,4,0),IF(A461="COTAÇÃO",VLOOKUP(B461,'036-20-Cotação'!$A$9:$G$529,3,0))))</f>
        <v>935.77070000000003</v>
      </c>
      <c r="H461" s="463">
        <f t="shared" si="51"/>
        <v>1.459802292</v>
      </c>
      <c r="J461" s="201"/>
    </row>
    <row r="462" spans="1:17" s="87" customFormat="1" ht="25.5">
      <c r="A462" s="232" t="s">
        <v>4544</v>
      </c>
      <c r="B462" s="464" t="s">
        <v>6609</v>
      </c>
      <c r="C462" s="451" t="str">
        <f>IF(A462="SERVIÇO",VLOOKUP(B462,SERVIÇOS!$A$6:$D$7645,2,0),IF(A462="INSUMO",VLOOKUP(B462,INSUMOS!$A$6:$D$6961,2,0),IF(A462="COTAÇÃO",VLOOKUP(B462,'036-20-Cotação'!$A$9:$G$529,2,0))))</f>
        <v>CORDA DE NYLON TORCIDA COM 4 PERNAS - D = 10 MM</v>
      </c>
      <c r="D462" s="452" t="str">
        <f>IF(A462="SERVIÇO",VLOOKUP(B462,SERVIÇOS!$A$6:$E$7645,5,0),IF(A462="INSUMO",VLOOKUP(B462,INSUMOS!$A$6:$E$6961,5,0),IF(A462="COTAÇÃO",VLOOKUP(B462,'036-20-Cotação'!$A$9:$H$529,8,0))))</f>
        <v>MAT.</v>
      </c>
      <c r="E462" s="452" t="str">
        <f>IF(A462="SERVIÇO",VLOOKUP(B462,SERVIÇOS!$A$6:$D$7645,3,0),IF(A462="INSUMO",VLOOKUP(B462,INSUMOS!$A$6:$D$6961,3,0),IF(A462="COTAÇÃO",VLOOKUP(B462,'036-20-Cotação'!$A$9:$G$529,4,0))))</f>
        <v>M</v>
      </c>
      <c r="F462" s="462">
        <v>0.16156000000000001</v>
      </c>
      <c r="G462" s="453">
        <f>IF(A462="SERVIÇO",VLOOKUP(B462,SERVIÇOS!$A$6:$D$7645,4,0),IF(A462="INSUMO",VLOOKUP(B462,INSUMOS!$A$6:$D$6961,4,0),IF(A462="COTAÇÃO",VLOOKUP(B462,'036-20-Cotação'!$A$9:$G$529,3,0))))</f>
        <v>4.1195000000000004</v>
      </c>
      <c r="H462" s="463">
        <f t="shared" ref="H462:H468" si="52">G462*F462</f>
        <v>0.66554642000000008</v>
      </c>
      <c r="J462" s="201"/>
    </row>
    <row r="463" spans="1:17" s="87" customFormat="1" ht="25.5">
      <c r="A463" s="232" t="s">
        <v>4544</v>
      </c>
      <c r="B463" s="464" t="s">
        <v>6877</v>
      </c>
      <c r="C463" s="451" t="str">
        <f>IF(A463="SERVIÇO",VLOOKUP(B463,SERVIÇOS!$A$6:$D$7645,2,0),IF(A463="INSUMO",VLOOKUP(B463,INSUMOS!$A$6:$D$6961,2,0),IF(A463="COTAÇÃO",VLOOKUP(B463,'036-20-Cotação'!$A$9:$G$529,2,0))))</f>
        <v>PARAFUSO CABEÇA SEXTAVADA - D = 1/4" COM PORCA E ARRUELA DE PRESSÃO</v>
      </c>
      <c r="D463" s="452" t="str">
        <f>IF(A463="SERVIÇO",VLOOKUP(B463,SERVIÇOS!$A$6:$E$7645,5,0),IF(A463="INSUMO",VLOOKUP(B463,INSUMOS!$A$6:$E$6961,5,0),IF(A463="COTAÇÃO",VLOOKUP(B463,'036-20-Cotação'!$A$9:$H$529,8,0))))</f>
        <v>MAT.</v>
      </c>
      <c r="E463" s="452" t="str">
        <f>IF(A463="SERVIÇO",VLOOKUP(B463,SERVIÇOS!$A$6:$D$7645,3,0),IF(A463="INSUMO",VLOOKUP(B463,INSUMOS!$A$6:$D$6961,3,0),IF(A463="COTAÇÃO",VLOOKUP(B463,'036-20-Cotação'!$A$9:$G$529,4,0))))</f>
        <v>CJ</v>
      </c>
      <c r="F463" s="462">
        <v>1.11111</v>
      </c>
      <c r="G463" s="453">
        <f>IF(A463="SERVIÇO",VLOOKUP(B463,SERVIÇOS!$A$6:$D$7645,4,0),IF(A463="INSUMO",VLOOKUP(B463,INSUMOS!$A$6:$D$6961,4,0),IF(A463="COTAÇÃO",VLOOKUP(B463,'036-20-Cotação'!$A$9:$G$529,3,0))))</f>
        <v>0.5141</v>
      </c>
      <c r="H463" s="463">
        <f t="shared" si="52"/>
        <v>0.571221651</v>
      </c>
      <c r="J463" s="201"/>
    </row>
    <row r="464" spans="1:17" s="87" customFormat="1" ht="25.5">
      <c r="A464" s="232" t="s">
        <v>4544</v>
      </c>
      <c r="B464" s="464" t="s">
        <v>6881</v>
      </c>
      <c r="C464" s="451" t="str">
        <f>IF(A464="SERVIÇO",VLOOKUP(B464,SERVIÇOS!$A$6:$D$7645,2,0),IF(A464="INSUMO",VLOOKUP(B464,INSUMOS!$A$6:$D$6961,2,0),IF(A464="COTAÇÃO",VLOOKUP(B464,'036-20-Cotação'!$A$9:$G$529,2,0))))</f>
        <v>PARAFUSO CABEÇA SEXTAVADA - D = 5/16" COM PORCA E ARRUELA DE PRESSÃO</v>
      </c>
      <c r="D464" s="452" t="str">
        <f>IF(A464="SERVIÇO",VLOOKUP(B464,SERVIÇOS!$A$6:$E$7645,5,0),IF(A464="INSUMO",VLOOKUP(B464,INSUMOS!$A$6:$E$6961,5,0),IF(A464="COTAÇÃO",VLOOKUP(B464,'036-20-Cotação'!$A$9:$H$529,8,0))))</f>
        <v>MAT.</v>
      </c>
      <c r="E464" s="452" t="str">
        <f>IF(A464="SERVIÇO",VLOOKUP(B464,SERVIÇOS!$A$6:$D$7645,3,0),IF(A464="INSUMO",VLOOKUP(B464,INSUMOS!$A$6:$D$6961,3,0),IF(A464="COTAÇÃO",VLOOKUP(B464,'036-20-Cotação'!$A$9:$G$529,4,0))))</f>
        <v>CJ</v>
      </c>
      <c r="F464" s="462">
        <v>1.5625</v>
      </c>
      <c r="G464" s="453">
        <f>IF(A464="SERVIÇO",VLOOKUP(B464,SERVIÇOS!$A$6:$D$7645,4,0),IF(A464="INSUMO",VLOOKUP(B464,INSUMOS!$A$6:$D$6961,4,0),IF(A464="COTAÇÃO",VLOOKUP(B464,'036-20-Cotação'!$A$9:$G$529,3,0))))</f>
        <v>0.80959999999999999</v>
      </c>
      <c r="H464" s="463">
        <f t="shared" si="52"/>
        <v>1.2649999999999999</v>
      </c>
      <c r="J464" s="201"/>
    </row>
    <row r="465" spans="1:17" s="87" customFormat="1" ht="12.75">
      <c r="A465" s="232" t="s">
        <v>4544</v>
      </c>
      <c r="B465" s="464" t="s">
        <v>6871</v>
      </c>
      <c r="C465" s="451" t="str">
        <f>IF(A465="SERVIÇO",VLOOKUP(B465,SERVIÇOS!$A$6:$D$7645,2,0),IF(A465="INSUMO",VLOOKUP(B465,INSUMOS!$A$6:$D$6961,2,0),IF(A465="COTAÇÃO",VLOOKUP(B465,'036-20-Cotação'!$A$9:$G$529,2,0))))</f>
        <v>TÁBUA DE 2,5 X 30 CM</v>
      </c>
      <c r="D465" s="452" t="str">
        <f>IF(A465="SERVIÇO",VLOOKUP(B465,SERVIÇOS!$A$6:$E$7645,5,0),IF(A465="INSUMO",VLOOKUP(B465,INSUMOS!$A$6:$E$6961,5,0),IF(A465="COTAÇÃO",VLOOKUP(B465,'036-20-Cotação'!$A$9:$H$529,8,0))))</f>
        <v>MAT.</v>
      </c>
      <c r="E465" s="452" t="str">
        <f>IF(A465="SERVIÇO",VLOOKUP(B465,SERVIÇOS!$A$6:$D$7645,3,0),IF(A465="INSUMO",VLOOKUP(B465,INSUMOS!$A$6:$D$6961,3,0),IF(A465="COTAÇÃO",VLOOKUP(B465,'036-20-Cotação'!$A$9:$G$529,4,0))))</f>
        <v>M</v>
      </c>
      <c r="F465" s="462">
        <v>0.35</v>
      </c>
      <c r="G465" s="453">
        <f>IF(A465="SERVIÇO",VLOOKUP(B465,SERVIÇOS!$A$6:$D$7645,4,0),IF(A465="INSUMO",VLOOKUP(B465,INSUMOS!$A$6:$D$6961,4,0),IF(A465="COTAÇÃO",VLOOKUP(B465,'036-20-Cotação'!$A$9:$G$529,3,0))))</f>
        <v>9.7302</v>
      </c>
      <c r="H465" s="463">
        <f t="shared" si="52"/>
        <v>3.40557</v>
      </c>
      <c r="J465" s="201"/>
    </row>
    <row r="466" spans="1:17" s="87" customFormat="1" ht="25.5">
      <c r="A466" s="232" t="s">
        <v>4542</v>
      </c>
      <c r="B466" s="464">
        <v>2408058</v>
      </c>
      <c r="C466" s="451" t="str">
        <f>'036-20-CCA''s'!$C$142</f>
        <v>SOLDA ELÉTRICA DE PERFIS METÁLICOS E CHAPAS DE AÇO COM ELETRODO E70XX</v>
      </c>
      <c r="D466" s="451" t="str">
        <f>'036-20-CCA''s'!$D$142</f>
        <v>SER.CG</v>
      </c>
      <c r="E466" s="451" t="str">
        <f>'036-20-CCA''s'!$E$142</f>
        <v>KG</v>
      </c>
      <c r="F466" s="462">
        <v>1.132E-2</v>
      </c>
      <c r="G466" s="453">
        <f>'036-20-CCA''s'!$H$142</f>
        <v>70.963465562080543</v>
      </c>
      <c r="H466" s="463">
        <f t="shared" si="52"/>
        <v>0.80330643016275172</v>
      </c>
      <c r="J466" s="201"/>
    </row>
    <row r="467" spans="1:17" s="87" customFormat="1" ht="25.5">
      <c r="A467" s="232" t="s">
        <v>4542</v>
      </c>
      <c r="B467" s="464" t="s">
        <v>13206</v>
      </c>
      <c r="C467" s="451" t="str">
        <f>'036-20-CCA''s'!$C$281</f>
        <v>TEMPO FIXO - CAMINHÃO CARROCERIA 15 T - CARGA E DESCARGA MANUAIS</v>
      </c>
      <c r="D467" s="452" t="str">
        <f>'036-20-CCA''s'!$D$281</f>
        <v>SER.CG</v>
      </c>
      <c r="E467" s="452" t="str">
        <f>'036-20-CCA''s'!$E$281</f>
        <v>T</v>
      </c>
      <c r="F467" s="462">
        <f>0.00021+0.00001+0.00263</f>
        <v>2.8500000000000001E-3</v>
      </c>
      <c r="G467" s="453">
        <f>'036-20-CCA''s'!$H$281</f>
        <v>20.925562080536913</v>
      </c>
      <c r="H467" s="463">
        <f t="shared" si="52"/>
        <v>5.9637851929530208E-2</v>
      </c>
      <c r="J467" s="201"/>
    </row>
    <row r="468" spans="1:17" s="87" customFormat="1" ht="38.25">
      <c r="A468" s="232" t="s">
        <v>4542</v>
      </c>
      <c r="B468" s="464" t="s">
        <v>13207</v>
      </c>
      <c r="C468" s="451" t="str">
        <f>'036-20-CCA''s'!$C$286</f>
        <v>TEMPO FIXO - CAMINHÃO CARROCERIA 15 T - CARGA E DESCARGA COM CAMINHÃO GUINDAUTO</v>
      </c>
      <c r="D468" s="452" t="str">
        <f>'036-20-CCA''s'!$D$286</f>
        <v>SER.CG</v>
      </c>
      <c r="E468" s="452" t="str">
        <f>'036-20-CCA''s'!$E$286</f>
        <v>T</v>
      </c>
      <c r="F468" s="462">
        <v>4.8000000000000001E-4</v>
      </c>
      <c r="G468" s="453">
        <f>'036-20-CCA''s'!$H$286</f>
        <v>18.149041033591729</v>
      </c>
      <c r="H468" s="463">
        <f t="shared" si="52"/>
        <v>8.7115396961240307E-3</v>
      </c>
      <c r="J468" s="201"/>
    </row>
    <row r="469" spans="1:17" s="87" customFormat="1" ht="12.75">
      <c r="A469" s="232"/>
      <c r="B469" s="199" t="s">
        <v>123</v>
      </c>
      <c r="C469" s="698" t="s">
        <v>26845</v>
      </c>
      <c r="D469" s="699"/>
      <c r="E469" s="699"/>
      <c r="F469" s="699"/>
      <c r="G469" s="699"/>
      <c r="H469" s="700"/>
      <c r="J469" s="201"/>
    </row>
    <row r="470" spans="1:17" s="78" customFormat="1" ht="12.75">
      <c r="A470" s="188"/>
      <c r="B470" s="346"/>
      <c r="C470" s="347"/>
      <c r="D470" s="347"/>
      <c r="E470" s="347"/>
      <c r="F470" s="347"/>
      <c r="G470" s="347"/>
      <c r="H470" s="347"/>
      <c r="J470" s="79"/>
      <c r="K470" s="87"/>
      <c r="L470" s="87"/>
      <c r="M470" s="87"/>
      <c r="N470" s="87"/>
      <c r="O470" s="87"/>
      <c r="P470" s="87"/>
      <c r="Q470" s="87"/>
    </row>
    <row r="471" spans="1:17" s="78" customFormat="1" ht="51">
      <c r="A471" s="188"/>
      <c r="B471" s="80" t="s">
        <v>6883</v>
      </c>
      <c r="C471" s="81" t="s">
        <v>8378</v>
      </c>
      <c r="D471" s="82" t="s">
        <v>84</v>
      </c>
      <c r="E471" s="82" t="s">
        <v>4521</v>
      </c>
      <c r="F471" s="83"/>
      <c r="G471" s="84"/>
      <c r="H471" s="85">
        <f>SUM(H472:H487)</f>
        <v>419.70394017885224</v>
      </c>
      <c r="J471" s="201" t="s">
        <v>8377</v>
      </c>
      <c r="K471" s="87"/>
      <c r="L471" s="87" t="s">
        <v>8480</v>
      </c>
      <c r="M471" s="87"/>
      <c r="N471" s="87"/>
      <c r="O471" s="87"/>
      <c r="P471" s="87"/>
      <c r="Q471" s="87"/>
    </row>
    <row r="472" spans="1:17" s="87" customFormat="1" ht="12.75">
      <c r="A472" s="232" t="s">
        <v>4542</v>
      </c>
      <c r="B472" s="464" t="s">
        <v>6825</v>
      </c>
      <c r="C472" s="451" t="str">
        <f>IF(A472="SERVIÇO",VLOOKUP(B472,SERVIÇOS!$A$6:$D$7645,2,0),IF(A472="INSUMO",VLOOKUP(B472,INSUMOS!$A$6:$D$6961,2,0),IF(A472="COTAÇÃO",VLOOKUP(B472,'036-20-Cotação'!$A$9:$G$529,2,0))))</f>
        <v>AJUDANTE</v>
      </c>
      <c r="D472" s="452" t="str">
        <f>IF(A472="SERVIÇO",VLOOKUP(B472,SERVIÇOS!$A$6:$E$7645,5,0),IF(A472="INSUMO",VLOOKUP(B472,INSUMOS!$A$6:$E$6961,5,0),IF(A472="COTAÇÃO",VLOOKUP(B472,'036-20-Cotação'!$A$9:$H$529,8,0))))</f>
        <v>M.O</v>
      </c>
      <c r="E472" s="452" t="str">
        <f>IF(A472="SERVIÇO",VLOOKUP(B472,SERVIÇOS!$A$6:$D$7645,3,0),IF(A472="INSUMO",VLOOKUP(B472,INSUMOS!$A$6:$D$6961,3,0),IF(A472="COTAÇÃO",VLOOKUP(B472,'036-20-Cotação'!$A$9:$G$529,4,0))))</f>
        <v>H</v>
      </c>
      <c r="F472" s="462">
        <f>(0.02264/6.144)*(10.8)</f>
        <v>3.9796875000000002E-2</v>
      </c>
      <c r="G472" s="453">
        <f>IF(A472="SERVIÇO",VLOOKUP(B472,SERVIÇOS!$A$6:$D$7645,4,0),IF(A472="INSUMO",VLOOKUP(B472,INSUMOS!$A$6:$D$6961,4,0),IF(A472="COTAÇÃO",VLOOKUP(B472,'036-20-Cotação'!$A$9:$G$529,3,0))))</f>
        <v>17.9801</v>
      </c>
      <c r="H472" s="463">
        <f t="shared" ref="H472:H487" si="53">G472*F472</f>
        <v>0.71555179218750009</v>
      </c>
      <c r="J472" s="201"/>
    </row>
    <row r="473" spans="1:17" s="87" customFormat="1" ht="12.75">
      <c r="A473" s="232" t="s">
        <v>4542</v>
      </c>
      <c r="B473" s="464" t="s">
        <v>6601</v>
      </c>
      <c r="C473" s="451" t="str">
        <f>IF(A473="SERVIÇO",VLOOKUP(B473,SERVIÇOS!$A$6:$D$7645,2,0),IF(A473="INSUMO",VLOOKUP(B473,INSUMOS!$A$6:$D$6961,2,0),IF(A473="COTAÇÃO",VLOOKUP(B473,'036-20-Cotação'!$A$9:$G$529,2,0))))</f>
        <v>MONTADOR</v>
      </c>
      <c r="D473" s="452" t="str">
        <f>IF(A473="SERVIÇO",VLOOKUP(B473,SERVIÇOS!$A$6:$E$7645,5,0),IF(A473="INSUMO",VLOOKUP(B473,INSUMOS!$A$6:$E$6961,5,0),IF(A473="COTAÇÃO",VLOOKUP(B473,'036-20-Cotação'!$A$9:$H$529,8,0))))</f>
        <v>M.O</v>
      </c>
      <c r="E473" s="452" t="str">
        <f>IF(A473="SERVIÇO",VLOOKUP(B473,SERVIÇOS!$A$6:$D$7645,3,0),IF(A473="INSUMO",VLOOKUP(B473,INSUMOS!$A$6:$D$6961,3,0),IF(A473="COTAÇÃO",VLOOKUP(B473,'036-20-Cotação'!$A$9:$G$529,4,0))))</f>
        <v>H</v>
      </c>
      <c r="F473" s="462">
        <f>(4/6.144)*(10.8)</f>
        <v>7.03125</v>
      </c>
      <c r="G473" s="453">
        <f>IF(A473="SERVIÇO",VLOOKUP(B473,SERVIÇOS!$A$6:$D$7645,4,0),IF(A473="INSUMO",VLOOKUP(B473,INSUMOS!$A$6:$D$6961,4,0),IF(A473="COTAÇÃO",VLOOKUP(B473,'036-20-Cotação'!$A$9:$G$529,3,0))))</f>
        <v>23.4679</v>
      </c>
      <c r="H473" s="463">
        <f t="shared" si="53"/>
        <v>165.008671875</v>
      </c>
      <c r="J473" s="201"/>
    </row>
    <row r="474" spans="1:17" s="87" customFormat="1" ht="12.75">
      <c r="A474" s="232" t="s">
        <v>4542</v>
      </c>
      <c r="B474" s="464" t="s">
        <v>6875</v>
      </c>
      <c r="C474" s="451" t="str">
        <f>IF(A474="SERVIÇO",VLOOKUP(B474,SERVIÇOS!$A$6:$D$7645,2,0),IF(A474="INSUMO",VLOOKUP(B474,INSUMOS!$A$6:$D$6961,2,0),IF(A474="COTAÇÃO",VLOOKUP(B474,'036-20-Cotação'!$A$9:$G$529,2,0))))</f>
        <v>SERRALHEIRO</v>
      </c>
      <c r="D474" s="452" t="str">
        <f>IF(A474="SERVIÇO",VLOOKUP(B474,SERVIÇOS!$A$6:$E$7645,5,0),IF(A474="INSUMO",VLOOKUP(B474,INSUMOS!$A$6:$E$6961,5,0),IF(A474="COTAÇÃO",VLOOKUP(B474,'036-20-Cotação'!$A$9:$H$529,8,0))))</f>
        <v>M.O</v>
      </c>
      <c r="E474" s="452" t="str">
        <f>IF(A474="SERVIÇO",VLOOKUP(B474,SERVIÇOS!$A$6:$D$7645,3,0),IF(A474="INSUMO",VLOOKUP(B474,INSUMOS!$A$6:$D$6961,3,0),IF(A474="COTAÇÃO",VLOOKUP(B474,'036-20-Cotação'!$A$9:$G$529,4,0))))</f>
        <v>H</v>
      </c>
      <c r="F474" s="462">
        <f>(0.02264/6.144)*(10.8)</f>
        <v>3.9796875000000002E-2</v>
      </c>
      <c r="G474" s="453">
        <f>IF(A474="SERVIÇO",VLOOKUP(B474,SERVIÇOS!$A$6:$D$7645,4,0),IF(A474="INSUMO",VLOOKUP(B474,INSUMOS!$A$6:$D$6961,4,0),IF(A474="COTAÇÃO",VLOOKUP(B474,'036-20-Cotação'!$A$9:$G$529,3,0))))</f>
        <v>21.641200000000001</v>
      </c>
      <c r="H474" s="463">
        <f t="shared" si="53"/>
        <v>0.86125213125000011</v>
      </c>
      <c r="J474" s="201"/>
    </row>
    <row r="475" spans="1:17" s="87" customFormat="1" ht="12.75">
      <c r="A475" s="232" t="s">
        <v>4542</v>
      </c>
      <c r="B475" s="531" t="s">
        <v>6602</v>
      </c>
      <c r="C475" s="451" t="str">
        <f>IF(A475="SERVIÇO",VLOOKUP(B475,SERVIÇOS!$A$6:$D$7645,2,0),IF(A475="INSUMO",VLOOKUP(B475,INSUMOS!$A$6:$D$6961,2,0),IF(A475="COTAÇÃO",VLOOKUP(B475,'036-20-Cotação'!$A$9:$G$529,2,0))))</f>
        <v>SERVENTE</v>
      </c>
      <c r="D475" s="452" t="str">
        <f>IF(A475="SERVIÇO",VLOOKUP(B475,SERVIÇOS!$A$6:$E$7645,5,0),IF(A475="INSUMO",VLOOKUP(B475,INSUMOS!$A$6:$E$6961,5,0),IF(A475="COTAÇÃO",VLOOKUP(B475,'036-20-Cotação'!$A$9:$H$529,8,0))))</f>
        <v>M.O</v>
      </c>
      <c r="E475" s="452" t="str">
        <f>IF(A475="SERVIÇO",VLOOKUP(B475,SERVIÇOS!$A$6:$D$7645,3,0),IF(A475="INSUMO",VLOOKUP(B475,INSUMOS!$A$6:$D$6961,3,0),IF(A475="COTAÇÃO",VLOOKUP(B475,'036-20-Cotação'!$A$9:$G$529,4,0))))</f>
        <v>H</v>
      </c>
      <c r="F475" s="462">
        <f>(2/6.144)*(10.8)</f>
        <v>3.515625</v>
      </c>
      <c r="G475" s="453">
        <f>IF(A475="SERVIÇO",VLOOKUP(B475,SERVIÇOS!$A$6:$D$7645,4,0),IF(A475="INSUMO",VLOOKUP(B475,INSUMOS!$A$6:$D$6961,4,0),IF(A475="COTAÇÃO",VLOOKUP(B475,'036-20-Cotação'!$A$9:$G$529,3,0))))</f>
        <v>15.637499999999999</v>
      </c>
      <c r="H475" s="463">
        <f t="shared" si="53"/>
        <v>54.9755859375</v>
      </c>
      <c r="J475" s="201"/>
    </row>
    <row r="476" spans="1:17" s="87" customFormat="1" ht="12.75">
      <c r="A476" s="232" t="s">
        <v>4544</v>
      </c>
      <c r="B476" s="464" t="s">
        <v>6317</v>
      </c>
      <c r="C476" s="451" t="str">
        <f>IF(A476="SERVIÇO",VLOOKUP(B476,SERVIÇOS!$A$6:$D$7645,2,0),IF(A476="INSUMO",VLOOKUP(B476,INSUMOS!$A$6:$D$6961,2,0),IF(A476="COTAÇÃO",VLOOKUP(B476,'036-20-Cotação'!$A$9:$G$529,2,0))))</f>
        <v>AÇO EM PERFIS ASTM A36</v>
      </c>
      <c r="D476" s="452" t="str">
        <f>IF(A476="SERVIÇO",VLOOKUP(B476,SERVIÇOS!$A$6:$E$7645,5,0),IF(A476="INSUMO",VLOOKUP(B476,INSUMOS!$A$6:$E$6961,5,0),IF(A476="COTAÇÃO",VLOOKUP(B476,'036-20-Cotação'!$A$9:$H$529,8,0))))</f>
        <v>MAT.</v>
      </c>
      <c r="E476" s="452" t="str">
        <f>IF(A476="SERVIÇO",VLOOKUP(B476,SERVIÇOS!$A$6:$D$7645,3,0),IF(A476="INSUMO",VLOOKUP(B476,INSUMOS!$A$6:$D$6961,3,0),IF(A476="COTAÇÃO",VLOOKUP(B476,'036-20-Cotação'!$A$9:$G$529,4,0))))</f>
        <v>KG</v>
      </c>
      <c r="F476" s="462">
        <f>0.20607*(10.8)</f>
        <v>2.2255560000000001</v>
      </c>
      <c r="G476" s="453">
        <f>IF(A476="SERVIÇO",VLOOKUP(B476,SERVIÇOS!$A$6:$D$7645,4,0),IF(A476="INSUMO",VLOOKUP(B476,INSUMOS!$A$6:$D$6961,4,0),IF(A476="COTAÇÃO",VLOOKUP(B476,'036-20-Cotação'!$A$9:$G$529,3,0))))</f>
        <v>5.1818</v>
      </c>
      <c r="H476" s="463">
        <f t="shared" si="53"/>
        <v>11.5323860808</v>
      </c>
      <c r="J476" s="201"/>
    </row>
    <row r="477" spans="1:17" s="87" customFormat="1" ht="12.75">
      <c r="A477" s="232" t="s">
        <v>4544</v>
      </c>
      <c r="B477" s="464" t="s">
        <v>6336</v>
      </c>
      <c r="C477" s="451" t="str">
        <f>IF(A477="SERVIÇO",VLOOKUP(B477,SERVIÇOS!$A$6:$D$7645,2,0),IF(A477="INSUMO",VLOOKUP(B477,INSUMOS!$A$6:$D$6961,2,0),IF(A477="COTAÇÃO",VLOOKUP(B477,'036-20-Cotação'!$A$9:$G$529,2,0))))</f>
        <v>CHAPA DE AÇO ASTM A36</v>
      </c>
      <c r="D477" s="452" t="str">
        <f>IF(A477="SERVIÇO",VLOOKUP(B477,SERVIÇOS!$A$6:$E$7645,5,0),IF(A477="INSUMO",VLOOKUP(B477,INSUMOS!$A$6:$E$6961,5,0),IF(A477="COTAÇÃO",VLOOKUP(B477,'036-20-Cotação'!$A$9:$H$529,8,0))))</f>
        <v>MAT.</v>
      </c>
      <c r="E477" s="452" t="str">
        <f>IF(A477="SERVIÇO",VLOOKUP(B477,SERVIÇOS!$A$6:$D$7645,3,0),IF(A477="INSUMO",VLOOKUP(B477,INSUMOS!$A$6:$D$6961,3,0),IF(A477="COTAÇÃO",VLOOKUP(B477,'036-20-Cotação'!$A$9:$G$529,4,0))))</f>
        <v>KG</v>
      </c>
      <c r="F477" s="462">
        <f>0.4802*(10.8)</f>
        <v>5.1861600000000001</v>
      </c>
      <c r="G477" s="453">
        <f>IF(A477="SERVIÇO",VLOOKUP(B477,SERVIÇOS!$A$6:$D$7645,4,0),IF(A477="INSUMO",VLOOKUP(B477,INSUMOS!$A$6:$D$6961,4,0),IF(A477="COTAÇÃO",VLOOKUP(B477,'036-20-Cotação'!$A$9:$G$529,3,0))))</f>
        <v>5.5800999999999998</v>
      </c>
      <c r="H477" s="463">
        <f t="shared" si="53"/>
        <v>28.939291416</v>
      </c>
      <c r="J477" s="201"/>
    </row>
    <row r="478" spans="1:17" s="87" customFormat="1" ht="25.5">
      <c r="A478" s="232" t="s">
        <v>4544</v>
      </c>
      <c r="B478" s="464" t="s">
        <v>6876</v>
      </c>
      <c r="C478" s="451" t="str">
        <f>IF(A478="SERVIÇO",VLOOKUP(B478,SERVIÇOS!$A$6:$D$7645,2,0),IF(A478="INSUMO",VLOOKUP(B478,INSUMOS!$A$6:$D$6961,2,0),IF(A478="COTAÇÃO",VLOOKUP(B478,'036-20-Cotação'!$A$9:$G$529,2,0))))</f>
        <v>CHUMBADOR PARA CONCRETO TECBOLT DE 12,5 MM</v>
      </c>
      <c r="D478" s="452" t="str">
        <f>IF(A478="SERVIÇO",VLOOKUP(B478,SERVIÇOS!$A$6:$E$7645,5,0),IF(A478="INSUMO",VLOOKUP(B478,INSUMOS!$A$6:$E$6961,5,0),IF(A478="COTAÇÃO",VLOOKUP(B478,'036-20-Cotação'!$A$9:$H$529,8,0))))</f>
        <v>MAT.</v>
      </c>
      <c r="E478" s="452" t="str">
        <f>IF(A478="SERVIÇO",VLOOKUP(B478,SERVIÇOS!$A$6:$D$7645,3,0),IF(A478="INSUMO",VLOOKUP(B478,INSUMOS!$A$6:$D$6961,3,0),IF(A478="COTAÇÃO",VLOOKUP(B478,'036-20-Cotação'!$A$9:$G$529,4,0))))</f>
        <v>UN</v>
      </c>
      <c r="F478" s="462">
        <f>0.9375*(10.8)</f>
        <v>10.125</v>
      </c>
      <c r="G478" s="453">
        <f>IF(A478="SERVIÇO",VLOOKUP(B478,SERVIÇOS!$A$6:$D$7645,4,0),IF(A478="INSUMO",VLOOKUP(B478,INSUMOS!$A$6:$D$6961,4,0),IF(A478="COTAÇÃO",VLOOKUP(B478,'036-20-Cotação'!$A$9:$G$529,3,0))))</f>
        <v>5.2050000000000001</v>
      </c>
      <c r="H478" s="463">
        <f t="shared" si="53"/>
        <v>52.700625000000002</v>
      </c>
      <c r="J478" s="201"/>
    </row>
    <row r="479" spans="1:17" s="87" customFormat="1" ht="38.25">
      <c r="A479" s="232" t="s">
        <v>4544</v>
      </c>
      <c r="B479" s="531" t="s">
        <v>6879</v>
      </c>
      <c r="C479" s="451" t="str">
        <f>IF(A479="SERVIÇO",VLOOKUP(B479,SERVIÇOS!$A$6:$D$7645,2,0),IF(A479="INSUMO",VLOOKUP(B479,INSUMOS!$A$6:$D$6961,2,0),IF(A479="COTAÇÃO",VLOOKUP(B479,'036-20-Cotação'!$A$9:$G$529,2,0))))</f>
        <v>CINTA DE ELEVAÇÃO TIPO GRAB COM 1 RAMAL ANEL, GANCHO DE 3 A 5 M E CAPACIDADE DE 5.000 KG - SEGURANÇA 4:1</v>
      </c>
      <c r="D479" s="452" t="str">
        <f>IF(A479="SERVIÇO",VLOOKUP(B479,SERVIÇOS!$A$6:$E$7645,5,0),IF(A479="INSUMO",VLOOKUP(B479,INSUMOS!$A$6:$E$6961,5,0),IF(A479="COTAÇÃO",VLOOKUP(B479,'036-20-Cotação'!$A$9:$H$529,8,0))))</f>
        <v>MAT.</v>
      </c>
      <c r="E479" s="452" t="str">
        <f>IF(A479="SERVIÇO",VLOOKUP(B479,SERVIÇOS!$A$6:$D$7645,3,0),IF(A479="INSUMO",VLOOKUP(B479,INSUMOS!$A$6:$D$6961,3,0),IF(A479="COTAÇÃO",VLOOKUP(B479,'036-20-Cotação'!$A$9:$G$529,4,0))))</f>
        <v>UN</v>
      </c>
      <c r="F479" s="462">
        <f>0.00313*(10.8)</f>
        <v>3.3804000000000001E-2</v>
      </c>
      <c r="G479" s="453">
        <f>IF(A479="SERVIÇO",VLOOKUP(B479,SERVIÇOS!$A$6:$D$7645,4,0),IF(A479="INSUMO",VLOOKUP(B479,INSUMOS!$A$6:$D$6961,4,0),IF(A479="COTAÇÃO",VLOOKUP(B479,'036-20-Cotação'!$A$9:$G$529,3,0))))</f>
        <v>473.06760000000003</v>
      </c>
      <c r="H479" s="463">
        <f t="shared" si="53"/>
        <v>15.991577150400001</v>
      </c>
      <c r="J479" s="201">
        <f>0.15625/10</f>
        <v>1.5625E-2</v>
      </c>
    </row>
    <row r="480" spans="1:17" s="87" customFormat="1" ht="38.25">
      <c r="A480" s="232" t="s">
        <v>4544</v>
      </c>
      <c r="B480" s="464" t="s">
        <v>6880</v>
      </c>
      <c r="C480" s="451" t="str">
        <f>IF(A480="SERVIÇO",VLOOKUP(B480,SERVIÇOS!$A$6:$D$7645,2,0),IF(A480="INSUMO",VLOOKUP(B480,INSUMOS!$A$6:$D$6961,2,0),IF(A480="COTAÇÃO",VLOOKUP(B480,'036-20-Cotação'!$A$9:$G$529,2,0))))</f>
        <v>CINTA DE ELEVAÇÃO TIPO GRAB COM 2 RAMAIS ANEL, GANCHO DE 3 A 5 M E CAPACIDADE DE 5.000 KG - SEGURANÇA 4:1</v>
      </c>
      <c r="D480" s="452" t="str">
        <f>IF(A480="SERVIÇO",VLOOKUP(B480,SERVIÇOS!$A$6:$E$7645,5,0),IF(A480="INSUMO",VLOOKUP(B480,INSUMOS!$A$6:$E$6961,5,0),IF(A480="COTAÇÃO",VLOOKUP(B480,'036-20-Cotação'!$A$9:$H$529,8,0))))</f>
        <v>MAT.</v>
      </c>
      <c r="E480" s="452" t="str">
        <f>IF(A480="SERVIÇO",VLOOKUP(B480,SERVIÇOS!$A$6:$D$7645,3,0),IF(A480="INSUMO",VLOOKUP(B480,INSUMOS!$A$6:$D$6961,3,0),IF(A480="COTAÇÃO",VLOOKUP(B480,'036-20-Cotação'!$A$9:$G$529,4,0))))</f>
        <v>UN</v>
      </c>
      <c r="F480" s="462">
        <f>0.00156*(10.8)</f>
        <v>1.6848000000000002E-2</v>
      </c>
      <c r="G480" s="453">
        <f>IF(A480="SERVIÇO",VLOOKUP(B480,SERVIÇOS!$A$6:$D$7645,4,0),IF(A480="INSUMO",VLOOKUP(B480,INSUMOS!$A$6:$D$6961,4,0),IF(A480="COTAÇÃO",VLOOKUP(B480,'036-20-Cotação'!$A$9:$G$529,3,0))))</f>
        <v>935.77070000000003</v>
      </c>
      <c r="H480" s="463">
        <f t="shared" si="53"/>
        <v>15.765864753600003</v>
      </c>
      <c r="J480" s="201">
        <f>0.07813/50</f>
        <v>1.5626000000000001E-3</v>
      </c>
    </row>
    <row r="481" spans="1:17" s="87" customFormat="1" ht="25.5">
      <c r="A481" s="232" t="s">
        <v>4544</v>
      </c>
      <c r="B481" s="464" t="s">
        <v>6609</v>
      </c>
      <c r="C481" s="451" t="str">
        <f>IF(A481="SERVIÇO",VLOOKUP(B481,SERVIÇOS!$A$6:$D$7645,2,0),IF(A481="INSUMO",VLOOKUP(B481,INSUMOS!$A$6:$D$6961,2,0),IF(A481="COTAÇÃO",VLOOKUP(B481,'036-20-Cotação'!$A$9:$G$529,2,0))))</f>
        <v>CORDA DE NYLON TORCIDA COM 4 PERNAS - D = 10 MM</v>
      </c>
      <c r="D481" s="452" t="str">
        <f>IF(A481="SERVIÇO",VLOOKUP(B481,SERVIÇOS!$A$6:$E$7645,5,0),IF(A481="INSUMO",VLOOKUP(B481,INSUMOS!$A$6:$E$6961,5,0),IF(A481="COTAÇÃO",VLOOKUP(B481,'036-20-Cotação'!$A$9:$H$529,8,0))))</f>
        <v>MAT.</v>
      </c>
      <c r="E481" s="452" t="str">
        <f>IF(A481="SERVIÇO",VLOOKUP(B481,SERVIÇOS!$A$6:$D$7645,3,0),IF(A481="INSUMO",VLOOKUP(B481,INSUMOS!$A$6:$D$6961,3,0),IF(A481="COTAÇÃO",VLOOKUP(B481,'036-20-Cotação'!$A$9:$G$529,4,0))))</f>
        <v>M</v>
      </c>
      <c r="F481" s="462">
        <f>0.16156*(10.8)</f>
        <v>1.7448480000000002</v>
      </c>
      <c r="G481" s="453">
        <f>IF(A481="SERVIÇO",VLOOKUP(B481,SERVIÇOS!$A$6:$D$7645,4,0),IF(A481="INSUMO",VLOOKUP(B481,INSUMOS!$A$6:$D$6961,4,0),IF(A481="COTAÇÃO",VLOOKUP(B481,'036-20-Cotação'!$A$9:$G$529,3,0))))</f>
        <v>4.1195000000000004</v>
      </c>
      <c r="H481" s="463">
        <f t="shared" si="53"/>
        <v>7.1879013360000013</v>
      </c>
      <c r="J481" s="201"/>
    </row>
    <row r="482" spans="1:17" s="87" customFormat="1" ht="25.5">
      <c r="A482" s="232" t="s">
        <v>4544</v>
      </c>
      <c r="B482" s="464" t="s">
        <v>6877</v>
      </c>
      <c r="C482" s="451" t="str">
        <f>IF(A482="SERVIÇO",VLOOKUP(B482,SERVIÇOS!$A$6:$D$7645,2,0),IF(A482="INSUMO",VLOOKUP(B482,INSUMOS!$A$6:$D$6961,2,0),IF(A482="COTAÇÃO",VLOOKUP(B482,'036-20-Cotação'!$A$9:$G$529,2,0))))</f>
        <v>PARAFUSO CABEÇA SEXTAVADA - D = 1/4" COM PORCA E ARRUELA DE PRESSÃO</v>
      </c>
      <c r="D482" s="452" t="str">
        <f>IF(A482="SERVIÇO",VLOOKUP(B482,SERVIÇOS!$A$6:$E$7645,5,0),IF(A482="INSUMO",VLOOKUP(B482,INSUMOS!$A$6:$E$6961,5,0),IF(A482="COTAÇÃO",VLOOKUP(B482,'036-20-Cotação'!$A$9:$H$529,8,0))))</f>
        <v>MAT.</v>
      </c>
      <c r="E482" s="452" t="str">
        <f>IF(A482="SERVIÇO",VLOOKUP(B482,SERVIÇOS!$A$6:$D$7645,3,0),IF(A482="INSUMO",VLOOKUP(B482,INSUMOS!$A$6:$D$6961,3,0),IF(A482="COTAÇÃO",VLOOKUP(B482,'036-20-Cotação'!$A$9:$G$529,4,0))))</f>
        <v>CJ</v>
      </c>
      <c r="F482" s="462">
        <f>1.11111*(10.8)</f>
        <v>11.999988000000002</v>
      </c>
      <c r="G482" s="453">
        <f>IF(A482="SERVIÇO",VLOOKUP(B482,SERVIÇOS!$A$6:$D$7645,4,0),IF(A482="INSUMO",VLOOKUP(B482,INSUMOS!$A$6:$D$6961,4,0),IF(A482="COTAÇÃO",VLOOKUP(B482,'036-20-Cotação'!$A$9:$G$529,3,0))))</f>
        <v>0.5141</v>
      </c>
      <c r="H482" s="463">
        <f t="shared" si="53"/>
        <v>6.1691938308000012</v>
      </c>
      <c r="J482" s="201"/>
    </row>
    <row r="483" spans="1:17" s="87" customFormat="1" ht="25.5">
      <c r="A483" s="232" t="s">
        <v>4544</v>
      </c>
      <c r="B483" s="464" t="s">
        <v>6881</v>
      </c>
      <c r="C483" s="451" t="str">
        <f>IF(A483="SERVIÇO",VLOOKUP(B483,SERVIÇOS!$A$6:$D$7645,2,0),IF(A483="INSUMO",VLOOKUP(B483,INSUMOS!$A$6:$D$6961,2,0),IF(A483="COTAÇÃO",VLOOKUP(B483,'036-20-Cotação'!$A$9:$G$529,2,0))))</f>
        <v>PARAFUSO CABEÇA SEXTAVADA - D = 5/16" COM PORCA E ARRUELA DE PRESSÃO</v>
      </c>
      <c r="D483" s="452" t="str">
        <f>IF(A483="SERVIÇO",VLOOKUP(B483,SERVIÇOS!$A$6:$E$7645,5,0),IF(A483="INSUMO",VLOOKUP(B483,INSUMOS!$A$6:$E$6961,5,0),IF(A483="COTAÇÃO",VLOOKUP(B483,'036-20-Cotação'!$A$9:$H$529,8,0))))</f>
        <v>MAT.</v>
      </c>
      <c r="E483" s="452" t="str">
        <f>IF(A483="SERVIÇO",VLOOKUP(B483,SERVIÇOS!$A$6:$D$7645,3,0),IF(A483="INSUMO",VLOOKUP(B483,INSUMOS!$A$6:$D$6961,3,0),IF(A483="COTAÇÃO",VLOOKUP(B483,'036-20-Cotação'!$A$9:$G$529,4,0))))</f>
        <v>CJ</v>
      </c>
      <c r="F483" s="462">
        <f>1.5625*(10.8)</f>
        <v>16.875</v>
      </c>
      <c r="G483" s="453">
        <f>IF(A483="SERVIÇO",VLOOKUP(B483,SERVIÇOS!$A$6:$D$7645,4,0),IF(A483="INSUMO",VLOOKUP(B483,INSUMOS!$A$6:$D$6961,4,0),IF(A483="COTAÇÃO",VLOOKUP(B483,'036-20-Cotação'!$A$9:$G$529,3,0))))</f>
        <v>0.80959999999999999</v>
      </c>
      <c r="H483" s="463">
        <f t="shared" si="53"/>
        <v>13.661999999999999</v>
      </c>
      <c r="J483" s="201"/>
    </row>
    <row r="484" spans="1:17" s="87" customFormat="1" ht="12.75">
      <c r="A484" s="232" t="s">
        <v>4544</v>
      </c>
      <c r="B484" s="464" t="s">
        <v>6871</v>
      </c>
      <c r="C484" s="451" t="str">
        <f>IF(A484="SERVIÇO",VLOOKUP(B484,SERVIÇOS!$A$6:$D$7645,2,0),IF(A484="INSUMO",VLOOKUP(B484,INSUMOS!$A$6:$D$6961,2,0),IF(A484="COTAÇÃO",VLOOKUP(B484,'036-20-Cotação'!$A$9:$G$529,2,0))))</f>
        <v>TÁBUA DE 2,5 X 30 CM</v>
      </c>
      <c r="D484" s="452" t="str">
        <f>IF(A484="SERVIÇO",VLOOKUP(B484,SERVIÇOS!$A$6:$E$7645,5,0),IF(A484="INSUMO",VLOOKUP(B484,INSUMOS!$A$6:$E$6961,5,0),IF(A484="COTAÇÃO",VLOOKUP(B484,'036-20-Cotação'!$A$9:$H$529,8,0))))</f>
        <v>MAT.</v>
      </c>
      <c r="E484" s="452" t="str">
        <f>IF(A484="SERVIÇO",VLOOKUP(B484,SERVIÇOS!$A$6:$D$7645,3,0),IF(A484="INSUMO",VLOOKUP(B484,INSUMOS!$A$6:$D$6961,3,0),IF(A484="COTAÇÃO",VLOOKUP(B484,'036-20-Cotação'!$A$9:$G$529,4,0))))</f>
        <v>M</v>
      </c>
      <c r="F484" s="462">
        <f>0.35*(10.8)</f>
        <v>3.78</v>
      </c>
      <c r="G484" s="453">
        <f>IF(A484="SERVIÇO",VLOOKUP(B484,SERVIÇOS!$A$6:$D$7645,4,0),IF(A484="INSUMO",VLOOKUP(B484,INSUMOS!$A$6:$D$6961,4,0),IF(A484="COTAÇÃO",VLOOKUP(B484,'036-20-Cotação'!$A$9:$G$529,3,0))))</f>
        <v>9.7302</v>
      </c>
      <c r="H484" s="463">
        <f t="shared" si="53"/>
        <v>36.780155999999998</v>
      </c>
      <c r="J484" s="201"/>
    </row>
    <row r="485" spans="1:17" s="87" customFormat="1" ht="25.5">
      <c r="A485" s="232" t="s">
        <v>4542</v>
      </c>
      <c r="B485" s="464">
        <v>2408058</v>
      </c>
      <c r="C485" s="451" t="str">
        <f>'036-20-CCA''s'!$C$142</f>
        <v>SOLDA ELÉTRICA DE PERFIS METÁLICOS E CHAPAS DE AÇO COM ELETRODO E70XX</v>
      </c>
      <c r="D485" s="451" t="str">
        <f>'036-20-CCA''s'!$D$142</f>
        <v>SER.CG</v>
      </c>
      <c r="E485" s="451" t="str">
        <f>'036-20-CCA''s'!$E$142</f>
        <v>KG</v>
      </c>
      <c r="F485" s="462">
        <f>0.01132*10.8</f>
        <v>0.122256</v>
      </c>
      <c r="G485" s="453">
        <f>'036-20-CCA''s'!$H$142</f>
        <v>70.963465562080543</v>
      </c>
      <c r="H485" s="463">
        <f t="shared" si="53"/>
        <v>8.67570944575772</v>
      </c>
      <c r="J485" s="201"/>
    </row>
    <row r="486" spans="1:17" s="87" customFormat="1" ht="25.5">
      <c r="A486" s="232" t="s">
        <v>4542</v>
      </c>
      <c r="B486" s="464" t="s">
        <v>13206</v>
      </c>
      <c r="C486" s="451" t="str">
        <f>'036-20-CCA''s'!$C$281</f>
        <v>TEMPO FIXO - CAMINHÃO CARROCERIA 15 T - CARGA E DESCARGA MANUAIS</v>
      </c>
      <c r="D486" s="452" t="str">
        <f>'036-20-CCA''s'!$D$281</f>
        <v>SER.CG</v>
      </c>
      <c r="E486" s="452" t="str">
        <f>'036-20-CCA''s'!$E$281</f>
        <v>T</v>
      </c>
      <c r="F486" s="462">
        <f>(0.00021+0.00001+0.00263)*10.8</f>
        <v>3.0780000000000002E-2</v>
      </c>
      <c r="G486" s="453">
        <f>'036-20-CCA''s'!$H$281</f>
        <v>20.925562080536913</v>
      </c>
      <c r="H486" s="463">
        <f t="shared" si="53"/>
        <v>0.64408880083892628</v>
      </c>
      <c r="J486" s="201"/>
    </row>
    <row r="487" spans="1:17" s="87" customFormat="1" ht="38.25">
      <c r="A487" s="232" t="s">
        <v>4542</v>
      </c>
      <c r="B487" s="464" t="s">
        <v>13207</v>
      </c>
      <c r="C487" s="451" t="str">
        <f>'036-20-CCA''s'!$C$286</f>
        <v>TEMPO FIXO - CAMINHÃO CARROCERIA 15 T - CARGA E DESCARGA COM CAMINHÃO GUINDAUTO</v>
      </c>
      <c r="D487" s="452" t="str">
        <f>'036-20-CCA''s'!$D$286</f>
        <v>SER.CG</v>
      </c>
      <c r="E487" s="452" t="str">
        <f>'036-20-CCA''s'!$E$286</f>
        <v>T</v>
      </c>
      <c r="F487" s="462">
        <f>0.00048*10.8</f>
        <v>5.1840000000000002E-3</v>
      </c>
      <c r="G487" s="453">
        <f>'036-20-CCA''s'!$H$286</f>
        <v>18.149041033591729</v>
      </c>
      <c r="H487" s="463">
        <f t="shared" si="53"/>
        <v>9.4084628718139524E-2</v>
      </c>
      <c r="J487" s="201"/>
    </row>
    <row r="488" spans="1:17" s="87" customFormat="1" ht="12.75">
      <c r="A488" s="232"/>
      <c r="B488" s="199" t="s">
        <v>123</v>
      </c>
      <c r="C488" s="698" t="s">
        <v>8520</v>
      </c>
      <c r="D488" s="699"/>
      <c r="E488" s="699"/>
      <c r="F488" s="699"/>
      <c r="G488" s="699"/>
      <c r="H488" s="700"/>
      <c r="J488" s="201"/>
    </row>
    <row r="489" spans="1:17" s="78" customFormat="1" ht="12.75">
      <c r="A489" s="188"/>
      <c r="B489" s="346"/>
      <c r="C489" s="347"/>
      <c r="D489" s="347"/>
      <c r="E489" s="347"/>
      <c r="F489" s="347"/>
      <c r="G489" s="347"/>
      <c r="H489" s="347"/>
      <c r="J489" s="79"/>
      <c r="K489" s="87"/>
      <c r="L489" s="87"/>
      <c r="M489" s="87"/>
      <c r="N489" s="87"/>
      <c r="O489" s="87"/>
      <c r="P489" s="87"/>
      <c r="Q489" s="87"/>
    </row>
    <row r="490" spans="1:17" s="78" customFormat="1" ht="63.75">
      <c r="A490" s="188"/>
      <c r="B490" s="80" t="s">
        <v>6886</v>
      </c>
      <c r="C490" s="81" t="s">
        <v>6885</v>
      </c>
      <c r="D490" s="82" t="s">
        <v>84</v>
      </c>
      <c r="E490" s="82" t="s">
        <v>150</v>
      </c>
      <c r="F490" s="83"/>
      <c r="G490" s="84"/>
      <c r="H490" s="85">
        <f>SUM(H491:H506)</f>
        <v>38.861475942486315</v>
      </c>
      <c r="J490" s="201" t="s">
        <v>7854</v>
      </c>
      <c r="K490" s="87"/>
      <c r="L490" s="87"/>
      <c r="M490" s="87"/>
      <c r="N490" s="87"/>
      <c r="O490" s="87"/>
      <c r="P490" s="87"/>
      <c r="Q490" s="87"/>
    </row>
    <row r="491" spans="1:17" s="87" customFormat="1" ht="12.75">
      <c r="A491" s="232" t="s">
        <v>4542</v>
      </c>
      <c r="B491" s="464" t="s">
        <v>6825</v>
      </c>
      <c r="C491" s="451" t="str">
        <f>IF(A491="SERVIÇO",VLOOKUP(B491,SERVIÇOS!$A$6:$D$7645,2,0),IF(A491="INSUMO",VLOOKUP(B491,INSUMOS!$A$6:$D$6961,2,0),IF(A491="COTAÇÃO",VLOOKUP(B491,'036-20-Cotação'!$A$9:$G$529,2,0))))</f>
        <v>AJUDANTE</v>
      </c>
      <c r="D491" s="452" t="str">
        <f>IF(A491="SERVIÇO",VLOOKUP(B491,SERVIÇOS!$A$6:$E$7645,5,0),IF(A491="INSUMO",VLOOKUP(B491,INSUMOS!$A$6:$E$6961,5,0),IF(A491="COTAÇÃO",VLOOKUP(B491,'036-20-Cotação'!$A$9:$H$529,8,0))))</f>
        <v>M.O</v>
      </c>
      <c r="E491" s="452" t="str">
        <f>IF(A491="SERVIÇO",VLOOKUP(B491,SERVIÇOS!$A$6:$D$7645,3,0),IF(A491="INSUMO",VLOOKUP(B491,INSUMOS!$A$6:$D$6961,3,0),IF(A491="COTAÇÃO",VLOOKUP(B491,'036-20-Cotação'!$A$9:$G$529,4,0))))</f>
        <v>H</v>
      </c>
      <c r="F491" s="462">
        <f>0.02264/6.144</f>
        <v>3.6848958333333334E-3</v>
      </c>
      <c r="G491" s="453">
        <f>IF(A491="SERVIÇO",VLOOKUP(B491,SERVIÇOS!$A$6:$D$7645,4,0),IF(A491="INSUMO",VLOOKUP(B491,INSUMOS!$A$6:$D$6961,4,0),IF(A491="COTAÇÃO",VLOOKUP(B491,'036-20-Cotação'!$A$9:$G$529,3,0))))</f>
        <v>17.9801</v>
      </c>
      <c r="H491" s="463">
        <f t="shared" ref="H491:H506" si="54">G491*F491</f>
        <v>6.6254795572916664E-2</v>
      </c>
      <c r="J491" s="201"/>
    </row>
    <row r="492" spans="1:17" s="87" customFormat="1" ht="12.75">
      <c r="A492" s="232" t="s">
        <v>4542</v>
      </c>
      <c r="B492" s="464" t="s">
        <v>6601</v>
      </c>
      <c r="C492" s="451" t="str">
        <f>IF(A492="SERVIÇO",VLOOKUP(B492,SERVIÇOS!$A$6:$D$7645,2,0),IF(A492="INSUMO",VLOOKUP(B492,INSUMOS!$A$6:$D$6961,2,0),IF(A492="COTAÇÃO",VLOOKUP(B492,'036-20-Cotação'!$A$9:$G$529,2,0))))</f>
        <v>MONTADOR</v>
      </c>
      <c r="D492" s="452" t="str">
        <f>IF(A492="SERVIÇO",VLOOKUP(B492,SERVIÇOS!$A$6:$E$7645,5,0),IF(A492="INSUMO",VLOOKUP(B492,INSUMOS!$A$6:$E$6961,5,0),IF(A492="COTAÇÃO",VLOOKUP(B492,'036-20-Cotação'!$A$9:$H$529,8,0))))</f>
        <v>M.O</v>
      </c>
      <c r="E492" s="452" t="str">
        <f>IF(A492="SERVIÇO",VLOOKUP(B492,SERVIÇOS!$A$6:$D$7645,3,0),IF(A492="INSUMO",VLOOKUP(B492,INSUMOS!$A$6:$D$6961,3,0),IF(A492="COTAÇÃO",VLOOKUP(B492,'036-20-Cotação'!$A$9:$G$529,4,0))))</f>
        <v>H</v>
      </c>
      <c r="F492" s="462">
        <f>4/6.144</f>
        <v>0.65104166666666663</v>
      </c>
      <c r="G492" s="453">
        <f>IF(A492="SERVIÇO",VLOOKUP(B492,SERVIÇOS!$A$6:$D$7645,4,0),IF(A492="INSUMO",VLOOKUP(B492,INSUMOS!$A$6:$D$6961,4,0),IF(A492="COTAÇÃO",VLOOKUP(B492,'036-20-Cotação'!$A$9:$G$529,3,0))))</f>
        <v>23.4679</v>
      </c>
      <c r="H492" s="463">
        <f t="shared" si="54"/>
        <v>15.278580729166666</v>
      </c>
      <c r="J492" s="201"/>
    </row>
    <row r="493" spans="1:17" s="87" customFormat="1" ht="12.75">
      <c r="A493" s="232" t="s">
        <v>4542</v>
      </c>
      <c r="B493" s="464" t="s">
        <v>6875</v>
      </c>
      <c r="C493" s="451" t="str">
        <f>IF(A493="SERVIÇO",VLOOKUP(B493,SERVIÇOS!$A$6:$D$7645,2,0),IF(A493="INSUMO",VLOOKUP(B493,INSUMOS!$A$6:$D$6961,2,0),IF(A493="COTAÇÃO",VLOOKUP(B493,'036-20-Cotação'!$A$9:$G$529,2,0))))</f>
        <v>SERRALHEIRO</v>
      </c>
      <c r="D493" s="452" t="str">
        <f>IF(A493="SERVIÇO",VLOOKUP(B493,SERVIÇOS!$A$6:$E$7645,5,0),IF(A493="INSUMO",VLOOKUP(B493,INSUMOS!$A$6:$E$6961,5,0),IF(A493="COTAÇÃO",VLOOKUP(B493,'036-20-Cotação'!$A$9:$H$529,8,0))))</f>
        <v>M.O</v>
      </c>
      <c r="E493" s="452" t="str">
        <f>IF(A493="SERVIÇO",VLOOKUP(B493,SERVIÇOS!$A$6:$D$7645,3,0),IF(A493="INSUMO",VLOOKUP(B493,INSUMOS!$A$6:$D$6961,3,0),IF(A493="COTAÇÃO",VLOOKUP(B493,'036-20-Cotação'!$A$9:$G$529,4,0))))</f>
        <v>H</v>
      </c>
      <c r="F493" s="462">
        <f>0.02264/6.144</f>
        <v>3.6848958333333334E-3</v>
      </c>
      <c r="G493" s="453">
        <f>IF(A493="SERVIÇO",VLOOKUP(B493,SERVIÇOS!$A$6:$D$7645,4,0),IF(A493="INSUMO",VLOOKUP(B493,INSUMOS!$A$6:$D$6961,4,0),IF(A493="COTAÇÃO",VLOOKUP(B493,'036-20-Cotação'!$A$9:$G$529,3,0))))</f>
        <v>21.641200000000001</v>
      </c>
      <c r="H493" s="463">
        <f t="shared" si="54"/>
        <v>7.974556770833334E-2</v>
      </c>
      <c r="J493" s="201"/>
    </row>
    <row r="494" spans="1:17" s="87" customFormat="1" ht="12.75">
      <c r="A494" s="232" t="s">
        <v>4542</v>
      </c>
      <c r="B494" s="531" t="s">
        <v>6602</v>
      </c>
      <c r="C494" s="451" t="str">
        <f>IF(A494="SERVIÇO",VLOOKUP(B494,SERVIÇOS!$A$6:$D$7645,2,0),IF(A494="INSUMO",VLOOKUP(B494,INSUMOS!$A$6:$D$6961,2,0),IF(A494="COTAÇÃO",VLOOKUP(B494,'036-20-Cotação'!$A$9:$G$529,2,0))))</f>
        <v>SERVENTE</v>
      </c>
      <c r="D494" s="452" t="str">
        <f>IF(A494="SERVIÇO",VLOOKUP(B494,SERVIÇOS!$A$6:$E$7645,5,0),IF(A494="INSUMO",VLOOKUP(B494,INSUMOS!$A$6:$E$6961,5,0),IF(A494="COTAÇÃO",VLOOKUP(B494,'036-20-Cotação'!$A$9:$H$529,8,0))))</f>
        <v>M.O</v>
      </c>
      <c r="E494" s="452" t="str">
        <f>IF(A494="SERVIÇO",VLOOKUP(B494,SERVIÇOS!$A$6:$D$7645,3,0),IF(A494="INSUMO",VLOOKUP(B494,INSUMOS!$A$6:$D$6961,3,0),IF(A494="COTAÇÃO",VLOOKUP(B494,'036-20-Cotação'!$A$9:$G$529,4,0))))</f>
        <v>H</v>
      </c>
      <c r="F494" s="462">
        <f>2/6.144</f>
        <v>0.32552083333333331</v>
      </c>
      <c r="G494" s="453">
        <f>IF(A494="SERVIÇO",VLOOKUP(B494,SERVIÇOS!$A$6:$D$7645,4,0),IF(A494="INSUMO",VLOOKUP(B494,INSUMOS!$A$6:$D$6961,4,0),IF(A494="COTAÇÃO",VLOOKUP(B494,'036-20-Cotação'!$A$9:$G$529,3,0))))</f>
        <v>15.637499999999999</v>
      </c>
      <c r="H494" s="463">
        <f t="shared" si="54"/>
        <v>5.0903320312499991</v>
      </c>
      <c r="J494" s="201"/>
    </row>
    <row r="495" spans="1:17" s="87" customFormat="1" ht="12.75">
      <c r="A495" s="232" t="s">
        <v>4544</v>
      </c>
      <c r="B495" s="464" t="s">
        <v>6317</v>
      </c>
      <c r="C495" s="451" t="str">
        <f>IF(A495="SERVIÇO",VLOOKUP(B495,SERVIÇOS!$A$6:$D$7645,2,0),IF(A495="INSUMO",VLOOKUP(B495,INSUMOS!$A$6:$D$6961,2,0),IF(A495="COTAÇÃO",VLOOKUP(B495,'036-20-Cotação'!$A$9:$G$529,2,0))))</f>
        <v>AÇO EM PERFIS ASTM A36</v>
      </c>
      <c r="D495" s="452" t="str">
        <f>IF(A495="SERVIÇO",VLOOKUP(B495,SERVIÇOS!$A$6:$E$7645,5,0),IF(A495="INSUMO",VLOOKUP(B495,INSUMOS!$A$6:$E$6961,5,0),IF(A495="COTAÇÃO",VLOOKUP(B495,'036-20-Cotação'!$A$9:$H$529,8,0))))</f>
        <v>MAT.</v>
      </c>
      <c r="E495" s="452" t="str">
        <f>IF(A495="SERVIÇO",VLOOKUP(B495,SERVIÇOS!$A$6:$D$7645,3,0),IF(A495="INSUMO",VLOOKUP(B495,INSUMOS!$A$6:$D$6961,3,0),IF(A495="COTAÇÃO",VLOOKUP(B495,'036-20-Cotação'!$A$9:$G$529,4,0))))</f>
        <v>KG</v>
      </c>
      <c r="F495" s="462">
        <v>0.20607</v>
      </c>
      <c r="G495" s="453">
        <f>IF(A495="SERVIÇO",VLOOKUP(B495,SERVIÇOS!$A$6:$D$7645,4,0),IF(A495="INSUMO",VLOOKUP(B495,INSUMOS!$A$6:$D$6961,4,0),IF(A495="COTAÇÃO",VLOOKUP(B495,'036-20-Cotação'!$A$9:$G$529,3,0))))</f>
        <v>5.1818</v>
      </c>
      <c r="H495" s="463">
        <f t="shared" ref="H495:H504" si="55">G495*F495</f>
        <v>1.0678135259999999</v>
      </c>
      <c r="J495" s="201"/>
    </row>
    <row r="496" spans="1:17" s="87" customFormat="1" ht="12.75">
      <c r="A496" s="232" t="s">
        <v>4544</v>
      </c>
      <c r="B496" s="464" t="s">
        <v>6336</v>
      </c>
      <c r="C496" s="451" t="str">
        <f>IF(A496="SERVIÇO",VLOOKUP(B496,SERVIÇOS!$A$6:$D$7645,2,0),IF(A496="INSUMO",VLOOKUP(B496,INSUMOS!$A$6:$D$6961,2,0),IF(A496="COTAÇÃO",VLOOKUP(B496,'036-20-Cotação'!$A$9:$G$529,2,0))))</f>
        <v>CHAPA DE AÇO ASTM A36</v>
      </c>
      <c r="D496" s="452" t="str">
        <f>IF(A496="SERVIÇO",VLOOKUP(B496,SERVIÇOS!$A$6:$E$7645,5,0),IF(A496="INSUMO",VLOOKUP(B496,INSUMOS!$A$6:$E$6961,5,0),IF(A496="COTAÇÃO",VLOOKUP(B496,'036-20-Cotação'!$A$9:$H$529,8,0))))</f>
        <v>MAT.</v>
      </c>
      <c r="E496" s="452" t="str">
        <f>IF(A496="SERVIÇO",VLOOKUP(B496,SERVIÇOS!$A$6:$D$7645,3,0),IF(A496="INSUMO",VLOOKUP(B496,INSUMOS!$A$6:$D$6961,3,0),IF(A496="COTAÇÃO",VLOOKUP(B496,'036-20-Cotação'!$A$9:$G$529,4,0))))</f>
        <v>KG</v>
      </c>
      <c r="F496" s="462">
        <v>0.48020000000000002</v>
      </c>
      <c r="G496" s="453">
        <f>IF(A496="SERVIÇO",VLOOKUP(B496,SERVIÇOS!$A$6:$D$7645,4,0),IF(A496="INSUMO",VLOOKUP(B496,INSUMOS!$A$6:$D$6961,4,0),IF(A496="COTAÇÃO",VLOOKUP(B496,'036-20-Cotação'!$A$9:$G$529,3,0))))</f>
        <v>5.5800999999999998</v>
      </c>
      <c r="H496" s="463">
        <f t="shared" si="55"/>
        <v>2.6795640199999999</v>
      </c>
      <c r="J496" s="201"/>
    </row>
    <row r="497" spans="1:17" s="87" customFormat="1" ht="25.5">
      <c r="A497" s="232" t="s">
        <v>4544</v>
      </c>
      <c r="B497" s="464" t="s">
        <v>6876</v>
      </c>
      <c r="C497" s="451" t="str">
        <f>IF(A497="SERVIÇO",VLOOKUP(B497,SERVIÇOS!$A$6:$D$7645,2,0),IF(A497="INSUMO",VLOOKUP(B497,INSUMOS!$A$6:$D$6961,2,0),IF(A497="COTAÇÃO",VLOOKUP(B497,'036-20-Cotação'!$A$9:$G$529,2,0))))</f>
        <v>CHUMBADOR PARA CONCRETO TECBOLT DE 12,5 MM</v>
      </c>
      <c r="D497" s="452" t="str">
        <f>IF(A497="SERVIÇO",VLOOKUP(B497,SERVIÇOS!$A$6:$E$7645,5,0),IF(A497="INSUMO",VLOOKUP(B497,INSUMOS!$A$6:$E$6961,5,0),IF(A497="COTAÇÃO",VLOOKUP(B497,'036-20-Cotação'!$A$9:$H$529,8,0))))</f>
        <v>MAT.</v>
      </c>
      <c r="E497" s="452" t="str">
        <f>IF(A497="SERVIÇO",VLOOKUP(B497,SERVIÇOS!$A$6:$D$7645,3,0),IF(A497="INSUMO",VLOOKUP(B497,INSUMOS!$A$6:$D$6961,3,0),IF(A497="COTAÇÃO",VLOOKUP(B497,'036-20-Cotação'!$A$9:$G$529,4,0))))</f>
        <v>UN</v>
      </c>
      <c r="F497" s="462">
        <v>0.9375</v>
      </c>
      <c r="G497" s="453">
        <f>IF(A497="SERVIÇO",VLOOKUP(B497,SERVIÇOS!$A$6:$D$7645,4,0),IF(A497="INSUMO",VLOOKUP(B497,INSUMOS!$A$6:$D$6961,4,0),IF(A497="COTAÇÃO",VLOOKUP(B497,'036-20-Cotação'!$A$9:$G$529,3,0))))</f>
        <v>5.2050000000000001</v>
      </c>
      <c r="H497" s="463">
        <f t="shared" si="55"/>
        <v>4.8796875000000002</v>
      </c>
      <c r="J497" s="201"/>
    </row>
    <row r="498" spans="1:17" s="87" customFormat="1" ht="38.25">
      <c r="A498" s="232" t="s">
        <v>4544</v>
      </c>
      <c r="B498" s="531" t="s">
        <v>6879</v>
      </c>
      <c r="C498" s="451" t="str">
        <f>IF(A498="SERVIÇO",VLOOKUP(B498,SERVIÇOS!$A$6:$D$7645,2,0),IF(A498="INSUMO",VLOOKUP(B498,INSUMOS!$A$6:$D$6961,2,0),IF(A498="COTAÇÃO",VLOOKUP(B498,'036-20-Cotação'!$A$9:$G$529,2,0))))</f>
        <v>CINTA DE ELEVAÇÃO TIPO GRAB COM 1 RAMAL ANEL, GANCHO DE 3 A 5 M E CAPACIDADE DE 5.000 KG - SEGURANÇA 4:1</v>
      </c>
      <c r="D498" s="452" t="str">
        <f>IF(A498="SERVIÇO",VLOOKUP(B498,SERVIÇOS!$A$6:$E$7645,5,0),IF(A498="INSUMO",VLOOKUP(B498,INSUMOS!$A$6:$E$6961,5,0),IF(A498="COTAÇÃO",VLOOKUP(B498,'036-20-Cotação'!$A$9:$H$529,8,0))))</f>
        <v>MAT.</v>
      </c>
      <c r="E498" s="452" t="str">
        <f>IF(A498="SERVIÇO",VLOOKUP(B498,SERVIÇOS!$A$6:$D$7645,3,0),IF(A498="INSUMO",VLOOKUP(B498,INSUMOS!$A$6:$D$6961,3,0),IF(A498="COTAÇÃO",VLOOKUP(B498,'036-20-Cotação'!$A$9:$G$529,4,0))))</f>
        <v>UN</v>
      </c>
      <c r="F498" s="462">
        <v>3.13E-3</v>
      </c>
      <c r="G498" s="453">
        <f>IF(A498="SERVIÇO",VLOOKUP(B498,SERVIÇOS!$A$6:$D$7645,4,0),IF(A498="INSUMO",VLOOKUP(B498,INSUMOS!$A$6:$D$6961,4,0),IF(A498="COTAÇÃO",VLOOKUP(B498,'036-20-Cotação'!$A$9:$G$529,3,0))))</f>
        <v>473.06760000000003</v>
      </c>
      <c r="H498" s="463">
        <f t="shared" si="55"/>
        <v>1.4807015880000001</v>
      </c>
      <c r="J498" s="201">
        <f>0.15625/20</f>
        <v>7.8125E-3</v>
      </c>
    </row>
    <row r="499" spans="1:17" s="87" customFormat="1" ht="38.25">
      <c r="A499" s="232" t="s">
        <v>4544</v>
      </c>
      <c r="B499" s="464" t="s">
        <v>6880</v>
      </c>
      <c r="C499" s="451" t="str">
        <f>IF(A499="SERVIÇO",VLOOKUP(B499,SERVIÇOS!$A$6:$D$7645,2,0),IF(A499="INSUMO",VLOOKUP(B499,INSUMOS!$A$6:$D$6961,2,0),IF(A499="COTAÇÃO",VLOOKUP(B499,'036-20-Cotação'!$A$9:$G$529,2,0))))</f>
        <v>CINTA DE ELEVAÇÃO TIPO GRAB COM 2 RAMAIS ANEL, GANCHO DE 3 A 5 M E CAPACIDADE DE 5.000 KG - SEGURANÇA 4:1</v>
      </c>
      <c r="D499" s="452" t="str">
        <f>IF(A499="SERVIÇO",VLOOKUP(B499,SERVIÇOS!$A$6:$E$7645,5,0),IF(A499="INSUMO",VLOOKUP(B499,INSUMOS!$A$6:$E$6961,5,0),IF(A499="COTAÇÃO",VLOOKUP(B499,'036-20-Cotação'!$A$9:$H$529,8,0))))</f>
        <v>MAT.</v>
      </c>
      <c r="E499" s="452" t="str">
        <f>IF(A499="SERVIÇO",VLOOKUP(B499,SERVIÇOS!$A$6:$D$7645,3,0),IF(A499="INSUMO",VLOOKUP(B499,INSUMOS!$A$6:$D$6961,3,0),IF(A499="COTAÇÃO",VLOOKUP(B499,'036-20-Cotação'!$A$9:$G$529,4,0))))</f>
        <v>UN</v>
      </c>
      <c r="F499" s="462">
        <v>1.56E-3</v>
      </c>
      <c r="G499" s="453">
        <f>IF(A499="SERVIÇO",VLOOKUP(B499,SERVIÇOS!$A$6:$D$7645,4,0),IF(A499="INSUMO",VLOOKUP(B499,INSUMOS!$A$6:$D$6961,4,0),IF(A499="COTAÇÃO",VLOOKUP(B499,'036-20-Cotação'!$A$9:$G$529,3,0))))</f>
        <v>935.77070000000003</v>
      </c>
      <c r="H499" s="463">
        <f t="shared" si="55"/>
        <v>1.459802292</v>
      </c>
      <c r="J499" s="201">
        <f>0.07813/50</f>
        <v>1.5626000000000001E-3</v>
      </c>
    </row>
    <row r="500" spans="1:17" s="87" customFormat="1" ht="25.5">
      <c r="A500" s="232" t="s">
        <v>4544</v>
      </c>
      <c r="B500" s="464" t="s">
        <v>6609</v>
      </c>
      <c r="C500" s="451" t="str">
        <f>IF(A500="SERVIÇO",VLOOKUP(B500,SERVIÇOS!$A$6:$D$7645,2,0),IF(A500="INSUMO",VLOOKUP(B500,INSUMOS!$A$6:$D$6961,2,0),IF(A500="COTAÇÃO",VLOOKUP(B500,'036-20-Cotação'!$A$9:$G$529,2,0))))</f>
        <v>CORDA DE NYLON TORCIDA COM 4 PERNAS - D = 10 MM</v>
      </c>
      <c r="D500" s="452" t="str">
        <f>IF(A500="SERVIÇO",VLOOKUP(B500,SERVIÇOS!$A$6:$E$7645,5,0),IF(A500="INSUMO",VLOOKUP(B500,INSUMOS!$A$6:$E$6961,5,0),IF(A500="COTAÇÃO",VLOOKUP(B500,'036-20-Cotação'!$A$9:$H$529,8,0))))</f>
        <v>MAT.</v>
      </c>
      <c r="E500" s="452" t="str">
        <f>IF(A500="SERVIÇO",VLOOKUP(B500,SERVIÇOS!$A$6:$D$7645,3,0),IF(A500="INSUMO",VLOOKUP(B500,INSUMOS!$A$6:$D$6961,3,0),IF(A500="COTAÇÃO",VLOOKUP(B500,'036-20-Cotação'!$A$9:$G$529,4,0))))</f>
        <v>M</v>
      </c>
      <c r="F500" s="462">
        <v>0.16156000000000001</v>
      </c>
      <c r="G500" s="453">
        <f>IF(A500="SERVIÇO",VLOOKUP(B500,SERVIÇOS!$A$6:$D$7645,4,0),IF(A500="INSUMO",VLOOKUP(B500,INSUMOS!$A$6:$D$6961,4,0),IF(A500="COTAÇÃO",VLOOKUP(B500,'036-20-Cotação'!$A$9:$G$529,3,0))))</f>
        <v>4.1195000000000004</v>
      </c>
      <c r="H500" s="463">
        <f t="shared" si="55"/>
        <v>0.66554642000000008</v>
      </c>
      <c r="J500" s="201"/>
    </row>
    <row r="501" spans="1:17" s="87" customFormat="1" ht="25.5">
      <c r="A501" s="232" t="s">
        <v>4544</v>
      </c>
      <c r="B501" s="464" t="s">
        <v>6877</v>
      </c>
      <c r="C501" s="451" t="str">
        <f>IF(A501="SERVIÇO",VLOOKUP(B501,SERVIÇOS!$A$6:$D$7645,2,0),IF(A501="INSUMO",VLOOKUP(B501,INSUMOS!$A$6:$D$6961,2,0),IF(A501="COTAÇÃO",VLOOKUP(B501,'036-20-Cotação'!$A$9:$G$529,2,0))))</f>
        <v>PARAFUSO CABEÇA SEXTAVADA - D = 1/4" COM PORCA E ARRUELA DE PRESSÃO</v>
      </c>
      <c r="D501" s="452" t="str">
        <f>IF(A501="SERVIÇO",VLOOKUP(B501,SERVIÇOS!$A$6:$E$7645,5,0),IF(A501="INSUMO",VLOOKUP(B501,INSUMOS!$A$6:$E$6961,5,0),IF(A501="COTAÇÃO",VLOOKUP(B501,'036-20-Cotação'!$A$9:$H$529,8,0))))</f>
        <v>MAT.</v>
      </c>
      <c r="E501" s="452" t="str">
        <f>IF(A501="SERVIÇO",VLOOKUP(B501,SERVIÇOS!$A$6:$D$7645,3,0),IF(A501="INSUMO",VLOOKUP(B501,INSUMOS!$A$6:$D$6961,3,0),IF(A501="COTAÇÃO",VLOOKUP(B501,'036-20-Cotação'!$A$9:$G$529,4,0))))</f>
        <v>CJ</v>
      </c>
      <c r="F501" s="462">
        <v>1.11111</v>
      </c>
      <c r="G501" s="453">
        <f>IF(A501="SERVIÇO",VLOOKUP(B501,SERVIÇOS!$A$6:$D$7645,4,0),IF(A501="INSUMO",VLOOKUP(B501,INSUMOS!$A$6:$D$6961,4,0),IF(A501="COTAÇÃO",VLOOKUP(B501,'036-20-Cotação'!$A$9:$G$529,3,0))))</f>
        <v>0.5141</v>
      </c>
      <c r="H501" s="463">
        <f t="shared" si="55"/>
        <v>0.571221651</v>
      </c>
      <c r="J501" s="201"/>
    </row>
    <row r="502" spans="1:17" s="87" customFormat="1" ht="25.5">
      <c r="A502" s="232" t="s">
        <v>4544</v>
      </c>
      <c r="B502" s="464" t="s">
        <v>6881</v>
      </c>
      <c r="C502" s="451" t="str">
        <f>IF(A502="SERVIÇO",VLOOKUP(B502,SERVIÇOS!$A$6:$D$7645,2,0),IF(A502="INSUMO",VLOOKUP(B502,INSUMOS!$A$6:$D$6961,2,0),IF(A502="COTAÇÃO",VLOOKUP(B502,'036-20-Cotação'!$A$9:$G$529,2,0))))</f>
        <v>PARAFUSO CABEÇA SEXTAVADA - D = 5/16" COM PORCA E ARRUELA DE PRESSÃO</v>
      </c>
      <c r="D502" s="452" t="str">
        <f>IF(A502="SERVIÇO",VLOOKUP(B502,SERVIÇOS!$A$6:$E$7645,5,0),IF(A502="INSUMO",VLOOKUP(B502,INSUMOS!$A$6:$E$6961,5,0),IF(A502="COTAÇÃO",VLOOKUP(B502,'036-20-Cotação'!$A$9:$H$529,8,0))))</f>
        <v>MAT.</v>
      </c>
      <c r="E502" s="452" t="str">
        <f>IF(A502="SERVIÇO",VLOOKUP(B502,SERVIÇOS!$A$6:$D$7645,3,0),IF(A502="INSUMO",VLOOKUP(B502,INSUMOS!$A$6:$D$6961,3,0),IF(A502="COTAÇÃO",VLOOKUP(B502,'036-20-Cotação'!$A$9:$G$529,4,0))))</f>
        <v>CJ</v>
      </c>
      <c r="F502" s="462">
        <v>1.5625</v>
      </c>
      <c r="G502" s="453">
        <f>IF(A502="SERVIÇO",VLOOKUP(B502,SERVIÇOS!$A$6:$D$7645,4,0),IF(A502="INSUMO",VLOOKUP(B502,INSUMOS!$A$6:$D$6961,4,0),IF(A502="COTAÇÃO",VLOOKUP(B502,'036-20-Cotação'!$A$9:$G$529,3,0))))</f>
        <v>0.80959999999999999</v>
      </c>
      <c r="H502" s="463">
        <f t="shared" si="55"/>
        <v>1.2649999999999999</v>
      </c>
      <c r="J502" s="201"/>
    </row>
    <row r="503" spans="1:17" s="87" customFormat="1" ht="12.75">
      <c r="A503" s="232" t="s">
        <v>4544</v>
      </c>
      <c r="B503" s="464" t="s">
        <v>6871</v>
      </c>
      <c r="C503" s="451" t="str">
        <f>IF(A503="SERVIÇO",VLOOKUP(B503,SERVIÇOS!$A$6:$D$7645,2,0),IF(A503="INSUMO",VLOOKUP(B503,INSUMOS!$A$6:$D$6961,2,0),IF(A503="COTAÇÃO",VLOOKUP(B503,'036-20-Cotação'!$A$9:$G$529,2,0))))</f>
        <v>TÁBUA DE 2,5 X 30 CM</v>
      </c>
      <c r="D503" s="452" t="str">
        <f>IF(A503="SERVIÇO",VLOOKUP(B503,SERVIÇOS!$A$6:$E$7645,5,0),IF(A503="INSUMO",VLOOKUP(B503,INSUMOS!$A$6:$E$6961,5,0),IF(A503="COTAÇÃO",VLOOKUP(B503,'036-20-Cotação'!$A$9:$H$529,8,0))))</f>
        <v>MAT.</v>
      </c>
      <c r="E503" s="452" t="str">
        <f>IF(A503="SERVIÇO",VLOOKUP(B503,SERVIÇOS!$A$6:$D$7645,3,0),IF(A503="INSUMO",VLOOKUP(B503,INSUMOS!$A$6:$D$6961,3,0),IF(A503="COTAÇÃO",VLOOKUP(B503,'036-20-Cotação'!$A$9:$G$529,4,0))))</f>
        <v>M</v>
      </c>
      <c r="F503" s="462">
        <v>0.35</v>
      </c>
      <c r="G503" s="453">
        <f>IF(A503="SERVIÇO",VLOOKUP(B503,SERVIÇOS!$A$6:$D$7645,4,0),IF(A503="INSUMO",VLOOKUP(B503,INSUMOS!$A$6:$D$6961,4,0),IF(A503="COTAÇÃO",VLOOKUP(B503,'036-20-Cotação'!$A$9:$G$529,3,0))))</f>
        <v>9.7302</v>
      </c>
      <c r="H503" s="463">
        <f t="shared" si="55"/>
        <v>3.40557</v>
      </c>
      <c r="J503" s="201"/>
    </row>
    <row r="504" spans="1:17" s="87" customFormat="1" ht="25.5">
      <c r="A504" s="232" t="s">
        <v>4542</v>
      </c>
      <c r="B504" s="464">
        <v>2408058</v>
      </c>
      <c r="C504" s="451" t="str">
        <f>'036-20-CCA''s'!$C$142</f>
        <v>SOLDA ELÉTRICA DE PERFIS METÁLICOS E CHAPAS DE AÇO COM ELETRODO E70XX</v>
      </c>
      <c r="D504" s="451" t="str">
        <f>'036-20-CCA''s'!$D$142</f>
        <v>SER.CG</v>
      </c>
      <c r="E504" s="451" t="str">
        <f>'036-20-CCA''s'!$E$142</f>
        <v>KG</v>
      </c>
      <c r="F504" s="462">
        <v>1.132E-2</v>
      </c>
      <c r="G504" s="453">
        <f>'036-20-CCA''s'!$H$142</f>
        <v>70.963465562080543</v>
      </c>
      <c r="H504" s="463">
        <f t="shared" si="55"/>
        <v>0.80330643016275172</v>
      </c>
      <c r="J504" s="201"/>
    </row>
    <row r="505" spans="1:17" s="87" customFormat="1" ht="25.5">
      <c r="A505" s="232" t="s">
        <v>4542</v>
      </c>
      <c r="B505" s="464" t="s">
        <v>13206</v>
      </c>
      <c r="C505" s="451" t="str">
        <f>'036-20-CCA''s'!$C$281</f>
        <v>TEMPO FIXO - CAMINHÃO CARROCERIA 15 T - CARGA E DESCARGA MANUAIS</v>
      </c>
      <c r="D505" s="452" t="str">
        <f>'036-20-CCA''s'!$D$281</f>
        <v>SER.CG</v>
      </c>
      <c r="E505" s="452" t="str">
        <f>'036-20-CCA''s'!$E$281</f>
        <v>T</v>
      </c>
      <c r="F505" s="462">
        <f>0.00021+0.00001+0.00263</f>
        <v>2.8500000000000001E-3</v>
      </c>
      <c r="G505" s="453">
        <f>'036-20-CCA''s'!$H$281</f>
        <v>20.925562080536913</v>
      </c>
      <c r="H505" s="463">
        <f t="shared" si="54"/>
        <v>5.9637851929530208E-2</v>
      </c>
      <c r="J505" s="201"/>
    </row>
    <row r="506" spans="1:17" s="87" customFormat="1" ht="38.25">
      <c r="A506" s="232" t="s">
        <v>4542</v>
      </c>
      <c r="B506" s="464" t="s">
        <v>13207</v>
      </c>
      <c r="C506" s="451" t="str">
        <f>'036-20-CCA''s'!$C$286</f>
        <v>TEMPO FIXO - CAMINHÃO CARROCERIA 15 T - CARGA E DESCARGA COM CAMINHÃO GUINDAUTO</v>
      </c>
      <c r="D506" s="452" t="str">
        <f>'036-20-CCA''s'!$D$286</f>
        <v>SER.CG</v>
      </c>
      <c r="E506" s="452" t="str">
        <f>'036-20-CCA''s'!$E$286</f>
        <v>T</v>
      </c>
      <c r="F506" s="462">
        <v>4.8000000000000001E-4</v>
      </c>
      <c r="G506" s="453">
        <f>'036-20-CCA''s'!$H$286</f>
        <v>18.149041033591729</v>
      </c>
      <c r="H506" s="463">
        <f t="shared" si="54"/>
        <v>8.7115396961240307E-3</v>
      </c>
      <c r="J506" s="201"/>
    </row>
    <row r="507" spans="1:17" s="87" customFormat="1" ht="12.75">
      <c r="A507" s="232"/>
      <c r="B507" s="199" t="s">
        <v>123</v>
      </c>
      <c r="C507" s="698" t="s">
        <v>8520</v>
      </c>
      <c r="D507" s="699"/>
      <c r="E507" s="699"/>
      <c r="F507" s="699"/>
      <c r="G507" s="699"/>
      <c r="H507" s="700"/>
      <c r="J507" s="201"/>
    </row>
    <row r="508" spans="1:17" s="78" customFormat="1" ht="12.75">
      <c r="A508" s="188"/>
      <c r="B508" s="346"/>
      <c r="C508" s="347"/>
      <c r="D508" s="347"/>
      <c r="E508" s="347"/>
      <c r="F508" s="347"/>
      <c r="G508" s="347"/>
      <c r="H508" s="347"/>
      <c r="J508" s="79"/>
      <c r="K508" s="87"/>
      <c r="L508" s="87"/>
      <c r="M508" s="87"/>
      <c r="N508" s="87"/>
      <c r="O508" s="87"/>
      <c r="P508" s="87"/>
      <c r="Q508" s="87"/>
    </row>
    <row r="509" spans="1:17" s="78" customFormat="1" ht="25.5">
      <c r="A509" s="188"/>
      <c r="B509" s="80" t="s">
        <v>6895</v>
      </c>
      <c r="C509" s="81" t="s">
        <v>7341</v>
      </c>
      <c r="D509" s="82" t="s">
        <v>84</v>
      </c>
      <c r="E509" s="82" t="s">
        <v>172</v>
      </c>
      <c r="F509" s="83"/>
      <c r="G509" s="84"/>
      <c r="H509" s="85">
        <f>SUM(H510:H510)</f>
        <v>10.946249999999999</v>
      </c>
      <c r="J509" s="79"/>
      <c r="K509" s="87"/>
      <c r="L509" s="87"/>
      <c r="M509" s="87"/>
      <c r="N509" s="87"/>
      <c r="O509" s="87"/>
      <c r="P509" s="87"/>
      <c r="Q509" s="87"/>
    </row>
    <row r="510" spans="1:17" s="87" customFormat="1" ht="12.75">
      <c r="A510" s="232" t="s">
        <v>4542</v>
      </c>
      <c r="B510" s="531" t="s">
        <v>6602</v>
      </c>
      <c r="C510" s="451" t="str">
        <f>IF(A510="SERVIÇO",VLOOKUP(B510,SERVIÇOS!$A$6:$D$7645,2,0),IF(A510="INSUMO",VLOOKUP(B510,INSUMOS!$A$6:$D$6961,2,0),IF(A510="COTAÇÃO",VLOOKUP(B510,'036-20-Cotação'!$A$9:$G$529,2,0))))</f>
        <v>SERVENTE</v>
      </c>
      <c r="D510" s="452" t="str">
        <f>IF(A510="SERVIÇO",VLOOKUP(B510,SERVIÇOS!$A$6:$E$7645,5,0),IF(A510="INSUMO",VLOOKUP(B510,INSUMOS!$A$6:$E$6961,5,0),IF(A510="COTAÇÃO",VLOOKUP(B510,'036-20-Cotação'!$A$9:$H$529,8,0))))</f>
        <v>M.O</v>
      </c>
      <c r="E510" s="452" t="str">
        <f>IF(A510="SERVIÇO",VLOOKUP(B510,SERVIÇOS!$A$6:$D$7645,3,0),IF(A510="INSUMO",VLOOKUP(B510,INSUMOS!$A$6:$D$6961,3,0),IF(A510="COTAÇÃO",VLOOKUP(B510,'036-20-Cotação'!$A$9:$G$529,4,0))))</f>
        <v>H</v>
      </c>
      <c r="F510" s="462">
        <v>0.7</v>
      </c>
      <c r="G510" s="453">
        <f>IF(A510="SERVIÇO",VLOOKUP(B510,SERVIÇOS!$A$6:$D$7645,4,0),IF(A510="INSUMO",VLOOKUP(B510,INSUMOS!$A$6:$D$6961,4,0),IF(A510="COTAÇÃO",VLOOKUP(B510,'036-20-Cotação'!$A$9:$G$529,3,0))))</f>
        <v>15.637499999999999</v>
      </c>
      <c r="H510" s="463">
        <f t="shared" ref="H510" si="56">G510*F510</f>
        <v>10.946249999999999</v>
      </c>
      <c r="J510" s="201"/>
    </row>
    <row r="511" spans="1:17" s="87" customFormat="1" ht="12.75">
      <c r="A511" s="188"/>
      <c r="B511" s="348" t="s">
        <v>123</v>
      </c>
      <c r="C511" s="695" t="s">
        <v>7340</v>
      </c>
      <c r="D511" s="696"/>
      <c r="E511" s="696"/>
      <c r="F511" s="696"/>
      <c r="G511" s="696"/>
      <c r="H511" s="697"/>
      <c r="J511" s="201"/>
    </row>
    <row r="512" spans="1:17" s="78" customFormat="1" ht="12.75">
      <c r="A512" s="188"/>
      <c r="B512" s="346"/>
      <c r="C512" s="347"/>
      <c r="D512" s="347"/>
      <c r="E512" s="347"/>
      <c r="F512" s="347"/>
      <c r="G512" s="347"/>
      <c r="H512" s="347"/>
      <c r="J512" s="79"/>
      <c r="K512" s="87"/>
      <c r="L512" s="87"/>
      <c r="M512" s="87"/>
      <c r="N512" s="87"/>
      <c r="O512" s="87"/>
      <c r="P512" s="87"/>
      <c r="Q512" s="87"/>
    </row>
    <row r="513" spans="1:17" s="78" customFormat="1" ht="25.5">
      <c r="A513" s="188"/>
      <c r="B513" s="80" t="s">
        <v>7339</v>
      </c>
      <c r="C513" s="81" t="s">
        <v>8371</v>
      </c>
      <c r="D513" s="82" t="s">
        <v>84</v>
      </c>
      <c r="E513" s="82" t="s">
        <v>6896</v>
      </c>
      <c r="F513" s="83"/>
      <c r="G513" s="84"/>
      <c r="H513" s="85">
        <f>SUM(H514:H514)</f>
        <v>0.20016</v>
      </c>
      <c r="J513" s="79"/>
      <c r="K513" s="87"/>
      <c r="L513" s="87"/>
      <c r="M513" s="87"/>
      <c r="N513" s="87"/>
      <c r="O513" s="87"/>
      <c r="P513" s="87"/>
      <c r="Q513" s="87"/>
    </row>
    <row r="514" spans="1:17" s="87" customFormat="1" ht="12.75">
      <c r="A514" s="232" t="s">
        <v>4542</v>
      </c>
      <c r="B514" s="531" t="s">
        <v>6602</v>
      </c>
      <c r="C514" s="451" t="str">
        <f>IF(A514="SERVIÇO",VLOOKUP(B514,SERVIÇOS!$A$6:$D$7645,2,0),IF(A514="INSUMO",VLOOKUP(B514,INSUMOS!$A$6:$D$6961,2,0),IF(A514="COTAÇÃO",VLOOKUP(B514,'036-20-Cotação'!$A$9:$G$529,2,0))))</f>
        <v>SERVENTE</v>
      </c>
      <c r="D514" s="452" t="str">
        <f>IF(A514="SERVIÇO",VLOOKUP(B514,SERVIÇOS!$A$6:$E$7645,5,0),IF(A514="INSUMO",VLOOKUP(B514,INSUMOS!$A$6:$E$6961,5,0),IF(A514="COTAÇÃO",VLOOKUP(B514,'036-20-Cotação'!$A$9:$H$529,8,0))))</f>
        <v>M.O</v>
      </c>
      <c r="E514" s="452" t="str">
        <f>IF(A514="SERVIÇO",VLOOKUP(B514,SERVIÇOS!$A$6:$D$7645,3,0),IF(A514="INSUMO",VLOOKUP(B514,INSUMOS!$A$6:$D$6961,3,0),IF(A514="COTAÇÃO",VLOOKUP(B514,'036-20-Cotação'!$A$9:$G$529,4,0))))</f>
        <v>H</v>
      </c>
      <c r="F514" s="462" t="s">
        <v>7337</v>
      </c>
      <c r="G514" s="453">
        <f>IF(A514="SERVIÇO",VLOOKUP(B514,SERVIÇOS!$A$6:$D$7645,4,0),IF(A514="INSUMO",VLOOKUP(B514,INSUMOS!$A$6:$D$6961,4,0),IF(A514="COTAÇÃO",VLOOKUP(B514,'036-20-Cotação'!$A$9:$G$529,3,0))))</f>
        <v>15.637499999999999</v>
      </c>
      <c r="H514" s="463">
        <f t="shared" ref="H514" si="57">G514*F514</f>
        <v>0.20016</v>
      </c>
      <c r="J514" s="201"/>
    </row>
    <row r="515" spans="1:17" s="87" customFormat="1" ht="12.75">
      <c r="A515" s="188"/>
      <c r="B515" s="348" t="s">
        <v>123</v>
      </c>
      <c r="C515" s="695" t="s">
        <v>7338</v>
      </c>
      <c r="D515" s="696"/>
      <c r="E515" s="696"/>
      <c r="F515" s="696"/>
      <c r="G515" s="696"/>
      <c r="H515" s="697"/>
      <c r="J515" s="201"/>
    </row>
    <row r="516" spans="1:17" s="87" customFormat="1" ht="12.75">
      <c r="A516" s="188"/>
      <c r="B516" s="346"/>
      <c r="C516" s="407"/>
      <c r="D516" s="407"/>
      <c r="E516" s="407"/>
      <c r="F516" s="407"/>
      <c r="G516" s="407"/>
      <c r="H516" s="408"/>
      <c r="J516" s="201"/>
      <c r="K516" s="78"/>
      <c r="L516" s="78"/>
      <c r="M516" s="78"/>
      <c r="N516" s="78"/>
      <c r="O516" s="78"/>
      <c r="P516" s="78"/>
      <c r="Q516" s="78"/>
    </row>
    <row r="517" spans="1:17" s="87" customFormat="1" ht="38.25">
      <c r="A517" s="188"/>
      <c r="B517" s="80" t="s">
        <v>8418</v>
      </c>
      <c r="C517" s="81" t="s">
        <v>8420</v>
      </c>
      <c r="D517" s="82" t="s">
        <v>84</v>
      </c>
      <c r="E517" s="82" t="s">
        <v>5</v>
      </c>
      <c r="F517" s="83"/>
      <c r="G517" s="84"/>
      <c r="H517" s="85">
        <f>SUM(H518:H521)</f>
        <v>16.34</v>
      </c>
      <c r="J517" s="201"/>
      <c r="K517" s="78"/>
      <c r="L517" s="78"/>
      <c r="M517" s="78"/>
      <c r="N517" s="78"/>
      <c r="O517" s="78"/>
      <c r="P517" s="78"/>
      <c r="Q517" s="78"/>
    </row>
    <row r="518" spans="1:17" s="87" customFormat="1" ht="25.5">
      <c r="A518" s="232" t="s">
        <v>4544</v>
      </c>
      <c r="B518" s="464">
        <v>13329</v>
      </c>
      <c r="C518" s="451" t="str">
        <f>IF(A518="SERVIÇO",VLOOKUP(B518,SERVIÇOS!$A$6:$D$7645,2,0),IF(A518="INSUMO",VLOOKUP(B518,INSUMOS!$A$6:$D$6961,2,0),IF(A518="COTAÇÃO",VLOOKUP(B518,'036-20-Cotação'!$A$9:$G$529,2,0))))</f>
        <v xml:space="preserve">SOQUETE DE PVC / TERMOPLASTICO BASE E27, COM RABICHO, PARA LAMPADAS                                                                                                                                                                                                                                                                                                                                                                                                                                       </v>
      </c>
      <c r="D518" s="452" t="str">
        <f>IF(A518="SERVIÇO",VLOOKUP(B518,SERVIÇOS!$A$6:$E$7645,5,0),IF(A518="INSUMO",VLOOKUP(B518,INSUMOS!$A$6:$E$6961,5,0),IF(A518="COTAÇÃO",VLOOKUP(B518,'036-20-Cotação'!$A$9:$H$529,8,0))))</f>
        <v>MAT.</v>
      </c>
      <c r="E518" s="452" t="str">
        <f>IF(A518="SERVIÇO",VLOOKUP(B518,SERVIÇOS!$A$6:$D$7645,3,0),IF(A518="INSUMO",VLOOKUP(B518,INSUMOS!$A$6:$D$6961,3,0),IF(A518="COTAÇÃO",VLOOKUP(B518,'036-20-Cotação'!$A$9:$G$529,4,0))))</f>
        <v xml:space="preserve">UN    </v>
      </c>
      <c r="F518" s="462">
        <v>0.4</v>
      </c>
      <c r="G518" s="453" t="str">
        <f>IF(A518="SERVIÇO",VLOOKUP(B518,SERVIÇOS!$A$6:$D$7645,4,0),IF(A518="INSUMO",VLOOKUP(B518,INSUMOS!$A$6:$D$6961,4,0),IF(A518="COTAÇÃO",VLOOKUP(B518,'036-20-Cotação'!$A$9:$G$529,3,0))))</f>
        <v>3,00</v>
      </c>
      <c r="H518" s="463">
        <f t="shared" ref="H518:H520" si="58">G518*F518</f>
        <v>1.2000000000000002</v>
      </c>
      <c r="J518" s="201"/>
    </row>
    <row r="519" spans="1:17" s="87" customFormat="1" ht="38.25">
      <c r="A519" s="232" t="s">
        <v>4542</v>
      </c>
      <c r="B519" s="464">
        <v>93044</v>
      </c>
      <c r="C519" s="451" t="str">
        <f>IF(A519="SERVIÇO",VLOOKUP(B519,SERVIÇOS!$A$6:$D$7645,2,0),IF(A519="INSUMO",VLOOKUP(B519,INSUMOS!$A$6:$D$6961,2,0),IF(A519="COTAÇÃO",VLOOKUP(B519,'036-20-Cotação'!$A$9:$G$529,2,0))))</f>
        <v>LÂMPADA FLUORESCENTE COMPACTA 3U BRANCA 20 W, BASE E27 - FORNECIMENTO E INSTALAÇÃO</v>
      </c>
      <c r="D519" s="452" t="str">
        <f>IF(A519="SERVIÇO",VLOOKUP(B519,SERVIÇOS!$A$6:$E$7645,5,0),IF(A519="INSUMO",VLOOKUP(B519,INSUMOS!$A$6:$E$6961,5,0),IF(A519="COTAÇÃO",VLOOKUP(B519,'036-20-Cotação'!$A$9:$H$529,8,0))))</f>
        <v>SER.CG</v>
      </c>
      <c r="E519" s="452" t="str">
        <f>IF(A519="SERVIÇO",VLOOKUP(B519,SERVIÇOS!$A$6:$D$7645,3,0),IF(A519="INSUMO",VLOOKUP(B519,INSUMOS!$A$6:$D$6961,3,0),IF(A519="COTAÇÃO",VLOOKUP(B519,'036-20-Cotação'!$A$9:$G$529,4,0))))</f>
        <v>UN</v>
      </c>
      <c r="F519" s="462">
        <v>0.4</v>
      </c>
      <c r="G519" s="453" t="str">
        <f>IF(A519="SERVIÇO",VLOOKUP(B519,SERVIÇOS!$A$6:$D$7645,4,0),IF(A519="INSUMO",VLOOKUP(B519,INSUMOS!$A$6:$D$6961,4,0),IF(A519="COTAÇÃO",VLOOKUP(B519,'036-20-Cotação'!$A$9:$G$529,3,0))))</f>
        <v>13,07</v>
      </c>
      <c r="H519" s="463">
        <f t="shared" ref="H519" si="59">G519*F519</f>
        <v>5.2280000000000006</v>
      </c>
      <c r="J519" s="201"/>
    </row>
    <row r="520" spans="1:17" s="87" customFormat="1" ht="51">
      <c r="A520" s="232" t="s">
        <v>4542</v>
      </c>
      <c r="B520" s="464">
        <v>91928</v>
      </c>
      <c r="C520" s="451" t="str">
        <f>IF(A520="SERVIÇO",VLOOKUP(B520,SERVIÇOS!$A$6:$D$7645,2,0),IF(A520="INSUMO",VLOOKUP(B520,INSUMOS!$A$6:$D$6961,2,0),IF(A520="COTAÇÃO",VLOOKUP(B520,'036-20-Cotação'!$A$9:$G$529,2,0))))</f>
        <v>CABO DE COBRE FLEXÍVEL ISOLADO, 4 MM², ANTI-CHAMA 450/750 V, PARA CIRCUITOS TERMINAIS - FORNECIMENTO E INSTALAÇÃO. AF_12/2015</v>
      </c>
      <c r="D520" s="452" t="str">
        <f>IF(A520="SERVIÇO",VLOOKUP(B520,SERVIÇOS!$A$6:$E$7645,5,0),IF(A520="INSUMO",VLOOKUP(B520,INSUMOS!$A$6:$E$6961,5,0),IF(A520="COTAÇÃO",VLOOKUP(B520,'036-20-Cotação'!$A$9:$H$529,8,0))))</f>
        <v>SER.CG</v>
      </c>
      <c r="E520" s="452" t="str">
        <f>IF(A520="SERVIÇO",VLOOKUP(B520,SERVIÇOS!$A$6:$D$7645,3,0),IF(A520="INSUMO",VLOOKUP(B520,INSUMOS!$A$6:$D$6961,3,0),IF(A520="COTAÇÃO",VLOOKUP(B520,'036-20-Cotação'!$A$9:$G$529,4,0))))</f>
        <v>M</v>
      </c>
      <c r="F520" s="462">
        <v>2.1</v>
      </c>
      <c r="G520" s="453" t="str">
        <f>IF(A520="SERVIÇO",VLOOKUP(B520,SERVIÇOS!$A$6:$D$7645,4,0),IF(A520="INSUMO",VLOOKUP(B520,INSUMOS!$A$6:$D$6961,4,0),IF(A520="COTAÇÃO",VLOOKUP(B520,'036-20-Cotação'!$A$9:$G$529,3,0))))</f>
        <v>4,72</v>
      </c>
      <c r="H520" s="463">
        <f t="shared" si="58"/>
        <v>9.911999999999999</v>
      </c>
      <c r="J520" s="201"/>
    </row>
    <row r="521" spans="1:17" s="87" customFormat="1" ht="12.75">
      <c r="A521" s="188"/>
      <c r="B521" s="348" t="s">
        <v>123</v>
      </c>
      <c r="C521" s="695"/>
      <c r="D521" s="696"/>
      <c r="E521" s="696"/>
      <c r="F521" s="696"/>
      <c r="G521" s="696"/>
      <c r="H521" s="697"/>
      <c r="J521" s="201"/>
      <c r="K521" s="78"/>
      <c r="L521" s="78"/>
      <c r="M521" s="78"/>
      <c r="N521" s="78"/>
      <c r="O521" s="78"/>
      <c r="P521" s="78"/>
      <c r="Q521" s="78"/>
    </row>
    <row r="522" spans="1:17" s="87" customFormat="1" ht="12.75">
      <c r="A522" s="188"/>
      <c r="B522" s="346"/>
      <c r="C522" s="467"/>
      <c r="D522" s="467"/>
      <c r="E522" s="467"/>
      <c r="F522" s="467"/>
      <c r="G522" s="467"/>
      <c r="H522" s="468"/>
      <c r="J522" s="201"/>
      <c r="K522" s="78"/>
      <c r="L522" s="78"/>
      <c r="M522" s="78"/>
      <c r="N522" s="78"/>
      <c r="O522" s="78"/>
      <c r="P522" s="78"/>
      <c r="Q522" s="78"/>
    </row>
    <row r="523" spans="1:17" s="87" customFormat="1" ht="51">
      <c r="A523" s="188"/>
      <c r="B523" s="80" t="s">
        <v>8565</v>
      </c>
      <c r="C523" s="81" t="s">
        <v>8566</v>
      </c>
      <c r="D523" s="82" t="s">
        <v>84</v>
      </c>
      <c r="E523" s="82" t="s">
        <v>150</v>
      </c>
      <c r="F523" s="83"/>
      <c r="G523" s="84"/>
      <c r="H523" s="85">
        <f>SUM(H524:H527)</f>
        <v>10.36512372334956</v>
      </c>
      <c r="J523" s="201"/>
      <c r="K523" s="78"/>
      <c r="L523" s="78"/>
      <c r="M523" s="78"/>
      <c r="N523" s="78"/>
      <c r="O523" s="78"/>
      <c r="P523" s="78"/>
      <c r="Q523" s="78"/>
    </row>
    <row r="524" spans="1:17" s="87" customFormat="1" ht="25.5">
      <c r="A524" s="232" t="s">
        <v>4544</v>
      </c>
      <c r="B524" s="464">
        <v>411</v>
      </c>
      <c r="C524" s="451" t="str">
        <f>IF(A524="SERVIÇO",VLOOKUP(B524,SERVIÇOS!$A$6:$D$7645,2,0),IF(A524="INSUMO",VLOOKUP(B524,INSUMOS!$A$6:$D$6961,2,0),IF(A524="COTAÇÃO",VLOOKUP(B524,'036-20-Cotação'!$A$9:$G$529,2,0))))</f>
        <v xml:space="preserve">ABRACADEIRA DE NYLON PARA AMARRACAO DE CABOS, COMPRIMENTO DE 200 X *4,6* MM                                                                                                                                                                                                                                                                                                                                                                                                                               </v>
      </c>
      <c r="D524" s="452" t="str">
        <f>IF(A524="SERVIÇO",VLOOKUP(B524,SERVIÇOS!$A$6:$E$7645,5,0),IF(A524="INSUMO",VLOOKUP(B524,INSUMOS!$A$6:$E$6961,5,0),IF(A524="COTAÇÃO",VLOOKUP(B524,'036-20-Cotação'!$A$9:$H$529,8,0))))</f>
        <v>MAT.</v>
      </c>
      <c r="E524" s="452" t="str">
        <f>IF(A524="SERVIÇO",VLOOKUP(B524,SERVIÇOS!$A$6:$D$7645,3,0),IF(A524="INSUMO",VLOOKUP(B524,INSUMOS!$A$6:$D$6961,3,0),IF(A524="COTAÇÃO",VLOOKUP(B524,'036-20-Cotação'!$A$9:$G$529,4,0))))</f>
        <v xml:space="preserve">UN    </v>
      </c>
      <c r="F524" s="462">
        <v>0.89449999999999996</v>
      </c>
      <c r="G524" s="453" t="str">
        <f>IF(A524="SERVIÇO",VLOOKUP(B524,SERVIÇOS!$A$6:$D$7645,4,0),IF(A524="INSUMO",VLOOKUP(B524,INSUMOS!$A$6:$D$6961,4,0),IF(A524="COTAÇÃO",VLOOKUP(B524,'036-20-Cotação'!$A$9:$G$529,3,0))))</f>
        <v>0,20</v>
      </c>
      <c r="H524" s="463">
        <f t="shared" ref="H524:H527" si="60">G524*F524</f>
        <v>0.1789</v>
      </c>
      <c r="J524" s="201"/>
    </row>
    <row r="525" spans="1:17" s="87" customFormat="1" ht="38.25">
      <c r="A525" s="232" t="s">
        <v>12</v>
      </c>
      <c r="B525" s="464" t="s">
        <v>8568</v>
      </c>
      <c r="C525" s="451" t="str">
        <f>IF(A525="SERVIÇO",VLOOKUP(B525,SERVIÇOS!$A$6:$D$7645,2,0),IF(A525="INSUMO",VLOOKUP(B525,INSUMOS!$A$6:$D$6961,2,0),IF(A525="COTAÇÃO",VLOOKUP(B525,'036-20-Cotação'!$A$9:$G$529,2,0))))</f>
        <v xml:space="preserve">MANTA FILTRANTE DE MÉDIA EFICIÊNCIA EM POLIÉSTER (MANTA G3) COM GRAMATURA DE 150 G/M²                             </v>
      </c>
      <c r="D525" s="452" t="str">
        <f>IF(A525="SERVIÇO",VLOOKUP(B525,SERVIÇOS!$A$6:$E$7645,5,0),IF(A525="INSUMO",VLOOKUP(B525,INSUMOS!$A$6:$E$6961,5,0),IF(A525="COTAÇÃO",VLOOKUP(B525,'036-20-Cotação'!$A$9:$H$529,8,0))))</f>
        <v>MAT.</v>
      </c>
      <c r="E525" s="452" t="str">
        <f>IF(A525="SERVIÇO",VLOOKUP(B525,SERVIÇOS!$A$6:$D$7645,3,0),IF(A525="INSUMO",VLOOKUP(B525,INSUMOS!$A$6:$D$6961,3,0),IF(A525="COTAÇÃO",VLOOKUP(B525,'036-20-Cotação'!$A$9:$G$529,4,0))))</f>
        <v>M2</v>
      </c>
      <c r="F525" s="462">
        <v>1.177</v>
      </c>
      <c r="G525" s="453">
        <f>IF(A525="SERVIÇO",VLOOKUP(B525,SERVIÇOS!$A$6:$D$7645,4,0),IF(A525="INSUMO",VLOOKUP(B525,INSUMOS!$A$6:$D$6961,4,0),IF(A525="COTAÇÃO",VLOOKUP(B525,'036-20-Cotação'!$A$9:$G$529,3,0))))</f>
        <v>6.3717715151653023</v>
      </c>
      <c r="H525" s="463">
        <f t="shared" ref="H525" si="61">G525*F525</f>
        <v>7.4995750733495612</v>
      </c>
      <c r="J525" s="201"/>
    </row>
    <row r="526" spans="1:17" s="87" customFormat="1" ht="12.75">
      <c r="A526" s="232" t="s">
        <v>4542</v>
      </c>
      <c r="B526" s="464" t="s">
        <v>6613</v>
      </c>
      <c r="C526" s="451" t="str">
        <f>IF(A526="SERVIÇO",VLOOKUP(B526,SERVIÇOS!$A$6:$D$7645,2,0),IF(A526="INSUMO",VLOOKUP(B526,INSUMOS!$A$6:$D$6961,2,0),IF(A526="COTAÇÃO",VLOOKUP(B526,'036-20-Cotação'!$A$9:$G$529,2,0))))</f>
        <v>CARPINTEIRO</v>
      </c>
      <c r="D526" s="452" t="str">
        <f>IF(A526="SERVIÇO",VLOOKUP(B526,SERVIÇOS!$A$6:$E$7645,5,0),IF(A526="INSUMO",VLOOKUP(B526,INSUMOS!$A$6:$E$6961,5,0),IF(A526="COTAÇÃO",VLOOKUP(B526,'036-20-Cotação'!$A$9:$H$529,8,0))))</f>
        <v>M.O</v>
      </c>
      <c r="E526" s="452" t="str">
        <f>IF(A526="SERVIÇO",VLOOKUP(B526,SERVIÇOS!$A$6:$D$7645,3,0),IF(A526="INSUMO",VLOOKUP(B526,INSUMOS!$A$6:$D$6961,3,0),IF(A526="COTAÇÃO",VLOOKUP(B526,'036-20-Cotação'!$A$9:$G$529,4,0))))</f>
        <v>H</v>
      </c>
      <c r="F526" s="462">
        <v>7.3400000000000007E-2</v>
      </c>
      <c r="G526" s="453">
        <f>IF(A526="SERVIÇO",VLOOKUP(B526,SERVIÇOS!$A$6:$D$7645,4,0),IF(A526="INSUMO",VLOOKUP(B526,INSUMOS!$A$6:$D$6961,4,0),IF(A526="COTAÇÃO",VLOOKUP(B526,'036-20-Cotação'!$A$9:$G$529,3,0))))</f>
        <v>21.710999999999999</v>
      </c>
      <c r="H526" s="463">
        <f t="shared" si="60"/>
        <v>1.5935874000000001</v>
      </c>
      <c r="J526" s="201"/>
    </row>
    <row r="527" spans="1:17" s="87" customFormat="1" ht="12.75">
      <c r="A527" s="232" t="s">
        <v>4542</v>
      </c>
      <c r="B527" s="464" t="s">
        <v>6602</v>
      </c>
      <c r="C527" s="451" t="str">
        <f>IF(A527="SERVIÇO",VLOOKUP(B527,SERVIÇOS!$A$6:$D$7645,2,0),IF(A527="INSUMO",VLOOKUP(B527,INSUMOS!$A$6:$D$6961,2,0),IF(A527="COTAÇÃO",VLOOKUP(B527,'036-20-Cotação'!$A$9:$G$529,2,0))))</f>
        <v>SERVENTE</v>
      </c>
      <c r="D527" s="452" t="str">
        <f>IF(A527="SERVIÇO",VLOOKUP(B527,SERVIÇOS!$A$6:$E$7645,5,0),IF(A527="INSUMO",VLOOKUP(B527,INSUMOS!$A$6:$E$6961,5,0),IF(A527="COTAÇÃO",VLOOKUP(B527,'036-20-Cotação'!$A$9:$H$529,8,0))))</f>
        <v>M.O</v>
      </c>
      <c r="E527" s="452" t="str">
        <f>IF(A527="SERVIÇO",VLOOKUP(B527,SERVIÇOS!$A$6:$D$7645,3,0),IF(A527="INSUMO",VLOOKUP(B527,INSUMOS!$A$6:$D$6961,3,0),IF(A527="COTAÇÃO",VLOOKUP(B527,'036-20-Cotação'!$A$9:$G$529,4,0))))</f>
        <v>H</v>
      </c>
      <c r="F527" s="462">
        <v>6.9900000000000004E-2</v>
      </c>
      <c r="G527" s="453">
        <f>IF(A527="SERVIÇO",VLOOKUP(B527,SERVIÇOS!$A$6:$D$7645,4,0),IF(A527="INSUMO",VLOOKUP(B527,INSUMOS!$A$6:$D$6961,4,0),IF(A527="COTAÇÃO",VLOOKUP(B527,'036-20-Cotação'!$A$9:$G$529,3,0))))</f>
        <v>15.637499999999999</v>
      </c>
      <c r="H527" s="463">
        <f t="shared" si="60"/>
        <v>1.0930612500000001</v>
      </c>
      <c r="J527" s="201"/>
    </row>
    <row r="528" spans="1:17" s="87" customFormat="1" ht="12.75">
      <c r="A528" s="188"/>
      <c r="B528" s="348" t="s">
        <v>123</v>
      </c>
      <c r="C528" s="695" t="s">
        <v>8567</v>
      </c>
      <c r="D528" s="696"/>
      <c r="E528" s="696"/>
      <c r="F528" s="696"/>
      <c r="G528" s="696"/>
      <c r="H528" s="697"/>
      <c r="J528" s="201"/>
      <c r="K528" s="78"/>
      <c r="L528" s="78"/>
      <c r="M528" s="78"/>
      <c r="N528" s="78"/>
      <c r="O528" s="78"/>
      <c r="P528" s="78"/>
      <c r="Q528" s="78"/>
    </row>
    <row r="529" spans="1:17" s="78" customFormat="1" ht="12.75">
      <c r="A529" s="188"/>
      <c r="B529" s="346"/>
      <c r="C529" s="347"/>
      <c r="D529" s="347"/>
      <c r="E529" s="347"/>
      <c r="F529" s="347"/>
      <c r="G529" s="347"/>
      <c r="H529" s="347"/>
      <c r="J529" s="79"/>
      <c r="K529" s="87"/>
      <c r="L529" s="87"/>
      <c r="M529" s="87"/>
      <c r="N529" s="87"/>
      <c r="O529" s="87"/>
      <c r="P529" s="87"/>
      <c r="Q529" s="87"/>
    </row>
    <row r="530" spans="1:17" s="78" customFormat="1" ht="25.5">
      <c r="A530" s="188"/>
      <c r="B530" s="80" t="s">
        <v>6280</v>
      </c>
      <c r="C530" s="81" t="s">
        <v>8434</v>
      </c>
      <c r="D530" s="82" t="s">
        <v>84</v>
      </c>
      <c r="E530" s="82" t="s">
        <v>89</v>
      </c>
      <c r="F530" s="83"/>
      <c r="G530" s="84"/>
      <c r="H530" s="85">
        <f>SUM(H531:H531)</f>
        <v>6.9</v>
      </c>
      <c r="J530" s="201" t="s">
        <v>7895</v>
      </c>
      <c r="K530" s="87"/>
      <c r="L530" s="87"/>
      <c r="M530" s="87"/>
      <c r="N530" s="87"/>
      <c r="O530" s="87"/>
      <c r="P530" s="87"/>
      <c r="Q530" s="87"/>
    </row>
    <row r="531" spans="1:17" s="87" customFormat="1" ht="25.5">
      <c r="A531" s="232" t="s">
        <v>4544</v>
      </c>
      <c r="B531" s="464" t="s">
        <v>7891</v>
      </c>
      <c r="C531" s="451" t="str">
        <f>IF(A531="SERVIÇO",VLOOKUP(B531,SERVIÇOS!$A$6:$D$7645,2,0),IF(A531="INSUMO",VLOOKUP(B531,INSUMOS!$A$6:$D$6961,2,0),IF(A531="COTAÇÃO",VLOOKUP(B531,'036-20-Cotação'!$A$9:$G$529,2,0))))</f>
        <v>ESTACA PRANCHA METÁLICA COM CHAPA DE 10 MM</v>
      </c>
      <c r="D531" s="452" t="str">
        <f>IF(A531="SERVIÇO",VLOOKUP(B531,SERVIÇOS!$A$6:$E$7645,5,0),IF(A531="INSUMO",VLOOKUP(B531,INSUMOS!$A$6:$E$6961,5,0),IF(A531="COTAÇÃO",VLOOKUP(B531,'036-20-Cotação'!$A$9:$H$529,8,0))))</f>
        <v>MAT.</v>
      </c>
      <c r="E531" s="452" t="str">
        <f>IF(A531="SERVIÇO",VLOOKUP(B531,SERVIÇOS!$A$6:$D$7645,3,0),IF(A531="INSUMO",VLOOKUP(B531,INSUMOS!$A$6:$D$6961,3,0),IF(A531="COTAÇÃO",VLOOKUP(B531,'036-20-Cotação'!$A$9:$G$529,4,0))))</f>
        <v>KG</v>
      </c>
      <c r="F531" s="462">
        <v>1</v>
      </c>
      <c r="G531" s="453">
        <f>IF(A531="SERVIÇO",VLOOKUP(B531,SERVIÇOS!$A$6:$D$7645,4,0),IF(A531="INSUMO",VLOOKUP(B531,INSUMOS!$A$6:$D$6961,4,0),IF(A531="COTAÇÃO",VLOOKUP(B531,'036-20-Cotação'!$A$9:$G$529,3,0))))</f>
        <v>6.9</v>
      </c>
      <c r="H531" s="463">
        <f t="shared" ref="H531" si="62">G531*F531</f>
        <v>6.9</v>
      </c>
      <c r="J531" s="201"/>
    </row>
    <row r="532" spans="1:17" s="87" customFormat="1" ht="12.75">
      <c r="A532" s="188"/>
      <c r="B532" s="348" t="s">
        <v>123</v>
      </c>
      <c r="C532" s="695" t="s">
        <v>7896</v>
      </c>
      <c r="D532" s="696"/>
      <c r="E532" s="696"/>
      <c r="F532" s="696"/>
      <c r="G532" s="696"/>
      <c r="H532" s="697"/>
      <c r="J532" s="201"/>
    </row>
    <row r="533" spans="1:17" s="78" customFormat="1" ht="12.75">
      <c r="A533" s="188"/>
      <c r="B533" s="346"/>
      <c r="C533" s="347"/>
      <c r="D533" s="347"/>
      <c r="E533" s="347"/>
      <c r="F533" s="347"/>
      <c r="G533" s="347"/>
      <c r="H533" s="347"/>
      <c r="J533" s="79"/>
      <c r="K533" s="87"/>
      <c r="L533" s="87"/>
      <c r="M533" s="87"/>
      <c r="N533" s="87"/>
      <c r="O533" s="87"/>
      <c r="P533" s="87"/>
      <c r="Q533" s="87"/>
    </row>
    <row r="534" spans="1:17" s="78" customFormat="1" ht="51">
      <c r="A534" s="188"/>
      <c r="B534" s="80" t="s">
        <v>6281</v>
      </c>
      <c r="C534" s="81" t="s">
        <v>8428</v>
      </c>
      <c r="D534" s="82" t="s">
        <v>84</v>
      </c>
      <c r="E534" s="82" t="s">
        <v>89</v>
      </c>
      <c r="F534" s="83"/>
      <c r="G534" s="84"/>
      <c r="H534" s="85">
        <f>SUM(H535:H539)</f>
        <v>0.49511932444363738</v>
      </c>
      <c r="J534" s="201" t="s">
        <v>7895</v>
      </c>
      <c r="K534" s="87"/>
      <c r="L534" s="87"/>
      <c r="M534" s="87"/>
      <c r="N534" s="87"/>
      <c r="O534" s="87"/>
      <c r="P534" s="87"/>
      <c r="Q534" s="87"/>
    </row>
    <row r="535" spans="1:17" s="87" customFormat="1" ht="25.5">
      <c r="A535" s="232" t="s">
        <v>4542</v>
      </c>
      <c r="B535" s="464" t="s">
        <v>9189</v>
      </c>
      <c r="C535" s="451" t="str">
        <f>IF(A535="SERVIÇO",VLOOKUP(B535,SERVIÇOS!$A$6:$D$7645,2,0),IF(A535="INSUMO",VLOOKUP(B535,INSUMOS!$A$6:$D$6961,2,0),IF(A535="COTAÇÃO",VLOOKUP(B535,'036-20-Cotação'!$A$9:$G$529,2,0))))</f>
        <v>GUINDASTE SOBRE ESTEIRAS COM MARTELO HIDRÁULICO DE 2.600 KG - 220 KW</v>
      </c>
      <c r="D535" s="452" t="str">
        <f>IF(A535="SERVIÇO",VLOOKUP(B535,SERVIÇOS!$A$6:$E$7645,5,0),IF(A535="INSUMO",VLOOKUP(B535,INSUMOS!$A$6:$E$6961,5,0),IF(A535="COTAÇÃO",VLOOKUP(B535,'036-20-Cotação'!$A$9:$H$529,8,0))))</f>
        <v>EQUIP.</v>
      </c>
      <c r="E535" s="452" t="str">
        <f>IF(A535="SERVIÇO",VLOOKUP(B535,SERVIÇOS!$A$6:$D$7645,3,0),IF(A535="INSUMO",VLOOKUP(B535,INSUMOS!$A$6:$D$6961,3,0),IF(A535="COTAÇÃO",VLOOKUP(B535,'036-20-Cotação'!$A$9:$G$529,4,0))))</f>
        <v>CHP</v>
      </c>
      <c r="F535" s="462">
        <f>1/2007.56</f>
        <v>4.9811711729661878E-4</v>
      </c>
      <c r="G535" s="453">
        <f>IF(A535="SERVIÇO",VLOOKUP(B535,SERVIÇOS!$A$6:$D$7645,4,0),IF(A535="INSUMO",VLOOKUP(B535,INSUMOS!$A$6:$D$6961,4,0),IF(A535="COTAÇÃO",VLOOKUP(B535,'036-20-Cotação'!$A$9:$G$529,3,0))))</f>
        <v>341.64069999999998</v>
      </c>
      <c r="H535" s="463">
        <f t="shared" ref="H535:H539" si="63">G535*F535</f>
        <v>0.17017708063519893</v>
      </c>
      <c r="J535" s="201"/>
    </row>
    <row r="536" spans="1:17" s="87" customFormat="1" ht="25.5">
      <c r="A536" s="232" t="s">
        <v>4542</v>
      </c>
      <c r="B536" s="531" t="s">
        <v>9129</v>
      </c>
      <c r="C536" s="451" t="str">
        <f>IF(A536="SERVIÇO",VLOOKUP(B536,SERVIÇOS!$A$6:$D$7645,2,0),IF(A536="INSUMO",VLOOKUP(B536,INSUMOS!$A$6:$D$6961,2,0),IF(A536="COTAÇÃO",VLOOKUP(B536,'036-20-Cotação'!$A$9:$G$529,2,0))))</f>
        <v>PLATAFORMA FLUTUANTE MONTADA NA OBRA DE 12 X 24 X 1,8 M COM CAPACIDADE DE 150 T</v>
      </c>
      <c r="D536" s="452" t="str">
        <f>IF(A536="SERVIÇO",VLOOKUP(B536,SERVIÇOS!$A$6:$E$7645,5,0),IF(A536="INSUMO",VLOOKUP(B536,INSUMOS!$A$6:$E$6961,5,0),IF(A536="COTAÇÃO",VLOOKUP(B536,'036-20-Cotação'!$A$9:$H$529,8,0))))</f>
        <v>EQUIP.</v>
      </c>
      <c r="E536" s="452" t="str">
        <f>IF(A536="SERVIÇO",VLOOKUP(B536,SERVIÇOS!$A$6:$D$7645,3,0),IF(A536="INSUMO",VLOOKUP(B536,INSUMOS!$A$6:$D$6961,3,0),IF(A536="COTAÇÃO",VLOOKUP(B536,'036-20-Cotação'!$A$9:$G$529,4,0))))</f>
        <v>CHP</v>
      </c>
      <c r="F536" s="462">
        <f t="shared" ref="F536:F537" si="64">1/2007.56</f>
        <v>4.9811711729661878E-4</v>
      </c>
      <c r="G536" s="453">
        <f>IF(A536="SERVIÇO",VLOOKUP(B536,SERVIÇOS!$A$6:$D$7645,4,0),IF(A536="INSUMO",VLOOKUP(B536,INSUMOS!$A$6:$D$6961,4,0),IF(A536="COTAÇÃO",VLOOKUP(B536,'036-20-Cotação'!$A$9:$G$529,3,0))))</f>
        <v>55.837600000000002</v>
      </c>
      <c r="H536" s="463">
        <f t="shared" si="63"/>
        <v>2.7813664348761681E-2</v>
      </c>
      <c r="J536" s="201"/>
    </row>
    <row r="537" spans="1:17" s="87" customFormat="1" ht="12.75">
      <c r="A537" s="232" t="s">
        <v>4542</v>
      </c>
      <c r="B537" s="464" t="s">
        <v>9121</v>
      </c>
      <c r="C537" s="451" t="str">
        <f>IF(A537="SERVIÇO",VLOOKUP(B537,SERVIÇOS!$A$6:$D$7645,2,0),IF(A537="INSUMO",VLOOKUP(B537,INSUMOS!$A$6:$D$6961,2,0),IF(A537="COTAÇÃO",VLOOKUP(B537,'036-20-Cotação'!$A$9:$G$529,2,0))))</f>
        <v>REBOCADOR - 2 X 360 HP</v>
      </c>
      <c r="D537" s="452" t="str">
        <f>IF(A537="SERVIÇO",VLOOKUP(B537,SERVIÇOS!$A$6:$E$7645,5,0),IF(A537="INSUMO",VLOOKUP(B537,INSUMOS!$A$6:$E$6961,5,0),IF(A537="COTAÇÃO",VLOOKUP(B537,'036-20-Cotação'!$A$9:$H$529,8,0))))</f>
        <v>EQUIP.</v>
      </c>
      <c r="E537" s="452" t="str">
        <f>IF(A537="SERVIÇO",VLOOKUP(B537,SERVIÇOS!$A$6:$D$7645,3,0),IF(A537="INSUMO",VLOOKUP(B537,INSUMOS!$A$6:$D$6961,3,0),IF(A537="COTAÇÃO",VLOOKUP(B537,'036-20-Cotação'!$A$9:$G$529,4,0))))</f>
        <v>CHP</v>
      </c>
      <c r="F537" s="462">
        <f t="shared" si="64"/>
        <v>4.9811711729661878E-4</v>
      </c>
      <c r="G537" s="453">
        <f>IF(A537="SERVIÇO",VLOOKUP(B537,SERVIÇOS!$A$6:$D$7645,4,0),IF(A537="INSUMO",VLOOKUP(B537,INSUMOS!$A$6:$D$6961,4,0),IF(A537="COTAÇÃO",VLOOKUP(B537,'036-20-Cotação'!$A$9:$G$529,3,0))))</f>
        <v>538.67539999999997</v>
      </c>
      <c r="H537" s="463">
        <f t="shared" si="63"/>
        <v>0.26832343740660303</v>
      </c>
      <c r="J537" s="201"/>
    </row>
    <row r="538" spans="1:17" s="87" customFormat="1" ht="12.75">
      <c r="A538" s="232" t="s">
        <v>4542</v>
      </c>
      <c r="B538" s="464" t="s">
        <v>6602</v>
      </c>
      <c r="C538" s="451" t="str">
        <f>IF(A538="SERVIÇO",VLOOKUP(B538,SERVIÇOS!$A$6:$D$7645,2,0),IF(A538="INSUMO",VLOOKUP(B538,INSUMOS!$A$6:$D$6961,2,0),IF(A538="COTAÇÃO",VLOOKUP(B538,'036-20-Cotação'!$A$9:$G$529,2,0))))</f>
        <v>SERVENTE</v>
      </c>
      <c r="D538" s="452" t="str">
        <f>IF(A538="SERVIÇO",VLOOKUP(B538,SERVIÇOS!$A$6:$E$7645,5,0),IF(A538="INSUMO",VLOOKUP(B538,INSUMOS!$A$6:$E$6961,5,0),IF(A538="COTAÇÃO",VLOOKUP(B538,'036-20-Cotação'!$A$9:$H$529,8,0))))</f>
        <v>M.O</v>
      </c>
      <c r="E538" s="452" t="str">
        <f>IF(A538="SERVIÇO",VLOOKUP(B538,SERVIÇOS!$A$6:$D$7645,3,0),IF(A538="INSUMO",VLOOKUP(B538,INSUMOS!$A$6:$D$6961,3,0),IF(A538="COTAÇÃO",VLOOKUP(B538,'036-20-Cotação'!$A$9:$G$529,4,0))))</f>
        <v>H</v>
      </c>
      <c r="F538" s="462">
        <f>2/2007.56</f>
        <v>9.9623423459323755E-4</v>
      </c>
      <c r="G538" s="453">
        <f>IF(A538="SERVIÇO",VLOOKUP(B538,SERVIÇOS!$A$6:$D$7645,4,0),IF(A538="INSUMO",VLOOKUP(B538,INSUMOS!$A$6:$D$6961,4,0),IF(A538="COTAÇÃO",VLOOKUP(B538,'036-20-Cotação'!$A$9:$G$529,3,0))))</f>
        <v>15.637499999999999</v>
      </c>
      <c r="H538" s="463">
        <f t="shared" si="63"/>
        <v>1.5578612843451752E-2</v>
      </c>
      <c r="J538" s="201"/>
    </row>
    <row r="539" spans="1:17" s="87" customFormat="1" ht="25.5">
      <c r="A539" s="232" t="s">
        <v>4542</v>
      </c>
      <c r="B539" s="531" t="s">
        <v>13224</v>
      </c>
      <c r="C539" s="451" t="str">
        <f>'036-20-CCA''s'!$C$293</f>
        <v xml:space="preserve">TEMPO FIXO - CAMINHÃO GUINDAUDO 45 T - CARGA MONOBRA E DESCARGA </v>
      </c>
      <c r="D539" s="452" t="str">
        <f>'036-20-CCA''s'!$D$293</f>
        <v>SER.CG</v>
      </c>
      <c r="E539" s="452" t="str">
        <f>'036-20-CCA''s'!$E$293</f>
        <v>T</v>
      </c>
      <c r="F539" s="462">
        <v>1E-3</v>
      </c>
      <c r="G539" s="453">
        <f>'036-20-CCA''s'!$H$293</f>
        <v>13.226529209621994</v>
      </c>
      <c r="H539" s="463">
        <f t="shared" si="63"/>
        <v>1.3226529209621994E-2</v>
      </c>
      <c r="J539" s="201"/>
    </row>
    <row r="540" spans="1:17" s="87" customFormat="1" ht="12.75">
      <c r="A540" s="188"/>
      <c r="B540" s="348" t="s">
        <v>123</v>
      </c>
      <c r="C540" s="695" t="s">
        <v>7896</v>
      </c>
      <c r="D540" s="696"/>
      <c r="E540" s="696"/>
      <c r="F540" s="696"/>
      <c r="G540" s="696"/>
      <c r="H540" s="697"/>
      <c r="J540" s="201"/>
    </row>
    <row r="541" spans="1:17" s="78" customFormat="1" ht="12.75">
      <c r="A541" s="188"/>
      <c r="B541" s="346"/>
      <c r="C541" s="347"/>
      <c r="D541" s="347"/>
      <c r="E541" s="347"/>
      <c r="F541" s="347"/>
      <c r="G541" s="347"/>
      <c r="H541" s="347"/>
      <c r="J541" s="79"/>
      <c r="K541" s="87"/>
      <c r="L541" s="87"/>
      <c r="M541" s="87"/>
      <c r="N541" s="87"/>
      <c r="O541" s="87"/>
      <c r="P541" s="87"/>
      <c r="Q541" s="87"/>
    </row>
    <row r="542" spans="1:17" s="78" customFormat="1" ht="51">
      <c r="A542" s="188"/>
      <c r="B542" s="80" t="s">
        <v>6282</v>
      </c>
      <c r="C542" s="81" t="s">
        <v>7923</v>
      </c>
      <c r="D542" s="82" t="s">
        <v>84</v>
      </c>
      <c r="E542" s="82" t="s">
        <v>89</v>
      </c>
      <c r="F542" s="83"/>
      <c r="G542" s="84"/>
      <c r="H542" s="85">
        <f>SUM(H543:H547)</f>
        <v>550.3982091155649</v>
      </c>
      <c r="J542" s="201" t="s">
        <v>7924</v>
      </c>
      <c r="K542" s="87"/>
      <c r="L542" s="87"/>
      <c r="M542" s="87"/>
      <c r="N542" s="87"/>
      <c r="O542" s="87"/>
      <c r="P542" s="87"/>
      <c r="Q542" s="87"/>
    </row>
    <row r="543" spans="1:17" s="87" customFormat="1" ht="12.75">
      <c r="A543" s="232" t="s">
        <v>4542</v>
      </c>
      <c r="B543" s="464" t="s">
        <v>6614</v>
      </c>
      <c r="C543" s="451" t="str">
        <f>IF(A543="SERVIÇO",VLOOKUP(B543,SERVIÇOS!$A$6:$D$7645,2,0),IF(A543="INSUMO",VLOOKUP(B543,INSUMOS!$A$6:$D$6961,2,0),IF(A543="COTAÇÃO",VLOOKUP(B543,'036-20-Cotação'!$A$9:$G$529,2,0))))</f>
        <v>PEDREIRO</v>
      </c>
      <c r="D543" s="452" t="str">
        <f>IF(A543="SERVIÇO",VLOOKUP(B543,SERVIÇOS!$A$6:$E$7645,5,0),IF(A543="INSUMO",VLOOKUP(B543,INSUMOS!$A$6:$E$6961,5,0),IF(A543="COTAÇÃO",VLOOKUP(B543,'036-20-Cotação'!$A$9:$H$529,8,0))))</f>
        <v>M.O</v>
      </c>
      <c r="E543" s="452" t="str">
        <f>IF(A543="SERVIÇO",VLOOKUP(B543,SERVIÇOS!$A$6:$D$7645,3,0),IF(A543="INSUMO",VLOOKUP(B543,INSUMOS!$A$6:$D$6961,3,0),IF(A543="COTAÇÃO",VLOOKUP(B543,'036-20-Cotação'!$A$9:$G$529,4,0))))</f>
        <v>H</v>
      </c>
      <c r="F543" s="462">
        <f>1/2</f>
        <v>0.5</v>
      </c>
      <c r="G543" s="453">
        <f>IF(A543="SERVIÇO",VLOOKUP(B543,SERVIÇOS!$A$6:$D$7645,4,0),IF(A543="INSUMO",VLOOKUP(B543,INSUMOS!$A$6:$D$6961,4,0),IF(A543="COTAÇÃO",VLOOKUP(B543,'036-20-Cotação'!$A$9:$G$529,3,0))))</f>
        <v>21.647600000000001</v>
      </c>
      <c r="H543" s="463">
        <f t="shared" ref="H543:H547" si="65">G543*F543</f>
        <v>10.8238</v>
      </c>
      <c r="J543" s="201"/>
    </row>
    <row r="544" spans="1:17" s="87" customFormat="1" ht="12.75">
      <c r="A544" s="232" t="s">
        <v>4542</v>
      </c>
      <c r="B544" s="464" t="s">
        <v>6602</v>
      </c>
      <c r="C544" s="451" t="str">
        <f>IF(A544="SERVIÇO",VLOOKUP(B544,SERVIÇOS!$A$6:$D$7645,2,0),IF(A544="INSUMO",VLOOKUP(B544,INSUMOS!$A$6:$D$6961,2,0),IF(A544="COTAÇÃO",VLOOKUP(B544,'036-20-Cotação'!$A$9:$G$529,2,0))))</f>
        <v>SERVENTE</v>
      </c>
      <c r="D544" s="452" t="str">
        <f>IF(A544="SERVIÇO",VLOOKUP(B544,SERVIÇOS!$A$6:$E$7645,5,0),IF(A544="INSUMO",VLOOKUP(B544,INSUMOS!$A$6:$E$6961,5,0),IF(A544="COTAÇÃO",VLOOKUP(B544,'036-20-Cotação'!$A$9:$H$529,8,0))))</f>
        <v>M.O</v>
      </c>
      <c r="E544" s="452" t="str">
        <f>IF(A544="SERVIÇO",VLOOKUP(B544,SERVIÇOS!$A$6:$D$7645,3,0),IF(A544="INSUMO",VLOOKUP(B544,INSUMOS!$A$6:$D$6961,3,0),IF(A544="COTAÇÃO",VLOOKUP(B544,'036-20-Cotação'!$A$9:$G$529,4,0))))</f>
        <v>H</v>
      </c>
      <c r="F544" s="462">
        <f>1/2</f>
        <v>0.5</v>
      </c>
      <c r="G544" s="453">
        <f>IF(A544="SERVIÇO",VLOOKUP(B544,SERVIÇOS!$A$6:$D$7645,4,0),IF(A544="INSUMO",VLOOKUP(B544,INSUMOS!$A$6:$D$6961,4,0),IF(A544="COTAÇÃO",VLOOKUP(B544,'036-20-Cotação'!$A$9:$G$529,3,0))))</f>
        <v>15.637499999999999</v>
      </c>
      <c r="H544" s="463">
        <f t="shared" si="65"/>
        <v>7.8187499999999996</v>
      </c>
      <c r="J544" s="201"/>
    </row>
    <row r="545" spans="1:17" s="87" customFormat="1" ht="25.5">
      <c r="A545" s="232" t="s">
        <v>4544</v>
      </c>
      <c r="B545" s="531" t="s">
        <v>7362</v>
      </c>
      <c r="C545" s="451" t="str">
        <f>IF(A545="SERVIÇO",VLOOKUP(B545,SERVIÇOS!$A$6:$D$7645,2,0),IF(A545="INSUMO",VLOOKUP(B545,INSUMOS!$A$6:$D$6961,2,0),IF(A545="COTAÇÃO",VLOOKUP(B545,'036-20-Cotação'!$A$9:$G$529,2,0))))</f>
        <v>BICO PARA INJEÇÃO DE ADESIVO ESTRUTURAL À BASE DE RESINA EPÓXI</v>
      </c>
      <c r="D545" s="452" t="str">
        <f>IF(A545="SERVIÇO",VLOOKUP(B545,SERVIÇOS!$A$6:$E$7645,5,0),IF(A545="INSUMO",VLOOKUP(B545,INSUMOS!$A$6:$E$6961,5,0),IF(A545="COTAÇÃO",VLOOKUP(B545,'036-20-Cotação'!$A$9:$H$529,8,0))))</f>
        <v>MAT.</v>
      </c>
      <c r="E545" s="452" t="str">
        <f>IF(A545="SERVIÇO",VLOOKUP(B545,SERVIÇOS!$A$6:$D$7645,3,0),IF(A545="INSUMO",VLOOKUP(B545,INSUMOS!$A$6:$D$6961,3,0),IF(A545="COTAÇÃO",VLOOKUP(B545,'036-20-Cotação'!$A$9:$G$529,4,0))))</f>
        <v>UN</v>
      </c>
      <c r="F545" s="462">
        <v>13.071899999999999</v>
      </c>
      <c r="G545" s="453">
        <f>IF(A545="SERVIÇO",VLOOKUP(B545,SERVIÇOS!$A$6:$D$7645,4,0),IF(A545="INSUMO",VLOOKUP(B545,INSUMOS!$A$6:$D$6961,4,0),IF(A545="COTAÇÃO",VLOOKUP(B545,'036-20-Cotação'!$A$9:$G$529,3,0))))</f>
        <v>18.3841</v>
      </c>
      <c r="H545" s="463">
        <f t="shared" si="65"/>
        <v>240.31511678999999</v>
      </c>
      <c r="J545" s="201"/>
    </row>
    <row r="546" spans="1:17" s="87" customFormat="1" ht="51">
      <c r="A546" s="232" t="s">
        <v>4542</v>
      </c>
      <c r="B546" s="464" t="s">
        <v>7347</v>
      </c>
      <c r="C546" s="451" t="str">
        <f>'036-20-CCA''s'!$C$37</f>
        <v>FORNECIMENTO E APLICAÇÃO DURÔMETRO DE POLIURETANO BAIXA VISCOSIDADE MC BAUCHEMIE MC INJEKT 2700 L OU EQUIVALENTE</v>
      </c>
      <c r="D546" s="452" t="str">
        <f>'036-20-CCA''s'!$D$37</f>
        <v xml:space="preserve">SER.CG </v>
      </c>
      <c r="E546" s="452" t="str">
        <f>'036-20-CCA''s'!$E$37</f>
        <v>KG</v>
      </c>
      <c r="F546" s="462">
        <v>1.2</v>
      </c>
      <c r="G546" s="453">
        <f>'036-20-CCA''s'!$H$37</f>
        <v>242.8636381228583</v>
      </c>
      <c r="H546" s="463">
        <f t="shared" si="65"/>
        <v>291.43636574742993</v>
      </c>
      <c r="J546" s="201">
        <v>45.58</v>
      </c>
    </row>
    <row r="547" spans="1:17" s="87" customFormat="1" ht="25.5">
      <c r="A547" s="232" t="s">
        <v>4542</v>
      </c>
      <c r="B547" s="531" t="s">
        <v>13205</v>
      </c>
      <c r="C547" s="451" t="str">
        <f>'036-20-CCA''s'!$C$276</f>
        <v>TEMPO FIXO - CAMINHÃO CARROCERIA 5 T - CARGA E DESCARGA MANUAIS</v>
      </c>
      <c r="D547" s="452" t="str">
        <f>'036-20-CCA''s'!$D$276</f>
        <v>SER.CG</v>
      </c>
      <c r="E547" s="452" t="str">
        <f>'036-20-CCA''s'!$E$276</f>
        <v>T</v>
      </c>
      <c r="F547" s="462">
        <v>2.5999999999999998E-4</v>
      </c>
      <c r="G547" s="453">
        <f>'036-20-CCA''s'!$H$276</f>
        <v>16.063762057877813</v>
      </c>
      <c r="H547" s="463">
        <f t="shared" si="65"/>
        <v>4.1765781350482315E-3</v>
      </c>
      <c r="J547" s="201"/>
    </row>
    <row r="548" spans="1:17" s="87" customFormat="1" ht="12.75">
      <c r="A548" s="188"/>
      <c r="B548" s="348" t="s">
        <v>123</v>
      </c>
      <c r="C548" s="695" t="s">
        <v>7925</v>
      </c>
      <c r="D548" s="696"/>
      <c r="E548" s="696"/>
      <c r="F548" s="696"/>
      <c r="G548" s="696"/>
      <c r="H548" s="697"/>
      <c r="J548" s="201"/>
    </row>
    <row r="549" spans="1:17" s="78" customFormat="1" ht="12.75">
      <c r="A549" s="188"/>
      <c r="B549" s="346"/>
      <c r="C549" s="347"/>
      <c r="D549" s="347"/>
      <c r="E549" s="347"/>
      <c r="F549" s="347"/>
      <c r="G549" s="347"/>
      <c r="H549" s="347"/>
      <c r="J549" s="79"/>
      <c r="K549" s="87"/>
      <c r="L549" s="87"/>
      <c r="M549" s="87"/>
      <c r="N549" s="87"/>
      <c r="O549" s="87"/>
      <c r="P549" s="87"/>
      <c r="Q549" s="87"/>
    </row>
    <row r="550" spans="1:17" s="78" customFormat="1" ht="51">
      <c r="A550" s="188"/>
      <c r="B550" s="80" t="s">
        <v>6283</v>
      </c>
      <c r="C550" s="81" t="s">
        <v>7945</v>
      </c>
      <c r="D550" s="82" t="s">
        <v>84</v>
      </c>
      <c r="E550" s="82" t="s">
        <v>150</v>
      </c>
      <c r="F550" s="83"/>
      <c r="G550" s="84"/>
      <c r="H550" s="85">
        <f>SUM(H551:H555)</f>
        <v>17.67508983365299</v>
      </c>
      <c r="J550" s="79" t="str">
        <f>UPPER(C550)</f>
        <v xml:space="preserve">APLICAÇÃO DE ADITIVO CRISTALIZANTE XYPEX CONCENTRADO UMA DEMÃO - CONSUMO 0,8 KG/M². FORNECIMENTO E APLICAÇÃO </v>
      </c>
      <c r="K550" s="87"/>
      <c r="L550" s="87"/>
      <c r="M550" s="87"/>
      <c r="N550" s="87"/>
      <c r="O550" s="87"/>
      <c r="P550" s="87"/>
      <c r="Q550" s="87"/>
    </row>
    <row r="551" spans="1:17" s="87" customFormat="1" ht="12.75">
      <c r="A551" s="232" t="s">
        <v>4542</v>
      </c>
      <c r="B551" s="464" t="s">
        <v>6614</v>
      </c>
      <c r="C551" s="451" t="str">
        <f>IF(A551="SERVIÇO",VLOOKUP(B551,SERVIÇOS!$A$6:$D$7645,2,0),IF(A551="INSUMO",VLOOKUP(B551,INSUMOS!$A$6:$D$6961,2,0),IF(A551="COTAÇÃO",VLOOKUP(B551,'036-20-Cotação'!$A$9:$G$529,2,0))))</f>
        <v>PEDREIRO</v>
      </c>
      <c r="D551" s="452" t="str">
        <f>IF(A551="SERVIÇO",VLOOKUP(B551,SERVIÇOS!$A$6:$E$7645,5,0),IF(A551="INSUMO",VLOOKUP(B551,INSUMOS!$A$6:$E$6961,5,0),IF(A551="COTAÇÃO",VLOOKUP(B551,'036-20-Cotação'!$A$9:$H$529,8,0))))</f>
        <v>M.O</v>
      </c>
      <c r="E551" s="452" t="str">
        <f>IF(A551="SERVIÇO",VLOOKUP(B551,SERVIÇOS!$A$6:$D$7645,3,0),IF(A551="INSUMO",VLOOKUP(B551,INSUMOS!$A$6:$D$6961,3,0),IF(A551="COTAÇÃO",VLOOKUP(B551,'036-20-Cotação'!$A$9:$G$529,4,0))))</f>
        <v>H</v>
      </c>
      <c r="F551" s="462" t="s">
        <v>7947</v>
      </c>
      <c r="G551" s="453">
        <f>IF(A551="SERVIÇO",VLOOKUP(B551,SERVIÇOS!$A$6:$D$7645,4,0),IF(A551="INSUMO",VLOOKUP(B551,INSUMOS!$A$6:$D$6961,4,0),IF(A551="COTAÇÃO",VLOOKUP(B551,'036-20-Cotação'!$A$9:$G$529,3,0))))</f>
        <v>21.647600000000001</v>
      </c>
      <c r="H551" s="463">
        <f t="shared" ref="H551:H555" si="66">G551*F551</f>
        <v>1.9482839999999999</v>
      </c>
      <c r="J551" s="201"/>
    </row>
    <row r="552" spans="1:17" s="87" customFormat="1" ht="12.75">
      <c r="A552" s="232" t="s">
        <v>4542</v>
      </c>
      <c r="B552" s="464" t="s">
        <v>6602</v>
      </c>
      <c r="C552" s="451" t="str">
        <f>IF(A552="SERVIÇO",VLOOKUP(B552,SERVIÇOS!$A$6:$D$7645,2,0),IF(A552="INSUMO",VLOOKUP(B552,INSUMOS!$A$6:$D$6961,2,0),IF(A552="COTAÇÃO",VLOOKUP(B552,'036-20-Cotação'!$A$9:$G$529,2,0))))</f>
        <v>SERVENTE</v>
      </c>
      <c r="D552" s="452" t="str">
        <f>IF(A552="SERVIÇO",VLOOKUP(B552,SERVIÇOS!$A$6:$E$7645,5,0),IF(A552="INSUMO",VLOOKUP(B552,INSUMOS!$A$6:$E$6961,5,0),IF(A552="COTAÇÃO",VLOOKUP(B552,'036-20-Cotação'!$A$9:$H$529,8,0))))</f>
        <v>M.O</v>
      </c>
      <c r="E552" s="452" t="str">
        <f>IF(A552="SERVIÇO",VLOOKUP(B552,SERVIÇOS!$A$6:$D$7645,3,0),IF(A552="INSUMO",VLOOKUP(B552,INSUMOS!$A$6:$D$6961,3,0),IF(A552="COTAÇÃO",VLOOKUP(B552,'036-20-Cotação'!$A$9:$G$529,4,0))))</f>
        <v>H</v>
      </c>
      <c r="F552" s="462" t="s">
        <v>7948</v>
      </c>
      <c r="G552" s="453">
        <f>IF(A552="SERVIÇO",VLOOKUP(B552,SERVIÇOS!$A$6:$D$7645,4,0),IF(A552="INSUMO",VLOOKUP(B552,INSUMOS!$A$6:$D$6961,4,0),IF(A552="COTAÇÃO",VLOOKUP(B552,'036-20-Cotação'!$A$9:$G$529,3,0))))</f>
        <v>15.637499999999999</v>
      </c>
      <c r="H552" s="463">
        <f t="shared" si="66"/>
        <v>0.70368749999999991</v>
      </c>
      <c r="J552" s="201"/>
    </row>
    <row r="553" spans="1:17" s="87" customFormat="1" ht="25.5">
      <c r="A553" s="232" t="s">
        <v>4542</v>
      </c>
      <c r="B553" s="464" t="s">
        <v>9295</v>
      </c>
      <c r="C553" s="451" t="str">
        <f>IF(A553="SERVIÇO",VLOOKUP(B553,SERVIÇOS!$A$6:$D$7645,2,0),IF(A553="INSUMO",VLOOKUP(B553,INSUMOS!$A$6:$D$6961,2,0),IF(A553="COTAÇÃO",VLOOKUP(B553,'036-20-Cotação'!$A$9:$G$529,2,0))))</f>
        <v>BOMBA PROJETORA DE ARGAMASSA DE 2 M³/H - 5,5 KW</v>
      </c>
      <c r="D553" s="452" t="str">
        <f>IF(A553="SERVIÇO",VLOOKUP(B553,SERVIÇOS!$A$6:$E$7645,5,0),IF(A553="INSUMO",VLOOKUP(B553,INSUMOS!$A$6:$E$6961,5,0),IF(A553="COTAÇÃO",VLOOKUP(B553,'036-20-Cotação'!$A$9:$H$529,8,0))))</f>
        <v>EQUIP.</v>
      </c>
      <c r="E553" s="452" t="str">
        <f>IF(A553="SERVIÇO",VLOOKUP(B553,SERVIÇOS!$A$6:$D$7645,3,0),IF(A553="INSUMO",VLOOKUP(B553,INSUMOS!$A$6:$D$6961,3,0),IF(A553="COTAÇÃO",VLOOKUP(B553,'036-20-Cotação'!$A$9:$G$529,4,0))))</f>
        <v>CHP</v>
      </c>
      <c r="F553" s="462" t="s">
        <v>7949</v>
      </c>
      <c r="G553" s="453">
        <f>IF(A553="SERVIÇO",VLOOKUP(B553,SERVIÇOS!$A$6:$D$7645,4,0),IF(A553="INSUMO",VLOOKUP(B553,INSUMOS!$A$6:$D$6961,4,0),IF(A553="COTAÇÃO",VLOOKUP(B553,'036-20-Cotação'!$A$9:$G$529,3,0))))</f>
        <v>29.3599</v>
      </c>
      <c r="H553" s="463">
        <f t="shared" ref="H553:H554" si="67">G553*F553</f>
        <v>4.9911829999999997E-2</v>
      </c>
      <c r="J553" s="201"/>
    </row>
    <row r="554" spans="1:17" s="87" customFormat="1" ht="25.5">
      <c r="A554" s="232" t="s">
        <v>4542</v>
      </c>
      <c r="B554" s="464" t="s">
        <v>9903</v>
      </c>
      <c r="C554" s="451" t="str">
        <f>IF(A554="SERVIÇO",VLOOKUP(B554,SERVIÇOS!$A$6:$D$7645,2,0),IF(A554="INSUMO",VLOOKUP(B554,INSUMOS!$A$6:$D$6961,2,0),IF(A554="COTAÇÃO",VLOOKUP(B554,'036-20-Cotação'!$A$9:$G$529,2,0))))</f>
        <v>BOMBA PROJETORA DE ARGAMASSA DE 2 M³/H - 5,5 KW</v>
      </c>
      <c r="D554" s="452" t="str">
        <f>IF(A554="SERVIÇO",VLOOKUP(B554,SERVIÇOS!$A$6:$E$7645,5,0),IF(A554="INSUMO",VLOOKUP(B554,INSUMOS!$A$6:$E$6961,5,0),IF(A554="COTAÇÃO",VLOOKUP(B554,'036-20-Cotação'!$A$9:$H$529,8,0))))</f>
        <v>EQUIP.</v>
      </c>
      <c r="E554" s="452" t="str">
        <f>IF(A554="SERVIÇO",VLOOKUP(B554,SERVIÇOS!$A$6:$D$7645,3,0),IF(A554="INSUMO",VLOOKUP(B554,INSUMOS!$A$6:$D$6961,3,0),IF(A554="COTAÇÃO",VLOOKUP(B554,'036-20-Cotação'!$A$9:$G$529,4,0))))</f>
        <v>CHI</v>
      </c>
      <c r="F554" s="462" t="s">
        <v>7950</v>
      </c>
      <c r="G554" s="453">
        <f>IF(A554="SERVIÇO",VLOOKUP(B554,SERVIÇOS!$A$6:$D$7645,4,0),IF(A554="INSUMO",VLOOKUP(B554,INSUMOS!$A$6:$D$6961,4,0),IF(A554="COTAÇÃO",VLOOKUP(B554,'036-20-Cotação'!$A$9:$G$529,3,0))))</f>
        <v>24.567299999999999</v>
      </c>
      <c r="H554" s="463">
        <f t="shared" si="67"/>
        <v>2.17174932</v>
      </c>
      <c r="J554" s="201"/>
    </row>
    <row r="555" spans="1:17" s="87" customFormat="1" ht="25.5">
      <c r="A555" s="232" t="s">
        <v>12</v>
      </c>
      <c r="B555" s="464" t="s">
        <v>7944</v>
      </c>
      <c r="C555" s="451" t="str">
        <f>IF(A555="SERVIÇO",VLOOKUP(B555,SERVIÇOS!$A$6:$D$7645,2,0),IF(A555="INSUMO",VLOOKUP(B555,INSUMOS!$A$6:$D$6961,2,0),IF(A555="COTAÇÃO",VLOOKUP(B555,'036-20-Cotação'!$A$9:$G$529,2,0))))</f>
        <v>ADITIVO CRISTALIZANTE XYPEX CONCENTRADO OU EQUIVALENTE</v>
      </c>
      <c r="D555" s="452" t="str">
        <f>IF(A555="SERVIÇO",VLOOKUP(B555,SERVIÇOS!$A$6:$E$7645,5,0),IF(A555="INSUMO",VLOOKUP(B555,INSUMOS!$A$6:$E$6961,5,0),IF(A555="COTAÇÃO",VLOOKUP(B555,'036-20-Cotação'!$A$9:$H$529,8,0))))</f>
        <v>MAT.</v>
      </c>
      <c r="E555" s="452" t="str">
        <f>IF(A555="SERVIÇO",VLOOKUP(B555,SERVIÇOS!$A$6:$D$7645,3,0),IF(A555="INSUMO",VLOOKUP(B555,INSUMOS!$A$6:$D$6961,3,0),IF(A555="COTAÇÃO",VLOOKUP(B555,'036-20-Cotação'!$A$9:$G$529,4,0))))</f>
        <v>KG</v>
      </c>
      <c r="F555" s="462">
        <v>0.8</v>
      </c>
      <c r="G555" s="453">
        <f>IF(A555="SERVIÇO",VLOOKUP(B555,SERVIÇOS!$A$6:$D$7645,4,0),IF(A555="INSUMO",VLOOKUP(B555,INSUMOS!$A$6:$D$6961,4,0),IF(A555="COTAÇÃO",VLOOKUP(B555,'036-20-Cotação'!$A$9:$G$529,3,0))))</f>
        <v>16.001821479566239</v>
      </c>
      <c r="H555" s="463">
        <f t="shared" si="66"/>
        <v>12.801457183652992</v>
      </c>
      <c r="J555" s="201"/>
    </row>
    <row r="556" spans="1:17" s="87" customFormat="1" ht="12.75">
      <c r="A556" s="188"/>
      <c r="B556" s="348" t="s">
        <v>123</v>
      </c>
      <c r="C556" s="695" t="s">
        <v>7951</v>
      </c>
      <c r="D556" s="696"/>
      <c r="E556" s="696"/>
      <c r="F556" s="696"/>
      <c r="G556" s="696"/>
      <c r="H556" s="697"/>
      <c r="J556" s="201"/>
    </row>
    <row r="557" spans="1:17" s="78" customFormat="1" ht="12.75">
      <c r="A557" s="188"/>
      <c r="B557" s="346"/>
      <c r="C557" s="347"/>
      <c r="D557" s="347"/>
      <c r="E557" s="347"/>
      <c r="F557" s="347"/>
      <c r="G557" s="347"/>
      <c r="H557" s="347"/>
      <c r="J557" s="79"/>
      <c r="K557" s="87"/>
      <c r="L557" s="87"/>
      <c r="M557" s="87"/>
      <c r="N557" s="87"/>
      <c r="O557" s="87"/>
      <c r="P557" s="87"/>
      <c r="Q557" s="87"/>
    </row>
    <row r="558" spans="1:17" s="78" customFormat="1" ht="25.5">
      <c r="A558" s="188"/>
      <c r="B558" s="80" t="s">
        <v>6285</v>
      </c>
      <c r="C558" s="81" t="s">
        <v>8347</v>
      </c>
      <c r="D558" s="82" t="s">
        <v>84</v>
      </c>
      <c r="E558" s="82" t="s">
        <v>6074</v>
      </c>
      <c r="F558" s="83"/>
      <c r="G558" s="84"/>
      <c r="H558" s="85">
        <f>SUM(H559:H559)</f>
        <v>1.5746962499999999</v>
      </c>
      <c r="J558" s="79"/>
      <c r="K558" s="87"/>
      <c r="L558" s="87"/>
      <c r="M558" s="87"/>
      <c r="N558" s="87"/>
      <c r="O558" s="87"/>
      <c r="P558" s="87"/>
      <c r="Q558" s="87"/>
    </row>
    <row r="559" spans="1:17" s="87" customFormat="1" ht="12.75">
      <c r="A559" s="232" t="s">
        <v>4542</v>
      </c>
      <c r="B559" s="464" t="s">
        <v>6602</v>
      </c>
      <c r="C559" s="451" t="str">
        <f>IF(A559="SERVIÇO",VLOOKUP(B559,SERVIÇOS!$A$6:$D$7645,2,0),IF(A559="INSUMO",VLOOKUP(B559,INSUMOS!$A$6:$D$6961,2,0),IF(A559="COTAÇÃO",VLOOKUP(B559,'036-20-Cotação'!$A$9:$G$529,2,0))))</f>
        <v>SERVENTE</v>
      </c>
      <c r="D559" s="452" t="str">
        <f>IF(A559="SERVIÇO",VLOOKUP(B559,SERVIÇOS!$A$6:$E$7645,5,0),IF(A559="INSUMO",VLOOKUP(B559,INSUMOS!$A$6:$E$6961,5,0),IF(A559="COTAÇÃO",VLOOKUP(B559,'036-20-Cotação'!$A$9:$H$529,8,0))))</f>
        <v>M.O</v>
      </c>
      <c r="E559" s="452" t="str">
        <f>IF(A559="SERVIÇO",VLOOKUP(B559,SERVIÇOS!$A$6:$D$7645,3,0),IF(A559="INSUMO",VLOOKUP(B559,INSUMOS!$A$6:$D$6961,3,0),IF(A559="COTAÇÃO",VLOOKUP(B559,'036-20-Cotação'!$A$9:$G$529,4,0))))</f>
        <v>H</v>
      </c>
      <c r="F559" s="462">
        <v>0.1007</v>
      </c>
      <c r="G559" s="453">
        <f>IF(A559="SERVIÇO",VLOOKUP(B559,SERVIÇOS!$A$6:$D$7645,4,0),IF(A559="INSUMO",VLOOKUP(B559,INSUMOS!$A$6:$D$6961,4,0),IF(A559="COTAÇÃO",VLOOKUP(B559,'036-20-Cotação'!$A$9:$G$529,3,0))))</f>
        <v>15.637499999999999</v>
      </c>
      <c r="H559" s="463">
        <f t="shared" ref="H559" si="68">G559*F559</f>
        <v>1.5746962499999999</v>
      </c>
      <c r="J559" s="201"/>
    </row>
    <row r="560" spans="1:17" s="87" customFormat="1" ht="12.75">
      <c r="A560" s="188"/>
      <c r="B560" s="348" t="s">
        <v>123</v>
      </c>
      <c r="C560" s="695" t="s">
        <v>7992</v>
      </c>
      <c r="D560" s="696"/>
      <c r="E560" s="696"/>
      <c r="F560" s="696"/>
      <c r="G560" s="696"/>
      <c r="H560" s="697"/>
      <c r="J560" s="201"/>
    </row>
    <row r="561" spans="1:17" s="78" customFormat="1" ht="12.75">
      <c r="A561" s="188"/>
      <c r="B561" s="346"/>
      <c r="C561" s="347"/>
      <c r="D561" s="347"/>
      <c r="E561" s="347"/>
      <c r="F561" s="347"/>
      <c r="G561" s="347"/>
      <c r="H561" s="347"/>
      <c r="J561" s="79"/>
      <c r="K561" s="87"/>
      <c r="L561" s="87"/>
      <c r="M561" s="87"/>
      <c r="N561" s="87"/>
      <c r="O561" s="87"/>
      <c r="P561" s="87"/>
      <c r="Q561" s="87"/>
    </row>
    <row r="562" spans="1:17" s="78" customFormat="1" ht="25.5">
      <c r="A562" s="188"/>
      <c r="B562" s="80" t="s">
        <v>7410</v>
      </c>
      <c r="C562" s="81" t="s">
        <v>8345</v>
      </c>
      <c r="D562" s="82" t="s">
        <v>84</v>
      </c>
      <c r="E562" s="82" t="s">
        <v>8346</v>
      </c>
      <c r="F562" s="83"/>
      <c r="G562" s="84"/>
      <c r="H562" s="85">
        <f>SUM(H563:H563)</f>
        <v>20.311548749999996</v>
      </c>
      <c r="J562" s="79"/>
      <c r="K562" s="87"/>
      <c r="L562" s="87"/>
      <c r="M562" s="87"/>
      <c r="N562" s="87"/>
      <c r="O562" s="87"/>
      <c r="P562" s="87"/>
      <c r="Q562" s="87"/>
    </row>
    <row r="563" spans="1:17" s="87" customFormat="1" ht="12.75">
      <c r="A563" s="232" t="s">
        <v>4542</v>
      </c>
      <c r="B563" s="464" t="s">
        <v>6602</v>
      </c>
      <c r="C563" s="451" t="str">
        <f>IF(A563="SERVIÇO",VLOOKUP(B563,SERVIÇOS!$A$6:$D$7645,2,0),IF(A563="INSUMO",VLOOKUP(B563,INSUMOS!$A$6:$D$6961,2,0),IF(A563="COTAÇÃO",VLOOKUP(B563,'036-20-Cotação'!$A$9:$G$529,2,0))))</f>
        <v>SERVENTE</v>
      </c>
      <c r="D563" s="452" t="str">
        <f>IF(A563="SERVIÇO",VLOOKUP(B563,SERVIÇOS!$A$6:$E$7645,5,0),IF(A563="INSUMO",VLOOKUP(B563,INSUMOS!$A$6:$E$6961,5,0),IF(A563="COTAÇÃO",VLOOKUP(B563,'036-20-Cotação'!$A$9:$H$529,8,0))))</f>
        <v>M.O</v>
      </c>
      <c r="E563" s="452" t="str">
        <f>IF(A563="SERVIÇO",VLOOKUP(B563,SERVIÇOS!$A$6:$D$7645,3,0),IF(A563="INSUMO",VLOOKUP(B563,INSUMOS!$A$6:$D$6961,3,0),IF(A563="COTAÇÃO",VLOOKUP(B563,'036-20-Cotação'!$A$9:$G$529,4,0))))</f>
        <v>H</v>
      </c>
      <c r="F563" s="462">
        <v>1.2988999999999999</v>
      </c>
      <c r="G563" s="453">
        <f>IF(A563="SERVIÇO",VLOOKUP(B563,SERVIÇOS!$A$6:$D$7645,4,0),IF(A563="INSUMO",VLOOKUP(B563,INSUMOS!$A$6:$D$6961,4,0),IF(A563="COTAÇÃO",VLOOKUP(B563,'036-20-Cotação'!$A$9:$G$529,3,0))))</f>
        <v>15.637499999999999</v>
      </c>
      <c r="H563" s="463">
        <f t="shared" ref="H563" si="69">G563*F563</f>
        <v>20.311548749999996</v>
      </c>
      <c r="J563" s="201"/>
    </row>
    <row r="564" spans="1:17" s="87" customFormat="1" ht="12.75">
      <c r="A564" s="188"/>
      <c r="B564" s="348" t="s">
        <v>123</v>
      </c>
      <c r="C564" s="695" t="s">
        <v>7973</v>
      </c>
      <c r="D564" s="696"/>
      <c r="E564" s="696"/>
      <c r="F564" s="696"/>
      <c r="G564" s="696"/>
      <c r="H564" s="697"/>
      <c r="J564" s="201"/>
    </row>
    <row r="565" spans="1:17" s="78" customFormat="1" ht="12.75">
      <c r="A565" s="188"/>
      <c r="B565" s="346"/>
      <c r="C565" s="347"/>
      <c r="D565" s="347"/>
      <c r="E565" s="347"/>
      <c r="F565" s="347"/>
      <c r="G565" s="347"/>
      <c r="H565" s="347"/>
      <c r="J565" s="79"/>
      <c r="K565" s="87"/>
      <c r="L565" s="87"/>
      <c r="M565" s="87"/>
      <c r="N565" s="87"/>
      <c r="O565" s="87"/>
      <c r="P565" s="87"/>
      <c r="Q565" s="87"/>
    </row>
    <row r="566" spans="1:17" s="78" customFormat="1" ht="51">
      <c r="A566" s="188"/>
      <c r="B566" s="80" t="s">
        <v>7411</v>
      </c>
      <c r="C566" s="81" t="s">
        <v>8348</v>
      </c>
      <c r="D566" s="82" t="s">
        <v>84</v>
      </c>
      <c r="E566" s="82" t="s">
        <v>6074</v>
      </c>
      <c r="F566" s="83"/>
      <c r="G566" s="84"/>
      <c r="H566" s="85">
        <f>SUM(H567:H567)</f>
        <v>0.20016</v>
      </c>
      <c r="J566" s="79"/>
      <c r="K566" s="87"/>
      <c r="L566" s="87"/>
      <c r="M566" s="87"/>
      <c r="N566" s="87"/>
      <c r="O566" s="87"/>
      <c r="P566" s="87"/>
      <c r="Q566" s="87"/>
    </row>
    <row r="567" spans="1:17" s="87" customFormat="1" ht="12.75">
      <c r="A567" s="232" t="s">
        <v>4542</v>
      </c>
      <c r="B567" s="464" t="s">
        <v>6602</v>
      </c>
      <c r="C567" s="451" t="str">
        <f>IF(A567="SERVIÇO",VLOOKUP(B567,SERVIÇOS!$A$6:$D$7645,2,0),IF(A567="INSUMO",VLOOKUP(B567,INSUMOS!$A$6:$D$6961,2,0),IF(A567="COTAÇÃO",VLOOKUP(B567,'036-20-Cotação'!$A$9:$G$529,2,0))))</f>
        <v>SERVENTE</v>
      </c>
      <c r="D567" s="452" t="str">
        <f>IF(A567="SERVIÇO",VLOOKUP(B567,SERVIÇOS!$A$6:$E$7645,5,0),IF(A567="INSUMO",VLOOKUP(B567,INSUMOS!$A$6:$E$6961,5,0),IF(A567="COTAÇÃO",VLOOKUP(B567,'036-20-Cotação'!$A$9:$H$529,8,0))))</f>
        <v>M.O</v>
      </c>
      <c r="E567" s="452" t="str">
        <f>IF(A567="SERVIÇO",VLOOKUP(B567,SERVIÇOS!$A$6:$D$7645,3,0),IF(A567="INSUMO",VLOOKUP(B567,INSUMOS!$A$6:$D$6961,3,0),IF(A567="COTAÇÃO",VLOOKUP(B567,'036-20-Cotação'!$A$9:$G$529,4,0))))</f>
        <v>H</v>
      </c>
      <c r="F567" s="462">
        <v>1.2800000000000001E-2</v>
      </c>
      <c r="G567" s="453">
        <f>IF(A567="SERVIÇO",VLOOKUP(B567,SERVIÇOS!$A$6:$D$7645,4,0),IF(A567="INSUMO",VLOOKUP(B567,INSUMOS!$A$6:$D$6961,4,0),IF(A567="COTAÇÃO",VLOOKUP(B567,'036-20-Cotação'!$A$9:$G$529,3,0))))</f>
        <v>15.637499999999999</v>
      </c>
      <c r="H567" s="463">
        <f t="shared" ref="H567" si="70">G567*F567</f>
        <v>0.20016</v>
      </c>
      <c r="J567" s="201"/>
    </row>
    <row r="568" spans="1:17" s="87" customFormat="1" ht="12.75">
      <c r="A568" s="188"/>
      <c r="B568" s="348" t="s">
        <v>123</v>
      </c>
      <c r="C568" s="695" t="s">
        <v>7338</v>
      </c>
      <c r="D568" s="696"/>
      <c r="E568" s="696"/>
      <c r="F568" s="696"/>
      <c r="G568" s="696"/>
      <c r="H568" s="697"/>
      <c r="J568" s="201"/>
    </row>
    <row r="569" spans="1:17" s="78" customFormat="1" ht="12.75">
      <c r="A569" s="188"/>
      <c r="B569" s="346"/>
      <c r="C569" s="347"/>
      <c r="D569" s="347"/>
      <c r="E569" s="347"/>
      <c r="F569" s="347"/>
      <c r="G569" s="347"/>
      <c r="H569" s="347"/>
      <c r="J569" s="79"/>
      <c r="K569" s="87"/>
      <c r="L569" s="87"/>
      <c r="M569" s="87"/>
      <c r="N569" s="87"/>
      <c r="O569" s="87"/>
      <c r="P569" s="87"/>
      <c r="Q569" s="87"/>
    </row>
    <row r="570" spans="1:17" s="78" customFormat="1" ht="63.75">
      <c r="A570" s="188"/>
      <c r="B570" s="80" t="s">
        <v>7412</v>
      </c>
      <c r="C570" s="81" t="s">
        <v>7983</v>
      </c>
      <c r="D570" s="82" t="s">
        <v>84</v>
      </c>
      <c r="E570" s="82" t="s">
        <v>172</v>
      </c>
      <c r="F570" s="83"/>
      <c r="G570" s="84"/>
      <c r="H570" s="85">
        <f>SUM(H571:H585)</f>
        <v>486.51503869512067</v>
      </c>
      <c r="J570" s="201" t="s">
        <v>7982</v>
      </c>
      <c r="K570" s="87"/>
      <c r="L570" s="87"/>
      <c r="M570" s="87"/>
      <c r="N570" s="87"/>
      <c r="O570" s="87"/>
      <c r="P570" s="87"/>
      <c r="Q570" s="87"/>
    </row>
    <row r="571" spans="1:17" s="87" customFormat="1" ht="25.5">
      <c r="A571" s="232" t="s">
        <v>4542</v>
      </c>
      <c r="B571" s="464" t="s">
        <v>9091</v>
      </c>
      <c r="C571" s="451" t="str">
        <f>IF(A571="SERVIÇO",VLOOKUP(B571,SERVIÇOS!$A$6:$D$7645,2,0),IF(A571="INSUMO",VLOOKUP(B571,INSUMOS!$A$6:$D$6961,2,0),IF(A571="COTAÇÃO",VLOOKUP(B571,'036-20-Cotação'!$A$9:$G$529,2,0))))</f>
        <v>CARREGADEIRA DE PNEUS COM CAPACIDADE DE 1,53 M³ - 106 KW</v>
      </c>
      <c r="D571" s="452" t="str">
        <f>IF(A571="SERVIÇO",VLOOKUP(B571,SERVIÇOS!$A$6:$E$7645,5,0),IF(A571="INSUMO",VLOOKUP(B571,INSUMOS!$A$6:$E$6961,5,0),IF(A571="COTAÇÃO",VLOOKUP(B571,'036-20-Cotação'!$A$9:$H$529,8,0))))</f>
        <v>EQUIP.</v>
      </c>
      <c r="E571" s="452" t="str">
        <f>IF(A571="SERVIÇO",VLOOKUP(B571,SERVIÇOS!$A$6:$D$7645,3,0),IF(A571="INSUMO",VLOOKUP(B571,INSUMOS!$A$6:$D$6961,3,0),IF(A571="COTAÇÃO",VLOOKUP(B571,'036-20-Cotação'!$A$9:$G$529,4,0))))</f>
        <v>CHP</v>
      </c>
      <c r="F571" s="462">
        <f>0.89/33.2</f>
        <v>2.6807228915662649E-2</v>
      </c>
      <c r="G571" s="453">
        <f>IF(A571="SERVIÇO",VLOOKUP(B571,SERVIÇOS!$A$6:$D$7645,4,0),IF(A571="INSUMO",VLOOKUP(B571,INSUMOS!$A$6:$D$6961,4,0),IF(A571="COTAÇÃO",VLOOKUP(B571,'036-20-Cotação'!$A$9:$G$529,3,0))))</f>
        <v>105.7415</v>
      </c>
      <c r="H571" s="463">
        <f t="shared" ref="H571:H582" si="71">G571*F571</f>
        <v>2.834636596385542</v>
      </c>
      <c r="J571" s="201"/>
    </row>
    <row r="572" spans="1:17" s="87" customFormat="1" ht="25.5">
      <c r="A572" s="232" t="s">
        <v>4542</v>
      </c>
      <c r="B572" s="464" t="s">
        <v>9793</v>
      </c>
      <c r="C572" s="451" t="str">
        <f>IF(A572="SERVIÇO",VLOOKUP(B572,SERVIÇOS!$A$6:$D$7645,2,0),IF(A572="INSUMO",VLOOKUP(B572,INSUMOS!$A$6:$D$6961,2,0),IF(A572="COTAÇÃO",VLOOKUP(B572,'036-20-Cotação'!$A$9:$G$529,2,0))))</f>
        <v>CARREGADEIRA DE PNEUS COM CAPACIDADE DE 1,53 M³ - 106 KW</v>
      </c>
      <c r="D572" s="452" t="str">
        <f>IF(A572="SERVIÇO",VLOOKUP(B572,SERVIÇOS!$A$6:$E$7645,5,0),IF(A572="INSUMO",VLOOKUP(B572,INSUMOS!$A$6:$E$6961,5,0),IF(A572="COTAÇÃO",VLOOKUP(B572,'036-20-Cotação'!$A$9:$H$529,8,0))))</f>
        <v>EQUIP.</v>
      </c>
      <c r="E572" s="452" t="str">
        <f>IF(A572="SERVIÇO",VLOOKUP(B572,SERVIÇOS!$A$6:$D$7645,3,0),IF(A572="INSUMO",VLOOKUP(B572,INSUMOS!$A$6:$D$6961,3,0),IF(A572="COTAÇÃO",VLOOKUP(B572,'036-20-Cotação'!$A$9:$G$529,4,0))))</f>
        <v>CHI</v>
      </c>
      <c r="F572" s="462">
        <f>0.11/33.2</f>
        <v>3.3132530120481927E-3</v>
      </c>
      <c r="G572" s="453">
        <f>IF(A572="SERVIÇO",VLOOKUP(B572,SERVIÇOS!$A$6:$D$7645,4,0),IF(A572="INSUMO",VLOOKUP(B572,INSUMOS!$A$6:$D$6961,4,0),IF(A572="COTAÇÃO",VLOOKUP(B572,'036-20-Cotação'!$A$9:$G$529,3,0))))</f>
        <v>51.259700000000002</v>
      </c>
      <c r="H572" s="463">
        <f t="shared" ref="H572" si="72">G572*F572</f>
        <v>0.16983635542168676</v>
      </c>
      <c r="J572" s="201"/>
    </row>
    <row r="573" spans="1:17" s="87" customFormat="1" ht="25.5">
      <c r="A573" s="232" t="s">
        <v>4542</v>
      </c>
      <c r="B573" s="464" t="s">
        <v>9100</v>
      </c>
      <c r="C573" s="451" t="str">
        <f>IF(A573="SERVIÇO",VLOOKUP(B573,SERVIÇOS!$A$6:$D$7645,2,0),IF(A573="INSUMO",VLOOKUP(B573,INSUMOS!$A$6:$D$6961,2,0),IF(A573="COTAÇÃO",VLOOKUP(B573,'036-20-Cotação'!$A$9:$G$529,2,0))))</f>
        <v>CENTRAL DE CONCRETO COM CAPACIDADE DE 40 M³/H - DOSADORA FIXA</v>
      </c>
      <c r="D573" s="452" t="str">
        <f>IF(A573="SERVIÇO",VLOOKUP(B573,SERVIÇOS!$A$6:$E$7645,5,0),IF(A573="INSUMO",VLOOKUP(B573,INSUMOS!$A$6:$E$6961,5,0),IF(A573="COTAÇÃO",VLOOKUP(B573,'036-20-Cotação'!$A$9:$H$529,8,0))))</f>
        <v>EQUIP.</v>
      </c>
      <c r="E573" s="452" t="str">
        <f>IF(A573="SERVIÇO",VLOOKUP(B573,SERVIÇOS!$A$6:$D$7645,3,0),IF(A573="INSUMO",VLOOKUP(B573,INSUMOS!$A$6:$D$6961,3,0),IF(A573="COTAÇÃO",VLOOKUP(B573,'036-20-Cotação'!$A$9:$G$529,4,0))))</f>
        <v>CHP</v>
      </c>
      <c r="F573" s="462">
        <f>1/33.2</f>
        <v>3.012048192771084E-2</v>
      </c>
      <c r="G573" s="453">
        <f>IF(A573="SERVIÇO",VLOOKUP(B573,SERVIÇOS!$A$6:$D$7645,4,0),IF(A573="INSUMO",VLOOKUP(B573,INSUMOS!$A$6:$D$6961,4,0),IF(A573="COTAÇÃO",VLOOKUP(B573,'036-20-Cotação'!$A$9:$G$529,3,0))))</f>
        <v>61.144599999999997</v>
      </c>
      <c r="H573" s="463">
        <f t="shared" si="71"/>
        <v>1.8417048192771082</v>
      </c>
      <c r="J573" s="201"/>
    </row>
    <row r="574" spans="1:17" s="87" customFormat="1" ht="12.75">
      <c r="A574" s="232" t="s">
        <v>4542</v>
      </c>
      <c r="B574" s="464" t="s">
        <v>9327</v>
      </c>
      <c r="C574" s="451" t="str">
        <f>IF(A574="SERVIÇO",VLOOKUP(B574,SERVIÇOS!$A$6:$D$7645,2,0),IF(A574="INSUMO",VLOOKUP(B574,INSUMOS!$A$6:$D$6961,2,0),IF(A574="COTAÇÃO",VLOOKUP(B574,'036-20-Cotação'!$A$9:$G$529,2,0))))</f>
        <v>GRUPO GERADOR - 36/40 KVA</v>
      </c>
      <c r="D574" s="452" t="str">
        <f>IF(A574="SERVIÇO",VLOOKUP(B574,SERVIÇOS!$A$6:$E$7645,5,0),IF(A574="INSUMO",VLOOKUP(B574,INSUMOS!$A$6:$E$6961,5,0),IF(A574="COTAÇÃO",VLOOKUP(B574,'036-20-Cotação'!$A$9:$H$529,8,0))))</f>
        <v>EQUIP.</v>
      </c>
      <c r="E574" s="452" t="str">
        <f>IF(A574="SERVIÇO",VLOOKUP(B574,SERVIÇOS!$A$6:$D$7645,3,0),IF(A574="INSUMO",VLOOKUP(B574,INSUMOS!$A$6:$D$6961,3,0),IF(A574="COTAÇÃO",VLOOKUP(B574,'036-20-Cotação'!$A$9:$G$529,4,0))))</f>
        <v>CHP</v>
      </c>
      <c r="F574" s="462">
        <f t="shared" ref="F574:F575" si="73">1/33.2</f>
        <v>3.012048192771084E-2</v>
      </c>
      <c r="G574" s="453">
        <f>IF(A574="SERVIÇO",VLOOKUP(B574,SERVIÇOS!$A$6:$D$7645,4,0),IF(A574="INSUMO",VLOOKUP(B574,INSUMOS!$A$6:$D$6961,4,0),IF(A574="COTAÇÃO",VLOOKUP(B574,'036-20-Cotação'!$A$9:$G$529,3,0))))</f>
        <v>24.178100000000001</v>
      </c>
      <c r="H574" s="463">
        <f t="shared" si="71"/>
        <v>0.72825602409638546</v>
      </c>
      <c r="J574" s="201"/>
    </row>
    <row r="575" spans="1:17" s="87" customFormat="1" ht="12.75">
      <c r="A575" s="232" t="s">
        <v>4542</v>
      </c>
      <c r="B575" s="531" t="s">
        <v>6602</v>
      </c>
      <c r="C575" s="451" t="str">
        <f>IF(A575="SERVIÇO",VLOOKUP(B575,SERVIÇOS!$A$6:$D$7645,2,0),IF(A575="INSUMO",VLOOKUP(B575,INSUMOS!$A$6:$D$6961,2,0),IF(A575="COTAÇÃO",VLOOKUP(B575,'036-20-Cotação'!$A$9:$G$529,2,0))))</f>
        <v>SERVENTE</v>
      </c>
      <c r="D575" s="452" t="str">
        <f>IF(A575="SERVIÇO",VLOOKUP(B575,SERVIÇOS!$A$6:$E$7645,5,0),IF(A575="INSUMO",VLOOKUP(B575,INSUMOS!$A$6:$E$6961,5,0),IF(A575="COTAÇÃO",VLOOKUP(B575,'036-20-Cotação'!$A$9:$H$529,8,0))))</f>
        <v>M.O</v>
      </c>
      <c r="E575" s="452" t="str">
        <f>IF(A575="SERVIÇO",VLOOKUP(B575,SERVIÇOS!$A$6:$D$7645,3,0),IF(A575="INSUMO",VLOOKUP(B575,INSUMOS!$A$6:$D$6961,3,0),IF(A575="COTAÇÃO",VLOOKUP(B575,'036-20-Cotação'!$A$9:$G$529,4,0))))</f>
        <v>H</v>
      </c>
      <c r="F575" s="462">
        <f t="shared" si="73"/>
        <v>3.012048192771084E-2</v>
      </c>
      <c r="G575" s="453">
        <f>IF(A575="SERVIÇO",VLOOKUP(B575,SERVIÇOS!$A$6:$D$7645,4,0),IF(A575="INSUMO",VLOOKUP(B575,INSUMOS!$A$6:$D$6961,4,0),IF(A575="COTAÇÃO",VLOOKUP(B575,'036-20-Cotação'!$A$9:$G$529,3,0))))</f>
        <v>15.637499999999999</v>
      </c>
      <c r="H575" s="463">
        <f t="shared" si="71"/>
        <v>0.47100903614457823</v>
      </c>
      <c r="J575" s="201"/>
    </row>
    <row r="576" spans="1:17" s="87" customFormat="1" ht="25.5">
      <c r="A576" s="232" t="s">
        <v>4544</v>
      </c>
      <c r="B576" s="464" t="s">
        <v>7977</v>
      </c>
      <c r="C576" s="451" t="str">
        <f>IF(A576="SERVIÇO",VLOOKUP(B576,SERVIÇOS!$A$6:$D$7645,2,0),IF(A576="INSUMO",VLOOKUP(B576,INSUMOS!$A$6:$D$6961,2,0),IF(A576="COTAÇÃO",VLOOKUP(B576,'036-20-Cotação'!$A$9:$G$529,2,0))))</f>
        <v>ADITIVO PLASTIFICANTE E RETARDADOR TIPO PLASTIMENT OU SIMILAR</v>
      </c>
      <c r="D576" s="452" t="str">
        <f>IF(A576="SERVIÇO",VLOOKUP(B576,SERVIÇOS!$A$6:$E$7645,5,0),IF(A576="INSUMO",VLOOKUP(B576,INSUMOS!$A$6:$E$6961,5,0),IF(A576="COTAÇÃO",VLOOKUP(B576,'036-20-Cotação'!$A$9:$H$529,8,0))))</f>
        <v>MAT.</v>
      </c>
      <c r="E576" s="452" t="str">
        <f>IF(A576="SERVIÇO",VLOOKUP(B576,SERVIÇOS!$A$6:$D$7645,3,0),IF(A576="INSUMO",VLOOKUP(B576,INSUMOS!$A$6:$D$6961,3,0),IF(A576="COTAÇÃO",VLOOKUP(B576,'036-20-Cotação'!$A$9:$G$529,4,0))))</f>
        <v>KG</v>
      </c>
      <c r="F576" s="462">
        <v>2.10371</v>
      </c>
      <c r="G576" s="453">
        <f>IF(A576="SERVIÇO",VLOOKUP(B576,SERVIÇOS!$A$6:$D$7645,4,0),IF(A576="INSUMO",VLOOKUP(B576,INSUMOS!$A$6:$D$6961,4,0),IF(A576="COTAÇÃO",VLOOKUP(B576,'036-20-Cotação'!$A$9:$G$529,3,0))))</f>
        <v>5.0128000000000004</v>
      </c>
      <c r="H576" s="463">
        <f t="shared" si="71"/>
        <v>10.545477488000001</v>
      </c>
      <c r="J576" s="201"/>
    </row>
    <row r="577" spans="1:17" s="87" customFormat="1" ht="12.75">
      <c r="A577" s="232" t="s">
        <v>4544</v>
      </c>
      <c r="B577" s="464" t="s">
        <v>7978</v>
      </c>
      <c r="C577" s="451" t="str">
        <f>IF(A577="SERVIÇO",VLOOKUP(B577,SERVIÇOS!$A$6:$D$7645,2,0),IF(A577="INSUMO",VLOOKUP(B577,INSUMOS!$A$6:$D$6961,2,0),IF(A577="COTAÇÃO",VLOOKUP(B577,'036-20-Cotação'!$A$9:$G$529,2,0))))</f>
        <v>AREIA MÉDIA LAVADA</v>
      </c>
      <c r="D577" s="452" t="str">
        <f>IF(A577="SERVIÇO",VLOOKUP(B577,SERVIÇOS!$A$6:$E$7645,5,0),IF(A577="INSUMO",VLOOKUP(B577,INSUMOS!$A$6:$E$6961,5,0),IF(A577="COTAÇÃO",VLOOKUP(B577,'036-20-Cotação'!$A$9:$H$529,8,0))))</f>
        <v>MAT.</v>
      </c>
      <c r="E577" s="452" t="str">
        <f>IF(A577="SERVIÇO",VLOOKUP(B577,SERVIÇOS!$A$6:$D$7645,3,0),IF(A577="INSUMO",VLOOKUP(B577,INSUMOS!$A$6:$D$6961,3,0),IF(A577="COTAÇÃO",VLOOKUP(B577,'036-20-Cotação'!$A$9:$G$529,4,0))))</f>
        <v>M³</v>
      </c>
      <c r="F577" s="462">
        <v>0.52256000000000002</v>
      </c>
      <c r="G577" s="453">
        <f>IF(A577="SERVIÇO",VLOOKUP(B577,SERVIÇOS!$A$6:$D$7645,4,0),IF(A577="INSUMO",VLOOKUP(B577,INSUMOS!$A$6:$D$6961,4,0),IF(A577="COTAÇÃO",VLOOKUP(B577,'036-20-Cotação'!$A$9:$G$529,3,0))))</f>
        <v>130.20490000000001</v>
      </c>
      <c r="H577" s="463">
        <f t="shared" si="71"/>
        <v>68.039872544000005</v>
      </c>
      <c r="J577" s="201"/>
    </row>
    <row r="578" spans="1:17" s="87" customFormat="1" ht="12.75">
      <c r="A578" s="232" t="s">
        <v>4544</v>
      </c>
      <c r="B578" s="531" t="s">
        <v>7979</v>
      </c>
      <c r="C578" s="451" t="str">
        <f>IF(A578="SERVIÇO",VLOOKUP(B578,SERVIÇOS!$A$6:$D$7645,2,0),IF(A578="INSUMO",VLOOKUP(B578,INSUMOS!$A$6:$D$6961,2,0),IF(A578="COTAÇÃO",VLOOKUP(B578,'036-20-Cotação'!$A$9:$G$529,2,0))))</f>
        <v>BRITA 1</v>
      </c>
      <c r="D578" s="452" t="str">
        <f>IF(A578="SERVIÇO",VLOOKUP(B578,SERVIÇOS!$A$6:$E$7645,5,0),IF(A578="INSUMO",VLOOKUP(B578,INSUMOS!$A$6:$E$6961,5,0),IF(A578="COTAÇÃO",VLOOKUP(B578,'036-20-Cotação'!$A$9:$H$529,8,0))))</f>
        <v>MAT.</v>
      </c>
      <c r="E578" s="452" t="str">
        <f>IF(A578="SERVIÇO",VLOOKUP(B578,SERVIÇOS!$A$6:$D$7645,3,0),IF(A578="INSUMO",VLOOKUP(B578,INSUMOS!$A$6:$D$6961,3,0),IF(A578="COTAÇÃO",VLOOKUP(B578,'036-20-Cotação'!$A$9:$G$529,4,0))))</f>
        <v>M³</v>
      </c>
      <c r="F578" s="462">
        <v>0.68813000000000002</v>
      </c>
      <c r="G578" s="453">
        <f>IF(A578="SERVIÇO",VLOOKUP(B578,SERVIÇOS!$A$6:$D$7645,4,0),IF(A578="INSUMO",VLOOKUP(B578,INSUMOS!$A$6:$D$6961,4,0),IF(A578="COTAÇÃO",VLOOKUP(B578,'036-20-Cotação'!$A$9:$G$529,3,0))))</f>
        <v>90.977500000000006</v>
      </c>
      <c r="H578" s="463">
        <f t="shared" ref="H578:H580" si="74">G578*F578</f>
        <v>62.604347075000007</v>
      </c>
      <c r="J578" s="201"/>
    </row>
    <row r="579" spans="1:17" s="87" customFormat="1" ht="12.75">
      <c r="A579" s="232" t="s">
        <v>4544</v>
      </c>
      <c r="B579" s="464" t="s">
        <v>7980</v>
      </c>
      <c r="C579" s="451" t="str">
        <f>IF(A579="SERVIÇO",VLOOKUP(B579,SERVIÇOS!$A$6:$D$7645,2,0),IF(A579="INSUMO",VLOOKUP(B579,INSUMOS!$A$6:$D$6961,2,0),IF(A579="COTAÇÃO",VLOOKUP(B579,'036-20-Cotação'!$A$9:$G$529,2,0))))</f>
        <v>CIMENTO PORTLAND CP II - 32 A GRANEL</v>
      </c>
      <c r="D579" s="452" t="str">
        <f>IF(A579="SERVIÇO",VLOOKUP(B579,SERVIÇOS!$A$6:$E$7645,5,0),IF(A579="INSUMO",VLOOKUP(B579,INSUMOS!$A$6:$E$6961,5,0),IF(A579="COTAÇÃO",VLOOKUP(B579,'036-20-Cotação'!$A$9:$H$529,8,0))))</f>
        <v>MAT.</v>
      </c>
      <c r="E579" s="452" t="str">
        <f>IF(A579="SERVIÇO",VLOOKUP(B579,SERVIÇOS!$A$6:$D$7645,3,0),IF(A579="INSUMO",VLOOKUP(B579,INSUMOS!$A$6:$D$6961,3,0),IF(A579="COTAÇÃO",VLOOKUP(B579,'036-20-Cotação'!$A$9:$G$529,4,0))))</f>
        <v>KG</v>
      </c>
      <c r="F579" s="462">
        <v>525.92636999999991</v>
      </c>
      <c r="G579" s="453">
        <f>IF(A579="SERVIÇO",VLOOKUP(B579,SERVIÇOS!$A$6:$D$7645,4,0),IF(A579="INSUMO",VLOOKUP(B579,INSUMOS!$A$6:$D$6961,4,0),IF(A579="COTAÇÃO",VLOOKUP(B579,'036-20-Cotação'!$A$9:$G$529,3,0))))</f>
        <v>0.33289999999999997</v>
      </c>
      <c r="H579" s="463">
        <f t="shared" si="74"/>
        <v>175.08088857299995</v>
      </c>
      <c r="J579" s="201"/>
    </row>
    <row r="580" spans="1:17" s="87" customFormat="1" ht="25.5">
      <c r="A580" s="232" t="s">
        <v>4542</v>
      </c>
      <c r="B580" s="464" t="s">
        <v>13206</v>
      </c>
      <c r="C580" s="451" t="str">
        <f>'036-20-CCA''s'!$C$281</f>
        <v>TEMPO FIXO - CAMINHÃO CARROCERIA 15 T - CARGA E DESCARGA MANUAIS</v>
      </c>
      <c r="D580" s="452" t="str">
        <f>'036-20-CCA''s'!$D$281</f>
        <v>SER.CG</v>
      </c>
      <c r="E580" s="452" t="str">
        <f>'036-20-CCA''s'!$E$281</f>
        <v>T</v>
      </c>
      <c r="F580" s="462">
        <v>2.0999999999999999E-3</v>
      </c>
      <c r="G580" s="453">
        <f>'036-20-CCA''s'!$H$281</f>
        <v>20.925562080536913</v>
      </c>
      <c r="H580" s="463">
        <f t="shared" si="74"/>
        <v>4.3943680369127512E-2</v>
      </c>
      <c r="J580" s="201"/>
    </row>
    <row r="581" spans="1:17" s="87" customFormat="1" ht="25.5">
      <c r="A581" s="232" t="s">
        <v>4542</v>
      </c>
      <c r="B581" s="464" t="s">
        <v>13226</v>
      </c>
      <c r="C581" s="451" t="str">
        <f>'036-20-CCA''s'!$C$298</f>
        <v>TEMPO FIXO - CAMINHÃO BASCULANTE 10 M3 - CARGA MONOBRA E DESCARGA</v>
      </c>
      <c r="D581" s="452" t="str">
        <f>'036-20-CCA''s'!$D$298</f>
        <v>SER.CG</v>
      </c>
      <c r="E581" s="452" t="str">
        <f>'036-20-CCA''s'!$E$298</f>
        <v>T</v>
      </c>
      <c r="F581" s="462">
        <v>2.599958</v>
      </c>
      <c r="G581" s="453">
        <f>'036-20-CCA''s'!$H$298</f>
        <v>0.93386493946512461</v>
      </c>
      <c r="H581" s="463">
        <f t="shared" si="71"/>
        <v>2.4280096202818666</v>
      </c>
      <c r="J581" s="201"/>
    </row>
    <row r="582" spans="1:17" s="87" customFormat="1" ht="25.5">
      <c r="A582" s="232" t="s">
        <v>4542</v>
      </c>
      <c r="B582" s="464" t="s">
        <v>13229</v>
      </c>
      <c r="C582" s="451" t="str">
        <f>'036-20-CCA''s'!$C$309</f>
        <v>TEMPO FIXO - CAMINHÃO SILO 30 M3 - CARGA MONOBRA E DESCARGA</v>
      </c>
      <c r="D582" s="452" t="str">
        <f>'036-20-CCA''s'!$D$309</f>
        <v>SER.CG</v>
      </c>
      <c r="E582" s="452" t="str">
        <f>'036-20-CCA''s'!$E$309</f>
        <v>T</v>
      </c>
      <c r="F582" s="462">
        <v>0.52592000000000005</v>
      </c>
      <c r="G582" s="453">
        <f>'036-20-CCA''s'!$H$309</f>
        <v>9.7229390934844204</v>
      </c>
      <c r="H582" s="463">
        <f t="shared" si="71"/>
        <v>5.1134881280453266</v>
      </c>
      <c r="J582" s="201"/>
    </row>
    <row r="583" spans="1:17" s="87" customFormat="1" ht="12.75">
      <c r="A583" s="232" t="s">
        <v>4544</v>
      </c>
      <c r="B583" s="464" t="s">
        <v>10356</v>
      </c>
      <c r="C583" s="451" t="str">
        <f>IF(A583="SERVIÇO",VLOOKUP(B583,SERVIÇOS!$A$6:$D$7645,2,0),IF(A583="INSUMO",VLOOKUP(B583,INSUMOS!$A$6:$D$6961,2,0),IF(A583="COTAÇÃO",VLOOKUP(B583,'036-20-Cotação'!$A$9:$G$529,2,0))))</f>
        <v>ESCÓRIA DE ACIARIA</v>
      </c>
      <c r="D583" s="452" t="str">
        <f>IF(A583="SERVIÇO",VLOOKUP(B583,SERVIÇOS!$A$6:$E$7645,5,0),IF(A583="INSUMO",VLOOKUP(B583,INSUMOS!$A$6:$E$6961,5,0),IF(A583="COTAÇÃO",VLOOKUP(B583,'036-20-Cotação'!$A$9:$H$529,8,0))))</f>
        <v>MAT.</v>
      </c>
      <c r="E583" s="452" t="str">
        <f>IF(A583="SERVIÇO",VLOOKUP(B583,SERVIÇOS!$A$6:$D$7645,3,0),IF(A583="INSUMO",VLOOKUP(B583,INSUMOS!$A$6:$D$6961,3,0),IF(A583="COTAÇÃO",VLOOKUP(B583,'036-20-Cotação'!$A$9:$G$529,4,0))))</f>
        <v>M³</v>
      </c>
      <c r="F583" s="462">
        <f>F577*0.2</f>
        <v>0.10451200000000001</v>
      </c>
      <c r="G583" s="453">
        <f>IF(A583="SERVIÇO",VLOOKUP(B583,SERVIÇOS!$A$6:$D$7645,4,0),IF(A583="INSUMO",VLOOKUP(B583,INSUMOS!$A$6:$D$6961,4,0),IF(A583="COTAÇÃO",VLOOKUP(B583,'036-20-Cotação'!$A$9:$G$529,3,0))))</f>
        <v>19.171500000000002</v>
      </c>
      <c r="H583" s="463">
        <f t="shared" ref="H583" si="75">G583*F583</f>
        <v>2.0036518080000003</v>
      </c>
      <c r="J583" s="201" t="s">
        <v>7984</v>
      </c>
    </row>
    <row r="584" spans="1:17" s="87" customFormat="1" ht="25.5">
      <c r="A584" s="232" t="s">
        <v>12</v>
      </c>
      <c r="B584" s="464" t="s">
        <v>7985</v>
      </c>
      <c r="C584" s="451" t="str">
        <f>IF(A584="SERVIÇO",VLOOKUP(B584,SERVIÇOS!$A$6:$D$7645,2,0),IF(A584="INSUMO",VLOOKUP(B584,INSUMOS!$A$6:$D$6961,2,0),IF(A584="COTAÇÃO",VLOOKUP(B584,'036-20-Cotação'!$A$9:$G$529,2,0))))</f>
        <v>ADITIVO CRISTALIZANTE XYPEX ADMIX</v>
      </c>
      <c r="D584" s="452" t="str">
        <f>IF(A584="SERVIÇO",VLOOKUP(B584,SERVIÇOS!$A$6:$E$7645,5,0),IF(A584="INSUMO",VLOOKUP(B584,INSUMOS!$A$6:$E$6961,5,0),IF(A584="COTAÇÃO",VLOOKUP(B584,'036-20-Cotação'!$A$9:$H$529,8,0))))</f>
        <v>MAT.</v>
      </c>
      <c r="E584" s="452" t="str">
        <f>IF(A584="SERVIÇO",VLOOKUP(B584,SERVIÇOS!$A$6:$D$7645,3,0),IF(A584="INSUMO",VLOOKUP(B584,INSUMOS!$A$6:$D$6961,3,0),IF(A584="COTAÇÃO",VLOOKUP(B584,'036-20-Cotação'!$A$9:$G$529,4,0))))</f>
        <v>KG</v>
      </c>
      <c r="F584" s="462">
        <f>F579*0.01</f>
        <v>5.2592636999999991</v>
      </c>
      <c r="G584" s="453">
        <f>IF(A584="SERVIÇO",VLOOKUP(B584,SERVIÇOS!$A$6:$D$7645,4,0),IF(A584="INSUMO",VLOOKUP(B584,INSUMOS!$A$6:$D$6961,4,0),IF(A584="COTAÇÃO",VLOOKUP(B584,'036-20-Cotação'!$A$9:$G$529,3,0))))</f>
        <v>26.817867479643418</v>
      </c>
      <c r="H584" s="463">
        <f t="shared" ref="H584" si="76">G584*F584</f>
        <v>141.0422369470991</v>
      </c>
      <c r="J584" s="201" t="s">
        <v>7987</v>
      </c>
    </row>
    <row r="585" spans="1:17" s="87" customFormat="1" ht="25.5">
      <c r="A585" s="232" t="s">
        <v>4544</v>
      </c>
      <c r="B585" s="464" t="s">
        <v>11216</v>
      </c>
      <c r="C585" s="451" t="str">
        <f>IF(A585="SERVIÇO",VLOOKUP(B585,SERVIÇOS!$A$6:$D$7645,2,0),IF(A585="INSUMO",VLOOKUP(B585,INSUMOS!$A$6:$D$6961,2,0),IF(A585="COTAÇÃO",VLOOKUP(B585,'036-20-Cotação'!$A$9:$G$529,2,0))))</f>
        <v>FIBRA DE POLIPROPILENO - C = 12 MM E D = 18 µM</v>
      </c>
      <c r="D585" s="452" t="str">
        <f>IF(A585="SERVIÇO",VLOOKUP(B585,SERVIÇOS!$A$6:$E$7645,5,0),IF(A585="INSUMO",VLOOKUP(B585,INSUMOS!$A$6:$E$6961,5,0),IF(A585="COTAÇÃO",VLOOKUP(B585,'036-20-Cotação'!$A$9:$H$529,8,0))))</f>
        <v>MAT.</v>
      </c>
      <c r="E585" s="452" t="str">
        <f>IF(A585="SERVIÇO",VLOOKUP(B585,SERVIÇOS!$A$6:$D$7645,3,0),IF(A585="INSUMO",VLOOKUP(B585,INSUMOS!$A$6:$D$6961,3,0),IF(A585="COTAÇÃO",VLOOKUP(B585,'036-20-Cotação'!$A$9:$G$529,4,0))))</f>
        <v>KG</v>
      </c>
      <c r="F585" s="462">
        <v>0.8</v>
      </c>
      <c r="G585" s="453">
        <f>IF(A585="SERVIÇO",VLOOKUP(B585,SERVIÇOS!$A$6:$D$7645,4,0),IF(A585="INSUMO",VLOOKUP(B585,INSUMOS!$A$6:$D$6961,4,0),IF(A585="COTAÇÃO",VLOOKUP(B585,'036-20-Cotação'!$A$9:$G$529,3,0))))</f>
        <v>16.959599999999998</v>
      </c>
      <c r="H585" s="463">
        <f t="shared" ref="H585" si="77">G585*F585</f>
        <v>13.567679999999999</v>
      </c>
      <c r="J585" s="201" t="s">
        <v>7988</v>
      </c>
    </row>
    <row r="586" spans="1:17" s="87" customFormat="1" ht="12.75">
      <c r="A586" s="188"/>
      <c r="B586" s="348" t="s">
        <v>123</v>
      </c>
      <c r="C586" s="695" t="s">
        <v>8039</v>
      </c>
      <c r="D586" s="696"/>
      <c r="E586" s="696"/>
      <c r="F586" s="696"/>
      <c r="G586" s="696"/>
      <c r="H586" s="697"/>
      <c r="J586" s="201"/>
    </row>
    <row r="587" spans="1:17" s="78" customFormat="1" ht="12.75">
      <c r="A587" s="188"/>
      <c r="B587" s="346"/>
      <c r="C587" s="347"/>
      <c r="D587" s="347"/>
      <c r="E587" s="347"/>
      <c r="F587" s="347"/>
      <c r="G587" s="347"/>
      <c r="H587" s="347"/>
      <c r="J587" s="79"/>
      <c r="K587" s="87"/>
      <c r="L587" s="87"/>
      <c r="M587" s="87"/>
      <c r="N587" s="87"/>
      <c r="O587" s="87"/>
      <c r="P587" s="87"/>
      <c r="Q587" s="87"/>
    </row>
    <row r="588" spans="1:17" s="78" customFormat="1" ht="51">
      <c r="A588" s="188"/>
      <c r="B588" s="80" t="s">
        <v>7413</v>
      </c>
      <c r="C588" s="81" t="s">
        <v>8003</v>
      </c>
      <c r="D588" s="82" t="s">
        <v>84</v>
      </c>
      <c r="E588" s="82" t="s">
        <v>5</v>
      </c>
      <c r="F588" s="83"/>
      <c r="G588" s="84"/>
      <c r="H588" s="85">
        <f>SUM(H589:H603)</f>
        <v>178.13565698542146</v>
      </c>
      <c r="J588" s="201" t="s">
        <v>7993</v>
      </c>
      <c r="K588" s="87"/>
      <c r="L588" s="87"/>
      <c r="M588" s="87"/>
      <c r="N588" s="87"/>
      <c r="O588" s="87"/>
      <c r="P588" s="87"/>
      <c r="Q588" s="87"/>
    </row>
    <row r="589" spans="1:17" s="87" customFormat="1" ht="38.25">
      <c r="A589" s="232" t="s">
        <v>4542</v>
      </c>
      <c r="B589" s="464" t="s">
        <v>9142</v>
      </c>
      <c r="C589" s="451" t="str">
        <f>IF(A589="SERVIÇO",VLOOKUP(B589,SERVIÇOS!$A$6:$D$7645,2,0),IF(A589="INSUMO",VLOOKUP(B589,INSUMOS!$A$6:$D$6961,2,0),IF(A589="COTAÇÃO",VLOOKUP(B589,'036-20-Cotação'!$A$9:$G$529,2,0))))</f>
        <v>BOMBA DE INJEÇÃO DE ARGAMASSA E NATA COM CAPACIDADE DE 50 L/MIN E MISTURADOR COM TAMBOR DE 150 L - 12,5 KW</v>
      </c>
      <c r="D589" s="452" t="str">
        <f>IF(A589="SERVIÇO",VLOOKUP(B589,SERVIÇOS!$A$6:$E$7645,5,0),IF(A589="INSUMO",VLOOKUP(B589,INSUMOS!$A$6:$E$6961,5,0),IF(A589="COTAÇÃO",VLOOKUP(B589,'036-20-Cotação'!$A$9:$H$529,8,0))))</f>
        <v>EQUIP.</v>
      </c>
      <c r="E589" s="452" t="str">
        <f>IF(A589="SERVIÇO",VLOOKUP(B589,SERVIÇOS!$A$6:$D$7645,3,0),IF(A589="INSUMO",VLOOKUP(B589,INSUMOS!$A$6:$D$6961,3,0),IF(A589="COTAÇÃO",VLOOKUP(B589,'036-20-Cotação'!$A$9:$G$529,4,0))))</f>
        <v>CHP</v>
      </c>
      <c r="F589" s="462">
        <f>1/8.3</f>
        <v>0.12048192771084336</v>
      </c>
      <c r="G589" s="453">
        <f>IF(A589="SERVIÇO",VLOOKUP(B589,SERVIÇOS!$A$6:$D$7645,4,0),IF(A589="INSUMO",VLOOKUP(B589,INSUMOS!$A$6:$D$6961,4,0),IF(A589="COTAÇÃO",VLOOKUP(B589,'036-20-Cotação'!$A$9:$G$529,3,0))))</f>
        <v>60.961599999999997</v>
      </c>
      <c r="H589" s="463">
        <f t="shared" ref="H589:H600" si="78">G589*F589</f>
        <v>7.3447710843373484</v>
      </c>
      <c r="J589" s="201"/>
    </row>
    <row r="590" spans="1:17" s="87" customFormat="1" ht="38.25">
      <c r="A590" s="232" t="s">
        <v>4542</v>
      </c>
      <c r="B590" s="464" t="s">
        <v>9274</v>
      </c>
      <c r="C590" s="451" t="str">
        <f>IF(A590="SERVIÇO",VLOOKUP(B590,SERVIÇOS!$A$6:$D$7645,2,0),IF(A590="INSUMO",VLOOKUP(B590,INSUMOS!$A$6:$D$6961,2,0),IF(A590="COTAÇÃO",VLOOKUP(B590,'036-20-Cotação'!$A$9:$G$529,2,0))))</f>
        <v>CONJUNTO BOMBA E MACACO HIDRÁULICO PARA PROTENSÃO COM CAPACIDADE DE 1.150 KN</v>
      </c>
      <c r="D590" s="452" t="str">
        <f>IF(A590="SERVIÇO",VLOOKUP(B590,SERVIÇOS!$A$6:$E$7645,5,0),IF(A590="INSUMO",VLOOKUP(B590,INSUMOS!$A$6:$E$6961,5,0),IF(A590="COTAÇÃO",VLOOKUP(B590,'036-20-Cotação'!$A$9:$H$529,8,0))))</f>
        <v>EQUIP.</v>
      </c>
      <c r="E590" s="452" t="str">
        <f>IF(A590="SERVIÇO",VLOOKUP(B590,SERVIÇOS!$A$6:$D$7645,3,0),IF(A590="INSUMO",VLOOKUP(B590,INSUMOS!$A$6:$D$6961,3,0),IF(A590="COTAÇÃO",VLOOKUP(B590,'036-20-Cotação'!$A$9:$G$529,4,0))))</f>
        <v>CHP</v>
      </c>
      <c r="F590" s="462">
        <f t="shared" ref="F590:F592" si="79">1/8.3</f>
        <v>0.12048192771084336</v>
      </c>
      <c r="G590" s="453">
        <f>IF(A590="SERVIÇO",VLOOKUP(B590,SERVIÇOS!$A$6:$D$7645,4,0),IF(A590="INSUMO",VLOOKUP(B590,INSUMOS!$A$6:$D$6961,4,0),IF(A590="COTAÇÃO",VLOOKUP(B590,'036-20-Cotação'!$A$9:$G$529,3,0))))</f>
        <v>37.373800000000003</v>
      </c>
      <c r="H590" s="463">
        <f t="shared" si="78"/>
        <v>4.5028674698795177</v>
      </c>
      <c r="J590" s="201"/>
    </row>
    <row r="591" spans="1:17" s="87" customFormat="1" ht="12.75">
      <c r="A591" s="232" t="s">
        <v>4542</v>
      </c>
      <c r="B591" s="531" t="s">
        <v>8833</v>
      </c>
      <c r="C591" s="451" t="str">
        <f>IF(A591="SERVIÇO",VLOOKUP(B591,SERVIÇOS!$A$6:$D$7645,2,0),IF(A591="INSUMO",VLOOKUP(B591,INSUMOS!$A$6:$D$6961,2,0),IF(A591="COTAÇÃO",VLOOKUP(B591,'036-20-Cotação'!$A$9:$G$529,2,0))))</f>
        <v>GRUPO GERADOR - 13/14 KVA</v>
      </c>
      <c r="D591" s="452" t="str">
        <f>IF(A591="SERVIÇO",VLOOKUP(B591,SERVIÇOS!$A$6:$E$7645,5,0),IF(A591="INSUMO",VLOOKUP(B591,INSUMOS!$A$6:$E$6961,5,0),IF(A591="COTAÇÃO",VLOOKUP(B591,'036-20-Cotação'!$A$9:$H$529,8,0))))</f>
        <v>EQUIP.</v>
      </c>
      <c r="E591" s="452" t="str">
        <f>IF(A591="SERVIÇO",VLOOKUP(B591,SERVIÇOS!$A$6:$D$7645,3,0),IF(A591="INSUMO",VLOOKUP(B591,INSUMOS!$A$6:$D$6961,3,0),IF(A591="COTAÇÃO",VLOOKUP(B591,'036-20-Cotação'!$A$9:$G$529,4,0))))</f>
        <v>CHP</v>
      </c>
      <c r="F591" s="462">
        <f t="shared" si="79"/>
        <v>0.12048192771084336</v>
      </c>
      <c r="G591" s="453">
        <f>IF(A591="SERVIÇO",VLOOKUP(B591,SERVIÇOS!$A$6:$D$7645,4,0),IF(A591="INSUMO",VLOOKUP(B591,INSUMOS!$A$6:$D$6961,4,0),IF(A591="COTAÇÃO",VLOOKUP(B591,'036-20-Cotação'!$A$9:$G$529,3,0))))</f>
        <v>9.6905000000000001</v>
      </c>
      <c r="H591" s="463">
        <f t="shared" si="78"/>
        <v>1.1675301204819275</v>
      </c>
      <c r="J591" s="201"/>
    </row>
    <row r="592" spans="1:17" s="87" customFormat="1" ht="12.75">
      <c r="A592" s="232" t="s">
        <v>4542</v>
      </c>
      <c r="B592" s="464" t="s">
        <v>7390</v>
      </c>
      <c r="C592" s="451" t="str">
        <f>IF(A592="SERVIÇO",VLOOKUP(B592,SERVIÇOS!$A$6:$D$7645,2,0),IF(A592="INSUMO",VLOOKUP(B592,INSUMOS!$A$6:$D$6961,2,0),IF(A592="COTAÇÃO",VLOOKUP(B592,'036-20-Cotação'!$A$9:$G$529,2,0))))</f>
        <v>ARMADOR</v>
      </c>
      <c r="D592" s="452" t="str">
        <f>IF(A592="SERVIÇO",VLOOKUP(B592,SERVIÇOS!$A$6:$E$7645,5,0),IF(A592="INSUMO",VLOOKUP(B592,INSUMOS!$A$6:$E$6961,5,0),IF(A592="COTAÇÃO",VLOOKUP(B592,'036-20-Cotação'!$A$9:$H$529,8,0))))</f>
        <v>M.O</v>
      </c>
      <c r="E592" s="452" t="str">
        <f>IF(A592="SERVIÇO",VLOOKUP(B592,SERVIÇOS!$A$6:$D$7645,3,0),IF(A592="INSUMO",VLOOKUP(B592,INSUMOS!$A$6:$D$6961,3,0),IF(A592="COTAÇÃO",VLOOKUP(B592,'036-20-Cotação'!$A$9:$G$529,4,0))))</f>
        <v>H</v>
      </c>
      <c r="F592" s="462">
        <f t="shared" si="79"/>
        <v>0.12048192771084336</v>
      </c>
      <c r="G592" s="453">
        <f>IF(A592="SERVIÇO",VLOOKUP(B592,SERVIÇOS!$A$6:$D$7645,4,0),IF(A592="INSUMO",VLOOKUP(B592,INSUMOS!$A$6:$D$6961,4,0),IF(A592="COTAÇÃO",VLOOKUP(B592,'036-20-Cotação'!$A$9:$G$529,3,0))))</f>
        <v>21.6645</v>
      </c>
      <c r="H592" s="463">
        <f t="shared" si="78"/>
        <v>2.6101807228915659</v>
      </c>
      <c r="J592" s="201"/>
    </row>
    <row r="593" spans="1:17" s="87" customFormat="1" ht="12.75">
      <c r="A593" s="232" t="s">
        <v>4542</v>
      </c>
      <c r="B593" s="464" t="s">
        <v>6602</v>
      </c>
      <c r="C593" s="451" t="str">
        <f>IF(A593="SERVIÇO",VLOOKUP(B593,SERVIÇOS!$A$6:$D$7645,2,0),IF(A593="INSUMO",VLOOKUP(B593,INSUMOS!$A$6:$D$6961,2,0),IF(A593="COTAÇÃO",VLOOKUP(B593,'036-20-Cotação'!$A$9:$G$529,2,0))))</f>
        <v>SERVENTE</v>
      </c>
      <c r="D593" s="452" t="str">
        <f>IF(A593="SERVIÇO",VLOOKUP(B593,SERVIÇOS!$A$6:$E$7645,5,0),IF(A593="INSUMO",VLOOKUP(B593,INSUMOS!$A$6:$E$6961,5,0),IF(A593="COTAÇÃO",VLOOKUP(B593,'036-20-Cotação'!$A$9:$H$529,8,0))))</f>
        <v>M.O</v>
      </c>
      <c r="E593" s="452" t="str">
        <f>IF(A593="SERVIÇO",VLOOKUP(B593,SERVIÇOS!$A$6:$D$7645,3,0),IF(A593="INSUMO",VLOOKUP(B593,INSUMOS!$A$6:$D$6961,3,0),IF(A593="COTAÇÃO",VLOOKUP(B593,'036-20-Cotação'!$A$9:$G$529,4,0))))</f>
        <v>H</v>
      </c>
      <c r="F593" s="462">
        <f>2/8.3</f>
        <v>0.24096385542168672</v>
      </c>
      <c r="G593" s="453">
        <f>IF(A593="SERVIÇO",VLOOKUP(B593,SERVIÇOS!$A$6:$D$7645,4,0),IF(A593="INSUMO",VLOOKUP(B593,INSUMOS!$A$6:$D$6961,4,0),IF(A593="COTAÇÃO",VLOOKUP(B593,'036-20-Cotação'!$A$9:$G$529,3,0))))</f>
        <v>15.637499999999999</v>
      </c>
      <c r="H593" s="463">
        <f t="shared" si="78"/>
        <v>3.7680722891566258</v>
      </c>
      <c r="J593" s="201"/>
    </row>
    <row r="594" spans="1:17" s="87" customFormat="1" ht="12.75">
      <c r="A594" s="232" t="s">
        <v>4544</v>
      </c>
      <c r="B594" s="464" t="s">
        <v>7995</v>
      </c>
      <c r="C594" s="451" t="str">
        <f>IF(A594="SERVIÇO",VLOOKUP(B594,SERVIÇOS!$A$6:$D$7645,2,0),IF(A594="INSUMO",VLOOKUP(B594,INSUMOS!$A$6:$D$6961,2,0),IF(A594="COTAÇÃO",VLOOKUP(B594,'036-20-Cotação'!$A$9:$G$529,2,0))))</f>
        <v>BAINHA METÁLICA - D = 40 MM</v>
      </c>
      <c r="D594" s="452" t="str">
        <f>IF(A594="SERVIÇO",VLOOKUP(B594,SERVIÇOS!$A$6:$E$7645,5,0),IF(A594="INSUMO",VLOOKUP(B594,INSUMOS!$A$6:$E$6961,5,0),IF(A594="COTAÇÃO",VLOOKUP(B594,'036-20-Cotação'!$A$9:$H$529,8,0))))</f>
        <v>MAT.</v>
      </c>
      <c r="E594" s="452" t="str">
        <f>IF(A594="SERVIÇO",VLOOKUP(B594,SERVIÇOS!$A$6:$D$7645,3,0),IF(A594="INSUMO",VLOOKUP(B594,INSUMOS!$A$6:$D$6961,3,0),IF(A594="COTAÇÃO",VLOOKUP(B594,'036-20-Cotação'!$A$9:$G$529,4,0))))</f>
        <v>M</v>
      </c>
      <c r="F594" s="462">
        <v>0.5</v>
      </c>
      <c r="G594" s="453">
        <f>IF(A594="SERVIÇO",VLOOKUP(B594,SERVIÇOS!$A$6:$D$7645,4,0),IF(A594="INSUMO",VLOOKUP(B594,INSUMOS!$A$6:$D$6961,4,0),IF(A594="COTAÇÃO",VLOOKUP(B594,'036-20-Cotação'!$A$9:$G$529,3,0))))</f>
        <v>16.379899999999999</v>
      </c>
      <c r="H594" s="463">
        <f t="shared" si="78"/>
        <v>8.1899499999999996</v>
      </c>
      <c r="J594" s="201"/>
    </row>
    <row r="595" spans="1:17" s="87" customFormat="1" ht="12.75">
      <c r="A595" s="232" t="s">
        <v>4544</v>
      </c>
      <c r="B595" s="464" t="s">
        <v>7350</v>
      </c>
      <c r="C595" s="451" t="str">
        <f>IF(A595="SERVIÇO",VLOOKUP(B595,SERVIÇOS!$A$6:$D$7645,2,0),IF(A595="INSUMO",VLOOKUP(B595,INSUMOS!$A$6:$D$6961,2,0),IF(A595="COTAÇÃO",VLOOKUP(B595,'036-20-Cotação'!$A$9:$G$529,2,0))))</f>
        <v>CIMENTO PORTLAND CP II - 32</v>
      </c>
      <c r="D595" s="452" t="str">
        <f>IF(A595="SERVIÇO",VLOOKUP(B595,SERVIÇOS!$A$6:$E$7645,5,0),IF(A595="INSUMO",VLOOKUP(B595,INSUMOS!$A$6:$E$6961,5,0),IF(A595="COTAÇÃO",VLOOKUP(B595,'036-20-Cotação'!$A$9:$H$529,8,0))))</f>
        <v>MAT.</v>
      </c>
      <c r="E595" s="452" t="str">
        <f>IF(A595="SERVIÇO",VLOOKUP(B595,SERVIÇOS!$A$6:$D$7645,3,0),IF(A595="INSUMO",VLOOKUP(B595,INSUMOS!$A$6:$D$6961,3,0),IF(A595="COTAÇÃO",VLOOKUP(B595,'036-20-Cotação'!$A$9:$G$529,4,0))))</f>
        <v>KG</v>
      </c>
      <c r="F595" s="462">
        <v>65</v>
      </c>
      <c r="G595" s="453">
        <f>IF(A595="SERVIÇO",VLOOKUP(B595,SERVIÇOS!$A$6:$D$7645,4,0),IF(A595="INSUMO",VLOOKUP(B595,INSUMOS!$A$6:$D$6961,4,0),IF(A595="COTAÇÃO",VLOOKUP(B595,'036-20-Cotação'!$A$9:$G$529,3,0))))</f>
        <v>0.44140000000000001</v>
      </c>
      <c r="H595" s="463">
        <f t="shared" si="78"/>
        <v>28.691000000000003</v>
      </c>
      <c r="J595" s="201"/>
    </row>
    <row r="596" spans="1:17" s="87" customFormat="1" ht="25.5">
      <c r="A596" s="232" t="s">
        <v>4544</v>
      </c>
      <c r="B596" s="531" t="s">
        <v>7996</v>
      </c>
      <c r="C596" s="451" t="str">
        <f>IF(A596="SERVIÇO",VLOOKUP(B596,SERVIÇOS!$A$6:$D$7645,2,0),IF(A596="INSUMO",VLOOKUP(B596,INSUMOS!$A$6:$D$6961,2,0),IF(A596="COTAÇÃO",VLOOKUP(B596,'036-20-Cotação'!$A$9:$G$529,2,0))))</f>
        <v>ESPAÇADOR PARA TIRANTE DE BARRA DE AÇO - D = 32 MM</v>
      </c>
      <c r="D596" s="452" t="str">
        <f>IF(A596="SERVIÇO",VLOOKUP(B596,SERVIÇOS!$A$6:$E$7645,5,0),IF(A596="INSUMO",VLOOKUP(B596,INSUMOS!$A$6:$E$6961,5,0),IF(A596="COTAÇÃO",VLOOKUP(B596,'036-20-Cotação'!$A$9:$H$529,8,0))))</f>
        <v>MAT.</v>
      </c>
      <c r="E596" s="452" t="str">
        <f>IF(A596="SERVIÇO",VLOOKUP(B596,SERVIÇOS!$A$6:$D$7645,3,0),IF(A596="INSUMO",VLOOKUP(B596,INSUMOS!$A$6:$D$6961,3,0),IF(A596="COTAÇÃO",VLOOKUP(B596,'036-20-Cotação'!$A$9:$G$529,4,0))))</f>
        <v>UN</v>
      </c>
      <c r="F596" s="462">
        <v>0.5</v>
      </c>
      <c r="G596" s="453">
        <f>IF(A596="SERVIÇO",VLOOKUP(B596,SERVIÇOS!$A$6:$D$7645,4,0),IF(A596="INSUMO",VLOOKUP(B596,INSUMOS!$A$6:$D$6961,4,0),IF(A596="COTAÇÃO",VLOOKUP(B596,'036-20-Cotação'!$A$9:$G$529,3,0))))</f>
        <v>6.1284999999999998</v>
      </c>
      <c r="H596" s="463">
        <f t="shared" si="78"/>
        <v>3.0642499999999999</v>
      </c>
      <c r="J596" s="201"/>
    </row>
    <row r="597" spans="1:17" s="87" customFormat="1" ht="25.5">
      <c r="A597" s="232" t="s">
        <v>4544</v>
      </c>
      <c r="B597" s="464" t="s">
        <v>7997</v>
      </c>
      <c r="C597" s="451" t="str">
        <f>IF(A597="SERVIÇO",VLOOKUP(B597,SERVIÇOS!$A$6:$D$7645,2,0),IF(A597="INSUMO",VLOOKUP(B597,INSUMOS!$A$6:$D$6961,2,0),IF(A597="COTAÇÃO",VLOOKUP(B597,'036-20-Cotação'!$A$9:$G$529,2,0))))</f>
        <v>LUVA DE EMENDA PARA TIRANTES - D = 63 X 180 MM</v>
      </c>
      <c r="D597" s="452" t="str">
        <f>IF(A597="SERVIÇO",VLOOKUP(B597,SERVIÇOS!$A$6:$E$7645,5,0),IF(A597="INSUMO",VLOOKUP(B597,INSUMOS!$A$6:$E$6961,5,0),IF(A597="COTAÇÃO",VLOOKUP(B597,'036-20-Cotação'!$A$9:$H$529,8,0))))</f>
        <v>MAT.</v>
      </c>
      <c r="E597" s="452" t="str">
        <f>IF(A597="SERVIÇO",VLOOKUP(B597,SERVIÇOS!$A$6:$D$7645,3,0),IF(A597="INSUMO",VLOOKUP(B597,INSUMOS!$A$6:$D$6961,3,0),IF(A597="COTAÇÃO",VLOOKUP(B597,'036-20-Cotação'!$A$9:$G$529,4,0))))</f>
        <v>UN</v>
      </c>
      <c r="F597" s="462">
        <v>8.3299999999999999E-2</v>
      </c>
      <c r="G597" s="453">
        <f>IF(A597="SERVIÇO",VLOOKUP(B597,SERVIÇOS!$A$6:$D$7645,4,0),IF(A597="INSUMO",VLOOKUP(B597,INSUMOS!$A$6:$D$6961,4,0),IF(A597="COTAÇÃO",VLOOKUP(B597,'036-20-Cotação'!$A$9:$G$529,3,0))))</f>
        <v>69.097700000000003</v>
      </c>
      <c r="H597" s="463">
        <f t="shared" si="78"/>
        <v>5.75583841</v>
      </c>
      <c r="J597" s="201"/>
    </row>
    <row r="598" spans="1:17" s="87" customFormat="1" ht="25.5">
      <c r="A598" s="232" t="s">
        <v>4544</v>
      </c>
      <c r="B598" s="464" t="s">
        <v>7998</v>
      </c>
      <c r="C598" s="451" t="str">
        <f>IF(A598="SERVIÇO",VLOOKUP(B598,SERVIÇOS!$A$6:$D$7645,2,0),IF(A598="INSUMO",VLOOKUP(B598,INSUMOS!$A$6:$D$6961,2,0),IF(A598="COTAÇÃO",VLOOKUP(B598,'036-20-Cotação'!$A$9:$G$529,2,0))))</f>
        <v>TIRANTE DE AÇO ST 95/105 DE CAPACIDADE DE 39 T - D = 32 MM</v>
      </c>
      <c r="D598" s="452" t="str">
        <f>IF(A598="SERVIÇO",VLOOKUP(B598,SERVIÇOS!$A$6:$E$7645,5,0),IF(A598="INSUMO",VLOOKUP(B598,INSUMOS!$A$6:$E$6961,5,0),IF(A598="COTAÇÃO",VLOOKUP(B598,'036-20-Cotação'!$A$9:$H$529,8,0))))</f>
        <v>MAT.</v>
      </c>
      <c r="E598" s="452" t="str">
        <f>IF(A598="SERVIÇO",VLOOKUP(B598,SERVIÇOS!$A$6:$D$7645,3,0),IF(A598="INSUMO",VLOOKUP(B598,INSUMOS!$A$6:$D$6961,3,0),IF(A598="COTAÇÃO",VLOOKUP(B598,'036-20-Cotação'!$A$9:$G$529,4,0))))</f>
        <v>M</v>
      </c>
      <c r="F598" s="462">
        <v>1.05</v>
      </c>
      <c r="G598" s="453">
        <f>IF(A598="SERVIÇO",VLOOKUP(B598,SERVIÇOS!$A$6:$D$7645,4,0),IF(A598="INSUMO",VLOOKUP(B598,INSUMOS!$A$6:$D$6961,4,0),IF(A598="COTAÇÃO",VLOOKUP(B598,'036-20-Cotação'!$A$9:$G$529,3,0))))</f>
        <v>81.427099999999996</v>
      </c>
      <c r="H598" s="463">
        <f t="shared" si="78"/>
        <v>85.498454999999993</v>
      </c>
      <c r="J598" s="201"/>
    </row>
    <row r="599" spans="1:17" s="87" customFormat="1" ht="12.75">
      <c r="A599" s="232" t="s">
        <v>4544</v>
      </c>
      <c r="B599" s="464" t="s">
        <v>7999</v>
      </c>
      <c r="C599" s="451" t="str">
        <f>IF(A599="SERVIÇO",VLOOKUP(B599,SERVIÇOS!$A$6:$D$7645,2,0),IF(A599="INSUMO",VLOOKUP(B599,INSUMOS!$A$6:$D$6961,2,0),IF(A599="COTAÇÃO",VLOOKUP(B599,'036-20-Cotação'!$A$9:$G$529,2,0))))</f>
        <v>TUBO PE 80 PN6 - D = 40 MM</v>
      </c>
      <c r="D599" s="452" t="str">
        <f>IF(A599="SERVIÇO",VLOOKUP(B599,SERVIÇOS!$A$6:$E$7645,5,0),IF(A599="INSUMO",VLOOKUP(B599,INSUMOS!$A$6:$E$6961,5,0),IF(A599="COTAÇÃO",VLOOKUP(B599,'036-20-Cotação'!$A$9:$H$529,8,0))))</f>
        <v>MAT.</v>
      </c>
      <c r="E599" s="452" t="str">
        <f>IF(A599="SERVIÇO",VLOOKUP(B599,SERVIÇOS!$A$6:$D$7645,3,0),IF(A599="INSUMO",VLOOKUP(B599,INSUMOS!$A$6:$D$6961,3,0),IF(A599="COTAÇÃO",VLOOKUP(B599,'036-20-Cotação'!$A$9:$G$529,4,0))))</f>
        <v>M</v>
      </c>
      <c r="F599" s="462">
        <v>0.5</v>
      </c>
      <c r="G599" s="453">
        <f>IF(A599="SERVIÇO",VLOOKUP(B599,SERVIÇOS!$A$6:$D$7645,4,0),IF(A599="INSUMO",VLOOKUP(B599,INSUMOS!$A$6:$D$6961,4,0),IF(A599="COTAÇÃO",VLOOKUP(B599,'036-20-Cotação'!$A$9:$G$529,3,0))))</f>
        <v>5.4230999999999998</v>
      </c>
      <c r="H599" s="463">
        <f t="shared" si="78"/>
        <v>2.7115499999999999</v>
      </c>
      <c r="J599" s="201"/>
    </row>
    <row r="600" spans="1:17" s="87" customFormat="1" ht="12.75">
      <c r="A600" s="232" t="s">
        <v>4544</v>
      </c>
      <c r="B600" s="464" t="s">
        <v>8000</v>
      </c>
      <c r="C600" s="451" t="str">
        <f>IF(A600="SERVIÇO",VLOOKUP(B600,SERVIÇOS!$A$6:$D$7645,2,0),IF(A600="INSUMO",VLOOKUP(B600,INSUMOS!$A$6:$D$6961,2,0),IF(A600="COTAÇÃO",VLOOKUP(B600,'036-20-Cotação'!$A$9:$G$529,2,0))))</f>
        <v>TUBO PE 80 PN8 - D = 110 MM</v>
      </c>
      <c r="D600" s="452" t="str">
        <f>IF(A600="SERVIÇO",VLOOKUP(B600,SERVIÇOS!$A$6:$E$7645,5,0),IF(A600="INSUMO",VLOOKUP(B600,INSUMOS!$A$6:$E$6961,5,0),IF(A600="COTAÇÃO",VLOOKUP(B600,'036-20-Cotação'!$A$9:$H$529,8,0))))</f>
        <v>MAT.</v>
      </c>
      <c r="E600" s="452" t="str">
        <f>IF(A600="SERVIÇO",VLOOKUP(B600,SERVIÇOS!$A$6:$D$7645,3,0),IF(A600="INSUMO",VLOOKUP(B600,INSUMOS!$A$6:$D$6961,3,0),IF(A600="COTAÇÃO",VLOOKUP(B600,'036-20-Cotação'!$A$9:$G$529,4,0))))</f>
        <v>M</v>
      </c>
      <c r="F600" s="462">
        <v>0.5</v>
      </c>
      <c r="G600" s="453">
        <f>IF(A600="SERVIÇO",VLOOKUP(B600,SERVIÇOS!$A$6:$D$7645,4,0),IF(A600="INSUMO",VLOOKUP(B600,INSUMOS!$A$6:$D$6961,4,0),IF(A600="COTAÇÃO",VLOOKUP(B600,'036-20-Cotação'!$A$9:$G$529,3,0))))</f>
        <v>37.279699999999998</v>
      </c>
      <c r="H600" s="463">
        <f t="shared" si="78"/>
        <v>18.639849999999999</v>
      </c>
      <c r="J600" s="201"/>
    </row>
    <row r="601" spans="1:17" s="87" customFormat="1" ht="12.75">
      <c r="A601" s="232" t="s">
        <v>4544</v>
      </c>
      <c r="B601" s="464" t="s">
        <v>8001</v>
      </c>
      <c r="C601" s="451" t="str">
        <f>IF(A601="SERVIÇO",VLOOKUP(B601,SERVIÇOS!$A$6:$D$7645,2,0),IF(A601="INSUMO",VLOOKUP(B601,INSUMOS!$A$6:$D$6961,2,0),IF(A601="COTAÇÃO",VLOOKUP(B601,'036-20-Cotação'!$A$9:$G$529,2,0))))</f>
        <v>TUBO PE 80 PN8 - D = 20 MM</v>
      </c>
      <c r="D601" s="452" t="str">
        <f>IF(A601="SERVIÇO",VLOOKUP(B601,SERVIÇOS!$A$6:$E$7645,5,0),IF(A601="INSUMO",VLOOKUP(B601,INSUMOS!$A$6:$E$6961,5,0),IF(A601="COTAÇÃO",VLOOKUP(B601,'036-20-Cotação'!$A$9:$H$529,8,0))))</f>
        <v>MAT.</v>
      </c>
      <c r="E601" s="452" t="str">
        <f>IF(A601="SERVIÇO",VLOOKUP(B601,SERVIÇOS!$A$6:$D$7645,3,0),IF(A601="INSUMO",VLOOKUP(B601,INSUMOS!$A$6:$D$6961,3,0),IF(A601="COTAÇÃO",VLOOKUP(B601,'036-20-Cotação'!$A$9:$G$529,4,0))))</f>
        <v>M</v>
      </c>
      <c r="F601" s="462">
        <v>1</v>
      </c>
      <c r="G601" s="453">
        <f>IF(A601="SERVIÇO",VLOOKUP(B601,SERVIÇOS!$A$6:$D$7645,4,0),IF(A601="INSUMO",VLOOKUP(B601,INSUMOS!$A$6:$D$6961,4,0),IF(A601="COTAÇÃO",VLOOKUP(B601,'036-20-Cotação'!$A$9:$G$529,3,0))))</f>
        <v>3.0356000000000001</v>
      </c>
      <c r="H601" s="463">
        <f t="shared" ref="H601:H603" si="80">G601*F601</f>
        <v>3.0356000000000001</v>
      </c>
      <c r="J601" s="201"/>
    </row>
    <row r="602" spans="1:17" s="87" customFormat="1" ht="12.75">
      <c r="A602" s="232" t="s">
        <v>4544</v>
      </c>
      <c r="B602" s="464" t="s">
        <v>8002</v>
      </c>
      <c r="C602" s="451" t="str">
        <f>IF(A602="SERVIÇO",VLOOKUP(B602,SERVIÇOS!$A$6:$D$7645,2,0),IF(A602="INSUMO",VLOOKUP(B602,INSUMOS!$A$6:$D$6961,2,0),IF(A602="COTAÇÃO",VLOOKUP(B602,'036-20-Cotação'!$A$9:$G$529,2,0))))</f>
        <v>VÁLVULA MANCHETE - D = 20 MM</v>
      </c>
      <c r="D602" s="452" t="str">
        <f>IF(A602="SERVIÇO",VLOOKUP(B602,SERVIÇOS!$A$6:$E$7645,5,0),IF(A602="INSUMO",VLOOKUP(B602,INSUMOS!$A$6:$E$6961,5,0),IF(A602="COTAÇÃO",VLOOKUP(B602,'036-20-Cotação'!$A$9:$H$529,8,0))))</f>
        <v>MAT.</v>
      </c>
      <c r="E602" s="452" t="str">
        <f>IF(A602="SERVIÇO",VLOOKUP(B602,SERVIÇOS!$A$6:$D$7645,3,0),IF(A602="INSUMO",VLOOKUP(B602,INSUMOS!$A$6:$D$6961,3,0),IF(A602="COTAÇÃO",VLOOKUP(B602,'036-20-Cotação'!$A$9:$G$529,4,0))))</f>
        <v>UN</v>
      </c>
      <c r="F602" s="462">
        <v>1</v>
      </c>
      <c r="G602" s="453">
        <f>IF(A602="SERVIÇO",VLOOKUP(B602,SERVIÇOS!$A$6:$D$7645,4,0),IF(A602="INSUMO",VLOOKUP(B602,INSUMOS!$A$6:$D$6961,4,0),IF(A602="COTAÇÃO",VLOOKUP(B602,'036-20-Cotação'!$A$9:$G$529,3,0))))</f>
        <v>1.6242000000000001</v>
      </c>
      <c r="H602" s="463">
        <f t="shared" si="80"/>
        <v>1.6242000000000001</v>
      </c>
      <c r="J602" s="201"/>
    </row>
    <row r="603" spans="1:17" s="87" customFormat="1" ht="25.5">
      <c r="A603" s="232" t="s">
        <v>4542</v>
      </c>
      <c r="B603" s="464" t="s">
        <v>13206</v>
      </c>
      <c r="C603" s="451" t="str">
        <f>'036-20-CCA''s'!$C$281</f>
        <v>TEMPO FIXO - CAMINHÃO CARROCERIA 15 T - CARGA E DESCARGA MANUAIS</v>
      </c>
      <c r="D603" s="452" t="str">
        <f>'036-20-CCA''s'!$D$281</f>
        <v>SER.CG</v>
      </c>
      <c r="E603" s="452" t="str">
        <f>'036-20-CCA''s'!$E$281</f>
        <v>T</v>
      </c>
      <c r="F603" s="462">
        <v>7.3190000000000005E-2</v>
      </c>
      <c r="G603" s="453">
        <f>'036-20-CCA''s'!$H$281</f>
        <v>20.925562080536913</v>
      </c>
      <c r="H603" s="463">
        <f t="shared" si="80"/>
        <v>1.5315418886744967</v>
      </c>
      <c r="J603" s="201"/>
    </row>
    <row r="604" spans="1:17" s="87" customFormat="1" ht="12.75">
      <c r="A604" s="188"/>
      <c r="B604" s="348" t="s">
        <v>123</v>
      </c>
      <c r="C604" s="695" t="s">
        <v>7994</v>
      </c>
      <c r="D604" s="696"/>
      <c r="E604" s="696"/>
      <c r="F604" s="696"/>
      <c r="G604" s="696"/>
      <c r="H604" s="697"/>
      <c r="J604" s="201"/>
    </row>
    <row r="605" spans="1:17" s="87" customFormat="1" ht="12.75">
      <c r="A605" s="188"/>
      <c r="B605" s="346"/>
      <c r="C605" s="407"/>
      <c r="D605" s="407"/>
      <c r="E605" s="407"/>
      <c r="F605" s="407"/>
      <c r="G605" s="407"/>
      <c r="H605" s="408"/>
      <c r="J605" s="201"/>
      <c r="K605" s="78"/>
      <c r="L605" s="78"/>
      <c r="M605" s="78"/>
      <c r="N605" s="78"/>
      <c r="O605" s="78"/>
      <c r="P605" s="78"/>
      <c r="Q605" s="78"/>
    </row>
    <row r="606" spans="1:17" s="87" customFormat="1" ht="38.25">
      <c r="A606" s="188"/>
      <c r="B606" s="80" t="s">
        <v>7414</v>
      </c>
      <c r="C606" s="81" t="s">
        <v>8426</v>
      </c>
      <c r="D606" s="82" t="s">
        <v>84</v>
      </c>
      <c r="E606" s="82" t="s">
        <v>4521</v>
      </c>
      <c r="F606" s="83"/>
      <c r="G606" s="84"/>
      <c r="H606" s="85">
        <f>SUM(H607:H611)</f>
        <v>236.46809447163355</v>
      </c>
      <c r="J606" s="201" t="s">
        <v>8121</v>
      </c>
      <c r="K606" s="78"/>
      <c r="L606" s="78"/>
      <c r="M606" s="78"/>
      <c r="N606" s="78"/>
      <c r="O606" s="78"/>
      <c r="P606" s="78"/>
      <c r="Q606" s="78"/>
    </row>
    <row r="607" spans="1:17" s="87" customFormat="1" ht="25.5">
      <c r="A607" s="232" t="s">
        <v>4542</v>
      </c>
      <c r="B607" s="464" t="s">
        <v>8804</v>
      </c>
      <c r="C607" s="451" t="str">
        <f>IF(A607="SERVIÇO",VLOOKUP(B607,SERVIÇOS!$A$6:$D$7645,2,0),IF(A607="INSUMO",VLOOKUP(B607,INSUMOS!$A$6:$D$6961,2,0),IF(A607="COTAÇÃO",VLOOKUP(B607,'036-20-Cotação'!$A$9:$G$529,2,0))))</f>
        <v>GUINDASTE SOBRE RODAS COM CAPACIDADE DE 370 KN.M - 75 KW</v>
      </c>
      <c r="D607" s="452" t="str">
        <f>IF(A607="SERVIÇO",VLOOKUP(B607,SERVIÇOS!$A$6:$E$7645,5,0),IF(A607="INSUMO",VLOOKUP(B607,INSUMOS!$A$6:$E$6961,5,0),IF(A607="COTAÇÃO",VLOOKUP(B607,'036-20-Cotação'!$A$9:$H$529,8,0))))</f>
        <v>EQUIP.</v>
      </c>
      <c r="E607" s="452" t="str">
        <f>IF(A607="SERVIÇO",VLOOKUP(B607,SERVIÇOS!$A$6:$D$7645,3,0),IF(A607="INSUMO",VLOOKUP(B607,INSUMOS!$A$6:$D$6961,3,0),IF(A607="COTAÇÃO",VLOOKUP(B607,'036-20-Cotação'!$A$9:$G$529,4,0))))</f>
        <v>CHP</v>
      </c>
      <c r="F607" s="462">
        <f>0.39/1.6</f>
        <v>0.24374999999999999</v>
      </c>
      <c r="G607" s="453">
        <f>IF(A607="SERVIÇO",VLOOKUP(B607,SERVIÇOS!$A$6:$D$7645,4,0),IF(A607="INSUMO",VLOOKUP(B607,INSUMOS!$A$6:$D$6961,4,0),IF(A607="COTAÇÃO",VLOOKUP(B607,'036-20-Cotação'!$A$9:$G$529,3,0))))</f>
        <v>148.07040000000001</v>
      </c>
      <c r="H607" s="463">
        <f t="shared" ref="H607:H611" si="81">G607*F607</f>
        <v>36.09216</v>
      </c>
      <c r="J607" s="201"/>
    </row>
    <row r="608" spans="1:17" s="87" customFormat="1" ht="25.5">
      <c r="A608" s="232" t="s">
        <v>4542</v>
      </c>
      <c r="B608" s="464" t="s">
        <v>9644</v>
      </c>
      <c r="C608" s="451" t="str">
        <f>IF(A608="SERVIÇO",VLOOKUP(B608,SERVIÇOS!$A$6:$D$7645,2,0),IF(A608="INSUMO",VLOOKUP(B608,INSUMOS!$A$6:$D$6961,2,0),IF(A608="COTAÇÃO",VLOOKUP(B608,'036-20-Cotação'!$A$9:$G$529,2,0))))</f>
        <v>GUINDASTE SOBRE RODAS COM CAPACIDADE DE 370 KN.M - 75 KW</v>
      </c>
      <c r="D608" s="452" t="str">
        <f>IF(A608="SERVIÇO",VLOOKUP(B608,SERVIÇOS!$A$6:$E$7645,5,0),IF(A608="INSUMO",VLOOKUP(B608,INSUMOS!$A$6:$E$6961,5,0),IF(A608="COTAÇÃO",VLOOKUP(B608,'036-20-Cotação'!$A$9:$H$529,8,0))))</f>
        <v>EQUIP.</v>
      </c>
      <c r="E608" s="452" t="str">
        <f>IF(A608="SERVIÇO",VLOOKUP(B608,SERVIÇOS!$A$6:$D$7645,3,0),IF(A608="INSUMO",VLOOKUP(B608,INSUMOS!$A$6:$D$6961,3,0),IF(A608="COTAÇÃO",VLOOKUP(B608,'036-20-Cotação'!$A$9:$G$529,4,0))))</f>
        <v>CHI</v>
      </c>
      <c r="F608" s="462">
        <f>0.61/1.6</f>
        <v>0.38124999999999998</v>
      </c>
      <c r="G608" s="453">
        <f>IF(A608="SERVIÇO",VLOOKUP(B608,SERVIÇOS!$A$6:$D$7645,4,0),IF(A608="INSUMO",VLOOKUP(B608,INSUMOS!$A$6:$D$6961,4,0),IF(A608="COTAÇÃO",VLOOKUP(B608,'036-20-Cotação'!$A$9:$G$529,3,0))))</f>
        <v>74.887100000000004</v>
      </c>
      <c r="H608" s="463">
        <f t="shared" si="81"/>
        <v>28.550706874999999</v>
      </c>
      <c r="J608" s="201"/>
    </row>
    <row r="609" spans="1:17" s="87" customFormat="1" ht="12.75">
      <c r="A609" s="232" t="s">
        <v>4542</v>
      </c>
      <c r="B609" s="464" t="s">
        <v>6825</v>
      </c>
      <c r="C609" s="451" t="str">
        <f>IF(A609="SERVIÇO",VLOOKUP(B609,SERVIÇOS!$A$6:$D$7645,2,0),IF(A609="INSUMO",VLOOKUP(B609,INSUMOS!$A$6:$D$6961,2,0),IF(A609="COTAÇÃO",VLOOKUP(B609,'036-20-Cotação'!$A$9:$G$529,2,0))))</f>
        <v>AJUDANTE</v>
      </c>
      <c r="D609" s="452" t="str">
        <f>IF(A609="SERVIÇO",VLOOKUP(B609,SERVIÇOS!$A$6:$E$7645,5,0),IF(A609="INSUMO",VLOOKUP(B609,INSUMOS!$A$6:$E$6961,5,0),IF(A609="COTAÇÃO",VLOOKUP(B609,'036-20-Cotação'!$A$9:$H$529,8,0))))</f>
        <v>M.O</v>
      </c>
      <c r="E609" s="452" t="str">
        <f>IF(A609="SERVIÇO",VLOOKUP(B609,SERVIÇOS!$A$6:$D$7645,3,0),IF(A609="INSUMO",VLOOKUP(B609,INSUMOS!$A$6:$D$6961,3,0),IF(A609="COTAÇÃO",VLOOKUP(B609,'036-20-Cotação'!$A$9:$G$529,4,0))))</f>
        <v>H</v>
      </c>
      <c r="F609" s="462">
        <f>4/1.6</f>
        <v>2.5</v>
      </c>
      <c r="G609" s="453">
        <f>IF(A609="SERVIÇO",VLOOKUP(B609,SERVIÇOS!$A$6:$D$7645,4,0),IF(A609="INSUMO",VLOOKUP(B609,INSUMOS!$A$6:$D$6961,4,0),IF(A609="COTAÇÃO",VLOOKUP(B609,'036-20-Cotação'!$A$9:$G$529,3,0))))</f>
        <v>17.9801</v>
      </c>
      <c r="H609" s="463">
        <f t="shared" si="81"/>
        <v>44.950249999999997</v>
      </c>
      <c r="J609" s="201"/>
    </row>
    <row r="610" spans="1:17" s="87" customFormat="1" ht="12.75">
      <c r="A610" s="232" t="s">
        <v>4542</v>
      </c>
      <c r="B610" s="464" t="s">
        <v>6601</v>
      </c>
      <c r="C610" s="451" t="str">
        <f>IF(A610="SERVIÇO",VLOOKUP(B610,SERVIÇOS!$A$6:$D$7645,2,0),IF(A610="INSUMO",VLOOKUP(B610,INSUMOS!$A$6:$D$6961,2,0),IF(A610="COTAÇÃO",VLOOKUP(B610,'036-20-Cotação'!$A$9:$G$529,2,0))))</f>
        <v>MONTADOR</v>
      </c>
      <c r="D610" s="452" t="str">
        <f>IF(A610="SERVIÇO",VLOOKUP(B610,SERVIÇOS!$A$6:$E$7645,5,0),IF(A610="INSUMO",VLOOKUP(B610,INSUMOS!$A$6:$E$6961,5,0),IF(A610="COTAÇÃO",VLOOKUP(B610,'036-20-Cotação'!$A$9:$H$529,8,0))))</f>
        <v>M.O</v>
      </c>
      <c r="E610" s="452" t="str">
        <f>IF(A610="SERVIÇO",VLOOKUP(B610,SERVIÇOS!$A$6:$D$7645,3,0),IF(A610="INSUMO",VLOOKUP(B610,INSUMOS!$A$6:$D$6961,3,0),IF(A610="COTAÇÃO",VLOOKUP(B610,'036-20-Cotação'!$A$9:$G$529,4,0))))</f>
        <v>H</v>
      </c>
      <c r="F610" s="462">
        <f>1/1.6</f>
        <v>0.625</v>
      </c>
      <c r="G610" s="453">
        <f>IF(A610="SERVIÇO",VLOOKUP(B610,SERVIÇOS!$A$6:$D$7645,4,0),IF(A610="INSUMO",VLOOKUP(B610,INSUMOS!$A$6:$D$6961,4,0),IF(A610="COTAÇÃO",VLOOKUP(B610,'036-20-Cotação'!$A$9:$G$529,3,0))))</f>
        <v>23.4679</v>
      </c>
      <c r="H610" s="463">
        <f t="shared" si="81"/>
        <v>14.6674375</v>
      </c>
      <c r="J610" s="201"/>
    </row>
    <row r="611" spans="1:17" s="87" customFormat="1" ht="25.5">
      <c r="A611" s="232" t="s">
        <v>4542</v>
      </c>
      <c r="B611" s="464">
        <v>1108059</v>
      </c>
      <c r="C611" s="451" t="str">
        <f>'036-20-CCA''s'!$C$184</f>
        <v>MICROCONCRETO PARA REPAROS E GROUTEAMENTO</v>
      </c>
      <c r="D611" s="452" t="str">
        <f>'036-20-CCA''s'!$D$184</f>
        <v>SER.CG</v>
      </c>
      <c r="E611" s="452" t="str">
        <f>'036-20-CCA''s'!$E$184</f>
        <v>M3</v>
      </c>
      <c r="F611" s="462">
        <v>3.9469999999999998E-2</v>
      </c>
      <c r="G611" s="453">
        <f>'036-20-CCA''s'!$H$184</f>
        <v>2842.8563490406277</v>
      </c>
      <c r="H611" s="463">
        <f t="shared" si="81"/>
        <v>112.20754009663356</v>
      </c>
      <c r="J611" s="201"/>
    </row>
    <row r="612" spans="1:17" s="87" customFormat="1" ht="12.75">
      <c r="A612" s="188"/>
      <c r="B612" s="348" t="s">
        <v>123</v>
      </c>
      <c r="C612" s="695" t="s">
        <v>8181</v>
      </c>
      <c r="D612" s="696"/>
      <c r="E612" s="696"/>
      <c r="F612" s="696"/>
      <c r="G612" s="696"/>
      <c r="H612" s="697"/>
      <c r="J612" s="201"/>
      <c r="K612" s="78"/>
      <c r="L612" s="78"/>
      <c r="M612" s="78"/>
      <c r="N612" s="78"/>
      <c r="O612" s="78"/>
      <c r="P612" s="78"/>
      <c r="Q612" s="78"/>
    </row>
    <row r="613" spans="1:17" s="78" customFormat="1" ht="12.75">
      <c r="A613" s="188"/>
      <c r="B613" s="346"/>
      <c r="C613" s="347"/>
      <c r="D613" s="347"/>
      <c r="E613" s="347"/>
      <c r="F613" s="347"/>
      <c r="G613" s="347"/>
      <c r="H613" s="347"/>
      <c r="J613" s="79"/>
      <c r="K613" s="87"/>
      <c r="L613" s="87"/>
      <c r="M613" s="87"/>
      <c r="N613" s="87"/>
      <c r="O613" s="87"/>
      <c r="P613" s="87"/>
      <c r="Q613" s="87"/>
    </row>
    <row r="614" spans="1:17" s="78" customFormat="1" ht="25.5">
      <c r="A614" s="188"/>
      <c r="B614" s="80" t="s">
        <v>7415</v>
      </c>
      <c r="C614" s="81" t="s">
        <v>8129</v>
      </c>
      <c r="D614" s="82" t="s">
        <v>84</v>
      </c>
      <c r="E614" s="82" t="s">
        <v>4521</v>
      </c>
      <c r="F614" s="83"/>
      <c r="G614" s="84"/>
      <c r="H614" s="85">
        <f>SUM(H615:H621)</f>
        <v>411.53178618620638</v>
      </c>
      <c r="J614" s="79"/>
      <c r="K614" s="87"/>
      <c r="L614" s="87"/>
      <c r="M614" s="87"/>
      <c r="N614" s="87"/>
      <c r="O614" s="87"/>
      <c r="P614" s="87"/>
      <c r="Q614" s="87"/>
    </row>
    <row r="615" spans="1:17" s="87" customFormat="1" ht="12.75">
      <c r="A615" s="232" t="s">
        <v>4542</v>
      </c>
      <c r="B615" s="464" t="s">
        <v>9271</v>
      </c>
      <c r="C615" s="451" t="str">
        <f>IF(A615="SERVIÇO",VLOOKUP(B615,SERVIÇOS!$A$6:$D$7645,2,0),IF(A615="INSUMO",VLOOKUP(B615,INSUMOS!$A$6:$D$6961,2,0),IF(A615="COTAÇÃO",VLOOKUP(B615,'036-20-Cotação'!$A$9:$G$529,2,0))))</f>
        <v>TALHA MANUAL COM CAPACIDADE DE 3 T</v>
      </c>
      <c r="D615" s="452" t="str">
        <f>IF(A615="SERVIÇO",VLOOKUP(B615,SERVIÇOS!$A$6:$E$7645,5,0),IF(A615="INSUMO",VLOOKUP(B615,INSUMOS!$A$6:$E$6961,5,0),IF(A615="COTAÇÃO",VLOOKUP(B615,'036-20-Cotação'!$A$9:$H$529,8,0))))</f>
        <v>EQUIP.</v>
      </c>
      <c r="E615" s="452" t="str">
        <f>IF(A615="SERVIÇO",VLOOKUP(B615,SERVIÇOS!$A$6:$D$7645,3,0),IF(A615="INSUMO",VLOOKUP(B615,INSUMOS!$A$6:$D$6961,3,0),IF(A615="COTAÇÃO",VLOOKUP(B615,'036-20-Cotação'!$A$9:$G$529,4,0))))</f>
        <v>CHP</v>
      </c>
      <c r="F615" s="462">
        <v>0.3</v>
      </c>
      <c r="G615" s="453">
        <f>IF(A615="SERVIÇO",VLOOKUP(B615,SERVIÇOS!$A$6:$D$7645,4,0),IF(A615="INSUMO",VLOOKUP(B615,INSUMOS!$A$6:$D$6961,4,0),IF(A615="COTAÇÃO",VLOOKUP(B615,'036-20-Cotação'!$A$9:$G$529,3,0))))</f>
        <v>0.17349999999999999</v>
      </c>
      <c r="H615" s="463">
        <f t="shared" ref="H615:H621" si="82">G615*F615</f>
        <v>5.2049999999999992E-2</v>
      </c>
      <c r="J615" s="201"/>
    </row>
    <row r="616" spans="1:17" s="87" customFormat="1" ht="25.5">
      <c r="A616" s="232" t="s">
        <v>4542</v>
      </c>
      <c r="B616" s="464">
        <v>1108059</v>
      </c>
      <c r="C616" s="451" t="str">
        <f>'036-20-CCA''s'!$C$184</f>
        <v>MICROCONCRETO PARA REPAROS E GROUTEAMENTO</v>
      </c>
      <c r="D616" s="452" t="str">
        <f>'036-20-CCA''s'!$D$184</f>
        <v>SER.CG</v>
      </c>
      <c r="E616" s="452" t="str">
        <f>'036-20-CCA''s'!$E$184</f>
        <v>M3</v>
      </c>
      <c r="F616" s="462">
        <v>8.8919999999999989E-3</v>
      </c>
      <c r="G616" s="453">
        <f>'036-20-CCA''s'!$H$184</f>
        <v>2842.8563490406277</v>
      </c>
      <c r="H616" s="463">
        <f t="shared" si="82"/>
        <v>25.278678655669257</v>
      </c>
      <c r="J616" s="201"/>
    </row>
    <row r="617" spans="1:17" s="87" customFormat="1" ht="25.5">
      <c r="A617" s="232" t="s">
        <v>4542</v>
      </c>
      <c r="B617" s="464">
        <v>1416141</v>
      </c>
      <c r="C617" s="451" t="str">
        <f>'036-20-CCA''s'!$C$198</f>
        <v>CORTE COM MAÇARICO OXIACETILENO DE CHAPAS DE AÇO COM ESPESSURA DE 12,5 MM</v>
      </c>
      <c r="D617" s="452" t="str">
        <f>'036-20-CCA''s'!$D$198</f>
        <v>SER.CG</v>
      </c>
      <c r="E617" s="452" t="str">
        <f>'036-20-CCA''s'!$E$198</f>
        <v>M</v>
      </c>
      <c r="F617" s="462">
        <v>1.5865042900628454</v>
      </c>
      <c r="G617" s="453">
        <f>'036-20-CCA''s'!$H$198</f>
        <v>2.4360033139558235</v>
      </c>
      <c r="H617" s="463">
        <f t="shared" si="82"/>
        <v>3.8647297081982224</v>
      </c>
      <c r="J617" s="201"/>
    </row>
    <row r="618" spans="1:17" s="87" customFormat="1" ht="12.75">
      <c r="A618" s="232" t="s">
        <v>4542</v>
      </c>
      <c r="B618" s="464">
        <v>1600438</v>
      </c>
      <c r="C618" s="451" t="str">
        <f>'036-20-CCA''s'!$C$205</f>
        <v>DEMOLIÇÃO DE CONCRETO ARMADO</v>
      </c>
      <c r="D618" s="452" t="str">
        <f>'036-20-CCA''s'!$D$205</f>
        <v>SER.CG</v>
      </c>
      <c r="E618" s="452" t="str">
        <f>'036-20-CCA''s'!$E$205</f>
        <v>M3</v>
      </c>
      <c r="F618" s="462">
        <v>5.9280000000000001E-3</v>
      </c>
      <c r="G618" s="453">
        <f>'036-20-CCA''s'!$H$205</f>
        <v>483.26430692449355</v>
      </c>
      <c r="H618" s="463">
        <f t="shared" si="82"/>
        <v>2.864790811448398</v>
      </c>
      <c r="J618" s="201"/>
    </row>
    <row r="619" spans="1:17" s="87" customFormat="1" ht="89.25">
      <c r="A619" s="232" t="s">
        <v>4542</v>
      </c>
      <c r="B619" s="464" t="s">
        <v>7363</v>
      </c>
      <c r="C619" s="451" t="str">
        <f>'036-20-CCA''s'!$C$56</f>
        <v>FIXAÇÃO DE TABULEROS COM CHAPAS DE AÇO SAC-350 ENTRE MONTATES DO TRECHO ENTRE ARCOS, PARA GARANTIR A CONTINUIDADE E TRANSFERÊNCIA ESFORÇOS. INCLUSO MATERIAL, SERVIÇO DE SOLDAGEM E DETALHES DE FABRICAÇÃO/MONTAGEM. CONFORME PROJETO BÁSICO.</v>
      </c>
      <c r="D619" s="452" t="str">
        <f>'036-20-CCA''s'!$D$56</f>
        <v xml:space="preserve">SER.CG </v>
      </c>
      <c r="E619" s="452" t="str">
        <f>'036-20-CCA''s'!$E$56</f>
        <v>KG</v>
      </c>
      <c r="F619" s="462">
        <v>19.993563352051748</v>
      </c>
      <c r="G619" s="453">
        <f>'036-20-CCA''s'!$H$56</f>
        <v>10.38236425219462</v>
      </c>
      <c r="H619" s="463">
        <f t="shared" si="82"/>
        <v>207.5804574203305</v>
      </c>
      <c r="J619" s="201"/>
    </row>
    <row r="620" spans="1:17" s="87" customFormat="1" ht="25.5">
      <c r="A620" s="232" t="s">
        <v>4544</v>
      </c>
      <c r="B620" s="464" t="s">
        <v>7368</v>
      </c>
      <c r="C620" s="451" t="str">
        <f>'036-20-CCA''s'!$C$66</f>
        <v xml:space="preserve">APOIO NÁUTICO PARA A REMOÇÃO DE APARELHOS DE APOIO           </v>
      </c>
      <c r="D620" s="452" t="str">
        <f>'036-20-CCA''s'!$D$66</f>
        <v xml:space="preserve">SER.CG </v>
      </c>
      <c r="E620" s="452" t="str">
        <f>'036-20-CCA''s'!$E$66</f>
        <v>KG</v>
      </c>
      <c r="F620" s="462">
        <v>143</v>
      </c>
      <c r="G620" s="453">
        <f>'036-20-CCA''s'!$H$66</f>
        <v>0.60807136077314705</v>
      </c>
      <c r="H620" s="463">
        <f t="shared" si="82"/>
        <v>86.954204590560025</v>
      </c>
      <c r="J620" s="201"/>
    </row>
    <row r="621" spans="1:17" s="87" customFormat="1" ht="51">
      <c r="A621" s="232" t="s">
        <v>4542</v>
      </c>
      <c r="B621" s="464">
        <v>3806419</v>
      </c>
      <c r="C621" s="451" t="str">
        <f>'036-20-CCA''s'!$C$220</f>
        <v>ELEVAÇÃO DE ESTRUTURAS DE 1.470 A 1.960 KN PARA SUBSTITUIÇÃO DE APARELHO DE APOIO COM A UTILIZAÇÃO DE MACACO HIDRÁULICO</v>
      </c>
      <c r="D621" s="452" t="str">
        <f>'036-20-CCA''s'!$D$220</f>
        <v>SER.CG</v>
      </c>
      <c r="E621" s="452" t="str">
        <f>'036-20-CCA''s'!$E$220</f>
        <v>UN</v>
      </c>
      <c r="F621" s="462">
        <v>1</v>
      </c>
      <c r="G621" s="453">
        <f>'036-20-CCA''s'!$H$220</f>
        <v>84.936874999999986</v>
      </c>
      <c r="H621" s="463">
        <f t="shared" si="82"/>
        <v>84.936874999999986</v>
      </c>
      <c r="J621" s="201"/>
    </row>
    <row r="622" spans="1:17" s="87" customFormat="1" ht="12.75">
      <c r="A622" s="188"/>
      <c r="B622" s="348" t="s">
        <v>123</v>
      </c>
      <c r="C622" s="695" t="s">
        <v>8217</v>
      </c>
      <c r="D622" s="696"/>
      <c r="E622" s="696"/>
      <c r="F622" s="696"/>
      <c r="G622" s="696"/>
      <c r="H622" s="697"/>
      <c r="J622" s="201"/>
    </row>
    <row r="623" spans="1:17" s="78" customFormat="1" ht="12.75">
      <c r="A623" s="188"/>
      <c r="B623" s="346"/>
      <c r="C623" s="347"/>
      <c r="D623" s="347"/>
      <c r="E623" s="347"/>
      <c r="F623" s="347"/>
      <c r="G623" s="347"/>
      <c r="H623" s="347"/>
      <c r="J623" s="79"/>
      <c r="K623" s="87"/>
      <c r="L623" s="87"/>
      <c r="M623" s="87"/>
      <c r="N623" s="87"/>
      <c r="O623" s="87"/>
      <c r="P623" s="87"/>
      <c r="Q623" s="87"/>
    </row>
    <row r="624" spans="1:17" s="78" customFormat="1" ht="38.25">
      <c r="A624" s="188"/>
      <c r="B624" s="80" t="s">
        <v>7416</v>
      </c>
      <c r="C624" s="81" t="s">
        <v>8366</v>
      </c>
      <c r="D624" s="82" t="s">
        <v>84</v>
      </c>
      <c r="E624" s="82" t="s">
        <v>4521</v>
      </c>
      <c r="F624" s="83"/>
      <c r="G624" s="84"/>
      <c r="H624" s="85">
        <f>SUM(H625:H627)</f>
        <v>14532.625077863613</v>
      </c>
      <c r="J624" s="79"/>
      <c r="K624" s="87"/>
      <c r="L624" s="87"/>
      <c r="M624" s="87"/>
      <c r="N624" s="87"/>
      <c r="O624" s="87"/>
      <c r="P624" s="87"/>
      <c r="Q624" s="87"/>
    </row>
    <row r="625" spans="1:17" s="87" customFormat="1" ht="38.25">
      <c r="A625" s="232" t="s">
        <v>4542</v>
      </c>
      <c r="B625" s="464">
        <v>2408149</v>
      </c>
      <c r="C625" s="451" t="str">
        <f>'036-20-CCA''s'!$C$225</f>
        <v>ESTRUTURA EM CHAPA DE AÇO ASTM A36 CORTE, SOLDA E MONTAGEM - FORNECIMENTO E INSTALAÇÃO</v>
      </c>
      <c r="D625" s="452" t="str">
        <f>'036-20-CCA''s'!$D$225</f>
        <v>SER.CG</v>
      </c>
      <c r="E625" s="452" t="str">
        <f>'036-20-CCA''s'!$E$225</f>
        <v>KG</v>
      </c>
      <c r="F625" s="546">
        <v>930.4</v>
      </c>
      <c r="G625" s="453">
        <f>'036-20-CCA''s'!$H$225</f>
        <v>10.669757977994838</v>
      </c>
      <c r="H625" s="463">
        <f t="shared" ref="H625" si="83">G625*F625</f>
        <v>9927.1428227263968</v>
      </c>
      <c r="J625" s="201"/>
      <c r="K625" s="87">
        <f>15/F625</f>
        <v>1.6122098022355976E-2</v>
      </c>
    </row>
    <row r="626" spans="1:17" s="87" customFormat="1" ht="25.5">
      <c r="A626" s="232" t="s">
        <v>4542</v>
      </c>
      <c r="B626" s="464">
        <v>1408024</v>
      </c>
      <c r="C626" s="451" t="str">
        <f>'036-20-CCA''s'!$C$254</f>
        <v>PERFURAÇÃO EM CONCRETO COM COROA DIAMANTADA - D = 20 MM</v>
      </c>
      <c r="D626" s="452" t="str">
        <f>'036-20-CCA''s'!$D$254</f>
        <v>SER.CG</v>
      </c>
      <c r="E626" s="452" t="str">
        <f>'036-20-CCA''s'!$E$254</f>
        <v>M</v>
      </c>
      <c r="F626" s="546">
        <v>15.75</v>
      </c>
      <c r="G626" s="453">
        <f>'036-20-CCA''s'!$H$254</f>
        <v>108.64901454545455</v>
      </c>
      <c r="H626" s="463">
        <f t="shared" ref="H626:H627" si="84">G626*F626</f>
        <v>1711.2219790909091</v>
      </c>
      <c r="J626" s="201"/>
    </row>
    <row r="627" spans="1:17" s="87" customFormat="1" ht="38.25">
      <c r="A627" s="232" t="s">
        <v>4542</v>
      </c>
      <c r="B627" s="464" t="s">
        <v>7376</v>
      </c>
      <c r="C627" s="451" t="str">
        <f>'036-20-CCA''s'!$C$79</f>
        <v>HASTE PARA CHUMBADOR  3/4" X 260MM, COM CHUMBADOR QUÍMICO AMPOLA AQA20 - FORNECIMENTO E EXECUÇÃO</v>
      </c>
      <c r="D627" s="452" t="str">
        <f>'036-20-CCA''s'!$D$79</f>
        <v xml:space="preserve">SER.CG </v>
      </c>
      <c r="E627" s="452" t="str">
        <f>'036-20-CCA''s'!$E$79</f>
        <v xml:space="preserve">UN    </v>
      </c>
      <c r="F627" s="546">
        <v>63</v>
      </c>
      <c r="G627" s="453">
        <f>'036-20-CCA''s'!$H$79</f>
        <v>45.940639302322317</v>
      </c>
      <c r="H627" s="463">
        <f t="shared" si="84"/>
        <v>2894.260276046306</v>
      </c>
      <c r="J627" s="201"/>
    </row>
    <row r="628" spans="1:17" s="87" customFormat="1" ht="12.75">
      <c r="A628" s="188"/>
      <c r="B628" s="348" t="s">
        <v>123</v>
      </c>
      <c r="C628" s="695" t="s">
        <v>8218</v>
      </c>
      <c r="D628" s="696"/>
      <c r="E628" s="696"/>
      <c r="F628" s="696"/>
      <c r="G628" s="696"/>
      <c r="H628" s="697"/>
      <c r="J628" s="201"/>
    </row>
    <row r="629" spans="1:17" s="78" customFormat="1" ht="12.75">
      <c r="A629" s="188"/>
      <c r="B629" s="346"/>
      <c r="C629" s="347"/>
      <c r="D629" s="347"/>
      <c r="E629" s="347"/>
      <c r="F629" s="347"/>
      <c r="G629" s="347"/>
      <c r="H629" s="347"/>
      <c r="J629" s="79"/>
      <c r="K629" s="87"/>
      <c r="L629" s="87"/>
      <c r="M629" s="87"/>
      <c r="N629" s="87"/>
      <c r="O629" s="87"/>
      <c r="P629" s="87"/>
      <c r="Q629" s="87"/>
    </row>
    <row r="630" spans="1:17" s="78" customFormat="1" ht="25.5">
      <c r="A630" s="188"/>
      <c r="B630" s="80" t="s">
        <v>7417</v>
      </c>
      <c r="C630" s="81" t="s">
        <v>8437</v>
      </c>
      <c r="D630" s="82" t="s">
        <v>84</v>
      </c>
      <c r="E630" s="82" t="s">
        <v>5</v>
      </c>
      <c r="F630" s="83"/>
      <c r="G630" s="84"/>
      <c r="H630" s="85">
        <f>SUM(H631:H635)</f>
        <v>76.803875267692305</v>
      </c>
      <c r="J630" s="79" t="s">
        <v>8439</v>
      </c>
      <c r="K630" s="87"/>
      <c r="L630" s="87"/>
      <c r="M630" s="87"/>
      <c r="N630" s="87"/>
      <c r="O630" s="87"/>
      <c r="P630" s="87"/>
      <c r="Q630" s="87"/>
    </row>
    <row r="631" spans="1:17" s="87" customFormat="1" ht="25.5">
      <c r="A631" s="232" t="s">
        <v>4542</v>
      </c>
      <c r="B631" s="464" t="s">
        <v>8804</v>
      </c>
      <c r="C631" s="451" t="str">
        <f>IF(A631="SERVIÇO",VLOOKUP(B631,SERVIÇOS!$A$6:$D$7645,2,0),IF(A631="INSUMO",VLOOKUP(B631,INSUMOS!$A$6:$D$6961,2,0),IF(A631="COTAÇÃO",VLOOKUP(B631,'036-20-Cotação'!$A$9:$G$529,2,0))))</f>
        <v>GUINDASTE SOBRE RODAS COM CAPACIDADE DE 370 KN.M - 75 KW</v>
      </c>
      <c r="D631" s="452" t="str">
        <f>IF(A631="SERVIÇO",VLOOKUP(B631,SERVIÇOS!$A$6:$E$7645,5,0),IF(A631="INSUMO",VLOOKUP(B631,INSUMOS!$A$6:$E$6961,5,0),IF(A631="COTAÇÃO",VLOOKUP(B631,'036-20-Cotação'!$A$9:$H$529,8,0))))</f>
        <v>EQUIP.</v>
      </c>
      <c r="E631" s="452" t="str">
        <f>IF(A631="SERVIÇO",VLOOKUP(B631,SERVIÇOS!$A$6:$D$7645,3,0),IF(A631="INSUMO",VLOOKUP(B631,INSUMOS!$A$6:$D$6961,3,0),IF(A631="COTAÇÃO",VLOOKUP(B631,'036-20-Cotação'!$A$9:$G$529,4,0))))</f>
        <v>CHP</v>
      </c>
      <c r="F631" s="462">
        <f>0.6/3.25</f>
        <v>0.1846153846153846</v>
      </c>
      <c r="G631" s="453">
        <f>IF(A631="SERVIÇO",VLOOKUP(B631,SERVIÇOS!$A$6:$D$7645,4,0),IF(A631="INSUMO",VLOOKUP(B631,INSUMOS!$A$6:$D$6961,4,0),IF(A631="COTAÇÃO",VLOOKUP(B631,'036-20-Cotação'!$A$9:$G$529,3,0))))</f>
        <v>148.07040000000001</v>
      </c>
      <c r="H631" s="463">
        <f t="shared" ref="H631:H634" si="85">G631*F631</f>
        <v>27.336073846153845</v>
      </c>
      <c r="J631" s="201"/>
    </row>
    <row r="632" spans="1:17" s="87" customFormat="1" ht="25.5">
      <c r="A632" s="232" t="s">
        <v>4542</v>
      </c>
      <c r="B632" s="464" t="s">
        <v>9644</v>
      </c>
      <c r="C632" s="451" t="str">
        <f>IF(A632="SERVIÇO",VLOOKUP(B632,SERVIÇOS!$A$6:$D$7645,2,0),IF(A632="INSUMO",VLOOKUP(B632,INSUMOS!$A$6:$D$6961,2,0),IF(A632="COTAÇÃO",VLOOKUP(B632,'036-20-Cotação'!$A$9:$G$529,2,0))))</f>
        <v>GUINDASTE SOBRE RODAS COM CAPACIDADE DE 370 KN.M - 75 KW</v>
      </c>
      <c r="D632" s="452" t="str">
        <f>IF(A632="SERVIÇO",VLOOKUP(B632,SERVIÇOS!$A$6:$E$7645,5,0),IF(A632="INSUMO",VLOOKUP(B632,INSUMOS!$A$6:$E$6961,5,0),IF(A632="COTAÇÃO",VLOOKUP(B632,'036-20-Cotação'!$A$9:$H$529,8,0))))</f>
        <v>EQUIP.</v>
      </c>
      <c r="E632" s="452" t="str">
        <f>IF(A632="SERVIÇO",VLOOKUP(B632,SERVIÇOS!$A$6:$D$7645,3,0),IF(A632="INSUMO",VLOOKUP(B632,INSUMOS!$A$6:$D$6961,3,0),IF(A632="COTAÇÃO",VLOOKUP(B632,'036-20-Cotação'!$A$9:$G$529,4,0))))</f>
        <v>CHI</v>
      </c>
      <c r="F632" s="462">
        <f>0.4/3.25</f>
        <v>0.12307692307692308</v>
      </c>
      <c r="G632" s="453">
        <f>IF(A632="SERVIÇO",VLOOKUP(B632,SERVIÇOS!$A$6:$D$7645,4,0),IF(A632="INSUMO",VLOOKUP(B632,INSUMOS!$A$6:$D$6961,4,0),IF(A632="COTAÇÃO",VLOOKUP(B632,'036-20-Cotação'!$A$9:$G$529,3,0))))</f>
        <v>74.887100000000004</v>
      </c>
      <c r="H632" s="463">
        <f t="shared" si="85"/>
        <v>9.2168738461538471</v>
      </c>
      <c r="J632" s="201"/>
    </row>
    <row r="633" spans="1:17" s="87" customFormat="1" ht="12.75">
      <c r="A633" s="232" t="s">
        <v>4542</v>
      </c>
      <c r="B633" s="464" t="s">
        <v>6825</v>
      </c>
      <c r="C633" s="451" t="str">
        <f>IF(A633="SERVIÇO",VLOOKUP(B633,SERVIÇOS!$A$6:$D$7645,2,0),IF(A633="INSUMO",VLOOKUP(B633,INSUMOS!$A$6:$D$6961,2,0),IF(A633="COTAÇÃO",VLOOKUP(B633,'036-20-Cotação'!$A$9:$G$529,2,0))))</f>
        <v>AJUDANTE</v>
      </c>
      <c r="D633" s="452" t="str">
        <f>IF(A633="SERVIÇO",VLOOKUP(B633,SERVIÇOS!$A$6:$E$7645,5,0),IF(A633="INSUMO",VLOOKUP(B633,INSUMOS!$A$6:$E$6961,5,0),IF(A633="COTAÇÃO",VLOOKUP(B633,'036-20-Cotação'!$A$9:$H$529,8,0))))</f>
        <v>M.O</v>
      </c>
      <c r="E633" s="452" t="str">
        <f>IF(A633="SERVIÇO",VLOOKUP(B633,SERVIÇOS!$A$6:$D$7645,3,0),IF(A633="INSUMO",VLOOKUP(B633,INSUMOS!$A$6:$D$6961,3,0),IF(A633="COTAÇÃO",VLOOKUP(B633,'036-20-Cotação'!$A$9:$G$529,4,0))))</f>
        <v>H</v>
      </c>
      <c r="F633" s="462">
        <f>4/3.25</f>
        <v>1.2307692307692308</v>
      </c>
      <c r="G633" s="453">
        <f>IF(A633="SERVIÇO",VLOOKUP(B633,SERVIÇOS!$A$6:$D$7645,4,0),IF(A633="INSUMO",VLOOKUP(B633,INSUMOS!$A$6:$D$6961,4,0),IF(A633="COTAÇÃO",VLOOKUP(B633,'036-20-Cotação'!$A$9:$G$529,3,0))))</f>
        <v>17.9801</v>
      </c>
      <c r="H633" s="463">
        <f t="shared" si="85"/>
        <v>22.129353846153847</v>
      </c>
      <c r="J633" s="201"/>
    </row>
    <row r="634" spans="1:17" s="87" customFormat="1" ht="12.75">
      <c r="A634" s="232" t="s">
        <v>4542</v>
      </c>
      <c r="B634" s="531" t="s">
        <v>6601</v>
      </c>
      <c r="C634" s="451" t="str">
        <f>IF(A634="SERVIÇO",VLOOKUP(B634,SERVIÇOS!$A$6:$D$7645,2,0),IF(A634="INSUMO",VLOOKUP(B634,INSUMOS!$A$6:$D$6961,2,0),IF(A634="COTAÇÃO",VLOOKUP(B634,'036-20-Cotação'!$A$9:$G$529,2,0))))</f>
        <v>MONTADOR</v>
      </c>
      <c r="D634" s="452" t="str">
        <f>IF(A634="SERVIÇO",VLOOKUP(B634,SERVIÇOS!$A$6:$E$7645,5,0),IF(A634="INSUMO",VLOOKUP(B634,INSUMOS!$A$6:$E$6961,5,0),IF(A634="COTAÇÃO",VLOOKUP(B634,'036-20-Cotação'!$A$9:$H$529,8,0))))</f>
        <v>M.O</v>
      </c>
      <c r="E634" s="452" t="str">
        <f>IF(A634="SERVIÇO",VLOOKUP(B634,SERVIÇOS!$A$6:$D$7645,3,0),IF(A634="INSUMO",VLOOKUP(B634,INSUMOS!$A$6:$D$6961,3,0),IF(A634="COTAÇÃO",VLOOKUP(B634,'036-20-Cotação'!$A$9:$G$529,4,0))))</f>
        <v>H</v>
      </c>
      <c r="F634" s="462">
        <f>1/3.25</f>
        <v>0.30769230769230771</v>
      </c>
      <c r="G634" s="453">
        <f>IF(A634="SERVIÇO",VLOOKUP(B634,SERVIÇOS!$A$6:$D$7645,4,0),IF(A634="INSUMO",VLOOKUP(B634,INSUMOS!$A$6:$D$6961,4,0),IF(A634="COTAÇÃO",VLOOKUP(B634,'036-20-Cotação'!$A$9:$G$529,3,0))))</f>
        <v>23.4679</v>
      </c>
      <c r="H634" s="463">
        <f t="shared" si="85"/>
        <v>7.2208923076923082</v>
      </c>
      <c r="J634" s="201"/>
    </row>
    <row r="635" spans="1:17" s="87" customFormat="1" ht="12.75">
      <c r="A635" s="232" t="s">
        <v>4542</v>
      </c>
      <c r="B635" s="464"/>
      <c r="C635" s="451" t="s">
        <v>8440</v>
      </c>
      <c r="D635" s="452" t="s">
        <v>7326</v>
      </c>
      <c r="E635" s="452" t="s">
        <v>8441</v>
      </c>
      <c r="F635" s="528">
        <v>0.37140000000000001</v>
      </c>
      <c r="G635" s="453"/>
      <c r="H635" s="463">
        <f>(H633+H634)*F635</f>
        <v>10.900681421538463</v>
      </c>
      <c r="J635" s="201"/>
    </row>
    <row r="636" spans="1:17" s="87" customFormat="1" ht="12.75">
      <c r="A636" s="188"/>
      <c r="B636" s="348" t="s">
        <v>123</v>
      </c>
      <c r="C636" s="695" t="s">
        <v>8438</v>
      </c>
      <c r="D636" s="696"/>
      <c r="E636" s="696"/>
      <c r="F636" s="696"/>
      <c r="G636" s="696"/>
      <c r="H636" s="697"/>
      <c r="J636" s="201"/>
    </row>
    <row r="637" spans="1:17" s="78" customFormat="1" ht="12.75">
      <c r="A637" s="188"/>
      <c r="B637" s="346"/>
      <c r="C637" s="347"/>
      <c r="D637" s="347"/>
      <c r="E637" s="347"/>
      <c r="F637" s="347"/>
      <c r="G637" s="347"/>
      <c r="H637" s="347"/>
      <c r="J637" s="79"/>
      <c r="K637" s="87"/>
      <c r="L637" s="87"/>
      <c r="M637" s="87"/>
      <c r="N637" s="87"/>
      <c r="O637" s="87"/>
      <c r="P637" s="87"/>
      <c r="Q637" s="87"/>
    </row>
    <row r="638" spans="1:17" s="78" customFormat="1" ht="25.5">
      <c r="A638" s="188"/>
      <c r="B638" s="80" t="s">
        <v>7418</v>
      </c>
      <c r="C638" s="81" t="s">
        <v>13499</v>
      </c>
      <c r="D638" s="82" t="s">
        <v>84</v>
      </c>
      <c r="E638" s="82" t="s">
        <v>89</v>
      </c>
      <c r="F638" s="83"/>
      <c r="G638" s="84"/>
      <c r="H638" s="85">
        <f>SUM(H639:H641)</f>
        <v>16.118281828000001</v>
      </c>
      <c r="J638" s="79"/>
      <c r="K638" s="87"/>
      <c r="L638" s="87"/>
      <c r="M638" s="87"/>
      <c r="N638" s="87"/>
      <c r="O638" s="87"/>
      <c r="P638" s="87"/>
      <c r="Q638" s="87"/>
    </row>
    <row r="639" spans="1:17" s="87" customFormat="1" ht="12.75">
      <c r="A639" s="232" t="s">
        <v>4542</v>
      </c>
      <c r="B639" s="464" t="s">
        <v>6825</v>
      </c>
      <c r="C639" s="451" t="str">
        <f>IF(A639="SERVIÇO",VLOOKUP(B639,SERVIÇOS!$A$6:$D$7645,2,0),IF(A639="INSUMO",VLOOKUP(B639,INSUMOS!$A$6:$D$6961,2,0),IF(A639="COTAÇÃO",VLOOKUP(B639,'036-20-Cotação'!$A$9:$G$529,2,0))))</f>
        <v>AJUDANTE</v>
      </c>
      <c r="D639" s="452" t="str">
        <f>IF(A639="SERVIÇO",VLOOKUP(B639,SERVIÇOS!$A$6:$E$7645,5,0),IF(A639="INSUMO",VLOOKUP(B639,INSUMOS!$A$6:$E$6961,5,0),IF(A639="COTAÇÃO",VLOOKUP(B639,'036-20-Cotação'!$A$9:$H$529,8,0))))</f>
        <v>M.O</v>
      </c>
      <c r="E639" s="452" t="str">
        <f>IF(A639="SERVIÇO",VLOOKUP(B639,SERVIÇOS!$A$6:$D$7645,3,0),IF(A639="INSUMO",VLOOKUP(B639,INSUMOS!$A$6:$D$6961,3,0),IF(A639="COTAÇÃO",VLOOKUP(B639,'036-20-Cotação'!$A$9:$G$529,4,0))))</f>
        <v>H</v>
      </c>
      <c r="F639" s="462">
        <v>0.2</v>
      </c>
      <c r="G639" s="453">
        <f>IF(A639="SERVIÇO",VLOOKUP(B639,SERVIÇOS!$A$6:$D$7645,4,0),IF(A639="INSUMO",VLOOKUP(B639,INSUMOS!$A$6:$D$6961,4,0),IF(A639="COTAÇÃO",VLOOKUP(B639,'036-20-Cotação'!$A$9:$G$529,3,0))))</f>
        <v>17.9801</v>
      </c>
      <c r="H639" s="463">
        <f t="shared" ref="H639:H641" si="86">G639*F639</f>
        <v>3.5960200000000002</v>
      </c>
      <c r="J639" s="529"/>
      <c r="K639" s="530"/>
    </row>
    <row r="640" spans="1:17" s="87" customFormat="1" ht="12.75">
      <c r="A640" s="232" t="s">
        <v>4542</v>
      </c>
      <c r="B640" s="464"/>
      <c r="C640" s="451" t="s">
        <v>8440</v>
      </c>
      <c r="D640" s="452" t="s">
        <v>7326</v>
      </c>
      <c r="E640" s="452" t="s">
        <v>8441</v>
      </c>
      <c r="F640" s="528">
        <v>0.37140000000000001</v>
      </c>
      <c r="G640" s="453"/>
      <c r="H640" s="463">
        <f>(H639)*F640</f>
        <v>1.3355618280000001</v>
      </c>
      <c r="J640" s="201"/>
    </row>
    <row r="641" spans="1:17" s="87" customFormat="1" ht="25.5">
      <c r="A641" s="232" t="s">
        <v>4544</v>
      </c>
      <c r="B641" s="464" t="s">
        <v>7433</v>
      </c>
      <c r="C641" s="451" t="str">
        <f>IF(A641="SERVIÇO",VLOOKUP(B641,SERVIÇOS!$A$6:$D$7645,2,0),IF(A641="INSUMO",VLOOKUP(B641,INSUMOS!$A$6:$D$6961,2,0),IF(A641="COTAÇÃO",VLOOKUP(B641,'036-20-Cotação'!$A$9:$G$529,2,0))))</f>
        <v>CERA PARA INJEÇÃO DE ANCORAGENS DE ESTAIS</v>
      </c>
      <c r="D641" s="452" t="str">
        <f>IF(A641="SERVIÇO",VLOOKUP(B641,SERVIÇOS!$A$6:$E$7645,5,0),IF(A641="INSUMO",VLOOKUP(B641,INSUMOS!$A$6:$E$6961,5,0),IF(A641="COTAÇÃO",VLOOKUP(B641,'036-20-Cotação'!$A$9:$H$529,8,0))))</f>
        <v>MAT.</v>
      </c>
      <c r="E641" s="452" t="str">
        <f>IF(A641="SERVIÇO",VLOOKUP(B641,SERVIÇOS!$A$6:$D$7645,3,0),IF(A641="INSUMO",VLOOKUP(B641,INSUMOS!$A$6:$D$6961,3,0),IF(A641="COTAÇÃO",VLOOKUP(B641,'036-20-Cotação'!$A$9:$G$529,4,0))))</f>
        <v>KG</v>
      </c>
      <c r="F641" s="462">
        <v>1</v>
      </c>
      <c r="G641" s="453">
        <f>IF(A641="SERVIÇO",VLOOKUP(B641,SERVIÇOS!$A$6:$D$7645,4,0),IF(A641="INSUMO",VLOOKUP(B641,INSUMOS!$A$6:$D$6961,4,0),IF(A641="COTAÇÃO",VLOOKUP(B641,'036-20-Cotação'!$A$9:$G$529,3,0))))</f>
        <v>11.1867</v>
      </c>
      <c r="H641" s="463">
        <f t="shared" si="86"/>
        <v>11.1867</v>
      </c>
      <c r="J641" s="532"/>
      <c r="K641" s="533"/>
    </row>
    <row r="642" spans="1:17" s="78" customFormat="1" ht="12.75">
      <c r="A642" s="188"/>
      <c r="B642" s="346"/>
      <c r="C642" s="347"/>
      <c r="D642" s="347"/>
      <c r="E642" s="347"/>
      <c r="F642" s="347"/>
      <c r="G642" s="347"/>
      <c r="H642" s="347"/>
      <c r="J642" s="79"/>
      <c r="K642" s="87"/>
      <c r="L642" s="87"/>
      <c r="M642" s="87"/>
      <c r="N642" s="87"/>
      <c r="O642" s="87"/>
      <c r="P642" s="87"/>
      <c r="Q642" s="87"/>
    </row>
    <row r="643" spans="1:17" s="78" customFormat="1" ht="51">
      <c r="A643" s="188"/>
      <c r="B643" s="80" t="s">
        <v>7419</v>
      </c>
      <c r="C643" s="81" t="s">
        <v>13482</v>
      </c>
      <c r="D643" s="82" t="s">
        <v>84</v>
      </c>
      <c r="E643" s="82" t="s">
        <v>89</v>
      </c>
      <c r="F643" s="83"/>
      <c r="G643" s="84"/>
      <c r="H643" s="85">
        <f>SUM(H644:H651)</f>
        <v>31.85698672799484</v>
      </c>
      <c r="J643" s="79" t="s">
        <v>8443</v>
      </c>
      <c r="K643" s="87"/>
      <c r="L643" s="87"/>
      <c r="M643" s="87"/>
      <c r="N643" s="87"/>
      <c r="O643" s="87"/>
      <c r="P643" s="87"/>
      <c r="Q643" s="87"/>
    </row>
    <row r="644" spans="1:17" s="87" customFormat="1" ht="25.5">
      <c r="A644" s="232" t="s">
        <v>4542</v>
      </c>
      <c r="B644" s="464" t="s">
        <v>9562</v>
      </c>
      <c r="C644" s="451" t="str">
        <f>IF(A644="SERVIÇO",VLOOKUP(B644,SERVIÇOS!$A$6:$D$7645,2,0),IF(A644="INSUMO",VLOOKUP(B644,INSUMOS!$A$6:$D$6961,2,0),IF(A644="COTAÇÃO",VLOOKUP(B644,'036-20-Cotação'!$A$9:$G$529,2,0))))</f>
        <v>CAMINHÃO CARROCERIA COM GUINDAUTO COM CAPACIDADE DE 20 T.M - 136 KW</v>
      </c>
      <c r="D644" s="452" t="str">
        <f>IF(A644="SERVIÇO",VLOOKUP(B644,SERVIÇOS!$A$6:$E$7645,5,0),IF(A644="INSUMO",VLOOKUP(B644,INSUMOS!$A$6:$E$6961,5,0),IF(A644="COTAÇÃO",VLOOKUP(B644,'036-20-Cotação'!$A$9:$H$529,8,0))))</f>
        <v>EQUIP.</v>
      </c>
      <c r="E644" s="452" t="str">
        <f>IF(A644="SERVIÇO",VLOOKUP(B644,SERVIÇOS!$A$6:$D$7645,3,0),IF(A644="INSUMO",VLOOKUP(B644,INSUMOS!$A$6:$D$6961,3,0),IF(A644="COTAÇÃO",VLOOKUP(B644,'036-20-Cotação'!$A$9:$G$529,4,0))))</f>
        <v>CHP</v>
      </c>
      <c r="F644" s="462">
        <f>0.0753/15</f>
        <v>5.0200000000000002E-3</v>
      </c>
      <c r="G644" s="453">
        <f>IF(A644="SERVIÇO",VLOOKUP(B644,SERVIÇOS!$A$6:$D$7645,4,0),IF(A644="INSUMO",VLOOKUP(B644,INSUMOS!$A$6:$D$6961,4,0),IF(A644="COTAÇÃO",VLOOKUP(B644,'036-20-Cotação'!$A$9:$G$529,3,0))))</f>
        <v>184.84899999999999</v>
      </c>
      <c r="H644" s="463">
        <f t="shared" ref="H644:H648" si="87">G644*F644</f>
        <v>0.92794197999999994</v>
      </c>
      <c r="J644" s="201"/>
    </row>
    <row r="645" spans="1:17" s="87" customFormat="1" ht="12.75">
      <c r="A645" s="232" t="s">
        <v>4542</v>
      </c>
      <c r="B645" s="464" t="s">
        <v>6825</v>
      </c>
      <c r="C645" s="451" t="str">
        <f>IF(A645="SERVIÇO",VLOOKUP(B645,SERVIÇOS!$A$6:$D$7645,2,0),IF(A645="INSUMO",VLOOKUP(B645,INSUMOS!$A$6:$D$6961,2,0),IF(A645="COTAÇÃO",VLOOKUP(B645,'036-20-Cotação'!$A$9:$G$529,2,0))))</f>
        <v>AJUDANTE</v>
      </c>
      <c r="D645" s="452" t="str">
        <f>IF(A645="SERVIÇO",VLOOKUP(B645,SERVIÇOS!$A$6:$E$7645,5,0),IF(A645="INSUMO",VLOOKUP(B645,INSUMOS!$A$6:$E$6961,5,0),IF(A645="COTAÇÃO",VLOOKUP(B645,'036-20-Cotação'!$A$9:$H$529,8,0))))</f>
        <v>M.O</v>
      </c>
      <c r="E645" s="452" t="str">
        <f>IF(A645="SERVIÇO",VLOOKUP(B645,SERVIÇOS!$A$6:$D$7645,3,0),IF(A645="INSUMO",VLOOKUP(B645,INSUMOS!$A$6:$D$6961,3,0),IF(A645="COTAÇÃO",VLOOKUP(B645,'036-20-Cotação'!$A$9:$G$529,4,0))))</f>
        <v>H</v>
      </c>
      <c r="F645" s="462">
        <f>1/15</f>
        <v>6.6666666666666666E-2</v>
      </c>
      <c r="G645" s="453">
        <f>IF(A645="SERVIÇO",VLOOKUP(B645,SERVIÇOS!$A$6:$D$7645,4,0),IF(A645="INSUMO",VLOOKUP(B645,INSUMOS!$A$6:$D$6961,4,0),IF(A645="COTAÇÃO",VLOOKUP(B645,'036-20-Cotação'!$A$9:$G$529,3,0))))</f>
        <v>17.9801</v>
      </c>
      <c r="H645" s="463">
        <f t="shared" si="87"/>
        <v>1.1986733333333333</v>
      </c>
      <c r="J645" s="201"/>
    </row>
    <row r="646" spans="1:17" s="87" customFormat="1" ht="12.75">
      <c r="A646" s="232" t="s">
        <v>4542</v>
      </c>
      <c r="B646" s="531" t="s">
        <v>6601</v>
      </c>
      <c r="C646" s="451" t="str">
        <f>IF(A646="SERVIÇO",VLOOKUP(B646,SERVIÇOS!$A$6:$D$7645,2,0),IF(A646="INSUMO",VLOOKUP(B646,INSUMOS!$A$6:$D$6961,2,0),IF(A646="COTAÇÃO",VLOOKUP(B646,'036-20-Cotação'!$A$9:$G$529,2,0))))</f>
        <v>MONTADOR</v>
      </c>
      <c r="D646" s="452" t="str">
        <f>IF(A646="SERVIÇO",VLOOKUP(B646,SERVIÇOS!$A$6:$E$7645,5,0),IF(A646="INSUMO",VLOOKUP(B646,INSUMOS!$A$6:$E$6961,5,0),IF(A646="COTAÇÃO",VLOOKUP(B646,'036-20-Cotação'!$A$9:$H$529,8,0))))</f>
        <v>M.O</v>
      </c>
      <c r="E646" s="452" t="str">
        <f>IF(A646="SERVIÇO",VLOOKUP(B646,SERVIÇOS!$A$6:$D$7645,3,0),IF(A646="INSUMO",VLOOKUP(B646,INSUMOS!$A$6:$D$6961,3,0),IF(A646="COTAÇÃO",VLOOKUP(B646,'036-20-Cotação'!$A$9:$G$529,4,0))))</f>
        <v>H</v>
      </c>
      <c r="F646" s="462">
        <f>1/15</f>
        <v>6.6666666666666666E-2</v>
      </c>
      <c r="G646" s="453">
        <f>IF(A646="SERVIÇO",VLOOKUP(B646,SERVIÇOS!$A$6:$D$7645,4,0),IF(A646="INSUMO",VLOOKUP(B646,INSUMOS!$A$6:$D$6961,4,0),IF(A646="COTAÇÃO",VLOOKUP(B646,'036-20-Cotação'!$A$9:$G$529,3,0))))</f>
        <v>23.4679</v>
      </c>
      <c r="H646" s="463">
        <f t="shared" si="87"/>
        <v>1.5645266666666666</v>
      </c>
      <c r="J646" s="201"/>
    </row>
    <row r="647" spans="1:17" s="87" customFormat="1" ht="12.75">
      <c r="A647" s="232" t="s">
        <v>4542</v>
      </c>
      <c r="B647" s="464"/>
      <c r="C647" s="451" t="s">
        <v>8440</v>
      </c>
      <c r="D647" s="452" t="s">
        <v>7326</v>
      </c>
      <c r="E647" s="452" t="s">
        <v>8441</v>
      </c>
      <c r="F647" s="528"/>
      <c r="G647" s="453"/>
      <c r="H647" s="463">
        <f>(H646+H645)*F647</f>
        <v>0</v>
      </c>
      <c r="J647" s="201"/>
    </row>
    <row r="648" spans="1:17" s="87" customFormat="1" ht="25.5">
      <c r="A648" s="232" t="s">
        <v>4544</v>
      </c>
      <c r="B648" s="464">
        <v>40624</v>
      </c>
      <c r="C648" s="451" t="str">
        <f>IF(A648="SERVIÇO",VLOOKUP(B648,SERVIÇOS!$A$6:$D$7645,2,0),IF(A648="INSUMO",VLOOKUP(B648,INSUMOS!$A$6:$D$6961,2,0),IF(A648="COTAÇÃO",VLOOKUP(B648,'036-20-Cotação'!$A$9:$G$529,2,0))))</f>
        <v xml:space="preserve">TUBO ACO CARBONO SEM COSTURA 1 1/2", E= *3,68 MM, SCHEDULE 40, 4,05 KG/M                                                                                                                                                                                                                                                                                                                                                                                                                                  </v>
      </c>
      <c r="D648" s="452" t="str">
        <f>IF(A648="SERVIÇO",VLOOKUP(B648,SERVIÇOS!$A$6:$E$7645,5,0),IF(A648="INSUMO",VLOOKUP(B648,INSUMOS!$A$6:$E$6961,5,0),IF(A648="COTAÇÃO",VLOOKUP(B648,'036-20-Cotação'!$A$9:$H$529,8,0))))</f>
        <v>MAT.</v>
      </c>
      <c r="E648" s="452" t="str">
        <f>IF(A648="SERVIÇO",VLOOKUP(B648,SERVIÇOS!$A$6:$D$7645,3,0),IF(A648="INSUMO",VLOOKUP(B648,INSUMOS!$A$6:$D$6961,3,0),IF(A648="COTAÇÃO",VLOOKUP(B648,'036-20-Cotação'!$A$9:$G$529,4,0))))</f>
        <v xml:space="preserve">M     </v>
      </c>
      <c r="F648" s="462">
        <f>1.03*(0.15*4.05)</f>
        <v>0.62572499999999998</v>
      </c>
      <c r="G648" s="453" t="str">
        <f>IF(A648="SERVIÇO",VLOOKUP(B648,SERVIÇOS!$A$6:$D$7645,4,0),IF(A648="INSUMO",VLOOKUP(B648,INSUMOS!$A$6:$D$6961,4,0),IF(A648="COTAÇÃO",VLOOKUP(B648,'036-20-Cotação'!$A$9:$G$529,3,0))))</f>
        <v>42,39</v>
      </c>
      <c r="H648" s="463">
        <f t="shared" si="87"/>
        <v>26.524482750000001</v>
      </c>
      <c r="J648" s="201"/>
    </row>
    <row r="649" spans="1:17" s="87" customFormat="1" ht="25.5">
      <c r="A649" s="232" t="s">
        <v>4542</v>
      </c>
      <c r="B649" s="464">
        <v>1408173</v>
      </c>
      <c r="C649" s="451" t="str">
        <f>'036-20-CCA''s'!$C$213</f>
        <v>CORTE COM MAÇARICO OXIACETILENO DE PERFIS METÁLICOS</v>
      </c>
      <c r="D649" s="452" t="str">
        <f>'036-20-CCA''s'!$D$213</f>
        <v>SER.CG</v>
      </c>
      <c r="E649" s="452" t="str">
        <f>'036-20-CCA''s'!$E$213</f>
        <v>CM2</v>
      </c>
      <c r="F649" s="462">
        <v>1</v>
      </c>
      <c r="G649" s="453">
        <f>'036-20-CCA''s'!$H$213</f>
        <v>0.55535668562067619</v>
      </c>
      <c r="H649" s="463">
        <f t="shared" ref="H649:H651" si="88">G649*F649</f>
        <v>0.55535668562067619</v>
      </c>
      <c r="J649" s="201"/>
    </row>
    <row r="650" spans="1:17" s="87" customFormat="1" ht="25.5">
      <c r="A650" s="232" t="s">
        <v>4542</v>
      </c>
      <c r="B650" s="464">
        <v>2408058</v>
      </c>
      <c r="C650" s="451" t="str">
        <f>'036-20-CCA''s'!$C$142</f>
        <v>SOLDA ELÉTRICA DE PERFIS METÁLICOS E CHAPAS DE AÇO COM ELETRODO E70XX</v>
      </c>
      <c r="D650" s="452" t="str">
        <f>'036-20-CCA''s'!$D$142</f>
        <v>SER.CG</v>
      </c>
      <c r="E650" s="452" t="str">
        <f>'036-20-CCA''s'!$E$142</f>
        <v>KG</v>
      </c>
      <c r="F650" s="462">
        <v>1.4999999999999999E-2</v>
      </c>
      <c r="G650" s="453">
        <f>'036-20-CCA''s'!$H$142</f>
        <v>70.963465562080543</v>
      </c>
      <c r="H650" s="463">
        <f t="shared" si="88"/>
        <v>1.0644519834312081</v>
      </c>
      <c r="J650" s="201"/>
    </row>
    <row r="651" spans="1:17" s="87" customFormat="1" ht="25.5">
      <c r="A651" s="232" t="s">
        <v>4542</v>
      </c>
      <c r="B651" s="464" t="s">
        <v>13206</v>
      </c>
      <c r="C651" s="451" t="str">
        <f>'036-20-CCA''s'!$C$281</f>
        <v>TEMPO FIXO - CAMINHÃO CARROCERIA 15 T - CARGA E DESCARGA MANUAIS</v>
      </c>
      <c r="D651" s="452" t="str">
        <f>'036-20-CCA''s'!$D$281</f>
        <v>SER.CG</v>
      </c>
      <c r="E651" s="452" t="str">
        <f>'036-20-CCA''s'!$E$281</f>
        <v>T</v>
      </c>
      <c r="F651" s="462">
        <v>1.0300000000000001E-3</v>
      </c>
      <c r="G651" s="453">
        <f>'036-20-CCA''s'!$H$281</f>
        <v>20.925562080536913</v>
      </c>
      <c r="H651" s="463">
        <f t="shared" si="88"/>
        <v>2.1553328942953021E-2</v>
      </c>
      <c r="J651" s="201"/>
    </row>
    <row r="652" spans="1:17" s="87" customFormat="1" ht="12.75">
      <c r="A652" s="188"/>
      <c r="B652" s="348" t="s">
        <v>123</v>
      </c>
      <c r="C652" s="695" t="s">
        <v>13481</v>
      </c>
      <c r="D652" s="696"/>
      <c r="E652" s="696"/>
      <c r="F652" s="696"/>
      <c r="G652" s="696"/>
      <c r="H652" s="697"/>
      <c r="J652" s="201"/>
    </row>
    <row r="653" spans="1:17" s="78" customFormat="1" ht="12.75">
      <c r="A653" s="188"/>
      <c r="B653" s="346"/>
      <c r="C653" s="347"/>
      <c r="D653" s="347"/>
      <c r="E653" s="347"/>
      <c r="F653" s="347"/>
      <c r="G653" s="347"/>
      <c r="H653" s="347"/>
      <c r="J653" s="79"/>
      <c r="K653" s="87"/>
      <c r="L653" s="87"/>
      <c r="M653" s="87"/>
      <c r="N653" s="87"/>
      <c r="O653" s="87"/>
      <c r="P653" s="87"/>
      <c r="Q653" s="87"/>
    </row>
    <row r="654" spans="1:17" s="78" customFormat="1" ht="63.75">
      <c r="A654" s="188"/>
      <c r="B654" s="80" t="s">
        <v>7420</v>
      </c>
      <c r="C654" s="81" t="s">
        <v>13453</v>
      </c>
      <c r="D654" s="82" t="s">
        <v>84</v>
      </c>
      <c r="E654" s="82" t="s">
        <v>5</v>
      </c>
      <c r="F654" s="83"/>
      <c r="G654" s="84"/>
      <c r="H654" s="85">
        <f>SUM(H655:H660)</f>
        <v>97.114555298638209</v>
      </c>
      <c r="J654" s="79" t="s">
        <v>8448</v>
      </c>
      <c r="K654" s="87"/>
      <c r="L654" s="87"/>
      <c r="M654" s="87"/>
      <c r="N654" s="87"/>
      <c r="O654" s="87"/>
      <c r="P654" s="87"/>
      <c r="Q654" s="87"/>
    </row>
    <row r="655" spans="1:17" s="87" customFormat="1" ht="25.5">
      <c r="A655" s="232" t="s">
        <v>4542</v>
      </c>
      <c r="B655" s="464" t="s">
        <v>8804</v>
      </c>
      <c r="C655" s="451" t="str">
        <f>IF(A655="SERVIÇO",VLOOKUP(B655,SERVIÇOS!$A$6:$D$7645,2,0),IF(A655="INSUMO",VLOOKUP(B655,INSUMOS!$A$6:$D$6961,2,0),IF(A655="COTAÇÃO",VLOOKUP(B655,'036-20-Cotação'!$A$9:$G$529,2,0))))</f>
        <v>GUINDASTE SOBRE RODAS COM CAPACIDADE DE 370 KN.M - 75 KW</v>
      </c>
      <c r="D655" s="452" t="str">
        <f>IF(A655="SERVIÇO",VLOOKUP(B655,SERVIÇOS!$A$6:$E$7645,5,0),IF(A655="INSUMO",VLOOKUP(B655,INSUMOS!$A$6:$E$6961,5,0),IF(A655="COTAÇÃO",VLOOKUP(B655,'036-20-Cotação'!$A$9:$H$529,8,0))))</f>
        <v>EQUIP.</v>
      </c>
      <c r="E655" s="452" t="str">
        <f>IF(A655="SERVIÇO",VLOOKUP(B655,SERVIÇOS!$A$6:$D$7645,3,0),IF(A655="INSUMO",VLOOKUP(B655,INSUMOS!$A$6:$D$6961,3,0),IF(A655="COTAÇÃO",VLOOKUP(B655,'036-20-Cotação'!$A$9:$G$529,4,0))))</f>
        <v>CHP</v>
      </c>
      <c r="F655" s="462">
        <f>0.4/2.5</f>
        <v>0.16</v>
      </c>
      <c r="G655" s="453">
        <f>IF(A655="SERVIÇO",VLOOKUP(B655,SERVIÇOS!$A$6:$D$7645,4,0),IF(A655="INSUMO",VLOOKUP(B655,INSUMOS!$A$6:$D$6961,4,0),IF(A655="COTAÇÃO",VLOOKUP(B655,'036-20-Cotação'!$A$9:$G$529,3,0))))</f>
        <v>148.07040000000001</v>
      </c>
      <c r="H655" s="463">
        <f t="shared" ref="H655:H658" si="89">G655*F655</f>
        <v>23.691264</v>
      </c>
      <c r="J655" s="201"/>
    </row>
    <row r="656" spans="1:17" s="87" customFormat="1" ht="25.5">
      <c r="A656" s="232" t="s">
        <v>4542</v>
      </c>
      <c r="B656" s="464" t="s">
        <v>9644</v>
      </c>
      <c r="C656" s="451" t="str">
        <f>IF(A656="SERVIÇO",VLOOKUP(B656,SERVIÇOS!$A$6:$D$7645,2,0),IF(A656="INSUMO",VLOOKUP(B656,INSUMOS!$A$6:$D$6961,2,0),IF(A656="COTAÇÃO",VLOOKUP(B656,'036-20-Cotação'!$A$9:$G$529,2,0))))</f>
        <v>GUINDASTE SOBRE RODAS COM CAPACIDADE DE 370 KN.M - 75 KW</v>
      </c>
      <c r="D656" s="452" t="str">
        <f>IF(A656="SERVIÇO",VLOOKUP(B656,SERVIÇOS!$A$6:$E$7645,5,0),IF(A656="INSUMO",VLOOKUP(B656,INSUMOS!$A$6:$E$6961,5,0),IF(A656="COTAÇÃO",VLOOKUP(B656,'036-20-Cotação'!$A$9:$H$529,8,0))))</f>
        <v>EQUIP.</v>
      </c>
      <c r="E656" s="452" t="str">
        <f>IF(A656="SERVIÇO",VLOOKUP(B656,SERVIÇOS!$A$6:$D$7645,3,0),IF(A656="INSUMO",VLOOKUP(B656,INSUMOS!$A$6:$D$6961,3,0),IF(A656="COTAÇÃO",VLOOKUP(B656,'036-20-Cotação'!$A$9:$G$529,4,0))))</f>
        <v>CHI</v>
      </c>
      <c r="F656" s="462">
        <f>0.6/2.5</f>
        <v>0.24</v>
      </c>
      <c r="G656" s="453">
        <f>IF(A656="SERVIÇO",VLOOKUP(B656,SERVIÇOS!$A$6:$D$7645,4,0),IF(A656="INSUMO",VLOOKUP(B656,INSUMOS!$A$6:$D$6961,4,0),IF(A656="COTAÇÃO",VLOOKUP(B656,'036-20-Cotação'!$A$9:$G$529,3,0))))</f>
        <v>74.887100000000004</v>
      </c>
      <c r="H656" s="463">
        <f t="shared" si="89"/>
        <v>17.972904</v>
      </c>
      <c r="J656" s="201"/>
    </row>
    <row r="657" spans="1:17" s="87" customFormat="1" ht="12.75">
      <c r="A657" s="232" t="s">
        <v>4542</v>
      </c>
      <c r="B657" s="464" t="s">
        <v>6825</v>
      </c>
      <c r="C657" s="451" t="str">
        <f>IF(A657="SERVIÇO",VLOOKUP(B657,SERVIÇOS!$A$6:$D$7645,2,0),IF(A657="INSUMO",VLOOKUP(B657,INSUMOS!$A$6:$D$6961,2,0),IF(A657="COTAÇÃO",VLOOKUP(B657,'036-20-Cotação'!$A$9:$G$529,2,0))))</f>
        <v>AJUDANTE</v>
      </c>
      <c r="D657" s="452" t="str">
        <f>IF(A657="SERVIÇO",VLOOKUP(B657,SERVIÇOS!$A$6:$E$7645,5,0),IF(A657="INSUMO",VLOOKUP(B657,INSUMOS!$A$6:$E$6961,5,0),IF(A657="COTAÇÃO",VLOOKUP(B657,'036-20-Cotação'!$A$9:$H$529,8,0))))</f>
        <v>M.O</v>
      </c>
      <c r="E657" s="452" t="str">
        <f>IF(A657="SERVIÇO",VLOOKUP(B657,SERVIÇOS!$A$6:$D$7645,3,0),IF(A657="INSUMO",VLOOKUP(B657,INSUMOS!$A$6:$D$6961,3,0),IF(A657="COTAÇÃO",VLOOKUP(B657,'036-20-Cotação'!$A$9:$G$529,4,0))))</f>
        <v>H</v>
      </c>
      <c r="F657" s="462">
        <f>2/2.5</f>
        <v>0.8</v>
      </c>
      <c r="G657" s="453">
        <f>IF(A657="SERVIÇO",VLOOKUP(B657,SERVIÇOS!$A$6:$D$7645,4,0),IF(A657="INSUMO",VLOOKUP(B657,INSUMOS!$A$6:$D$6961,4,0),IF(A657="COTAÇÃO",VLOOKUP(B657,'036-20-Cotação'!$A$9:$G$529,3,0))))</f>
        <v>17.9801</v>
      </c>
      <c r="H657" s="463">
        <f t="shared" si="89"/>
        <v>14.384080000000001</v>
      </c>
      <c r="J657" s="201"/>
    </row>
    <row r="658" spans="1:17" s="87" customFormat="1" ht="12.75">
      <c r="A658" s="232" t="s">
        <v>4542</v>
      </c>
      <c r="B658" s="531" t="s">
        <v>6601</v>
      </c>
      <c r="C658" s="451" t="str">
        <f>IF(A658="SERVIÇO",VLOOKUP(B658,SERVIÇOS!$A$6:$D$7645,2,0),IF(A658="INSUMO",VLOOKUP(B658,INSUMOS!$A$6:$D$6961,2,0),IF(A658="COTAÇÃO",VLOOKUP(B658,'036-20-Cotação'!$A$9:$G$529,2,0))))</f>
        <v>MONTADOR</v>
      </c>
      <c r="D658" s="452" t="str">
        <f>IF(A658="SERVIÇO",VLOOKUP(B658,SERVIÇOS!$A$6:$E$7645,5,0),IF(A658="INSUMO",VLOOKUP(B658,INSUMOS!$A$6:$E$6961,5,0),IF(A658="COTAÇÃO",VLOOKUP(B658,'036-20-Cotação'!$A$9:$H$529,8,0))))</f>
        <v>M.O</v>
      </c>
      <c r="E658" s="452" t="str">
        <f>IF(A658="SERVIÇO",VLOOKUP(B658,SERVIÇOS!$A$6:$D$7645,3,0),IF(A658="INSUMO",VLOOKUP(B658,INSUMOS!$A$6:$D$6961,3,0),IF(A658="COTAÇÃO",VLOOKUP(B658,'036-20-Cotação'!$A$9:$G$529,4,0))))</f>
        <v>H</v>
      </c>
      <c r="F658" s="462">
        <f>0.5/2.5</f>
        <v>0.2</v>
      </c>
      <c r="G658" s="453">
        <f>IF(A658="SERVIÇO",VLOOKUP(B658,SERVIÇOS!$A$6:$D$7645,4,0),IF(A658="INSUMO",VLOOKUP(B658,INSUMOS!$A$6:$D$6961,4,0),IF(A658="COTAÇÃO",VLOOKUP(B658,'036-20-Cotação'!$A$9:$G$529,3,0))))</f>
        <v>23.4679</v>
      </c>
      <c r="H658" s="463">
        <f t="shared" si="89"/>
        <v>4.6935799999999999</v>
      </c>
      <c r="J658" s="201"/>
    </row>
    <row r="659" spans="1:17" s="87" customFormat="1" ht="12.75">
      <c r="A659" s="232" t="s">
        <v>4542</v>
      </c>
      <c r="B659" s="464"/>
      <c r="C659" s="451" t="s">
        <v>8440</v>
      </c>
      <c r="D659" s="452" t="s">
        <v>7326</v>
      </c>
      <c r="E659" s="452" t="s">
        <v>8441</v>
      </c>
      <c r="F659" s="528">
        <v>0.37140000000000001</v>
      </c>
      <c r="G659" s="453"/>
      <c r="H659" s="463">
        <f>(H657+H658)*F659</f>
        <v>7.0854429240000005</v>
      </c>
      <c r="J659" s="201"/>
    </row>
    <row r="660" spans="1:17" s="87" customFormat="1" ht="25.5">
      <c r="A660" s="232" t="s">
        <v>12</v>
      </c>
      <c r="B660" s="464" t="s">
        <v>8449</v>
      </c>
      <c r="C660" s="451" t="str">
        <f>IF(A660="SERVIÇO",VLOOKUP(B660,SERVIÇOS!$A$6:$D$7645,2,0),IF(A660="INSUMO",VLOOKUP(B660,INSUMOS!$A$6:$D$6961,2,0),IF(A660="COTAÇÃO",VLOOKUP(B660,'036-20-Cotação'!$A$9:$G$529,2,0))))</f>
        <v>MANTA DE BORRACHA E=2MM</v>
      </c>
      <c r="D660" s="452" t="str">
        <f>IF(A660="SERVIÇO",VLOOKUP(B660,SERVIÇOS!$A$6:$E$7645,5,0),IF(A660="INSUMO",VLOOKUP(B660,INSUMOS!$A$6:$E$6961,5,0),IF(A660="COTAÇÃO",VLOOKUP(B660,'036-20-Cotação'!$A$9:$H$529,8,0))))</f>
        <v>MAT.</v>
      </c>
      <c r="E660" s="452" t="str">
        <f>IF(A660="SERVIÇO",VLOOKUP(B660,SERVIÇOS!$A$6:$D$7645,3,0),IF(A660="INSUMO",VLOOKUP(B660,INSUMOS!$A$6:$D$6961,3,0),IF(A660="COTAÇÃO",VLOOKUP(B660,'036-20-Cotação'!$A$9:$G$529,4,0))))</f>
        <v>M2</v>
      </c>
      <c r="F660" s="462">
        <v>0.5</v>
      </c>
      <c r="G660" s="453">
        <f>IF(A660="SERVIÇO",VLOOKUP(B660,SERVIÇOS!$A$6:$D$7645,4,0),IF(A660="INSUMO",VLOOKUP(B660,INSUMOS!$A$6:$D$6961,4,0),IF(A660="COTAÇÃO",VLOOKUP(B660,'036-20-Cotação'!$A$9:$G$529,3,0))))</f>
        <v>58.574568749276409</v>
      </c>
      <c r="H660" s="463">
        <f t="shared" ref="H660" si="90">G660*F660</f>
        <v>29.287284374638205</v>
      </c>
      <c r="J660" s="201"/>
    </row>
    <row r="661" spans="1:17" s="87" customFormat="1" ht="12.75">
      <c r="A661" s="188"/>
      <c r="B661" s="348" t="s">
        <v>123</v>
      </c>
      <c r="C661" s="695" t="s">
        <v>8438</v>
      </c>
      <c r="D661" s="696"/>
      <c r="E661" s="696"/>
      <c r="F661" s="696"/>
      <c r="G661" s="696"/>
      <c r="H661" s="697"/>
      <c r="J661" s="201"/>
    </row>
    <row r="662" spans="1:17" s="78" customFormat="1" ht="12.75">
      <c r="A662" s="188"/>
      <c r="B662" s="346"/>
      <c r="C662" s="347"/>
      <c r="D662" s="347"/>
      <c r="E662" s="347"/>
      <c r="F662" s="347"/>
      <c r="G662" s="347"/>
      <c r="H662" s="347"/>
      <c r="J662" s="79"/>
      <c r="K662" s="87"/>
      <c r="L662" s="87"/>
      <c r="M662" s="87"/>
      <c r="N662" s="87"/>
      <c r="O662" s="87"/>
      <c r="P662" s="87"/>
      <c r="Q662" s="87"/>
    </row>
    <row r="663" spans="1:17" s="78" customFormat="1" ht="63.75">
      <c r="A663" s="188"/>
      <c r="B663" s="80" t="s">
        <v>7421</v>
      </c>
      <c r="C663" s="81" t="s">
        <v>13219</v>
      </c>
      <c r="D663" s="82" t="s">
        <v>84</v>
      </c>
      <c r="E663" s="82" t="s">
        <v>5</v>
      </c>
      <c r="F663" s="83"/>
      <c r="G663" s="84"/>
      <c r="H663" s="85">
        <f>SUM(H664:H664)</f>
        <v>6104.1334624975279</v>
      </c>
      <c r="J663" s="79"/>
      <c r="K663" s="87"/>
      <c r="L663" s="87"/>
      <c r="M663" s="87"/>
      <c r="N663" s="87"/>
      <c r="O663" s="87"/>
      <c r="P663" s="87"/>
      <c r="Q663" s="87"/>
    </row>
    <row r="664" spans="1:17" s="87" customFormat="1" ht="51">
      <c r="A664" s="232" t="s">
        <v>12</v>
      </c>
      <c r="B664" s="464" t="s">
        <v>13170</v>
      </c>
      <c r="C664" s="451" t="str">
        <f>IF(A664="SERVIÇO",VLOOKUP(B664,SERVIÇOS!$A$6:$D$7645,2,0),IF(A664="INSUMO",VLOOKUP(B664,INSUMOS!$A$6:$D$6961,2,0),IF(A664="COTAÇÃO",VLOOKUP(B664,'036-20-Cotação'!$A$9:$G$529,2,0))))</f>
        <v>JUNTA DE DILATAÇÃO METÁLICA DE MOVIMENTAÇÃO TIPO AGFLEXJ 200 (AGOM INTERNATIONAL), COM DIMENSÕES TRANSVERSAIS DE 802X71MM - FORNECIMENTO</v>
      </c>
      <c r="D664" s="452" t="str">
        <f>IF(A664="SERVIÇO",VLOOKUP(B664,SERVIÇOS!$A$6:$E$7645,5,0),IF(A664="INSUMO",VLOOKUP(B664,INSUMOS!$A$6:$E$6961,5,0),IF(A664="COTAÇÃO",VLOOKUP(B664,'036-20-Cotação'!$A$9:$H$529,8,0))))</f>
        <v>MAT.</v>
      </c>
      <c r="E664" s="452" t="str">
        <f>IF(A664="SERVIÇO",VLOOKUP(B664,SERVIÇOS!$A$6:$D$7645,3,0),IF(A664="INSUMO",VLOOKUP(B664,INSUMOS!$A$6:$D$6961,3,0),IF(A664="COTAÇÃO",VLOOKUP(B664,'036-20-Cotação'!$A$9:$G$529,4,0))))</f>
        <v>M</v>
      </c>
      <c r="F664" s="462">
        <v>1</v>
      </c>
      <c r="G664" s="453">
        <f>IF(A664="SERVIÇO",VLOOKUP(B664,SERVIÇOS!$A$6:$D$7645,4,0),IF(A664="INSUMO",VLOOKUP(B664,INSUMOS!$A$6:$D$6961,4,0),IF(A664="COTAÇÃO",VLOOKUP(B664,'036-20-Cotação'!$A$9:$G$529,3,0))))</f>
        <v>6104.1334624975279</v>
      </c>
      <c r="H664" s="463">
        <f t="shared" ref="H664" si="91">G664*F664</f>
        <v>6104.1334624975279</v>
      </c>
      <c r="J664" s="201"/>
    </row>
    <row r="665" spans="1:17" s="87" customFormat="1" ht="12.75">
      <c r="A665" s="188"/>
      <c r="B665" s="348" t="s">
        <v>123</v>
      </c>
      <c r="C665" s="695" t="s">
        <v>8451</v>
      </c>
      <c r="D665" s="696"/>
      <c r="E665" s="696"/>
      <c r="F665" s="696"/>
      <c r="G665" s="696"/>
      <c r="H665" s="697"/>
      <c r="J665" s="201"/>
    </row>
    <row r="666" spans="1:17" s="78" customFormat="1" ht="12.75">
      <c r="A666" s="188"/>
      <c r="B666" s="346"/>
      <c r="C666" s="347"/>
      <c r="D666" s="347"/>
      <c r="E666" s="347"/>
      <c r="F666" s="347"/>
      <c r="G666" s="347"/>
      <c r="H666" s="347"/>
      <c r="J666" s="79"/>
      <c r="K666" s="87"/>
      <c r="L666" s="87"/>
      <c r="M666" s="87"/>
      <c r="N666" s="87"/>
      <c r="O666" s="87"/>
      <c r="P666" s="87"/>
      <c r="Q666" s="87"/>
    </row>
    <row r="667" spans="1:17" s="78" customFormat="1" ht="25.5">
      <c r="A667" s="188"/>
      <c r="B667" s="80" t="s">
        <v>7422</v>
      </c>
      <c r="C667" s="81" t="s">
        <v>8452</v>
      </c>
      <c r="D667" s="82" t="s">
        <v>84</v>
      </c>
      <c r="E667" s="82" t="s">
        <v>4521</v>
      </c>
      <c r="F667" s="83"/>
      <c r="G667" s="84"/>
      <c r="H667" s="85">
        <f>SUM(H668:H672)</f>
        <v>5.8684692588550575</v>
      </c>
      <c r="J667" s="79" t="s">
        <v>8458</v>
      </c>
      <c r="K667" s="87"/>
      <c r="L667" s="87"/>
      <c r="M667" s="87"/>
      <c r="N667" s="87"/>
      <c r="O667" s="87"/>
      <c r="P667" s="87"/>
      <c r="Q667" s="87"/>
    </row>
    <row r="668" spans="1:17" s="87" customFormat="1" ht="12.75">
      <c r="A668" s="232" t="s">
        <v>4542</v>
      </c>
      <c r="B668" s="464" t="s">
        <v>6825</v>
      </c>
      <c r="C668" s="451" t="str">
        <f>IF(A668="SERVIÇO",VLOOKUP(B668,SERVIÇOS!$A$6:$D$7645,2,0),IF(A668="INSUMO",VLOOKUP(B668,INSUMOS!$A$6:$D$6961,2,0),IF(A668="COTAÇÃO",VLOOKUP(B668,'036-20-Cotação'!$A$9:$G$529,2,0))))</f>
        <v>AJUDANTE</v>
      </c>
      <c r="D668" s="452" t="str">
        <f>IF(A668="SERVIÇO",VLOOKUP(B668,SERVIÇOS!$A$6:$E$7645,5,0),IF(A668="INSUMO",VLOOKUP(B668,INSUMOS!$A$6:$E$6961,5,0),IF(A668="COTAÇÃO",VLOOKUP(B668,'036-20-Cotação'!$A$9:$H$529,8,0))))</f>
        <v>M.O</v>
      </c>
      <c r="E668" s="452" t="str">
        <f>IF(A668="SERVIÇO",VLOOKUP(B668,SERVIÇOS!$A$6:$D$7645,3,0),IF(A668="INSUMO",VLOOKUP(B668,INSUMOS!$A$6:$D$6961,3,0),IF(A668="COTAÇÃO",VLOOKUP(B668,'036-20-Cotação'!$A$9:$G$529,4,0))))</f>
        <v>H</v>
      </c>
      <c r="F668" s="462">
        <f>1/13.5</f>
        <v>7.407407407407407E-2</v>
      </c>
      <c r="G668" s="453">
        <f>IF(A668="SERVIÇO",VLOOKUP(B668,SERVIÇOS!$A$6:$D$7645,4,0),IF(A668="INSUMO",VLOOKUP(B668,INSUMOS!$A$6:$D$6961,4,0),IF(A668="COTAÇÃO",VLOOKUP(B668,'036-20-Cotação'!$A$9:$G$529,3,0))))</f>
        <v>17.9801</v>
      </c>
      <c r="H668" s="463">
        <f t="shared" ref="H668:H672" si="92">G668*F668</f>
        <v>1.3318592592592593</v>
      </c>
      <c r="J668" s="201"/>
    </row>
    <row r="669" spans="1:17" s="87" customFormat="1" ht="12.75">
      <c r="A669" s="232" t="s">
        <v>4542</v>
      </c>
      <c r="B669" s="531" t="s">
        <v>6601</v>
      </c>
      <c r="C669" s="451" t="str">
        <f>IF(A669="SERVIÇO",VLOOKUP(B669,SERVIÇOS!$A$6:$D$7645,2,0),IF(A669="INSUMO",VLOOKUP(B669,INSUMOS!$A$6:$D$6961,2,0),IF(A669="COTAÇÃO",VLOOKUP(B669,'036-20-Cotação'!$A$9:$G$529,2,0))))</f>
        <v>MONTADOR</v>
      </c>
      <c r="D669" s="452" t="str">
        <f>IF(A669="SERVIÇO",VLOOKUP(B669,SERVIÇOS!$A$6:$E$7645,5,0),IF(A669="INSUMO",VLOOKUP(B669,INSUMOS!$A$6:$E$6961,5,0),IF(A669="COTAÇÃO",VLOOKUP(B669,'036-20-Cotação'!$A$9:$H$529,8,0))))</f>
        <v>M.O</v>
      </c>
      <c r="E669" s="452" t="str">
        <f>IF(A669="SERVIÇO",VLOOKUP(B669,SERVIÇOS!$A$6:$D$7645,3,0),IF(A669="INSUMO",VLOOKUP(B669,INSUMOS!$A$6:$D$6961,3,0),IF(A669="COTAÇÃO",VLOOKUP(B669,'036-20-Cotação'!$A$9:$G$529,4,0))))</f>
        <v>H</v>
      </c>
      <c r="F669" s="462">
        <f>1/13.5</f>
        <v>7.407407407407407E-2</v>
      </c>
      <c r="G669" s="453">
        <f>IF(A669="SERVIÇO",VLOOKUP(B669,SERVIÇOS!$A$6:$D$7645,4,0),IF(A669="INSUMO",VLOOKUP(B669,INSUMOS!$A$6:$D$6961,4,0),IF(A669="COTAÇÃO",VLOOKUP(B669,'036-20-Cotação'!$A$9:$G$529,3,0))))</f>
        <v>23.4679</v>
      </c>
      <c r="H669" s="463">
        <f t="shared" si="92"/>
        <v>1.7383629629629629</v>
      </c>
      <c r="J669" s="201"/>
    </row>
    <row r="670" spans="1:17" s="87" customFormat="1" ht="12.75">
      <c r="A670" s="232" t="s">
        <v>4542</v>
      </c>
      <c r="B670" s="464"/>
      <c r="C670" s="451" t="s">
        <v>8440</v>
      </c>
      <c r="D670" s="452" t="s">
        <v>7326</v>
      </c>
      <c r="E670" s="452" t="s">
        <v>8441</v>
      </c>
      <c r="F670" s="528">
        <v>0.37140000000000001</v>
      </c>
      <c r="G670" s="453"/>
      <c r="H670" s="463">
        <f>(H668+H669)*F670</f>
        <v>1.1402805333333332</v>
      </c>
      <c r="J670" s="201"/>
    </row>
    <row r="671" spans="1:17" s="87" customFormat="1" ht="25.5">
      <c r="A671" s="232" t="s">
        <v>12</v>
      </c>
      <c r="B671" s="464" t="s">
        <v>8459</v>
      </c>
      <c r="C671" s="451" t="str">
        <f>IF(A671="SERVIÇO",VLOOKUP(B671,SERVIÇOS!$A$6:$D$7645,2,0),IF(A671="INSUMO",VLOOKUP(B671,INSUMOS!$A$6:$D$6961,2,0),IF(A671="COTAÇÃO",VLOOKUP(B671,'036-20-Cotação'!$A$9:$G$529,2,0))))</f>
        <v>PORCA SEXTAVADA M20 ASTM CLASSE 5</v>
      </c>
      <c r="D671" s="452" t="str">
        <f>IF(A671="SERVIÇO",VLOOKUP(B671,SERVIÇOS!$A$6:$E$7645,5,0),IF(A671="INSUMO",VLOOKUP(B671,INSUMOS!$A$6:$E$6961,5,0),IF(A671="COTAÇÃO",VLOOKUP(B671,'036-20-Cotação'!$A$9:$H$529,8,0))))</f>
        <v>MAT.</v>
      </c>
      <c r="E671" s="452" t="str">
        <f>IF(A671="SERVIÇO",VLOOKUP(B671,SERVIÇOS!$A$6:$D$7645,3,0),IF(A671="INSUMO",VLOOKUP(B671,INSUMOS!$A$6:$D$6961,3,0),IF(A671="COTAÇÃO",VLOOKUP(B671,'036-20-Cotação'!$A$9:$G$529,4,0))))</f>
        <v>UN</v>
      </c>
      <c r="F671" s="462">
        <v>1</v>
      </c>
      <c r="G671" s="453">
        <f>IF(A671="SERVIÇO",VLOOKUP(B671,SERVIÇOS!$A$6:$D$7645,4,0),IF(A671="INSUMO",VLOOKUP(B671,INSUMOS!$A$6:$D$6961,4,0),IF(A671="COTAÇÃO",VLOOKUP(B671,'036-20-Cotação'!$A$9:$G$529,3,0))))</f>
        <v>1.3097787211052365</v>
      </c>
      <c r="H671" s="463">
        <f t="shared" si="92"/>
        <v>1.3097787211052365</v>
      </c>
      <c r="J671" s="201"/>
    </row>
    <row r="672" spans="1:17" s="87" customFormat="1" ht="25.5">
      <c r="A672" s="232" t="s">
        <v>12</v>
      </c>
      <c r="B672" s="464" t="s">
        <v>8460</v>
      </c>
      <c r="C672" s="451" t="str">
        <f>IF(A672="SERVIÇO",VLOOKUP(B672,SERVIÇOS!$A$6:$D$7645,2,0),IF(A672="INSUMO",VLOOKUP(B672,INSUMOS!$A$6:$D$6961,2,0),IF(A672="COTAÇÃO",VLOOKUP(B672,'036-20-Cotação'!$A$9:$G$529,2,0))))</f>
        <v>ARRUELA LISA M20 ASTM CLASSE 5</v>
      </c>
      <c r="D672" s="452" t="str">
        <f>IF(A672="SERVIÇO",VLOOKUP(B672,SERVIÇOS!$A$6:$E$7645,5,0),IF(A672="INSUMO",VLOOKUP(B672,INSUMOS!$A$6:$E$6961,5,0),IF(A672="COTAÇÃO",VLOOKUP(B672,'036-20-Cotação'!$A$9:$H$529,8,0))))</f>
        <v>MAT.</v>
      </c>
      <c r="E672" s="452" t="str">
        <f>IF(A672="SERVIÇO",VLOOKUP(B672,SERVIÇOS!$A$6:$D$7645,3,0),IF(A672="INSUMO",VLOOKUP(B672,INSUMOS!$A$6:$D$6961,3,0),IF(A672="COTAÇÃO",VLOOKUP(B672,'036-20-Cotação'!$A$9:$G$529,4,0))))</f>
        <v>UN</v>
      </c>
      <c r="F672" s="462">
        <v>1</v>
      </c>
      <c r="G672" s="453">
        <f>IF(A672="SERVIÇO",VLOOKUP(B672,SERVIÇOS!$A$6:$D$7645,4,0),IF(A672="INSUMO",VLOOKUP(B672,INSUMOS!$A$6:$D$6961,4,0),IF(A672="COTAÇÃO",VLOOKUP(B672,'036-20-Cotação'!$A$9:$G$529,3,0))))</f>
        <v>0.34818778219426533</v>
      </c>
      <c r="H672" s="463">
        <f t="shared" si="92"/>
        <v>0.34818778219426533</v>
      </c>
      <c r="J672" s="201"/>
    </row>
    <row r="673" spans="1:17" s="87" customFormat="1" ht="12.75">
      <c r="A673" s="188"/>
      <c r="B673" s="348" t="s">
        <v>123</v>
      </c>
      <c r="C673" s="695" t="s">
        <v>8438</v>
      </c>
      <c r="D673" s="696"/>
      <c r="E673" s="696"/>
      <c r="F673" s="696"/>
      <c r="G673" s="696"/>
      <c r="H673" s="697"/>
      <c r="J673" s="201"/>
    </row>
    <row r="674" spans="1:17" s="78" customFormat="1" ht="12.75">
      <c r="A674" s="188"/>
      <c r="B674" s="346"/>
      <c r="C674" s="347"/>
      <c r="D674" s="347"/>
      <c r="E674" s="347"/>
      <c r="F674" s="347"/>
      <c r="G674" s="347"/>
      <c r="H674" s="347"/>
      <c r="J674" s="79"/>
      <c r="K674" s="87"/>
      <c r="L674" s="87"/>
      <c r="M674" s="87"/>
      <c r="N674" s="87"/>
      <c r="O674" s="87"/>
      <c r="P674" s="87"/>
      <c r="Q674" s="87"/>
    </row>
    <row r="675" spans="1:17" s="78" customFormat="1" ht="63.75">
      <c r="A675" s="188"/>
      <c r="B675" s="80" t="s">
        <v>13454</v>
      </c>
      <c r="C675" s="81" t="s">
        <v>13455</v>
      </c>
      <c r="D675" s="82" t="s">
        <v>84</v>
      </c>
      <c r="E675" s="82" t="s">
        <v>5</v>
      </c>
      <c r="F675" s="83"/>
      <c r="G675" s="84"/>
      <c r="H675" s="85">
        <f>SUM(H676:H682)</f>
        <v>112.53644451606843</v>
      </c>
      <c r="J675" s="79" t="s">
        <v>8448</v>
      </c>
      <c r="K675" s="87"/>
      <c r="L675" s="87"/>
      <c r="M675" s="87"/>
      <c r="N675" s="87"/>
      <c r="O675" s="87"/>
      <c r="P675" s="87"/>
      <c r="Q675" s="87"/>
    </row>
    <row r="676" spans="1:17" s="87" customFormat="1" ht="25.5">
      <c r="A676" s="232" t="s">
        <v>4542</v>
      </c>
      <c r="B676" s="464" t="s">
        <v>8804</v>
      </c>
      <c r="C676" s="451" t="str">
        <f>IF(A676="SERVIÇO",VLOOKUP(B676,SERVIÇOS!$A$6:$D$7645,2,0),IF(A676="INSUMO",VLOOKUP(B676,INSUMOS!$A$6:$D$6961,2,0),IF(A676="COTAÇÃO",VLOOKUP(B676,'036-20-Cotação'!$A$9:$G$529,2,0))))</f>
        <v>GUINDASTE SOBRE RODAS COM CAPACIDADE DE 370 KN.M - 75 KW</v>
      </c>
      <c r="D676" s="452" t="str">
        <f>IF(A676="SERVIÇO",VLOOKUP(B676,SERVIÇOS!$A$6:$E$7645,5,0),IF(A676="INSUMO",VLOOKUP(B676,INSUMOS!$A$6:$E$6961,5,0),IF(A676="COTAÇÃO",VLOOKUP(B676,'036-20-Cotação'!$A$9:$H$529,8,0))))</f>
        <v>EQUIP.</v>
      </c>
      <c r="E676" s="452" t="str">
        <f>IF(A676="SERVIÇO",VLOOKUP(B676,SERVIÇOS!$A$6:$D$7645,3,0),IF(A676="INSUMO",VLOOKUP(B676,INSUMOS!$A$6:$D$6961,3,0),IF(A676="COTAÇÃO",VLOOKUP(B676,'036-20-Cotação'!$A$9:$G$529,4,0))))</f>
        <v>CHP</v>
      </c>
      <c r="F676" s="462">
        <f>0.4/2.5</f>
        <v>0.16</v>
      </c>
      <c r="G676" s="453">
        <f>IF(A676="SERVIÇO",VLOOKUP(B676,SERVIÇOS!$A$6:$D$7645,4,0),IF(A676="INSUMO",VLOOKUP(B676,INSUMOS!$A$6:$D$6961,4,0),IF(A676="COTAÇÃO",VLOOKUP(B676,'036-20-Cotação'!$A$9:$G$529,3,0))))</f>
        <v>148.07040000000001</v>
      </c>
      <c r="H676" s="463">
        <f t="shared" ref="H676:H679" si="93">G676*F676</f>
        <v>23.691264</v>
      </c>
      <c r="J676" s="201"/>
    </row>
    <row r="677" spans="1:17" s="87" customFormat="1" ht="25.5">
      <c r="A677" s="232" t="s">
        <v>4542</v>
      </c>
      <c r="B677" s="464" t="s">
        <v>9644</v>
      </c>
      <c r="C677" s="451" t="str">
        <f>IF(A677="SERVIÇO",VLOOKUP(B677,SERVIÇOS!$A$6:$D$7645,2,0),IF(A677="INSUMO",VLOOKUP(B677,INSUMOS!$A$6:$D$6961,2,0),IF(A677="COTAÇÃO",VLOOKUP(B677,'036-20-Cotação'!$A$9:$G$529,2,0))))</f>
        <v>GUINDASTE SOBRE RODAS COM CAPACIDADE DE 370 KN.M - 75 KW</v>
      </c>
      <c r="D677" s="452" t="str">
        <f>IF(A677="SERVIÇO",VLOOKUP(B677,SERVIÇOS!$A$6:$E$7645,5,0),IF(A677="INSUMO",VLOOKUP(B677,INSUMOS!$A$6:$E$6961,5,0),IF(A677="COTAÇÃO",VLOOKUP(B677,'036-20-Cotação'!$A$9:$H$529,8,0))))</f>
        <v>EQUIP.</v>
      </c>
      <c r="E677" s="452" t="str">
        <f>IF(A677="SERVIÇO",VLOOKUP(B677,SERVIÇOS!$A$6:$D$7645,3,0),IF(A677="INSUMO",VLOOKUP(B677,INSUMOS!$A$6:$D$6961,3,0),IF(A677="COTAÇÃO",VLOOKUP(B677,'036-20-Cotação'!$A$9:$G$529,4,0))))</f>
        <v>CHI</v>
      </c>
      <c r="F677" s="462">
        <f>0.6/2.5</f>
        <v>0.24</v>
      </c>
      <c r="G677" s="453">
        <f>IF(A677="SERVIÇO",VLOOKUP(B677,SERVIÇOS!$A$6:$D$7645,4,0),IF(A677="INSUMO",VLOOKUP(B677,INSUMOS!$A$6:$D$6961,4,0),IF(A677="COTAÇÃO",VLOOKUP(B677,'036-20-Cotação'!$A$9:$G$529,3,0))))</f>
        <v>74.887100000000004</v>
      </c>
      <c r="H677" s="463">
        <f t="shared" si="93"/>
        <v>17.972904</v>
      </c>
      <c r="J677" s="201"/>
    </row>
    <row r="678" spans="1:17" s="87" customFormat="1" ht="12.75">
      <c r="A678" s="232" t="s">
        <v>4542</v>
      </c>
      <c r="B678" s="464" t="s">
        <v>6825</v>
      </c>
      <c r="C678" s="451" t="str">
        <f>IF(A678="SERVIÇO",VLOOKUP(B678,SERVIÇOS!$A$6:$D$7645,2,0),IF(A678="INSUMO",VLOOKUP(B678,INSUMOS!$A$6:$D$6961,2,0),IF(A678="COTAÇÃO",VLOOKUP(B678,'036-20-Cotação'!$A$9:$G$529,2,0))))</f>
        <v>AJUDANTE</v>
      </c>
      <c r="D678" s="452" t="str">
        <f>IF(A678="SERVIÇO",VLOOKUP(B678,SERVIÇOS!$A$6:$E$7645,5,0),IF(A678="INSUMO",VLOOKUP(B678,INSUMOS!$A$6:$E$6961,5,0),IF(A678="COTAÇÃO",VLOOKUP(B678,'036-20-Cotação'!$A$9:$H$529,8,0))))</f>
        <v>M.O</v>
      </c>
      <c r="E678" s="452" t="str">
        <f>IF(A678="SERVIÇO",VLOOKUP(B678,SERVIÇOS!$A$6:$D$7645,3,0),IF(A678="INSUMO",VLOOKUP(B678,INSUMOS!$A$6:$D$6961,3,0),IF(A678="COTAÇÃO",VLOOKUP(B678,'036-20-Cotação'!$A$9:$G$529,4,0))))</f>
        <v>H</v>
      </c>
      <c r="F678" s="462">
        <f>2/2.5</f>
        <v>0.8</v>
      </c>
      <c r="G678" s="453">
        <f>IF(A678="SERVIÇO",VLOOKUP(B678,SERVIÇOS!$A$6:$D$7645,4,0),IF(A678="INSUMO",VLOOKUP(B678,INSUMOS!$A$6:$D$6961,4,0),IF(A678="COTAÇÃO",VLOOKUP(B678,'036-20-Cotação'!$A$9:$G$529,3,0))))</f>
        <v>17.9801</v>
      </c>
      <c r="H678" s="463">
        <f t="shared" si="93"/>
        <v>14.384080000000001</v>
      </c>
      <c r="J678" s="201"/>
    </row>
    <row r="679" spans="1:17" s="87" customFormat="1" ht="12.75">
      <c r="A679" s="232" t="s">
        <v>4542</v>
      </c>
      <c r="B679" s="531" t="s">
        <v>6601</v>
      </c>
      <c r="C679" s="451" t="str">
        <f>IF(A679="SERVIÇO",VLOOKUP(B679,SERVIÇOS!$A$6:$D$7645,2,0),IF(A679="INSUMO",VLOOKUP(B679,INSUMOS!$A$6:$D$6961,2,0),IF(A679="COTAÇÃO",VLOOKUP(B679,'036-20-Cotação'!$A$9:$G$529,2,0))))</f>
        <v>MONTADOR</v>
      </c>
      <c r="D679" s="452" t="str">
        <f>IF(A679="SERVIÇO",VLOOKUP(B679,SERVIÇOS!$A$6:$E$7645,5,0),IF(A679="INSUMO",VLOOKUP(B679,INSUMOS!$A$6:$E$6961,5,0),IF(A679="COTAÇÃO",VLOOKUP(B679,'036-20-Cotação'!$A$9:$H$529,8,0))))</f>
        <v>M.O</v>
      </c>
      <c r="E679" s="452" t="str">
        <f>IF(A679="SERVIÇO",VLOOKUP(B679,SERVIÇOS!$A$6:$D$7645,3,0),IF(A679="INSUMO",VLOOKUP(B679,INSUMOS!$A$6:$D$6961,3,0),IF(A679="COTAÇÃO",VLOOKUP(B679,'036-20-Cotação'!$A$9:$G$529,4,0))))</f>
        <v>H</v>
      </c>
      <c r="F679" s="462">
        <f>0.5/2.5</f>
        <v>0.2</v>
      </c>
      <c r="G679" s="453">
        <f>IF(A679="SERVIÇO",VLOOKUP(B679,SERVIÇOS!$A$6:$D$7645,4,0),IF(A679="INSUMO",VLOOKUP(B679,INSUMOS!$A$6:$D$6961,4,0),IF(A679="COTAÇÃO",VLOOKUP(B679,'036-20-Cotação'!$A$9:$G$529,3,0))))</f>
        <v>23.4679</v>
      </c>
      <c r="H679" s="463">
        <f t="shared" si="93"/>
        <v>4.6935799999999999</v>
      </c>
      <c r="J679" s="201"/>
    </row>
    <row r="680" spans="1:17" s="87" customFormat="1" ht="12.75">
      <c r="A680" s="232" t="s">
        <v>4542</v>
      </c>
      <c r="B680" s="464"/>
      <c r="C680" s="451" t="s">
        <v>8440</v>
      </c>
      <c r="D680" s="452" t="s">
        <v>7326</v>
      </c>
      <c r="E680" s="452" t="s">
        <v>8441</v>
      </c>
      <c r="F680" s="528">
        <v>0.37140000000000001</v>
      </c>
      <c r="G680" s="453"/>
      <c r="H680" s="463">
        <f>(H678+H679)*F680</f>
        <v>7.0854429240000005</v>
      </c>
      <c r="J680" s="201"/>
    </row>
    <row r="681" spans="1:17" s="87" customFormat="1" ht="25.5">
      <c r="A681" s="232" t="s">
        <v>4542</v>
      </c>
      <c r="B681" s="531">
        <v>1109680</v>
      </c>
      <c r="C681" s="451" t="str">
        <f>'036-20-CCA''s'!$C$235</f>
        <v>ARGAMASSA PARA REPAROS E GROUTEAMENTO</v>
      </c>
      <c r="D681" s="452" t="str">
        <f>'036-20-CCA''s'!$D$235</f>
        <v>SER.CG</v>
      </c>
      <c r="E681" s="452" t="str">
        <f>'036-20-CCA''s'!$E$235</f>
        <v>M3</v>
      </c>
      <c r="F681" s="462">
        <v>1.4E-2</v>
      </c>
      <c r="G681" s="453">
        <f>'036-20-CCA''s'!$H$235</f>
        <v>3190.7960579904161</v>
      </c>
      <c r="H681" s="463">
        <f t="shared" ref="H681" si="94">G681*F681</f>
        <v>44.67114481186583</v>
      </c>
      <c r="J681" s="201"/>
    </row>
    <row r="682" spans="1:17" s="87" customFormat="1" ht="25.5">
      <c r="A682" s="232" t="s">
        <v>4542</v>
      </c>
      <c r="B682" s="531">
        <v>3806402</v>
      </c>
      <c r="C682" s="451" t="str">
        <f>'036-20-CCA''s'!$C$247</f>
        <v>LIMPEZA EM SUPERFICIE DE CONCRETO COM JATEAMENTO D'ÁGUA SOB PRESSÃO</v>
      </c>
      <c r="D682" s="452" t="str">
        <f>'036-20-CCA''s'!$D$247</f>
        <v xml:space="preserve">SER.CG </v>
      </c>
      <c r="E682" s="452" t="str">
        <f>'036-20-CCA''s'!$E$247</f>
        <v>M2</v>
      </c>
      <c r="F682" s="462">
        <v>1.4E-2</v>
      </c>
      <c r="G682" s="453">
        <f>'036-20-CCA''s'!$H$247</f>
        <v>2.7163414430424733</v>
      </c>
      <c r="H682" s="463">
        <f t="shared" ref="H682" si="95">G682*F682</f>
        <v>3.8028780202594627E-2</v>
      </c>
      <c r="J682" s="201"/>
    </row>
    <row r="683" spans="1:17" s="87" customFormat="1" ht="12.75">
      <c r="A683" s="188"/>
      <c r="B683" s="348" t="s">
        <v>123</v>
      </c>
      <c r="C683" s="695" t="s">
        <v>8438</v>
      </c>
      <c r="D683" s="696"/>
      <c r="E683" s="696"/>
      <c r="F683" s="696"/>
      <c r="G683" s="696"/>
      <c r="H683" s="697"/>
      <c r="J683" s="201"/>
    </row>
    <row r="684" spans="1:17" s="87" customFormat="1" ht="12.75">
      <c r="A684" s="188"/>
      <c r="B684" s="346"/>
      <c r="C684" s="365"/>
      <c r="D684" s="365"/>
      <c r="E684" s="365"/>
      <c r="F684" s="365"/>
      <c r="G684" s="365"/>
      <c r="H684" s="366"/>
      <c r="J684" s="201"/>
      <c r="K684" s="78"/>
      <c r="L684" s="78"/>
      <c r="M684" s="78"/>
      <c r="N684" s="78"/>
      <c r="O684" s="78"/>
      <c r="P684" s="78"/>
      <c r="Q684" s="78"/>
    </row>
    <row r="685" spans="1:17" s="87" customFormat="1" ht="38.25">
      <c r="A685" s="188"/>
      <c r="B685" s="80" t="s">
        <v>7423</v>
      </c>
      <c r="C685" s="81" t="s">
        <v>7855</v>
      </c>
      <c r="D685" s="82" t="s">
        <v>84</v>
      </c>
      <c r="E685" s="82" t="s">
        <v>4521</v>
      </c>
      <c r="F685" s="83"/>
      <c r="G685" s="84"/>
      <c r="H685" s="85">
        <f>SUM(H686:H688)</f>
        <v>127.6147</v>
      </c>
      <c r="J685" s="201" t="s">
        <v>8065</v>
      </c>
      <c r="K685" s="78"/>
      <c r="L685" s="78"/>
      <c r="M685" s="78"/>
      <c r="N685" s="78"/>
      <c r="O685" s="78"/>
      <c r="P685" s="78"/>
      <c r="Q685" s="78"/>
    </row>
    <row r="686" spans="1:17" s="87" customFormat="1" ht="25.5">
      <c r="A686" s="232" t="s">
        <v>4542</v>
      </c>
      <c r="B686" s="464" t="s">
        <v>9562</v>
      </c>
      <c r="C686" s="451" t="str">
        <f>IF(A686="SERVIÇO",VLOOKUP(B686,SERVIÇOS!$A$6:$D$7645,2,0),IF(A686="INSUMO",VLOOKUP(B686,INSUMOS!$A$6:$D$6961,2,0),IF(A686="COTAÇÃO",VLOOKUP(B686,'036-20-Cotação'!$A$9:$G$529,2,0))))</f>
        <v>CAMINHÃO CARROCERIA COM GUINDAUTO COM CAPACIDADE DE 20 T.M - 136 KW</v>
      </c>
      <c r="D686" s="452" t="str">
        <f>IF(A686="SERVIÇO",VLOOKUP(B686,SERVIÇOS!$A$6:$E$7645,5,0),IF(A686="INSUMO",VLOOKUP(B686,INSUMOS!$A$6:$E$6961,5,0),IF(A686="COTAÇÃO",VLOOKUP(B686,'036-20-Cotação'!$A$9:$H$529,8,0))))</f>
        <v>EQUIP.</v>
      </c>
      <c r="E686" s="452" t="str">
        <f>IF(A686="SERVIÇO",VLOOKUP(B686,SERVIÇOS!$A$6:$D$7645,3,0),IF(A686="INSUMO",VLOOKUP(B686,INSUMOS!$A$6:$D$6961,3,0),IF(A686="COTAÇÃO",VLOOKUP(B686,'036-20-Cotação'!$A$9:$G$529,4,0))))</f>
        <v>CHP</v>
      </c>
      <c r="F686" s="462">
        <v>0.5</v>
      </c>
      <c r="G686" s="453">
        <f>IF(A686="SERVIÇO",VLOOKUP(B686,SERVIÇOS!$A$6:$D$7645,4,0),IF(A686="INSUMO",VLOOKUP(B686,INSUMOS!$A$6:$D$6961,4,0),IF(A686="COTAÇÃO",VLOOKUP(B686,'036-20-Cotação'!$A$9:$G$529,3,0))))</f>
        <v>184.84899999999999</v>
      </c>
      <c r="H686" s="463">
        <f t="shared" ref="H686:H688" si="96">G686*F686</f>
        <v>92.424499999999995</v>
      </c>
      <c r="J686" s="201"/>
    </row>
    <row r="687" spans="1:17" s="87" customFormat="1" ht="12.75">
      <c r="A687" s="232" t="s">
        <v>4542</v>
      </c>
      <c r="B687" s="464" t="s">
        <v>6602</v>
      </c>
      <c r="C687" s="451" t="str">
        <f>IF(A687="SERVIÇO",VLOOKUP(B687,SERVIÇOS!$A$6:$D$7645,2,0),IF(A687="INSUMO",VLOOKUP(B687,INSUMOS!$A$6:$D$6961,2,0),IF(A687="COTAÇÃO",VLOOKUP(B687,'036-20-Cotação'!$A$9:$G$529,2,0))))</f>
        <v>SERVENTE</v>
      </c>
      <c r="D687" s="452" t="str">
        <f>IF(A687="SERVIÇO",VLOOKUP(B687,SERVIÇOS!$A$6:$E$7645,5,0),IF(A687="INSUMO",VLOOKUP(B687,INSUMOS!$A$6:$E$6961,5,0),IF(A687="COTAÇÃO",VLOOKUP(B687,'036-20-Cotação'!$A$9:$H$529,8,0))))</f>
        <v>M.O</v>
      </c>
      <c r="E687" s="452" t="str">
        <f>IF(A687="SERVIÇO",VLOOKUP(B687,SERVIÇOS!$A$6:$D$7645,3,0),IF(A687="INSUMO",VLOOKUP(B687,INSUMOS!$A$6:$D$6961,3,0),IF(A687="COTAÇÃO",VLOOKUP(B687,'036-20-Cotação'!$A$9:$G$529,4,0))))</f>
        <v>H</v>
      </c>
      <c r="F687" s="462">
        <v>1.5</v>
      </c>
      <c r="G687" s="453">
        <f>IF(A687="SERVIÇO",VLOOKUP(B687,SERVIÇOS!$A$6:$D$7645,4,0),IF(A687="INSUMO",VLOOKUP(B687,INSUMOS!$A$6:$D$6961,4,0),IF(A687="COTAÇÃO",VLOOKUP(B687,'036-20-Cotação'!$A$9:$G$529,3,0))))</f>
        <v>15.637499999999999</v>
      </c>
      <c r="H687" s="463">
        <f t="shared" si="96"/>
        <v>23.456249999999997</v>
      </c>
      <c r="J687" s="201"/>
    </row>
    <row r="688" spans="1:17" s="87" customFormat="1" ht="12.75">
      <c r="A688" s="232" t="s">
        <v>4542</v>
      </c>
      <c r="B688" s="464" t="s">
        <v>6601</v>
      </c>
      <c r="C688" s="451" t="str">
        <f>IF(A688="SERVIÇO",VLOOKUP(B688,SERVIÇOS!$A$6:$D$7645,2,0),IF(A688="INSUMO",VLOOKUP(B688,INSUMOS!$A$6:$D$6961,2,0),IF(A688="COTAÇÃO",VLOOKUP(B688,'036-20-Cotação'!$A$9:$G$529,2,0))))</f>
        <v>MONTADOR</v>
      </c>
      <c r="D688" s="452" t="str">
        <f>IF(A688="SERVIÇO",VLOOKUP(B688,SERVIÇOS!$A$6:$E$7645,5,0),IF(A688="INSUMO",VLOOKUP(B688,INSUMOS!$A$6:$E$6961,5,0),IF(A688="COTAÇÃO",VLOOKUP(B688,'036-20-Cotação'!$A$9:$H$529,8,0))))</f>
        <v>M.O</v>
      </c>
      <c r="E688" s="452" t="str">
        <f>IF(A688="SERVIÇO",VLOOKUP(B688,SERVIÇOS!$A$6:$D$7645,3,0),IF(A688="INSUMO",VLOOKUP(B688,INSUMOS!$A$6:$D$6961,3,0),IF(A688="COTAÇÃO",VLOOKUP(B688,'036-20-Cotação'!$A$9:$G$529,4,0))))</f>
        <v>H</v>
      </c>
      <c r="F688" s="462">
        <v>0.5</v>
      </c>
      <c r="G688" s="453">
        <f>IF(A688="SERVIÇO",VLOOKUP(B688,SERVIÇOS!$A$6:$D$7645,4,0),IF(A688="INSUMO",VLOOKUP(B688,INSUMOS!$A$6:$D$6961,4,0),IF(A688="COTAÇÃO",VLOOKUP(B688,'036-20-Cotação'!$A$9:$G$529,3,0))))</f>
        <v>23.4679</v>
      </c>
      <c r="H688" s="463">
        <f t="shared" si="96"/>
        <v>11.73395</v>
      </c>
      <c r="J688" s="201"/>
    </row>
    <row r="689" spans="1:17" s="87" customFormat="1" ht="12.75">
      <c r="A689" s="188"/>
      <c r="B689" s="348" t="s">
        <v>123</v>
      </c>
      <c r="C689" s="695" t="s">
        <v>8069</v>
      </c>
      <c r="D689" s="696"/>
      <c r="E689" s="696"/>
      <c r="F689" s="696"/>
      <c r="G689" s="696"/>
      <c r="H689" s="697"/>
      <c r="J689" s="201"/>
      <c r="K689" s="78"/>
      <c r="L689" s="78"/>
      <c r="M689" s="78"/>
      <c r="N689" s="78"/>
      <c r="O689" s="78"/>
      <c r="P689" s="78"/>
      <c r="Q689" s="78"/>
    </row>
    <row r="690" spans="1:17" s="87" customFormat="1" ht="12.75">
      <c r="A690" s="188"/>
      <c r="B690" s="346"/>
      <c r="C690" s="365"/>
      <c r="D690" s="365"/>
      <c r="E690" s="365"/>
      <c r="F690" s="365"/>
      <c r="G690" s="365"/>
      <c r="H690" s="366"/>
      <c r="J690" s="201"/>
      <c r="K690" s="78"/>
      <c r="L690" s="78"/>
      <c r="M690" s="78"/>
      <c r="N690" s="78"/>
      <c r="O690" s="78"/>
      <c r="P690" s="78"/>
      <c r="Q690" s="78"/>
    </row>
    <row r="691" spans="1:17" s="87" customFormat="1" ht="25.5">
      <c r="A691" s="188"/>
      <c r="B691" s="80" t="s">
        <v>7424</v>
      </c>
      <c r="C691" s="81" t="s">
        <v>7380</v>
      </c>
      <c r="D691" s="82" t="s">
        <v>84</v>
      </c>
      <c r="E691" s="82" t="s">
        <v>5</v>
      </c>
      <c r="F691" s="83"/>
      <c r="G691" s="84"/>
      <c r="H691" s="85">
        <f>SUM(H692:H696)</f>
        <v>45.964322733879712</v>
      </c>
      <c r="J691" s="201" t="s">
        <v>7476</v>
      </c>
      <c r="K691" s="78"/>
      <c r="L691" s="78"/>
      <c r="M691" s="78"/>
      <c r="N691" s="78"/>
      <c r="O691" s="78"/>
      <c r="P691" s="78"/>
      <c r="Q691" s="78"/>
    </row>
    <row r="692" spans="1:17" s="87" customFormat="1" ht="25.5">
      <c r="A692" s="232" t="s">
        <v>4542</v>
      </c>
      <c r="B692" s="464" t="s">
        <v>8786</v>
      </c>
      <c r="C692" s="451" t="str">
        <f>IF(A692="SERVIÇO",VLOOKUP(B692,SERVIÇOS!$A$6:$D$7645,2,0),IF(A692="INSUMO",VLOOKUP(B692,INSUMOS!$A$6:$D$6961,2,0),IF(A692="COTAÇÃO",VLOOKUP(B692,'036-20-Cotação'!$A$9:$G$529,2,0))))</f>
        <v>MÁQUINA DE SOLDA POR TERMOFUSÃO PARA TUBOS PEAD COM GERADOR DE 5,5 KVA</v>
      </c>
      <c r="D692" s="452" t="str">
        <f>IF(A692="SERVIÇO",VLOOKUP(B692,SERVIÇOS!$A$6:$E$7645,5,0),IF(A692="INSUMO",VLOOKUP(B692,INSUMOS!$A$6:$E$6961,5,0),IF(A692="COTAÇÃO",VLOOKUP(B692,'036-20-Cotação'!$A$9:$H$529,8,0))))</f>
        <v>EQUIP.</v>
      </c>
      <c r="E692" s="452" t="str">
        <f>IF(A692="SERVIÇO",VLOOKUP(B692,SERVIÇOS!$A$6:$D$7645,3,0),IF(A692="INSUMO",VLOOKUP(B692,INSUMOS!$A$6:$D$6961,3,0),IF(A692="COTAÇÃO",VLOOKUP(B692,'036-20-Cotação'!$A$9:$G$529,4,0))))</f>
        <v>CHP</v>
      </c>
      <c r="F692" s="462">
        <f>0.60497/4.29</f>
        <v>0.14101864801864802</v>
      </c>
      <c r="G692" s="453">
        <f>IF(A692="SERVIÇO",VLOOKUP(B692,SERVIÇOS!$A$6:$D$7645,4,0),IF(A692="INSUMO",VLOOKUP(B692,INSUMOS!$A$6:$D$6961,4,0),IF(A692="COTAÇÃO",VLOOKUP(B692,'036-20-Cotação'!$A$9:$G$529,3,0))))</f>
        <v>46.067700000000002</v>
      </c>
      <c r="H692" s="463">
        <f t="shared" ref="H692:H695" si="97">G692*F692</f>
        <v>6.4964047713286721</v>
      </c>
      <c r="J692" s="201"/>
    </row>
    <row r="693" spans="1:17" s="87" customFormat="1" ht="12.75">
      <c r="A693" s="232" t="s">
        <v>4542</v>
      </c>
      <c r="B693" s="464" t="s">
        <v>6613</v>
      </c>
      <c r="C693" s="451" t="str">
        <f>IF(A693="SERVIÇO",VLOOKUP(B693,SERVIÇOS!$A$6:$D$7645,2,0),IF(A693="INSUMO",VLOOKUP(B693,INSUMOS!$A$6:$D$6961,2,0),IF(A693="COTAÇÃO",VLOOKUP(B693,'036-20-Cotação'!$A$9:$G$529,2,0))))</f>
        <v>CARPINTEIRO</v>
      </c>
      <c r="D693" s="452" t="str">
        <f>IF(A693="SERVIÇO",VLOOKUP(B693,SERVIÇOS!$A$6:$E$7645,5,0),IF(A693="INSUMO",VLOOKUP(B693,INSUMOS!$A$6:$E$6961,5,0),IF(A693="COTAÇÃO",VLOOKUP(B693,'036-20-Cotação'!$A$9:$H$529,8,0))))</f>
        <v>M.O</v>
      </c>
      <c r="E693" s="452" t="str">
        <f>IF(A693="SERVIÇO",VLOOKUP(B693,SERVIÇOS!$A$6:$D$7645,3,0),IF(A693="INSUMO",VLOOKUP(B693,INSUMOS!$A$6:$D$6961,3,0),IF(A693="COTAÇÃO",VLOOKUP(B693,'036-20-Cotação'!$A$9:$G$529,4,0))))</f>
        <v>H</v>
      </c>
      <c r="F693" s="462">
        <f>2/4.29</f>
        <v>0.46620046620046618</v>
      </c>
      <c r="G693" s="453">
        <f>IF(A693="SERVIÇO",VLOOKUP(B693,SERVIÇOS!$A$6:$D$7645,4,0),IF(A693="INSUMO",VLOOKUP(B693,INSUMOS!$A$6:$D$6961,4,0),IF(A693="COTAÇÃO",VLOOKUP(B693,'036-20-Cotação'!$A$9:$G$529,3,0))))</f>
        <v>21.710999999999999</v>
      </c>
      <c r="H693" s="463">
        <f t="shared" si="97"/>
        <v>10.121678321678321</v>
      </c>
      <c r="J693" s="201"/>
    </row>
    <row r="694" spans="1:17" s="87" customFormat="1" ht="12.75">
      <c r="A694" s="232" t="s">
        <v>4542</v>
      </c>
      <c r="B694" s="464" t="s">
        <v>6602</v>
      </c>
      <c r="C694" s="451" t="str">
        <f>IF(A694="SERVIÇO",VLOOKUP(B694,SERVIÇOS!$A$6:$D$7645,2,0),IF(A694="INSUMO",VLOOKUP(B694,INSUMOS!$A$6:$D$6961,2,0),IF(A694="COTAÇÃO",VLOOKUP(B694,'036-20-Cotação'!$A$9:$G$529,2,0))))</f>
        <v>SERVENTE</v>
      </c>
      <c r="D694" s="452" t="str">
        <f>IF(A694="SERVIÇO",VLOOKUP(B694,SERVIÇOS!$A$6:$E$7645,5,0),IF(A694="INSUMO",VLOOKUP(B694,INSUMOS!$A$6:$E$6961,5,0),IF(A694="COTAÇÃO",VLOOKUP(B694,'036-20-Cotação'!$A$9:$H$529,8,0))))</f>
        <v>M.O</v>
      </c>
      <c r="E694" s="452" t="str">
        <f>IF(A694="SERVIÇO",VLOOKUP(B694,SERVIÇOS!$A$6:$D$7645,3,0),IF(A694="INSUMO",VLOOKUP(B694,INSUMOS!$A$6:$D$6961,3,0),IF(A694="COTAÇÃO",VLOOKUP(B694,'036-20-Cotação'!$A$9:$G$529,4,0))))</f>
        <v>H</v>
      </c>
      <c r="F694" s="462">
        <f>8/4.29</f>
        <v>1.8648018648018647</v>
      </c>
      <c r="G694" s="453">
        <f>IF(A694="SERVIÇO",VLOOKUP(B694,SERVIÇOS!$A$6:$D$7645,4,0),IF(A694="INSUMO",VLOOKUP(B694,INSUMOS!$A$6:$D$6961,4,0),IF(A694="COTAÇÃO",VLOOKUP(B694,'036-20-Cotação'!$A$9:$G$529,3,0))))</f>
        <v>15.637499999999999</v>
      </c>
      <c r="H694" s="463">
        <f t="shared" si="97"/>
        <v>29.16083916083916</v>
      </c>
      <c r="J694" s="201"/>
    </row>
    <row r="695" spans="1:17" s="87" customFormat="1" ht="25.5">
      <c r="A695" s="232" t="s">
        <v>4542</v>
      </c>
      <c r="B695" s="464" t="s">
        <v>13206</v>
      </c>
      <c r="C695" s="451" t="str">
        <f>'036-20-CCA''s'!$C$281</f>
        <v>TEMPO FIXO - CAMINHÃO CARROCERIA 15 T - CARGA E DESCARGA MANUAIS</v>
      </c>
      <c r="D695" s="452" t="str">
        <f>'036-20-CCA''s'!$D$281</f>
        <v>SER.CG</v>
      </c>
      <c r="E695" s="452" t="str">
        <f>'036-20-CCA''s'!$E$281</f>
        <v>T</v>
      </c>
      <c r="F695" s="462">
        <v>8.8599999999999998E-3</v>
      </c>
      <c r="G695" s="453">
        <f>'036-20-CCA''s'!$H$281</f>
        <v>20.925562080536913</v>
      </c>
      <c r="H695" s="463">
        <f t="shared" si="97"/>
        <v>0.18540048003355705</v>
      </c>
      <c r="J695" s="201"/>
    </row>
    <row r="696" spans="1:17" s="87" customFormat="1" ht="12.75">
      <c r="A696" s="188"/>
      <c r="B696" s="348" t="s">
        <v>123</v>
      </c>
      <c r="C696" s="695" t="s">
        <v>7475</v>
      </c>
      <c r="D696" s="696"/>
      <c r="E696" s="696"/>
      <c r="F696" s="696"/>
      <c r="G696" s="696"/>
      <c r="H696" s="697"/>
      <c r="J696" s="201"/>
      <c r="K696" s="78"/>
      <c r="L696" s="78"/>
      <c r="M696" s="78"/>
      <c r="N696" s="78"/>
      <c r="O696" s="78"/>
      <c r="P696" s="78"/>
      <c r="Q696" s="78"/>
    </row>
    <row r="697" spans="1:17" s="87" customFormat="1" ht="12.75">
      <c r="A697" s="188"/>
      <c r="B697" s="346"/>
      <c r="C697" s="365"/>
      <c r="D697" s="365"/>
      <c r="E697" s="365"/>
      <c r="F697" s="365"/>
      <c r="G697" s="365"/>
      <c r="H697" s="366"/>
      <c r="J697" s="201"/>
      <c r="K697" s="78"/>
      <c r="L697" s="78"/>
      <c r="M697" s="78"/>
      <c r="N697" s="78"/>
      <c r="O697" s="78"/>
      <c r="P697" s="78"/>
      <c r="Q697" s="78"/>
    </row>
    <row r="698" spans="1:17" s="87" customFormat="1" ht="38.25">
      <c r="A698" s="188"/>
      <c r="B698" s="80" t="s">
        <v>7425</v>
      </c>
      <c r="C698" s="81" t="s">
        <v>8064</v>
      </c>
      <c r="D698" s="82" t="s">
        <v>84</v>
      </c>
      <c r="E698" s="82" t="s">
        <v>4521</v>
      </c>
      <c r="F698" s="83"/>
      <c r="G698" s="84"/>
      <c r="H698" s="85">
        <f>SUM(H699:H701)</f>
        <v>345.39179999999999</v>
      </c>
      <c r="J698" s="201" t="s">
        <v>8065</v>
      </c>
      <c r="K698" s="78"/>
      <c r="L698" s="78"/>
      <c r="M698" s="78"/>
      <c r="N698" s="78"/>
      <c r="O698" s="78"/>
      <c r="P698" s="78"/>
      <c r="Q698" s="78"/>
    </row>
    <row r="699" spans="1:17" s="87" customFormat="1" ht="38.25">
      <c r="A699" s="232" t="s">
        <v>4542</v>
      </c>
      <c r="B699" s="464" t="s">
        <v>9351</v>
      </c>
      <c r="C699" s="451" t="str">
        <f>IF(A699="SERVIÇO",VLOOKUP(B699,SERVIÇOS!$A$6:$D$7645,2,0),IF(A699="INSUMO",VLOOKUP(B699,INSUMOS!$A$6:$D$6961,2,0),IF(A699="COTAÇÃO",VLOOKUP(B699,'036-20-Cotação'!$A$9:$G$529,2,0))))</f>
        <v>GUINDASTE SOBRE CAMINHÃO, COM CHASSI 4 X 4 X 4, ALTURA DE ELEVAÇÃO DE 35,8 M COM CAPACIDADE DE 1.500 KN.M - 186 KW</v>
      </c>
      <c r="D699" s="452" t="str">
        <f>IF(A699="SERVIÇO",VLOOKUP(B699,SERVIÇOS!$A$6:$E$7645,5,0),IF(A699="INSUMO",VLOOKUP(B699,INSUMOS!$A$6:$E$6961,5,0),IF(A699="COTAÇÃO",VLOOKUP(B699,'036-20-Cotação'!$A$9:$H$529,8,0))))</f>
        <v>EQUIP.</v>
      </c>
      <c r="E699" s="452" t="str">
        <f>IF(A699="SERVIÇO",VLOOKUP(B699,SERVIÇOS!$A$6:$D$7645,3,0),IF(A699="INSUMO",VLOOKUP(B699,INSUMOS!$A$6:$D$6961,3,0),IF(A699="COTAÇÃO",VLOOKUP(B699,'036-20-Cotação'!$A$9:$G$529,4,0))))</f>
        <v>CHP</v>
      </c>
      <c r="F699" s="462">
        <v>1</v>
      </c>
      <c r="G699" s="453">
        <f>IF(A699="SERVIÇO",VLOOKUP(B699,SERVIÇOS!$A$6:$D$7645,4,0),IF(A699="INSUMO",VLOOKUP(B699,INSUMOS!$A$6:$D$6961,4,0),IF(A699="COTAÇÃO",VLOOKUP(B699,'036-20-Cotação'!$A$9:$G$529,3,0))))</f>
        <v>259.37389999999999</v>
      </c>
      <c r="H699" s="463">
        <f t="shared" ref="H699:H701" si="98">G699*F699</f>
        <v>259.37389999999999</v>
      </c>
      <c r="J699" s="201"/>
    </row>
    <row r="700" spans="1:17" s="87" customFormat="1" ht="12.75">
      <c r="A700" s="232" t="s">
        <v>4542</v>
      </c>
      <c r="B700" s="464" t="s">
        <v>6602</v>
      </c>
      <c r="C700" s="451" t="str">
        <f>IF(A700="SERVIÇO",VLOOKUP(B700,SERVIÇOS!$A$6:$D$7645,2,0),IF(A700="INSUMO",VLOOKUP(B700,INSUMOS!$A$6:$D$6961,2,0),IF(A700="COTAÇÃO",VLOOKUP(B700,'036-20-Cotação'!$A$9:$G$529,2,0))))</f>
        <v>SERVENTE</v>
      </c>
      <c r="D700" s="452" t="str">
        <f>IF(A700="SERVIÇO",VLOOKUP(B700,SERVIÇOS!$A$6:$E$7645,5,0),IF(A700="INSUMO",VLOOKUP(B700,INSUMOS!$A$6:$E$6961,5,0),IF(A700="COTAÇÃO",VLOOKUP(B700,'036-20-Cotação'!$A$9:$H$529,8,0))))</f>
        <v>M.O</v>
      </c>
      <c r="E700" s="452" t="str">
        <f>IF(A700="SERVIÇO",VLOOKUP(B700,SERVIÇOS!$A$6:$D$7645,3,0),IF(A700="INSUMO",VLOOKUP(B700,INSUMOS!$A$6:$D$6961,3,0),IF(A700="COTAÇÃO",VLOOKUP(B700,'036-20-Cotação'!$A$9:$G$529,4,0))))</f>
        <v>H</v>
      </c>
      <c r="F700" s="462">
        <v>4</v>
      </c>
      <c r="G700" s="453">
        <f>IF(A700="SERVIÇO",VLOOKUP(B700,SERVIÇOS!$A$6:$D$7645,4,0),IF(A700="INSUMO",VLOOKUP(B700,INSUMOS!$A$6:$D$6961,4,0),IF(A700="COTAÇÃO",VLOOKUP(B700,'036-20-Cotação'!$A$9:$G$529,3,0))))</f>
        <v>15.637499999999999</v>
      </c>
      <c r="H700" s="463">
        <f t="shared" si="98"/>
        <v>62.55</v>
      </c>
      <c r="J700" s="201"/>
    </row>
    <row r="701" spans="1:17" s="87" customFormat="1" ht="12.75">
      <c r="A701" s="232" t="s">
        <v>4542</v>
      </c>
      <c r="B701" s="464" t="s">
        <v>6601</v>
      </c>
      <c r="C701" s="451" t="str">
        <f>IF(A701="SERVIÇO",VLOOKUP(B701,SERVIÇOS!$A$6:$D$7645,2,0),IF(A701="INSUMO",VLOOKUP(B701,INSUMOS!$A$6:$D$6961,2,0),IF(A701="COTAÇÃO",VLOOKUP(B701,'036-20-Cotação'!$A$9:$G$529,2,0))))</f>
        <v>MONTADOR</v>
      </c>
      <c r="D701" s="452" t="str">
        <f>IF(A701="SERVIÇO",VLOOKUP(B701,SERVIÇOS!$A$6:$E$7645,5,0),IF(A701="INSUMO",VLOOKUP(B701,INSUMOS!$A$6:$E$6961,5,0),IF(A701="COTAÇÃO",VLOOKUP(B701,'036-20-Cotação'!$A$9:$H$529,8,0))))</f>
        <v>M.O</v>
      </c>
      <c r="E701" s="452" t="str">
        <f>IF(A701="SERVIÇO",VLOOKUP(B701,SERVIÇOS!$A$6:$D$7645,3,0),IF(A701="INSUMO",VLOOKUP(B701,INSUMOS!$A$6:$D$6961,3,0),IF(A701="COTAÇÃO",VLOOKUP(B701,'036-20-Cotação'!$A$9:$G$529,4,0))))</f>
        <v>H</v>
      </c>
      <c r="F701" s="462">
        <v>1</v>
      </c>
      <c r="G701" s="453">
        <f>IF(A701="SERVIÇO",VLOOKUP(B701,SERVIÇOS!$A$6:$D$7645,4,0),IF(A701="INSUMO",VLOOKUP(B701,INSUMOS!$A$6:$D$6961,4,0),IF(A701="COTAÇÃO",VLOOKUP(B701,'036-20-Cotação'!$A$9:$G$529,3,0))))</f>
        <v>23.4679</v>
      </c>
      <c r="H701" s="463">
        <f t="shared" si="98"/>
        <v>23.4679</v>
      </c>
      <c r="J701" s="201"/>
    </row>
    <row r="702" spans="1:17" s="87" customFormat="1" ht="12.75">
      <c r="A702" s="188"/>
      <c r="B702" s="348" t="s">
        <v>123</v>
      </c>
      <c r="C702" s="695" t="s">
        <v>8066</v>
      </c>
      <c r="D702" s="696"/>
      <c r="E702" s="696"/>
      <c r="F702" s="696"/>
      <c r="G702" s="696"/>
      <c r="H702" s="697"/>
      <c r="J702" s="201"/>
      <c r="K702" s="78"/>
      <c r="L702" s="78"/>
      <c r="M702" s="78"/>
      <c r="N702" s="78"/>
      <c r="O702" s="78"/>
      <c r="P702" s="78"/>
      <c r="Q702" s="78"/>
    </row>
    <row r="703" spans="1:17" s="87" customFormat="1" ht="12.75">
      <c r="A703" s="188"/>
      <c r="B703" s="346"/>
      <c r="C703" s="365"/>
      <c r="D703" s="365"/>
      <c r="E703" s="365"/>
      <c r="F703" s="365"/>
      <c r="G703" s="365"/>
      <c r="H703" s="366"/>
      <c r="J703" s="201"/>
      <c r="K703" s="78"/>
      <c r="L703" s="78"/>
      <c r="M703" s="78"/>
      <c r="N703" s="78"/>
      <c r="O703" s="78"/>
      <c r="P703" s="78"/>
      <c r="Q703" s="78"/>
    </row>
    <row r="704" spans="1:17" s="87" customFormat="1" ht="38.25">
      <c r="A704" s="188"/>
      <c r="B704" s="80" t="s">
        <v>7426</v>
      </c>
      <c r="C704" s="81" t="s">
        <v>7385</v>
      </c>
      <c r="D704" s="82" t="s">
        <v>84</v>
      </c>
      <c r="E704" s="82" t="s">
        <v>4521</v>
      </c>
      <c r="F704" s="83"/>
      <c r="G704" s="84"/>
      <c r="H704" s="85">
        <f>SUM(H705:H707)</f>
        <v>270.86689999999999</v>
      </c>
      <c r="J704" s="201" t="s">
        <v>8065</v>
      </c>
      <c r="K704" s="78"/>
      <c r="L704" s="78"/>
      <c r="M704" s="78"/>
      <c r="N704" s="78"/>
      <c r="O704" s="78"/>
      <c r="P704" s="78"/>
      <c r="Q704" s="78"/>
    </row>
    <row r="705" spans="1:17" s="87" customFormat="1" ht="25.5">
      <c r="A705" s="232" t="s">
        <v>4542</v>
      </c>
      <c r="B705" s="464" t="s">
        <v>9562</v>
      </c>
      <c r="C705" s="451" t="str">
        <f>IF(A705="SERVIÇO",VLOOKUP(B705,SERVIÇOS!$A$6:$D$7645,2,0),IF(A705="INSUMO",VLOOKUP(B705,INSUMOS!$A$6:$D$6961,2,0),IF(A705="COTAÇÃO",VLOOKUP(B705,'036-20-Cotação'!$A$9:$G$529,2,0))))</f>
        <v>CAMINHÃO CARROCERIA COM GUINDAUTO COM CAPACIDADE DE 20 T.M - 136 KW</v>
      </c>
      <c r="D705" s="452" t="str">
        <f>IF(A705="SERVIÇO",VLOOKUP(B705,SERVIÇOS!$A$6:$E$7645,5,0),IF(A705="INSUMO",VLOOKUP(B705,INSUMOS!$A$6:$E$6961,5,0),IF(A705="COTAÇÃO",VLOOKUP(B705,'036-20-Cotação'!$A$9:$H$529,8,0))))</f>
        <v>EQUIP.</v>
      </c>
      <c r="E705" s="452" t="str">
        <f>IF(A705="SERVIÇO",VLOOKUP(B705,SERVIÇOS!$A$6:$D$7645,3,0),IF(A705="INSUMO",VLOOKUP(B705,INSUMOS!$A$6:$D$6961,3,0),IF(A705="COTAÇÃO",VLOOKUP(B705,'036-20-Cotação'!$A$9:$G$529,4,0))))</f>
        <v>CHP</v>
      </c>
      <c r="F705" s="462">
        <v>1</v>
      </c>
      <c r="G705" s="453">
        <f>IF(A705="SERVIÇO",VLOOKUP(B705,SERVIÇOS!$A$6:$D$7645,4,0),IF(A705="INSUMO",VLOOKUP(B705,INSUMOS!$A$6:$D$6961,4,0),IF(A705="COTAÇÃO",VLOOKUP(B705,'036-20-Cotação'!$A$9:$G$529,3,0))))</f>
        <v>184.84899999999999</v>
      </c>
      <c r="H705" s="463">
        <f t="shared" ref="H705" si="99">G705*F705</f>
        <v>184.84899999999999</v>
      </c>
      <c r="J705" s="201"/>
    </row>
    <row r="706" spans="1:17" s="87" customFormat="1" ht="12.75">
      <c r="A706" s="232" t="s">
        <v>4542</v>
      </c>
      <c r="B706" s="464" t="s">
        <v>6602</v>
      </c>
      <c r="C706" s="451" t="str">
        <f>IF(A706="SERVIÇO",VLOOKUP(B706,SERVIÇOS!$A$6:$D$7645,2,0),IF(A706="INSUMO",VLOOKUP(B706,INSUMOS!$A$6:$D$6961,2,0),IF(A706="COTAÇÃO",VLOOKUP(B706,'036-20-Cotação'!$A$9:$G$529,2,0))))</f>
        <v>SERVENTE</v>
      </c>
      <c r="D706" s="452" t="str">
        <f>IF(A706="SERVIÇO",VLOOKUP(B706,SERVIÇOS!$A$6:$E$7645,5,0),IF(A706="INSUMO",VLOOKUP(B706,INSUMOS!$A$6:$E$6961,5,0),IF(A706="COTAÇÃO",VLOOKUP(B706,'036-20-Cotação'!$A$9:$H$529,8,0))))</f>
        <v>M.O</v>
      </c>
      <c r="E706" s="452" t="str">
        <f>IF(A706="SERVIÇO",VLOOKUP(B706,SERVIÇOS!$A$6:$D$7645,3,0),IF(A706="INSUMO",VLOOKUP(B706,INSUMOS!$A$6:$D$6961,3,0),IF(A706="COTAÇÃO",VLOOKUP(B706,'036-20-Cotação'!$A$9:$G$529,4,0))))</f>
        <v>H</v>
      </c>
      <c r="F706" s="462">
        <v>4</v>
      </c>
      <c r="G706" s="453">
        <f>IF(A706="SERVIÇO",VLOOKUP(B706,SERVIÇOS!$A$6:$D$7645,4,0),IF(A706="INSUMO",VLOOKUP(B706,INSUMOS!$A$6:$D$6961,4,0),IF(A706="COTAÇÃO",VLOOKUP(B706,'036-20-Cotação'!$A$9:$G$529,3,0))))</f>
        <v>15.637499999999999</v>
      </c>
      <c r="H706" s="463">
        <f t="shared" ref="H706:H707" si="100">G706*F706</f>
        <v>62.55</v>
      </c>
      <c r="J706" s="201"/>
    </row>
    <row r="707" spans="1:17" s="87" customFormat="1" ht="12.75">
      <c r="A707" s="232" t="s">
        <v>4542</v>
      </c>
      <c r="B707" s="464" t="s">
        <v>6601</v>
      </c>
      <c r="C707" s="451" t="str">
        <f>IF(A707="SERVIÇO",VLOOKUP(B707,SERVIÇOS!$A$6:$D$7645,2,0),IF(A707="INSUMO",VLOOKUP(B707,INSUMOS!$A$6:$D$6961,2,0),IF(A707="COTAÇÃO",VLOOKUP(B707,'036-20-Cotação'!$A$9:$G$529,2,0))))</f>
        <v>MONTADOR</v>
      </c>
      <c r="D707" s="452" t="str">
        <f>IF(A707="SERVIÇO",VLOOKUP(B707,SERVIÇOS!$A$6:$E$7645,5,0),IF(A707="INSUMO",VLOOKUP(B707,INSUMOS!$A$6:$E$6961,5,0),IF(A707="COTAÇÃO",VLOOKUP(B707,'036-20-Cotação'!$A$9:$H$529,8,0))))</f>
        <v>M.O</v>
      </c>
      <c r="E707" s="452" t="str">
        <f>IF(A707="SERVIÇO",VLOOKUP(B707,SERVIÇOS!$A$6:$D$7645,3,0),IF(A707="INSUMO",VLOOKUP(B707,INSUMOS!$A$6:$D$6961,3,0),IF(A707="COTAÇÃO",VLOOKUP(B707,'036-20-Cotação'!$A$9:$G$529,4,0))))</f>
        <v>H</v>
      </c>
      <c r="F707" s="462">
        <v>1</v>
      </c>
      <c r="G707" s="453">
        <f>IF(A707="SERVIÇO",VLOOKUP(B707,SERVIÇOS!$A$6:$D$7645,4,0),IF(A707="INSUMO",VLOOKUP(B707,INSUMOS!$A$6:$D$6961,4,0),IF(A707="COTAÇÃO",VLOOKUP(B707,'036-20-Cotação'!$A$9:$G$529,3,0))))</f>
        <v>23.4679</v>
      </c>
      <c r="H707" s="463">
        <f t="shared" si="100"/>
        <v>23.4679</v>
      </c>
      <c r="J707" s="201"/>
    </row>
    <row r="708" spans="1:17" s="87" customFormat="1" ht="12.75">
      <c r="A708" s="188"/>
      <c r="B708" s="348" t="s">
        <v>123</v>
      </c>
      <c r="C708" s="695" t="s">
        <v>8066</v>
      </c>
      <c r="D708" s="696"/>
      <c r="E708" s="696"/>
      <c r="F708" s="696"/>
      <c r="G708" s="696"/>
      <c r="H708" s="697"/>
      <c r="J708" s="201"/>
      <c r="K708" s="78"/>
      <c r="L708" s="78"/>
      <c r="M708" s="78"/>
      <c r="N708" s="78"/>
      <c r="O708" s="78"/>
      <c r="P708" s="78"/>
      <c r="Q708" s="78"/>
    </row>
    <row r="709" spans="1:17" s="87" customFormat="1" ht="12.75">
      <c r="A709" s="188"/>
      <c r="B709" s="346"/>
      <c r="C709" s="365"/>
      <c r="D709" s="365"/>
      <c r="E709" s="365"/>
      <c r="F709" s="365"/>
      <c r="G709" s="365"/>
      <c r="H709" s="366"/>
      <c r="J709" s="201"/>
      <c r="K709" s="78"/>
      <c r="L709" s="78"/>
      <c r="M709" s="78"/>
      <c r="N709" s="78"/>
      <c r="O709" s="78"/>
      <c r="P709" s="78"/>
      <c r="Q709" s="78"/>
    </row>
    <row r="710" spans="1:17" s="87" customFormat="1" ht="38.25">
      <c r="A710" s="188"/>
      <c r="B710" s="80" t="s">
        <v>7427</v>
      </c>
      <c r="C710" s="81" t="s">
        <v>7386</v>
      </c>
      <c r="D710" s="82" t="s">
        <v>84</v>
      </c>
      <c r="E710" s="82" t="s">
        <v>4521</v>
      </c>
      <c r="F710" s="83"/>
      <c r="G710" s="84"/>
      <c r="H710" s="85">
        <f>SUM(H711:H713)</f>
        <v>276.31344000000001</v>
      </c>
      <c r="J710" s="201"/>
      <c r="K710" s="78"/>
      <c r="L710" s="78"/>
      <c r="M710" s="78"/>
      <c r="N710" s="78"/>
      <c r="O710" s="78"/>
      <c r="P710" s="78"/>
      <c r="Q710" s="78"/>
    </row>
    <row r="711" spans="1:17" s="87" customFormat="1" ht="38.25">
      <c r="A711" s="232" t="s">
        <v>4542</v>
      </c>
      <c r="B711" s="464" t="s">
        <v>9351</v>
      </c>
      <c r="C711" s="451" t="str">
        <f>IF(A711="SERVIÇO",VLOOKUP(B711,SERVIÇOS!$A$6:$D$7645,2,0),IF(A711="INSUMO",VLOOKUP(B711,INSUMOS!$A$6:$D$6961,2,0),IF(A711="COTAÇÃO",VLOOKUP(B711,'036-20-Cotação'!$A$9:$G$529,2,0))))</f>
        <v>GUINDASTE SOBRE CAMINHÃO, COM CHASSI 4 X 4 X 4, ALTURA DE ELEVAÇÃO DE 35,8 M COM CAPACIDADE DE 1.500 KN.M - 186 KW</v>
      </c>
      <c r="D711" s="452" t="str">
        <f>IF(A711="SERVIÇO",VLOOKUP(B711,SERVIÇOS!$A$6:$E$7645,5,0),IF(A711="INSUMO",VLOOKUP(B711,INSUMOS!$A$6:$E$6961,5,0),IF(A711="COTAÇÃO",VLOOKUP(B711,'036-20-Cotação'!$A$9:$H$529,8,0))))</f>
        <v>EQUIP.</v>
      </c>
      <c r="E711" s="452" t="str">
        <f>IF(A711="SERVIÇO",VLOOKUP(B711,SERVIÇOS!$A$6:$D$7645,3,0),IF(A711="INSUMO",VLOOKUP(B711,INSUMOS!$A$6:$D$6961,3,0),IF(A711="COTAÇÃO",VLOOKUP(B711,'036-20-Cotação'!$A$9:$G$529,4,0))))</f>
        <v>CHP</v>
      </c>
      <c r="F711" s="462">
        <v>0.8</v>
      </c>
      <c r="G711" s="453">
        <f>IF(A711="SERVIÇO",VLOOKUP(B711,SERVIÇOS!$A$6:$D$7645,4,0),IF(A711="INSUMO",VLOOKUP(B711,INSUMOS!$A$6:$D$6961,4,0),IF(A711="COTAÇÃO",VLOOKUP(B711,'036-20-Cotação'!$A$9:$G$529,3,0))))</f>
        <v>259.37389999999999</v>
      </c>
      <c r="H711" s="463">
        <f t="shared" ref="H711:H713" si="101">G711*F711</f>
        <v>207.49912</v>
      </c>
      <c r="J711" s="201" t="s">
        <v>8065</v>
      </c>
    </row>
    <row r="712" spans="1:17" s="87" customFormat="1" ht="12.75">
      <c r="A712" s="232" t="s">
        <v>4542</v>
      </c>
      <c r="B712" s="464" t="s">
        <v>6602</v>
      </c>
      <c r="C712" s="451" t="str">
        <f>IF(A712="SERVIÇO",VLOOKUP(B712,SERVIÇOS!$A$6:$D$7645,2,0),IF(A712="INSUMO",VLOOKUP(B712,INSUMOS!$A$6:$D$6961,2,0),IF(A712="COTAÇÃO",VLOOKUP(B712,'036-20-Cotação'!$A$9:$G$529,2,0))))</f>
        <v>SERVENTE</v>
      </c>
      <c r="D712" s="452" t="str">
        <f>IF(A712="SERVIÇO",VLOOKUP(B712,SERVIÇOS!$A$6:$E$7645,5,0),IF(A712="INSUMO",VLOOKUP(B712,INSUMOS!$A$6:$E$6961,5,0),IF(A712="COTAÇÃO",VLOOKUP(B712,'036-20-Cotação'!$A$9:$H$529,8,0))))</f>
        <v>M.O</v>
      </c>
      <c r="E712" s="452" t="str">
        <f>IF(A712="SERVIÇO",VLOOKUP(B712,SERVIÇOS!$A$6:$D$7645,3,0),IF(A712="INSUMO",VLOOKUP(B712,INSUMOS!$A$6:$D$6961,3,0),IF(A712="COTAÇÃO",VLOOKUP(B712,'036-20-Cotação'!$A$9:$G$529,4,0))))</f>
        <v>H</v>
      </c>
      <c r="F712" s="462">
        <v>3.2</v>
      </c>
      <c r="G712" s="453">
        <f>IF(A712="SERVIÇO",VLOOKUP(B712,SERVIÇOS!$A$6:$D$7645,4,0),IF(A712="INSUMO",VLOOKUP(B712,INSUMOS!$A$6:$D$6961,4,0),IF(A712="COTAÇÃO",VLOOKUP(B712,'036-20-Cotação'!$A$9:$G$529,3,0))))</f>
        <v>15.637499999999999</v>
      </c>
      <c r="H712" s="463">
        <f t="shared" si="101"/>
        <v>50.04</v>
      </c>
      <c r="J712" s="201"/>
    </row>
    <row r="713" spans="1:17" s="87" customFormat="1" ht="12.75">
      <c r="A713" s="232" t="s">
        <v>4542</v>
      </c>
      <c r="B713" s="464" t="s">
        <v>6601</v>
      </c>
      <c r="C713" s="451" t="str">
        <f>IF(A713="SERVIÇO",VLOOKUP(B713,SERVIÇOS!$A$6:$D$7645,2,0),IF(A713="INSUMO",VLOOKUP(B713,INSUMOS!$A$6:$D$6961,2,0),IF(A713="COTAÇÃO",VLOOKUP(B713,'036-20-Cotação'!$A$9:$G$529,2,0))))</f>
        <v>MONTADOR</v>
      </c>
      <c r="D713" s="452" t="str">
        <f>IF(A713="SERVIÇO",VLOOKUP(B713,SERVIÇOS!$A$6:$E$7645,5,0),IF(A713="INSUMO",VLOOKUP(B713,INSUMOS!$A$6:$E$6961,5,0),IF(A713="COTAÇÃO",VLOOKUP(B713,'036-20-Cotação'!$A$9:$H$529,8,0))))</f>
        <v>M.O</v>
      </c>
      <c r="E713" s="452" t="str">
        <f>IF(A713="SERVIÇO",VLOOKUP(B713,SERVIÇOS!$A$6:$D$7645,3,0),IF(A713="INSUMO",VLOOKUP(B713,INSUMOS!$A$6:$D$6961,3,0),IF(A713="COTAÇÃO",VLOOKUP(B713,'036-20-Cotação'!$A$9:$G$529,4,0))))</f>
        <v>H</v>
      </c>
      <c r="F713" s="462">
        <v>0.8</v>
      </c>
      <c r="G713" s="453">
        <f>IF(A713="SERVIÇO",VLOOKUP(B713,SERVIÇOS!$A$6:$D$7645,4,0),IF(A713="INSUMO",VLOOKUP(B713,INSUMOS!$A$6:$D$6961,4,0),IF(A713="COTAÇÃO",VLOOKUP(B713,'036-20-Cotação'!$A$9:$G$529,3,0))))</f>
        <v>23.4679</v>
      </c>
      <c r="H713" s="463">
        <f t="shared" si="101"/>
        <v>18.774319999999999</v>
      </c>
      <c r="J713" s="201"/>
    </row>
    <row r="714" spans="1:17" s="87" customFormat="1" ht="12.75">
      <c r="A714" s="188"/>
      <c r="B714" s="348" t="s">
        <v>123</v>
      </c>
      <c r="C714" s="695" t="s">
        <v>8067</v>
      </c>
      <c r="D714" s="696"/>
      <c r="E714" s="696"/>
      <c r="F714" s="696"/>
      <c r="G714" s="696"/>
      <c r="H714" s="697"/>
      <c r="J714" s="201"/>
      <c r="K714" s="78"/>
      <c r="L714" s="78"/>
      <c r="M714" s="78"/>
      <c r="N714" s="78"/>
      <c r="O714" s="78"/>
      <c r="P714" s="78"/>
      <c r="Q714" s="78"/>
    </row>
    <row r="715" spans="1:17" s="87" customFormat="1" ht="12.75">
      <c r="A715" s="188"/>
      <c r="B715" s="346"/>
      <c r="C715" s="365"/>
      <c r="D715" s="365"/>
      <c r="E715" s="365"/>
      <c r="F715" s="365"/>
      <c r="G715" s="365"/>
      <c r="H715" s="366"/>
      <c r="J715" s="201"/>
      <c r="K715" s="78"/>
      <c r="L715" s="78"/>
      <c r="M715" s="78"/>
      <c r="N715" s="78"/>
      <c r="O715" s="78"/>
      <c r="P715" s="78"/>
      <c r="Q715" s="78"/>
    </row>
    <row r="716" spans="1:17" s="87" customFormat="1" ht="25.5">
      <c r="A716" s="188"/>
      <c r="B716" s="80" t="s">
        <v>7428</v>
      </c>
      <c r="C716" s="81" t="s">
        <v>7387</v>
      </c>
      <c r="D716" s="82" t="s">
        <v>84</v>
      </c>
      <c r="E716" s="82" t="s">
        <v>4521</v>
      </c>
      <c r="F716" s="83"/>
      <c r="G716" s="84"/>
      <c r="H716" s="85">
        <f>SUM(H717:H719)</f>
        <v>216.69351999999998</v>
      </c>
      <c r="J716" s="298" t="s">
        <v>8065</v>
      </c>
      <c r="K716" s="78"/>
      <c r="L716" s="78"/>
      <c r="M716" s="78"/>
      <c r="N716" s="78"/>
      <c r="O716" s="78"/>
      <c r="P716" s="78"/>
      <c r="Q716" s="78"/>
    </row>
    <row r="717" spans="1:17" s="87" customFormat="1" ht="25.5">
      <c r="A717" s="232" t="s">
        <v>4542</v>
      </c>
      <c r="B717" s="464" t="s">
        <v>9562</v>
      </c>
      <c r="C717" s="451" t="str">
        <f>IF(A717="SERVIÇO",VLOOKUP(B717,SERVIÇOS!$A$6:$D$7645,2,0),IF(A717="INSUMO",VLOOKUP(B717,INSUMOS!$A$6:$D$6961,2,0),IF(A717="COTAÇÃO",VLOOKUP(B717,'036-20-Cotação'!$A$9:$G$529,2,0))))</f>
        <v>CAMINHÃO CARROCERIA COM GUINDAUTO COM CAPACIDADE DE 20 T.M - 136 KW</v>
      </c>
      <c r="D717" s="452" t="str">
        <f>IF(A717="SERVIÇO",VLOOKUP(B717,SERVIÇOS!$A$6:$E$7645,5,0),IF(A717="INSUMO",VLOOKUP(B717,INSUMOS!$A$6:$E$6961,5,0),IF(A717="COTAÇÃO",VLOOKUP(B717,'036-20-Cotação'!$A$9:$H$529,8,0))))</f>
        <v>EQUIP.</v>
      </c>
      <c r="E717" s="452" t="str">
        <f>IF(A717="SERVIÇO",VLOOKUP(B717,SERVIÇOS!$A$6:$D$7645,3,0),IF(A717="INSUMO",VLOOKUP(B717,INSUMOS!$A$6:$D$6961,3,0),IF(A717="COTAÇÃO",VLOOKUP(B717,'036-20-Cotação'!$A$9:$G$529,4,0))))</f>
        <v>CHP</v>
      </c>
      <c r="F717" s="462">
        <v>0.8</v>
      </c>
      <c r="G717" s="453">
        <f>IF(A717="SERVIÇO",VLOOKUP(B717,SERVIÇOS!$A$6:$D$7645,4,0),IF(A717="INSUMO",VLOOKUP(B717,INSUMOS!$A$6:$D$6961,4,0),IF(A717="COTAÇÃO",VLOOKUP(B717,'036-20-Cotação'!$A$9:$G$529,3,0))))</f>
        <v>184.84899999999999</v>
      </c>
      <c r="H717" s="463">
        <f t="shared" ref="H717" si="102">G717*F717</f>
        <v>147.8792</v>
      </c>
      <c r="J717" s="201"/>
    </row>
    <row r="718" spans="1:17" s="87" customFormat="1" ht="12.75">
      <c r="A718" s="232" t="s">
        <v>4542</v>
      </c>
      <c r="B718" s="464" t="s">
        <v>6602</v>
      </c>
      <c r="C718" s="451" t="str">
        <f>IF(A718="SERVIÇO",VLOOKUP(B718,SERVIÇOS!$A$6:$D$7645,2,0),IF(A718="INSUMO",VLOOKUP(B718,INSUMOS!$A$6:$D$6961,2,0),IF(A718="COTAÇÃO",VLOOKUP(B718,'036-20-Cotação'!$A$9:$G$529,2,0))))</f>
        <v>SERVENTE</v>
      </c>
      <c r="D718" s="452" t="str">
        <f>IF(A718="SERVIÇO",VLOOKUP(B718,SERVIÇOS!$A$6:$E$7645,5,0),IF(A718="INSUMO",VLOOKUP(B718,INSUMOS!$A$6:$E$6961,5,0),IF(A718="COTAÇÃO",VLOOKUP(B718,'036-20-Cotação'!$A$9:$H$529,8,0))))</f>
        <v>M.O</v>
      </c>
      <c r="E718" s="452" t="str">
        <f>IF(A718="SERVIÇO",VLOOKUP(B718,SERVIÇOS!$A$6:$D$7645,3,0),IF(A718="INSUMO",VLOOKUP(B718,INSUMOS!$A$6:$D$6961,3,0),IF(A718="COTAÇÃO",VLOOKUP(B718,'036-20-Cotação'!$A$9:$G$529,4,0))))</f>
        <v>H</v>
      </c>
      <c r="F718" s="462">
        <v>3.2</v>
      </c>
      <c r="G718" s="453">
        <f>IF(A718="SERVIÇO",VLOOKUP(B718,SERVIÇOS!$A$6:$D$7645,4,0),IF(A718="INSUMO",VLOOKUP(B718,INSUMOS!$A$6:$D$6961,4,0),IF(A718="COTAÇÃO",VLOOKUP(B718,'036-20-Cotação'!$A$9:$G$529,3,0))))</f>
        <v>15.637499999999999</v>
      </c>
      <c r="H718" s="463">
        <f t="shared" ref="H718:H719" si="103">G718*F718</f>
        <v>50.04</v>
      </c>
      <c r="J718" s="201"/>
    </row>
    <row r="719" spans="1:17" s="87" customFormat="1" ht="12.75">
      <c r="A719" s="232" t="s">
        <v>4542</v>
      </c>
      <c r="B719" s="464" t="s">
        <v>6601</v>
      </c>
      <c r="C719" s="451" t="str">
        <f>IF(A719="SERVIÇO",VLOOKUP(B719,SERVIÇOS!$A$6:$D$7645,2,0),IF(A719="INSUMO",VLOOKUP(B719,INSUMOS!$A$6:$D$6961,2,0),IF(A719="COTAÇÃO",VLOOKUP(B719,'036-20-Cotação'!$A$9:$G$529,2,0))))</f>
        <v>MONTADOR</v>
      </c>
      <c r="D719" s="452" t="str">
        <f>IF(A719="SERVIÇO",VLOOKUP(B719,SERVIÇOS!$A$6:$E$7645,5,0),IF(A719="INSUMO",VLOOKUP(B719,INSUMOS!$A$6:$E$6961,5,0),IF(A719="COTAÇÃO",VLOOKUP(B719,'036-20-Cotação'!$A$9:$H$529,8,0))))</f>
        <v>M.O</v>
      </c>
      <c r="E719" s="452" t="str">
        <f>IF(A719="SERVIÇO",VLOOKUP(B719,SERVIÇOS!$A$6:$D$7645,3,0),IF(A719="INSUMO",VLOOKUP(B719,INSUMOS!$A$6:$D$6961,3,0),IF(A719="COTAÇÃO",VLOOKUP(B719,'036-20-Cotação'!$A$9:$G$529,4,0))))</f>
        <v>H</v>
      </c>
      <c r="F719" s="462">
        <v>0.8</v>
      </c>
      <c r="G719" s="453">
        <f>IF(A719="SERVIÇO",VLOOKUP(B719,SERVIÇOS!$A$6:$D$7645,4,0),IF(A719="INSUMO",VLOOKUP(B719,INSUMOS!$A$6:$D$6961,4,0),IF(A719="COTAÇÃO",VLOOKUP(B719,'036-20-Cotação'!$A$9:$G$529,3,0))))</f>
        <v>23.4679</v>
      </c>
      <c r="H719" s="463">
        <f t="shared" si="103"/>
        <v>18.774319999999999</v>
      </c>
      <c r="J719" s="201"/>
    </row>
    <row r="720" spans="1:17" s="87" customFormat="1" ht="12.75">
      <c r="A720" s="188"/>
      <c r="B720" s="348" t="s">
        <v>123</v>
      </c>
      <c r="C720" s="695" t="s">
        <v>8067</v>
      </c>
      <c r="D720" s="696"/>
      <c r="E720" s="696"/>
      <c r="F720" s="696"/>
      <c r="G720" s="696"/>
      <c r="H720" s="697"/>
      <c r="J720" s="201"/>
      <c r="K720" s="78"/>
      <c r="L720" s="78"/>
      <c r="M720" s="78"/>
      <c r="N720" s="78"/>
      <c r="O720" s="78"/>
      <c r="P720" s="78"/>
      <c r="Q720" s="78"/>
    </row>
    <row r="721" spans="1:17" s="87" customFormat="1" ht="12.75">
      <c r="A721" s="188"/>
      <c r="B721" s="346"/>
      <c r="C721" s="365"/>
      <c r="D721" s="365"/>
      <c r="E721" s="365"/>
      <c r="F721" s="365"/>
      <c r="G721" s="365"/>
      <c r="H721" s="366"/>
      <c r="J721" s="201"/>
      <c r="K721" s="78"/>
      <c r="L721" s="78"/>
      <c r="M721" s="78"/>
      <c r="N721" s="78"/>
      <c r="O721" s="78"/>
      <c r="P721" s="78"/>
      <c r="Q721" s="78"/>
    </row>
    <row r="722" spans="1:17" s="87" customFormat="1" ht="38.25">
      <c r="A722" s="188"/>
      <c r="B722" s="80" t="s">
        <v>7429</v>
      </c>
      <c r="C722" s="81" t="s">
        <v>7388</v>
      </c>
      <c r="D722" s="82" t="s">
        <v>84</v>
      </c>
      <c r="E722" s="82" t="s">
        <v>5</v>
      </c>
      <c r="F722" s="83"/>
      <c r="G722" s="84"/>
      <c r="H722" s="85">
        <f>SUM(H723:H725)</f>
        <v>153.54755999999998</v>
      </c>
      <c r="J722" s="201" t="s">
        <v>7467</v>
      </c>
      <c r="K722" s="78"/>
      <c r="L722" s="78"/>
      <c r="M722" s="78"/>
      <c r="N722" s="78"/>
      <c r="O722" s="78"/>
      <c r="P722" s="78"/>
      <c r="Q722" s="78"/>
    </row>
    <row r="723" spans="1:17" s="87" customFormat="1" ht="38.25">
      <c r="A723" s="232" t="s">
        <v>4542</v>
      </c>
      <c r="B723" s="464" t="s">
        <v>9351</v>
      </c>
      <c r="C723" s="451" t="str">
        <f>IF(A723="SERVIÇO",VLOOKUP(B723,SERVIÇOS!$A$6:$D$7645,2,0),IF(A723="INSUMO",VLOOKUP(B723,INSUMOS!$A$6:$D$6961,2,0),IF(A723="COTAÇÃO",VLOOKUP(B723,'036-20-Cotação'!$A$9:$G$529,2,0))))</f>
        <v>GUINDASTE SOBRE CAMINHÃO, COM CHASSI 4 X 4 X 4, ALTURA DE ELEVAÇÃO DE 35,8 M COM CAPACIDADE DE 1.500 KN.M - 186 KW</v>
      </c>
      <c r="D723" s="452" t="str">
        <f>IF(A723="SERVIÇO",VLOOKUP(B723,SERVIÇOS!$A$6:$E$7645,5,0),IF(A723="INSUMO",VLOOKUP(B723,INSUMOS!$A$6:$E$6961,5,0),IF(A723="COTAÇÃO",VLOOKUP(B723,'036-20-Cotação'!$A$9:$H$529,8,0))))</f>
        <v>EQUIP.</v>
      </c>
      <c r="E723" s="452" t="str">
        <f>IF(A723="SERVIÇO",VLOOKUP(B723,SERVIÇOS!$A$6:$D$7645,3,0),IF(A723="INSUMO",VLOOKUP(B723,INSUMOS!$A$6:$D$6961,3,0),IF(A723="COTAÇÃO",VLOOKUP(B723,'036-20-Cotação'!$A$9:$G$529,4,0))))</f>
        <v>CHP</v>
      </c>
      <c r="F723" s="462">
        <f>F724*0.3</f>
        <v>0.39999999999999997</v>
      </c>
      <c r="G723" s="453">
        <f>IF(A723="SERVIÇO",VLOOKUP(B723,SERVIÇOS!$A$6:$D$7645,4,0),IF(A723="INSUMO",VLOOKUP(B723,INSUMOS!$A$6:$D$6961,4,0),IF(A723="COTAÇÃO",VLOOKUP(B723,'036-20-Cotação'!$A$9:$G$529,3,0))))</f>
        <v>259.37389999999999</v>
      </c>
      <c r="H723" s="463">
        <f t="shared" ref="H723:H725" si="104">G723*F723</f>
        <v>103.74955999999999</v>
      </c>
      <c r="J723" s="201"/>
    </row>
    <row r="724" spans="1:17" s="87" customFormat="1" ht="12.75">
      <c r="A724" s="232" t="s">
        <v>4542</v>
      </c>
      <c r="B724" s="464" t="s">
        <v>6602</v>
      </c>
      <c r="C724" s="451" t="str">
        <f>IF(A724="SERVIÇO",VLOOKUP(B724,SERVIÇOS!$A$6:$D$7645,2,0),IF(A724="INSUMO",VLOOKUP(B724,INSUMOS!$A$6:$D$6961,2,0),IF(A724="COTAÇÃO",VLOOKUP(B724,'036-20-Cotação'!$A$9:$G$529,2,0))))</f>
        <v>SERVENTE</v>
      </c>
      <c r="D724" s="452" t="str">
        <f>IF(A724="SERVIÇO",VLOOKUP(B724,SERVIÇOS!$A$6:$E$7645,5,0),IF(A724="INSUMO",VLOOKUP(B724,INSUMOS!$A$6:$E$6961,5,0),IF(A724="COTAÇÃO",VLOOKUP(B724,'036-20-Cotação'!$A$9:$H$529,8,0))))</f>
        <v>M.O</v>
      </c>
      <c r="E724" s="452" t="str">
        <f>IF(A724="SERVIÇO",VLOOKUP(B724,SERVIÇOS!$A$6:$D$7645,3,0),IF(A724="INSUMO",VLOOKUP(B724,INSUMOS!$A$6:$D$6961,3,0),IF(A724="COTAÇÃO",VLOOKUP(B724,'036-20-Cotação'!$A$9:$G$529,4,0))))</f>
        <v>H</v>
      </c>
      <c r="F724" s="462">
        <f>(2/1.05)*0.7</f>
        <v>1.3333333333333333</v>
      </c>
      <c r="G724" s="453">
        <f>IF(A724="SERVIÇO",VLOOKUP(B724,SERVIÇOS!$A$6:$D$7645,4,0),IF(A724="INSUMO",VLOOKUP(B724,INSUMOS!$A$6:$D$6961,4,0),IF(A724="COTAÇÃO",VLOOKUP(B724,'036-20-Cotação'!$A$9:$G$529,3,0))))</f>
        <v>15.637499999999999</v>
      </c>
      <c r="H724" s="463">
        <f t="shared" si="104"/>
        <v>20.849999999999998</v>
      </c>
      <c r="J724" s="201"/>
    </row>
    <row r="725" spans="1:17" s="87" customFormat="1" ht="12.75">
      <c r="A725" s="232" t="s">
        <v>4542</v>
      </c>
      <c r="B725" s="464" t="s">
        <v>6613</v>
      </c>
      <c r="C725" s="451" t="str">
        <f>IF(A725="SERVIÇO",VLOOKUP(B725,SERVIÇOS!$A$6:$D$7645,2,0),IF(A725="INSUMO",VLOOKUP(B725,INSUMOS!$A$6:$D$6961,2,0),IF(A725="COTAÇÃO",VLOOKUP(B725,'036-20-Cotação'!$A$9:$G$529,2,0))))</f>
        <v>CARPINTEIRO</v>
      </c>
      <c r="D725" s="452" t="str">
        <f>IF(A725="SERVIÇO",VLOOKUP(B725,SERVIÇOS!$A$6:$E$7645,5,0),IF(A725="INSUMO",VLOOKUP(B725,INSUMOS!$A$6:$E$6961,5,0),IF(A725="COTAÇÃO",VLOOKUP(B725,'036-20-Cotação'!$A$9:$H$529,8,0))))</f>
        <v>M.O</v>
      </c>
      <c r="E725" s="452" t="str">
        <f>IF(A725="SERVIÇO",VLOOKUP(B725,SERVIÇOS!$A$6:$D$7645,3,0),IF(A725="INSUMO",VLOOKUP(B725,INSUMOS!$A$6:$D$6961,3,0),IF(A725="COTAÇÃO",VLOOKUP(B725,'036-20-Cotação'!$A$9:$G$529,4,0))))</f>
        <v>H</v>
      </c>
      <c r="F725" s="462">
        <f>(2/1.05)*0.7</f>
        <v>1.3333333333333333</v>
      </c>
      <c r="G725" s="453">
        <f>IF(A725="SERVIÇO",VLOOKUP(B725,SERVIÇOS!$A$6:$D$7645,4,0),IF(A725="INSUMO",VLOOKUP(B725,INSUMOS!$A$6:$D$6961,4,0),IF(A725="COTAÇÃO",VLOOKUP(B725,'036-20-Cotação'!$A$9:$G$529,3,0))))</f>
        <v>21.710999999999999</v>
      </c>
      <c r="H725" s="463">
        <f t="shared" si="104"/>
        <v>28.947999999999997</v>
      </c>
      <c r="J725" s="201"/>
    </row>
    <row r="726" spans="1:17" s="87" customFormat="1" ht="12.75">
      <c r="A726" s="188"/>
      <c r="B726" s="348" t="s">
        <v>123</v>
      </c>
      <c r="C726" s="695" t="s">
        <v>8068</v>
      </c>
      <c r="D726" s="696"/>
      <c r="E726" s="696"/>
      <c r="F726" s="696"/>
      <c r="G726" s="696"/>
      <c r="H726" s="697"/>
      <c r="J726" s="201"/>
      <c r="K726" s="78"/>
      <c r="L726" s="78"/>
      <c r="M726" s="78"/>
      <c r="N726" s="78"/>
      <c r="O726" s="78"/>
      <c r="P726" s="78"/>
      <c r="Q726" s="78"/>
    </row>
    <row r="727" spans="1:17" s="87" customFormat="1" ht="12.75">
      <c r="A727" s="188"/>
      <c r="B727" s="346"/>
      <c r="C727" s="365"/>
      <c r="D727" s="365"/>
      <c r="E727" s="365"/>
      <c r="F727" s="365"/>
      <c r="G727" s="365"/>
      <c r="H727" s="366"/>
      <c r="J727" s="201"/>
      <c r="K727" s="78"/>
      <c r="L727" s="78"/>
      <c r="M727" s="78"/>
      <c r="N727" s="78"/>
      <c r="O727" s="78"/>
      <c r="P727" s="78"/>
      <c r="Q727" s="78"/>
    </row>
    <row r="728" spans="1:17" s="87" customFormat="1" ht="25.5">
      <c r="A728" s="188"/>
      <c r="B728" s="80" t="s">
        <v>7430</v>
      </c>
      <c r="C728" s="81" t="s">
        <v>7389</v>
      </c>
      <c r="D728" s="82" t="s">
        <v>84</v>
      </c>
      <c r="E728" s="82" t="s">
        <v>89</v>
      </c>
      <c r="F728" s="83"/>
      <c r="G728" s="84"/>
      <c r="H728" s="85">
        <f>SUM(H729:H737)</f>
        <v>1.2719707191631224</v>
      </c>
      <c r="J728" s="201" t="s">
        <v>7490</v>
      </c>
      <c r="K728" s="78"/>
      <c r="L728" s="78"/>
      <c r="M728" s="78"/>
      <c r="N728" s="78"/>
      <c r="O728" s="78"/>
      <c r="P728" s="78"/>
      <c r="Q728" s="78"/>
    </row>
    <row r="729" spans="1:17" s="87" customFormat="1" ht="12.75">
      <c r="A729" s="232" t="s">
        <v>4542</v>
      </c>
      <c r="B729" s="464" t="s">
        <v>8833</v>
      </c>
      <c r="C729" s="451" t="str">
        <f>IF(A729="SERVIÇO",VLOOKUP(B729,SERVIÇOS!$A$6:$D$7645,2,0),IF(A729="INSUMO",VLOOKUP(B729,INSUMOS!$A$6:$D$6961,2,0),IF(A729="COTAÇÃO",VLOOKUP(B729,'036-20-Cotação'!$A$9:$G$529,2,0))))</f>
        <v>GRUPO GERADOR - 13/14 KVA</v>
      </c>
      <c r="D729" s="452" t="str">
        <f>IF(A729="SERVIÇO",VLOOKUP(B729,SERVIÇOS!$A$6:$E$7645,5,0),IF(A729="INSUMO",VLOOKUP(B729,INSUMOS!$A$6:$E$6961,5,0),IF(A729="COTAÇÃO",VLOOKUP(B729,'036-20-Cotação'!$A$9:$H$529,8,0))))</f>
        <v>EQUIP.</v>
      </c>
      <c r="E729" s="452" t="str">
        <f>IF(A729="SERVIÇO",VLOOKUP(B729,SERVIÇOS!$A$6:$D$7645,3,0),IF(A729="INSUMO",VLOOKUP(B729,INSUMOS!$A$6:$D$6961,3,0),IF(A729="COTAÇÃO",VLOOKUP(B729,'036-20-Cotação'!$A$9:$G$529,4,0))))</f>
        <v>CHP</v>
      </c>
      <c r="F729" s="462">
        <f>0.38554/121.92</f>
        <v>3.162237532808399E-3</v>
      </c>
      <c r="G729" s="453">
        <f>IF(A729="SERVIÇO",VLOOKUP(B729,SERVIÇOS!$A$6:$D$7645,4,0),IF(A729="INSUMO",VLOOKUP(B729,INSUMOS!$A$6:$D$6961,4,0),IF(A729="COTAÇÃO",VLOOKUP(B729,'036-20-Cotação'!$A$9:$G$529,3,0))))</f>
        <v>9.6905000000000001</v>
      </c>
      <c r="H729" s="463">
        <f t="shared" ref="H729:H737" si="105">G729*F729</f>
        <v>3.0643662811679791E-2</v>
      </c>
      <c r="J729" s="201"/>
    </row>
    <row r="730" spans="1:17" s="87" customFormat="1" ht="12.75">
      <c r="A730" s="232" t="s">
        <v>4542</v>
      </c>
      <c r="B730" s="464" t="s">
        <v>9268</v>
      </c>
      <c r="C730" s="451" t="str">
        <f>IF(A730="SERVIÇO",VLOOKUP(B730,SERVIÇOS!$A$6:$D$7645,2,0),IF(A730="INSUMO",VLOOKUP(B730,INSUMOS!$A$6:$D$6961,2,0),IF(A730="COTAÇÃO",VLOOKUP(B730,'036-20-Cotação'!$A$9:$G$529,2,0))))</f>
        <v>MÁQUINA POLICORTE - 2,2 KW</v>
      </c>
      <c r="D730" s="452" t="str">
        <f>IF(A730="SERVIÇO",VLOOKUP(B730,SERVIÇOS!$A$6:$E$7645,5,0),IF(A730="INSUMO",VLOOKUP(B730,INSUMOS!$A$6:$E$6961,5,0),IF(A730="COTAÇÃO",VLOOKUP(B730,'036-20-Cotação'!$A$9:$H$529,8,0))))</f>
        <v>EQUIP.</v>
      </c>
      <c r="E730" s="452" t="str">
        <f>IF(A730="SERVIÇO",VLOOKUP(B730,SERVIÇOS!$A$6:$D$7645,3,0),IF(A730="INSUMO",VLOOKUP(B730,INSUMOS!$A$6:$D$6961,3,0),IF(A730="COTAÇÃO",VLOOKUP(B730,'036-20-Cotação'!$A$9:$G$529,4,0))))</f>
        <v>CHP</v>
      </c>
      <c r="F730" s="462">
        <f>0.08675/121.92</f>
        <v>7.1153215223097106E-4</v>
      </c>
      <c r="G730" s="453">
        <f>IF(A730="SERVIÇO",VLOOKUP(B730,SERVIÇOS!$A$6:$D$7645,4,0),IF(A730="INSUMO",VLOOKUP(B730,INSUMOS!$A$6:$D$6961,4,0),IF(A730="COTAÇÃO",VLOOKUP(B730,'036-20-Cotação'!$A$9:$G$529,3,0))))</f>
        <v>0.1056</v>
      </c>
      <c r="H730" s="463">
        <f t="shared" si="105"/>
        <v>7.5137795275590549E-5</v>
      </c>
      <c r="J730" s="201"/>
    </row>
    <row r="731" spans="1:17" s="87" customFormat="1" ht="12.75">
      <c r="A731" s="232" t="s">
        <v>4542</v>
      </c>
      <c r="B731" s="464" t="s">
        <v>9236</v>
      </c>
      <c r="C731" s="451" t="str">
        <f>IF(A731="SERVIÇO",VLOOKUP(B731,SERVIÇOS!$A$6:$D$7645,2,0),IF(A731="INSUMO",VLOOKUP(B731,INSUMOS!$A$6:$D$6961,2,0),IF(A731="COTAÇÃO",VLOOKUP(B731,'036-20-Cotação'!$A$9:$G$529,2,0))))</f>
        <v>TRACIONADOR DE CORDOALHAS - 7,5 KW</v>
      </c>
      <c r="D731" s="452" t="str">
        <f>IF(A731="SERVIÇO",VLOOKUP(B731,SERVIÇOS!$A$6:$E$7645,5,0),IF(A731="INSUMO",VLOOKUP(B731,INSUMOS!$A$6:$E$6961,5,0),IF(A731="COTAÇÃO",VLOOKUP(B731,'036-20-Cotação'!$A$9:$H$529,8,0))))</f>
        <v>EQUIP.</v>
      </c>
      <c r="E731" s="452" t="str">
        <f>IF(A731="SERVIÇO",VLOOKUP(B731,SERVIÇOS!$A$6:$D$7645,3,0),IF(A731="INSUMO",VLOOKUP(B731,INSUMOS!$A$6:$D$6961,3,0),IF(A731="COTAÇÃO",VLOOKUP(B731,'036-20-Cotação'!$A$9:$G$529,4,0))))</f>
        <v>CHP</v>
      </c>
      <c r="F731" s="462">
        <f>0.38554/121.92</f>
        <v>3.162237532808399E-3</v>
      </c>
      <c r="G731" s="453">
        <f>IF(A731="SERVIÇO",VLOOKUP(B731,SERVIÇOS!$A$6:$D$7645,4,0),IF(A731="INSUMO",VLOOKUP(B731,INSUMOS!$A$6:$D$6961,4,0),IF(A731="COTAÇÃO",VLOOKUP(B731,'036-20-Cotação'!$A$9:$G$529,3,0))))</f>
        <v>40.198</v>
      </c>
      <c r="H731" s="463">
        <f t="shared" si="105"/>
        <v>0.12711562434383203</v>
      </c>
      <c r="J731" s="201"/>
    </row>
    <row r="732" spans="1:17" s="87" customFormat="1" ht="12.75">
      <c r="A732" s="232" t="s">
        <v>4542</v>
      </c>
      <c r="B732" s="464" t="s">
        <v>6825</v>
      </c>
      <c r="C732" s="451" t="str">
        <f>IF(A732="SERVIÇO",VLOOKUP(B732,SERVIÇOS!$A$6:$D$7645,2,0),IF(A732="INSUMO",VLOOKUP(B732,INSUMOS!$A$6:$D$6961,2,0),IF(A732="COTAÇÃO",VLOOKUP(B732,'036-20-Cotação'!$A$9:$G$529,2,0))))</f>
        <v>AJUDANTE</v>
      </c>
      <c r="D732" s="452" t="str">
        <f>IF(A732="SERVIÇO",VLOOKUP(B732,SERVIÇOS!$A$6:$E$7645,5,0),IF(A732="INSUMO",VLOOKUP(B732,INSUMOS!$A$6:$E$6961,5,0),IF(A732="COTAÇÃO",VLOOKUP(B732,'036-20-Cotação'!$A$9:$H$529,8,0))))</f>
        <v>M.O</v>
      </c>
      <c r="E732" s="452" t="str">
        <f>IF(A732="SERVIÇO",VLOOKUP(B732,SERVIÇOS!$A$6:$D$7645,3,0),IF(A732="INSUMO",VLOOKUP(B732,INSUMOS!$A$6:$D$6961,3,0),IF(A732="COTAÇÃO",VLOOKUP(B732,'036-20-Cotação'!$A$9:$G$529,4,0))))</f>
        <v>H</v>
      </c>
      <c r="F732" s="462">
        <f>6/121.92</f>
        <v>4.9212598425196846E-2</v>
      </c>
      <c r="G732" s="453">
        <f>IF(A732="SERVIÇO",VLOOKUP(B732,SERVIÇOS!$A$6:$D$7645,4,0),IF(A732="INSUMO",VLOOKUP(B732,INSUMOS!$A$6:$D$6961,4,0),IF(A732="COTAÇÃO",VLOOKUP(B732,'036-20-Cotação'!$A$9:$G$529,3,0))))</f>
        <v>17.9801</v>
      </c>
      <c r="H732" s="463">
        <f t="shared" si="105"/>
        <v>0.88484744094488188</v>
      </c>
      <c r="J732" s="201"/>
    </row>
    <row r="733" spans="1:17" s="87" customFormat="1" ht="12.75">
      <c r="A733" s="232" t="s">
        <v>4542</v>
      </c>
      <c r="B733" s="464" t="s">
        <v>7390</v>
      </c>
      <c r="C733" s="451" t="str">
        <f>IF(A733="SERVIÇO",VLOOKUP(B733,SERVIÇOS!$A$6:$D$7645,2,0),IF(A733="INSUMO",VLOOKUP(B733,INSUMOS!$A$6:$D$6961,2,0),IF(A733="COTAÇÃO",VLOOKUP(B733,'036-20-Cotação'!$A$9:$G$529,2,0))))</f>
        <v>ARMADOR</v>
      </c>
      <c r="D733" s="452" t="str">
        <f>IF(A733="SERVIÇO",VLOOKUP(B733,SERVIÇOS!$A$6:$E$7645,5,0),IF(A733="INSUMO",VLOOKUP(B733,INSUMOS!$A$6:$E$6961,5,0),IF(A733="COTAÇÃO",VLOOKUP(B733,'036-20-Cotação'!$A$9:$H$529,8,0))))</f>
        <v>M.O</v>
      </c>
      <c r="E733" s="452" t="str">
        <f>IF(A733="SERVIÇO",VLOOKUP(B733,SERVIÇOS!$A$6:$D$7645,3,0),IF(A733="INSUMO",VLOOKUP(B733,INSUMOS!$A$6:$D$6961,3,0),IF(A733="COTAÇÃO",VLOOKUP(B733,'036-20-Cotação'!$A$9:$G$529,4,0))))</f>
        <v>H</v>
      </c>
      <c r="F733" s="462">
        <f>1/121.92</f>
        <v>8.2020997375328083E-3</v>
      </c>
      <c r="G733" s="453">
        <f>IF(A733="SERVIÇO",VLOOKUP(B733,SERVIÇOS!$A$6:$D$7645,4,0),IF(A733="INSUMO",VLOOKUP(B733,INSUMOS!$A$6:$D$6961,4,0),IF(A733="COTAÇÃO",VLOOKUP(B733,'036-20-Cotação'!$A$9:$G$529,3,0))))</f>
        <v>21.6645</v>
      </c>
      <c r="H733" s="463">
        <f t="shared" si="105"/>
        <v>0.17769438976377952</v>
      </c>
      <c r="J733" s="201"/>
    </row>
    <row r="734" spans="1:17" s="87" customFormat="1" ht="12.75">
      <c r="A734" s="232" t="s">
        <v>4542</v>
      </c>
      <c r="B734" s="464" t="s">
        <v>6602</v>
      </c>
      <c r="C734" s="451" t="str">
        <f>IF(A734="SERVIÇO",VLOOKUP(B734,SERVIÇOS!$A$6:$D$7645,2,0),IF(A734="INSUMO",VLOOKUP(B734,INSUMOS!$A$6:$D$6961,2,0),IF(A734="COTAÇÃO",VLOOKUP(B734,'036-20-Cotação'!$A$9:$G$529,2,0))))</f>
        <v>SERVENTE</v>
      </c>
      <c r="D734" s="452" t="str">
        <f>IF(A734="SERVIÇO",VLOOKUP(B734,SERVIÇOS!$A$6:$E$7645,5,0),IF(A734="INSUMO",VLOOKUP(B734,INSUMOS!$A$6:$E$6961,5,0),IF(A734="COTAÇÃO",VLOOKUP(B734,'036-20-Cotação'!$A$9:$H$529,8,0))))</f>
        <v>M.O</v>
      </c>
      <c r="E734" s="452" t="str">
        <f>IF(A734="SERVIÇO",VLOOKUP(B734,SERVIÇOS!$A$6:$D$7645,3,0),IF(A734="INSUMO",VLOOKUP(B734,INSUMOS!$A$6:$D$6961,3,0),IF(A734="COTAÇÃO",VLOOKUP(B734,'036-20-Cotação'!$A$9:$G$529,4,0))))</f>
        <v>H</v>
      </c>
      <c r="F734" s="462">
        <f>0.08675/121.92</f>
        <v>7.1153215223097106E-4</v>
      </c>
      <c r="G734" s="453">
        <f>IF(A734="SERVIÇO",VLOOKUP(B734,SERVIÇOS!$A$6:$D$7645,4,0),IF(A734="INSUMO",VLOOKUP(B734,INSUMOS!$A$6:$D$6961,4,0),IF(A734="COTAÇÃO",VLOOKUP(B734,'036-20-Cotação'!$A$9:$G$529,3,0))))</f>
        <v>15.637499999999999</v>
      </c>
      <c r="H734" s="463">
        <f t="shared" si="105"/>
        <v>1.112658403051181E-2</v>
      </c>
      <c r="J734" s="201"/>
    </row>
    <row r="735" spans="1:17" s="87" customFormat="1" ht="12.75">
      <c r="A735" s="232" t="s">
        <v>4544</v>
      </c>
      <c r="B735" s="464" t="s">
        <v>7493</v>
      </c>
      <c r="C735" s="451" t="str">
        <f>IF(A735="SERVIÇO",VLOOKUP(B735,SERVIÇOS!$A$6:$D$7645,2,0),IF(A735="INSUMO",VLOOKUP(B735,INSUMOS!$A$6:$D$6961,2,0),IF(A735="COTAÇÃO",VLOOKUP(B735,'036-20-Cotação'!$A$9:$G$529,2,0))))</f>
        <v>DISCO DE CORTE PARA POLICORTE - D = 30 CM</v>
      </c>
      <c r="D735" s="452" t="str">
        <f>IF(A735="SERVIÇO",VLOOKUP(B735,SERVIÇOS!$A$6:$E$7645,5,0),IF(A735="INSUMO",VLOOKUP(B735,INSUMOS!$A$6:$E$6961,5,0),IF(A735="COTAÇÃO",VLOOKUP(B735,'036-20-Cotação'!$A$9:$H$529,8,0))))</f>
        <v>MAT.</v>
      </c>
      <c r="E735" s="452" t="str">
        <f>IF(A735="SERVIÇO",VLOOKUP(B735,SERVIÇOS!$A$6:$D$7645,3,0),IF(A735="INSUMO",VLOOKUP(B735,INSUMOS!$A$6:$D$6961,3,0),IF(A735="COTAÇÃO",VLOOKUP(B735,'036-20-Cotação'!$A$9:$G$529,4,0))))</f>
        <v>UN</v>
      </c>
      <c r="F735" s="462">
        <v>4.6999999999999999E-4</v>
      </c>
      <c r="G735" s="453">
        <f>IF(A735="SERVIÇO",VLOOKUP(B735,SERVIÇOS!$A$6:$D$7645,4,0),IF(A735="INSUMO",VLOOKUP(B735,INSUMOS!$A$6:$D$6961,4,0),IF(A735="COTAÇÃO",VLOOKUP(B735,'036-20-Cotação'!$A$9:$G$529,3,0))))</f>
        <v>13.0052</v>
      </c>
      <c r="H735" s="463">
        <f t="shared" si="105"/>
        <v>6.1124439999999999E-3</v>
      </c>
      <c r="J735" s="201"/>
    </row>
    <row r="736" spans="1:17" s="87" customFormat="1" ht="25.5">
      <c r="A736" s="232" t="s">
        <v>4542</v>
      </c>
      <c r="B736" s="531" t="s">
        <v>13224</v>
      </c>
      <c r="C736" s="451" t="str">
        <f>'036-20-CCA''s'!$C$293</f>
        <v xml:space="preserve">TEMPO FIXO - CAMINHÃO GUINDAUDO 45 T - CARGA MONOBRA E DESCARGA </v>
      </c>
      <c r="D736" s="452" t="str">
        <f>'036-20-CCA''s'!$D$293</f>
        <v>SER.CG</v>
      </c>
      <c r="E736" s="452" t="str">
        <f>'036-20-CCA''s'!$E$293</f>
        <v>T</v>
      </c>
      <c r="F736" s="462">
        <v>1.0499999999999999E-3</v>
      </c>
      <c r="G736" s="453">
        <f>'036-20-CCA''s'!$H$293</f>
        <v>13.226529209621994</v>
      </c>
      <c r="H736" s="463">
        <f t="shared" si="105"/>
        <v>1.3887855670103092E-2</v>
      </c>
      <c r="J736" s="201"/>
    </row>
    <row r="737" spans="1:17" s="87" customFormat="1" ht="25.5">
      <c r="A737" s="232" t="s">
        <v>4542</v>
      </c>
      <c r="B737" s="464" t="s">
        <v>7391</v>
      </c>
      <c r="C737" s="451" t="str">
        <f>'036-20-CCA''s'!$C$85</f>
        <v xml:space="preserve">CORTE DE CORDOALHA 15,2MM COM MAÇARICO OXIACETILENO. </v>
      </c>
      <c r="D737" s="452" t="str">
        <f>'036-20-CCA''s'!$D$85</f>
        <v xml:space="preserve">SER.CG </v>
      </c>
      <c r="E737" s="452" t="str">
        <f>'036-20-CCA''s'!$E$85</f>
        <v>CM2</v>
      </c>
      <c r="F737" s="462">
        <v>3.4437969999999998E-2</v>
      </c>
      <c r="G737" s="453">
        <f>'036-20-CCA''s'!$H$85</f>
        <v>0.59433177399999992</v>
      </c>
      <c r="H737" s="463">
        <f t="shared" si="105"/>
        <v>2.0467579803058775E-2</v>
      </c>
      <c r="J737" s="201"/>
    </row>
    <row r="738" spans="1:17" s="87" customFormat="1" ht="12.75">
      <c r="A738" s="188"/>
      <c r="B738" s="348" t="s">
        <v>123</v>
      </c>
      <c r="C738" s="695" t="s">
        <v>7492</v>
      </c>
      <c r="D738" s="696"/>
      <c r="E738" s="696"/>
      <c r="F738" s="696"/>
      <c r="G738" s="696"/>
      <c r="H738" s="697"/>
      <c r="J738" s="201"/>
      <c r="K738" s="78"/>
      <c r="L738" s="78"/>
      <c r="M738" s="78"/>
      <c r="N738" s="78"/>
      <c r="O738" s="78"/>
      <c r="P738" s="78"/>
      <c r="Q738" s="78"/>
    </row>
    <row r="739" spans="1:17" s="87" customFormat="1" ht="12.75">
      <c r="A739" s="188"/>
      <c r="B739" s="346"/>
      <c r="C739" s="367"/>
      <c r="D739" s="367"/>
      <c r="E739" s="367"/>
      <c r="F739" s="367"/>
      <c r="G739" s="367"/>
      <c r="H739" s="368"/>
      <c r="J739" s="201"/>
      <c r="K739" s="78"/>
      <c r="L739" s="78"/>
      <c r="M739" s="78"/>
      <c r="N739" s="78"/>
      <c r="O739" s="78"/>
      <c r="P739" s="78"/>
      <c r="Q739" s="78"/>
    </row>
    <row r="740" spans="1:17" s="87" customFormat="1" ht="38.25">
      <c r="A740" s="188"/>
      <c r="B740" s="80" t="s">
        <v>7431</v>
      </c>
      <c r="C740" s="81" t="s">
        <v>7434</v>
      </c>
      <c r="D740" s="82" t="s">
        <v>84</v>
      </c>
      <c r="E740" s="82" t="s">
        <v>4521</v>
      </c>
      <c r="F740" s="83"/>
      <c r="G740" s="84"/>
      <c r="H740" s="85">
        <f>SUM(H741:H745)</f>
        <v>572.28909263694391</v>
      </c>
      <c r="J740" s="201" t="s">
        <v>7438</v>
      </c>
      <c r="K740" s="78"/>
      <c r="L740" s="78"/>
      <c r="M740" s="78"/>
      <c r="N740" s="78"/>
      <c r="O740" s="78"/>
      <c r="P740" s="78"/>
      <c r="Q740" s="78"/>
    </row>
    <row r="741" spans="1:17" s="87" customFormat="1" ht="25.5">
      <c r="A741" s="232" t="s">
        <v>4542</v>
      </c>
      <c r="B741" s="464" t="s">
        <v>9237</v>
      </c>
      <c r="C741" s="451" t="str">
        <f>IF(A741="SERVIÇO",VLOOKUP(B741,SERVIÇOS!$A$6:$D$7645,2,0),IF(A741="INSUMO",VLOOKUP(B741,INSUMOS!$A$6:$D$6961,2,0),IF(A741="COTAÇÃO",VLOOKUP(B741,'036-20-Cotação'!$A$9:$G$529,2,0))))</f>
        <v>CALDEIRA PARA AQUECIMENTO E INJEÇÃO DE CERA - 1 KW</v>
      </c>
      <c r="D741" s="452" t="str">
        <f>IF(A741="SERVIÇO",VLOOKUP(B741,SERVIÇOS!$A$6:$E$7645,5,0),IF(A741="INSUMO",VLOOKUP(B741,INSUMOS!$A$6:$E$6961,5,0),IF(A741="COTAÇÃO",VLOOKUP(B741,'036-20-Cotação'!$A$9:$H$529,8,0))))</f>
        <v>EQUIP.</v>
      </c>
      <c r="E741" s="452" t="str">
        <f>IF(A741="SERVIÇO",VLOOKUP(B741,SERVIÇOS!$A$6:$D$7645,3,0),IF(A741="INSUMO",VLOOKUP(B741,INSUMOS!$A$6:$D$6961,3,0),IF(A741="COTAÇÃO",VLOOKUP(B741,'036-20-Cotação'!$A$9:$G$529,4,0))))</f>
        <v>CHP</v>
      </c>
      <c r="F741" s="462">
        <f>0.25312/0.16807</f>
        <v>1.5060391503540194</v>
      </c>
      <c r="G741" s="453">
        <f>IF(A741="SERVIÇO",VLOOKUP(B741,SERVIÇOS!$A$6:$D$7645,4,0),IF(A741="INSUMO",VLOOKUP(B741,INSUMOS!$A$6:$D$6961,4,0),IF(A741="COTAÇÃO",VLOOKUP(B741,'036-20-Cotação'!$A$9:$G$529,3,0))))</f>
        <v>22.7576</v>
      </c>
      <c r="H741" s="463">
        <f t="shared" ref="H741:H745" si="106">G741*F741</f>
        <v>34.273836568096634</v>
      </c>
      <c r="J741" s="201"/>
    </row>
    <row r="742" spans="1:17" s="87" customFormat="1" ht="12.75">
      <c r="A742" s="232" t="s">
        <v>4542</v>
      </c>
      <c r="B742" s="464" t="s">
        <v>9006</v>
      </c>
      <c r="C742" s="451" t="str">
        <f>IF(A742="SERVIÇO",VLOOKUP(B742,SERVIÇOS!$A$6:$D$7645,2,0),IF(A742="INSUMO",VLOOKUP(B742,INSUMOS!$A$6:$D$6961,2,0),IF(A742="COTAÇÃO",VLOOKUP(B742,'036-20-Cotação'!$A$9:$G$529,2,0))))</f>
        <v>GRUPO GERADOR - 2,5/3 KVA</v>
      </c>
      <c r="D742" s="452" t="str">
        <f>IF(A742="SERVIÇO",VLOOKUP(B742,SERVIÇOS!$A$6:$E$7645,5,0),IF(A742="INSUMO",VLOOKUP(B742,INSUMOS!$A$6:$E$6961,5,0),IF(A742="COTAÇÃO",VLOOKUP(B742,'036-20-Cotação'!$A$9:$H$529,8,0))))</f>
        <v>EQUIP.</v>
      </c>
      <c r="E742" s="452" t="str">
        <f>IF(A742="SERVIÇO",VLOOKUP(B742,SERVIÇOS!$A$6:$D$7645,3,0),IF(A742="INSUMO",VLOOKUP(B742,INSUMOS!$A$6:$D$6961,3,0),IF(A742="COTAÇÃO",VLOOKUP(B742,'036-20-Cotação'!$A$9:$G$529,4,0))))</f>
        <v>CHP</v>
      </c>
      <c r="F742" s="462">
        <f>0.25312/0.16807</f>
        <v>1.5060391503540194</v>
      </c>
      <c r="G742" s="453">
        <f>IF(A742="SERVIÇO",VLOOKUP(B742,SERVIÇOS!$A$6:$D$7645,4,0),IF(A742="INSUMO",VLOOKUP(B742,INSUMOS!$A$6:$D$6961,4,0),IF(A742="COTAÇÃO",VLOOKUP(B742,'036-20-Cotação'!$A$9:$G$529,3,0))))</f>
        <v>2.9165999999999999</v>
      </c>
      <c r="H742" s="463">
        <f t="shared" si="106"/>
        <v>4.3925137859225325</v>
      </c>
      <c r="J742" s="201"/>
    </row>
    <row r="743" spans="1:17" s="87" customFormat="1" ht="12.75">
      <c r="A743" s="232" t="s">
        <v>4542</v>
      </c>
      <c r="B743" s="464" t="s">
        <v>6602</v>
      </c>
      <c r="C743" s="451" t="str">
        <f>IF(A743="SERVIÇO",VLOOKUP(B743,SERVIÇOS!$A$6:$D$7645,2,0),IF(A743="INSUMO",VLOOKUP(B743,INSUMOS!$A$6:$D$6961,2,0),IF(A743="COTAÇÃO",VLOOKUP(B743,'036-20-Cotação'!$A$9:$G$529,2,0))))</f>
        <v>SERVENTE</v>
      </c>
      <c r="D743" s="452" t="str">
        <f>IF(A743="SERVIÇO",VLOOKUP(B743,SERVIÇOS!$A$6:$E$7645,5,0),IF(A743="INSUMO",VLOOKUP(B743,INSUMOS!$A$6:$E$6961,5,0),IF(A743="COTAÇÃO",VLOOKUP(B743,'036-20-Cotação'!$A$9:$H$529,8,0))))</f>
        <v>M.O</v>
      </c>
      <c r="E743" s="452" t="str">
        <f>IF(A743="SERVIÇO",VLOOKUP(B743,SERVIÇOS!$A$6:$D$7645,3,0),IF(A743="INSUMO",VLOOKUP(B743,INSUMOS!$A$6:$D$6961,3,0),IF(A743="COTAÇÃO",VLOOKUP(B743,'036-20-Cotação'!$A$9:$G$529,4,0))))</f>
        <v>H</v>
      </c>
      <c r="F743" s="462">
        <f>4/0.16807</f>
        <v>23.799607306479444</v>
      </c>
      <c r="G743" s="453">
        <f>IF(A743="SERVIÇO",VLOOKUP(B743,SERVIÇOS!$A$6:$D$7645,4,0),IF(A743="INSUMO",VLOOKUP(B743,INSUMOS!$A$6:$D$6961,4,0),IF(A743="COTAÇÃO",VLOOKUP(B743,'036-20-Cotação'!$A$9:$G$529,3,0))))</f>
        <v>15.637499999999999</v>
      </c>
      <c r="H743" s="463">
        <f t="shared" si="106"/>
        <v>372.16635925507228</v>
      </c>
      <c r="J743" s="201"/>
    </row>
    <row r="744" spans="1:17" s="87" customFormat="1" ht="25.5">
      <c r="A744" s="232" t="s">
        <v>4544</v>
      </c>
      <c r="B744" s="464" t="s">
        <v>7433</v>
      </c>
      <c r="C744" s="451" t="str">
        <f>IF(A744="SERVIÇO",VLOOKUP(B744,SERVIÇOS!$A$6:$D$7645,2,0),IF(A744="INSUMO",VLOOKUP(B744,INSUMOS!$A$6:$D$6961,2,0),IF(A744="COTAÇÃO",VLOOKUP(B744,'036-20-Cotação'!$A$9:$G$529,2,0))))</f>
        <v>CERA PARA INJEÇÃO DE ANCORAGENS DE ESTAIS</v>
      </c>
      <c r="D744" s="452" t="str">
        <f>IF(A744="SERVIÇO",VLOOKUP(B744,SERVIÇOS!$A$6:$E$7645,5,0),IF(A744="INSUMO",VLOOKUP(B744,INSUMOS!$A$6:$E$6961,5,0),IF(A744="COTAÇÃO",VLOOKUP(B744,'036-20-Cotação'!$A$9:$H$529,8,0))))</f>
        <v>MAT.</v>
      </c>
      <c r="E744" s="452" t="str">
        <f>IF(A744="SERVIÇO",VLOOKUP(B744,SERVIÇOS!$A$6:$D$7645,3,0),IF(A744="INSUMO",VLOOKUP(B744,INSUMOS!$A$6:$D$6961,3,0),IF(A744="COTAÇÃO",VLOOKUP(B744,'036-20-Cotação'!$A$9:$G$529,4,0))))</f>
        <v>KG</v>
      </c>
      <c r="F744" s="462">
        <v>14.1</v>
      </c>
      <c r="G744" s="453">
        <f>IF(A744="SERVIÇO",VLOOKUP(B744,SERVIÇOS!$A$6:$D$7645,4,0),IF(A744="INSUMO",VLOOKUP(B744,INSUMOS!$A$6:$D$6961,4,0),IF(A744="COTAÇÃO",VLOOKUP(B744,'036-20-Cotação'!$A$9:$G$529,3,0))))</f>
        <v>11.1867</v>
      </c>
      <c r="H744" s="463">
        <f t="shared" si="106"/>
        <v>157.73247000000001</v>
      </c>
      <c r="J744" s="201"/>
    </row>
    <row r="745" spans="1:17" s="87" customFormat="1" ht="25.5">
      <c r="A745" s="232" t="s">
        <v>4542</v>
      </c>
      <c r="B745" s="464" t="s">
        <v>13206</v>
      </c>
      <c r="C745" s="451" t="str">
        <f>'036-20-CCA''s'!$C$281</f>
        <v>TEMPO FIXO - CAMINHÃO CARROCERIA 15 T - CARGA E DESCARGA MANUAIS</v>
      </c>
      <c r="D745" s="452" t="str">
        <f>'036-20-CCA''s'!$D$281</f>
        <v>SER.CG</v>
      </c>
      <c r="E745" s="452" t="str">
        <f>'036-20-CCA''s'!$E$281</f>
        <v>T</v>
      </c>
      <c r="F745" s="462">
        <v>0.17796000000000001</v>
      </c>
      <c r="G745" s="453">
        <f>'036-20-CCA''s'!$H$281</f>
        <v>20.925562080536913</v>
      </c>
      <c r="H745" s="463">
        <f t="shared" si="106"/>
        <v>3.7239130278523493</v>
      </c>
      <c r="J745" s="201"/>
    </row>
    <row r="746" spans="1:17" s="87" customFormat="1" ht="12.75">
      <c r="A746" s="188"/>
      <c r="B746" s="348" t="s">
        <v>123</v>
      </c>
      <c r="C746" s="695" t="s">
        <v>7432</v>
      </c>
      <c r="D746" s="696"/>
      <c r="E746" s="696"/>
      <c r="F746" s="696"/>
      <c r="G746" s="696"/>
      <c r="H746" s="697"/>
      <c r="J746" s="201"/>
      <c r="K746" s="78"/>
      <c r="L746" s="78"/>
      <c r="M746" s="78"/>
      <c r="N746" s="78"/>
      <c r="O746" s="78"/>
      <c r="P746" s="78"/>
      <c r="Q746" s="78"/>
    </row>
    <row r="747" spans="1:17" s="87" customFormat="1" ht="12.75">
      <c r="A747" s="188"/>
      <c r="B747" s="346"/>
      <c r="C747" s="367"/>
      <c r="D747" s="367"/>
      <c r="E747" s="367"/>
      <c r="F747" s="367"/>
      <c r="G747" s="367"/>
      <c r="H747" s="368"/>
      <c r="J747" s="201"/>
      <c r="K747" s="78"/>
      <c r="L747" s="78"/>
      <c r="M747" s="78"/>
      <c r="N747" s="78"/>
      <c r="O747" s="78"/>
      <c r="P747" s="78"/>
      <c r="Q747" s="78"/>
    </row>
    <row r="748" spans="1:17" s="87" customFormat="1" ht="63.75">
      <c r="A748" s="188"/>
      <c r="B748" s="80" t="s">
        <v>7435</v>
      </c>
      <c r="C748" s="81" t="s">
        <v>7436</v>
      </c>
      <c r="D748" s="82" t="s">
        <v>84</v>
      </c>
      <c r="E748" s="82" t="s">
        <v>4521</v>
      </c>
      <c r="F748" s="83"/>
      <c r="G748" s="84"/>
      <c r="H748" s="85">
        <f>SUM(H749:H756)</f>
        <v>1249.1741099535104</v>
      </c>
      <c r="J748" s="201" t="s">
        <v>7439</v>
      </c>
      <c r="K748" s="78"/>
      <c r="L748" s="78"/>
      <c r="M748" s="78"/>
      <c r="N748" s="78"/>
      <c r="O748" s="78"/>
      <c r="P748" s="78"/>
      <c r="Q748" s="78"/>
    </row>
    <row r="749" spans="1:17" s="87" customFormat="1" ht="25.5">
      <c r="A749" s="232" t="s">
        <v>4542</v>
      </c>
      <c r="B749" s="464" t="s">
        <v>8774</v>
      </c>
      <c r="C749" s="451" t="str">
        <f>IF(A749="SERVIÇO",VLOOKUP(B749,SERVIÇOS!$A$6:$D$7645,2,0),IF(A749="INSUMO",VLOOKUP(B749,INSUMOS!$A$6:$D$6961,2,0),IF(A749="COTAÇÃO",VLOOKUP(B749,'036-20-Cotação'!$A$9:$G$529,2,0))))</f>
        <v>BOMBA DE PROTENSÃO COM LEITURA DIGITAL PARA TENSIONAMENTO DE ESTAIS - 3 KW</v>
      </c>
      <c r="D749" s="452" t="str">
        <f>IF(A749="SERVIÇO",VLOOKUP(B749,SERVIÇOS!$A$6:$E$7645,5,0),IF(A749="INSUMO",VLOOKUP(B749,INSUMOS!$A$6:$E$6961,5,0),IF(A749="COTAÇÃO",VLOOKUP(B749,'036-20-Cotação'!$A$9:$H$529,8,0))))</f>
        <v>EQUIP.</v>
      </c>
      <c r="E749" s="452" t="str">
        <f>IF(A749="SERVIÇO",VLOOKUP(B749,SERVIÇOS!$A$6:$D$7645,3,0),IF(A749="INSUMO",VLOOKUP(B749,INSUMOS!$A$6:$D$6961,3,0),IF(A749="COTAÇÃO",VLOOKUP(B749,'036-20-Cotação'!$A$9:$G$529,4,0))))</f>
        <v>CHP</v>
      </c>
      <c r="F749" s="462">
        <f>0.11379/0.11111</f>
        <v>1.024120241202412</v>
      </c>
      <c r="G749" s="453">
        <f>IF(A749="SERVIÇO",VLOOKUP(B749,SERVIÇOS!$A$6:$D$7645,4,0),IF(A749="INSUMO",VLOOKUP(B749,INSUMOS!$A$6:$D$6961,4,0),IF(A749="COTAÇÃO",VLOOKUP(B749,'036-20-Cotação'!$A$9:$G$529,3,0))))</f>
        <v>1.1753</v>
      </c>
      <c r="H749" s="463">
        <f t="shared" ref="H749:H756" si="107">G749*F749</f>
        <v>1.2036485194851947</v>
      </c>
      <c r="J749" s="201"/>
    </row>
    <row r="750" spans="1:17" s="87" customFormat="1" ht="25.5">
      <c r="A750" s="232" t="s">
        <v>4542</v>
      </c>
      <c r="B750" s="464" t="s">
        <v>9237</v>
      </c>
      <c r="C750" s="451" t="str">
        <f>IF(A750="SERVIÇO",VLOOKUP(B750,SERVIÇOS!$A$6:$D$7645,2,0),IF(A750="INSUMO",VLOOKUP(B750,INSUMOS!$A$6:$D$6961,2,0),IF(A750="COTAÇÃO",VLOOKUP(B750,'036-20-Cotação'!$A$9:$G$529,2,0))))</f>
        <v>CALDEIRA PARA AQUECIMENTO E INJEÇÃO DE CERA - 1 KW</v>
      </c>
      <c r="D750" s="452" t="str">
        <f>IF(A750="SERVIÇO",VLOOKUP(B750,SERVIÇOS!$A$6:$E$7645,5,0),IF(A750="INSUMO",VLOOKUP(B750,INSUMOS!$A$6:$E$6961,5,0),IF(A750="COTAÇÃO",VLOOKUP(B750,'036-20-Cotação'!$A$9:$H$529,8,0))))</f>
        <v>EQUIP.</v>
      </c>
      <c r="E750" s="452" t="str">
        <f>IF(A750="SERVIÇO",VLOOKUP(B750,SERVIÇOS!$A$6:$D$7645,3,0),IF(A750="INSUMO",VLOOKUP(B750,INSUMOS!$A$6:$D$6961,3,0),IF(A750="COTAÇÃO",VLOOKUP(B750,'036-20-Cotação'!$A$9:$G$529,4,0))))</f>
        <v>CHP</v>
      </c>
      <c r="F750" s="462">
        <f>0.16733/0.11111</f>
        <v>1.5059850598505986</v>
      </c>
      <c r="G750" s="453">
        <f>IF(A750="SERVIÇO",VLOOKUP(B750,SERVIÇOS!$A$6:$D$7645,4,0),IF(A750="INSUMO",VLOOKUP(B750,INSUMOS!$A$6:$D$6961,4,0),IF(A750="COTAÇÃO",VLOOKUP(B750,'036-20-Cotação'!$A$9:$G$529,3,0))))</f>
        <v>22.7576</v>
      </c>
      <c r="H750" s="463">
        <f t="shared" si="107"/>
        <v>34.272605598055982</v>
      </c>
      <c r="J750" s="201"/>
    </row>
    <row r="751" spans="1:17" s="87" customFormat="1" ht="38.25">
      <c r="A751" s="232" t="s">
        <v>4542</v>
      </c>
      <c r="B751" s="464" t="s">
        <v>8778</v>
      </c>
      <c r="C751" s="451" t="str">
        <f>IF(A751="SERVIÇO",VLOOKUP(B751,SERVIÇOS!$A$6:$D$7645,2,0),IF(A751="INSUMO",VLOOKUP(B751,INSUMOS!$A$6:$D$6961,2,0),IF(A751="COTAÇÃO",VLOOKUP(B751,'036-20-Cotação'!$A$9:$G$529,2,0))))</f>
        <v>EQUIPAMENTO PARA REGULAGEM FINAL DE ESTAIS DE 38 A 55 CORDOALHAS - D = 15,7 MM - 30 KW</v>
      </c>
      <c r="D751" s="452" t="str">
        <f>IF(A751="SERVIÇO",VLOOKUP(B751,SERVIÇOS!$A$6:$E$7645,5,0),IF(A751="INSUMO",VLOOKUP(B751,INSUMOS!$A$6:$E$6961,5,0),IF(A751="COTAÇÃO",VLOOKUP(B751,'036-20-Cotação'!$A$9:$H$529,8,0))))</f>
        <v>EQUIP.</v>
      </c>
      <c r="E751" s="452" t="str">
        <f>IF(A751="SERVIÇO",VLOOKUP(B751,SERVIÇOS!$A$6:$D$7645,3,0),IF(A751="INSUMO",VLOOKUP(B751,INSUMOS!$A$6:$D$6961,3,0),IF(A751="COTAÇÃO",VLOOKUP(B751,'036-20-Cotação'!$A$9:$G$529,4,0))))</f>
        <v>CHP</v>
      </c>
      <c r="F751" s="462">
        <f>0.46854/0.11111</f>
        <v>4.2169021690216901</v>
      </c>
      <c r="G751" s="453">
        <f>IF(A751="SERVIÇO",VLOOKUP(B751,SERVIÇOS!$A$6:$D$7645,4,0),IF(A751="INSUMO",VLOOKUP(B751,INSUMOS!$A$6:$D$6961,4,0),IF(A751="COTAÇÃO",VLOOKUP(B751,'036-20-Cotação'!$A$9:$G$529,3,0))))</f>
        <v>45.468699999999998</v>
      </c>
      <c r="H751" s="463">
        <f t="shared" si="107"/>
        <v>191.73705965259651</v>
      </c>
      <c r="J751" s="201"/>
    </row>
    <row r="752" spans="1:17" s="87" customFormat="1" ht="12.75">
      <c r="A752" s="232" t="s">
        <v>4542</v>
      </c>
      <c r="B752" s="464" t="s">
        <v>9327</v>
      </c>
      <c r="C752" s="451" t="str">
        <f>IF(A752="SERVIÇO",VLOOKUP(B752,SERVIÇOS!$A$6:$D$7645,2,0),IF(A752="INSUMO",VLOOKUP(B752,INSUMOS!$A$6:$D$6961,2,0),IF(A752="COTAÇÃO",VLOOKUP(B752,'036-20-Cotação'!$A$9:$G$529,2,0))))</f>
        <v>GRUPO GERADOR - 36/40 KVA</v>
      </c>
      <c r="D752" s="452" t="str">
        <f>IF(A752="SERVIÇO",VLOOKUP(B752,SERVIÇOS!$A$6:$E$7645,5,0),IF(A752="INSUMO",VLOOKUP(B752,INSUMOS!$A$6:$E$6961,5,0),IF(A752="COTAÇÃO",VLOOKUP(B752,'036-20-Cotação'!$A$9:$H$529,8,0))))</f>
        <v>EQUIP.</v>
      </c>
      <c r="E752" s="452" t="str">
        <f>IF(A752="SERVIÇO",VLOOKUP(B752,SERVIÇOS!$A$6:$D$7645,3,0),IF(A752="INSUMO",VLOOKUP(B752,INSUMOS!$A$6:$D$6961,3,0),IF(A752="COTAÇÃO",VLOOKUP(B752,'036-20-Cotação'!$A$9:$G$529,4,0))))</f>
        <v>CHP</v>
      </c>
      <c r="F752" s="462">
        <f>0.46854/0.11111</f>
        <v>4.2169021690216901</v>
      </c>
      <c r="G752" s="453">
        <f>IF(A752="SERVIÇO",VLOOKUP(B752,SERVIÇOS!$A$6:$D$7645,4,0),IF(A752="INSUMO",VLOOKUP(B752,INSUMOS!$A$6:$D$6961,4,0),IF(A752="COTAÇÃO",VLOOKUP(B752,'036-20-Cotação'!$A$9:$G$529,3,0))))</f>
        <v>24.178100000000001</v>
      </c>
      <c r="H752" s="463">
        <f t="shared" si="107"/>
        <v>101.95668233282333</v>
      </c>
      <c r="J752" s="201"/>
    </row>
    <row r="753" spans="1:17" s="87" customFormat="1" ht="25.5">
      <c r="A753" s="232" t="s">
        <v>4542</v>
      </c>
      <c r="B753" s="464" t="s">
        <v>8785</v>
      </c>
      <c r="C753" s="451" t="str">
        <f>IF(A753="SERVIÇO",VLOOKUP(B753,SERVIÇOS!$A$6:$D$7645,2,0),IF(A753="INSUMO",VLOOKUP(B753,INSUMOS!$A$6:$D$6961,2,0),IF(A753="COTAÇÃO",VLOOKUP(B753,'036-20-Cotação'!$A$9:$G$529,2,0))))</f>
        <v>MACACO HIDRÁULICO MONOCORDOALHA PARA TENSIONAMENTO DE ESTAIS</v>
      </c>
      <c r="D753" s="452" t="str">
        <f>IF(A753="SERVIÇO",VLOOKUP(B753,SERVIÇOS!$A$6:$E$7645,5,0),IF(A753="INSUMO",VLOOKUP(B753,INSUMOS!$A$6:$E$6961,5,0),IF(A753="COTAÇÃO",VLOOKUP(B753,'036-20-Cotação'!$A$9:$H$529,8,0))))</f>
        <v>EQUIP.</v>
      </c>
      <c r="E753" s="452" t="str">
        <f>IF(A753="SERVIÇO",VLOOKUP(B753,SERVIÇOS!$A$6:$D$7645,3,0),IF(A753="INSUMO",VLOOKUP(B753,INSUMOS!$A$6:$D$6961,3,0),IF(A753="COTAÇÃO",VLOOKUP(B753,'036-20-Cotação'!$A$9:$G$529,4,0))))</f>
        <v>CHP</v>
      </c>
      <c r="F753" s="462">
        <f>0.11379/0.11111</f>
        <v>1.024120241202412</v>
      </c>
      <c r="G753" s="453">
        <f>IF(A753="SERVIÇO",VLOOKUP(B753,SERVIÇOS!$A$6:$D$7645,4,0),IF(A753="INSUMO",VLOOKUP(B753,INSUMOS!$A$6:$D$6961,4,0),IF(A753="COTAÇÃO",VLOOKUP(B753,'036-20-Cotação'!$A$9:$G$529,3,0))))</f>
        <v>36.422800000000002</v>
      </c>
      <c r="H753" s="463">
        <f t="shared" si="107"/>
        <v>37.301326721267216</v>
      </c>
      <c r="J753" s="201"/>
    </row>
    <row r="754" spans="1:17" s="87" customFormat="1" ht="12.75">
      <c r="A754" s="232" t="s">
        <v>4542</v>
      </c>
      <c r="B754" s="464" t="s">
        <v>6602</v>
      </c>
      <c r="C754" s="451" t="str">
        <f>IF(A754="SERVIÇO",VLOOKUP(B754,SERVIÇOS!$A$6:$D$7645,2,0),IF(A754="INSUMO",VLOOKUP(B754,INSUMOS!$A$6:$D$6961,2,0),IF(A754="COTAÇÃO",VLOOKUP(B754,'036-20-Cotação'!$A$9:$G$529,2,0))))</f>
        <v>SERVENTE</v>
      </c>
      <c r="D754" s="452" t="str">
        <f>IF(A754="SERVIÇO",VLOOKUP(B754,SERVIÇOS!$A$6:$E$7645,5,0),IF(A754="INSUMO",VLOOKUP(B754,INSUMOS!$A$6:$E$6961,5,0),IF(A754="COTAÇÃO",VLOOKUP(B754,'036-20-Cotação'!$A$9:$H$529,8,0))))</f>
        <v>M.O</v>
      </c>
      <c r="E754" s="452" t="str">
        <f>IF(A754="SERVIÇO",VLOOKUP(B754,SERVIÇOS!$A$6:$D$7645,3,0),IF(A754="INSUMO",VLOOKUP(B754,INSUMOS!$A$6:$D$6961,3,0),IF(A754="COTAÇÃO",VLOOKUP(B754,'036-20-Cotação'!$A$9:$G$529,4,0))))</f>
        <v>H</v>
      </c>
      <c r="F754" s="462">
        <f>4/0.11111</f>
        <v>36.000360003600036</v>
      </c>
      <c r="G754" s="453">
        <f>IF(A754="SERVIÇO",VLOOKUP(B754,SERVIÇOS!$A$6:$D$7645,4,0),IF(A754="INSUMO",VLOOKUP(B754,INSUMOS!$A$6:$D$6961,4,0),IF(A754="COTAÇÃO",VLOOKUP(B754,'036-20-Cotação'!$A$9:$G$529,3,0))))</f>
        <v>15.637499999999999</v>
      </c>
      <c r="H754" s="463">
        <f t="shared" si="107"/>
        <v>562.95562955629555</v>
      </c>
      <c r="J754" s="201"/>
    </row>
    <row r="755" spans="1:17" s="87" customFormat="1" ht="25.5">
      <c r="A755" s="232" t="s">
        <v>4544</v>
      </c>
      <c r="B755" s="464" t="s">
        <v>7433</v>
      </c>
      <c r="C755" s="451" t="str">
        <f>IF(A755="SERVIÇO",VLOOKUP(B755,SERVIÇOS!$A$6:$D$7645,2,0),IF(A755="INSUMO",VLOOKUP(B755,INSUMOS!$A$6:$D$6961,2,0),IF(A755="COTAÇÃO",VLOOKUP(B755,'036-20-Cotação'!$A$9:$G$529,2,0))))</f>
        <v>CERA PARA INJEÇÃO DE ANCORAGENS DE ESTAIS</v>
      </c>
      <c r="D755" s="452" t="str">
        <f>IF(A755="SERVIÇO",VLOOKUP(B755,SERVIÇOS!$A$6:$E$7645,5,0),IF(A755="INSUMO",VLOOKUP(B755,INSUMOS!$A$6:$E$6961,5,0),IF(A755="COTAÇÃO",VLOOKUP(B755,'036-20-Cotação'!$A$9:$H$529,8,0))))</f>
        <v>MAT.</v>
      </c>
      <c r="E755" s="452" t="str">
        <f>IF(A755="SERVIÇO",VLOOKUP(B755,SERVIÇOS!$A$6:$D$7645,3,0),IF(A755="INSUMO",VLOOKUP(B755,INSUMOS!$A$6:$D$6961,3,0),IF(A755="COTAÇÃO",VLOOKUP(B755,'036-20-Cotação'!$A$9:$G$529,4,0))))</f>
        <v>KG</v>
      </c>
      <c r="F755" s="462">
        <v>28.1</v>
      </c>
      <c r="G755" s="453">
        <f>IF(A755="SERVIÇO",VLOOKUP(B755,SERVIÇOS!$A$6:$D$7645,4,0),IF(A755="INSUMO",VLOOKUP(B755,INSUMOS!$A$6:$D$6961,4,0),IF(A755="COTAÇÃO",VLOOKUP(B755,'036-20-Cotação'!$A$9:$G$529,3,0))))</f>
        <v>11.1867</v>
      </c>
      <c r="H755" s="463">
        <f t="shared" si="107"/>
        <v>314.34627</v>
      </c>
      <c r="J755" s="201"/>
    </row>
    <row r="756" spans="1:17" s="87" customFormat="1" ht="25.5">
      <c r="A756" s="232" t="s">
        <v>4542</v>
      </c>
      <c r="B756" s="464" t="s">
        <v>13206</v>
      </c>
      <c r="C756" s="451" t="str">
        <f>'036-20-CCA''s'!$C$281</f>
        <v>TEMPO FIXO - CAMINHÃO CARROCERIA 15 T - CARGA E DESCARGA MANUAIS</v>
      </c>
      <c r="D756" s="452" t="str">
        <f>'036-20-CCA''s'!$D$281</f>
        <v>SER.CG</v>
      </c>
      <c r="E756" s="452" t="str">
        <f>'036-20-CCA''s'!$E$281</f>
        <v>T</v>
      </c>
      <c r="F756" s="462">
        <v>0.2581</v>
      </c>
      <c r="G756" s="453">
        <f>'036-20-CCA''s'!$H$281</f>
        <v>20.925562080536913</v>
      </c>
      <c r="H756" s="463">
        <f t="shared" si="107"/>
        <v>5.4008875729865773</v>
      </c>
      <c r="J756" s="201"/>
    </row>
    <row r="757" spans="1:17" s="87" customFormat="1" ht="12.75">
      <c r="A757" s="188"/>
      <c r="B757" s="348" t="s">
        <v>123</v>
      </c>
      <c r="C757" s="695" t="s">
        <v>7437</v>
      </c>
      <c r="D757" s="696"/>
      <c r="E757" s="696"/>
      <c r="F757" s="696"/>
      <c r="G757" s="696"/>
      <c r="H757" s="697"/>
      <c r="J757" s="201"/>
      <c r="K757" s="78"/>
      <c r="L757" s="78"/>
      <c r="M757" s="78"/>
      <c r="N757" s="78"/>
      <c r="O757" s="78"/>
      <c r="P757" s="78"/>
      <c r="Q757" s="78"/>
    </row>
    <row r="758" spans="1:17" s="87" customFormat="1" ht="12.75">
      <c r="A758" s="188"/>
      <c r="B758" s="346"/>
      <c r="C758" s="367"/>
      <c r="D758" s="367"/>
      <c r="E758" s="367"/>
      <c r="F758" s="367"/>
      <c r="G758" s="367"/>
      <c r="H758" s="368"/>
      <c r="J758" s="201"/>
      <c r="K758" s="78"/>
      <c r="L758" s="78"/>
      <c r="M758" s="78"/>
      <c r="N758" s="78"/>
      <c r="O758" s="78"/>
      <c r="P758" s="78"/>
      <c r="Q758" s="78"/>
    </row>
    <row r="759" spans="1:17" s="87" customFormat="1" ht="38.25">
      <c r="A759" s="188"/>
      <c r="B759" s="80" t="s">
        <v>7440</v>
      </c>
      <c r="C759" s="81" t="s">
        <v>7445</v>
      </c>
      <c r="D759" s="82" t="s">
        <v>84</v>
      </c>
      <c r="E759" s="82" t="s">
        <v>4521</v>
      </c>
      <c r="F759" s="83"/>
      <c r="G759" s="84"/>
      <c r="H759" s="85">
        <f>SUM(H760:H764)</f>
        <v>505.41964142184196</v>
      </c>
      <c r="J759" s="201" t="s">
        <v>7441</v>
      </c>
      <c r="K759" s="78"/>
      <c r="L759" s="78"/>
      <c r="M759" s="78"/>
      <c r="N759" s="78"/>
      <c r="O759" s="78"/>
      <c r="P759" s="78"/>
      <c r="Q759" s="78"/>
    </row>
    <row r="760" spans="1:17" s="87" customFormat="1" ht="25.5">
      <c r="A760" s="232" t="s">
        <v>4542</v>
      </c>
      <c r="B760" s="464" t="s">
        <v>9237</v>
      </c>
      <c r="C760" s="451" t="str">
        <f>IF(A760="SERVIÇO",VLOOKUP(B760,SERVIÇOS!$A$6:$D$7645,2,0),IF(A760="INSUMO",VLOOKUP(B760,INSUMOS!$A$6:$D$6961,2,0),IF(A760="COTAÇÃO",VLOOKUP(B760,'036-20-Cotação'!$A$9:$G$529,2,0))))</f>
        <v>CALDEIRA PARA AQUECIMENTO E INJEÇÃO DE CERA - 1 KW</v>
      </c>
      <c r="D760" s="452" t="str">
        <f>IF(A760="SERVIÇO",VLOOKUP(B760,SERVIÇOS!$A$6:$E$7645,5,0),IF(A760="INSUMO",VLOOKUP(B760,INSUMOS!$A$6:$E$6961,5,0),IF(A760="COTAÇÃO",VLOOKUP(B760,'036-20-Cotação'!$A$9:$H$529,8,0))))</f>
        <v>EQUIP.</v>
      </c>
      <c r="E760" s="452" t="str">
        <f>IF(A760="SERVIÇO",VLOOKUP(B760,SERVIÇOS!$A$6:$D$7645,3,0),IF(A760="INSUMO",VLOOKUP(B760,INSUMOS!$A$6:$D$6961,3,0),IF(A760="COTAÇÃO",VLOOKUP(B760,'036-20-Cotação'!$A$9:$G$529,4,0))))</f>
        <v>CHP</v>
      </c>
      <c r="F760" s="462">
        <f>0.23691/0.18727</f>
        <v>1.2650718214342929</v>
      </c>
      <c r="G760" s="453">
        <f>IF(A760="SERVIÇO",VLOOKUP(B760,SERVIÇOS!$A$6:$D$7645,4,0),IF(A760="INSUMO",VLOOKUP(B760,INSUMOS!$A$6:$D$6961,4,0),IF(A760="COTAÇÃO",VLOOKUP(B760,'036-20-Cotação'!$A$9:$G$529,3,0))))</f>
        <v>22.7576</v>
      </c>
      <c r="H760" s="463">
        <f t="shared" ref="H760:H764" si="108">G760*F760</f>
        <v>28.789998483473063</v>
      </c>
      <c r="J760" s="201"/>
    </row>
    <row r="761" spans="1:17" s="87" customFormat="1" ht="12.75">
      <c r="A761" s="232" t="s">
        <v>4542</v>
      </c>
      <c r="B761" s="464" t="s">
        <v>9006</v>
      </c>
      <c r="C761" s="451" t="str">
        <f>IF(A761="SERVIÇO",VLOOKUP(B761,SERVIÇOS!$A$6:$D$7645,2,0),IF(A761="INSUMO",VLOOKUP(B761,INSUMOS!$A$6:$D$6961,2,0),IF(A761="COTAÇÃO",VLOOKUP(B761,'036-20-Cotação'!$A$9:$G$529,2,0))))</f>
        <v>GRUPO GERADOR - 2,5/3 KVA</v>
      </c>
      <c r="D761" s="452" t="str">
        <f>IF(A761="SERVIÇO",VLOOKUP(B761,SERVIÇOS!$A$6:$E$7645,5,0),IF(A761="INSUMO",VLOOKUP(B761,INSUMOS!$A$6:$E$6961,5,0),IF(A761="COTAÇÃO",VLOOKUP(B761,'036-20-Cotação'!$A$9:$H$529,8,0))))</f>
        <v>EQUIP.</v>
      </c>
      <c r="E761" s="452" t="str">
        <f>IF(A761="SERVIÇO",VLOOKUP(B761,SERVIÇOS!$A$6:$D$7645,3,0),IF(A761="INSUMO",VLOOKUP(B761,INSUMOS!$A$6:$D$6961,3,0),IF(A761="COTAÇÃO",VLOOKUP(B761,'036-20-Cotação'!$A$9:$G$529,4,0))))</f>
        <v>CHP</v>
      </c>
      <c r="F761" s="462">
        <f t="shared" ref="F761" si="109">0.23691/0.18727</f>
        <v>1.2650718214342929</v>
      </c>
      <c r="G761" s="453">
        <f>IF(A761="SERVIÇO",VLOOKUP(B761,SERVIÇOS!$A$6:$D$7645,4,0),IF(A761="INSUMO",VLOOKUP(B761,INSUMOS!$A$6:$D$6961,4,0),IF(A761="COTAÇÃO",VLOOKUP(B761,'036-20-Cotação'!$A$9:$G$529,3,0))))</f>
        <v>2.9165999999999999</v>
      </c>
      <c r="H761" s="463">
        <f t="shared" si="108"/>
        <v>3.6897084743952582</v>
      </c>
      <c r="J761" s="201"/>
    </row>
    <row r="762" spans="1:17" s="87" customFormat="1" ht="12.75">
      <c r="A762" s="232" t="s">
        <v>4542</v>
      </c>
      <c r="B762" s="464" t="s">
        <v>6602</v>
      </c>
      <c r="C762" s="451" t="str">
        <f>IF(A762="SERVIÇO",VLOOKUP(B762,SERVIÇOS!$A$6:$D$7645,2,0),IF(A762="INSUMO",VLOOKUP(B762,INSUMOS!$A$6:$D$6961,2,0),IF(A762="COTAÇÃO",VLOOKUP(B762,'036-20-Cotação'!$A$9:$G$529,2,0))))</f>
        <v>SERVENTE</v>
      </c>
      <c r="D762" s="452" t="str">
        <f>IF(A762="SERVIÇO",VLOOKUP(B762,SERVIÇOS!$A$6:$E$7645,5,0),IF(A762="INSUMO",VLOOKUP(B762,INSUMOS!$A$6:$E$6961,5,0),IF(A762="COTAÇÃO",VLOOKUP(B762,'036-20-Cotação'!$A$9:$H$529,8,0))))</f>
        <v>M.O</v>
      </c>
      <c r="E762" s="452" t="str">
        <f>IF(A762="SERVIÇO",VLOOKUP(B762,SERVIÇOS!$A$6:$D$7645,3,0),IF(A762="INSUMO",VLOOKUP(B762,INSUMOS!$A$6:$D$6961,3,0),IF(A762="COTAÇÃO",VLOOKUP(B762,'036-20-Cotação'!$A$9:$G$529,4,0))))</f>
        <v>H</v>
      </c>
      <c r="F762" s="462">
        <f>4/0.18727</f>
        <v>21.359534362150907</v>
      </c>
      <c r="G762" s="453">
        <f>IF(A762="SERVIÇO",VLOOKUP(B762,SERVIÇOS!$A$6:$D$7645,4,0),IF(A762="INSUMO",VLOOKUP(B762,INSUMOS!$A$6:$D$6961,4,0),IF(A762="COTAÇÃO",VLOOKUP(B762,'036-20-Cotação'!$A$9:$G$529,3,0))))</f>
        <v>15.637499999999999</v>
      </c>
      <c r="H762" s="463">
        <f t="shared" si="108"/>
        <v>334.00971858813477</v>
      </c>
      <c r="J762" s="201"/>
    </row>
    <row r="763" spans="1:17" s="87" customFormat="1" ht="25.5">
      <c r="A763" s="232" t="s">
        <v>4544</v>
      </c>
      <c r="B763" s="464" t="s">
        <v>7433</v>
      </c>
      <c r="C763" s="451" t="str">
        <f>IF(A763="SERVIÇO",VLOOKUP(B763,SERVIÇOS!$A$6:$D$7645,2,0),IF(A763="INSUMO",VLOOKUP(B763,INSUMOS!$A$6:$D$6961,2,0),IF(A763="COTAÇÃO",VLOOKUP(B763,'036-20-Cotação'!$A$9:$G$529,2,0))))</f>
        <v>CERA PARA INJEÇÃO DE ANCORAGENS DE ESTAIS</v>
      </c>
      <c r="D763" s="452" t="str">
        <f>IF(A763="SERVIÇO",VLOOKUP(B763,SERVIÇOS!$A$6:$E$7645,5,0),IF(A763="INSUMO",VLOOKUP(B763,INSUMOS!$A$6:$E$6961,5,0),IF(A763="COTAÇÃO",VLOOKUP(B763,'036-20-Cotação'!$A$9:$H$529,8,0))))</f>
        <v>MAT.</v>
      </c>
      <c r="E763" s="452" t="str">
        <f>IF(A763="SERVIÇO",VLOOKUP(B763,SERVIÇOS!$A$6:$D$7645,3,0),IF(A763="INSUMO",VLOOKUP(B763,INSUMOS!$A$6:$D$6961,3,0),IF(A763="COTAÇÃO",VLOOKUP(B763,'036-20-Cotação'!$A$9:$G$529,4,0))))</f>
        <v>KG</v>
      </c>
      <c r="F763" s="462">
        <v>12.2</v>
      </c>
      <c r="G763" s="453">
        <f>IF(A763="SERVIÇO",VLOOKUP(B763,SERVIÇOS!$A$6:$D$7645,4,0),IF(A763="INSUMO",VLOOKUP(B763,INSUMOS!$A$6:$D$6961,4,0),IF(A763="COTAÇÃO",VLOOKUP(B763,'036-20-Cotação'!$A$9:$G$529,3,0))))</f>
        <v>11.1867</v>
      </c>
      <c r="H763" s="463">
        <f t="shared" si="108"/>
        <v>136.47773999999998</v>
      </c>
      <c r="J763" s="201"/>
    </row>
    <row r="764" spans="1:17" s="87" customFormat="1" ht="25.5">
      <c r="A764" s="232" t="s">
        <v>4542</v>
      </c>
      <c r="B764" s="464" t="s">
        <v>13206</v>
      </c>
      <c r="C764" s="451" t="str">
        <f>'036-20-CCA''s'!$C$281</f>
        <v>TEMPO FIXO - CAMINHÃO CARROCERIA 15 T - CARGA E DESCARGA MANUAIS</v>
      </c>
      <c r="D764" s="452" t="str">
        <f>'036-20-CCA''s'!$D$281</f>
        <v>SER.CG</v>
      </c>
      <c r="E764" s="452" t="str">
        <f>'036-20-CCA''s'!$E$281</f>
        <v>T</v>
      </c>
      <c r="F764" s="462">
        <v>0.1172</v>
      </c>
      <c r="G764" s="453">
        <f>'036-20-CCA''s'!$H$281</f>
        <v>20.925562080536913</v>
      </c>
      <c r="H764" s="463">
        <f t="shared" si="108"/>
        <v>2.452475875838926</v>
      </c>
      <c r="J764" s="201"/>
    </row>
    <row r="765" spans="1:17" s="87" customFormat="1" ht="12.75">
      <c r="A765" s="188"/>
      <c r="B765" s="348" t="s">
        <v>123</v>
      </c>
      <c r="C765" s="695" t="s">
        <v>7442</v>
      </c>
      <c r="D765" s="696"/>
      <c r="E765" s="696"/>
      <c r="F765" s="696"/>
      <c r="G765" s="696"/>
      <c r="H765" s="697"/>
      <c r="J765" s="201"/>
      <c r="K765" s="78"/>
      <c r="L765" s="78"/>
      <c r="M765" s="78"/>
      <c r="N765" s="78"/>
      <c r="O765" s="78"/>
      <c r="P765" s="78"/>
      <c r="Q765" s="78"/>
    </row>
    <row r="766" spans="1:17" s="87" customFormat="1" ht="12.75">
      <c r="A766" s="188"/>
      <c r="B766" s="346"/>
      <c r="C766" s="367"/>
      <c r="D766" s="367"/>
      <c r="E766" s="367"/>
      <c r="F766" s="367"/>
      <c r="G766" s="367"/>
      <c r="H766" s="368"/>
      <c r="J766" s="201"/>
      <c r="K766" s="78"/>
      <c r="L766" s="78"/>
      <c r="M766" s="78"/>
      <c r="N766" s="78"/>
      <c r="O766" s="78"/>
      <c r="P766" s="78"/>
      <c r="Q766" s="78"/>
    </row>
    <row r="767" spans="1:17" s="87" customFormat="1" ht="63.75">
      <c r="A767" s="188"/>
      <c r="B767" s="80" t="s">
        <v>7447</v>
      </c>
      <c r="C767" s="81" t="s">
        <v>7446</v>
      </c>
      <c r="D767" s="82" t="s">
        <v>84</v>
      </c>
      <c r="E767" s="82" t="s">
        <v>4521</v>
      </c>
      <c r="F767" s="83"/>
      <c r="G767" s="84"/>
      <c r="H767" s="85">
        <f>SUM(H768:H775)</f>
        <v>1076.8972102274429</v>
      </c>
      <c r="J767" s="201" t="s">
        <v>7444</v>
      </c>
      <c r="K767" s="78"/>
      <c r="L767" s="78"/>
      <c r="M767" s="78"/>
      <c r="N767" s="78"/>
      <c r="O767" s="78"/>
      <c r="P767" s="78"/>
      <c r="Q767" s="78"/>
    </row>
    <row r="768" spans="1:17" s="87" customFormat="1" ht="25.5">
      <c r="A768" s="232" t="s">
        <v>4542</v>
      </c>
      <c r="B768" s="464" t="s">
        <v>8774</v>
      </c>
      <c r="C768" s="451" t="str">
        <f>IF(A768="SERVIÇO",VLOOKUP(B768,SERVIÇOS!$A$6:$D$7645,2,0),IF(A768="INSUMO",VLOOKUP(B768,INSUMOS!$A$6:$D$6961,2,0),IF(A768="COTAÇÃO",VLOOKUP(B768,'036-20-Cotação'!$A$9:$G$529,2,0))))</f>
        <v>BOMBA DE PROTENSÃO COM LEITURA DIGITAL PARA TENSIONAMENTO DE ESTAIS - 3 KW</v>
      </c>
      <c r="D768" s="452" t="str">
        <f>IF(A768="SERVIÇO",VLOOKUP(B768,SERVIÇOS!$A$6:$E$7645,5,0),IF(A768="INSUMO",VLOOKUP(B768,INSUMOS!$A$6:$E$6961,5,0),IF(A768="COTAÇÃO",VLOOKUP(B768,'036-20-Cotação'!$A$9:$H$529,8,0))))</f>
        <v>EQUIP.</v>
      </c>
      <c r="E768" s="452" t="str">
        <f>IF(A768="SERVIÇO",VLOOKUP(B768,SERVIÇOS!$A$6:$D$7645,3,0),IF(A768="INSUMO",VLOOKUP(B768,INSUMOS!$A$6:$D$6961,3,0),IF(A768="COTAÇÃO",VLOOKUP(B768,'036-20-Cotação'!$A$9:$G$529,4,0))))</f>
        <v>CHP</v>
      </c>
      <c r="F768" s="462">
        <f>0.10542/0.125</f>
        <v>0.84336</v>
      </c>
      <c r="G768" s="453">
        <f>IF(A768="SERVIÇO",VLOOKUP(B768,SERVIÇOS!$A$6:$D$7645,4,0),IF(A768="INSUMO",VLOOKUP(B768,INSUMOS!$A$6:$D$6961,4,0),IF(A768="COTAÇÃO",VLOOKUP(B768,'036-20-Cotação'!$A$9:$G$529,3,0))))</f>
        <v>1.1753</v>
      </c>
      <c r="H768" s="463">
        <f t="shared" ref="H768:H775" si="110">G768*F768</f>
        <v>0.99120100799999999</v>
      </c>
      <c r="J768" s="201"/>
    </row>
    <row r="769" spans="1:17" s="87" customFormat="1" ht="25.5">
      <c r="A769" s="232" t="s">
        <v>4542</v>
      </c>
      <c r="B769" s="464" t="s">
        <v>9237</v>
      </c>
      <c r="C769" s="451" t="str">
        <f>IF(A769="SERVIÇO",VLOOKUP(B769,SERVIÇOS!$A$6:$D$7645,2,0),IF(A769="INSUMO",VLOOKUP(B769,INSUMOS!$A$6:$D$6961,2,0),IF(A769="COTAÇÃO",VLOOKUP(B769,'036-20-Cotação'!$A$9:$G$529,2,0))))</f>
        <v>CALDEIRA PARA AQUECIMENTO E INJEÇÃO DE CERA - 1 KW</v>
      </c>
      <c r="D769" s="452" t="str">
        <f>IF(A769="SERVIÇO",VLOOKUP(B769,SERVIÇOS!$A$6:$E$7645,5,0),IF(A769="INSUMO",VLOOKUP(B769,INSUMOS!$A$6:$E$6961,5,0),IF(A769="COTAÇÃO",VLOOKUP(B769,'036-20-Cotação'!$A$9:$H$529,8,0))))</f>
        <v>EQUIP.</v>
      </c>
      <c r="E769" s="452" t="str">
        <f>IF(A769="SERVIÇO",VLOOKUP(B769,SERVIÇOS!$A$6:$D$7645,3,0),IF(A769="INSUMO",VLOOKUP(B769,INSUMOS!$A$6:$D$6961,3,0),IF(A769="COTAÇÃO",VLOOKUP(B769,'036-20-Cotação'!$A$9:$G$529,4,0))))</f>
        <v>CHP</v>
      </c>
      <c r="F769" s="462">
        <f>0.15813/0.125</f>
        <v>1.2650399999999999</v>
      </c>
      <c r="G769" s="453">
        <f>IF(A769="SERVIÇO",VLOOKUP(B769,SERVIÇOS!$A$6:$D$7645,4,0),IF(A769="INSUMO",VLOOKUP(B769,INSUMOS!$A$6:$D$6961,4,0),IF(A769="COTAÇÃO",VLOOKUP(B769,'036-20-Cotação'!$A$9:$G$529,3,0))))</f>
        <v>22.7576</v>
      </c>
      <c r="H769" s="463">
        <f t="shared" si="110"/>
        <v>28.789274303999999</v>
      </c>
      <c r="J769" s="201"/>
    </row>
    <row r="770" spans="1:17" s="87" customFormat="1" ht="38.25">
      <c r="A770" s="232" t="s">
        <v>4542</v>
      </c>
      <c r="B770" s="464" t="s">
        <v>8777</v>
      </c>
      <c r="C770" s="451" t="str">
        <f>IF(A770="SERVIÇO",VLOOKUP(B770,SERVIÇOS!$A$6:$D$7645,2,0),IF(A770="INSUMO",VLOOKUP(B770,INSUMOS!$A$6:$D$6961,2,0),IF(A770="COTAÇÃO",VLOOKUP(B770,'036-20-Cotação'!$A$9:$G$529,2,0))))</f>
        <v>EQUIPAMENTO PARA REGULAGEM FINAL DE ESTAIS COM ATÉ 37 CORDOALHAS - D = 15,7 MM - 20 KW</v>
      </c>
      <c r="D770" s="452" t="str">
        <f>IF(A770="SERVIÇO",VLOOKUP(B770,SERVIÇOS!$A$6:$E$7645,5,0),IF(A770="INSUMO",VLOOKUP(B770,INSUMOS!$A$6:$E$6961,5,0),IF(A770="COTAÇÃO",VLOOKUP(B770,'036-20-Cotação'!$A$9:$H$529,8,0))))</f>
        <v>EQUIP.</v>
      </c>
      <c r="E770" s="452" t="str">
        <f>IF(A770="SERVIÇO",VLOOKUP(B770,SERVIÇOS!$A$6:$D$7645,3,0),IF(A770="INSUMO",VLOOKUP(B770,INSUMOS!$A$6:$D$6961,3,0),IF(A770="COTAÇÃO",VLOOKUP(B770,'036-20-Cotação'!$A$9:$G$529,4,0))))</f>
        <v>CHP</v>
      </c>
      <c r="F770" s="462">
        <f>0.45181/0.125</f>
        <v>3.6144799999999999</v>
      </c>
      <c r="G770" s="453">
        <f>IF(A770="SERVIÇO",VLOOKUP(B770,SERVIÇOS!$A$6:$D$7645,4,0),IF(A770="INSUMO",VLOOKUP(B770,INSUMOS!$A$6:$D$6961,4,0),IF(A770="COTAÇÃO",VLOOKUP(B770,'036-20-Cotação'!$A$9:$G$529,3,0))))</f>
        <v>42.306100000000001</v>
      </c>
      <c r="H770" s="463">
        <f t="shared" si="110"/>
        <v>152.91455232799998</v>
      </c>
      <c r="J770" s="201"/>
    </row>
    <row r="771" spans="1:17" s="87" customFormat="1" ht="12.75">
      <c r="A771" s="232" t="s">
        <v>4542</v>
      </c>
      <c r="B771" s="464" t="s">
        <v>9327</v>
      </c>
      <c r="C771" s="451" t="str">
        <f>IF(A771="SERVIÇO",VLOOKUP(B771,SERVIÇOS!$A$6:$D$7645,2,0),IF(A771="INSUMO",VLOOKUP(B771,INSUMOS!$A$6:$D$6961,2,0),IF(A771="COTAÇÃO",VLOOKUP(B771,'036-20-Cotação'!$A$9:$G$529,2,0))))</f>
        <v>GRUPO GERADOR - 36/40 KVA</v>
      </c>
      <c r="D771" s="452" t="str">
        <f>IF(A771="SERVIÇO",VLOOKUP(B771,SERVIÇOS!$A$6:$E$7645,5,0),IF(A771="INSUMO",VLOOKUP(B771,INSUMOS!$A$6:$E$6961,5,0),IF(A771="COTAÇÃO",VLOOKUP(B771,'036-20-Cotação'!$A$9:$H$529,8,0))))</f>
        <v>EQUIP.</v>
      </c>
      <c r="E771" s="452" t="str">
        <f>IF(A771="SERVIÇO",VLOOKUP(B771,SERVIÇOS!$A$6:$D$7645,3,0),IF(A771="INSUMO",VLOOKUP(B771,INSUMOS!$A$6:$D$6961,3,0),IF(A771="COTAÇÃO",VLOOKUP(B771,'036-20-Cotação'!$A$9:$G$529,4,0))))</f>
        <v>CHP</v>
      </c>
      <c r="F771" s="462">
        <f>0.45181/0.125</f>
        <v>3.6144799999999999</v>
      </c>
      <c r="G771" s="453">
        <f>IF(A771="SERVIÇO",VLOOKUP(B771,SERVIÇOS!$A$6:$D$7645,4,0),IF(A771="INSUMO",VLOOKUP(B771,INSUMOS!$A$6:$D$6961,4,0),IF(A771="COTAÇÃO",VLOOKUP(B771,'036-20-Cotação'!$A$9:$G$529,3,0))))</f>
        <v>24.178100000000001</v>
      </c>
      <c r="H771" s="463">
        <f t="shared" si="110"/>
        <v>87.391258887999996</v>
      </c>
      <c r="J771" s="201"/>
    </row>
    <row r="772" spans="1:17" s="87" customFormat="1" ht="25.5">
      <c r="A772" s="232" t="s">
        <v>4542</v>
      </c>
      <c r="B772" s="464" t="s">
        <v>8785</v>
      </c>
      <c r="C772" s="451" t="str">
        <f>IF(A772="SERVIÇO",VLOOKUP(B772,SERVIÇOS!$A$6:$D$7645,2,0),IF(A772="INSUMO",VLOOKUP(B772,INSUMOS!$A$6:$D$6961,2,0),IF(A772="COTAÇÃO",VLOOKUP(B772,'036-20-Cotação'!$A$9:$G$529,2,0))))</f>
        <v>MACACO HIDRÁULICO MONOCORDOALHA PARA TENSIONAMENTO DE ESTAIS</v>
      </c>
      <c r="D772" s="452" t="str">
        <f>IF(A772="SERVIÇO",VLOOKUP(B772,SERVIÇOS!$A$6:$E$7645,5,0),IF(A772="INSUMO",VLOOKUP(B772,INSUMOS!$A$6:$E$6961,5,0),IF(A772="COTAÇÃO",VLOOKUP(B772,'036-20-Cotação'!$A$9:$H$529,8,0))))</f>
        <v>EQUIP.</v>
      </c>
      <c r="E772" s="452" t="str">
        <f>IF(A772="SERVIÇO",VLOOKUP(B772,SERVIÇOS!$A$6:$D$7645,3,0),IF(A772="INSUMO",VLOOKUP(B772,INSUMOS!$A$6:$D$6961,3,0),IF(A772="COTAÇÃO",VLOOKUP(B772,'036-20-Cotação'!$A$9:$G$529,4,0))))</f>
        <v>CHP</v>
      </c>
      <c r="F772" s="462">
        <f>0.10542/0.125</f>
        <v>0.84336</v>
      </c>
      <c r="G772" s="453">
        <f>IF(A772="SERVIÇO",VLOOKUP(B772,SERVIÇOS!$A$6:$D$7645,4,0),IF(A772="INSUMO",VLOOKUP(B772,INSUMOS!$A$6:$D$6961,4,0),IF(A772="COTAÇÃO",VLOOKUP(B772,'036-20-Cotação'!$A$9:$G$529,3,0))))</f>
        <v>36.422800000000002</v>
      </c>
      <c r="H772" s="463">
        <f t="shared" si="110"/>
        <v>30.717532608000003</v>
      </c>
      <c r="J772" s="201"/>
    </row>
    <row r="773" spans="1:17" s="87" customFormat="1" ht="12.75">
      <c r="A773" s="232" t="s">
        <v>4542</v>
      </c>
      <c r="B773" s="464" t="s">
        <v>6602</v>
      </c>
      <c r="C773" s="451" t="str">
        <f>IF(A773="SERVIÇO",VLOOKUP(B773,SERVIÇOS!$A$6:$D$7645,2,0),IF(A773="INSUMO",VLOOKUP(B773,INSUMOS!$A$6:$D$6961,2,0),IF(A773="COTAÇÃO",VLOOKUP(B773,'036-20-Cotação'!$A$9:$G$529,2,0))))</f>
        <v>SERVENTE</v>
      </c>
      <c r="D773" s="452" t="str">
        <f>IF(A773="SERVIÇO",VLOOKUP(B773,SERVIÇOS!$A$6:$E$7645,5,0),IF(A773="INSUMO",VLOOKUP(B773,INSUMOS!$A$6:$E$6961,5,0),IF(A773="COTAÇÃO",VLOOKUP(B773,'036-20-Cotação'!$A$9:$H$529,8,0))))</f>
        <v>M.O</v>
      </c>
      <c r="E773" s="452" t="str">
        <f>IF(A773="SERVIÇO",VLOOKUP(B773,SERVIÇOS!$A$6:$D$7645,3,0),IF(A773="INSUMO",VLOOKUP(B773,INSUMOS!$A$6:$D$6961,3,0),IF(A773="COTAÇÃO",VLOOKUP(B773,'036-20-Cotação'!$A$9:$G$529,4,0))))</f>
        <v>H</v>
      </c>
      <c r="F773" s="462">
        <f>4/0.125</f>
        <v>32</v>
      </c>
      <c r="G773" s="453">
        <f>IF(A773="SERVIÇO",VLOOKUP(B773,SERVIÇOS!$A$6:$D$7645,4,0),IF(A773="INSUMO",VLOOKUP(B773,INSUMOS!$A$6:$D$6961,4,0),IF(A773="COTAÇÃO",VLOOKUP(B773,'036-20-Cotação'!$A$9:$G$529,3,0))))</f>
        <v>15.637499999999999</v>
      </c>
      <c r="H773" s="463">
        <f t="shared" si="110"/>
        <v>500.4</v>
      </c>
      <c r="J773" s="201"/>
    </row>
    <row r="774" spans="1:17" s="87" customFormat="1" ht="25.5">
      <c r="A774" s="232" t="s">
        <v>4544</v>
      </c>
      <c r="B774" s="464" t="s">
        <v>7433</v>
      </c>
      <c r="C774" s="451" t="str">
        <f>IF(A774="SERVIÇO",VLOOKUP(B774,SERVIÇOS!$A$6:$D$7645,2,0),IF(A774="INSUMO",VLOOKUP(B774,INSUMOS!$A$6:$D$6961,2,0),IF(A774="COTAÇÃO",VLOOKUP(B774,'036-20-Cotação'!$A$9:$G$529,2,0))))</f>
        <v>CERA PARA INJEÇÃO DE ANCORAGENS DE ESTAIS</v>
      </c>
      <c r="D774" s="452" t="str">
        <f>IF(A774="SERVIÇO",VLOOKUP(B774,SERVIÇOS!$A$6:$E$7645,5,0),IF(A774="INSUMO",VLOOKUP(B774,INSUMOS!$A$6:$E$6961,5,0),IF(A774="COTAÇÃO",VLOOKUP(B774,'036-20-Cotação'!$A$9:$H$529,8,0))))</f>
        <v>MAT.</v>
      </c>
      <c r="E774" s="452" t="str">
        <f>IF(A774="SERVIÇO",VLOOKUP(B774,SERVIÇOS!$A$6:$D$7645,3,0),IF(A774="INSUMO",VLOOKUP(B774,INSUMOS!$A$6:$D$6961,3,0),IF(A774="COTAÇÃO",VLOOKUP(B774,'036-20-Cotação'!$A$9:$G$529,4,0))))</f>
        <v>KG</v>
      </c>
      <c r="F774" s="462">
        <v>24.3</v>
      </c>
      <c r="G774" s="453">
        <f>IF(A774="SERVIÇO",VLOOKUP(B774,SERVIÇOS!$A$6:$D$7645,4,0),IF(A774="INSUMO",VLOOKUP(B774,INSUMOS!$A$6:$D$6961,4,0),IF(A774="COTAÇÃO",VLOOKUP(B774,'036-20-Cotação'!$A$9:$G$529,3,0))))</f>
        <v>11.1867</v>
      </c>
      <c r="H774" s="463">
        <f t="shared" si="110"/>
        <v>271.83681000000001</v>
      </c>
      <c r="J774" s="201"/>
    </row>
    <row r="775" spans="1:17" s="87" customFormat="1" ht="25.5">
      <c r="A775" s="232" t="s">
        <v>4542</v>
      </c>
      <c r="B775" s="464" t="s">
        <v>13206</v>
      </c>
      <c r="C775" s="451" t="str">
        <f>'036-20-CCA''s'!$C$281</f>
        <v>TEMPO FIXO - CAMINHÃO CARROCERIA 15 T - CARGA E DESCARGA MANUAIS</v>
      </c>
      <c r="D775" s="452" t="str">
        <f>'036-20-CCA''s'!$D$281</f>
        <v>SER.CG</v>
      </c>
      <c r="E775" s="452" t="str">
        <f>'036-20-CCA''s'!$E$281</f>
        <v>T</v>
      </c>
      <c r="F775" s="462">
        <v>0.18429999999999999</v>
      </c>
      <c r="G775" s="453">
        <f>'036-20-CCA''s'!$H$281</f>
        <v>20.925562080536913</v>
      </c>
      <c r="H775" s="463">
        <f t="shared" si="110"/>
        <v>3.856581091442953</v>
      </c>
      <c r="J775" s="201"/>
    </row>
    <row r="776" spans="1:17" s="87" customFormat="1" ht="12.75">
      <c r="A776" s="188"/>
      <c r="B776" s="348" t="s">
        <v>123</v>
      </c>
      <c r="C776" s="695" t="s">
        <v>7443</v>
      </c>
      <c r="D776" s="696"/>
      <c r="E776" s="696"/>
      <c r="F776" s="696"/>
      <c r="G776" s="696"/>
      <c r="H776" s="697"/>
      <c r="J776" s="201"/>
      <c r="K776" s="78"/>
      <c r="L776" s="78"/>
      <c r="M776" s="78"/>
      <c r="N776" s="78"/>
      <c r="O776" s="78"/>
      <c r="P776" s="78"/>
      <c r="Q776" s="78"/>
    </row>
    <row r="777" spans="1:17" s="87" customFormat="1" ht="12.75">
      <c r="A777" s="188"/>
      <c r="B777" s="346"/>
      <c r="C777" s="367"/>
      <c r="D777" s="367"/>
      <c r="E777" s="367"/>
      <c r="F777" s="367"/>
      <c r="G777" s="367"/>
      <c r="H777" s="368"/>
      <c r="J777" s="201"/>
      <c r="K777" s="78"/>
      <c r="L777" s="78"/>
      <c r="M777" s="78"/>
      <c r="N777" s="78"/>
      <c r="O777" s="78"/>
      <c r="P777" s="78"/>
      <c r="Q777" s="78"/>
    </row>
    <row r="778" spans="1:17" s="87" customFormat="1" ht="38.25">
      <c r="A778" s="188"/>
      <c r="B778" s="80" t="s">
        <v>7448</v>
      </c>
      <c r="C778" s="81" t="s">
        <v>7449</v>
      </c>
      <c r="D778" s="82" t="s">
        <v>84</v>
      </c>
      <c r="E778" s="82" t="s">
        <v>4521</v>
      </c>
      <c r="F778" s="83"/>
      <c r="G778" s="84"/>
      <c r="H778" s="85">
        <f>SUM(H779:H779)</f>
        <v>26884.9411</v>
      </c>
      <c r="J778" s="201"/>
      <c r="K778" s="78"/>
      <c r="L778" s="78"/>
      <c r="M778" s="78"/>
      <c r="N778" s="78"/>
      <c r="O778" s="78"/>
      <c r="P778" s="78"/>
      <c r="Q778" s="78"/>
    </row>
    <row r="779" spans="1:17" s="87" customFormat="1" ht="25.5">
      <c r="A779" s="232" t="s">
        <v>12</v>
      </c>
      <c r="B779" s="464" t="s">
        <v>7450</v>
      </c>
      <c r="C779" s="451" t="str">
        <f>IF(A779="SERVIÇO",VLOOKUP(B779,SERVIÇOS!$A$6:$D$7645,2,0),IF(A779="INSUMO",VLOOKUP(B779,INSUMOS!$A$6:$D$6961,2,0),IF(A779="COTAÇÃO",VLOOKUP(B779,'036-20-Cotação'!$A$9:$G$529,2,0))))</f>
        <v xml:space="preserve">ANCORAGEM PARA ESTAIS FIXA TSR PARA 43 CORDOALHAS - D = 15,7 MM - FORNECIMENTO                                 </v>
      </c>
      <c r="D779" s="452" t="str">
        <f>IF(A779="SERVIÇO",VLOOKUP(B779,SERVIÇOS!$A$6:$E$7645,5,0),IF(A779="INSUMO",VLOOKUP(B779,INSUMOS!$A$6:$E$6961,5,0),IF(A779="COTAÇÃO",VLOOKUP(B779,'036-20-Cotação'!$A$9:$H$529,8,0))))</f>
        <v>MAT.</v>
      </c>
      <c r="E779" s="452" t="str">
        <f>IF(A779="SERVIÇO",VLOOKUP(B779,SERVIÇOS!$A$6:$D$7645,3,0),IF(A779="INSUMO",VLOOKUP(B779,INSUMOS!$A$6:$D$6961,3,0),IF(A779="COTAÇÃO",VLOOKUP(B779,'036-20-Cotação'!$A$9:$G$529,4,0))))</f>
        <v>UN</v>
      </c>
      <c r="F779" s="462">
        <v>1</v>
      </c>
      <c r="G779" s="453">
        <f>IF(A779="SERVIÇO",VLOOKUP(B779,SERVIÇOS!$A$6:$D$7645,4,0),IF(A779="INSUMO",VLOOKUP(B779,INSUMOS!$A$6:$D$6961,4,0),IF(A779="COTAÇÃO",VLOOKUP(B779,'036-20-Cotação'!$A$9:$G$529,3,0))))</f>
        <v>26884.9411</v>
      </c>
      <c r="H779" s="463">
        <f t="shared" ref="H779" si="111">G779*F779</f>
        <v>26884.9411</v>
      </c>
      <c r="J779" s="201"/>
    </row>
    <row r="780" spans="1:17" s="87" customFormat="1" ht="12.75">
      <c r="A780" s="188"/>
      <c r="B780" s="348" t="s">
        <v>123</v>
      </c>
      <c r="C780" s="695" t="s">
        <v>7432</v>
      </c>
      <c r="D780" s="696"/>
      <c r="E780" s="696"/>
      <c r="F780" s="696"/>
      <c r="G780" s="696"/>
      <c r="H780" s="697"/>
      <c r="J780" s="201"/>
      <c r="K780" s="78"/>
      <c r="L780" s="78"/>
      <c r="M780" s="78"/>
      <c r="N780" s="78"/>
      <c r="O780" s="78"/>
      <c r="P780" s="78"/>
      <c r="Q780" s="78"/>
    </row>
    <row r="781" spans="1:17" s="87" customFormat="1" ht="12.75">
      <c r="A781" s="188"/>
      <c r="B781" s="346"/>
      <c r="C781" s="367"/>
      <c r="D781" s="367"/>
      <c r="E781" s="367"/>
      <c r="F781" s="367"/>
      <c r="G781" s="367"/>
      <c r="H781" s="368"/>
      <c r="J781" s="201"/>
      <c r="K781" s="78"/>
      <c r="L781" s="78"/>
      <c r="M781" s="78"/>
      <c r="N781" s="78"/>
      <c r="O781" s="78"/>
      <c r="P781" s="78"/>
      <c r="Q781" s="78"/>
    </row>
    <row r="782" spans="1:17" s="87" customFormat="1" ht="38.25">
      <c r="A782" s="188"/>
      <c r="B782" s="80" t="s">
        <v>7451</v>
      </c>
      <c r="C782" s="81" t="s">
        <v>7452</v>
      </c>
      <c r="D782" s="82" t="s">
        <v>84</v>
      </c>
      <c r="E782" s="82" t="s">
        <v>4521</v>
      </c>
      <c r="F782" s="83"/>
      <c r="G782" s="84"/>
      <c r="H782" s="85">
        <f>SUM(H783:H783)</f>
        <v>31243.2827</v>
      </c>
      <c r="J782" s="201"/>
      <c r="K782" s="78"/>
      <c r="L782" s="78"/>
      <c r="M782" s="78"/>
      <c r="N782" s="78"/>
      <c r="O782" s="78"/>
      <c r="P782" s="78"/>
      <c r="Q782" s="78"/>
    </row>
    <row r="783" spans="1:17" s="87" customFormat="1" ht="25.5">
      <c r="A783" s="232" t="s">
        <v>12</v>
      </c>
      <c r="B783" s="464" t="s">
        <v>7453</v>
      </c>
      <c r="C783" s="451" t="str">
        <f>IF(A783="SERVIÇO",VLOOKUP(B783,SERVIÇOS!$A$6:$D$7645,2,0),IF(A783="INSUMO",VLOOKUP(B783,INSUMOS!$A$6:$D$6961,2,0),IF(A783="COTAÇÃO",VLOOKUP(B783,'036-20-Cotação'!$A$9:$G$529,2,0))))</f>
        <v xml:space="preserve">ANCORAGEM PARA ESTAIS REGULÁVEL TSR PARA 43 CORDOALHAS - D = 15,7 MM </v>
      </c>
      <c r="D783" s="452" t="str">
        <f>IF(A783="SERVIÇO",VLOOKUP(B783,SERVIÇOS!$A$6:$E$7645,5,0),IF(A783="INSUMO",VLOOKUP(B783,INSUMOS!$A$6:$E$6961,5,0),IF(A783="COTAÇÃO",VLOOKUP(B783,'036-20-Cotação'!$A$9:$H$529,8,0))))</f>
        <v>MAT.</v>
      </c>
      <c r="E783" s="452" t="str">
        <f>IF(A783="SERVIÇO",VLOOKUP(B783,SERVIÇOS!$A$6:$D$7645,3,0),IF(A783="INSUMO",VLOOKUP(B783,INSUMOS!$A$6:$D$6961,3,0),IF(A783="COTAÇÃO",VLOOKUP(B783,'036-20-Cotação'!$A$9:$G$529,4,0))))</f>
        <v>UN</v>
      </c>
      <c r="F783" s="462">
        <v>1</v>
      </c>
      <c r="G783" s="453">
        <f>IF(A783="SERVIÇO",VLOOKUP(B783,SERVIÇOS!$A$6:$D$7645,4,0),IF(A783="INSUMO",VLOOKUP(B783,INSUMOS!$A$6:$D$6961,4,0),IF(A783="COTAÇÃO",VLOOKUP(B783,'036-20-Cotação'!$A$9:$G$529,3,0))))</f>
        <v>31243.2827</v>
      </c>
      <c r="H783" s="463">
        <f t="shared" ref="H783" si="112">G783*F783</f>
        <v>31243.2827</v>
      </c>
      <c r="J783" s="201"/>
    </row>
    <row r="784" spans="1:17" s="87" customFormat="1" ht="12.75">
      <c r="A784" s="188"/>
      <c r="B784" s="348" t="s">
        <v>123</v>
      </c>
      <c r="C784" s="695" t="s">
        <v>7437</v>
      </c>
      <c r="D784" s="696"/>
      <c r="E784" s="696"/>
      <c r="F784" s="696"/>
      <c r="G784" s="696"/>
      <c r="H784" s="697"/>
      <c r="J784" s="201"/>
      <c r="K784" s="78"/>
      <c r="L784" s="78"/>
      <c r="M784" s="78"/>
      <c r="N784" s="78"/>
      <c r="O784" s="78"/>
      <c r="P784" s="78"/>
      <c r="Q784" s="78"/>
    </row>
    <row r="785" spans="1:17" s="87" customFormat="1" ht="12.75">
      <c r="A785" s="188"/>
      <c r="B785" s="346"/>
      <c r="C785" s="367"/>
      <c r="D785" s="367"/>
      <c r="E785" s="367"/>
      <c r="F785" s="367"/>
      <c r="G785" s="367"/>
      <c r="H785" s="368"/>
      <c r="J785" s="201"/>
      <c r="K785" s="78"/>
      <c r="L785" s="78"/>
      <c r="M785" s="78"/>
      <c r="N785" s="78"/>
      <c r="O785" s="78"/>
      <c r="P785" s="78"/>
      <c r="Q785" s="78"/>
    </row>
    <row r="786" spans="1:17" s="87" customFormat="1" ht="38.25">
      <c r="A786" s="188"/>
      <c r="B786" s="80" t="s">
        <v>7456</v>
      </c>
      <c r="C786" s="81" t="s">
        <v>7459</v>
      </c>
      <c r="D786" s="82" t="s">
        <v>84</v>
      </c>
      <c r="E786" s="82" t="s">
        <v>4521</v>
      </c>
      <c r="F786" s="83"/>
      <c r="G786" s="84"/>
      <c r="H786" s="85">
        <f>SUM(H787:H787)</f>
        <v>19381.448100000001</v>
      </c>
      <c r="J786" s="201"/>
      <c r="K786" s="78"/>
      <c r="L786" s="78"/>
      <c r="M786" s="78"/>
      <c r="N786" s="78"/>
      <c r="O786" s="78"/>
      <c r="P786" s="78"/>
      <c r="Q786" s="78"/>
    </row>
    <row r="787" spans="1:17" s="87" customFormat="1" ht="25.5">
      <c r="A787" s="232" t="s">
        <v>12</v>
      </c>
      <c r="B787" s="464" t="s">
        <v>7457</v>
      </c>
      <c r="C787" s="451" t="str">
        <f>IF(A787="SERVIÇO",VLOOKUP(B787,SERVIÇOS!$A$6:$D$7645,2,0),IF(A787="INSUMO",VLOOKUP(B787,INSUMOS!$A$6:$D$6961,2,0),IF(A787="COTAÇÃO",VLOOKUP(B787,'036-20-Cotação'!$A$9:$G$529,2,0))))</f>
        <v xml:space="preserve">ANCORAGEM PARA ESTAIS FIXA TSR PARA 31 CORDOALHAS - D = 15,7 </v>
      </c>
      <c r="D787" s="452" t="str">
        <f>IF(A787="SERVIÇO",VLOOKUP(B787,SERVIÇOS!$A$6:$E$7645,5,0),IF(A787="INSUMO",VLOOKUP(B787,INSUMOS!$A$6:$E$6961,5,0),IF(A787="COTAÇÃO",VLOOKUP(B787,'036-20-Cotação'!$A$9:$H$529,8,0))))</f>
        <v>MAT.</v>
      </c>
      <c r="E787" s="452" t="str">
        <f>IF(A787="SERVIÇO",VLOOKUP(B787,SERVIÇOS!$A$6:$D$7645,3,0),IF(A787="INSUMO",VLOOKUP(B787,INSUMOS!$A$6:$D$6961,3,0),IF(A787="COTAÇÃO",VLOOKUP(B787,'036-20-Cotação'!$A$9:$G$529,4,0))))</f>
        <v>UN</v>
      </c>
      <c r="F787" s="462">
        <v>1</v>
      </c>
      <c r="G787" s="453">
        <f>IF(A787="SERVIÇO",VLOOKUP(B787,SERVIÇOS!$A$6:$D$7645,4,0),IF(A787="INSUMO",VLOOKUP(B787,INSUMOS!$A$6:$D$6961,4,0),IF(A787="COTAÇÃO",VLOOKUP(B787,'036-20-Cotação'!$A$9:$G$529,3,0))))</f>
        <v>19381.448100000001</v>
      </c>
      <c r="H787" s="463">
        <f t="shared" ref="H787" si="113">G787*F787</f>
        <v>19381.448100000001</v>
      </c>
      <c r="J787" s="201"/>
    </row>
    <row r="788" spans="1:17" s="87" customFormat="1" ht="12.75">
      <c r="A788" s="188"/>
      <c r="B788" s="348" t="s">
        <v>123</v>
      </c>
      <c r="C788" s="695" t="s">
        <v>7442</v>
      </c>
      <c r="D788" s="696"/>
      <c r="E788" s="696"/>
      <c r="F788" s="696"/>
      <c r="G788" s="696"/>
      <c r="H788" s="697"/>
      <c r="J788" s="201"/>
      <c r="K788" s="78"/>
      <c r="L788" s="78"/>
      <c r="M788" s="78"/>
      <c r="N788" s="78"/>
      <c r="O788" s="78"/>
      <c r="P788" s="78"/>
      <c r="Q788" s="78"/>
    </row>
    <row r="789" spans="1:17" s="87" customFormat="1" ht="12.75">
      <c r="A789" s="188"/>
      <c r="B789" s="346"/>
      <c r="C789" s="367"/>
      <c r="D789" s="367"/>
      <c r="E789" s="367"/>
      <c r="F789" s="367"/>
      <c r="G789" s="367"/>
      <c r="H789" s="368"/>
      <c r="J789" s="201"/>
      <c r="K789" s="78"/>
      <c r="L789" s="78"/>
      <c r="M789" s="78"/>
      <c r="N789" s="78"/>
      <c r="O789" s="78"/>
      <c r="P789" s="78"/>
      <c r="Q789" s="78"/>
    </row>
    <row r="790" spans="1:17" s="87" customFormat="1" ht="38.25">
      <c r="A790" s="188"/>
      <c r="B790" s="80" t="s">
        <v>7463</v>
      </c>
      <c r="C790" s="81" t="s">
        <v>7462</v>
      </c>
      <c r="D790" s="82" t="s">
        <v>84</v>
      </c>
      <c r="E790" s="82" t="s">
        <v>4521</v>
      </c>
      <c r="F790" s="83"/>
      <c r="G790" s="84"/>
      <c r="H790" s="85">
        <f>SUM(H791:H791)</f>
        <v>22523.569200000002</v>
      </c>
      <c r="J790" s="201"/>
      <c r="K790" s="78"/>
      <c r="L790" s="78"/>
      <c r="M790" s="78"/>
      <c r="N790" s="78"/>
      <c r="O790" s="78"/>
      <c r="P790" s="78"/>
      <c r="Q790" s="78"/>
    </row>
    <row r="791" spans="1:17" s="87" customFormat="1" ht="25.5">
      <c r="A791" s="232" t="s">
        <v>12</v>
      </c>
      <c r="B791" s="464" t="s">
        <v>7460</v>
      </c>
      <c r="C791" s="451" t="str">
        <f>IF(A791="SERVIÇO",VLOOKUP(B791,SERVIÇOS!$A$6:$D$7645,2,0),IF(A791="INSUMO",VLOOKUP(B791,INSUMOS!$A$6:$D$6961,2,0),IF(A791="COTAÇÃO",VLOOKUP(B791,'036-20-Cotação'!$A$9:$G$529,2,0))))</f>
        <v xml:space="preserve">ANCORAGEM PARA ESTAIS REGULÁVEL TSR PARA 31 CORDOALHAS - D = 15,7 MM </v>
      </c>
      <c r="D791" s="452" t="str">
        <f>IF(A791="SERVIÇO",VLOOKUP(B791,SERVIÇOS!$A$6:$E$7645,5,0),IF(A791="INSUMO",VLOOKUP(B791,INSUMOS!$A$6:$E$6961,5,0),IF(A791="COTAÇÃO",VLOOKUP(B791,'036-20-Cotação'!$A$9:$H$529,8,0))))</f>
        <v>MAT.</v>
      </c>
      <c r="E791" s="452" t="str">
        <f>IF(A791="SERVIÇO",VLOOKUP(B791,SERVIÇOS!$A$6:$D$7645,3,0),IF(A791="INSUMO",VLOOKUP(B791,INSUMOS!$A$6:$D$6961,3,0),IF(A791="COTAÇÃO",VLOOKUP(B791,'036-20-Cotação'!$A$9:$G$529,4,0))))</f>
        <v>UN</v>
      </c>
      <c r="F791" s="462">
        <v>1</v>
      </c>
      <c r="G791" s="453">
        <f>IF(A791="SERVIÇO",VLOOKUP(B791,SERVIÇOS!$A$6:$D$7645,4,0),IF(A791="INSUMO",VLOOKUP(B791,INSUMOS!$A$6:$D$6961,4,0),IF(A791="COTAÇÃO",VLOOKUP(B791,'036-20-Cotação'!$A$9:$G$529,3,0))))</f>
        <v>22523.569200000002</v>
      </c>
      <c r="H791" s="463">
        <f t="shared" ref="H791" si="114">G791*F791</f>
        <v>22523.569200000002</v>
      </c>
      <c r="J791" s="201"/>
    </row>
    <row r="792" spans="1:17" s="87" customFormat="1" ht="12.75">
      <c r="A792" s="188"/>
      <c r="B792" s="348" t="s">
        <v>123</v>
      </c>
      <c r="C792" s="695" t="s">
        <v>7443</v>
      </c>
      <c r="D792" s="696"/>
      <c r="E792" s="696"/>
      <c r="F792" s="696"/>
      <c r="G792" s="696"/>
      <c r="H792" s="697"/>
      <c r="J792" s="201"/>
      <c r="K792" s="78"/>
      <c r="L792" s="78"/>
      <c r="M792" s="78"/>
      <c r="N792" s="78"/>
      <c r="O792" s="78"/>
      <c r="P792" s="78"/>
      <c r="Q792" s="78"/>
    </row>
    <row r="793" spans="1:17" s="87" customFormat="1" ht="12.75">
      <c r="A793" s="188"/>
      <c r="B793" s="346"/>
      <c r="C793" s="367"/>
      <c r="D793" s="367"/>
      <c r="E793" s="367"/>
      <c r="F793" s="367"/>
      <c r="G793" s="367"/>
      <c r="H793" s="368"/>
      <c r="J793" s="201"/>
      <c r="K793" s="78"/>
      <c r="L793" s="78"/>
      <c r="M793" s="78"/>
      <c r="N793" s="78"/>
      <c r="O793" s="78"/>
      <c r="P793" s="78"/>
      <c r="Q793" s="78"/>
    </row>
    <row r="794" spans="1:17" s="87" customFormat="1" ht="51">
      <c r="A794" s="188"/>
      <c r="B794" s="80" t="s">
        <v>7465</v>
      </c>
      <c r="C794" s="81" t="s">
        <v>7477</v>
      </c>
      <c r="D794" s="82" t="s">
        <v>84</v>
      </c>
      <c r="E794" s="82" t="s">
        <v>5</v>
      </c>
      <c r="F794" s="83"/>
      <c r="G794" s="84"/>
      <c r="H794" s="85">
        <f>SUM(H795:H797)</f>
        <v>75.074005671140924</v>
      </c>
      <c r="J794" s="201" t="s">
        <v>7467</v>
      </c>
      <c r="K794" s="78"/>
      <c r="L794" s="78"/>
      <c r="M794" s="78"/>
      <c r="N794" s="78"/>
      <c r="O794" s="78"/>
      <c r="P794" s="78"/>
      <c r="Q794" s="78"/>
    </row>
    <row r="795" spans="1:17" s="87" customFormat="1" ht="12.75">
      <c r="A795" s="232" t="s">
        <v>4542</v>
      </c>
      <c r="B795" s="464" t="s">
        <v>6613</v>
      </c>
      <c r="C795" s="451" t="str">
        <f>IF(A795="SERVIÇO",VLOOKUP(B795,SERVIÇOS!$A$6:$D$7645,2,0),IF(A795="INSUMO",VLOOKUP(B795,INSUMOS!$A$6:$D$6961,2,0),IF(A795="COTAÇÃO",VLOOKUP(B795,'036-20-Cotação'!$A$9:$G$529,2,0))))</f>
        <v>CARPINTEIRO</v>
      </c>
      <c r="D795" s="452" t="str">
        <f>IF(A795="SERVIÇO",VLOOKUP(B795,SERVIÇOS!$A$6:$E$7645,5,0),IF(A795="INSUMO",VLOOKUP(B795,INSUMOS!$A$6:$E$6961,5,0),IF(A795="COTAÇÃO",VLOOKUP(B795,'036-20-Cotação'!$A$9:$H$529,8,0))))</f>
        <v>M.O</v>
      </c>
      <c r="E795" s="452" t="str">
        <f>IF(A795="SERVIÇO",VLOOKUP(B795,SERVIÇOS!$A$6:$D$7645,3,0),IF(A795="INSUMO",VLOOKUP(B795,INSUMOS!$A$6:$D$6961,3,0),IF(A795="COTAÇÃO",VLOOKUP(B795,'036-20-Cotação'!$A$9:$G$529,4,0))))</f>
        <v>H</v>
      </c>
      <c r="F795" s="462">
        <f>2/1.05</f>
        <v>1.9047619047619047</v>
      </c>
      <c r="G795" s="453">
        <f>IF(A795="SERVIÇO",VLOOKUP(B795,SERVIÇOS!$A$6:$D$7645,4,0),IF(A795="INSUMO",VLOOKUP(B795,INSUMOS!$A$6:$D$6961,4,0),IF(A795="COTAÇÃO",VLOOKUP(B795,'036-20-Cotação'!$A$9:$G$529,3,0))))</f>
        <v>21.710999999999999</v>
      </c>
      <c r="H795" s="463">
        <f t="shared" ref="H795:H797" si="115">G795*F795</f>
        <v>41.354285714285709</v>
      </c>
      <c r="J795" s="201"/>
    </row>
    <row r="796" spans="1:17" s="87" customFormat="1" ht="12.75">
      <c r="A796" s="232" t="s">
        <v>4542</v>
      </c>
      <c r="B796" s="464" t="s">
        <v>6602</v>
      </c>
      <c r="C796" s="451" t="str">
        <f>IF(A796="SERVIÇO",VLOOKUP(B796,SERVIÇOS!$A$6:$D$7645,2,0),IF(A796="INSUMO",VLOOKUP(B796,INSUMOS!$A$6:$D$6961,2,0),IF(A796="COTAÇÃO",VLOOKUP(B796,'036-20-Cotação'!$A$9:$G$529,2,0))))</f>
        <v>SERVENTE</v>
      </c>
      <c r="D796" s="452" t="str">
        <f>IF(A796="SERVIÇO",VLOOKUP(B796,SERVIÇOS!$A$6:$E$7645,5,0),IF(A796="INSUMO",VLOOKUP(B796,INSUMOS!$A$6:$E$6961,5,0),IF(A796="COTAÇÃO",VLOOKUP(B796,'036-20-Cotação'!$A$9:$H$529,8,0))))</f>
        <v>M.O</v>
      </c>
      <c r="E796" s="452" t="str">
        <f>IF(A796="SERVIÇO",VLOOKUP(B796,SERVIÇOS!$A$6:$D$7645,3,0),IF(A796="INSUMO",VLOOKUP(B796,INSUMOS!$A$6:$D$6961,3,0),IF(A796="COTAÇÃO",VLOOKUP(B796,'036-20-Cotação'!$A$9:$G$529,4,0))))</f>
        <v>H</v>
      </c>
      <c r="F796" s="462">
        <f>2/1.05</f>
        <v>1.9047619047619047</v>
      </c>
      <c r="G796" s="453">
        <f>IF(A796="SERVIÇO",VLOOKUP(B796,SERVIÇOS!$A$6:$D$7645,4,0),IF(A796="INSUMO",VLOOKUP(B796,INSUMOS!$A$6:$D$6961,4,0),IF(A796="COTAÇÃO",VLOOKUP(B796,'036-20-Cotação'!$A$9:$G$529,3,0))))</f>
        <v>15.637499999999999</v>
      </c>
      <c r="H796" s="463">
        <f t="shared" si="115"/>
        <v>29.785714285714281</v>
      </c>
      <c r="J796" s="201"/>
    </row>
    <row r="797" spans="1:17" s="87" customFormat="1" ht="25.5">
      <c r="A797" s="232" t="s">
        <v>4542</v>
      </c>
      <c r="B797" s="464" t="s">
        <v>13206</v>
      </c>
      <c r="C797" s="451" t="str">
        <f>'036-20-CCA''s'!$C$281</f>
        <v>TEMPO FIXO - CAMINHÃO CARROCERIA 15 T - CARGA E DESCARGA MANUAIS</v>
      </c>
      <c r="D797" s="452" t="str">
        <f>'036-20-CCA''s'!$D$281</f>
        <v>SER.CG</v>
      </c>
      <c r="E797" s="452" t="str">
        <f>'036-20-CCA''s'!$E$281</f>
        <v>T</v>
      </c>
      <c r="F797" s="462">
        <v>0.188</v>
      </c>
      <c r="G797" s="453">
        <f>'036-20-CCA''s'!$H$281</f>
        <v>20.925562080536913</v>
      </c>
      <c r="H797" s="463">
        <f t="shared" si="115"/>
        <v>3.9340056711409397</v>
      </c>
      <c r="J797" s="201"/>
    </row>
    <row r="798" spans="1:17" s="87" customFormat="1" ht="12.75">
      <c r="A798" s="188"/>
      <c r="B798" s="348" t="s">
        <v>123</v>
      </c>
      <c r="C798" s="695" t="s">
        <v>7466</v>
      </c>
      <c r="D798" s="696"/>
      <c r="E798" s="696"/>
      <c r="F798" s="696"/>
      <c r="G798" s="696"/>
      <c r="H798" s="697"/>
      <c r="J798" s="201"/>
      <c r="K798" s="78"/>
      <c r="L798" s="78"/>
      <c r="M798" s="78"/>
      <c r="N798" s="78"/>
      <c r="O798" s="78"/>
      <c r="P798" s="78"/>
      <c r="Q798" s="78"/>
    </row>
    <row r="799" spans="1:17" s="87" customFormat="1" ht="12.75">
      <c r="A799" s="188"/>
      <c r="B799" s="346"/>
      <c r="C799" s="367"/>
      <c r="D799" s="367"/>
      <c r="E799" s="367"/>
      <c r="F799" s="367"/>
      <c r="G799" s="367"/>
      <c r="H799" s="368"/>
      <c r="J799" s="201"/>
      <c r="K799" s="78"/>
      <c r="L799" s="78"/>
      <c r="M799" s="78"/>
      <c r="N799" s="78"/>
      <c r="O799" s="78"/>
      <c r="P799" s="78"/>
      <c r="Q799" s="78"/>
    </row>
    <row r="800" spans="1:17" s="87" customFormat="1" ht="38.25">
      <c r="A800" s="188"/>
      <c r="B800" s="80" t="s">
        <v>7469</v>
      </c>
      <c r="C800" s="81" t="s">
        <v>7471</v>
      </c>
      <c r="D800" s="82" t="s">
        <v>84</v>
      </c>
      <c r="E800" s="82" t="s">
        <v>5</v>
      </c>
      <c r="F800" s="83"/>
      <c r="G800" s="84"/>
      <c r="H800" s="85">
        <f>SUM(H801:H801)</f>
        <v>5550</v>
      </c>
      <c r="J800" s="201"/>
      <c r="K800" s="78"/>
      <c r="L800" s="78"/>
      <c r="M800" s="78"/>
      <c r="N800" s="78"/>
      <c r="O800" s="78"/>
      <c r="P800" s="78"/>
      <c r="Q800" s="78"/>
    </row>
    <row r="801" spans="1:17" s="87" customFormat="1" ht="38.25">
      <c r="A801" s="232" t="s">
        <v>12</v>
      </c>
      <c r="B801" s="464" t="s">
        <v>7470</v>
      </c>
      <c r="C801" s="451" t="str">
        <f>IF(A801="SERVIÇO",VLOOKUP(B801,SERVIÇOS!$A$6:$D$7645,2,0),IF(A801="INSUMO",VLOOKUP(B801,INSUMOS!$A$6:$D$6961,2,0),IF(A801="COTAÇÃO",VLOOKUP(B801,'036-20-Cotação'!$A$9:$G$529,2,0))))</f>
        <v xml:space="preserve">TUBO ANTIVANDALISMO PARA ESTAIS EM AÇO GALVANIZADO PARA 43 CORDOALHAS - D = 15,7 MM </v>
      </c>
      <c r="D801" s="452" t="str">
        <f>IF(A801="SERVIÇO",VLOOKUP(B801,SERVIÇOS!$A$6:$E$7645,5,0),IF(A801="INSUMO",VLOOKUP(B801,INSUMOS!$A$6:$E$6961,5,0),IF(A801="COTAÇÃO",VLOOKUP(B801,'036-20-Cotação'!$A$9:$H$529,8,0))))</f>
        <v>MAT.</v>
      </c>
      <c r="E801" s="452" t="str">
        <f>IF(A801="SERVIÇO",VLOOKUP(B801,SERVIÇOS!$A$6:$D$7645,3,0),IF(A801="INSUMO",VLOOKUP(B801,INSUMOS!$A$6:$D$6961,3,0),IF(A801="COTAÇÃO",VLOOKUP(B801,'036-20-Cotação'!$A$9:$G$529,4,0))))</f>
        <v>M</v>
      </c>
      <c r="F801" s="462">
        <v>1</v>
      </c>
      <c r="G801" s="453">
        <f>IF(A801="SERVIÇO",VLOOKUP(B801,SERVIÇOS!$A$6:$D$7645,4,0),IF(A801="INSUMO",VLOOKUP(B801,INSUMOS!$A$6:$D$6961,4,0),IF(A801="COTAÇÃO",VLOOKUP(B801,'036-20-Cotação'!$A$9:$G$529,3,0))))</f>
        <v>5550</v>
      </c>
      <c r="H801" s="463">
        <f t="shared" ref="H801" si="116">G801*F801</f>
        <v>5550</v>
      </c>
      <c r="J801" s="201"/>
    </row>
    <row r="802" spans="1:17" s="87" customFormat="1" ht="12.75">
      <c r="A802" s="188"/>
      <c r="B802" s="348" t="s">
        <v>123</v>
      </c>
      <c r="C802" s="695" t="s">
        <v>7466</v>
      </c>
      <c r="D802" s="696"/>
      <c r="E802" s="696"/>
      <c r="F802" s="696"/>
      <c r="G802" s="696"/>
      <c r="H802" s="697"/>
      <c r="J802" s="201"/>
      <c r="K802" s="78"/>
      <c r="L802" s="78"/>
      <c r="M802" s="78"/>
      <c r="N802" s="78"/>
      <c r="O802" s="78"/>
      <c r="P802" s="78"/>
      <c r="Q802" s="78"/>
    </row>
    <row r="803" spans="1:17" s="87" customFormat="1" ht="12.75">
      <c r="A803" s="188"/>
      <c r="B803" s="346"/>
      <c r="C803" s="367"/>
      <c r="D803" s="367"/>
      <c r="E803" s="367"/>
      <c r="F803" s="367"/>
      <c r="G803" s="367"/>
      <c r="H803" s="368"/>
      <c r="J803" s="201"/>
      <c r="K803" s="78"/>
      <c r="L803" s="78"/>
      <c r="M803" s="78"/>
      <c r="N803" s="78"/>
      <c r="O803" s="78"/>
      <c r="P803" s="78"/>
      <c r="Q803" s="78"/>
    </row>
    <row r="804" spans="1:17" s="87" customFormat="1" ht="38.25">
      <c r="A804" s="188"/>
      <c r="B804" s="80" t="s">
        <v>7479</v>
      </c>
      <c r="C804" s="81" t="s">
        <v>7478</v>
      </c>
      <c r="D804" s="82" t="s">
        <v>84</v>
      </c>
      <c r="E804" s="82" t="s">
        <v>5</v>
      </c>
      <c r="F804" s="83"/>
      <c r="G804" s="84"/>
      <c r="H804" s="85">
        <f>SUM(H805:H808)</f>
        <v>45.964322733879712</v>
      </c>
      <c r="J804" s="201" t="s">
        <v>7476</v>
      </c>
      <c r="K804" s="78"/>
      <c r="L804" s="78"/>
      <c r="M804" s="78"/>
      <c r="N804" s="78"/>
      <c r="O804" s="78"/>
      <c r="P804" s="78"/>
      <c r="Q804" s="78"/>
    </row>
    <row r="805" spans="1:17" s="87" customFormat="1" ht="25.5">
      <c r="A805" s="232" t="s">
        <v>4542</v>
      </c>
      <c r="B805" s="464" t="s">
        <v>8786</v>
      </c>
      <c r="C805" s="451" t="str">
        <f>IF(A805="SERVIÇO",VLOOKUP(B805,SERVIÇOS!$A$6:$D$7645,2,0),IF(A805="INSUMO",VLOOKUP(B805,INSUMOS!$A$6:$D$6961,2,0),IF(A805="COTAÇÃO",VLOOKUP(B805,'036-20-Cotação'!$A$9:$G$529,2,0))))</f>
        <v>MÁQUINA DE SOLDA POR TERMOFUSÃO PARA TUBOS PEAD COM GERADOR DE 5,5 KVA</v>
      </c>
      <c r="D805" s="452" t="str">
        <f>IF(A805="SERVIÇO",VLOOKUP(B805,SERVIÇOS!$A$6:$E$7645,5,0),IF(A805="INSUMO",VLOOKUP(B805,INSUMOS!$A$6:$E$6961,5,0),IF(A805="COTAÇÃO",VLOOKUP(B805,'036-20-Cotação'!$A$9:$H$529,8,0))))</f>
        <v>EQUIP.</v>
      </c>
      <c r="E805" s="452" t="str">
        <f>IF(A805="SERVIÇO",VLOOKUP(B805,SERVIÇOS!$A$6:$D$7645,3,0),IF(A805="INSUMO",VLOOKUP(B805,INSUMOS!$A$6:$D$6961,3,0),IF(A805="COTAÇÃO",VLOOKUP(B805,'036-20-Cotação'!$A$9:$G$529,4,0))))</f>
        <v>CHP</v>
      </c>
      <c r="F805" s="462">
        <f>0.60497/4.29</f>
        <v>0.14101864801864802</v>
      </c>
      <c r="G805" s="453">
        <f>IF(A805="SERVIÇO",VLOOKUP(B805,SERVIÇOS!$A$6:$D$7645,4,0),IF(A805="INSUMO",VLOOKUP(B805,INSUMOS!$A$6:$D$6961,4,0),IF(A805="COTAÇÃO",VLOOKUP(B805,'036-20-Cotação'!$A$9:$G$529,3,0))))</f>
        <v>46.067700000000002</v>
      </c>
      <c r="H805" s="463">
        <f t="shared" ref="H805:H808" si="117">G805*F805</f>
        <v>6.4964047713286721</v>
      </c>
      <c r="J805" s="201"/>
    </row>
    <row r="806" spans="1:17" s="87" customFormat="1" ht="12.75">
      <c r="A806" s="232" t="s">
        <v>4542</v>
      </c>
      <c r="B806" s="464" t="s">
        <v>6613</v>
      </c>
      <c r="C806" s="451" t="str">
        <f>IF(A806="SERVIÇO",VLOOKUP(B806,SERVIÇOS!$A$6:$D$7645,2,0),IF(A806="INSUMO",VLOOKUP(B806,INSUMOS!$A$6:$D$6961,2,0),IF(A806="COTAÇÃO",VLOOKUP(B806,'036-20-Cotação'!$A$9:$G$529,2,0))))</f>
        <v>CARPINTEIRO</v>
      </c>
      <c r="D806" s="452" t="str">
        <f>IF(A806="SERVIÇO",VLOOKUP(B806,SERVIÇOS!$A$6:$E$7645,5,0),IF(A806="INSUMO",VLOOKUP(B806,INSUMOS!$A$6:$E$6961,5,0),IF(A806="COTAÇÃO",VLOOKUP(B806,'036-20-Cotação'!$A$9:$H$529,8,0))))</f>
        <v>M.O</v>
      </c>
      <c r="E806" s="452" t="str">
        <f>IF(A806="SERVIÇO",VLOOKUP(B806,SERVIÇOS!$A$6:$D$7645,3,0),IF(A806="INSUMO",VLOOKUP(B806,INSUMOS!$A$6:$D$6961,3,0),IF(A806="COTAÇÃO",VLOOKUP(B806,'036-20-Cotação'!$A$9:$G$529,4,0))))</f>
        <v>H</v>
      </c>
      <c r="F806" s="462">
        <f>2/4.29</f>
        <v>0.46620046620046618</v>
      </c>
      <c r="G806" s="453">
        <f>IF(A806="SERVIÇO",VLOOKUP(B806,SERVIÇOS!$A$6:$D$7645,4,0),IF(A806="INSUMO",VLOOKUP(B806,INSUMOS!$A$6:$D$6961,4,0),IF(A806="COTAÇÃO",VLOOKUP(B806,'036-20-Cotação'!$A$9:$G$529,3,0))))</f>
        <v>21.710999999999999</v>
      </c>
      <c r="H806" s="463">
        <f t="shared" si="117"/>
        <v>10.121678321678321</v>
      </c>
      <c r="J806" s="201"/>
    </row>
    <row r="807" spans="1:17" s="87" customFormat="1" ht="12.75">
      <c r="A807" s="232" t="s">
        <v>4542</v>
      </c>
      <c r="B807" s="464" t="s">
        <v>6602</v>
      </c>
      <c r="C807" s="451" t="str">
        <f>IF(A807="SERVIÇO",VLOOKUP(B807,SERVIÇOS!$A$6:$D$7645,2,0),IF(A807="INSUMO",VLOOKUP(B807,INSUMOS!$A$6:$D$6961,2,0),IF(A807="COTAÇÃO",VLOOKUP(B807,'036-20-Cotação'!$A$9:$G$529,2,0))))</f>
        <v>SERVENTE</v>
      </c>
      <c r="D807" s="452" t="str">
        <f>IF(A807="SERVIÇO",VLOOKUP(B807,SERVIÇOS!$A$6:$E$7645,5,0),IF(A807="INSUMO",VLOOKUP(B807,INSUMOS!$A$6:$E$6961,5,0),IF(A807="COTAÇÃO",VLOOKUP(B807,'036-20-Cotação'!$A$9:$H$529,8,0))))</f>
        <v>M.O</v>
      </c>
      <c r="E807" s="452" t="str">
        <f>IF(A807="SERVIÇO",VLOOKUP(B807,SERVIÇOS!$A$6:$D$7645,3,0),IF(A807="INSUMO",VLOOKUP(B807,INSUMOS!$A$6:$D$6961,3,0),IF(A807="COTAÇÃO",VLOOKUP(B807,'036-20-Cotação'!$A$9:$G$529,4,0))))</f>
        <v>H</v>
      </c>
      <c r="F807" s="462">
        <f>8/4.29</f>
        <v>1.8648018648018647</v>
      </c>
      <c r="G807" s="453">
        <f>IF(A807="SERVIÇO",VLOOKUP(B807,SERVIÇOS!$A$6:$D$7645,4,0),IF(A807="INSUMO",VLOOKUP(B807,INSUMOS!$A$6:$D$6961,4,0),IF(A807="COTAÇÃO",VLOOKUP(B807,'036-20-Cotação'!$A$9:$G$529,3,0))))</f>
        <v>15.637499999999999</v>
      </c>
      <c r="H807" s="463">
        <f t="shared" si="117"/>
        <v>29.16083916083916</v>
      </c>
      <c r="J807" s="201"/>
    </row>
    <row r="808" spans="1:17" s="87" customFormat="1" ht="25.5">
      <c r="A808" s="232" t="s">
        <v>4542</v>
      </c>
      <c r="B808" s="464" t="s">
        <v>13206</v>
      </c>
      <c r="C808" s="451" t="str">
        <f>'036-20-CCA''s'!$C$281</f>
        <v>TEMPO FIXO - CAMINHÃO CARROCERIA 15 T - CARGA E DESCARGA MANUAIS</v>
      </c>
      <c r="D808" s="452" t="str">
        <f>'036-20-CCA''s'!$D$281</f>
        <v>SER.CG</v>
      </c>
      <c r="E808" s="452" t="str">
        <f>'036-20-CCA''s'!$E$281</f>
        <v>T</v>
      </c>
      <c r="F808" s="462">
        <v>8.8599999999999998E-3</v>
      </c>
      <c r="G808" s="453">
        <f>'036-20-CCA''s'!$H$281</f>
        <v>20.925562080536913</v>
      </c>
      <c r="H808" s="463">
        <f t="shared" si="117"/>
        <v>0.18540048003355705</v>
      </c>
      <c r="J808" s="201"/>
    </row>
    <row r="809" spans="1:17" s="87" customFormat="1" ht="12.75">
      <c r="A809" s="188"/>
      <c r="B809" s="348" t="s">
        <v>123</v>
      </c>
      <c r="C809" s="695" t="s">
        <v>7475</v>
      </c>
      <c r="D809" s="696"/>
      <c r="E809" s="696"/>
      <c r="F809" s="696"/>
      <c r="G809" s="696"/>
      <c r="H809" s="697"/>
      <c r="J809" s="201"/>
      <c r="K809" s="78"/>
      <c r="L809" s="78"/>
      <c r="M809" s="78"/>
      <c r="N809" s="78"/>
      <c r="O809" s="78"/>
      <c r="P809" s="78"/>
      <c r="Q809" s="78"/>
    </row>
    <row r="810" spans="1:17" s="87" customFormat="1" ht="12.75">
      <c r="A810" s="188"/>
      <c r="B810" s="346"/>
      <c r="C810" s="367"/>
      <c r="D810" s="367"/>
      <c r="E810" s="367"/>
      <c r="F810" s="367"/>
      <c r="G810" s="367"/>
      <c r="H810" s="368"/>
      <c r="J810" s="201"/>
      <c r="K810" s="78"/>
      <c r="L810" s="78"/>
      <c r="M810" s="78"/>
      <c r="N810" s="78"/>
      <c r="O810" s="78"/>
      <c r="P810" s="78"/>
      <c r="Q810" s="78"/>
    </row>
    <row r="811" spans="1:17" s="87" customFormat="1" ht="25.5">
      <c r="A811" s="188"/>
      <c r="B811" s="80" t="s">
        <v>7480</v>
      </c>
      <c r="C811" s="81" t="s">
        <v>7481</v>
      </c>
      <c r="D811" s="82" t="s">
        <v>84</v>
      </c>
      <c r="E811" s="82" t="s">
        <v>5</v>
      </c>
      <c r="F811" s="83"/>
      <c r="G811" s="84"/>
      <c r="H811" s="85">
        <f>SUM(H812:H812)</f>
        <v>133.62</v>
      </c>
      <c r="J811" s="201"/>
      <c r="K811" s="78"/>
      <c r="L811" s="78"/>
      <c r="M811" s="78"/>
      <c r="N811" s="78"/>
      <c r="O811" s="78"/>
      <c r="P811" s="78"/>
      <c r="Q811" s="78"/>
    </row>
    <row r="812" spans="1:17" s="87" customFormat="1" ht="25.5">
      <c r="A812" s="232" t="s">
        <v>12</v>
      </c>
      <c r="B812" s="464" t="s">
        <v>7482</v>
      </c>
      <c r="C812" s="451" t="str">
        <f>IF(A812="SERVIÇO",VLOOKUP(B812,SERVIÇOS!$A$6:$D$7645,2,0),IF(A812="INSUMO",VLOOKUP(B812,INSUMOS!$A$6:$D$6961,2,0),IF(A812="COTAÇÃO",VLOOKUP(B812,'036-20-Cotação'!$A$9:$G$529,2,0))))</f>
        <v xml:space="preserve"> TUBO PEAD PARA ESTAIS - D = 225 MM </v>
      </c>
      <c r="D812" s="452" t="str">
        <f>IF(A812="SERVIÇO",VLOOKUP(B812,SERVIÇOS!$A$6:$E$7645,5,0),IF(A812="INSUMO",VLOOKUP(B812,INSUMOS!$A$6:$E$6961,5,0),IF(A812="COTAÇÃO",VLOOKUP(B812,'036-20-Cotação'!$A$9:$H$529,8,0))))</f>
        <v>MAT.</v>
      </c>
      <c r="E812" s="452" t="str">
        <f>IF(A812="SERVIÇO",VLOOKUP(B812,SERVIÇOS!$A$6:$D$7645,3,0),IF(A812="INSUMO",VLOOKUP(B812,INSUMOS!$A$6:$D$6961,3,0),IF(A812="COTAÇÃO",VLOOKUP(B812,'036-20-Cotação'!$A$9:$G$529,4,0))))</f>
        <v>M</v>
      </c>
      <c r="F812" s="462">
        <v>1.02</v>
      </c>
      <c r="G812" s="453">
        <f>IF(A812="SERVIÇO",VLOOKUP(B812,SERVIÇOS!$A$6:$D$7645,4,0),IF(A812="INSUMO",VLOOKUP(B812,INSUMOS!$A$6:$D$6961,4,0),IF(A812="COTAÇÃO",VLOOKUP(B812,'036-20-Cotação'!$A$9:$G$529,3,0))))</f>
        <v>131</v>
      </c>
      <c r="H812" s="463">
        <f t="shared" ref="H812" si="118">G812*F812</f>
        <v>133.62</v>
      </c>
      <c r="J812" s="201"/>
    </row>
    <row r="813" spans="1:17" s="87" customFormat="1" ht="12.75">
      <c r="A813" s="188"/>
      <c r="B813" s="348" t="s">
        <v>123</v>
      </c>
      <c r="C813" s="695" t="s">
        <v>7475</v>
      </c>
      <c r="D813" s="696"/>
      <c r="E813" s="696"/>
      <c r="F813" s="696"/>
      <c r="G813" s="696"/>
      <c r="H813" s="697"/>
      <c r="J813" s="201"/>
      <c r="K813" s="78"/>
      <c r="L813" s="78"/>
      <c r="M813" s="78"/>
      <c r="N813" s="78"/>
      <c r="O813" s="78"/>
      <c r="P813" s="78"/>
      <c r="Q813" s="78"/>
    </row>
    <row r="814" spans="1:17" s="87" customFormat="1" ht="12.75">
      <c r="A814" s="188"/>
      <c r="B814" s="346"/>
      <c r="C814" s="367"/>
      <c r="D814" s="367"/>
      <c r="E814" s="367"/>
      <c r="F814" s="367"/>
      <c r="G814" s="367"/>
      <c r="H814" s="368"/>
      <c r="J814" s="201"/>
      <c r="K814" s="78"/>
      <c r="L814" s="78"/>
      <c r="M814" s="78"/>
      <c r="N814" s="78"/>
      <c r="O814" s="78"/>
      <c r="P814" s="78"/>
      <c r="Q814" s="78"/>
    </row>
    <row r="815" spans="1:17" s="87" customFormat="1" ht="25.5">
      <c r="A815" s="188"/>
      <c r="B815" s="80" t="s">
        <v>7489</v>
      </c>
      <c r="C815" s="81" t="s">
        <v>7491</v>
      </c>
      <c r="D815" s="82" t="s">
        <v>84</v>
      </c>
      <c r="E815" s="82" t="s">
        <v>89</v>
      </c>
      <c r="F815" s="83"/>
      <c r="G815" s="84"/>
      <c r="H815" s="85">
        <f>SUM(H816:H823)</f>
        <v>1.2515031393600637</v>
      </c>
      <c r="J815" s="201" t="s">
        <v>7490</v>
      </c>
      <c r="K815" s="78"/>
      <c r="L815" s="78"/>
      <c r="M815" s="78"/>
      <c r="N815" s="78"/>
      <c r="O815" s="78"/>
      <c r="P815" s="78"/>
      <c r="Q815" s="78"/>
    </row>
    <row r="816" spans="1:17" s="87" customFormat="1" ht="12.75">
      <c r="A816" s="232" t="s">
        <v>4542</v>
      </c>
      <c r="B816" s="464" t="s">
        <v>8833</v>
      </c>
      <c r="C816" s="451" t="str">
        <f>IF(A816="SERVIÇO",VLOOKUP(B816,SERVIÇOS!$A$6:$D$7645,2,0),IF(A816="INSUMO",VLOOKUP(B816,INSUMOS!$A$6:$D$6961,2,0),IF(A816="COTAÇÃO",VLOOKUP(B816,'036-20-Cotação'!$A$9:$G$529,2,0))))</f>
        <v>GRUPO GERADOR - 13/14 KVA</v>
      </c>
      <c r="D816" s="452" t="str">
        <f>IF(A816="SERVIÇO",VLOOKUP(B816,SERVIÇOS!$A$6:$E$7645,5,0),IF(A816="INSUMO",VLOOKUP(B816,INSUMOS!$A$6:$E$6961,5,0),IF(A816="COTAÇÃO",VLOOKUP(B816,'036-20-Cotação'!$A$9:$H$529,8,0))))</f>
        <v>EQUIP.</v>
      </c>
      <c r="E816" s="452" t="str">
        <f>IF(A816="SERVIÇO",VLOOKUP(B816,SERVIÇOS!$A$6:$D$7645,3,0),IF(A816="INSUMO",VLOOKUP(B816,INSUMOS!$A$6:$D$6961,3,0),IF(A816="COTAÇÃO",VLOOKUP(B816,'036-20-Cotação'!$A$9:$G$529,4,0))))</f>
        <v>CHP</v>
      </c>
      <c r="F816" s="462">
        <f>0.38554/121.92</f>
        <v>3.162237532808399E-3</v>
      </c>
      <c r="G816" s="453">
        <f>IF(A816="SERVIÇO",VLOOKUP(B816,SERVIÇOS!$A$6:$D$7645,4,0),IF(A816="INSUMO",VLOOKUP(B816,INSUMOS!$A$6:$D$6961,4,0),IF(A816="COTAÇÃO",VLOOKUP(B816,'036-20-Cotação'!$A$9:$G$529,3,0))))</f>
        <v>9.6905000000000001</v>
      </c>
      <c r="H816" s="463">
        <f t="shared" ref="H816:H823" si="119">G816*F816</f>
        <v>3.0643662811679791E-2</v>
      </c>
      <c r="J816" s="201"/>
    </row>
    <row r="817" spans="1:17" s="87" customFormat="1" ht="12.75">
      <c r="A817" s="232" t="s">
        <v>4542</v>
      </c>
      <c r="B817" s="464" t="s">
        <v>9268</v>
      </c>
      <c r="C817" s="451" t="str">
        <f>IF(A817="SERVIÇO",VLOOKUP(B817,SERVIÇOS!$A$6:$D$7645,2,0),IF(A817="INSUMO",VLOOKUP(B817,INSUMOS!$A$6:$D$6961,2,0),IF(A817="COTAÇÃO",VLOOKUP(B817,'036-20-Cotação'!$A$9:$G$529,2,0))))</f>
        <v>MÁQUINA POLICORTE - 2,2 KW</v>
      </c>
      <c r="D817" s="452" t="str">
        <f>IF(A817="SERVIÇO",VLOOKUP(B817,SERVIÇOS!$A$6:$E$7645,5,0),IF(A817="INSUMO",VLOOKUP(B817,INSUMOS!$A$6:$E$6961,5,0),IF(A817="COTAÇÃO",VLOOKUP(B817,'036-20-Cotação'!$A$9:$H$529,8,0))))</f>
        <v>EQUIP.</v>
      </c>
      <c r="E817" s="452" t="str">
        <f>IF(A817="SERVIÇO",VLOOKUP(B817,SERVIÇOS!$A$6:$D$7645,3,0),IF(A817="INSUMO",VLOOKUP(B817,INSUMOS!$A$6:$D$6961,3,0),IF(A817="COTAÇÃO",VLOOKUP(B817,'036-20-Cotação'!$A$9:$G$529,4,0))))</f>
        <v>CHP</v>
      </c>
      <c r="F817" s="462">
        <f>0.08675/121.92</f>
        <v>7.1153215223097106E-4</v>
      </c>
      <c r="G817" s="453">
        <f>IF(A817="SERVIÇO",VLOOKUP(B817,SERVIÇOS!$A$6:$D$7645,4,0),IF(A817="INSUMO",VLOOKUP(B817,INSUMOS!$A$6:$D$6961,4,0),IF(A817="COTAÇÃO",VLOOKUP(B817,'036-20-Cotação'!$A$9:$G$529,3,0))))</f>
        <v>0.1056</v>
      </c>
      <c r="H817" s="463">
        <f t="shared" si="119"/>
        <v>7.5137795275590549E-5</v>
      </c>
      <c r="J817" s="201"/>
    </row>
    <row r="818" spans="1:17" s="87" customFormat="1" ht="12.75">
      <c r="A818" s="232" t="s">
        <v>4542</v>
      </c>
      <c r="B818" s="464" t="s">
        <v>9236</v>
      </c>
      <c r="C818" s="451" t="str">
        <f>IF(A818="SERVIÇO",VLOOKUP(B818,SERVIÇOS!$A$6:$D$7645,2,0),IF(A818="INSUMO",VLOOKUP(B818,INSUMOS!$A$6:$D$6961,2,0),IF(A818="COTAÇÃO",VLOOKUP(B818,'036-20-Cotação'!$A$9:$G$529,2,0))))</f>
        <v>TRACIONADOR DE CORDOALHAS - 7,5 KW</v>
      </c>
      <c r="D818" s="452" t="str">
        <f>IF(A818="SERVIÇO",VLOOKUP(B818,SERVIÇOS!$A$6:$E$7645,5,0),IF(A818="INSUMO",VLOOKUP(B818,INSUMOS!$A$6:$E$6961,5,0),IF(A818="COTAÇÃO",VLOOKUP(B818,'036-20-Cotação'!$A$9:$H$529,8,0))))</f>
        <v>EQUIP.</v>
      </c>
      <c r="E818" s="452" t="str">
        <f>IF(A818="SERVIÇO",VLOOKUP(B818,SERVIÇOS!$A$6:$D$7645,3,0),IF(A818="INSUMO",VLOOKUP(B818,INSUMOS!$A$6:$D$6961,3,0),IF(A818="COTAÇÃO",VLOOKUP(B818,'036-20-Cotação'!$A$9:$G$529,4,0))))</f>
        <v>CHP</v>
      </c>
      <c r="F818" s="462">
        <f>0.38554/121.92</f>
        <v>3.162237532808399E-3</v>
      </c>
      <c r="G818" s="453">
        <f>IF(A818="SERVIÇO",VLOOKUP(B818,SERVIÇOS!$A$6:$D$7645,4,0),IF(A818="INSUMO",VLOOKUP(B818,INSUMOS!$A$6:$D$6961,4,0),IF(A818="COTAÇÃO",VLOOKUP(B818,'036-20-Cotação'!$A$9:$G$529,3,0))))</f>
        <v>40.198</v>
      </c>
      <c r="H818" s="463">
        <f t="shared" si="119"/>
        <v>0.12711562434383203</v>
      </c>
      <c r="J818" s="201"/>
    </row>
    <row r="819" spans="1:17" s="87" customFormat="1" ht="12.75">
      <c r="A819" s="232" t="s">
        <v>4542</v>
      </c>
      <c r="B819" s="464" t="s">
        <v>6825</v>
      </c>
      <c r="C819" s="451" t="str">
        <f>IF(A819="SERVIÇO",VLOOKUP(B819,SERVIÇOS!$A$6:$D$7645,2,0),IF(A819="INSUMO",VLOOKUP(B819,INSUMOS!$A$6:$D$6961,2,0),IF(A819="COTAÇÃO",VLOOKUP(B819,'036-20-Cotação'!$A$9:$G$529,2,0))))</f>
        <v>AJUDANTE</v>
      </c>
      <c r="D819" s="452" t="str">
        <f>IF(A819="SERVIÇO",VLOOKUP(B819,SERVIÇOS!$A$6:$E$7645,5,0),IF(A819="INSUMO",VLOOKUP(B819,INSUMOS!$A$6:$E$6961,5,0),IF(A819="COTAÇÃO",VLOOKUP(B819,'036-20-Cotação'!$A$9:$H$529,8,0))))</f>
        <v>M.O</v>
      </c>
      <c r="E819" s="452" t="str">
        <f>IF(A819="SERVIÇO",VLOOKUP(B819,SERVIÇOS!$A$6:$D$7645,3,0),IF(A819="INSUMO",VLOOKUP(B819,INSUMOS!$A$6:$D$6961,3,0),IF(A819="COTAÇÃO",VLOOKUP(B819,'036-20-Cotação'!$A$9:$G$529,4,0))))</f>
        <v>H</v>
      </c>
      <c r="F819" s="462">
        <f>6/121.92</f>
        <v>4.9212598425196846E-2</v>
      </c>
      <c r="G819" s="453">
        <f>IF(A819="SERVIÇO",VLOOKUP(B819,SERVIÇOS!$A$6:$D$7645,4,0),IF(A819="INSUMO",VLOOKUP(B819,INSUMOS!$A$6:$D$6961,4,0),IF(A819="COTAÇÃO",VLOOKUP(B819,'036-20-Cotação'!$A$9:$G$529,3,0))))</f>
        <v>17.9801</v>
      </c>
      <c r="H819" s="463">
        <f t="shared" si="119"/>
        <v>0.88484744094488188</v>
      </c>
      <c r="J819" s="201"/>
    </row>
    <row r="820" spans="1:17" s="87" customFormat="1" ht="12.75">
      <c r="A820" s="232" t="s">
        <v>4542</v>
      </c>
      <c r="B820" s="464" t="s">
        <v>7390</v>
      </c>
      <c r="C820" s="451" t="str">
        <f>IF(A820="SERVIÇO",VLOOKUP(B820,SERVIÇOS!$A$6:$D$7645,2,0),IF(A820="INSUMO",VLOOKUP(B820,INSUMOS!$A$6:$D$6961,2,0),IF(A820="COTAÇÃO",VLOOKUP(B820,'036-20-Cotação'!$A$9:$G$529,2,0))))</f>
        <v>ARMADOR</v>
      </c>
      <c r="D820" s="452" t="str">
        <f>IF(A820="SERVIÇO",VLOOKUP(B820,SERVIÇOS!$A$6:$E$7645,5,0),IF(A820="INSUMO",VLOOKUP(B820,INSUMOS!$A$6:$E$6961,5,0),IF(A820="COTAÇÃO",VLOOKUP(B820,'036-20-Cotação'!$A$9:$H$529,8,0))))</f>
        <v>M.O</v>
      </c>
      <c r="E820" s="452" t="str">
        <f>IF(A820="SERVIÇO",VLOOKUP(B820,SERVIÇOS!$A$6:$D$7645,3,0),IF(A820="INSUMO",VLOOKUP(B820,INSUMOS!$A$6:$D$6961,3,0),IF(A820="COTAÇÃO",VLOOKUP(B820,'036-20-Cotação'!$A$9:$G$529,4,0))))</f>
        <v>H</v>
      </c>
      <c r="F820" s="462">
        <f>1/121.92</f>
        <v>8.2020997375328083E-3</v>
      </c>
      <c r="G820" s="453">
        <f>IF(A820="SERVIÇO",VLOOKUP(B820,SERVIÇOS!$A$6:$D$7645,4,0),IF(A820="INSUMO",VLOOKUP(B820,INSUMOS!$A$6:$D$6961,4,0),IF(A820="COTAÇÃO",VLOOKUP(B820,'036-20-Cotação'!$A$9:$G$529,3,0))))</f>
        <v>21.6645</v>
      </c>
      <c r="H820" s="463">
        <f t="shared" si="119"/>
        <v>0.17769438976377952</v>
      </c>
      <c r="J820" s="201"/>
    </row>
    <row r="821" spans="1:17" s="87" customFormat="1" ht="12.75">
      <c r="A821" s="232" t="s">
        <v>4542</v>
      </c>
      <c r="B821" s="464" t="s">
        <v>6602</v>
      </c>
      <c r="C821" s="451" t="str">
        <f>IF(A821="SERVIÇO",VLOOKUP(B821,SERVIÇOS!$A$6:$D$7645,2,0),IF(A821="INSUMO",VLOOKUP(B821,INSUMOS!$A$6:$D$6961,2,0),IF(A821="COTAÇÃO",VLOOKUP(B821,'036-20-Cotação'!$A$9:$G$529,2,0))))</f>
        <v>SERVENTE</v>
      </c>
      <c r="D821" s="452" t="str">
        <f>IF(A821="SERVIÇO",VLOOKUP(B821,SERVIÇOS!$A$6:$E$7645,5,0),IF(A821="INSUMO",VLOOKUP(B821,INSUMOS!$A$6:$E$6961,5,0),IF(A821="COTAÇÃO",VLOOKUP(B821,'036-20-Cotação'!$A$9:$H$529,8,0))))</f>
        <v>M.O</v>
      </c>
      <c r="E821" s="452" t="str">
        <f>IF(A821="SERVIÇO",VLOOKUP(B821,SERVIÇOS!$A$6:$D$7645,3,0),IF(A821="INSUMO",VLOOKUP(B821,INSUMOS!$A$6:$D$6961,3,0),IF(A821="COTAÇÃO",VLOOKUP(B821,'036-20-Cotação'!$A$9:$G$529,4,0))))</f>
        <v>H</v>
      </c>
      <c r="F821" s="462">
        <f>0.08675/121.92</f>
        <v>7.1153215223097106E-4</v>
      </c>
      <c r="G821" s="453">
        <f>IF(A821="SERVIÇO",VLOOKUP(B821,SERVIÇOS!$A$6:$D$7645,4,0),IF(A821="INSUMO",VLOOKUP(B821,INSUMOS!$A$6:$D$6961,4,0),IF(A821="COTAÇÃO",VLOOKUP(B821,'036-20-Cotação'!$A$9:$G$529,3,0))))</f>
        <v>15.637499999999999</v>
      </c>
      <c r="H821" s="463">
        <f t="shared" si="119"/>
        <v>1.112658403051181E-2</v>
      </c>
      <c r="J821" s="201"/>
    </row>
    <row r="822" spans="1:17" s="87" customFormat="1" ht="12.75">
      <c r="A822" s="232" t="s">
        <v>4544</v>
      </c>
      <c r="B822" s="464" t="s">
        <v>7493</v>
      </c>
      <c r="C822" s="451" t="str">
        <f>IF(A822="SERVIÇO",VLOOKUP(B822,SERVIÇOS!$A$6:$D$7645,2,0),IF(A822="INSUMO",VLOOKUP(B822,INSUMOS!$A$6:$D$6961,2,0),IF(A822="COTAÇÃO",VLOOKUP(B822,'036-20-Cotação'!$A$9:$G$529,2,0))))</f>
        <v>DISCO DE CORTE PARA POLICORTE - D = 30 CM</v>
      </c>
      <c r="D822" s="452" t="str">
        <f>IF(A822="SERVIÇO",VLOOKUP(B822,SERVIÇOS!$A$6:$E$7645,5,0),IF(A822="INSUMO",VLOOKUP(B822,INSUMOS!$A$6:$E$6961,5,0),IF(A822="COTAÇÃO",VLOOKUP(B822,'036-20-Cotação'!$A$9:$H$529,8,0))))</f>
        <v>MAT.</v>
      </c>
      <c r="E822" s="452" t="str">
        <f>IF(A822="SERVIÇO",VLOOKUP(B822,SERVIÇOS!$A$6:$D$7645,3,0),IF(A822="INSUMO",VLOOKUP(B822,INSUMOS!$A$6:$D$6961,3,0),IF(A822="COTAÇÃO",VLOOKUP(B822,'036-20-Cotação'!$A$9:$G$529,4,0))))</f>
        <v>UN</v>
      </c>
      <c r="F822" s="462">
        <v>4.6999999999999999E-4</v>
      </c>
      <c r="G822" s="453">
        <f>IF(A822="SERVIÇO",VLOOKUP(B822,SERVIÇOS!$A$6:$D$7645,4,0),IF(A822="INSUMO",VLOOKUP(B822,INSUMOS!$A$6:$D$6961,4,0),IF(A822="COTAÇÃO",VLOOKUP(B822,'036-20-Cotação'!$A$9:$G$529,3,0))))</f>
        <v>13.0052</v>
      </c>
      <c r="H822" s="463">
        <f t="shared" si="119"/>
        <v>6.1124439999999999E-3</v>
      </c>
      <c r="J822" s="201"/>
    </row>
    <row r="823" spans="1:17" s="87" customFormat="1" ht="25.5">
      <c r="A823" s="232" t="s">
        <v>4542</v>
      </c>
      <c r="B823" s="531" t="s">
        <v>13224</v>
      </c>
      <c r="C823" s="451" t="str">
        <f>'036-20-CCA''s'!$C$293</f>
        <v xml:space="preserve">TEMPO FIXO - CAMINHÃO GUINDAUDO 45 T - CARGA MONOBRA E DESCARGA </v>
      </c>
      <c r="D823" s="452" t="str">
        <f>'036-20-CCA''s'!$D$293</f>
        <v>SER.CG</v>
      </c>
      <c r="E823" s="452" t="str">
        <f>'036-20-CCA''s'!$E$293</f>
        <v>T</v>
      </c>
      <c r="F823" s="462">
        <v>1.0499999999999999E-3</v>
      </c>
      <c r="G823" s="453">
        <f>'036-20-CCA''s'!$H$293</f>
        <v>13.226529209621994</v>
      </c>
      <c r="H823" s="463">
        <f t="shared" si="119"/>
        <v>1.3887855670103092E-2</v>
      </c>
      <c r="J823" s="201"/>
    </row>
    <row r="824" spans="1:17" s="87" customFormat="1" ht="12.75">
      <c r="A824" s="188"/>
      <c r="B824" s="348" t="s">
        <v>123</v>
      </c>
      <c r="C824" s="695" t="s">
        <v>7492</v>
      </c>
      <c r="D824" s="696"/>
      <c r="E824" s="696"/>
      <c r="F824" s="696"/>
      <c r="G824" s="696"/>
      <c r="H824" s="697"/>
      <c r="J824" s="201"/>
      <c r="K824" s="78"/>
      <c r="L824" s="78"/>
      <c r="M824" s="78"/>
      <c r="N824" s="78"/>
      <c r="O824" s="78"/>
      <c r="P824" s="78"/>
      <c r="Q824" s="78"/>
    </row>
    <row r="825" spans="1:17" s="87" customFormat="1" ht="12.75">
      <c r="A825" s="188"/>
      <c r="B825" s="346"/>
      <c r="C825" s="367"/>
      <c r="D825" s="367"/>
      <c r="E825" s="367"/>
      <c r="F825" s="367"/>
      <c r="G825" s="367"/>
      <c r="H825" s="368"/>
      <c r="J825" s="201"/>
      <c r="K825" s="78"/>
      <c r="L825" s="78"/>
      <c r="M825" s="78"/>
      <c r="N825" s="78"/>
      <c r="O825" s="78"/>
      <c r="P825" s="78"/>
      <c r="Q825" s="78"/>
    </row>
    <row r="826" spans="1:17" s="87" customFormat="1" ht="25.5">
      <c r="A826" s="188"/>
      <c r="B826" s="80" t="s">
        <v>7496</v>
      </c>
      <c r="C826" s="81" t="s">
        <v>7495</v>
      </c>
      <c r="D826" s="82" t="s">
        <v>84</v>
      </c>
      <c r="E826" s="82" t="s">
        <v>89</v>
      </c>
      <c r="F826" s="83"/>
      <c r="G826" s="84"/>
      <c r="H826" s="85">
        <f>SUM(H827:H827)</f>
        <v>23.46246</v>
      </c>
      <c r="J826" s="201"/>
      <c r="K826" s="78"/>
      <c r="L826" s="78"/>
      <c r="M826" s="78"/>
      <c r="N826" s="78"/>
      <c r="O826" s="78"/>
      <c r="P826" s="78"/>
      <c r="Q826" s="78"/>
    </row>
    <row r="827" spans="1:17" s="87" customFormat="1" ht="25.5">
      <c r="A827" s="232" t="s">
        <v>4544</v>
      </c>
      <c r="B827" s="464" t="s">
        <v>7494</v>
      </c>
      <c r="C827" s="451" t="str">
        <f>IF(A827="SERVIÇO",VLOOKUP(B827,SERVIÇOS!$A$6:$D$7645,2,0),IF(A827="INSUMO",VLOOKUP(B827,INSUMOS!$A$6:$D$6961,2,0),IF(A827="COTAÇÃO",VLOOKUP(B827,'036-20-Cotação'!$A$9:$G$529,2,0))))</f>
        <v>CORDOALHA PARA ESTAIS CP 177 RB - D = 15,7 MM</v>
      </c>
      <c r="D827" s="452" t="str">
        <f>IF(A827="SERVIÇO",VLOOKUP(B827,SERVIÇOS!$A$6:$E$7645,5,0),IF(A827="INSUMO",VLOOKUP(B827,INSUMOS!$A$6:$E$6961,5,0),IF(A827="COTAÇÃO",VLOOKUP(B827,'036-20-Cotação'!$A$9:$H$529,8,0))))</f>
        <v>MAT.</v>
      </c>
      <c r="E827" s="452" t="str">
        <f>IF(A827="SERVIÇO",VLOOKUP(B827,SERVIÇOS!$A$6:$D$7645,3,0),IF(A827="INSUMO",VLOOKUP(B827,INSUMOS!$A$6:$D$6961,3,0),IF(A827="COTAÇÃO",VLOOKUP(B827,'036-20-Cotação'!$A$9:$G$529,4,0))))</f>
        <v>KG</v>
      </c>
      <c r="F827" s="462">
        <v>1.05</v>
      </c>
      <c r="G827" s="453">
        <f>IF(A827="SERVIÇO",VLOOKUP(B827,SERVIÇOS!$A$6:$D$7645,4,0),IF(A827="INSUMO",VLOOKUP(B827,INSUMOS!$A$6:$D$6961,4,0),IF(A827="COTAÇÃO",VLOOKUP(B827,'036-20-Cotação'!$A$9:$G$529,3,0))))</f>
        <v>22.345199999999998</v>
      </c>
      <c r="H827" s="463">
        <f>G827*F827</f>
        <v>23.46246</v>
      </c>
      <c r="J827" s="201"/>
    </row>
    <row r="828" spans="1:17" s="87" customFormat="1" ht="12.75">
      <c r="A828" s="188"/>
      <c r="B828" s="348" t="s">
        <v>123</v>
      </c>
      <c r="C828" s="695" t="s">
        <v>7492</v>
      </c>
      <c r="D828" s="696"/>
      <c r="E828" s="696"/>
      <c r="F828" s="696"/>
      <c r="G828" s="696"/>
      <c r="H828" s="697"/>
      <c r="J828" s="201"/>
      <c r="K828" s="78"/>
      <c r="L828" s="78"/>
      <c r="M828" s="78"/>
      <c r="N828" s="78"/>
      <c r="O828" s="78"/>
      <c r="P828" s="78"/>
      <c r="Q828" s="78"/>
    </row>
    <row r="829" spans="1:17" s="87" customFormat="1" ht="12.75">
      <c r="A829" s="188"/>
      <c r="B829" s="346"/>
      <c r="C829" s="367"/>
      <c r="D829" s="367"/>
      <c r="E829" s="367"/>
      <c r="F829" s="367"/>
      <c r="G829" s="367"/>
      <c r="H829" s="368"/>
      <c r="J829" s="201"/>
      <c r="K829" s="78"/>
      <c r="L829" s="78"/>
      <c r="M829" s="78"/>
      <c r="N829" s="78"/>
      <c r="O829" s="78"/>
      <c r="P829" s="78"/>
      <c r="Q829" s="78"/>
    </row>
    <row r="830" spans="1:17" s="87" customFormat="1" ht="63.75">
      <c r="A830" s="188"/>
      <c r="B830" s="80" t="s">
        <v>7498</v>
      </c>
      <c r="C830" s="81" t="s">
        <v>7884</v>
      </c>
      <c r="D830" s="82" t="s">
        <v>84</v>
      </c>
      <c r="E830" s="82" t="s">
        <v>4521</v>
      </c>
      <c r="F830" s="83"/>
      <c r="G830" s="84"/>
      <c r="H830" s="85">
        <f>SUM(H831:H831)</f>
        <v>1285.2</v>
      </c>
      <c r="J830" s="201"/>
      <c r="K830" s="78"/>
      <c r="L830" s="78"/>
      <c r="M830" s="78"/>
      <c r="N830" s="78"/>
      <c r="O830" s="78"/>
      <c r="P830" s="78"/>
      <c r="Q830" s="78"/>
    </row>
    <row r="831" spans="1:17" s="87" customFormat="1" ht="25.5">
      <c r="A831" s="232" t="s">
        <v>4542</v>
      </c>
      <c r="B831" s="464" t="s">
        <v>7499</v>
      </c>
      <c r="C831" s="451" t="str">
        <f>IF(A831="SERVIÇO",VLOOKUP(B831,SERVIÇOS!$A$6:$D$7645,2,0),IF(A831="INSUMO",VLOOKUP(B831,INSUMOS!$A$6:$D$6961,2,0),IF(A831="COTAÇÃO",VLOOKUP(B831,'036-20-Cotação'!$A$9:$G$529,2,0))))</f>
        <v xml:space="preserve">DESPESAS COM PEDÁGIO DE SP PARA DF - TRASN. MAT. ESTAIS  </v>
      </c>
      <c r="D831" s="452" t="str">
        <f>IF(A831="SERVIÇO",VLOOKUP(B831,SERVIÇOS!$A$6:$E$7645,5,0),IF(A831="INSUMO",VLOOKUP(B831,INSUMOS!$A$6:$E$6961,5,0),IF(A831="COTAÇÃO",VLOOKUP(B831,'036-20-Cotação'!$A$9:$H$529,8,0))))</f>
        <v>SER.CG</v>
      </c>
      <c r="E831" s="452" t="str">
        <f>IF(A831="SERVIÇO",VLOOKUP(B831,SERVIÇOS!$A$6:$D$7645,3,0),IF(A831="INSUMO",VLOOKUP(B831,INSUMOS!$A$6:$D$6961,3,0),IF(A831="COTAÇÃO",VLOOKUP(B831,'036-20-Cotação'!$A$9:$G$529,4,0))))</f>
        <v xml:space="preserve">UN    </v>
      </c>
      <c r="F831" s="462">
        <v>1</v>
      </c>
      <c r="G831" s="453">
        <f>IF(A831="SERVIÇO",VLOOKUP(B831,SERVIÇOS!$A$6:$D$7645,4,0),IF(A831="INSUMO",VLOOKUP(B831,INSUMOS!$A$6:$D$6961,4,0),IF(A831="COTAÇÃO",VLOOKUP(B831,'036-20-Cotação'!$A$9:$G$529,3,0))))</f>
        <v>1285.2</v>
      </c>
      <c r="H831" s="463">
        <f>G831*F831</f>
        <v>1285.2</v>
      </c>
      <c r="J831" s="201"/>
    </row>
    <row r="832" spans="1:17" s="87" customFormat="1" ht="12.75">
      <c r="A832" s="188"/>
      <c r="B832" s="348" t="s">
        <v>123</v>
      </c>
      <c r="C832" s="695" t="s">
        <v>7879</v>
      </c>
      <c r="D832" s="696"/>
      <c r="E832" s="696"/>
      <c r="F832" s="696"/>
      <c r="G832" s="696"/>
      <c r="H832" s="697"/>
      <c r="J832" s="201"/>
      <c r="K832" s="78"/>
      <c r="L832" s="78"/>
      <c r="M832" s="78"/>
      <c r="N832" s="78"/>
      <c r="O832" s="78"/>
      <c r="P832" s="78"/>
      <c r="Q832" s="78"/>
    </row>
    <row r="833" spans="1:17" s="87" customFormat="1" ht="12.75">
      <c r="A833" s="188"/>
      <c r="B833" s="346"/>
      <c r="C833" s="367"/>
      <c r="D833" s="367"/>
      <c r="E833" s="367"/>
      <c r="F833" s="367"/>
      <c r="G833" s="367"/>
      <c r="H833" s="368"/>
      <c r="J833" s="201"/>
      <c r="K833" s="78"/>
      <c r="L833" s="78"/>
      <c r="M833" s="78"/>
      <c r="N833" s="78"/>
      <c r="O833" s="78"/>
      <c r="P833" s="78"/>
      <c r="Q833" s="78"/>
    </row>
    <row r="834" spans="1:17" s="87" customFormat="1" ht="25.5">
      <c r="A834" s="188"/>
      <c r="B834" s="80" t="s">
        <v>7503</v>
      </c>
      <c r="C834" s="81" t="s">
        <v>7502</v>
      </c>
      <c r="D834" s="82" t="s">
        <v>84</v>
      </c>
      <c r="E834" s="82" t="s">
        <v>89</v>
      </c>
      <c r="F834" s="83"/>
      <c r="G834" s="84"/>
      <c r="H834" s="85">
        <f>SUM(H835:H836)</f>
        <v>0.22779661591999997</v>
      </c>
      <c r="J834" s="201"/>
      <c r="K834" s="78"/>
      <c r="L834" s="78"/>
      <c r="M834" s="78"/>
      <c r="N834" s="78"/>
      <c r="O834" s="78"/>
      <c r="P834" s="78"/>
      <c r="Q834" s="78"/>
    </row>
    <row r="835" spans="1:17" s="87" customFormat="1" ht="25.5">
      <c r="A835" s="232" t="s">
        <v>4542</v>
      </c>
      <c r="B835" s="464" t="s">
        <v>9324</v>
      </c>
      <c r="C835" s="451" t="str">
        <f>IF(A835="SERVIÇO",VLOOKUP(B835,SERVIÇOS!$A$6:$D$7645,2,0),IF(A835="INSUMO",VLOOKUP(B835,INSUMOS!$A$6:$D$6961,2,0),IF(A835="COTAÇÃO",VLOOKUP(B835,'036-20-Cotação'!$A$9:$G$529,2,0))))</f>
        <v>GUINCHO DE COLUNA COM CAPACIDADE DE 200 KG - 920 W</v>
      </c>
      <c r="D835" s="452" t="str">
        <f>IF(A835="SERVIÇO",VLOOKUP(B835,SERVIÇOS!$A$6:$E$7645,5,0),IF(A835="INSUMO",VLOOKUP(B835,INSUMOS!$A$6:$E$6961,5,0),IF(A835="COTAÇÃO",VLOOKUP(B835,'036-20-Cotação'!$A$9:$H$529,8,0))))</f>
        <v>EQUIP.</v>
      </c>
      <c r="E835" s="452" t="str">
        <f>IF(A835="SERVIÇO",VLOOKUP(B835,SERVIÇOS!$A$6:$D$7645,3,0),IF(A835="INSUMO",VLOOKUP(B835,INSUMOS!$A$6:$D$6961,3,0),IF(A835="COTAÇÃO",VLOOKUP(B835,'036-20-Cotação'!$A$9:$G$529,4,0))))</f>
        <v>CHP</v>
      </c>
      <c r="F835" s="462">
        <v>4.666667E-2</v>
      </c>
      <c r="G835" s="453">
        <f>IF(A835="SERVIÇO",VLOOKUP(B835,SERVIÇOS!$A$6:$D$7645,4,0),IF(A835="INSUMO",VLOOKUP(B835,INSUMOS!$A$6:$D$6961,4,0),IF(A835="COTAÇÃO",VLOOKUP(B835,'036-20-Cotação'!$A$9:$G$529,3,0))))</f>
        <v>0.41349999999999998</v>
      </c>
      <c r="H835" s="463">
        <f t="shared" ref="H835:H836" si="120">G835*F835</f>
        <v>1.9296668045E-2</v>
      </c>
      <c r="J835" s="201"/>
    </row>
    <row r="836" spans="1:17" s="87" customFormat="1" ht="12.75">
      <c r="A836" s="232" t="s">
        <v>4542</v>
      </c>
      <c r="B836" s="464" t="s">
        <v>6602</v>
      </c>
      <c r="C836" s="451" t="str">
        <f>IF(A836="SERVIÇO",VLOOKUP(B836,SERVIÇOS!$A$6:$D$7645,2,0),IF(A836="INSUMO",VLOOKUP(B836,INSUMOS!$A$6:$D$6961,2,0),IF(A836="COTAÇÃO",VLOOKUP(B836,'036-20-Cotação'!$A$9:$G$529,2,0))))</f>
        <v>SERVENTE</v>
      </c>
      <c r="D836" s="452" t="str">
        <f>IF(A836="SERVIÇO",VLOOKUP(B836,SERVIÇOS!$A$6:$E$7645,5,0),IF(A836="INSUMO",VLOOKUP(B836,INSUMOS!$A$6:$E$6961,5,0),IF(A836="COTAÇÃO",VLOOKUP(B836,'036-20-Cotação'!$A$9:$H$529,8,0))))</f>
        <v>M.O</v>
      </c>
      <c r="E836" s="452" t="str">
        <f>IF(A836="SERVIÇO",VLOOKUP(B836,SERVIÇOS!$A$6:$D$7645,3,0),IF(A836="INSUMO",VLOOKUP(B836,INSUMOS!$A$6:$D$6961,3,0),IF(A836="COTAÇÃO",VLOOKUP(B836,'036-20-Cotação'!$A$9:$G$529,4,0))))</f>
        <v>H</v>
      </c>
      <c r="F836" s="462">
        <v>1.3333329999999999E-2</v>
      </c>
      <c r="G836" s="453">
        <f>IF(A836="SERVIÇO",VLOOKUP(B836,SERVIÇOS!$A$6:$D$7645,4,0),IF(A836="INSUMO",VLOOKUP(B836,INSUMOS!$A$6:$D$6961,4,0),IF(A836="COTAÇÃO",VLOOKUP(B836,'036-20-Cotação'!$A$9:$G$529,3,0))))</f>
        <v>15.637499999999999</v>
      </c>
      <c r="H836" s="463">
        <f t="shared" si="120"/>
        <v>0.20849994787499998</v>
      </c>
      <c r="J836" s="201"/>
    </row>
    <row r="837" spans="1:17" s="87" customFormat="1" ht="12.75">
      <c r="A837" s="188"/>
      <c r="B837" s="348" t="s">
        <v>123</v>
      </c>
      <c r="C837" s="695" t="s">
        <v>7346</v>
      </c>
      <c r="D837" s="696"/>
      <c r="E837" s="696"/>
      <c r="F837" s="696"/>
      <c r="G837" s="696"/>
      <c r="H837" s="697"/>
      <c r="J837" s="201"/>
      <c r="K837" s="78"/>
      <c r="L837" s="78"/>
      <c r="M837" s="78"/>
      <c r="N837" s="78"/>
      <c r="O837" s="78"/>
      <c r="P837" s="78"/>
      <c r="Q837" s="78"/>
    </row>
    <row r="838" spans="1:17" s="78" customFormat="1" ht="12.75">
      <c r="A838" s="188"/>
      <c r="B838" s="346"/>
      <c r="C838" s="347"/>
      <c r="D838" s="347"/>
      <c r="E838" s="347"/>
      <c r="F838" s="347"/>
      <c r="G838" s="347"/>
      <c r="H838" s="347"/>
      <c r="J838" s="79"/>
      <c r="K838" s="87"/>
      <c r="L838" s="87"/>
      <c r="M838" s="87"/>
      <c r="N838" s="87"/>
      <c r="O838" s="87"/>
      <c r="P838" s="87"/>
      <c r="Q838" s="87"/>
    </row>
    <row r="839" spans="1:17" s="78" customFormat="1" ht="38.25">
      <c r="A839" s="188"/>
      <c r="B839" s="80" t="s">
        <v>7897</v>
      </c>
      <c r="C839" s="81" t="s">
        <v>8429</v>
      </c>
      <c r="D839" s="82" t="s">
        <v>84</v>
      </c>
      <c r="E839" s="82" t="s">
        <v>89</v>
      </c>
      <c r="F839" s="83"/>
      <c r="G839" s="84"/>
      <c r="H839" s="85">
        <f>SUM(H840:H842)</f>
        <v>0.10610414462929707</v>
      </c>
      <c r="J839" s="201" t="s">
        <v>7898</v>
      </c>
      <c r="K839" s="87"/>
      <c r="L839" s="87"/>
      <c r="M839" s="87"/>
      <c r="N839" s="87"/>
      <c r="O839" s="87"/>
      <c r="P839" s="87"/>
      <c r="Q839" s="87"/>
    </row>
    <row r="840" spans="1:17" s="87" customFormat="1" ht="25.5">
      <c r="A840" s="232" t="s">
        <v>4542</v>
      </c>
      <c r="B840" s="464" t="s">
        <v>9189</v>
      </c>
      <c r="C840" s="451" t="str">
        <f>IF(A840="SERVIÇO",VLOOKUP(B840,SERVIÇOS!$A$6:$D$7645,2,0),IF(A840="INSUMO",VLOOKUP(B840,INSUMOS!$A$6:$D$6961,2,0),IF(A840="COTAÇÃO",VLOOKUP(B840,'036-20-Cotação'!$A$9:$G$529,2,0))))</f>
        <v>GUINDASTE SOBRE ESTEIRAS COM MARTELO HIDRÁULICO DE 2.600 KG - 220 KW</v>
      </c>
      <c r="D840" s="452" t="str">
        <f>IF(A840="SERVIÇO",VLOOKUP(B840,SERVIÇOS!$A$6:$E$7645,5,0),IF(A840="INSUMO",VLOOKUP(B840,INSUMOS!$A$6:$E$6961,5,0),IF(A840="COTAÇÃO",VLOOKUP(B840,'036-20-Cotação'!$A$9:$H$529,8,0))))</f>
        <v>EQUIP.</v>
      </c>
      <c r="E840" s="452" t="str">
        <f>IF(A840="SERVIÇO",VLOOKUP(B840,SERVIÇOS!$A$6:$D$7645,3,0),IF(A840="INSUMO",VLOOKUP(B840,INSUMOS!$A$6:$D$6961,3,0),IF(A840="COTAÇÃO",VLOOKUP(B840,'036-20-Cotação'!$A$9:$G$529,4,0))))</f>
        <v>CHP</v>
      </c>
      <c r="F840" s="462">
        <f>1/4015.13</f>
        <v>2.4905793834819793E-4</v>
      </c>
      <c r="G840" s="453">
        <f>IF(A840="SERVIÇO",VLOOKUP(B840,SERVIÇOS!$A$6:$D$7645,4,0),IF(A840="INSUMO",VLOOKUP(B840,INSUMOS!$A$6:$D$6961,4,0),IF(A840="COTAÇÃO",VLOOKUP(B840,'036-20-Cotação'!$A$9:$G$529,3,0))))</f>
        <v>341.64069999999998</v>
      </c>
      <c r="H840" s="463">
        <f t="shared" ref="H840:H842" si="121">G840*F840</f>
        <v>8.5088328397835172E-2</v>
      </c>
      <c r="J840" s="201"/>
    </row>
    <row r="841" spans="1:17" s="87" customFormat="1" ht="12.75">
      <c r="A841" s="232" t="s">
        <v>4542</v>
      </c>
      <c r="B841" s="464" t="s">
        <v>6602</v>
      </c>
      <c r="C841" s="451" t="str">
        <f>IF(A841="SERVIÇO",VLOOKUP(B841,SERVIÇOS!$A$6:$D$7645,2,0),IF(A841="INSUMO",VLOOKUP(B841,INSUMOS!$A$6:$D$6961,2,0),IF(A841="COTAÇÃO",VLOOKUP(B841,'036-20-Cotação'!$A$9:$G$529,2,0))))</f>
        <v>SERVENTE</v>
      </c>
      <c r="D841" s="452" t="str">
        <f>IF(A841="SERVIÇO",VLOOKUP(B841,SERVIÇOS!$A$6:$E$7645,5,0),IF(A841="INSUMO",VLOOKUP(B841,INSUMOS!$A$6:$E$6961,5,0),IF(A841="COTAÇÃO",VLOOKUP(B841,'036-20-Cotação'!$A$9:$H$529,8,0))))</f>
        <v>M.O</v>
      </c>
      <c r="E841" s="452" t="str">
        <f>IF(A841="SERVIÇO",VLOOKUP(B841,SERVIÇOS!$A$6:$D$7645,3,0),IF(A841="INSUMO",VLOOKUP(B841,INSUMOS!$A$6:$D$6961,3,0),IF(A841="COTAÇÃO",VLOOKUP(B841,'036-20-Cotação'!$A$9:$G$529,4,0))))</f>
        <v>H</v>
      </c>
      <c r="F841" s="462">
        <f>2/4015.13</f>
        <v>4.9811587669639586E-4</v>
      </c>
      <c r="G841" s="453">
        <f>IF(A841="SERVIÇO",VLOOKUP(B841,SERVIÇOS!$A$6:$D$7645,4,0),IF(A841="INSUMO",VLOOKUP(B841,INSUMOS!$A$6:$D$6961,4,0),IF(A841="COTAÇÃO",VLOOKUP(B841,'036-20-Cotação'!$A$9:$G$529,3,0))))</f>
        <v>15.637499999999999</v>
      </c>
      <c r="H841" s="463">
        <f t="shared" si="121"/>
        <v>7.7892870218398899E-3</v>
      </c>
      <c r="J841" s="201"/>
    </row>
    <row r="842" spans="1:17" s="87" customFormat="1" ht="25.5">
      <c r="A842" s="232" t="s">
        <v>4542</v>
      </c>
      <c r="B842" s="531" t="s">
        <v>13224</v>
      </c>
      <c r="C842" s="451" t="str">
        <f>'036-20-CCA''s'!$C$293</f>
        <v xml:space="preserve">TEMPO FIXO - CAMINHÃO GUINDAUDO 45 T - CARGA MONOBRA E DESCARGA </v>
      </c>
      <c r="D842" s="452" t="str">
        <f>'036-20-CCA''s'!$D$293</f>
        <v>SER.CG</v>
      </c>
      <c r="E842" s="452" t="str">
        <f>'036-20-CCA''s'!$E$293</f>
        <v>T</v>
      </c>
      <c r="F842" s="462">
        <v>1E-3</v>
      </c>
      <c r="G842" s="453">
        <f>'036-20-CCA''s'!$H$293</f>
        <v>13.226529209621994</v>
      </c>
      <c r="H842" s="463">
        <f t="shared" si="121"/>
        <v>1.3226529209621994E-2</v>
      </c>
      <c r="J842" s="201"/>
    </row>
    <row r="843" spans="1:17" s="87" customFormat="1" ht="12.75">
      <c r="A843" s="188"/>
      <c r="B843" s="348" t="s">
        <v>123</v>
      </c>
      <c r="C843" s="695" t="s">
        <v>7900</v>
      </c>
      <c r="D843" s="696"/>
      <c r="E843" s="696"/>
      <c r="F843" s="696"/>
      <c r="G843" s="696"/>
      <c r="H843" s="697"/>
      <c r="J843" s="201"/>
    </row>
    <row r="844" spans="1:17" s="87" customFormat="1" ht="12.75">
      <c r="A844" s="188"/>
      <c r="B844" s="346"/>
      <c r="C844" s="367"/>
      <c r="D844" s="367"/>
      <c r="E844" s="367"/>
      <c r="F844" s="367"/>
      <c r="G844" s="367"/>
      <c r="H844" s="368"/>
      <c r="J844" s="201"/>
      <c r="K844" s="78"/>
      <c r="L844" s="78"/>
      <c r="M844" s="78"/>
      <c r="N844" s="78"/>
      <c r="O844" s="78"/>
      <c r="P844" s="78"/>
      <c r="Q844" s="78"/>
    </row>
    <row r="845" spans="1:17" s="87" customFormat="1" ht="25.5">
      <c r="A845" s="188"/>
      <c r="B845" s="80" t="s">
        <v>7899</v>
      </c>
      <c r="C845" s="81" t="s">
        <v>8435</v>
      </c>
      <c r="D845" s="82" t="s">
        <v>84</v>
      </c>
      <c r="E845" s="82" t="s">
        <v>89</v>
      </c>
      <c r="F845" s="83"/>
      <c r="G845" s="84"/>
      <c r="H845" s="85">
        <f>SUM(H846:H847)</f>
        <v>5.3588073289429525</v>
      </c>
      <c r="J845" s="201" t="s">
        <v>7903</v>
      </c>
      <c r="K845" s="78"/>
      <c r="L845" s="78"/>
      <c r="M845" s="78"/>
      <c r="N845" s="78"/>
      <c r="O845" s="78"/>
      <c r="P845" s="78"/>
      <c r="Q845" s="78"/>
    </row>
    <row r="846" spans="1:17" s="87" customFormat="1" ht="12.75">
      <c r="A846" s="232" t="s">
        <v>4544</v>
      </c>
      <c r="B846" s="464" t="s">
        <v>6317</v>
      </c>
      <c r="C846" s="451" t="str">
        <f>IF(A846="SERVIÇO",VLOOKUP(B846,SERVIÇOS!$A$6:$D$7645,2,0),IF(A846="INSUMO",VLOOKUP(B846,INSUMOS!$A$6:$D$6961,2,0),IF(A846="COTAÇÃO",VLOOKUP(B846,'036-20-Cotação'!$A$9:$G$529,2,0))))</f>
        <v>AÇO EM PERFIS ASTM A36</v>
      </c>
      <c r="D846" s="452" t="str">
        <f>IF(A846="SERVIÇO",VLOOKUP(B846,SERVIÇOS!$A$6:$E$7645,5,0),IF(A846="INSUMO",VLOOKUP(B846,INSUMOS!$A$6:$E$6961,5,0),IF(A846="COTAÇÃO",VLOOKUP(B846,'036-20-Cotação'!$A$9:$H$529,8,0))))</f>
        <v>MAT.</v>
      </c>
      <c r="E846" s="452" t="str">
        <f>IF(A846="SERVIÇO",VLOOKUP(B846,SERVIÇOS!$A$6:$D$7645,3,0),IF(A846="INSUMO",VLOOKUP(B846,INSUMOS!$A$6:$D$6961,3,0),IF(A846="COTAÇÃO",VLOOKUP(B846,'036-20-Cotação'!$A$9:$G$529,4,0))))</f>
        <v>KG</v>
      </c>
      <c r="F846" s="462">
        <v>1.03</v>
      </c>
      <c r="G846" s="453">
        <f>IF(A846="SERVIÇO",VLOOKUP(B846,SERVIÇOS!$A$6:$D$7645,4,0),IF(A846="INSUMO",VLOOKUP(B846,INSUMOS!$A$6:$D$6961,4,0),IF(A846="COTAÇÃO",VLOOKUP(B846,'036-20-Cotação'!$A$9:$G$529,3,0))))</f>
        <v>5.1818</v>
      </c>
      <c r="H846" s="463">
        <f t="shared" ref="H846:H847" si="122">G846*F846</f>
        <v>5.3372539999999997</v>
      </c>
      <c r="J846" s="201"/>
    </row>
    <row r="847" spans="1:17" s="87" customFormat="1" ht="25.5">
      <c r="A847" s="232" t="s">
        <v>4542</v>
      </c>
      <c r="B847" s="464" t="s">
        <v>13206</v>
      </c>
      <c r="C847" s="451" t="str">
        <f>'036-20-CCA''s'!$C$281</f>
        <v>TEMPO FIXO - CAMINHÃO CARROCERIA 15 T - CARGA E DESCARGA MANUAIS</v>
      </c>
      <c r="D847" s="452" t="str">
        <f>'036-20-CCA''s'!$D$281</f>
        <v>SER.CG</v>
      </c>
      <c r="E847" s="452" t="str">
        <f>'036-20-CCA''s'!$E$281</f>
        <v>T</v>
      </c>
      <c r="F847" s="462">
        <v>1.0300000000000001E-3</v>
      </c>
      <c r="G847" s="453">
        <f>'036-20-CCA''s'!$H$281</f>
        <v>20.925562080536913</v>
      </c>
      <c r="H847" s="463">
        <f t="shared" si="122"/>
        <v>2.1553328942953021E-2</v>
      </c>
      <c r="J847" s="201"/>
    </row>
    <row r="848" spans="1:17" s="87" customFormat="1" ht="12.75">
      <c r="A848" s="188"/>
      <c r="B848" s="348" t="s">
        <v>123</v>
      </c>
      <c r="C848" s="695" t="s">
        <v>7904</v>
      </c>
      <c r="D848" s="696"/>
      <c r="E848" s="696"/>
      <c r="F848" s="696"/>
      <c r="G848" s="696"/>
      <c r="H848" s="697"/>
      <c r="J848" s="201"/>
      <c r="K848" s="78"/>
      <c r="L848" s="78"/>
      <c r="M848" s="78"/>
      <c r="N848" s="78"/>
      <c r="O848" s="78"/>
      <c r="P848" s="78"/>
      <c r="Q848" s="78"/>
    </row>
    <row r="849" spans="1:17" s="87" customFormat="1" ht="12.75">
      <c r="A849" s="188"/>
      <c r="B849" s="346"/>
      <c r="C849" s="375"/>
      <c r="D849" s="375"/>
      <c r="E849" s="375"/>
      <c r="F849" s="375"/>
      <c r="G849" s="375"/>
      <c r="H849" s="376"/>
      <c r="J849" s="201"/>
      <c r="K849" s="78"/>
      <c r="L849" s="78"/>
      <c r="M849" s="78"/>
      <c r="N849" s="78"/>
      <c r="O849" s="78"/>
      <c r="P849" s="78"/>
      <c r="Q849" s="78"/>
    </row>
    <row r="850" spans="1:17" s="87" customFormat="1" ht="51">
      <c r="A850" s="188"/>
      <c r="B850" s="80" t="s">
        <v>7901</v>
      </c>
      <c r="C850" s="81" t="s">
        <v>8430</v>
      </c>
      <c r="D850" s="82" t="s">
        <v>84</v>
      </c>
      <c r="E850" s="82" t="s">
        <v>89</v>
      </c>
      <c r="F850" s="83"/>
      <c r="G850" s="84"/>
      <c r="H850" s="85">
        <f>SUM(H851:H855)</f>
        <v>5.3109506490518843</v>
      </c>
      <c r="J850" s="201" t="s">
        <v>7903</v>
      </c>
      <c r="K850" s="78"/>
      <c r="L850" s="78"/>
      <c r="M850" s="78"/>
      <c r="N850" s="78"/>
      <c r="O850" s="78"/>
      <c r="P850" s="78"/>
      <c r="Q850" s="78"/>
    </row>
    <row r="851" spans="1:17" s="87" customFormat="1" ht="25.5">
      <c r="A851" s="232" t="s">
        <v>4542</v>
      </c>
      <c r="B851" s="464" t="s">
        <v>9562</v>
      </c>
      <c r="C851" s="451" t="str">
        <f>IF(A851="SERVIÇO",VLOOKUP(B851,SERVIÇOS!$A$6:$D$7645,2,0),IF(A851="INSUMO",VLOOKUP(B851,INSUMOS!$A$6:$D$6961,2,0),IF(A851="COTAÇÃO",VLOOKUP(B851,'036-20-Cotação'!$A$9:$G$529,2,0))))</f>
        <v>CAMINHÃO CARROCERIA COM GUINDAUTO COM CAPACIDADE DE 20 T.M - 136 KW</v>
      </c>
      <c r="D851" s="452" t="str">
        <f>IF(A851="SERVIÇO",VLOOKUP(B851,SERVIÇOS!$A$6:$E$7645,5,0),IF(A851="INSUMO",VLOOKUP(B851,INSUMOS!$A$6:$E$6961,5,0),IF(A851="COTAÇÃO",VLOOKUP(B851,'036-20-Cotação'!$A$9:$H$529,8,0))))</f>
        <v>EQUIP.</v>
      </c>
      <c r="E851" s="452" t="str">
        <f>IF(A851="SERVIÇO",VLOOKUP(B851,SERVIÇOS!$A$6:$D$7645,3,0),IF(A851="INSUMO",VLOOKUP(B851,INSUMOS!$A$6:$D$6961,3,0),IF(A851="COTAÇÃO",VLOOKUP(B851,'036-20-Cotação'!$A$9:$G$529,4,0))))</f>
        <v>CHP</v>
      </c>
      <c r="F851" s="462">
        <f>0.0753/15</f>
        <v>5.0200000000000002E-3</v>
      </c>
      <c r="G851" s="453">
        <f>IF(A851="SERVIÇO",VLOOKUP(B851,SERVIÇOS!$A$6:$D$7645,4,0),IF(A851="INSUMO",VLOOKUP(B851,INSUMOS!$A$6:$D$6961,4,0),IF(A851="COTAÇÃO",VLOOKUP(B851,'036-20-Cotação'!$A$9:$G$529,3,0))))</f>
        <v>184.84899999999999</v>
      </c>
      <c r="H851" s="463">
        <f t="shared" ref="H851:H855" si="123">G851*F851</f>
        <v>0.92794197999999994</v>
      </c>
      <c r="J851" s="201"/>
    </row>
    <row r="852" spans="1:17" s="87" customFormat="1" ht="12.75">
      <c r="A852" s="232" t="s">
        <v>4542</v>
      </c>
      <c r="B852" s="464" t="s">
        <v>6825</v>
      </c>
      <c r="C852" s="451" t="str">
        <f>IF(A852="SERVIÇO",VLOOKUP(B852,SERVIÇOS!$A$6:$D$7645,2,0),IF(A852="INSUMO",VLOOKUP(B852,INSUMOS!$A$6:$D$6961,2,0),IF(A852="COTAÇÃO",VLOOKUP(B852,'036-20-Cotação'!$A$9:$G$529,2,0))))</f>
        <v>AJUDANTE</v>
      </c>
      <c r="D852" s="452" t="str">
        <f>IF(A852="SERVIÇO",VLOOKUP(B852,SERVIÇOS!$A$6:$E$7645,5,0),IF(A852="INSUMO",VLOOKUP(B852,INSUMOS!$A$6:$E$6961,5,0),IF(A852="COTAÇÃO",VLOOKUP(B852,'036-20-Cotação'!$A$9:$H$529,8,0))))</f>
        <v>M.O</v>
      </c>
      <c r="E852" s="452" t="str">
        <f>IF(A852="SERVIÇO",VLOOKUP(B852,SERVIÇOS!$A$6:$D$7645,3,0),IF(A852="INSUMO",VLOOKUP(B852,INSUMOS!$A$6:$D$6961,3,0),IF(A852="COTAÇÃO",VLOOKUP(B852,'036-20-Cotação'!$A$9:$G$529,4,0))))</f>
        <v>H</v>
      </c>
      <c r="F852" s="462">
        <f>1/15</f>
        <v>6.6666666666666666E-2</v>
      </c>
      <c r="G852" s="453">
        <f>IF(A852="SERVIÇO",VLOOKUP(B852,SERVIÇOS!$A$6:$D$7645,4,0),IF(A852="INSUMO",VLOOKUP(B852,INSUMOS!$A$6:$D$6961,4,0),IF(A852="COTAÇÃO",VLOOKUP(B852,'036-20-Cotação'!$A$9:$G$529,3,0))))</f>
        <v>17.9801</v>
      </c>
      <c r="H852" s="463">
        <f t="shared" si="123"/>
        <v>1.1986733333333333</v>
      </c>
      <c r="J852" s="201"/>
    </row>
    <row r="853" spans="1:17" s="87" customFormat="1" ht="12.75">
      <c r="A853" s="232" t="s">
        <v>4542</v>
      </c>
      <c r="B853" s="464" t="s">
        <v>6601</v>
      </c>
      <c r="C853" s="451" t="str">
        <f>IF(A853="SERVIÇO",VLOOKUP(B853,SERVIÇOS!$A$6:$D$7645,2,0),IF(A853="INSUMO",VLOOKUP(B853,INSUMOS!$A$6:$D$6961,2,0),IF(A853="COTAÇÃO",VLOOKUP(B853,'036-20-Cotação'!$A$9:$G$529,2,0))))</f>
        <v>MONTADOR</v>
      </c>
      <c r="D853" s="452" t="str">
        <f>IF(A853="SERVIÇO",VLOOKUP(B853,SERVIÇOS!$A$6:$E$7645,5,0),IF(A853="INSUMO",VLOOKUP(B853,INSUMOS!$A$6:$E$6961,5,0),IF(A853="COTAÇÃO",VLOOKUP(B853,'036-20-Cotação'!$A$9:$H$529,8,0))))</f>
        <v>M.O</v>
      </c>
      <c r="E853" s="452" t="str">
        <f>IF(A853="SERVIÇO",VLOOKUP(B853,SERVIÇOS!$A$6:$D$7645,3,0),IF(A853="INSUMO",VLOOKUP(B853,INSUMOS!$A$6:$D$6961,3,0),IF(A853="COTAÇÃO",VLOOKUP(B853,'036-20-Cotação'!$A$9:$G$529,4,0))))</f>
        <v>H</v>
      </c>
      <c r="F853" s="462">
        <f>1/15</f>
        <v>6.6666666666666666E-2</v>
      </c>
      <c r="G853" s="453">
        <f>IF(A853="SERVIÇO",VLOOKUP(B853,SERVIÇOS!$A$6:$D$7645,4,0),IF(A853="INSUMO",VLOOKUP(B853,INSUMOS!$A$6:$D$6961,4,0),IF(A853="COTAÇÃO",VLOOKUP(B853,'036-20-Cotação'!$A$9:$G$529,3,0))))</f>
        <v>23.4679</v>
      </c>
      <c r="H853" s="463">
        <f t="shared" si="123"/>
        <v>1.5645266666666666</v>
      </c>
      <c r="J853" s="201"/>
    </row>
    <row r="854" spans="1:17" s="87" customFormat="1" ht="25.5">
      <c r="A854" s="232" t="s">
        <v>4542</v>
      </c>
      <c r="B854" s="464">
        <v>1408173</v>
      </c>
      <c r="C854" s="451" t="str">
        <f>'036-20-CCA''s'!$C$213</f>
        <v>CORTE COM MAÇARICO OXIACETILENO DE PERFIS METÁLICOS</v>
      </c>
      <c r="D854" s="451" t="str">
        <f>'036-20-CCA''s'!$D$213</f>
        <v>SER.CG</v>
      </c>
      <c r="E854" s="451" t="str">
        <f>'036-20-CCA''s'!$E$213</f>
        <v>CM2</v>
      </c>
      <c r="F854" s="462">
        <v>1</v>
      </c>
      <c r="G854" s="453">
        <f>'036-20-CCA''s'!$H$213</f>
        <v>0.55535668562067619</v>
      </c>
      <c r="H854" s="463">
        <f t="shared" si="123"/>
        <v>0.55535668562067619</v>
      </c>
      <c r="J854" s="201"/>
    </row>
    <row r="855" spans="1:17" s="87" customFormat="1" ht="25.5">
      <c r="A855" s="232" t="s">
        <v>4542</v>
      </c>
      <c r="B855" s="464">
        <v>2408058</v>
      </c>
      <c r="C855" s="451" t="str">
        <f>'036-20-CCA''s'!$C$142</f>
        <v>SOLDA ELÉTRICA DE PERFIS METÁLICOS E CHAPAS DE AÇO COM ELETRODO E70XX</v>
      </c>
      <c r="D855" s="451" t="str">
        <f>'036-20-CCA''s'!$D$142</f>
        <v>SER.CG</v>
      </c>
      <c r="E855" s="451" t="str">
        <f>'036-20-CCA''s'!$E$142</f>
        <v>KG</v>
      </c>
      <c r="F855" s="462">
        <v>1.4999999999999999E-2</v>
      </c>
      <c r="G855" s="453">
        <f>'036-20-CCA''s'!$H$142</f>
        <v>70.963465562080543</v>
      </c>
      <c r="H855" s="463">
        <f t="shared" si="123"/>
        <v>1.0644519834312081</v>
      </c>
      <c r="J855" s="201"/>
    </row>
    <row r="856" spans="1:17" s="87" customFormat="1" ht="12.75">
      <c r="A856" s="188"/>
      <c r="B856" s="348" t="s">
        <v>123</v>
      </c>
      <c r="C856" s="695" t="s">
        <v>7904</v>
      </c>
      <c r="D856" s="696"/>
      <c r="E856" s="696"/>
      <c r="F856" s="696"/>
      <c r="G856" s="696"/>
      <c r="H856" s="697"/>
      <c r="J856" s="201"/>
      <c r="K856" s="78"/>
      <c r="L856" s="78"/>
      <c r="M856" s="78"/>
      <c r="N856" s="78"/>
      <c r="O856" s="78"/>
      <c r="P856" s="78"/>
      <c r="Q856" s="78"/>
    </row>
    <row r="857" spans="1:17" s="87" customFormat="1" ht="12.75">
      <c r="A857" s="188"/>
      <c r="B857" s="346"/>
      <c r="C857" s="375"/>
      <c r="D857" s="375"/>
      <c r="E857" s="375"/>
      <c r="F857" s="375"/>
      <c r="G857" s="375"/>
      <c r="H857" s="376"/>
      <c r="J857" s="201"/>
      <c r="K857" s="78"/>
      <c r="L857" s="78"/>
      <c r="M857" s="78"/>
      <c r="N857" s="78"/>
      <c r="O857" s="78"/>
      <c r="P857" s="78"/>
      <c r="Q857" s="78"/>
    </row>
    <row r="858" spans="1:17" s="87" customFormat="1" ht="38.25">
      <c r="A858" s="188"/>
      <c r="B858" s="80" t="s">
        <v>7902</v>
      </c>
      <c r="C858" s="81" t="s">
        <v>7908</v>
      </c>
      <c r="D858" s="82" t="s">
        <v>84</v>
      </c>
      <c r="E858" s="82" t="s">
        <v>167</v>
      </c>
      <c r="F858" s="83"/>
      <c r="G858" s="84"/>
      <c r="H858" s="85">
        <f>SUM(H859:H861)</f>
        <v>5.3623662999999997</v>
      </c>
      <c r="J858" s="201"/>
      <c r="K858" s="78"/>
      <c r="L858" s="78"/>
      <c r="M858" s="78"/>
      <c r="N858" s="78"/>
      <c r="O858" s="78"/>
      <c r="P858" s="78"/>
      <c r="Q858" s="78"/>
    </row>
    <row r="859" spans="1:17" s="87" customFormat="1" ht="25.5">
      <c r="A859" s="232" t="s">
        <v>4542</v>
      </c>
      <c r="B859" s="464" t="s">
        <v>9155</v>
      </c>
      <c r="C859" s="451" t="str">
        <f>IF(A859="SERVIÇO",VLOOKUP(B859,SERVIÇOS!$A$6:$D$7645,2,0),IF(A859="INSUMO",VLOOKUP(B859,INSUMOS!$A$6:$D$6961,2,0),IF(A859="COTAÇÃO",VLOOKUP(B859,'036-20-Cotação'!$A$9:$G$529,2,0))))</f>
        <v>BOMBA SUBMERSÍVEL COM CAPACIDADE DE 75 M³/H - 3,6 KW</v>
      </c>
      <c r="D859" s="452" t="str">
        <f>IF(A859="SERVIÇO",VLOOKUP(B859,SERVIÇOS!$A$6:$E$7645,5,0),IF(A859="INSUMO",VLOOKUP(B859,INSUMOS!$A$6:$E$6961,5,0),IF(A859="COTAÇÃO",VLOOKUP(B859,'036-20-Cotação'!$A$9:$H$529,8,0))))</f>
        <v>EQUIP.</v>
      </c>
      <c r="E859" s="452" t="str">
        <f>IF(A859="SERVIÇO",VLOOKUP(B859,SERVIÇOS!$A$6:$D$7645,3,0),IF(A859="INSUMO",VLOOKUP(B859,INSUMOS!$A$6:$D$6961,3,0),IF(A859="COTAÇÃO",VLOOKUP(B859,'036-20-Cotação'!$A$9:$G$529,4,0))))</f>
        <v>CHP</v>
      </c>
      <c r="F859" s="462">
        <v>0.125</v>
      </c>
      <c r="G859" s="453">
        <f>IF(A859="SERVIÇO",VLOOKUP(B859,SERVIÇOS!$A$6:$D$7645,4,0),IF(A859="INSUMO",VLOOKUP(B859,INSUMOS!$A$6:$D$6961,4,0),IF(A859="COTAÇÃO",VLOOKUP(B859,'036-20-Cotação'!$A$9:$G$529,3,0))))</f>
        <v>0.49430000000000002</v>
      </c>
      <c r="H859" s="463">
        <f t="shared" ref="H859:H861" si="124">G859*F859</f>
        <v>6.1787500000000002E-2</v>
      </c>
      <c r="J859" s="201"/>
    </row>
    <row r="860" spans="1:17" s="87" customFormat="1" ht="12.75">
      <c r="A860" s="232" t="s">
        <v>4542</v>
      </c>
      <c r="B860" s="464" t="s">
        <v>6684</v>
      </c>
      <c r="C860" s="451" t="str">
        <f>IF(A860="SERVIÇO",VLOOKUP(B860,SERVIÇOS!$A$6:$D$7645,2,0),IF(A860="INSUMO",VLOOKUP(B860,INSUMOS!$A$6:$D$6961,2,0),IF(A860="COTAÇÃO",VLOOKUP(B860,'036-20-Cotação'!$A$9:$G$529,2,0))))</f>
        <v>ELETRICISTA</v>
      </c>
      <c r="D860" s="452" t="str">
        <f>IF(A860="SERVIÇO",VLOOKUP(B860,SERVIÇOS!$A$6:$E$7645,5,0),IF(A860="INSUMO",VLOOKUP(B860,INSUMOS!$A$6:$E$6961,5,0),IF(A860="COTAÇÃO",VLOOKUP(B860,'036-20-Cotação'!$A$9:$H$529,8,0))))</f>
        <v>M.O</v>
      </c>
      <c r="E860" s="452" t="str">
        <f>IF(A860="SERVIÇO",VLOOKUP(B860,SERVIÇOS!$A$6:$D$7645,3,0),IF(A860="INSUMO",VLOOKUP(B860,INSUMOS!$A$6:$D$6961,3,0),IF(A860="COTAÇÃO",VLOOKUP(B860,'036-20-Cotação'!$A$9:$G$529,4,0))))</f>
        <v>H</v>
      </c>
      <c r="F860" s="462">
        <v>6.3E-2</v>
      </c>
      <c r="G860" s="453">
        <f>IF(A860="SERVIÇO",VLOOKUP(B860,SERVIÇOS!$A$6:$D$7645,4,0),IF(A860="INSUMO",VLOOKUP(B860,INSUMOS!$A$6:$D$6961,4,0),IF(A860="COTAÇÃO",VLOOKUP(B860,'036-20-Cotação'!$A$9:$G$529,3,0))))</f>
        <v>22.082599999999999</v>
      </c>
      <c r="H860" s="463">
        <f t="shared" si="124"/>
        <v>1.3912038</v>
      </c>
      <c r="J860" s="201"/>
    </row>
    <row r="861" spans="1:17" s="87" customFormat="1" ht="12.75">
      <c r="A861" s="232" t="s">
        <v>4542</v>
      </c>
      <c r="B861" s="464" t="s">
        <v>6602</v>
      </c>
      <c r="C861" s="451" t="str">
        <f>IF(A861="SERVIÇO",VLOOKUP(B861,SERVIÇOS!$A$6:$D$7645,2,0),IF(A861="INSUMO",VLOOKUP(B861,INSUMOS!$A$6:$D$6961,2,0),IF(A861="COTAÇÃO",VLOOKUP(B861,'036-20-Cotação'!$A$9:$G$529,2,0))))</f>
        <v>SERVENTE</v>
      </c>
      <c r="D861" s="452" t="str">
        <f>IF(A861="SERVIÇO",VLOOKUP(B861,SERVIÇOS!$A$6:$E$7645,5,0),IF(A861="INSUMO",VLOOKUP(B861,INSUMOS!$A$6:$E$6961,5,0),IF(A861="COTAÇÃO",VLOOKUP(B861,'036-20-Cotação'!$A$9:$H$529,8,0))))</f>
        <v>M.O</v>
      </c>
      <c r="E861" s="452" t="str">
        <f>IF(A861="SERVIÇO",VLOOKUP(B861,SERVIÇOS!$A$6:$D$7645,3,0),IF(A861="INSUMO",VLOOKUP(B861,INSUMOS!$A$6:$D$6961,3,0),IF(A861="COTAÇÃO",VLOOKUP(B861,'036-20-Cotação'!$A$9:$G$529,4,0))))</f>
        <v>H</v>
      </c>
      <c r="F861" s="462">
        <v>0.25</v>
      </c>
      <c r="G861" s="453">
        <f>IF(A861="SERVIÇO",VLOOKUP(B861,SERVIÇOS!$A$6:$D$7645,4,0),IF(A861="INSUMO",VLOOKUP(B861,INSUMOS!$A$6:$D$6961,4,0),IF(A861="COTAÇÃO",VLOOKUP(B861,'036-20-Cotação'!$A$9:$G$529,3,0))))</f>
        <v>15.637499999999999</v>
      </c>
      <c r="H861" s="463">
        <f t="shared" si="124"/>
        <v>3.9093749999999998</v>
      </c>
      <c r="J861" s="201"/>
    </row>
    <row r="862" spans="1:17" s="87" customFormat="1" ht="12.75">
      <c r="A862" s="188"/>
      <c r="B862" s="348" t="s">
        <v>123</v>
      </c>
      <c r="C862" s="695" t="s">
        <v>7907</v>
      </c>
      <c r="D862" s="696"/>
      <c r="E862" s="696"/>
      <c r="F862" s="696"/>
      <c r="G862" s="696"/>
      <c r="H862" s="697"/>
      <c r="J862" s="201"/>
      <c r="K862" s="78"/>
      <c r="L862" s="78"/>
      <c r="M862" s="78"/>
      <c r="N862" s="78"/>
      <c r="O862" s="78"/>
      <c r="P862" s="78"/>
      <c r="Q862" s="78"/>
    </row>
    <row r="863" spans="1:17" s="87" customFormat="1" ht="12.75">
      <c r="A863" s="188"/>
      <c r="B863" s="346"/>
      <c r="C863" s="375"/>
      <c r="D863" s="375"/>
      <c r="E863" s="375"/>
      <c r="F863" s="375"/>
      <c r="G863" s="375"/>
      <c r="H863" s="376"/>
      <c r="J863" s="201"/>
      <c r="K863" s="78"/>
      <c r="L863" s="78"/>
      <c r="M863" s="78"/>
      <c r="N863" s="78"/>
      <c r="O863" s="78"/>
      <c r="P863" s="78"/>
      <c r="Q863" s="78"/>
    </row>
    <row r="864" spans="1:17" s="87" customFormat="1" ht="25.5">
      <c r="A864" s="188"/>
      <c r="B864" s="80" t="s">
        <v>7905</v>
      </c>
      <c r="C864" s="81" t="s">
        <v>7910</v>
      </c>
      <c r="D864" s="82" t="s">
        <v>84</v>
      </c>
      <c r="E864" s="82" t="s">
        <v>172</v>
      </c>
      <c r="F864" s="83"/>
      <c r="G864" s="84"/>
      <c r="H864" s="85">
        <f>SUM(H865:H866)</f>
        <v>43.897500000000001</v>
      </c>
      <c r="J864" s="201"/>
      <c r="K864" s="78"/>
      <c r="L864" s="78"/>
      <c r="M864" s="78"/>
      <c r="N864" s="78"/>
      <c r="O864" s="78"/>
      <c r="P864" s="78"/>
      <c r="Q864" s="78"/>
    </row>
    <row r="865" spans="1:17" s="87" customFormat="1" ht="25.5">
      <c r="A865" s="232" t="s">
        <v>4544</v>
      </c>
      <c r="B865" s="464">
        <v>6081</v>
      </c>
      <c r="C865" s="451" t="str">
        <f>IF(A865="SERVIÇO",VLOOKUP(B865,SERVIÇOS!$A$6:$D$7645,2,0),IF(A865="INSUMO",VLOOKUP(B865,INSUMOS!$A$6:$D$6961,2,0),IF(A865="COTAÇÃO",VLOOKUP(B865,'036-20-Cotação'!$A$9:$G$529,2,0))))</f>
        <v xml:space="preserve">ARGILA OU BARRO PARA ATERRO/REATERRO (COM TRANSPORTE ATE 10 KM)                                                                                                                                                                                                                                                                                                                                                                                                                                           </v>
      </c>
      <c r="D865" s="452" t="str">
        <f>IF(A865="SERVIÇO",VLOOKUP(B865,SERVIÇOS!$A$6:$E$7645,5,0),IF(A865="INSUMO",VLOOKUP(B865,INSUMOS!$A$6:$E$6961,5,0),IF(A865="COTAÇÃO",VLOOKUP(B865,'036-20-Cotação'!$A$9:$H$529,8,0))))</f>
        <v>MAT.</v>
      </c>
      <c r="E865" s="452" t="str">
        <f>IF(A865="SERVIÇO",VLOOKUP(B865,SERVIÇOS!$A$6:$D$7645,3,0),IF(A865="INSUMO",VLOOKUP(B865,INSUMOS!$A$6:$D$6961,3,0),IF(A865="COTAÇÃO",VLOOKUP(B865,'036-20-Cotação'!$A$9:$G$529,4,0))))</f>
        <v xml:space="preserve">M3    </v>
      </c>
      <c r="F865" s="462">
        <v>1</v>
      </c>
      <c r="G865" s="453" t="str">
        <f>IF(A865="SERVIÇO",VLOOKUP(B865,SERVIÇOS!$A$6:$D$7645,4,0),IF(A865="INSUMO",VLOOKUP(B865,INSUMOS!$A$6:$D$6961,4,0),IF(A865="COTAÇÃO",VLOOKUP(B865,'036-20-Cotação'!$A$9:$G$529,3,0))))</f>
        <v>28,26</v>
      </c>
      <c r="H865" s="463">
        <f t="shared" ref="H865:H866" si="125">G865*F865</f>
        <v>28.26</v>
      </c>
      <c r="J865" s="201"/>
    </row>
    <row r="866" spans="1:17" s="87" customFormat="1" ht="12.75">
      <c r="A866" s="232" t="s">
        <v>4542</v>
      </c>
      <c r="B866" s="464" t="s">
        <v>6602</v>
      </c>
      <c r="C866" s="451" t="str">
        <f>IF(A866="SERVIÇO",VLOOKUP(B866,SERVIÇOS!$A$6:$D$7645,2,0),IF(A866="INSUMO",VLOOKUP(B866,INSUMOS!$A$6:$D$6961,2,0),IF(A866="COTAÇÃO",VLOOKUP(B866,'036-20-Cotação'!$A$9:$G$529,2,0))))</f>
        <v>SERVENTE</v>
      </c>
      <c r="D866" s="452" t="str">
        <f>IF(A866="SERVIÇO",VLOOKUP(B866,SERVIÇOS!$A$6:$E$7645,5,0),IF(A866="INSUMO",VLOOKUP(B866,INSUMOS!$A$6:$E$6961,5,0),IF(A866="COTAÇÃO",VLOOKUP(B866,'036-20-Cotação'!$A$9:$H$529,8,0))))</f>
        <v>M.O</v>
      </c>
      <c r="E866" s="452" t="str">
        <f>IF(A866="SERVIÇO",VLOOKUP(B866,SERVIÇOS!$A$6:$D$7645,3,0),IF(A866="INSUMO",VLOOKUP(B866,INSUMOS!$A$6:$D$6961,3,0),IF(A866="COTAÇÃO",VLOOKUP(B866,'036-20-Cotação'!$A$9:$G$529,4,0))))</f>
        <v>H</v>
      </c>
      <c r="F866" s="462">
        <v>1</v>
      </c>
      <c r="G866" s="453">
        <f>IF(A866="SERVIÇO",VLOOKUP(B866,SERVIÇOS!$A$6:$D$7645,4,0),IF(A866="INSUMO",VLOOKUP(B866,INSUMOS!$A$6:$D$6961,4,0),IF(A866="COTAÇÃO",VLOOKUP(B866,'036-20-Cotação'!$A$9:$G$529,3,0))))</f>
        <v>15.637499999999999</v>
      </c>
      <c r="H866" s="463">
        <f t="shared" si="125"/>
        <v>15.637499999999999</v>
      </c>
      <c r="J866" s="201"/>
    </row>
    <row r="867" spans="1:17" s="87" customFormat="1" ht="12.75">
      <c r="A867" s="188"/>
      <c r="B867" s="348" t="s">
        <v>123</v>
      </c>
      <c r="C867" s="695" t="s">
        <v>7911</v>
      </c>
      <c r="D867" s="696"/>
      <c r="E867" s="696"/>
      <c r="F867" s="696"/>
      <c r="G867" s="696"/>
      <c r="H867" s="697"/>
      <c r="J867" s="201"/>
      <c r="K867" s="78"/>
      <c r="L867" s="78"/>
      <c r="M867" s="78"/>
      <c r="N867" s="78"/>
      <c r="O867" s="78"/>
      <c r="P867" s="78"/>
      <c r="Q867" s="78"/>
    </row>
    <row r="868" spans="1:17" s="87" customFormat="1" ht="12.75">
      <c r="A868" s="188"/>
      <c r="B868" s="346"/>
      <c r="C868" s="375"/>
      <c r="D868" s="375"/>
      <c r="E868" s="375"/>
      <c r="F868" s="375"/>
      <c r="G868" s="375"/>
      <c r="H868" s="376"/>
      <c r="J868" s="201"/>
      <c r="K868" s="78"/>
      <c r="L868" s="78"/>
      <c r="M868" s="78"/>
      <c r="N868" s="78"/>
      <c r="O868" s="78"/>
      <c r="P868" s="78"/>
      <c r="Q868" s="78"/>
    </row>
    <row r="869" spans="1:17" s="87" customFormat="1" ht="25.5">
      <c r="A869" s="188"/>
      <c r="B869" s="80" t="s">
        <v>7912</v>
      </c>
      <c r="C869" s="81" t="s">
        <v>7914</v>
      </c>
      <c r="D869" s="82" t="s">
        <v>84</v>
      </c>
      <c r="E869" s="82" t="s">
        <v>172</v>
      </c>
      <c r="F869" s="83"/>
      <c r="G869" s="84"/>
      <c r="H869" s="85">
        <f>SUM(H870:H872)</f>
        <v>2.0521029000000004</v>
      </c>
      <c r="J869" s="201"/>
      <c r="K869" s="78"/>
      <c r="L869" s="78"/>
      <c r="M869" s="78"/>
      <c r="N869" s="78"/>
      <c r="O869" s="78"/>
      <c r="P869" s="78"/>
      <c r="Q869" s="78"/>
    </row>
    <row r="870" spans="1:17" s="87" customFormat="1" ht="12.75">
      <c r="A870" s="232" t="s">
        <v>4542</v>
      </c>
      <c r="B870" s="464" t="s">
        <v>9039</v>
      </c>
      <c r="C870" s="451" t="str">
        <f>IF(A870="SERVIÇO",VLOOKUP(B870,SERVIÇOS!$A$6:$D$7645,2,0),IF(A870="INSUMO",VLOOKUP(B870,INSUMOS!$A$6:$D$6961,2,0),IF(A870="COTAÇÃO",VLOOKUP(B870,'036-20-Cotação'!$A$9:$G$529,2,0))))</f>
        <v>TRATOR DE ESTEIRAS COM LÂMINA - 259 KW</v>
      </c>
      <c r="D870" s="452" t="str">
        <f>IF(A870="SERVIÇO",VLOOKUP(B870,SERVIÇOS!$A$6:$E$7645,5,0),IF(A870="INSUMO",VLOOKUP(B870,INSUMOS!$A$6:$E$6961,5,0),IF(A870="COTAÇÃO",VLOOKUP(B870,'036-20-Cotação'!$A$9:$H$529,8,0))))</f>
        <v>EQUIP.</v>
      </c>
      <c r="E870" s="452" t="str">
        <f>IF(A870="SERVIÇO",VLOOKUP(B870,SERVIÇOS!$A$6:$D$7645,3,0),IF(A870="INSUMO",VLOOKUP(B870,INSUMOS!$A$6:$D$6961,3,0),IF(A870="COTAÇÃO",VLOOKUP(B870,'036-20-Cotação'!$A$9:$G$529,4,0))))</f>
        <v>CHP</v>
      </c>
      <c r="F870" s="462">
        <v>3.0000000000000001E-3</v>
      </c>
      <c r="G870" s="453">
        <f>IF(A870="SERVIÇO",VLOOKUP(B870,SERVIÇOS!$A$6:$D$7645,4,0),IF(A870="INSUMO",VLOOKUP(B870,INSUMOS!$A$6:$D$6961,4,0),IF(A870="COTAÇÃO",VLOOKUP(B870,'036-20-Cotação'!$A$9:$G$529,3,0))))</f>
        <v>383.96140000000003</v>
      </c>
      <c r="H870" s="463">
        <f t="shared" ref="H870:H872" si="126">G870*F870</f>
        <v>1.1518842</v>
      </c>
      <c r="J870" s="201"/>
    </row>
    <row r="871" spans="1:17" s="87" customFormat="1" ht="12.75">
      <c r="A871" s="232" t="s">
        <v>4542</v>
      </c>
      <c r="B871" s="464" t="s">
        <v>9766</v>
      </c>
      <c r="C871" s="451" t="str">
        <f>IF(A871="SERVIÇO",VLOOKUP(B871,SERVIÇOS!$A$6:$D$7645,2,0),IF(A871="INSUMO",VLOOKUP(B871,INSUMOS!$A$6:$D$6961,2,0),IF(A871="COTAÇÃO",VLOOKUP(B871,'036-20-Cotação'!$A$9:$G$529,2,0))))</f>
        <v>TRATOR DE ESTEIRAS COM LÂMINA - 259 KW</v>
      </c>
      <c r="D871" s="452" t="str">
        <f>IF(A871="SERVIÇO",VLOOKUP(B871,SERVIÇOS!$A$6:$E$7645,5,0),IF(A871="INSUMO",VLOOKUP(B871,INSUMOS!$A$6:$E$6961,5,0),IF(A871="COTAÇÃO",VLOOKUP(B871,'036-20-Cotação'!$A$9:$H$529,8,0))))</f>
        <v>EQUIP.</v>
      </c>
      <c r="E871" s="452" t="str">
        <f>IF(A871="SERVIÇO",VLOOKUP(B871,SERVIÇOS!$A$6:$D$7645,3,0),IF(A871="INSUMO",VLOOKUP(B871,INSUMOS!$A$6:$D$6961,3,0),IF(A871="COTAÇÃO",VLOOKUP(B871,'036-20-Cotação'!$A$9:$G$529,4,0))))</f>
        <v>CHI</v>
      </c>
      <c r="F871" s="462">
        <v>6.0000000000000001E-3</v>
      </c>
      <c r="G871" s="453">
        <f>IF(A871="SERVIÇO",VLOOKUP(B871,SERVIÇOS!$A$6:$D$7645,4,0),IF(A871="INSUMO",VLOOKUP(B871,INSUMOS!$A$6:$D$6961,4,0),IF(A871="COTAÇÃO",VLOOKUP(B871,'036-20-Cotação'!$A$9:$G$529,3,0))))</f>
        <v>126.5802</v>
      </c>
      <c r="H871" s="463">
        <f t="shared" ref="H871" si="127">G871*F871</f>
        <v>0.75948120000000008</v>
      </c>
      <c r="J871" s="201"/>
    </row>
    <row r="872" spans="1:17" s="87" customFormat="1" ht="12.75">
      <c r="A872" s="232" t="s">
        <v>4542</v>
      </c>
      <c r="B872" s="464" t="s">
        <v>6602</v>
      </c>
      <c r="C872" s="451" t="str">
        <f>IF(A872="SERVIÇO",VLOOKUP(B872,SERVIÇOS!$A$6:$D$7645,2,0),IF(A872="INSUMO",VLOOKUP(B872,INSUMOS!$A$6:$D$6961,2,0),IF(A872="COTAÇÃO",VLOOKUP(B872,'036-20-Cotação'!$A$9:$G$529,2,0))))</f>
        <v>SERVENTE</v>
      </c>
      <c r="D872" s="452" t="str">
        <f>IF(A872="SERVIÇO",VLOOKUP(B872,SERVIÇOS!$A$6:$E$7645,5,0),IF(A872="INSUMO",VLOOKUP(B872,INSUMOS!$A$6:$E$6961,5,0),IF(A872="COTAÇÃO",VLOOKUP(B872,'036-20-Cotação'!$A$9:$H$529,8,0))))</f>
        <v>M.O</v>
      </c>
      <c r="E872" s="452" t="str">
        <f>IF(A872="SERVIÇO",VLOOKUP(B872,SERVIÇOS!$A$6:$D$7645,3,0),IF(A872="INSUMO",VLOOKUP(B872,INSUMOS!$A$6:$D$6961,3,0),IF(A872="COTAÇÃO",VLOOKUP(B872,'036-20-Cotação'!$A$9:$G$529,4,0))))</f>
        <v>H</v>
      </c>
      <c r="F872" s="462">
        <v>8.9999999999999993E-3</v>
      </c>
      <c r="G872" s="453">
        <f>IF(A872="SERVIÇO",VLOOKUP(B872,SERVIÇOS!$A$6:$D$7645,4,0),IF(A872="INSUMO",VLOOKUP(B872,INSUMOS!$A$6:$D$6961,4,0),IF(A872="COTAÇÃO",VLOOKUP(B872,'036-20-Cotação'!$A$9:$G$529,3,0))))</f>
        <v>15.637499999999999</v>
      </c>
      <c r="H872" s="463">
        <f t="shared" si="126"/>
        <v>0.14073749999999999</v>
      </c>
      <c r="J872" s="201"/>
    </row>
    <row r="873" spans="1:17" s="87" customFormat="1" ht="12.75">
      <c r="A873" s="188"/>
      <c r="B873" s="348" t="s">
        <v>123</v>
      </c>
      <c r="C873" s="695" t="s">
        <v>7913</v>
      </c>
      <c r="D873" s="696"/>
      <c r="E873" s="696"/>
      <c r="F873" s="696"/>
      <c r="G873" s="696"/>
      <c r="H873" s="697"/>
      <c r="J873" s="201"/>
      <c r="K873" s="78"/>
      <c r="L873" s="78"/>
      <c r="M873" s="78"/>
      <c r="N873" s="78"/>
      <c r="O873" s="78"/>
      <c r="P873" s="78"/>
      <c r="Q873" s="78"/>
    </row>
    <row r="874" spans="1:17" s="78" customFormat="1" ht="12.75">
      <c r="A874" s="188"/>
      <c r="B874" s="346"/>
      <c r="C874" s="347"/>
      <c r="D874" s="347"/>
      <c r="E874" s="347"/>
      <c r="F874" s="347"/>
      <c r="G874" s="347"/>
      <c r="H874" s="347"/>
      <c r="J874" s="79"/>
      <c r="K874" s="87"/>
      <c r="L874" s="87"/>
      <c r="M874" s="87"/>
      <c r="N874" s="87"/>
      <c r="O874" s="87"/>
      <c r="P874" s="87"/>
      <c r="Q874" s="87"/>
    </row>
    <row r="875" spans="1:17" s="78" customFormat="1" ht="38.25">
      <c r="A875" s="188"/>
      <c r="B875" s="80" t="s">
        <v>7952</v>
      </c>
      <c r="C875" s="81" t="s">
        <v>7953</v>
      </c>
      <c r="D875" s="82" t="s">
        <v>84</v>
      </c>
      <c r="E875" s="82" t="s">
        <v>150</v>
      </c>
      <c r="F875" s="83"/>
      <c r="G875" s="84"/>
      <c r="H875" s="85">
        <f>SUM(H876:H880)</f>
        <v>16.726833745974993</v>
      </c>
      <c r="J875" s="79"/>
      <c r="K875" s="87"/>
      <c r="L875" s="87"/>
      <c r="M875" s="87"/>
      <c r="N875" s="87"/>
      <c r="O875" s="87"/>
      <c r="P875" s="87"/>
      <c r="Q875" s="87"/>
    </row>
    <row r="876" spans="1:17" s="87" customFormat="1" ht="12.75">
      <c r="A876" s="232" t="s">
        <v>4542</v>
      </c>
      <c r="B876" s="464" t="s">
        <v>6614</v>
      </c>
      <c r="C876" s="451" t="str">
        <f>IF(A876="SERVIÇO",VLOOKUP(B876,SERVIÇOS!$A$6:$D$7645,2,0),IF(A876="INSUMO",VLOOKUP(B876,INSUMOS!$A$6:$D$6961,2,0),IF(A876="COTAÇÃO",VLOOKUP(B876,'036-20-Cotação'!$A$9:$G$529,2,0))))</f>
        <v>PEDREIRO</v>
      </c>
      <c r="D876" s="452" t="str">
        <f>IF(A876="SERVIÇO",VLOOKUP(B876,SERVIÇOS!$A$6:$E$7645,5,0),IF(A876="INSUMO",VLOOKUP(B876,INSUMOS!$A$6:$E$6961,5,0),IF(A876="COTAÇÃO",VLOOKUP(B876,'036-20-Cotação'!$A$9:$H$529,8,0))))</f>
        <v>M.O</v>
      </c>
      <c r="E876" s="452" t="str">
        <f>IF(A876="SERVIÇO",VLOOKUP(B876,SERVIÇOS!$A$6:$D$7645,3,0),IF(A876="INSUMO",VLOOKUP(B876,INSUMOS!$A$6:$D$6961,3,0),IF(A876="COTAÇÃO",VLOOKUP(B876,'036-20-Cotação'!$A$9:$G$529,4,0))))</f>
        <v>H</v>
      </c>
      <c r="F876" s="462" t="s">
        <v>7947</v>
      </c>
      <c r="G876" s="453">
        <f>IF(A876="SERVIÇO",VLOOKUP(B876,SERVIÇOS!$A$6:$D$7645,4,0),IF(A876="INSUMO",VLOOKUP(B876,INSUMOS!$A$6:$D$6961,4,0),IF(A876="COTAÇÃO",VLOOKUP(B876,'036-20-Cotação'!$A$9:$G$529,3,0))))</f>
        <v>21.647600000000001</v>
      </c>
      <c r="H876" s="463">
        <f t="shared" ref="H876:H880" si="128">G876*F876</f>
        <v>1.9482839999999999</v>
      </c>
      <c r="J876" s="201"/>
    </row>
    <row r="877" spans="1:17" s="87" customFormat="1" ht="12.75">
      <c r="A877" s="232" t="s">
        <v>4542</v>
      </c>
      <c r="B877" s="464" t="s">
        <v>6602</v>
      </c>
      <c r="C877" s="451" t="str">
        <f>IF(A877="SERVIÇO",VLOOKUP(B877,SERVIÇOS!$A$6:$D$7645,2,0),IF(A877="INSUMO",VLOOKUP(B877,INSUMOS!$A$6:$D$6961,2,0),IF(A877="COTAÇÃO",VLOOKUP(B877,'036-20-Cotação'!$A$9:$G$529,2,0))))</f>
        <v>SERVENTE</v>
      </c>
      <c r="D877" s="452" t="str">
        <f>IF(A877="SERVIÇO",VLOOKUP(B877,SERVIÇOS!$A$6:$E$7645,5,0),IF(A877="INSUMO",VLOOKUP(B877,INSUMOS!$A$6:$E$6961,5,0),IF(A877="COTAÇÃO",VLOOKUP(B877,'036-20-Cotação'!$A$9:$H$529,8,0))))</f>
        <v>M.O</v>
      </c>
      <c r="E877" s="452" t="str">
        <f>IF(A877="SERVIÇO",VLOOKUP(B877,SERVIÇOS!$A$6:$D$7645,3,0),IF(A877="INSUMO",VLOOKUP(B877,INSUMOS!$A$6:$D$6961,3,0),IF(A877="COTAÇÃO",VLOOKUP(B877,'036-20-Cotação'!$A$9:$G$529,4,0))))</f>
        <v>H</v>
      </c>
      <c r="F877" s="462" t="s">
        <v>7948</v>
      </c>
      <c r="G877" s="453">
        <f>IF(A877="SERVIÇO",VLOOKUP(B877,SERVIÇOS!$A$6:$D$7645,4,0),IF(A877="INSUMO",VLOOKUP(B877,INSUMOS!$A$6:$D$6961,4,0),IF(A877="COTAÇÃO",VLOOKUP(B877,'036-20-Cotação'!$A$9:$G$529,3,0))))</f>
        <v>15.637499999999999</v>
      </c>
      <c r="H877" s="463">
        <f t="shared" si="128"/>
        <v>0.70368749999999991</v>
      </c>
      <c r="J877" s="201"/>
    </row>
    <row r="878" spans="1:17" s="87" customFormat="1" ht="25.5">
      <c r="A878" s="232" t="s">
        <v>4542</v>
      </c>
      <c r="B878" s="464" t="s">
        <v>9295</v>
      </c>
      <c r="C878" s="451" t="str">
        <f>IF(A878="SERVIÇO",VLOOKUP(B878,SERVIÇOS!$A$6:$D$7645,2,0),IF(A878="INSUMO",VLOOKUP(B878,INSUMOS!$A$6:$D$6961,2,0),IF(A878="COTAÇÃO",VLOOKUP(B878,'036-20-Cotação'!$A$9:$G$529,2,0))))</f>
        <v>BOMBA PROJETORA DE ARGAMASSA DE 2 M³/H - 5,5 KW</v>
      </c>
      <c r="D878" s="452" t="str">
        <f>IF(A878="SERVIÇO",VLOOKUP(B878,SERVIÇOS!$A$6:$E$7645,5,0),IF(A878="INSUMO",VLOOKUP(B878,INSUMOS!$A$6:$E$6961,5,0),IF(A878="COTAÇÃO",VLOOKUP(B878,'036-20-Cotação'!$A$9:$H$529,8,0))))</f>
        <v>EQUIP.</v>
      </c>
      <c r="E878" s="452" t="str">
        <f>IF(A878="SERVIÇO",VLOOKUP(B878,SERVIÇOS!$A$6:$D$7645,3,0),IF(A878="INSUMO",VLOOKUP(B878,INSUMOS!$A$6:$D$6961,3,0),IF(A878="COTAÇÃO",VLOOKUP(B878,'036-20-Cotação'!$A$9:$G$529,4,0))))</f>
        <v>CHP</v>
      </c>
      <c r="F878" s="462" t="s">
        <v>7949</v>
      </c>
      <c r="G878" s="453">
        <f>IF(A878="SERVIÇO",VLOOKUP(B878,SERVIÇOS!$A$6:$D$7645,4,0),IF(A878="INSUMO",VLOOKUP(B878,INSUMOS!$A$6:$D$6961,4,0),IF(A878="COTAÇÃO",VLOOKUP(B878,'036-20-Cotação'!$A$9:$G$529,3,0))))</f>
        <v>29.3599</v>
      </c>
      <c r="H878" s="463">
        <f t="shared" si="128"/>
        <v>4.9911829999999997E-2</v>
      </c>
      <c r="J878" s="201"/>
    </row>
    <row r="879" spans="1:17" s="87" customFormat="1" ht="25.5">
      <c r="A879" s="232" t="s">
        <v>4542</v>
      </c>
      <c r="B879" s="464" t="s">
        <v>9903</v>
      </c>
      <c r="C879" s="451" t="str">
        <f>IF(A879="SERVIÇO",VLOOKUP(B879,SERVIÇOS!$A$6:$D$7645,2,0),IF(A879="INSUMO",VLOOKUP(B879,INSUMOS!$A$6:$D$6961,2,0),IF(A879="COTAÇÃO",VLOOKUP(B879,'036-20-Cotação'!$A$9:$G$529,2,0))))</f>
        <v>BOMBA PROJETORA DE ARGAMASSA DE 2 M³/H - 5,5 KW</v>
      </c>
      <c r="D879" s="452" t="str">
        <f>IF(A879="SERVIÇO",VLOOKUP(B879,SERVIÇOS!$A$6:$E$7645,5,0),IF(A879="INSUMO",VLOOKUP(B879,INSUMOS!$A$6:$E$6961,5,0),IF(A879="COTAÇÃO",VLOOKUP(B879,'036-20-Cotação'!$A$9:$H$529,8,0))))</f>
        <v>EQUIP.</v>
      </c>
      <c r="E879" s="452" t="str">
        <f>IF(A879="SERVIÇO",VLOOKUP(B879,SERVIÇOS!$A$6:$D$7645,3,0),IF(A879="INSUMO",VLOOKUP(B879,INSUMOS!$A$6:$D$6961,3,0),IF(A879="COTAÇÃO",VLOOKUP(B879,'036-20-Cotação'!$A$9:$G$529,4,0))))</f>
        <v>CHI</v>
      </c>
      <c r="F879" s="462" t="s">
        <v>7950</v>
      </c>
      <c r="G879" s="453">
        <f>IF(A879="SERVIÇO",VLOOKUP(B879,SERVIÇOS!$A$6:$D$7645,4,0),IF(A879="INSUMO",VLOOKUP(B879,INSUMOS!$A$6:$D$6961,4,0),IF(A879="COTAÇÃO",VLOOKUP(B879,'036-20-Cotação'!$A$9:$G$529,3,0))))</f>
        <v>24.567299999999999</v>
      </c>
      <c r="H879" s="463">
        <f t="shared" si="128"/>
        <v>2.17174932</v>
      </c>
      <c r="J879" s="201"/>
    </row>
    <row r="880" spans="1:17" s="87" customFormat="1" ht="25.5">
      <c r="A880" s="232" t="s">
        <v>12</v>
      </c>
      <c r="B880" s="464" t="s">
        <v>7954</v>
      </c>
      <c r="C880" s="451" t="str">
        <f>IF(A880="SERVIÇO",VLOOKUP(B880,SERVIÇOS!$A$6:$D$7645,2,0),IF(A880="INSUMO",VLOOKUP(B880,INSUMOS!$A$6:$D$6961,2,0),IF(A880="COTAÇÃO",VLOOKUP(B880,'036-20-Cotação'!$A$9:$G$529,2,0))))</f>
        <v>ADITIVO CRISTALIZANTE XYPEX MODIFICADO OU EQUIVALENTE</v>
      </c>
      <c r="D880" s="452" t="str">
        <f>IF(A880="SERVIÇO",VLOOKUP(B880,SERVIÇOS!$A$6:$E$7645,5,0),IF(A880="INSUMO",VLOOKUP(B880,INSUMOS!$A$6:$E$6961,5,0),IF(A880="COTAÇÃO",VLOOKUP(B880,'036-20-Cotação'!$A$9:$H$529,8,0))))</f>
        <v>MAT.</v>
      </c>
      <c r="E880" s="452" t="str">
        <f>IF(A880="SERVIÇO",VLOOKUP(B880,SERVIÇOS!$A$6:$D$7645,3,0),IF(A880="INSUMO",VLOOKUP(B880,INSUMOS!$A$6:$D$6961,3,0),IF(A880="COTAÇÃO",VLOOKUP(B880,'036-20-Cotação'!$A$9:$G$529,4,0))))</f>
        <v>KG</v>
      </c>
      <c r="F880" s="462">
        <v>0.8</v>
      </c>
      <c r="G880" s="453">
        <f>IF(A880="SERVIÇO",VLOOKUP(B880,SERVIÇOS!$A$6:$D$7645,4,0),IF(A880="INSUMO",VLOOKUP(B880,INSUMOS!$A$6:$D$6961,4,0),IF(A880="COTAÇÃO",VLOOKUP(B880,'036-20-Cotação'!$A$9:$G$529,3,0))))</f>
        <v>14.816501369968739</v>
      </c>
      <c r="H880" s="463">
        <f t="shared" si="128"/>
        <v>11.853201095974992</v>
      </c>
      <c r="J880" s="201"/>
    </row>
    <row r="881" spans="1:17" s="87" customFormat="1" ht="12.75">
      <c r="A881" s="188"/>
      <c r="B881" s="348" t="s">
        <v>123</v>
      </c>
      <c r="C881" s="695" t="s">
        <v>7951</v>
      </c>
      <c r="D881" s="696"/>
      <c r="E881" s="696"/>
      <c r="F881" s="696"/>
      <c r="G881" s="696"/>
      <c r="H881" s="697"/>
      <c r="J881" s="201"/>
    </row>
    <row r="882" spans="1:17" s="78" customFormat="1" ht="12.75">
      <c r="A882" s="188"/>
      <c r="B882" s="346"/>
      <c r="C882" s="347"/>
      <c r="D882" s="347"/>
      <c r="E882" s="347"/>
      <c r="F882" s="347"/>
      <c r="G882" s="347"/>
      <c r="H882" s="347"/>
      <c r="J882" s="79"/>
      <c r="K882" s="87"/>
      <c r="L882" s="87"/>
      <c r="M882" s="87"/>
      <c r="N882" s="87"/>
      <c r="O882" s="87"/>
      <c r="P882" s="87"/>
      <c r="Q882" s="87"/>
    </row>
    <row r="883" spans="1:17" s="78" customFormat="1" ht="38.25">
      <c r="A883" s="188"/>
      <c r="B883" s="80" t="s">
        <v>7956</v>
      </c>
      <c r="C883" s="81" t="s">
        <v>7957</v>
      </c>
      <c r="D883" s="82" t="s">
        <v>84</v>
      </c>
      <c r="E883" s="82" t="s">
        <v>150</v>
      </c>
      <c r="F883" s="83"/>
      <c r="G883" s="84"/>
      <c r="H883" s="85">
        <f>SUM(H884:H889)</f>
        <v>1.6005306340690102</v>
      </c>
      <c r="J883" s="201" t="s">
        <v>7959</v>
      </c>
      <c r="K883" s="87"/>
      <c r="L883" s="87"/>
      <c r="M883" s="87"/>
      <c r="N883" s="87"/>
      <c r="O883" s="87"/>
      <c r="P883" s="87"/>
      <c r="Q883" s="87"/>
    </row>
    <row r="884" spans="1:17" s="87" customFormat="1" ht="38.25">
      <c r="A884" s="232" t="s">
        <v>4542</v>
      </c>
      <c r="B884" s="464" t="s">
        <v>9180</v>
      </c>
      <c r="C884" s="451" t="str">
        <f>IF(A884="SERVIÇO",VLOOKUP(B884,SERVIÇOS!$A$6:$D$7645,2,0),IF(A884="INSUMO",VLOOKUP(B884,INSUMOS!$A$6:$D$6961,2,0),IF(A884="COTAÇÃO",VLOOKUP(B884,'036-20-Cotação'!$A$9:$G$529,2,0))))</f>
        <v>EQUIPAMENTO DE PINTURA A AR COMPRIMIDO DE PISTOLA COM CANECA COM CAPACIDADE DE 1.000 ML E COMPRESSOR DE 1,5 KW</v>
      </c>
      <c r="D884" s="452" t="str">
        <f>IF(A884="SERVIÇO",VLOOKUP(B884,SERVIÇOS!$A$6:$E$7645,5,0),IF(A884="INSUMO",VLOOKUP(B884,INSUMOS!$A$6:$E$6961,5,0),IF(A884="COTAÇÃO",VLOOKUP(B884,'036-20-Cotação'!$A$9:$H$529,8,0))))</f>
        <v>EQUIP.</v>
      </c>
      <c r="E884" s="452" t="str">
        <f>IF(A884="SERVIÇO",VLOOKUP(B884,SERVIÇOS!$A$6:$D$7645,3,0),IF(A884="INSUMO",VLOOKUP(B884,INSUMOS!$A$6:$D$6961,3,0),IF(A884="COTAÇÃO",VLOOKUP(B884,'036-20-Cotação'!$A$9:$G$529,4,0))))</f>
        <v>CHP</v>
      </c>
      <c r="F884" s="462">
        <f>1/45.97</f>
        <v>2.1753317380900587E-2</v>
      </c>
      <c r="G884" s="453">
        <f>IF(A884="SERVIÇO",VLOOKUP(B884,SERVIÇOS!$A$6:$D$7645,4,0),IF(A884="INSUMO",VLOOKUP(B884,INSUMOS!$A$6:$D$6961,4,0),IF(A884="COTAÇÃO",VLOOKUP(B884,'036-20-Cotação'!$A$9:$G$529,3,0))))</f>
        <v>0.39410000000000001</v>
      </c>
      <c r="H884" s="463">
        <f t="shared" ref="H884:H887" si="129">G884*F884</f>
        <v>8.5729823798129205E-3</v>
      </c>
      <c r="J884" s="201"/>
    </row>
    <row r="885" spans="1:17" s="87" customFormat="1" ht="12.75">
      <c r="A885" s="232" t="s">
        <v>4542</v>
      </c>
      <c r="B885" s="464" t="s">
        <v>9006</v>
      </c>
      <c r="C885" s="451" t="str">
        <f>IF(A885="SERVIÇO",VLOOKUP(B885,SERVIÇOS!$A$6:$D$7645,2,0),IF(A885="INSUMO",VLOOKUP(B885,INSUMOS!$A$6:$D$6961,2,0),IF(A885="COTAÇÃO",VLOOKUP(B885,'036-20-Cotação'!$A$9:$G$529,2,0))))</f>
        <v>GRUPO GERADOR - 2,5/3 KVA</v>
      </c>
      <c r="D885" s="452" t="str">
        <f>IF(A885="SERVIÇO",VLOOKUP(B885,SERVIÇOS!$A$6:$E$7645,5,0),IF(A885="INSUMO",VLOOKUP(B885,INSUMOS!$A$6:$E$6961,5,0),IF(A885="COTAÇÃO",VLOOKUP(B885,'036-20-Cotação'!$A$9:$H$529,8,0))))</f>
        <v>EQUIP.</v>
      </c>
      <c r="E885" s="452" t="str">
        <f>IF(A885="SERVIÇO",VLOOKUP(B885,SERVIÇOS!$A$6:$D$7645,3,0),IF(A885="INSUMO",VLOOKUP(B885,INSUMOS!$A$6:$D$6961,3,0),IF(A885="COTAÇÃO",VLOOKUP(B885,'036-20-Cotação'!$A$9:$G$529,4,0))))</f>
        <v>CHP</v>
      </c>
      <c r="F885" s="462">
        <f t="shared" ref="F885:F887" si="130">1/45.97</f>
        <v>2.1753317380900587E-2</v>
      </c>
      <c r="G885" s="453">
        <f>IF(A885="SERVIÇO",VLOOKUP(B885,SERVIÇOS!$A$6:$D$7645,4,0),IF(A885="INSUMO",VLOOKUP(B885,INSUMOS!$A$6:$D$6961,4,0),IF(A885="COTAÇÃO",VLOOKUP(B885,'036-20-Cotação'!$A$9:$G$529,3,0))))</f>
        <v>2.9165999999999999</v>
      </c>
      <c r="H885" s="463">
        <f t="shared" si="129"/>
        <v>6.3445725473134651E-2</v>
      </c>
      <c r="J885" s="201"/>
    </row>
    <row r="886" spans="1:17" s="87" customFormat="1" ht="12.75">
      <c r="A886" s="232" t="s">
        <v>4542</v>
      </c>
      <c r="B886" s="464" t="s">
        <v>6825</v>
      </c>
      <c r="C886" s="451" t="str">
        <f>IF(A886="SERVIÇO",VLOOKUP(B886,SERVIÇOS!$A$6:$D$7645,2,0),IF(A886="INSUMO",VLOOKUP(B886,INSUMOS!$A$6:$D$6961,2,0),IF(A886="COTAÇÃO",VLOOKUP(B886,'036-20-Cotação'!$A$9:$G$529,2,0))))</f>
        <v>AJUDANTE</v>
      </c>
      <c r="D886" s="452" t="str">
        <f>IF(A886="SERVIÇO",VLOOKUP(B886,SERVIÇOS!$A$6:$E$7645,5,0),IF(A886="INSUMO",VLOOKUP(B886,INSUMOS!$A$6:$E$6961,5,0),IF(A886="COTAÇÃO",VLOOKUP(B886,'036-20-Cotação'!$A$9:$H$529,8,0))))</f>
        <v>M.O</v>
      </c>
      <c r="E886" s="452" t="str">
        <f>IF(A886="SERVIÇO",VLOOKUP(B886,SERVIÇOS!$A$6:$D$7645,3,0),IF(A886="INSUMO",VLOOKUP(B886,INSUMOS!$A$6:$D$6961,3,0),IF(A886="COTAÇÃO",VLOOKUP(B886,'036-20-Cotação'!$A$9:$G$529,4,0))))</f>
        <v>H</v>
      </c>
      <c r="F886" s="462">
        <f t="shared" si="130"/>
        <v>2.1753317380900587E-2</v>
      </c>
      <c r="G886" s="453">
        <f>IF(A886="SERVIÇO",VLOOKUP(B886,SERVIÇOS!$A$6:$D$7645,4,0),IF(A886="INSUMO",VLOOKUP(B886,INSUMOS!$A$6:$D$6961,4,0),IF(A886="COTAÇÃO",VLOOKUP(B886,'036-20-Cotação'!$A$9:$G$529,3,0))))</f>
        <v>17.9801</v>
      </c>
      <c r="H886" s="463">
        <f t="shared" si="129"/>
        <v>0.39112682184033065</v>
      </c>
      <c r="J886" s="201"/>
    </row>
    <row r="887" spans="1:17" s="87" customFormat="1" ht="12.75">
      <c r="A887" s="232" t="s">
        <v>4542</v>
      </c>
      <c r="B887" s="464" t="s">
        <v>7527</v>
      </c>
      <c r="C887" s="451" t="str">
        <f>IF(A887="SERVIÇO",VLOOKUP(B887,SERVIÇOS!$A$6:$D$7645,2,0),IF(A887="INSUMO",VLOOKUP(B887,INSUMOS!$A$6:$D$6961,2,0),IF(A887="COTAÇÃO",VLOOKUP(B887,'036-20-Cotação'!$A$9:$G$529,2,0))))</f>
        <v>PINTOR</v>
      </c>
      <c r="D887" s="452" t="str">
        <f>IF(A887="SERVIÇO",VLOOKUP(B887,SERVIÇOS!$A$6:$E$7645,5,0),IF(A887="INSUMO",VLOOKUP(B887,INSUMOS!$A$6:$E$6961,5,0),IF(A887="COTAÇÃO",VLOOKUP(B887,'036-20-Cotação'!$A$9:$H$529,8,0))))</f>
        <v>M.O</v>
      </c>
      <c r="E887" s="452" t="str">
        <f>IF(A887="SERVIÇO",VLOOKUP(B887,SERVIÇOS!$A$6:$D$7645,3,0),IF(A887="INSUMO",VLOOKUP(B887,INSUMOS!$A$6:$D$6961,3,0),IF(A887="COTAÇÃO",VLOOKUP(B887,'036-20-Cotação'!$A$9:$G$529,4,0))))</f>
        <v>H</v>
      </c>
      <c r="F887" s="462">
        <f t="shared" si="130"/>
        <v>2.1753317380900587E-2</v>
      </c>
      <c r="G887" s="453">
        <f>IF(A887="SERVIÇO",VLOOKUP(B887,SERVIÇOS!$A$6:$D$7645,4,0),IF(A887="INSUMO",VLOOKUP(B887,INSUMOS!$A$6:$D$6961,4,0),IF(A887="COTAÇÃO",VLOOKUP(B887,'036-20-Cotação'!$A$9:$G$529,3,0))))</f>
        <v>21.705200000000001</v>
      </c>
      <c r="H887" s="463">
        <f t="shared" si="129"/>
        <v>0.47216010441592343</v>
      </c>
      <c r="J887" s="201"/>
    </row>
    <row r="888" spans="1:17" s="87" customFormat="1" ht="25.5">
      <c r="A888" s="232" t="s">
        <v>12</v>
      </c>
      <c r="B888" s="464" t="s">
        <v>7960</v>
      </c>
      <c r="C888" s="451" t="str">
        <f>IF(A888="SERVIÇO",VLOOKUP(B888,SERVIÇOS!$A$6:$D$7645,2,0),IF(A888="INSUMO",VLOOKUP(B888,INSUMOS!$A$6:$D$6961,2,0),IF(A888="COTAÇÃO",VLOOKUP(B888,'036-20-Cotação'!$A$9:$G$529,2,0))))</f>
        <v>ADITIVO DE CURA QUÍMICA XYPEX GAMMA CURE - CONSUMO 50 ML/M² OU EQUIVALENTE</v>
      </c>
      <c r="D888" s="452" t="str">
        <f>IF(A888="SERVIÇO",VLOOKUP(B888,SERVIÇOS!$A$6:$E$7645,5,0),IF(A888="INSUMO",VLOOKUP(B888,INSUMOS!$A$6:$E$6961,5,0),IF(A888="COTAÇÃO",VLOOKUP(B888,'036-20-Cotação'!$A$9:$H$529,8,0))))</f>
        <v>MAT.</v>
      </c>
      <c r="E888" s="452" t="str">
        <f>IF(A888="SERVIÇO",VLOOKUP(B888,SERVIÇOS!$A$6:$D$7645,3,0),IF(A888="INSUMO",VLOOKUP(B888,INSUMOS!$A$6:$D$6961,3,0),IF(A888="COTAÇÃO",VLOOKUP(B888,'036-20-Cotação'!$A$9:$G$529,4,0))))</f>
        <v>L</v>
      </c>
      <c r="F888" s="462">
        <f>50/1000</f>
        <v>0.05</v>
      </c>
      <c r="G888" s="453">
        <f>IF(A888="SERVIÇO",VLOOKUP(B888,SERVIÇOS!$A$6:$D$7645,4,0),IF(A888="INSUMO",VLOOKUP(B888,INSUMOS!$A$6:$D$6961,4,0),IF(A888="COTAÇÃO",VLOOKUP(B888,'036-20-Cotação'!$A$9:$G$529,3,0))))</f>
        <v>13.275585227491991</v>
      </c>
      <c r="H888" s="463">
        <f t="shared" ref="H888:H889" si="131">G888*F888</f>
        <v>0.66377926137459964</v>
      </c>
      <c r="J888" s="201"/>
    </row>
    <row r="889" spans="1:17" s="87" customFormat="1" ht="25.5">
      <c r="A889" s="232" t="s">
        <v>4542</v>
      </c>
      <c r="B889" s="531" t="s">
        <v>13205</v>
      </c>
      <c r="C889" s="451" t="str">
        <f>'036-20-CCA''s'!$C$276</f>
        <v>TEMPO FIXO - CAMINHÃO CARROCERIA 5 T - CARGA E DESCARGA MANUAIS</v>
      </c>
      <c r="D889" s="452" t="str">
        <f>'036-20-CCA''s'!$D$276</f>
        <v>SER.CG</v>
      </c>
      <c r="E889" s="452" t="str">
        <f>'036-20-CCA''s'!$E$276</f>
        <v>T</v>
      </c>
      <c r="F889" s="462">
        <v>9.0000000000000006E-5</v>
      </c>
      <c r="G889" s="453">
        <f>'036-20-CCA''s'!$H$276</f>
        <v>16.063762057877813</v>
      </c>
      <c r="H889" s="463">
        <f t="shared" si="131"/>
        <v>1.4457385852090032E-3</v>
      </c>
      <c r="J889" s="201"/>
    </row>
    <row r="890" spans="1:17" s="87" customFormat="1" ht="12.75">
      <c r="A890" s="188"/>
      <c r="B890" s="348" t="s">
        <v>123</v>
      </c>
      <c r="C890" s="695" t="s">
        <v>7958</v>
      </c>
      <c r="D890" s="696"/>
      <c r="E890" s="696"/>
      <c r="F890" s="696"/>
      <c r="G890" s="696"/>
      <c r="H890" s="697"/>
      <c r="J890" s="201"/>
    </row>
    <row r="891" spans="1:17" s="78" customFormat="1" ht="12.75">
      <c r="A891" s="188"/>
      <c r="B891" s="346"/>
      <c r="C891" s="347"/>
      <c r="D891" s="347"/>
      <c r="E891" s="347"/>
      <c r="F891" s="347"/>
      <c r="G891" s="347"/>
      <c r="H891" s="347"/>
      <c r="J891" s="79"/>
      <c r="K891" s="87"/>
      <c r="L891" s="87"/>
      <c r="M891" s="87"/>
      <c r="N891" s="87"/>
      <c r="O891" s="87"/>
      <c r="P891" s="87"/>
      <c r="Q891" s="87"/>
    </row>
    <row r="892" spans="1:17" s="78" customFormat="1" ht="38.25">
      <c r="A892" s="188"/>
      <c r="B892" s="80" t="s">
        <v>8022</v>
      </c>
      <c r="C892" s="81" t="s">
        <v>8026</v>
      </c>
      <c r="D892" s="82" t="s">
        <v>84</v>
      </c>
      <c r="E892" s="82" t="s">
        <v>4521</v>
      </c>
      <c r="F892" s="83"/>
      <c r="G892" s="84"/>
      <c r="H892" s="85">
        <f>SUM(H893:H895)</f>
        <v>417.94025258798672</v>
      </c>
      <c r="J892" s="79"/>
      <c r="K892" s="87"/>
      <c r="L892" s="87"/>
      <c r="M892" s="87"/>
      <c r="N892" s="87"/>
      <c r="O892" s="87"/>
      <c r="P892" s="87"/>
      <c r="Q892" s="87"/>
    </row>
    <row r="893" spans="1:17" s="87" customFormat="1" ht="12.75">
      <c r="A893" s="232" t="s">
        <v>4542</v>
      </c>
      <c r="B893" s="464" t="s">
        <v>6602</v>
      </c>
      <c r="C893" s="451" t="str">
        <f>IF(A893="SERVIÇO",VLOOKUP(B893,SERVIÇOS!$A$6:$D$7645,2,0),IF(A893="INSUMO",VLOOKUP(B893,INSUMOS!$A$6:$D$6961,2,0),IF(A893="COTAÇÃO",VLOOKUP(B893,'036-20-Cotação'!$A$9:$G$529,2,0))))</f>
        <v>SERVENTE</v>
      </c>
      <c r="D893" s="452" t="str">
        <f>IF(A893="SERVIÇO",VLOOKUP(B893,SERVIÇOS!$A$6:$E$7645,5,0),IF(A893="INSUMO",VLOOKUP(B893,INSUMOS!$A$6:$E$6961,5,0),IF(A893="COTAÇÃO",VLOOKUP(B893,'036-20-Cotação'!$A$9:$H$529,8,0))))</f>
        <v>M.O</v>
      </c>
      <c r="E893" s="452" t="str">
        <f>IF(A893="SERVIÇO",VLOOKUP(B893,SERVIÇOS!$A$6:$D$7645,3,0),IF(A893="INSUMO",VLOOKUP(B893,INSUMOS!$A$6:$D$6961,3,0),IF(A893="COTAÇÃO",VLOOKUP(B893,'036-20-Cotação'!$A$9:$G$529,4,0))))</f>
        <v>H</v>
      </c>
      <c r="F893" s="462">
        <v>8</v>
      </c>
      <c r="G893" s="453">
        <f>IF(A893="SERVIÇO",VLOOKUP(B893,SERVIÇOS!$A$6:$D$7645,4,0),IF(A893="INSUMO",VLOOKUP(B893,INSUMOS!$A$6:$D$6961,4,0),IF(A893="COTAÇÃO",VLOOKUP(B893,'036-20-Cotação'!$A$9:$G$529,3,0))))</f>
        <v>15.637499999999999</v>
      </c>
      <c r="H893" s="463">
        <f t="shared" ref="H893:H895" si="132">G893*F893</f>
        <v>125.1</v>
      </c>
      <c r="J893" s="201"/>
    </row>
    <row r="894" spans="1:17" s="87" customFormat="1" ht="25.5">
      <c r="A894" s="232" t="s">
        <v>12</v>
      </c>
      <c r="B894" s="464" t="s">
        <v>8023</v>
      </c>
      <c r="C894" s="451" t="str">
        <f>IF(A894="SERVIÇO",VLOOKUP(B894,SERVIÇOS!$A$6:$D$7645,2,0),IF(A894="INSUMO",VLOOKUP(B894,INSUMOS!$A$6:$D$6961,2,0),IF(A894="COTAÇÃO",VLOOKUP(B894,'036-20-Cotação'!$A$9:$G$529,2,0))))</f>
        <v>PLACA DE ANCORAGEM 220X220X45 DYWIDAG</v>
      </c>
      <c r="D894" s="452" t="str">
        <f>IF(A894="SERVIÇO",VLOOKUP(B894,SERVIÇOS!$A$6:$E$7645,5,0),IF(A894="INSUMO",VLOOKUP(B894,INSUMOS!$A$6:$E$6961,5,0),IF(A894="COTAÇÃO",VLOOKUP(B894,'036-20-Cotação'!$A$9:$H$529,8,0))))</f>
        <v>MAT.</v>
      </c>
      <c r="E894" s="452" t="str">
        <f>IF(A894="SERVIÇO",VLOOKUP(B894,SERVIÇOS!$A$6:$D$7645,3,0),IF(A894="INSUMO",VLOOKUP(B894,INSUMOS!$A$6:$D$6961,3,0),IF(A894="COTAÇÃO",VLOOKUP(B894,'036-20-Cotação'!$A$9:$G$529,4,0))))</f>
        <v>UN</v>
      </c>
      <c r="F894" s="462">
        <v>1</v>
      </c>
      <c r="G894" s="453">
        <f>IF(A894="SERVIÇO",VLOOKUP(B894,SERVIÇOS!$A$6:$D$7645,4,0),IF(A894="INSUMO",VLOOKUP(B894,INSUMOS!$A$6:$D$6961,4,0),IF(A894="COTAÇÃO",VLOOKUP(B894,'036-20-Cotação'!$A$9:$G$529,3,0))))</f>
        <v>196.78981304026934</v>
      </c>
      <c r="H894" s="463">
        <f t="shared" si="132"/>
        <v>196.78981304026934</v>
      </c>
      <c r="J894" s="201"/>
    </row>
    <row r="895" spans="1:17" s="87" customFormat="1" ht="25.5">
      <c r="A895" s="232" t="s">
        <v>12</v>
      </c>
      <c r="B895" s="464" t="s">
        <v>8024</v>
      </c>
      <c r="C895" s="451" t="str">
        <f>IF(A895="SERVIÇO",VLOOKUP(B895,SERVIÇOS!$A$6:$D$7645,2,0),IF(A895="INSUMO",VLOOKUP(B895,INSUMOS!$A$6:$D$6961,2,0),IF(A895="COTAÇÃO",VLOOKUP(B895,'036-20-Cotação'!$A$9:$G$529,2,0))))</f>
        <v>PORCAS SEXTAVADAS SISTEMA DYWIDAG</v>
      </c>
      <c r="D895" s="452" t="str">
        <f>IF(A895="SERVIÇO",VLOOKUP(B895,SERVIÇOS!$A$6:$E$7645,5,0),IF(A895="INSUMO",VLOOKUP(B895,INSUMOS!$A$6:$E$6961,5,0),IF(A895="COTAÇÃO",VLOOKUP(B895,'036-20-Cotação'!$A$9:$H$529,8,0))))</f>
        <v>MAT.</v>
      </c>
      <c r="E895" s="452" t="str">
        <f>IF(A895="SERVIÇO",VLOOKUP(B895,SERVIÇOS!$A$6:$D$7645,3,0),IF(A895="INSUMO",VLOOKUP(B895,INSUMOS!$A$6:$D$6961,3,0),IF(A895="COTAÇÃO",VLOOKUP(B895,'036-20-Cotação'!$A$9:$G$529,4,0))))</f>
        <v>UN</v>
      </c>
      <c r="F895" s="462">
        <v>1</v>
      </c>
      <c r="G895" s="453">
        <f>IF(A895="SERVIÇO",VLOOKUP(B895,SERVIÇOS!$A$6:$D$7645,4,0),IF(A895="INSUMO",VLOOKUP(B895,INSUMOS!$A$6:$D$6961,4,0),IF(A895="COTAÇÃO",VLOOKUP(B895,'036-20-Cotação'!$A$9:$G$529,3,0))))</f>
        <v>96.05043954771736</v>
      </c>
      <c r="H895" s="463">
        <f t="shared" si="132"/>
        <v>96.05043954771736</v>
      </c>
      <c r="J895" s="201"/>
    </row>
    <row r="896" spans="1:17" s="87" customFormat="1" ht="12.75">
      <c r="A896" s="188"/>
      <c r="B896" s="348" t="s">
        <v>123</v>
      </c>
      <c r="C896" s="695" t="s">
        <v>8025</v>
      </c>
      <c r="D896" s="696"/>
      <c r="E896" s="696"/>
      <c r="F896" s="696"/>
      <c r="G896" s="696"/>
      <c r="H896" s="697"/>
      <c r="J896" s="201"/>
    </row>
    <row r="897" spans="1:17" s="78" customFormat="1" ht="12.75">
      <c r="A897" s="188"/>
      <c r="B897" s="346"/>
      <c r="C897" s="347"/>
      <c r="D897" s="347"/>
      <c r="E897" s="347"/>
      <c r="F897" s="347"/>
      <c r="G897" s="347"/>
      <c r="H897" s="347"/>
      <c r="J897" s="79"/>
      <c r="K897" s="87"/>
      <c r="L897" s="87"/>
      <c r="M897" s="87"/>
      <c r="N897" s="87"/>
      <c r="O897" s="87"/>
      <c r="P897" s="87"/>
      <c r="Q897" s="87"/>
    </row>
    <row r="898" spans="1:17" s="78" customFormat="1" ht="38.25">
      <c r="A898" s="188"/>
      <c r="B898" s="80" t="s">
        <v>8032</v>
      </c>
      <c r="C898" s="81" t="s">
        <v>8038</v>
      </c>
      <c r="D898" s="82" t="s">
        <v>84</v>
      </c>
      <c r="E898" s="82" t="s">
        <v>172</v>
      </c>
      <c r="F898" s="83"/>
      <c r="G898" s="84"/>
      <c r="H898" s="85">
        <f>SUM(H899:H901)</f>
        <v>1068.9622015178761</v>
      </c>
      <c r="J898" s="79"/>
      <c r="K898" s="87"/>
      <c r="L898" s="87"/>
      <c r="M898" s="87"/>
      <c r="N898" s="87"/>
      <c r="O898" s="87"/>
      <c r="P898" s="87"/>
      <c r="Q898" s="87"/>
    </row>
    <row r="899" spans="1:17" s="87" customFormat="1" ht="25.5">
      <c r="A899" s="232" t="s">
        <v>4542</v>
      </c>
      <c r="B899" s="464">
        <v>88309</v>
      </c>
      <c r="C899" s="451" t="str">
        <f>IF(A899="SERVIÇO",VLOOKUP(B899,SERVIÇOS!$A$6:$D$7645,2,0),IF(A899="INSUMO",VLOOKUP(B899,INSUMOS!$A$6:$D$6961,2,0),IF(A899="COTAÇÃO",VLOOKUP(B899,'036-20-Cotação'!$A$9:$G$529,2,0))))</f>
        <v>PEDREIRO COM ENCARGOS COMPLEMENTARES</v>
      </c>
      <c r="D899" s="452" t="str">
        <f>IF(A899="SERVIÇO",VLOOKUP(B899,SERVIÇOS!$A$6:$E$7645,5,0),IF(A899="INSUMO",VLOOKUP(B899,INSUMOS!$A$6:$E$6961,5,0),IF(A899="COTAÇÃO",VLOOKUP(B899,'036-20-Cotação'!$A$9:$H$529,8,0))))</f>
        <v>M.O</v>
      </c>
      <c r="E899" s="452" t="str">
        <f>IF(A899="SERVIÇO",VLOOKUP(B899,SERVIÇOS!$A$6:$D$7645,3,0),IF(A899="INSUMO",VLOOKUP(B899,INSUMOS!$A$6:$D$6961,3,0),IF(A899="COTAÇÃO",VLOOKUP(B899,'036-20-Cotação'!$A$9:$G$529,4,0))))</f>
        <v>H</v>
      </c>
      <c r="F899" s="462" t="s">
        <v>8035</v>
      </c>
      <c r="G899" s="453" t="str">
        <f>IF(A899="SERVIÇO",VLOOKUP(B899,SERVIÇOS!$A$6:$D$7645,4,0),IF(A899="INSUMO",VLOOKUP(B899,INSUMOS!$A$6:$D$6961,4,0),IF(A899="COTAÇÃO",VLOOKUP(B899,'036-20-Cotação'!$A$9:$G$529,3,0))))</f>
        <v>22,45</v>
      </c>
      <c r="H899" s="463">
        <f t="shared" ref="H899:H901" si="133">G899*F899</f>
        <v>181.84050999999999</v>
      </c>
      <c r="J899" s="201"/>
    </row>
    <row r="900" spans="1:17" s="87" customFormat="1" ht="25.5">
      <c r="A900" s="232" t="s">
        <v>4542</v>
      </c>
      <c r="B900" s="464">
        <v>88316</v>
      </c>
      <c r="C900" s="451" t="str">
        <f>IF(A900="SERVIÇO",VLOOKUP(B900,SERVIÇOS!$A$6:$D$7645,2,0),IF(A900="INSUMO",VLOOKUP(B900,INSUMOS!$A$6:$D$6961,2,0),IF(A900="COTAÇÃO",VLOOKUP(B900,'036-20-Cotação'!$A$9:$G$529,2,0))))</f>
        <v>SERVENTE COM ENCARGOS COMPLEMENTARES</v>
      </c>
      <c r="D900" s="452" t="str">
        <f>IF(A900="SERVIÇO",VLOOKUP(B900,SERVIÇOS!$A$6:$E$7645,5,0),IF(A900="INSUMO",VLOOKUP(B900,INSUMOS!$A$6:$E$6961,5,0),IF(A900="COTAÇÃO",VLOOKUP(B900,'036-20-Cotação'!$A$9:$H$529,8,0))))</f>
        <v>M.O</v>
      </c>
      <c r="E900" s="452" t="str">
        <f>IF(A900="SERVIÇO",VLOOKUP(B900,SERVIÇOS!$A$6:$D$7645,3,0),IF(A900="INSUMO",VLOOKUP(B900,INSUMOS!$A$6:$D$6961,3,0),IF(A900="COTAÇÃO",VLOOKUP(B900,'036-20-Cotação'!$A$9:$G$529,4,0))))</f>
        <v>H</v>
      </c>
      <c r="F900" s="462" t="s">
        <v>8036</v>
      </c>
      <c r="G900" s="453" t="str">
        <f>IF(A900="SERVIÇO",VLOOKUP(B900,SERVIÇOS!$A$6:$D$7645,4,0),IF(A900="INSUMO",VLOOKUP(B900,INSUMOS!$A$6:$D$6961,4,0),IF(A900="COTAÇÃO",VLOOKUP(B900,'036-20-Cotação'!$A$9:$G$529,3,0))))</f>
        <v>16,58</v>
      </c>
      <c r="H900" s="463">
        <f t="shared" si="133"/>
        <v>94.990135999999978</v>
      </c>
      <c r="J900" s="201"/>
    </row>
    <row r="901" spans="1:17" s="87" customFormat="1" ht="51">
      <c r="A901" s="232" t="s">
        <v>4542</v>
      </c>
      <c r="B901" s="464" t="s">
        <v>7357</v>
      </c>
      <c r="C901" s="451" t="str">
        <f>'036-20-CCA''s'!$C$44</f>
        <v>GRAUTE FGK=45 MPA (CIMENTO/ AREIA GROSSA/ BRITA 0/ ADITIVO CRISTALIZANTE E FIBRA DE POLIPROPILENO) - PREPARO MECÂNICO COM BETONEIRA 400 L. AF_02/2015</v>
      </c>
      <c r="D901" s="452" t="str">
        <f>'036-20-CCA''s'!$D$44</f>
        <v xml:space="preserve">SER.CG </v>
      </c>
      <c r="E901" s="452" t="str">
        <f>'036-20-CCA''s'!$E$44</f>
        <v>M3</v>
      </c>
      <c r="F901" s="462" t="s">
        <v>8037</v>
      </c>
      <c r="G901" s="453">
        <f>'036-20-CCA''s'!$H$44</f>
        <v>658.46347092092776</v>
      </c>
      <c r="H901" s="463">
        <f t="shared" si="133"/>
        <v>792.13155551787611</v>
      </c>
      <c r="J901" s="201"/>
    </row>
    <row r="902" spans="1:17" s="87" customFormat="1" ht="12.75">
      <c r="A902" s="188"/>
      <c r="B902" s="348" t="s">
        <v>123</v>
      </c>
      <c r="C902" s="695" t="s">
        <v>8033</v>
      </c>
      <c r="D902" s="696"/>
      <c r="E902" s="696"/>
      <c r="F902" s="696"/>
      <c r="G902" s="696"/>
      <c r="H902" s="697"/>
      <c r="J902" s="201"/>
    </row>
    <row r="903" spans="1:17" s="87" customFormat="1" ht="12.75">
      <c r="A903" s="188"/>
      <c r="B903" s="346"/>
      <c r="C903" s="390"/>
      <c r="D903" s="390"/>
      <c r="E903" s="390"/>
      <c r="F903" s="390"/>
      <c r="G903" s="390"/>
      <c r="H903" s="391"/>
      <c r="J903" s="201"/>
      <c r="K903" s="78"/>
      <c r="L903" s="78"/>
      <c r="M903" s="78"/>
      <c r="N903" s="78"/>
      <c r="O903" s="78"/>
      <c r="P903" s="78"/>
      <c r="Q903" s="78"/>
    </row>
    <row r="904" spans="1:17" s="87" customFormat="1" ht="38.25">
      <c r="A904" s="188"/>
      <c r="B904" s="80" t="s">
        <v>8120</v>
      </c>
      <c r="C904" s="81" t="s">
        <v>8127</v>
      </c>
      <c r="D904" s="82" t="s">
        <v>84</v>
      </c>
      <c r="E904" s="82" t="s">
        <v>4521</v>
      </c>
      <c r="F904" s="83"/>
      <c r="G904" s="84"/>
      <c r="H904" s="85">
        <f>SUM(H905:H905)</f>
        <v>10583.92081194767</v>
      </c>
      <c r="J904" s="201"/>
      <c r="K904" s="78"/>
      <c r="L904" s="78"/>
      <c r="M904" s="78"/>
      <c r="N904" s="78"/>
      <c r="O904" s="78"/>
      <c r="P904" s="78"/>
      <c r="Q904" s="78"/>
    </row>
    <row r="905" spans="1:17" s="87" customFormat="1" ht="38.25">
      <c r="A905" s="232" t="s">
        <v>12</v>
      </c>
      <c r="B905" s="464" t="s">
        <v>8126</v>
      </c>
      <c r="C905" s="451" t="str">
        <f>IF(A905="SERVIÇO",VLOOKUP(B905,SERVIÇOS!$A$6:$D$7645,2,0),IF(A905="INSUMO",VLOOKUP(B905,INSUMOS!$A$6:$D$6961,2,0),IF(A905="COTAÇÃO",VLOOKUP(B905,'036-20-Cotação'!$A$9:$G$529,2,0))))</f>
        <v>APARELHO DE APOIO ESPECIAL (VASOFLON), TIPO ARTICULAÇÃO MÓVEL, MODELO VU-350, COM CAPACIDADE DE 3500 KN</v>
      </c>
      <c r="D905" s="452" t="str">
        <f>IF(A905="SERVIÇO",VLOOKUP(B905,SERVIÇOS!$A$6:$E$7645,5,0),IF(A905="INSUMO",VLOOKUP(B905,INSUMOS!$A$6:$E$6961,5,0),IF(A905="COTAÇÃO",VLOOKUP(B905,'036-20-Cotação'!$A$9:$H$529,8,0))))</f>
        <v>MAT.</v>
      </c>
      <c r="E905" s="452" t="str">
        <f>IF(A905="SERVIÇO",VLOOKUP(B905,SERVIÇOS!$A$6:$D$7645,3,0),IF(A905="INSUMO",VLOOKUP(B905,INSUMOS!$A$6:$D$6961,3,0),IF(A905="COTAÇÃO",VLOOKUP(B905,'036-20-Cotação'!$A$9:$G$529,4,0))))</f>
        <v>UN</v>
      </c>
      <c r="F905" s="462">
        <v>1</v>
      </c>
      <c r="G905" s="453">
        <f>IF(A905="SERVIÇO",VLOOKUP(B905,SERVIÇOS!$A$6:$D$7645,4,0),IF(A905="INSUMO",VLOOKUP(B905,INSUMOS!$A$6:$D$6961,4,0),IF(A905="COTAÇÃO",VLOOKUP(B905,'036-20-Cotação'!$A$9:$G$529,3,0))))</f>
        <v>10583.92081194767</v>
      </c>
      <c r="H905" s="463">
        <f t="shared" ref="H905" si="134">G905*F905</f>
        <v>10583.92081194767</v>
      </c>
      <c r="J905" s="201"/>
    </row>
    <row r="906" spans="1:17" s="87" customFormat="1" ht="12.75">
      <c r="A906" s="188"/>
      <c r="B906" s="348" t="s">
        <v>123</v>
      </c>
      <c r="C906" s="695" t="s">
        <v>8124</v>
      </c>
      <c r="D906" s="696"/>
      <c r="E906" s="696"/>
      <c r="F906" s="696"/>
      <c r="G906" s="696"/>
      <c r="H906" s="697"/>
      <c r="J906" s="201"/>
      <c r="K906" s="78"/>
      <c r="L906" s="78"/>
      <c r="M906" s="78"/>
      <c r="N906" s="78"/>
      <c r="O906" s="78"/>
      <c r="P906" s="78"/>
      <c r="Q906" s="78"/>
    </row>
    <row r="907" spans="1:17" s="87" customFormat="1" ht="12.75">
      <c r="A907" s="188"/>
      <c r="B907" s="346"/>
      <c r="C907" s="390"/>
      <c r="D907" s="390"/>
      <c r="E907" s="390"/>
      <c r="F907" s="390"/>
      <c r="G907" s="390"/>
      <c r="H907" s="391"/>
      <c r="J907" s="201"/>
      <c r="K907" s="78"/>
      <c r="L907" s="78"/>
      <c r="M907" s="78"/>
      <c r="N907" s="78"/>
      <c r="O907" s="78"/>
      <c r="P907" s="78"/>
      <c r="Q907" s="78"/>
    </row>
    <row r="908" spans="1:17" s="87" customFormat="1" ht="38.25">
      <c r="A908" s="188"/>
      <c r="B908" s="80" t="s">
        <v>8122</v>
      </c>
      <c r="C908" s="81" t="s">
        <v>8128</v>
      </c>
      <c r="D908" s="82" t="s">
        <v>84</v>
      </c>
      <c r="E908" s="82" t="s">
        <v>4521</v>
      </c>
      <c r="F908" s="83"/>
      <c r="G908" s="84"/>
      <c r="H908" s="85">
        <f>SUM(H909:H914)</f>
        <v>238.24585504186655</v>
      </c>
      <c r="J908" s="201" t="s">
        <v>8125</v>
      </c>
      <c r="K908" s="78"/>
      <c r="L908" s="78"/>
      <c r="M908" s="78"/>
      <c r="N908" s="78"/>
      <c r="O908" s="78"/>
      <c r="P908" s="78"/>
      <c r="Q908" s="78"/>
    </row>
    <row r="909" spans="1:17" s="87" customFormat="1" ht="25.5">
      <c r="A909" s="232" t="s">
        <v>4542</v>
      </c>
      <c r="B909" s="464" t="s">
        <v>8804</v>
      </c>
      <c r="C909" s="451" t="str">
        <f>IF(A909="SERVIÇO",VLOOKUP(B909,SERVIÇOS!$A$6:$D$7645,2,0),IF(A909="INSUMO",VLOOKUP(B909,INSUMOS!$A$6:$D$6961,2,0),IF(A909="COTAÇÃO",VLOOKUP(B909,'036-20-Cotação'!$A$9:$G$529,2,0))))</f>
        <v>GUINDASTE SOBRE RODAS COM CAPACIDADE DE 370 KN.M - 75 KW</v>
      </c>
      <c r="D909" s="452" t="str">
        <f>IF(A909="SERVIÇO",VLOOKUP(B909,SERVIÇOS!$A$6:$E$7645,5,0),IF(A909="INSUMO",VLOOKUP(B909,INSUMOS!$A$6:$E$6961,5,0),IF(A909="COTAÇÃO",VLOOKUP(B909,'036-20-Cotação'!$A$9:$H$529,8,0))))</f>
        <v>EQUIP.</v>
      </c>
      <c r="E909" s="452" t="str">
        <f>IF(A909="SERVIÇO",VLOOKUP(B909,SERVIÇOS!$A$6:$D$7645,3,0),IF(A909="INSUMO",VLOOKUP(B909,INSUMOS!$A$6:$D$6961,3,0),IF(A909="COTAÇÃO",VLOOKUP(B909,'036-20-Cotação'!$A$9:$G$529,4,0))))</f>
        <v>CHP</v>
      </c>
      <c r="F909" s="462">
        <f>0.4/1.65</f>
        <v>0.24242424242424246</v>
      </c>
      <c r="G909" s="453">
        <f>IF(A909="SERVIÇO",VLOOKUP(B909,SERVIÇOS!$A$6:$D$7645,4,0),IF(A909="INSUMO",VLOOKUP(B909,INSUMOS!$A$6:$D$6961,4,0),IF(A909="COTAÇÃO",VLOOKUP(B909,'036-20-Cotação'!$A$9:$G$529,3,0))))</f>
        <v>148.07040000000001</v>
      </c>
      <c r="H909" s="463">
        <f t="shared" ref="H909:H914" si="135">G909*F909</f>
        <v>35.895854545454554</v>
      </c>
      <c r="J909" s="201"/>
    </row>
    <row r="910" spans="1:17" s="87" customFormat="1" ht="25.5">
      <c r="A910" s="232" t="s">
        <v>4542</v>
      </c>
      <c r="B910" s="464" t="s">
        <v>9644</v>
      </c>
      <c r="C910" s="451" t="str">
        <f>IF(A910="SERVIÇO",VLOOKUP(B910,SERVIÇOS!$A$6:$D$7645,2,0),IF(A910="INSUMO",VLOOKUP(B910,INSUMOS!$A$6:$D$6961,2,0),IF(A910="COTAÇÃO",VLOOKUP(B910,'036-20-Cotação'!$A$9:$G$529,2,0))))</f>
        <v>GUINDASTE SOBRE RODAS COM CAPACIDADE DE 370 KN.M - 75 KW</v>
      </c>
      <c r="D910" s="452" t="str">
        <f>IF(A910="SERVIÇO",VLOOKUP(B910,SERVIÇOS!$A$6:$E$7645,5,0),IF(A910="INSUMO",VLOOKUP(B910,INSUMOS!$A$6:$E$6961,5,0),IF(A910="COTAÇÃO",VLOOKUP(B910,'036-20-Cotação'!$A$9:$H$529,8,0))))</f>
        <v>EQUIP.</v>
      </c>
      <c r="E910" s="452" t="str">
        <f>IF(A910="SERVIÇO",VLOOKUP(B910,SERVIÇOS!$A$6:$D$7645,3,0),IF(A910="INSUMO",VLOOKUP(B910,INSUMOS!$A$6:$D$6961,3,0),IF(A910="COTAÇÃO",VLOOKUP(B910,'036-20-Cotação'!$A$9:$G$529,4,0))))</f>
        <v>CHI</v>
      </c>
      <c r="F910" s="462">
        <f>0.6/1.65</f>
        <v>0.36363636363636365</v>
      </c>
      <c r="G910" s="453">
        <f>IF(A910="SERVIÇO",VLOOKUP(B910,SERVIÇOS!$A$6:$D$7645,4,0),IF(A910="INSUMO",VLOOKUP(B910,INSUMOS!$A$6:$D$6961,4,0),IF(A910="COTAÇÃO",VLOOKUP(B910,'036-20-Cotação'!$A$9:$G$529,3,0))))</f>
        <v>74.887100000000004</v>
      </c>
      <c r="H910" s="463">
        <f t="shared" si="135"/>
        <v>27.231672727272731</v>
      </c>
      <c r="J910" s="201"/>
    </row>
    <row r="911" spans="1:17" s="87" customFormat="1" ht="12.75">
      <c r="A911" s="232" t="s">
        <v>4542</v>
      </c>
      <c r="B911" s="464" t="s">
        <v>6825</v>
      </c>
      <c r="C911" s="451" t="str">
        <f>IF(A911="SERVIÇO",VLOOKUP(B911,SERVIÇOS!$A$6:$D$7645,2,0),IF(A911="INSUMO",VLOOKUP(B911,INSUMOS!$A$6:$D$6961,2,0),IF(A911="COTAÇÃO",VLOOKUP(B911,'036-20-Cotação'!$A$9:$G$529,2,0))))</f>
        <v>AJUDANTE</v>
      </c>
      <c r="D911" s="452" t="str">
        <f>IF(A911="SERVIÇO",VLOOKUP(B911,SERVIÇOS!$A$6:$E$7645,5,0),IF(A911="INSUMO",VLOOKUP(B911,INSUMOS!$A$6:$E$6961,5,0),IF(A911="COTAÇÃO",VLOOKUP(B911,'036-20-Cotação'!$A$9:$H$529,8,0))))</f>
        <v>M.O</v>
      </c>
      <c r="E911" s="452" t="str">
        <f>IF(A911="SERVIÇO",VLOOKUP(B911,SERVIÇOS!$A$6:$D$7645,3,0),IF(A911="INSUMO",VLOOKUP(B911,INSUMOS!$A$6:$D$6961,3,0),IF(A911="COTAÇÃO",VLOOKUP(B911,'036-20-Cotação'!$A$9:$G$529,4,0))))</f>
        <v>H</v>
      </c>
      <c r="F911" s="462">
        <f>4/1.65</f>
        <v>2.4242424242424243</v>
      </c>
      <c r="G911" s="453">
        <f>IF(A911="SERVIÇO",VLOOKUP(B911,SERVIÇOS!$A$6:$D$7645,4,0),IF(A911="INSUMO",VLOOKUP(B911,INSUMOS!$A$6:$D$6961,4,0),IF(A911="COTAÇÃO",VLOOKUP(B911,'036-20-Cotação'!$A$9:$G$529,3,0))))</f>
        <v>17.9801</v>
      </c>
      <c r="H911" s="463">
        <f t="shared" si="135"/>
        <v>43.588121212121216</v>
      </c>
      <c r="J911" s="201"/>
    </row>
    <row r="912" spans="1:17" s="87" customFormat="1" ht="12.75">
      <c r="A912" s="232" t="s">
        <v>4542</v>
      </c>
      <c r="B912" s="464" t="s">
        <v>6601</v>
      </c>
      <c r="C912" s="451" t="str">
        <f>IF(A912="SERVIÇO",VLOOKUP(B912,SERVIÇOS!$A$6:$D$7645,2,0),IF(A912="INSUMO",VLOOKUP(B912,INSUMOS!$A$6:$D$6961,2,0),IF(A912="COTAÇÃO",VLOOKUP(B912,'036-20-Cotação'!$A$9:$G$529,2,0))))</f>
        <v>MONTADOR</v>
      </c>
      <c r="D912" s="452" t="str">
        <f>IF(A912="SERVIÇO",VLOOKUP(B912,SERVIÇOS!$A$6:$E$7645,5,0),IF(A912="INSUMO",VLOOKUP(B912,INSUMOS!$A$6:$E$6961,5,0),IF(A912="COTAÇÃO",VLOOKUP(B912,'036-20-Cotação'!$A$9:$H$529,8,0))))</f>
        <v>M.O</v>
      </c>
      <c r="E912" s="452" t="str">
        <f>IF(A912="SERVIÇO",VLOOKUP(B912,SERVIÇOS!$A$6:$D$7645,3,0),IF(A912="INSUMO",VLOOKUP(B912,INSUMOS!$A$6:$D$6961,3,0),IF(A912="COTAÇÃO",VLOOKUP(B912,'036-20-Cotação'!$A$9:$G$529,4,0))))</f>
        <v>H</v>
      </c>
      <c r="F912" s="462">
        <f>1/1.65</f>
        <v>0.60606060606060608</v>
      </c>
      <c r="G912" s="453">
        <f>IF(A912="SERVIÇO",VLOOKUP(B912,SERVIÇOS!$A$6:$D$7645,4,0),IF(A912="INSUMO",VLOOKUP(B912,INSUMOS!$A$6:$D$6961,4,0),IF(A912="COTAÇÃO",VLOOKUP(B912,'036-20-Cotação'!$A$9:$G$529,3,0))))</f>
        <v>23.4679</v>
      </c>
      <c r="H912" s="463">
        <f t="shared" si="135"/>
        <v>14.222969696969697</v>
      </c>
      <c r="J912" s="201"/>
    </row>
    <row r="913" spans="1:17" s="87" customFormat="1" ht="25.5">
      <c r="A913" s="232" t="s">
        <v>4542</v>
      </c>
      <c r="B913" s="464">
        <v>1108059</v>
      </c>
      <c r="C913" s="451" t="str">
        <f>'036-20-CCA''s'!$C$184</f>
        <v>MICROCONCRETO PARA REPAROS E GROUTEAMENTO</v>
      </c>
      <c r="D913" s="452" t="str">
        <f>'036-20-CCA''s'!$D$184</f>
        <v>SER.CG</v>
      </c>
      <c r="E913" s="452" t="str">
        <f>'036-20-CCA''s'!$E$184</f>
        <v>M3</v>
      </c>
      <c r="F913" s="462">
        <v>4.0410000000000001E-2</v>
      </c>
      <c r="G913" s="453">
        <f>'036-20-CCA''s'!$H$184</f>
        <v>2842.8563490406277</v>
      </c>
      <c r="H913" s="463">
        <f t="shared" si="135"/>
        <v>114.87982506473178</v>
      </c>
      <c r="J913" s="201"/>
    </row>
    <row r="914" spans="1:17" s="87" customFormat="1" ht="25.5">
      <c r="A914" s="232" t="s">
        <v>4542</v>
      </c>
      <c r="B914" s="464" t="s">
        <v>13235</v>
      </c>
      <c r="C914" s="451" t="str">
        <f>'036-20-CCA''s'!$C$313</f>
        <v xml:space="preserve">TEMPO FIXO - CAMINHÃO GUINDAUDO 20 T - CARGA MONOBRA E DESCARGA </v>
      </c>
      <c r="D914" s="452" t="str">
        <f>'036-20-CCA''s'!$D$313</f>
        <v>SER.CG</v>
      </c>
      <c r="E914" s="452" t="str">
        <f>'036-20-CCA''s'!$E$313</f>
        <v>T</v>
      </c>
      <c r="F914" s="462">
        <v>0.25900000000000001</v>
      </c>
      <c r="G914" s="453">
        <f>'036-20-CCA''s'!$H$313</f>
        <v>9.3722463139635721</v>
      </c>
      <c r="H914" s="463">
        <f t="shared" si="135"/>
        <v>2.4274117953165653</v>
      </c>
      <c r="J914" s="201"/>
    </row>
    <row r="915" spans="1:17" s="87" customFormat="1" ht="12.75">
      <c r="A915" s="188"/>
      <c r="B915" s="348" t="s">
        <v>123</v>
      </c>
      <c r="C915" s="695" t="s">
        <v>8124</v>
      </c>
      <c r="D915" s="696"/>
      <c r="E915" s="696"/>
      <c r="F915" s="696"/>
      <c r="G915" s="696"/>
      <c r="H915" s="697"/>
      <c r="J915" s="201"/>
      <c r="K915" s="78"/>
      <c r="L915" s="78"/>
      <c r="M915" s="78"/>
      <c r="N915" s="78"/>
      <c r="O915" s="78"/>
      <c r="P915" s="78"/>
      <c r="Q915" s="78"/>
    </row>
    <row r="916" spans="1:17" s="87" customFormat="1" ht="12.75">
      <c r="A916" s="188"/>
      <c r="B916" s="346"/>
      <c r="C916" s="390"/>
      <c r="D916" s="390"/>
      <c r="E916" s="390"/>
      <c r="F916" s="390"/>
      <c r="G916" s="390"/>
      <c r="H916" s="391"/>
      <c r="J916" s="201"/>
      <c r="K916" s="78"/>
      <c r="L916" s="78"/>
      <c r="M916" s="78"/>
      <c r="N916" s="78"/>
      <c r="O916" s="78"/>
      <c r="P916" s="78"/>
      <c r="Q916" s="78"/>
    </row>
    <row r="917" spans="1:17" s="87" customFormat="1" ht="38.25">
      <c r="A917" s="188"/>
      <c r="B917" s="80" t="s">
        <v>8119</v>
      </c>
      <c r="C917" s="81" t="s">
        <v>8131</v>
      </c>
      <c r="D917" s="82" t="s">
        <v>84</v>
      </c>
      <c r="E917" s="82" t="s">
        <v>4521</v>
      </c>
      <c r="F917" s="83"/>
      <c r="G917" s="84"/>
      <c r="H917" s="85">
        <f>SUM(H918:H918)</f>
        <v>7289.7186740246198</v>
      </c>
      <c r="J917" s="201"/>
      <c r="K917" s="78"/>
      <c r="L917" s="78"/>
      <c r="M917" s="78"/>
      <c r="N917" s="78"/>
      <c r="O917" s="78"/>
      <c r="P917" s="78"/>
      <c r="Q917" s="78"/>
    </row>
    <row r="918" spans="1:17" s="87" customFormat="1" ht="38.25">
      <c r="A918" s="232" t="s">
        <v>12</v>
      </c>
      <c r="B918" s="464" t="s">
        <v>8134</v>
      </c>
      <c r="C918" s="451" t="str">
        <f>IF(A918="SERVIÇO",VLOOKUP(B918,SERVIÇOS!$A$6:$D$7645,2,0),IF(A918="INSUMO",VLOOKUP(B918,INSUMOS!$A$6:$D$6961,2,0),IF(A918="COTAÇÃO",VLOOKUP(B918,'036-20-Cotação'!$A$9:$G$529,2,0))))</f>
        <v>APARELHO DE APOIO ESPECIAL (VASOFLON), TIPO ARTICULAÇÃO FIXA, MODELO VF-350, COM CAPACIDADE DE 3500 KN.</v>
      </c>
      <c r="D918" s="452" t="str">
        <f>IF(A918="SERVIÇO",VLOOKUP(B918,SERVIÇOS!$A$6:$E$7645,5,0),IF(A918="INSUMO",VLOOKUP(B918,INSUMOS!$A$6:$E$6961,5,0),IF(A918="COTAÇÃO",VLOOKUP(B918,'036-20-Cotação'!$A$9:$H$529,8,0))))</f>
        <v>MAT.</v>
      </c>
      <c r="E918" s="452" t="str">
        <f>IF(A918="SERVIÇO",VLOOKUP(B918,SERVIÇOS!$A$6:$D$7645,3,0),IF(A918="INSUMO",VLOOKUP(B918,INSUMOS!$A$6:$D$6961,3,0),IF(A918="COTAÇÃO",VLOOKUP(B918,'036-20-Cotação'!$A$9:$G$529,4,0))))</f>
        <v>UN</v>
      </c>
      <c r="F918" s="462">
        <v>1</v>
      </c>
      <c r="G918" s="453">
        <f>IF(A918="SERVIÇO",VLOOKUP(B918,SERVIÇOS!$A$6:$D$7645,4,0),IF(A918="INSUMO",VLOOKUP(B918,INSUMOS!$A$6:$D$6961,4,0),IF(A918="COTAÇÃO",VLOOKUP(B918,'036-20-Cotação'!$A$9:$G$529,3,0))))</f>
        <v>7289.7186740246198</v>
      </c>
      <c r="H918" s="463">
        <f t="shared" ref="H918" si="136">G918*F918</f>
        <v>7289.7186740246198</v>
      </c>
      <c r="J918" s="201"/>
    </row>
    <row r="919" spans="1:17" s="87" customFormat="1" ht="12.75">
      <c r="A919" s="188"/>
      <c r="B919" s="348" t="s">
        <v>123</v>
      </c>
      <c r="C919" s="695" t="s">
        <v>8133</v>
      </c>
      <c r="D919" s="696"/>
      <c r="E919" s="696"/>
      <c r="F919" s="696"/>
      <c r="G919" s="696"/>
      <c r="H919" s="697"/>
      <c r="J919" s="201"/>
      <c r="K919" s="78"/>
      <c r="L919" s="78"/>
      <c r="M919" s="78"/>
      <c r="N919" s="78"/>
      <c r="O919" s="78"/>
      <c r="P919" s="78"/>
      <c r="Q919" s="78"/>
    </row>
    <row r="920" spans="1:17" s="87" customFormat="1" ht="12.75">
      <c r="A920" s="188"/>
      <c r="B920" s="346"/>
      <c r="C920" s="390"/>
      <c r="D920" s="390"/>
      <c r="E920" s="390"/>
      <c r="F920" s="390"/>
      <c r="G920" s="390"/>
      <c r="H920" s="391"/>
      <c r="J920" s="201"/>
      <c r="K920" s="78"/>
      <c r="L920" s="78"/>
      <c r="M920" s="78"/>
      <c r="N920" s="78"/>
      <c r="O920" s="78"/>
      <c r="P920" s="78"/>
      <c r="Q920" s="78"/>
    </row>
    <row r="921" spans="1:17" s="87" customFormat="1" ht="38.25">
      <c r="A921" s="188"/>
      <c r="B921" s="80" t="s">
        <v>8130</v>
      </c>
      <c r="C921" s="81" t="s">
        <v>8132</v>
      </c>
      <c r="D921" s="82" t="s">
        <v>84</v>
      </c>
      <c r="E921" s="82" t="s">
        <v>4521</v>
      </c>
      <c r="F921" s="83"/>
      <c r="G921" s="84"/>
      <c r="H921" s="85">
        <f>SUM(H922:H927)</f>
        <v>231.45579391133865</v>
      </c>
      <c r="J921" s="201" t="s">
        <v>8125</v>
      </c>
      <c r="K921" s="78"/>
      <c r="L921" s="78"/>
      <c r="M921" s="78"/>
      <c r="N921" s="78"/>
      <c r="O921" s="78"/>
      <c r="P921" s="78"/>
      <c r="Q921" s="78"/>
    </row>
    <row r="922" spans="1:17" s="87" customFormat="1" ht="25.5">
      <c r="A922" s="232" t="s">
        <v>4542</v>
      </c>
      <c r="B922" s="464" t="s">
        <v>8804</v>
      </c>
      <c r="C922" s="451" t="str">
        <f>IF(A922="SERVIÇO",VLOOKUP(B922,SERVIÇOS!$A$6:$D$7645,2,0),IF(A922="INSUMO",VLOOKUP(B922,INSUMOS!$A$6:$D$6961,2,0),IF(A922="COTAÇÃO",VLOOKUP(B922,'036-20-Cotação'!$A$9:$G$529,2,0))))</f>
        <v>GUINDASTE SOBRE RODAS COM CAPACIDADE DE 370 KN.M - 75 KW</v>
      </c>
      <c r="D922" s="452" t="str">
        <f>IF(A922="SERVIÇO",VLOOKUP(B922,SERVIÇOS!$A$6:$E$7645,5,0),IF(A922="INSUMO",VLOOKUP(B922,INSUMOS!$A$6:$E$6961,5,0),IF(A922="COTAÇÃO",VLOOKUP(B922,'036-20-Cotação'!$A$9:$H$529,8,0))))</f>
        <v>EQUIP.</v>
      </c>
      <c r="E922" s="452" t="str">
        <f>IF(A922="SERVIÇO",VLOOKUP(B922,SERVIÇOS!$A$6:$D$7645,3,0),IF(A922="INSUMO",VLOOKUP(B922,INSUMOS!$A$6:$D$6961,3,0),IF(A922="COTAÇÃO",VLOOKUP(B922,'036-20-Cotação'!$A$9:$G$529,4,0))))</f>
        <v>CHP</v>
      </c>
      <c r="F922" s="462">
        <f>0.4/1.65</f>
        <v>0.24242424242424246</v>
      </c>
      <c r="G922" s="453">
        <f>IF(A922="SERVIÇO",VLOOKUP(B922,SERVIÇOS!$A$6:$D$7645,4,0),IF(A922="INSUMO",VLOOKUP(B922,INSUMOS!$A$6:$D$6961,4,0),IF(A922="COTAÇÃO",VLOOKUP(B922,'036-20-Cotação'!$A$9:$G$529,3,0))))</f>
        <v>148.07040000000001</v>
      </c>
      <c r="H922" s="463">
        <f t="shared" ref="H922:H927" si="137">G922*F922</f>
        <v>35.895854545454554</v>
      </c>
      <c r="J922" s="201"/>
    </row>
    <row r="923" spans="1:17" s="87" customFormat="1" ht="25.5">
      <c r="A923" s="232" t="s">
        <v>4542</v>
      </c>
      <c r="B923" s="464" t="s">
        <v>9644</v>
      </c>
      <c r="C923" s="451" t="str">
        <f>IF(A923="SERVIÇO",VLOOKUP(B923,SERVIÇOS!$A$6:$D$7645,2,0),IF(A923="INSUMO",VLOOKUP(B923,INSUMOS!$A$6:$D$6961,2,0),IF(A923="COTAÇÃO",VLOOKUP(B923,'036-20-Cotação'!$A$9:$G$529,2,0))))</f>
        <v>GUINDASTE SOBRE RODAS COM CAPACIDADE DE 370 KN.M - 75 KW</v>
      </c>
      <c r="D923" s="452" t="str">
        <f>IF(A923="SERVIÇO",VLOOKUP(B923,SERVIÇOS!$A$6:$E$7645,5,0),IF(A923="INSUMO",VLOOKUP(B923,INSUMOS!$A$6:$E$6961,5,0),IF(A923="COTAÇÃO",VLOOKUP(B923,'036-20-Cotação'!$A$9:$H$529,8,0))))</f>
        <v>EQUIP.</v>
      </c>
      <c r="E923" s="452" t="str">
        <f>IF(A923="SERVIÇO",VLOOKUP(B923,SERVIÇOS!$A$6:$D$7645,3,0),IF(A923="INSUMO",VLOOKUP(B923,INSUMOS!$A$6:$D$6961,3,0),IF(A923="COTAÇÃO",VLOOKUP(B923,'036-20-Cotação'!$A$9:$G$529,4,0))))</f>
        <v>CHI</v>
      </c>
      <c r="F923" s="462">
        <f>0.6/1.65</f>
        <v>0.36363636363636365</v>
      </c>
      <c r="G923" s="453">
        <f>IF(A923="SERVIÇO",VLOOKUP(B923,SERVIÇOS!$A$6:$D$7645,4,0),IF(A923="INSUMO",VLOOKUP(B923,INSUMOS!$A$6:$D$6961,4,0),IF(A923="COTAÇÃO",VLOOKUP(B923,'036-20-Cotação'!$A$9:$G$529,3,0))))</f>
        <v>74.887100000000004</v>
      </c>
      <c r="H923" s="463">
        <f t="shared" si="137"/>
        <v>27.231672727272731</v>
      </c>
      <c r="J923" s="201"/>
    </row>
    <row r="924" spans="1:17" s="87" customFormat="1" ht="12.75">
      <c r="A924" s="232" t="s">
        <v>4542</v>
      </c>
      <c r="B924" s="464" t="s">
        <v>6825</v>
      </c>
      <c r="C924" s="451" t="str">
        <f>IF(A924="SERVIÇO",VLOOKUP(B924,SERVIÇOS!$A$6:$D$7645,2,0),IF(A924="INSUMO",VLOOKUP(B924,INSUMOS!$A$6:$D$6961,2,0),IF(A924="COTAÇÃO",VLOOKUP(B924,'036-20-Cotação'!$A$9:$G$529,2,0))))</f>
        <v>AJUDANTE</v>
      </c>
      <c r="D924" s="452" t="str">
        <f>IF(A924="SERVIÇO",VLOOKUP(B924,SERVIÇOS!$A$6:$E$7645,5,0),IF(A924="INSUMO",VLOOKUP(B924,INSUMOS!$A$6:$E$6961,5,0),IF(A924="COTAÇÃO",VLOOKUP(B924,'036-20-Cotação'!$A$9:$H$529,8,0))))</f>
        <v>M.O</v>
      </c>
      <c r="E924" s="452" t="str">
        <f>IF(A924="SERVIÇO",VLOOKUP(B924,SERVIÇOS!$A$6:$D$7645,3,0),IF(A924="INSUMO",VLOOKUP(B924,INSUMOS!$A$6:$D$6961,3,0),IF(A924="COTAÇÃO",VLOOKUP(B924,'036-20-Cotação'!$A$9:$G$529,4,0))))</f>
        <v>H</v>
      </c>
      <c r="F924" s="462">
        <f>4/1.65</f>
        <v>2.4242424242424243</v>
      </c>
      <c r="G924" s="453">
        <f>IF(A924="SERVIÇO",VLOOKUP(B924,SERVIÇOS!$A$6:$D$7645,4,0),IF(A924="INSUMO",VLOOKUP(B924,INSUMOS!$A$6:$D$6961,4,0),IF(A924="COTAÇÃO",VLOOKUP(B924,'036-20-Cotação'!$A$9:$G$529,3,0))))</f>
        <v>17.9801</v>
      </c>
      <c r="H924" s="463">
        <f t="shared" si="137"/>
        <v>43.588121212121216</v>
      </c>
      <c r="J924" s="201"/>
    </row>
    <row r="925" spans="1:17" s="87" customFormat="1" ht="12.75">
      <c r="A925" s="232" t="s">
        <v>4542</v>
      </c>
      <c r="B925" s="464" t="s">
        <v>6601</v>
      </c>
      <c r="C925" s="451" t="str">
        <f>IF(A925="SERVIÇO",VLOOKUP(B925,SERVIÇOS!$A$6:$D$7645,2,0),IF(A925="INSUMO",VLOOKUP(B925,INSUMOS!$A$6:$D$6961,2,0),IF(A925="COTAÇÃO",VLOOKUP(B925,'036-20-Cotação'!$A$9:$G$529,2,0))))</f>
        <v>MONTADOR</v>
      </c>
      <c r="D925" s="452" t="str">
        <f>IF(A925="SERVIÇO",VLOOKUP(B925,SERVIÇOS!$A$6:$E$7645,5,0),IF(A925="INSUMO",VLOOKUP(B925,INSUMOS!$A$6:$E$6961,5,0),IF(A925="COTAÇÃO",VLOOKUP(B925,'036-20-Cotação'!$A$9:$H$529,8,0))))</f>
        <v>M.O</v>
      </c>
      <c r="E925" s="452" t="str">
        <f>IF(A925="SERVIÇO",VLOOKUP(B925,SERVIÇOS!$A$6:$D$7645,3,0),IF(A925="INSUMO",VLOOKUP(B925,INSUMOS!$A$6:$D$6961,3,0),IF(A925="COTAÇÃO",VLOOKUP(B925,'036-20-Cotação'!$A$9:$G$529,4,0))))</f>
        <v>H</v>
      </c>
      <c r="F925" s="462">
        <f>1/1.65</f>
        <v>0.60606060606060608</v>
      </c>
      <c r="G925" s="453">
        <f>IF(A925="SERVIÇO",VLOOKUP(B925,SERVIÇOS!$A$6:$D$7645,4,0),IF(A925="INSUMO",VLOOKUP(B925,INSUMOS!$A$6:$D$6961,4,0),IF(A925="COTAÇÃO",VLOOKUP(B925,'036-20-Cotação'!$A$9:$G$529,3,0))))</f>
        <v>23.4679</v>
      </c>
      <c r="H925" s="463">
        <f t="shared" si="137"/>
        <v>14.222969696969697</v>
      </c>
      <c r="J925" s="201"/>
    </row>
    <row r="926" spans="1:17" s="87" customFormat="1" ht="25.5">
      <c r="A926" s="232" t="s">
        <v>4542</v>
      </c>
      <c r="B926" s="464">
        <v>1108059</v>
      </c>
      <c r="C926" s="451" t="str">
        <f>'036-20-CCA''s'!$C$184</f>
        <v>MICROCONCRETO PARA REPAROS E GROUTEAMENTO</v>
      </c>
      <c r="D926" s="452" t="str">
        <f>'036-20-CCA''s'!$D$184</f>
        <v>SER.CG</v>
      </c>
      <c r="E926" s="452" t="str">
        <f>'036-20-CCA''s'!$E$184</f>
        <v>M3</v>
      </c>
      <c r="F926" s="462">
        <v>3.8159999999999999E-2</v>
      </c>
      <c r="G926" s="453">
        <f>'036-20-CCA''s'!$H$184</f>
        <v>2842.8563490406277</v>
      </c>
      <c r="H926" s="463">
        <f t="shared" si="137"/>
        <v>108.48339827939036</v>
      </c>
      <c r="J926" s="201"/>
    </row>
    <row r="927" spans="1:17" s="87" customFormat="1" ht="25.5">
      <c r="A927" s="232" t="s">
        <v>4542</v>
      </c>
      <c r="B927" s="464" t="s">
        <v>13235</v>
      </c>
      <c r="C927" s="451" t="str">
        <f>'036-20-CCA''s'!$C$313</f>
        <v xml:space="preserve">TEMPO FIXO - CAMINHÃO GUINDAUDO 20 T - CARGA MONOBRA E DESCARGA </v>
      </c>
      <c r="D927" s="452" t="str">
        <f>'036-20-CCA''s'!$D$313</f>
        <v>SER.CG</v>
      </c>
      <c r="E927" s="452" t="str">
        <f>'036-20-CCA''s'!$E$313</f>
        <v>T</v>
      </c>
      <c r="F927" s="462">
        <v>0.217</v>
      </c>
      <c r="G927" s="453">
        <f>'036-20-CCA''s'!$H$313</f>
        <v>9.3722463139635721</v>
      </c>
      <c r="H927" s="463">
        <f t="shared" si="137"/>
        <v>2.0337774501300951</v>
      </c>
      <c r="J927" s="201"/>
    </row>
    <row r="928" spans="1:17" s="87" customFormat="1" ht="12.75">
      <c r="A928" s="188"/>
      <c r="B928" s="348" t="s">
        <v>123</v>
      </c>
      <c r="C928" s="695" t="s">
        <v>8133</v>
      </c>
      <c r="D928" s="696"/>
      <c r="E928" s="696"/>
      <c r="F928" s="696"/>
      <c r="G928" s="696"/>
      <c r="H928" s="697"/>
      <c r="J928" s="201"/>
      <c r="K928" s="78"/>
      <c r="L928" s="78"/>
      <c r="M928" s="78"/>
      <c r="N928" s="78"/>
      <c r="O928" s="78"/>
      <c r="P928" s="78"/>
      <c r="Q928" s="78"/>
    </row>
    <row r="929" spans="1:17" s="87" customFormat="1" ht="12.75">
      <c r="A929" s="188"/>
      <c r="B929" s="346"/>
      <c r="C929" s="390"/>
      <c r="D929" s="390"/>
      <c r="E929" s="390"/>
      <c r="F929" s="390"/>
      <c r="G929" s="390"/>
      <c r="H929" s="391"/>
      <c r="J929" s="201"/>
      <c r="K929" s="78"/>
      <c r="L929" s="78"/>
      <c r="M929" s="78"/>
      <c r="N929" s="78"/>
      <c r="O929" s="78"/>
      <c r="P929" s="78"/>
      <c r="Q929" s="78"/>
    </row>
    <row r="930" spans="1:17" s="87" customFormat="1" ht="51">
      <c r="A930" s="188"/>
      <c r="B930" s="80" t="s">
        <v>8152</v>
      </c>
      <c r="C930" s="81" t="s">
        <v>8154</v>
      </c>
      <c r="D930" s="82" t="s">
        <v>84</v>
      </c>
      <c r="E930" s="82" t="s">
        <v>4521</v>
      </c>
      <c r="F930" s="83"/>
      <c r="G930" s="84"/>
      <c r="H930" s="85">
        <f>SUM(H931:H931)</f>
        <v>8949.1668274611184</v>
      </c>
      <c r="J930" s="201"/>
      <c r="K930" s="78"/>
      <c r="L930" s="78"/>
      <c r="M930" s="78"/>
      <c r="N930" s="78"/>
      <c r="O930" s="78"/>
      <c r="P930" s="78"/>
      <c r="Q930" s="78"/>
    </row>
    <row r="931" spans="1:17" s="87" customFormat="1" ht="38.25">
      <c r="A931" s="232" t="s">
        <v>12</v>
      </c>
      <c r="B931" s="464" t="s">
        <v>8153</v>
      </c>
      <c r="C931" s="451" t="str">
        <f>IF(A931="SERVIÇO",VLOOKUP(B931,SERVIÇOS!$A$6:$D$7645,2,0),IF(A931="INSUMO",VLOOKUP(B931,INSUMOS!$A$6:$D$6961,2,0),IF(A931="COTAÇÃO",VLOOKUP(B931,'036-20-Cotação'!$A$9:$G$529,2,0))))</f>
        <v>APARELHO DE APOIO ESPECIAL (VASOFLON), TIPO ARTICULAÇÃO MULTIRECIONAL, MODELO VM-350, COM CAPACIDADE DE 3500 KN</v>
      </c>
      <c r="D931" s="452" t="str">
        <f>IF(A931="SERVIÇO",VLOOKUP(B931,SERVIÇOS!$A$6:$E$7645,5,0),IF(A931="INSUMO",VLOOKUP(B931,INSUMOS!$A$6:$E$6961,5,0),IF(A931="COTAÇÃO",VLOOKUP(B931,'036-20-Cotação'!$A$9:$H$529,8,0))))</f>
        <v>MAT.</v>
      </c>
      <c r="E931" s="452" t="str">
        <f>IF(A931="SERVIÇO",VLOOKUP(B931,SERVIÇOS!$A$6:$D$7645,3,0),IF(A931="INSUMO",VLOOKUP(B931,INSUMOS!$A$6:$D$6961,3,0),IF(A931="COTAÇÃO",VLOOKUP(B931,'036-20-Cotação'!$A$9:$G$529,4,0))))</f>
        <v>UN</v>
      </c>
      <c r="F931" s="462">
        <v>1</v>
      </c>
      <c r="G931" s="453">
        <f>IF(A931="SERVIÇO",VLOOKUP(B931,SERVIÇOS!$A$6:$D$7645,4,0),IF(A931="INSUMO",VLOOKUP(B931,INSUMOS!$A$6:$D$6961,4,0),IF(A931="COTAÇÃO",VLOOKUP(B931,'036-20-Cotação'!$A$9:$G$529,3,0))))</f>
        <v>8949.1668274611184</v>
      </c>
      <c r="H931" s="463">
        <f t="shared" ref="H931" si="138">G931*F931</f>
        <v>8949.1668274611184</v>
      </c>
      <c r="J931" s="201"/>
    </row>
    <row r="932" spans="1:17" s="87" customFormat="1" ht="12.75">
      <c r="A932" s="188"/>
      <c r="B932" s="348" t="s">
        <v>123</v>
      </c>
      <c r="C932" s="695" t="s">
        <v>8158</v>
      </c>
      <c r="D932" s="696"/>
      <c r="E932" s="696"/>
      <c r="F932" s="696"/>
      <c r="G932" s="696"/>
      <c r="H932" s="697"/>
      <c r="J932" s="201"/>
      <c r="K932" s="78"/>
      <c r="L932" s="78"/>
      <c r="M932" s="78"/>
      <c r="N932" s="78"/>
      <c r="O932" s="78"/>
      <c r="P932" s="78"/>
      <c r="Q932" s="78"/>
    </row>
    <row r="933" spans="1:17" s="87" customFormat="1" ht="12.75">
      <c r="A933" s="188"/>
      <c r="B933" s="346"/>
      <c r="C933" s="390"/>
      <c r="D933" s="390"/>
      <c r="E933" s="390"/>
      <c r="F933" s="390"/>
      <c r="G933" s="390"/>
      <c r="H933" s="391"/>
      <c r="J933" s="201"/>
      <c r="K933" s="78"/>
      <c r="L933" s="78"/>
      <c r="M933" s="78"/>
      <c r="N933" s="78"/>
      <c r="O933" s="78"/>
      <c r="P933" s="78"/>
      <c r="Q933" s="78"/>
    </row>
    <row r="934" spans="1:17" s="87" customFormat="1" ht="51">
      <c r="A934" s="188"/>
      <c r="B934" s="80" t="s">
        <v>8156</v>
      </c>
      <c r="C934" s="81" t="s">
        <v>8157</v>
      </c>
      <c r="D934" s="82" t="s">
        <v>84</v>
      </c>
      <c r="E934" s="82" t="s">
        <v>4521</v>
      </c>
      <c r="F934" s="83"/>
      <c r="G934" s="84"/>
      <c r="H934" s="85">
        <f>SUM(H935:H940)</f>
        <v>230.36675990148626</v>
      </c>
      <c r="J934" s="201" t="s">
        <v>8125</v>
      </c>
      <c r="K934" s="78"/>
      <c r="L934" s="78"/>
      <c r="M934" s="78"/>
      <c r="N934" s="78"/>
      <c r="O934" s="78"/>
      <c r="P934" s="78"/>
      <c r="Q934" s="78"/>
    </row>
    <row r="935" spans="1:17" s="87" customFormat="1" ht="25.5">
      <c r="A935" s="232" t="s">
        <v>4542</v>
      </c>
      <c r="B935" s="464" t="s">
        <v>8804</v>
      </c>
      <c r="C935" s="451" t="str">
        <f>IF(A935="SERVIÇO",VLOOKUP(B935,SERVIÇOS!$A$6:$D$7645,2,0),IF(A935="INSUMO",VLOOKUP(B935,INSUMOS!$A$6:$D$6961,2,0),IF(A935="COTAÇÃO",VLOOKUP(B935,'036-20-Cotação'!$A$9:$G$529,2,0))))</f>
        <v>GUINDASTE SOBRE RODAS COM CAPACIDADE DE 370 KN.M - 75 KW</v>
      </c>
      <c r="D935" s="452" t="str">
        <f>IF(A935="SERVIÇO",VLOOKUP(B935,SERVIÇOS!$A$6:$E$7645,5,0),IF(A935="INSUMO",VLOOKUP(B935,INSUMOS!$A$6:$E$6961,5,0),IF(A935="COTAÇÃO",VLOOKUP(B935,'036-20-Cotação'!$A$9:$H$529,8,0))))</f>
        <v>EQUIP.</v>
      </c>
      <c r="E935" s="452" t="str">
        <f>IF(A935="SERVIÇO",VLOOKUP(B935,SERVIÇOS!$A$6:$D$7645,3,0),IF(A935="INSUMO",VLOOKUP(B935,INSUMOS!$A$6:$D$6961,3,0),IF(A935="COTAÇÃO",VLOOKUP(B935,'036-20-Cotação'!$A$9:$G$529,4,0))))</f>
        <v>CHP</v>
      </c>
      <c r="F935" s="462">
        <f>0.4/1.65</f>
        <v>0.24242424242424246</v>
      </c>
      <c r="G935" s="453">
        <f>IF(A935="SERVIÇO",VLOOKUP(B935,SERVIÇOS!$A$6:$D$7645,4,0),IF(A935="INSUMO",VLOOKUP(B935,INSUMOS!$A$6:$D$6961,4,0),IF(A935="COTAÇÃO",VLOOKUP(B935,'036-20-Cotação'!$A$9:$G$529,3,0))))</f>
        <v>148.07040000000001</v>
      </c>
      <c r="H935" s="463">
        <f t="shared" ref="H935:H940" si="139">G935*F935</f>
        <v>35.895854545454554</v>
      </c>
      <c r="J935" s="201"/>
    </row>
    <row r="936" spans="1:17" s="87" customFormat="1" ht="25.5">
      <c r="A936" s="232" t="s">
        <v>4542</v>
      </c>
      <c r="B936" s="464" t="s">
        <v>9644</v>
      </c>
      <c r="C936" s="451" t="str">
        <f>IF(A936="SERVIÇO",VLOOKUP(B936,SERVIÇOS!$A$6:$D$7645,2,0),IF(A936="INSUMO",VLOOKUP(B936,INSUMOS!$A$6:$D$6961,2,0),IF(A936="COTAÇÃO",VLOOKUP(B936,'036-20-Cotação'!$A$9:$G$529,2,0))))</f>
        <v>GUINDASTE SOBRE RODAS COM CAPACIDADE DE 370 KN.M - 75 KW</v>
      </c>
      <c r="D936" s="452" t="str">
        <f>IF(A936="SERVIÇO",VLOOKUP(B936,SERVIÇOS!$A$6:$E$7645,5,0),IF(A936="INSUMO",VLOOKUP(B936,INSUMOS!$A$6:$E$6961,5,0),IF(A936="COTAÇÃO",VLOOKUP(B936,'036-20-Cotação'!$A$9:$H$529,8,0))))</f>
        <v>EQUIP.</v>
      </c>
      <c r="E936" s="452" t="str">
        <f>IF(A936="SERVIÇO",VLOOKUP(B936,SERVIÇOS!$A$6:$D$7645,3,0),IF(A936="INSUMO",VLOOKUP(B936,INSUMOS!$A$6:$D$6961,3,0),IF(A936="COTAÇÃO",VLOOKUP(B936,'036-20-Cotação'!$A$9:$G$529,4,0))))</f>
        <v>CHI</v>
      </c>
      <c r="F936" s="462">
        <f>0.6/1.65</f>
        <v>0.36363636363636365</v>
      </c>
      <c r="G936" s="453">
        <f>IF(A936="SERVIÇO",VLOOKUP(B936,SERVIÇOS!$A$6:$D$7645,4,0),IF(A936="INSUMO",VLOOKUP(B936,INSUMOS!$A$6:$D$6961,4,0),IF(A936="COTAÇÃO",VLOOKUP(B936,'036-20-Cotação'!$A$9:$G$529,3,0))))</f>
        <v>74.887100000000004</v>
      </c>
      <c r="H936" s="463">
        <f t="shared" si="139"/>
        <v>27.231672727272731</v>
      </c>
      <c r="J936" s="201"/>
    </row>
    <row r="937" spans="1:17" s="87" customFormat="1" ht="12.75">
      <c r="A937" s="232" t="s">
        <v>4542</v>
      </c>
      <c r="B937" s="464" t="s">
        <v>6825</v>
      </c>
      <c r="C937" s="451" t="str">
        <f>IF(A937="SERVIÇO",VLOOKUP(B937,SERVIÇOS!$A$6:$D$7645,2,0),IF(A937="INSUMO",VLOOKUP(B937,INSUMOS!$A$6:$D$6961,2,0),IF(A937="COTAÇÃO",VLOOKUP(B937,'036-20-Cotação'!$A$9:$G$529,2,0))))</f>
        <v>AJUDANTE</v>
      </c>
      <c r="D937" s="452" t="str">
        <f>IF(A937="SERVIÇO",VLOOKUP(B937,SERVIÇOS!$A$6:$E$7645,5,0),IF(A937="INSUMO",VLOOKUP(B937,INSUMOS!$A$6:$E$6961,5,0),IF(A937="COTAÇÃO",VLOOKUP(B937,'036-20-Cotação'!$A$9:$H$529,8,0))))</f>
        <v>M.O</v>
      </c>
      <c r="E937" s="452" t="str">
        <f>IF(A937="SERVIÇO",VLOOKUP(B937,SERVIÇOS!$A$6:$D$7645,3,0),IF(A937="INSUMO",VLOOKUP(B937,INSUMOS!$A$6:$D$6961,3,0),IF(A937="COTAÇÃO",VLOOKUP(B937,'036-20-Cotação'!$A$9:$G$529,4,0))))</f>
        <v>H</v>
      </c>
      <c r="F937" s="462">
        <f>4/1.65</f>
        <v>2.4242424242424243</v>
      </c>
      <c r="G937" s="453">
        <f>IF(A937="SERVIÇO",VLOOKUP(B937,SERVIÇOS!$A$6:$D$7645,4,0),IF(A937="INSUMO",VLOOKUP(B937,INSUMOS!$A$6:$D$6961,4,0),IF(A937="COTAÇÃO",VLOOKUP(B937,'036-20-Cotação'!$A$9:$G$529,3,0))))</f>
        <v>17.9801</v>
      </c>
      <c r="H937" s="463">
        <f t="shared" si="139"/>
        <v>43.588121212121216</v>
      </c>
      <c r="J937" s="201"/>
    </row>
    <row r="938" spans="1:17" s="87" customFormat="1" ht="12.75">
      <c r="A938" s="232" t="s">
        <v>4542</v>
      </c>
      <c r="B938" s="464" t="s">
        <v>6601</v>
      </c>
      <c r="C938" s="451" t="str">
        <f>IF(A938="SERVIÇO",VLOOKUP(B938,SERVIÇOS!$A$6:$D$7645,2,0),IF(A938="INSUMO",VLOOKUP(B938,INSUMOS!$A$6:$D$6961,2,0),IF(A938="COTAÇÃO",VLOOKUP(B938,'036-20-Cotação'!$A$9:$G$529,2,0))))</f>
        <v>MONTADOR</v>
      </c>
      <c r="D938" s="452" t="str">
        <f>IF(A938="SERVIÇO",VLOOKUP(B938,SERVIÇOS!$A$6:$E$7645,5,0),IF(A938="INSUMO",VLOOKUP(B938,INSUMOS!$A$6:$E$6961,5,0),IF(A938="COTAÇÃO",VLOOKUP(B938,'036-20-Cotação'!$A$9:$H$529,8,0))))</f>
        <v>M.O</v>
      </c>
      <c r="E938" s="452" t="str">
        <f>IF(A938="SERVIÇO",VLOOKUP(B938,SERVIÇOS!$A$6:$D$7645,3,0),IF(A938="INSUMO",VLOOKUP(B938,INSUMOS!$A$6:$D$6961,3,0),IF(A938="COTAÇÃO",VLOOKUP(B938,'036-20-Cotação'!$A$9:$G$529,4,0))))</f>
        <v>H</v>
      </c>
      <c r="F938" s="462">
        <f>1/1.65</f>
        <v>0.60606060606060608</v>
      </c>
      <c r="G938" s="453">
        <f>IF(A938="SERVIÇO",VLOOKUP(B938,SERVIÇOS!$A$6:$D$7645,4,0),IF(A938="INSUMO",VLOOKUP(B938,INSUMOS!$A$6:$D$6961,4,0),IF(A938="COTAÇÃO",VLOOKUP(B938,'036-20-Cotação'!$A$9:$G$529,3,0))))</f>
        <v>23.4679</v>
      </c>
      <c r="H938" s="463">
        <f t="shared" si="139"/>
        <v>14.222969696969697</v>
      </c>
      <c r="J938" s="201"/>
    </row>
    <row r="939" spans="1:17" s="87" customFormat="1" ht="25.5">
      <c r="A939" s="232" t="s">
        <v>4542</v>
      </c>
      <c r="B939" s="464">
        <v>1108059</v>
      </c>
      <c r="C939" s="451" t="str">
        <f>'036-20-CCA''s'!$C$184</f>
        <v>MICROCONCRETO PARA REPAROS E GROUTEAMENTO</v>
      </c>
      <c r="D939" s="452" t="str">
        <f>'036-20-CCA''s'!$D$184</f>
        <v>SER.CG</v>
      </c>
      <c r="E939" s="452" t="str">
        <f>'036-20-CCA''s'!$E$184</f>
        <v>M3</v>
      </c>
      <c r="F939" s="462">
        <v>3.78E-2</v>
      </c>
      <c r="G939" s="453">
        <f>'036-20-CCA''s'!$H$184</f>
        <v>2842.8563490406277</v>
      </c>
      <c r="H939" s="463">
        <f t="shared" si="139"/>
        <v>107.45996999373573</v>
      </c>
      <c r="J939" s="201"/>
    </row>
    <row r="940" spans="1:17" s="87" customFormat="1" ht="25.5">
      <c r="A940" s="232" t="s">
        <v>4542</v>
      </c>
      <c r="B940" s="464" t="s">
        <v>13235</v>
      </c>
      <c r="C940" s="451" t="str">
        <f>'036-20-CCA''s'!$C$313</f>
        <v xml:space="preserve">TEMPO FIXO - CAMINHÃO GUINDAUDO 20 T - CARGA MONOBRA E DESCARGA </v>
      </c>
      <c r="D940" s="452" t="str">
        <f>'036-20-CCA''s'!$D$313</f>
        <v>SER.CG</v>
      </c>
      <c r="E940" s="452" t="str">
        <f>'036-20-CCA''s'!$E$313</f>
        <v>T</v>
      </c>
      <c r="F940" s="462">
        <v>0.21</v>
      </c>
      <c r="G940" s="453">
        <f>'036-20-CCA''s'!$H$313</f>
        <v>9.3722463139635721</v>
      </c>
      <c r="H940" s="463">
        <f t="shared" si="139"/>
        <v>1.9681717259323501</v>
      </c>
      <c r="J940" s="201"/>
    </row>
    <row r="941" spans="1:17" s="87" customFormat="1" ht="12.75">
      <c r="A941" s="188"/>
      <c r="B941" s="348" t="s">
        <v>123</v>
      </c>
      <c r="C941" s="695" t="s">
        <v>8158</v>
      </c>
      <c r="D941" s="696"/>
      <c r="E941" s="696"/>
      <c r="F941" s="696"/>
      <c r="G941" s="696"/>
      <c r="H941" s="697"/>
      <c r="J941" s="201"/>
      <c r="K941" s="78"/>
      <c r="L941" s="78"/>
      <c r="M941" s="78"/>
      <c r="N941" s="78"/>
      <c r="O941" s="78"/>
      <c r="P941" s="78"/>
      <c r="Q941" s="78"/>
    </row>
    <row r="942" spans="1:17" s="87" customFormat="1" ht="12.75">
      <c r="A942" s="188"/>
      <c r="B942" s="346"/>
      <c r="C942" s="390"/>
      <c r="D942" s="390"/>
      <c r="E942" s="390"/>
      <c r="F942" s="390"/>
      <c r="G942" s="390"/>
      <c r="H942" s="391"/>
      <c r="J942" s="201"/>
      <c r="K942" s="78"/>
      <c r="L942" s="78"/>
      <c r="M942" s="78"/>
      <c r="N942" s="78"/>
      <c r="O942" s="78"/>
      <c r="P942" s="78"/>
      <c r="Q942" s="78"/>
    </row>
    <row r="943" spans="1:17" s="87" customFormat="1" ht="38.25">
      <c r="A943" s="188"/>
      <c r="B943" s="80" t="s">
        <v>8159</v>
      </c>
      <c r="C943" s="81" t="s">
        <v>8160</v>
      </c>
      <c r="D943" s="82" t="s">
        <v>84</v>
      </c>
      <c r="E943" s="82" t="s">
        <v>4521</v>
      </c>
      <c r="F943" s="83"/>
      <c r="G943" s="84"/>
      <c r="H943" s="85">
        <f>SUM(H944:H944)</f>
        <v>8183.6475900127334</v>
      </c>
      <c r="J943" s="201"/>
      <c r="K943" s="78"/>
      <c r="L943" s="78"/>
      <c r="M943" s="78"/>
      <c r="N943" s="78"/>
      <c r="O943" s="78"/>
      <c r="P943" s="78"/>
      <c r="Q943" s="78"/>
    </row>
    <row r="944" spans="1:17" s="87" customFormat="1" ht="38.25">
      <c r="A944" s="232" t="s">
        <v>12</v>
      </c>
      <c r="B944" s="464" t="s">
        <v>8161</v>
      </c>
      <c r="C944" s="451" t="str">
        <f>IF(A944="SERVIÇO",VLOOKUP(B944,SERVIÇOS!$A$6:$D$7645,2,0),IF(A944="INSUMO",VLOOKUP(B944,INSUMOS!$A$6:$D$6961,2,0),IF(A944="COTAÇÃO",VLOOKUP(B944,'036-20-Cotação'!$A$9:$G$529,2,0))))</f>
        <v>APARELHO DE APOIO ESPECIAL (VASOFLON), TIPO ARTICULAÇÃO FIXA, MODELO VF-400, COM CAPACIDADE DE 4000 KN</v>
      </c>
      <c r="D944" s="452" t="str">
        <f>IF(A944="SERVIÇO",VLOOKUP(B944,SERVIÇOS!$A$6:$E$7645,5,0),IF(A944="INSUMO",VLOOKUP(B944,INSUMOS!$A$6:$E$6961,5,0),IF(A944="COTAÇÃO",VLOOKUP(B944,'036-20-Cotação'!$A$9:$H$529,8,0))))</f>
        <v>MAT.</v>
      </c>
      <c r="E944" s="452" t="str">
        <f>IF(A944="SERVIÇO",VLOOKUP(B944,SERVIÇOS!$A$6:$D$7645,3,0),IF(A944="INSUMO",VLOOKUP(B944,INSUMOS!$A$6:$D$6961,3,0),IF(A944="COTAÇÃO",VLOOKUP(B944,'036-20-Cotação'!$A$9:$G$529,4,0))))</f>
        <v>UN</v>
      </c>
      <c r="F944" s="462">
        <v>1</v>
      </c>
      <c r="G944" s="453">
        <f>IF(A944="SERVIÇO",VLOOKUP(B944,SERVIÇOS!$A$6:$D$7645,4,0),IF(A944="INSUMO",VLOOKUP(B944,INSUMOS!$A$6:$D$6961,4,0),IF(A944="COTAÇÃO",VLOOKUP(B944,'036-20-Cotação'!$A$9:$G$529,3,0))))</f>
        <v>8183.6475900127334</v>
      </c>
      <c r="H944" s="463">
        <f t="shared" ref="H944" si="140">G944*F944</f>
        <v>8183.6475900127334</v>
      </c>
      <c r="J944" s="201"/>
    </row>
    <row r="945" spans="1:17" s="87" customFormat="1" ht="12.75">
      <c r="A945" s="188"/>
      <c r="B945" s="348" t="s">
        <v>123</v>
      </c>
      <c r="C945" s="695" t="s">
        <v>8123</v>
      </c>
      <c r="D945" s="696"/>
      <c r="E945" s="696"/>
      <c r="F945" s="696"/>
      <c r="G945" s="696"/>
      <c r="H945" s="697"/>
      <c r="J945" s="201"/>
      <c r="K945" s="78"/>
      <c r="L945" s="78"/>
      <c r="M945" s="78"/>
      <c r="N945" s="78"/>
      <c r="O945" s="78"/>
      <c r="P945" s="78"/>
      <c r="Q945" s="78"/>
    </row>
    <row r="946" spans="1:17" s="87" customFormat="1" ht="12.75">
      <c r="A946" s="188"/>
      <c r="B946" s="346"/>
      <c r="C946" s="390"/>
      <c r="D946" s="390"/>
      <c r="E946" s="390"/>
      <c r="F946" s="390"/>
      <c r="G946" s="390"/>
      <c r="H946" s="391"/>
      <c r="J946" s="201"/>
      <c r="K946" s="78"/>
      <c r="L946" s="78"/>
      <c r="M946" s="78"/>
      <c r="N946" s="78"/>
      <c r="O946" s="78"/>
      <c r="P946" s="78"/>
      <c r="Q946" s="78"/>
    </row>
    <row r="947" spans="1:17" s="87" customFormat="1" ht="38.25">
      <c r="A947" s="188"/>
      <c r="B947" s="80" t="s">
        <v>8164</v>
      </c>
      <c r="C947" s="81" t="s">
        <v>8163</v>
      </c>
      <c r="D947" s="82" t="s">
        <v>84</v>
      </c>
      <c r="E947" s="82" t="s">
        <v>4521</v>
      </c>
      <c r="F947" s="83"/>
      <c r="G947" s="84"/>
      <c r="H947" s="85">
        <f>SUM(H948:H953)</f>
        <v>241.10761569201858</v>
      </c>
      <c r="J947" s="201" t="s">
        <v>8121</v>
      </c>
      <c r="K947" s="78"/>
      <c r="L947" s="78"/>
      <c r="M947" s="78"/>
      <c r="N947" s="78"/>
      <c r="O947" s="78"/>
      <c r="P947" s="78"/>
      <c r="Q947" s="78"/>
    </row>
    <row r="948" spans="1:17" s="87" customFormat="1" ht="25.5">
      <c r="A948" s="232" t="s">
        <v>4542</v>
      </c>
      <c r="B948" s="464" t="s">
        <v>8804</v>
      </c>
      <c r="C948" s="451" t="str">
        <f>IF(A948="SERVIÇO",VLOOKUP(B948,SERVIÇOS!$A$6:$D$7645,2,0),IF(A948="INSUMO",VLOOKUP(B948,INSUMOS!$A$6:$D$6961,2,0),IF(A948="COTAÇÃO",VLOOKUP(B948,'036-20-Cotação'!$A$9:$G$529,2,0))))</f>
        <v>GUINDASTE SOBRE RODAS COM CAPACIDADE DE 370 KN.M - 75 KW</v>
      </c>
      <c r="D948" s="452" t="str">
        <f>IF(A948="SERVIÇO",VLOOKUP(B948,SERVIÇOS!$A$6:$E$7645,5,0),IF(A948="INSUMO",VLOOKUP(B948,INSUMOS!$A$6:$E$6961,5,0),IF(A948="COTAÇÃO",VLOOKUP(B948,'036-20-Cotação'!$A$9:$H$529,8,0))))</f>
        <v>EQUIP.</v>
      </c>
      <c r="E948" s="452" t="str">
        <f>IF(A948="SERVIÇO",VLOOKUP(B948,SERVIÇOS!$A$6:$D$7645,3,0),IF(A948="INSUMO",VLOOKUP(B948,INSUMOS!$A$6:$D$6961,3,0),IF(A948="COTAÇÃO",VLOOKUP(B948,'036-20-Cotação'!$A$9:$G$529,4,0))))</f>
        <v>CHP</v>
      </c>
      <c r="F948" s="462">
        <f>0.39/1.6</f>
        <v>0.24374999999999999</v>
      </c>
      <c r="G948" s="453">
        <f>IF(A948="SERVIÇO",VLOOKUP(B948,SERVIÇOS!$A$6:$D$7645,4,0),IF(A948="INSUMO",VLOOKUP(B948,INSUMOS!$A$6:$D$6961,4,0),IF(A948="COTAÇÃO",VLOOKUP(B948,'036-20-Cotação'!$A$9:$G$529,3,0))))</f>
        <v>148.07040000000001</v>
      </c>
      <c r="H948" s="463">
        <f t="shared" ref="H948:H953" si="141">G948*F948</f>
        <v>36.09216</v>
      </c>
      <c r="J948" s="201"/>
    </row>
    <row r="949" spans="1:17" s="87" customFormat="1" ht="25.5">
      <c r="A949" s="232" t="s">
        <v>4542</v>
      </c>
      <c r="B949" s="464" t="s">
        <v>9644</v>
      </c>
      <c r="C949" s="451" t="str">
        <f>IF(A949="SERVIÇO",VLOOKUP(B949,SERVIÇOS!$A$6:$D$7645,2,0),IF(A949="INSUMO",VLOOKUP(B949,INSUMOS!$A$6:$D$6961,2,0),IF(A949="COTAÇÃO",VLOOKUP(B949,'036-20-Cotação'!$A$9:$G$529,2,0))))</f>
        <v>GUINDASTE SOBRE RODAS COM CAPACIDADE DE 370 KN.M - 75 KW</v>
      </c>
      <c r="D949" s="452" t="str">
        <f>IF(A949="SERVIÇO",VLOOKUP(B949,SERVIÇOS!$A$6:$E$7645,5,0),IF(A949="INSUMO",VLOOKUP(B949,INSUMOS!$A$6:$E$6961,5,0),IF(A949="COTAÇÃO",VLOOKUP(B949,'036-20-Cotação'!$A$9:$H$529,8,0))))</f>
        <v>EQUIP.</v>
      </c>
      <c r="E949" s="452" t="str">
        <f>IF(A949="SERVIÇO",VLOOKUP(B949,SERVIÇOS!$A$6:$D$7645,3,0),IF(A949="INSUMO",VLOOKUP(B949,INSUMOS!$A$6:$D$6961,3,0),IF(A949="COTAÇÃO",VLOOKUP(B949,'036-20-Cotação'!$A$9:$G$529,4,0))))</f>
        <v>CHI</v>
      </c>
      <c r="F949" s="462">
        <f>0.61/1.6</f>
        <v>0.38124999999999998</v>
      </c>
      <c r="G949" s="453">
        <f>IF(A949="SERVIÇO",VLOOKUP(B949,SERVIÇOS!$A$6:$D$7645,4,0),IF(A949="INSUMO",VLOOKUP(B949,INSUMOS!$A$6:$D$6961,4,0),IF(A949="COTAÇÃO",VLOOKUP(B949,'036-20-Cotação'!$A$9:$G$529,3,0))))</f>
        <v>74.887100000000004</v>
      </c>
      <c r="H949" s="463">
        <f t="shared" si="141"/>
        <v>28.550706874999999</v>
      </c>
      <c r="J949" s="201"/>
    </row>
    <row r="950" spans="1:17" s="87" customFormat="1" ht="12.75">
      <c r="A950" s="232" t="s">
        <v>4542</v>
      </c>
      <c r="B950" s="464" t="s">
        <v>6825</v>
      </c>
      <c r="C950" s="451" t="str">
        <f>IF(A950="SERVIÇO",VLOOKUP(B950,SERVIÇOS!$A$6:$D$7645,2,0),IF(A950="INSUMO",VLOOKUP(B950,INSUMOS!$A$6:$D$6961,2,0),IF(A950="COTAÇÃO",VLOOKUP(B950,'036-20-Cotação'!$A$9:$G$529,2,0))))</f>
        <v>AJUDANTE</v>
      </c>
      <c r="D950" s="452" t="str">
        <f>IF(A950="SERVIÇO",VLOOKUP(B950,SERVIÇOS!$A$6:$E$7645,5,0),IF(A950="INSUMO",VLOOKUP(B950,INSUMOS!$A$6:$E$6961,5,0),IF(A950="COTAÇÃO",VLOOKUP(B950,'036-20-Cotação'!$A$9:$H$529,8,0))))</f>
        <v>M.O</v>
      </c>
      <c r="E950" s="452" t="str">
        <f>IF(A950="SERVIÇO",VLOOKUP(B950,SERVIÇOS!$A$6:$D$7645,3,0),IF(A950="INSUMO",VLOOKUP(B950,INSUMOS!$A$6:$D$6961,3,0),IF(A950="COTAÇÃO",VLOOKUP(B950,'036-20-Cotação'!$A$9:$G$529,4,0))))</f>
        <v>H</v>
      </c>
      <c r="F950" s="462">
        <f>4/1.6</f>
        <v>2.5</v>
      </c>
      <c r="G950" s="453">
        <f>IF(A950="SERVIÇO",VLOOKUP(B950,SERVIÇOS!$A$6:$D$7645,4,0),IF(A950="INSUMO",VLOOKUP(B950,INSUMOS!$A$6:$D$6961,4,0),IF(A950="COTAÇÃO",VLOOKUP(B950,'036-20-Cotação'!$A$9:$G$529,3,0))))</f>
        <v>17.9801</v>
      </c>
      <c r="H950" s="463">
        <f t="shared" si="141"/>
        <v>44.950249999999997</v>
      </c>
      <c r="J950" s="201"/>
    </row>
    <row r="951" spans="1:17" s="87" customFormat="1" ht="12.75">
      <c r="A951" s="232" t="s">
        <v>4542</v>
      </c>
      <c r="B951" s="464" t="s">
        <v>6601</v>
      </c>
      <c r="C951" s="451" t="str">
        <f>IF(A951="SERVIÇO",VLOOKUP(B951,SERVIÇOS!$A$6:$D$7645,2,0),IF(A951="INSUMO",VLOOKUP(B951,INSUMOS!$A$6:$D$6961,2,0),IF(A951="COTAÇÃO",VLOOKUP(B951,'036-20-Cotação'!$A$9:$G$529,2,0))))</f>
        <v>MONTADOR</v>
      </c>
      <c r="D951" s="452" t="str">
        <f>IF(A951="SERVIÇO",VLOOKUP(B951,SERVIÇOS!$A$6:$E$7645,5,0),IF(A951="INSUMO",VLOOKUP(B951,INSUMOS!$A$6:$E$6961,5,0),IF(A951="COTAÇÃO",VLOOKUP(B951,'036-20-Cotação'!$A$9:$H$529,8,0))))</f>
        <v>M.O</v>
      </c>
      <c r="E951" s="452" t="str">
        <f>IF(A951="SERVIÇO",VLOOKUP(B951,SERVIÇOS!$A$6:$D$7645,3,0),IF(A951="INSUMO",VLOOKUP(B951,INSUMOS!$A$6:$D$6961,3,0),IF(A951="COTAÇÃO",VLOOKUP(B951,'036-20-Cotação'!$A$9:$G$529,4,0))))</f>
        <v>H</v>
      </c>
      <c r="F951" s="462">
        <f>1/1.6</f>
        <v>0.625</v>
      </c>
      <c r="G951" s="453">
        <f>IF(A951="SERVIÇO",VLOOKUP(B951,SERVIÇOS!$A$6:$D$7645,4,0),IF(A951="INSUMO",VLOOKUP(B951,INSUMOS!$A$6:$D$6961,4,0),IF(A951="COTAÇÃO",VLOOKUP(B951,'036-20-Cotação'!$A$9:$G$529,3,0))))</f>
        <v>23.4679</v>
      </c>
      <c r="H951" s="463">
        <f t="shared" si="141"/>
        <v>14.6674375</v>
      </c>
      <c r="J951" s="201"/>
    </row>
    <row r="952" spans="1:17" s="87" customFormat="1" ht="25.5">
      <c r="A952" s="232" t="s">
        <v>4542</v>
      </c>
      <c r="B952" s="464">
        <v>1108059</v>
      </c>
      <c r="C952" s="451" t="str">
        <f>'036-20-CCA''s'!$C$184</f>
        <v>MICROCONCRETO PARA REPAROS E GROUTEAMENTO</v>
      </c>
      <c r="D952" s="452" t="str">
        <f>'036-20-CCA''s'!$D$184</f>
        <v>SER.CG</v>
      </c>
      <c r="E952" s="452" t="str">
        <f>'036-20-CCA''s'!$E$184</f>
        <v>M3</v>
      </c>
      <c r="F952" s="462">
        <v>4.0379999999999999E-2</v>
      </c>
      <c r="G952" s="453">
        <f>'036-20-CCA''s'!$H$184</f>
        <v>2842.8563490406277</v>
      </c>
      <c r="H952" s="463">
        <f t="shared" si="141"/>
        <v>114.79453937426055</v>
      </c>
      <c r="J952" s="201"/>
    </row>
    <row r="953" spans="1:17" s="87" customFormat="1" ht="25.5">
      <c r="A953" s="232" t="s">
        <v>4542</v>
      </c>
      <c r="B953" s="464" t="s">
        <v>13235</v>
      </c>
      <c r="C953" s="451" t="str">
        <f>'036-20-CCA''s'!$C$313</f>
        <v xml:space="preserve">TEMPO FIXO - CAMINHÃO GUINDAUDO 20 T - CARGA MONOBRA E DESCARGA </v>
      </c>
      <c r="D953" s="452" t="str">
        <f>'036-20-CCA''s'!$D$313</f>
        <v>SER.CG</v>
      </c>
      <c r="E953" s="452" t="str">
        <f>'036-20-CCA''s'!$E$313</f>
        <v>T</v>
      </c>
      <c r="F953" s="462">
        <v>0.219</v>
      </c>
      <c r="G953" s="453">
        <f>'036-20-CCA''s'!$H$313</f>
        <v>9.3722463139635721</v>
      </c>
      <c r="H953" s="463">
        <f t="shared" si="141"/>
        <v>2.0525219427580224</v>
      </c>
      <c r="J953" s="201"/>
    </row>
    <row r="954" spans="1:17" s="87" customFormat="1" ht="12.75">
      <c r="A954" s="188"/>
      <c r="B954" s="348" t="s">
        <v>123</v>
      </c>
      <c r="C954" s="695" t="s">
        <v>8123</v>
      </c>
      <c r="D954" s="696"/>
      <c r="E954" s="696"/>
      <c r="F954" s="696"/>
      <c r="G954" s="696"/>
      <c r="H954" s="697"/>
      <c r="J954" s="201"/>
      <c r="K954" s="78"/>
      <c r="L954" s="78"/>
      <c r="M954" s="78"/>
      <c r="N954" s="78"/>
      <c r="O954" s="78"/>
      <c r="P954" s="78"/>
      <c r="Q954" s="78"/>
    </row>
    <row r="955" spans="1:17" s="87" customFormat="1" ht="12.75">
      <c r="A955" s="188"/>
      <c r="B955" s="346"/>
      <c r="C955" s="390"/>
      <c r="D955" s="390"/>
      <c r="E955" s="390"/>
      <c r="F955" s="390"/>
      <c r="G955" s="390"/>
      <c r="H955" s="391"/>
      <c r="J955" s="201"/>
      <c r="K955" s="78"/>
      <c r="L955" s="78"/>
      <c r="M955" s="78"/>
      <c r="N955" s="78"/>
      <c r="O955" s="78"/>
      <c r="P955" s="78"/>
      <c r="Q955" s="78"/>
    </row>
    <row r="956" spans="1:17" s="87" customFormat="1" ht="38.25">
      <c r="A956" s="188"/>
      <c r="B956" s="80" t="s">
        <v>8168</v>
      </c>
      <c r="C956" s="81" t="s">
        <v>8171</v>
      </c>
      <c r="D956" s="82" t="s">
        <v>84</v>
      </c>
      <c r="E956" s="82" t="s">
        <v>4521</v>
      </c>
      <c r="F956" s="83"/>
      <c r="G956" s="84"/>
      <c r="H956" s="85">
        <f>SUM(H957:H957)</f>
        <v>11892.711766294908</v>
      </c>
      <c r="J956" s="201"/>
      <c r="K956" s="78"/>
      <c r="L956" s="78"/>
      <c r="M956" s="78"/>
      <c r="N956" s="78"/>
      <c r="O956" s="78"/>
      <c r="P956" s="78"/>
      <c r="Q956" s="78"/>
    </row>
    <row r="957" spans="1:17" s="87" customFormat="1" ht="38.25">
      <c r="A957" s="232" t="s">
        <v>12</v>
      </c>
      <c r="B957" s="464" t="s">
        <v>8170</v>
      </c>
      <c r="C957" s="451" t="str">
        <f>IF(A957="SERVIÇO",VLOOKUP(B957,SERVIÇOS!$A$6:$D$7645,2,0),IF(A957="INSUMO",VLOOKUP(B957,INSUMOS!$A$6:$D$6961,2,0),IF(A957="COTAÇÃO",VLOOKUP(B957,'036-20-Cotação'!$A$9:$G$529,2,0))))</f>
        <v>APARELHO DE APOIO ESPECIAL (VASOFLON), TIPO ARTICULAÇÃO MÓVEL, MODELO VUE-400, COM CAPACIDADE DE 4000 KN</v>
      </c>
      <c r="D957" s="452" t="str">
        <f>IF(A957="SERVIÇO",VLOOKUP(B957,SERVIÇOS!$A$6:$E$7645,5,0),IF(A957="INSUMO",VLOOKUP(B957,INSUMOS!$A$6:$E$6961,5,0),IF(A957="COTAÇÃO",VLOOKUP(B957,'036-20-Cotação'!$A$9:$H$529,8,0))))</f>
        <v>MAT.</v>
      </c>
      <c r="E957" s="452" t="str">
        <f>IF(A957="SERVIÇO",VLOOKUP(B957,SERVIÇOS!$A$6:$D$7645,3,0),IF(A957="INSUMO",VLOOKUP(B957,INSUMOS!$A$6:$D$6961,3,0),IF(A957="COTAÇÃO",VLOOKUP(B957,'036-20-Cotação'!$A$9:$G$529,4,0))))</f>
        <v>UN</v>
      </c>
      <c r="F957" s="462">
        <v>1</v>
      </c>
      <c r="G957" s="453">
        <f>IF(A957="SERVIÇO",VLOOKUP(B957,SERVIÇOS!$A$6:$D$7645,4,0),IF(A957="INSUMO",VLOOKUP(B957,INSUMOS!$A$6:$D$6961,4,0),IF(A957="COTAÇÃO",VLOOKUP(B957,'036-20-Cotação'!$A$9:$G$529,3,0))))</f>
        <v>11892.711766294908</v>
      </c>
      <c r="H957" s="463">
        <f t="shared" ref="H957" si="142">G957*F957</f>
        <v>11892.711766294908</v>
      </c>
      <c r="J957" s="201"/>
    </row>
    <row r="958" spans="1:17" s="87" customFormat="1" ht="12.75">
      <c r="A958" s="188"/>
      <c r="B958" s="348" t="s">
        <v>123</v>
      </c>
      <c r="C958" s="695" t="s">
        <v>8172</v>
      </c>
      <c r="D958" s="696"/>
      <c r="E958" s="696"/>
      <c r="F958" s="696"/>
      <c r="G958" s="696"/>
      <c r="H958" s="697"/>
      <c r="J958" s="201"/>
      <c r="K958" s="78"/>
      <c r="L958" s="78"/>
      <c r="M958" s="78"/>
      <c r="N958" s="78"/>
      <c r="O958" s="78"/>
      <c r="P958" s="78"/>
      <c r="Q958" s="78"/>
    </row>
    <row r="959" spans="1:17" s="87" customFormat="1" ht="12.75">
      <c r="A959" s="188"/>
      <c r="B959" s="346"/>
      <c r="C959" s="390"/>
      <c r="D959" s="390"/>
      <c r="E959" s="390"/>
      <c r="F959" s="390"/>
      <c r="G959" s="390"/>
      <c r="H959" s="391"/>
      <c r="J959" s="201"/>
      <c r="K959" s="78"/>
      <c r="L959" s="78"/>
      <c r="M959" s="78"/>
      <c r="N959" s="78"/>
      <c r="O959" s="78"/>
      <c r="P959" s="78"/>
      <c r="Q959" s="78"/>
    </row>
    <row r="960" spans="1:17" s="87" customFormat="1" ht="38.25">
      <c r="A960" s="188"/>
      <c r="B960" s="80" t="s">
        <v>8169</v>
      </c>
      <c r="C960" s="81" t="s">
        <v>8173</v>
      </c>
      <c r="D960" s="82" t="s">
        <v>84</v>
      </c>
      <c r="E960" s="82" t="s">
        <v>4521</v>
      </c>
      <c r="F960" s="83"/>
      <c r="G960" s="84"/>
      <c r="H960" s="85">
        <f>SUM(H961:H966)</f>
        <v>248.05357493985017</v>
      </c>
      <c r="J960" s="201" t="s">
        <v>8121</v>
      </c>
      <c r="K960" s="78"/>
      <c r="L960" s="78"/>
      <c r="M960" s="78"/>
      <c r="N960" s="78"/>
      <c r="O960" s="78"/>
      <c r="P960" s="78"/>
      <c r="Q960" s="78"/>
    </row>
    <row r="961" spans="1:17" s="87" customFormat="1" ht="25.5">
      <c r="A961" s="232" t="s">
        <v>4542</v>
      </c>
      <c r="B961" s="464" t="s">
        <v>8804</v>
      </c>
      <c r="C961" s="451" t="str">
        <f>IF(A961="SERVIÇO",VLOOKUP(B961,SERVIÇOS!$A$6:$D$7645,2,0),IF(A961="INSUMO",VLOOKUP(B961,INSUMOS!$A$6:$D$6961,2,0),IF(A961="COTAÇÃO",VLOOKUP(B961,'036-20-Cotação'!$A$9:$G$529,2,0))))</f>
        <v>GUINDASTE SOBRE RODAS COM CAPACIDADE DE 370 KN.M - 75 KW</v>
      </c>
      <c r="D961" s="452" t="str">
        <f>IF(A961="SERVIÇO",VLOOKUP(B961,SERVIÇOS!$A$6:$E$7645,5,0),IF(A961="INSUMO",VLOOKUP(B961,INSUMOS!$A$6:$E$6961,5,0),IF(A961="COTAÇÃO",VLOOKUP(B961,'036-20-Cotação'!$A$9:$H$529,8,0))))</f>
        <v>EQUIP.</v>
      </c>
      <c r="E961" s="452" t="str">
        <f>IF(A961="SERVIÇO",VLOOKUP(B961,SERVIÇOS!$A$6:$D$7645,3,0),IF(A961="INSUMO",VLOOKUP(B961,INSUMOS!$A$6:$D$6961,3,0),IF(A961="COTAÇÃO",VLOOKUP(B961,'036-20-Cotação'!$A$9:$G$529,4,0))))</f>
        <v>CHP</v>
      </c>
      <c r="F961" s="462">
        <f>0.39/1.6</f>
        <v>0.24374999999999999</v>
      </c>
      <c r="G961" s="453">
        <f>IF(A961="SERVIÇO",VLOOKUP(B961,SERVIÇOS!$A$6:$D$7645,4,0),IF(A961="INSUMO",VLOOKUP(B961,INSUMOS!$A$6:$D$6961,4,0),IF(A961="COTAÇÃO",VLOOKUP(B961,'036-20-Cotação'!$A$9:$G$529,3,0))))</f>
        <v>148.07040000000001</v>
      </c>
      <c r="H961" s="463">
        <f t="shared" ref="H961:H966" si="143">G961*F961</f>
        <v>36.09216</v>
      </c>
      <c r="J961" s="201"/>
    </row>
    <row r="962" spans="1:17" s="87" customFormat="1" ht="25.5">
      <c r="A962" s="232" t="s">
        <v>4542</v>
      </c>
      <c r="B962" s="464" t="s">
        <v>9644</v>
      </c>
      <c r="C962" s="451" t="str">
        <f>IF(A962="SERVIÇO",VLOOKUP(B962,SERVIÇOS!$A$6:$D$7645,2,0),IF(A962="INSUMO",VLOOKUP(B962,INSUMOS!$A$6:$D$6961,2,0),IF(A962="COTAÇÃO",VLOOKUP(B962,'036-20-Cotação'!$A$9:$G$529,2,0))))</f>
        <v>GUINDASTE SOBRE RODAS COM CAPACIDADE DE 370 KN.M - 75 KW</v>
      </c>
      <c r="D962" s="452" t="str">
        <f>IF(A962="SERVIÇO",VLOOKUP(B962,SERVIÇOS!$A$6:$E$7645,5,0),IF(A962="INSUMO",VLOOKUP(B962,INSUMOS!$A$6:$E$6961,5,0),IF(A962="COTAÇÃO",VLOOKUP(B962,'036-20-Cotação'!$A$9:$H$529,8,0))))</f>
        <v>EQUIP.</v>
      </c>
      <c r="E962" s="452" t="str">
        <f>IF(A962="SERVIÇO",VLOOKUP(B962,SERVIÇOS!$A$6:$D$7645,3,0),IF(A962="INSUMO",VLOOKUP(B962,INSUMOS!$A$6:$D$6961,3,0),IF(A962="COTAÇÃO",VLOOKUP(B962,'036-20-Cotação'!$A$9:$G$529,4,0))))</f>
        <v>CHI</v>
      </c>
      <c r="F962" s="462">
        <f>0.61/1.6</f>
        <v>0.38124999999999998</v>
      </c>
      <c r="G962" s="453">
        <f>IF(A962="SERVIÇO",VLOOKUP(B962,SERVIÇOS!$A$6:$D$7645,4,0),IF(A962="INSUMO",VLOOKUP(B962,INSUMOS!$A$6:$D$6961,4,0),IF(A962="COTAÇÃO",VLOOKUP(B962,'036-20-Cotação'!$A$9:$G$529,3,0))))</f>
        <v>74.887100000000004</v>
      </c>
      <c r="H962" s="463">
        <f t="shared" si="143"/>
        <v>28.550706874999999</v>
      </c>
      <c r="J962" s="201"/>
    </row>
    <row r="963" spans="1:17" s="87" customFormat="1" ht="12.75">
      <c r="A963" s="232" t="s">
        <v>4542</v>
      </c>
      <c r="B963" s="464" t="s">
        <v>6825</v>
      </c>
      <c r="C963" s="451" t="str">
        <f>IF(A963="SERVIÇO",VLOOKUP(B963,SERVIÇOS!$A$6:$D$7645,2,0),IF(A963="INSUMO",VLOOKUP(B963,INSUMOS!$A$6:$D$6961,2,0),IF(A963="COTAÇÃO",VLOOKUP(B963,'036-20-Cotação'!$A$9:$G$529,2,0))))</f>
        <v>AJUDANTE</v>
      </c>
      <c r="D963" s="452" t="str">
        <f>IF(A963="SERVIÇO",VLOOKUP(B963,SERVIÇOS!$A$6:$E$7645,5,0),IF(A963="INSUMO",VLOOKUP(B963,INSUMOS!$A$6:$E$6961,5,0),IF(A963="COTAÇÃO",VLOOKUP(B963,'036-20-Cotação'!$A$9:$H$529,8,0))))</f>
        <v>M.O</v>
      </c>
      <c r="E963" s="452" t="str">
        <f>IF(A963="SERVIÇO",VLOOKUP(B963,SERVIÇOS!$A$6:$D$7645,3,0),IF(A963="INSUMO",VLOOKUP(B963,INSUMOS!$A$6:$D$6961,3,0),IF(A963="COTAÇÃO",VLOOKUP(B963,'036-20-Cotação'!$A$9:$G$529,4,0))))</f>
        <v>H</v>
      </c>
      <c r="F963" s="462">
        <f>4/1.6</f>
        <v>2.5</v>
      </c>
      <c r="G963" s="453">
        <f>IF(A963="SERVIÇO",VLOOKUP(B963,SERVIÇOS!$A$6:$D$7645,4,0),IF(A963="INSUMO",VLOOKUP(B963,INSUMOS!$A$6:$D$6961,4,0),IF(A963="COTAÇÃO",VLOOKUP(B963,'036-20-Cotação'!$A$9:$G$529,3,0))))</f>
        <v>17.9801</v>
      </c>
      <c r="H963" s="463">
        <f t="shared" si="143"/>
        <v>44.950249999999997</v>
      </c>
      <c r="J963" s="201"/>
    </row>
    <row r="964" spans="1:17" s="87" customFormat="1" ht="12.75">
      <c r="A964" s="232" t="s">
        <v>4542</v>
      </c>
      <c r="B964" s="464" t="s">
        <v>6601</v>
      </c>
      <c r="C964" s="451" t="str">
        <f>IF(A964="SERVIÇO",VLOOKUP(B964,SERVIÇOS!$A$6:$D$7645,2,0),IF(A964="INSUMO",VLOOKUP(B964,INSUMOS!$A$6:$D$6961,2,0),IF(A964="COTAÇÃO",VLOOKUP(B964,'036-20-Cotação'!$A$9:$G$529,2,0))))</f>
        <v>MONTADOR</v>
      </c>
      <c r="D964" s="452" t="str">
        <f>IF(A964="SERVIÇO",VLOOKUP(B964,SERVIÇOS!$A$6:$E$7645,5,0),IF(A964="INSUMO",VLOOKUP(B964,INSUMOS!$A$6:$E$6961,5,0),IF(A964="COTAÇÃO",VLOOKUP(B964,'036-20-Cotação'!$A$9:$H$529,8,0))))</f>
        <v>M.O</v>
      </c>
      <c r="E964" s="452" t="str">
        <f>IF(A964="SERVIÇO",VLOOKUP(B964,SERVIÇOS!$A$6:$D$7645,3,0),IF(A964="INSUMO",VLOOKUP(B964,INSUMOS!$A$6:$D$6961,3,0),IF(A964="COTAÇÃO",VLOOKUP(B964,'036-20-Cotação'!$A$9:$G$529,4,0))))</f>
        <v>H</v>
      </c>
      <c r="F964" s="462">
        <f>1/1.6</f>
        <v>0.625</v>
      </c>
      <c r="G964" s="453">
        <f>IF(A964="SERVIÇO",VLOOKUP(B964,SERVIÇOS!$A$6:$D$7645,4,0),IF(A964="INSUMO",VLOOKUP(B964,INSUMOS!$A$6:$D$6961,4,0),IF(A964="COTAÇÃO",VLOOKUP(B964,'036-20-Cotação'!$A$9:$G$529,3,0))))</f>
        <v>23.4679</v>
      </c>
      <c r="H964" s="463">
        <f t="shared" si="143"/>
        <v>14.6674375</v>
      </c>
      <c r="J964" s="201"/>
    </row>
    <row r="965" spans="1:17" s="87" customFormat="1" ht="25.5">
      <c r="A965" s="232" t="s">
        <v>4542</v>
      </c>
      <c r="B965" s="464">
        <v>1108059</v>
      </c>
      <c r="C965" s="451" t="str">
        <f>'036-20-CCA''s'!$C$184</f>
        <v>MICROCONCRETO PARA REPAROS E GROUTEAMENTO</v>
      </c>
      <c r="D965" s="452" t="str">
        <f>'036-20-CCA''s'!$D$184</f>
        <v>SER.CG</v>
      </c>
      <c r="E965" s="452" t="str">
        <f>'036-20-CCA''s'!$E$184</f>
        <v>M3</v>
      </c>
      <c r="F965" s="462">
        <v>4.2520000000000002E-2</v>
      </c>
      <c r="G965" s="453">
        <f>'036-20-CCA''s'!$H$184</f>
        <v>2842.8563490406277</v>
      </c>
      <c r="H965" s="463">
        <f t="shared" si="143"/>
        <v>120.8782519612075</v>
      </c>
      <c r="J965" s="201"/>
    </row>
    <row r="966" spans="1:17" s="87" customFormat="1" ht="25.5">
      <c r="A966" s="232" t="s">
        <v>4542</v>
      </c>
      <c r="B966" s="464" t="s">
        <v>13235</v>
      </c>
      <c r="C966" s="451" t="str">
        <f>'036-20-CCA''s'!$C$313</f>
        <v xml:space="preserve">TEMPO FIXO - CAMINHÃO GUINDAUDO 20 T - CARGA MONOBRA E DESCARGA </v>
      </c>
      <c r="D966" s="452" t="str">
        <f>'036-20-CCA''s'!$D$313</f>
        <v>SER.CG</v>
      </c>
      <c r="E966" s="452" t="str">
        <f>'036-20-CCA''s'!$E$313</f>
        <v>T</v>
      </c>
      <c r="F966" s="462">
        <v>0.311</v>
      </c>
      <c r="G966" s="453">
        <f>'036-20-CCA''s'!$H$313</f>
        <v>9.3722463139635721</v>
      </c>
      <c r="H966" s="463">
        <f t="shared" si="143"/>
        <v>2.914768603642671</v>
      </c>
      <c r="J966" s="201"/>
    </row>
    <row r="967" spans="1:17" s="87" customFormat="1" ht="12.75">
      <c r="A967" s="188"/>
      <c r="B967" s="348" t="s">
        <v>123</v>
      </c>
      <c r="C967" s="695" t="s">
        <v>8172</v>
      </c>
      <c r="D967" s="696"/>
      <c r="E967" s="696"/>
      <c r="F967" s="696"/>
      <c r="G967" s="696"/>
      <c r="H967" s="697"/>
      <c r="J967" s="201"/>
      <c r="K967" s="78"/>
      <c r="L967" s="78"/>
      <c r="M967" s="78"/>
      <c r="N967" s="78"/>
      <c r="O967" s="78"/>
      <c r="P967" s="78"/>
      <c r="Q967" s="78"/>
    </row>
    <row r="968" spans="1:17" s="87" customFormat="1" ht="12.75">
      <c r="A968" s="188"/>
      <c r="B968" s="346"/>
      <c r="C968" s="390"/>
      <c r="D968" s="390"/>
      <c r="E968" s="390"/>
      <c r="F968" s="390"/>
      <c r="G968" s="390"/>
      <c r="H968" s="391"/>
      <c r="J968" s="201"/>
      <c r="K968" s="78"/>
      <c r="L968" s="78"/>
      <c r="M968" s="78"/>
      <c r="N968" s="78"/>
      <c r="O968" s="78"/>
      <c r="P968" s="78"/>
      <c r="Q968" s="78"/>
    </row>
    <row r="969" spans="1:17" s="87" customFormat="1" ht="51">
      <c r="A969" s="188"/>
      <c r="B969" s="80" t="s">
        <v>8175</v>
      </c>
      <c r="C969" s="81" t="s">
        <v>8177</v>
      </c>
      <c r="D969" s="82" t="s">
        <v>84</v>
      </c>
      <c r="E969" s="82" t="s">
        <v>4521</v>
      </c>
      <c r="F969" s="83"/>
      <c r="G969" s="84"/>
      <c r="H969" s="85">
        <f>SUM(H970:H970)</f>
        <v>10164.119939798555</v>
      </c>
      <c r="J969" s="201"/>
      <c r="K969" s="78"/>
      <c r="L969" s="78"/>
      <c r="M969" s="78"/>
      <c r="N969" s="78"/>
      <c r="O969" s="78"/>
      <c r="P969" s="78"/>
      <c r="Q969" s="78"/>
    </row>
    <row r="970" spans="1:17" s="87" customFormat="1" ht="38.25">
      <c r="A970" s="232" t="s">
        <v>12</v>
      </c>
      <c r="B970" s="464" t="s">
        <v>8179</v>
      </c>
      <c r="C970" s="451" t="str">
        <f>IF(A970="SERVIÇO",VLOOKUP(B970,SERVIÇOS!$A$6:$D$7645,2,0),IF(A970="INSUMO",VLOOKUP(B970,INSUMOS!$A$6:$D$6961,2,0),IF(A970="COTAÇÃO",VLOOKUP(B970,'036-20-Cotação'!$A$9:$G$529,2,0))))</f>
        <v>APARELHO DE APOIO ESPECIAL (VASOFLON), TIPO ARTICULAÇÃO MULTIDIRECIONAL, MODELO VM-400, COM CAPACIDADE DE 4000 KN</v>
      </c>
      <c r="D970" s="452" t="str">
        <f>IF(A970="SERVIÇO",VLOOKUP(B970,SERVIÇOS!$A$6:$E$7645,5,0),IF(A970="INSUMO",VLOOKUP(B970,INSUMOS!$A$6:$E$6961,5,0),IF(A970="COTAÇÃO",VLOOKUP(B970,'036-20-Cotação'!$A$9:$H$529,8,0))))</f>
        <v>MAT.</v>
      </c>
      <c r="E970" s="452" t="str">
        <f>IF(A970="SERVIÇO",VLOOKUP(B970,SERVIÇOS!$A$6:$D$7645,3,0),IF(A970="INSUMO",VLOOKUP(B970,INSUMOS!$A$6:$D$6961,3,0),IF(A970="COTAÇÃO",VLOOKUP(B970,'036-20-Cotação'!$A$9:$G$529,4,0))))</f>
        <v>UN</v>
      </c>
      <c r="F970" s="462">
        <v>1</v>
      </c>
      <c r="G970" s="453">
        <f>IF(A970="SERVIÇO",VLOOKUP(B970,SERVIÇOS!$A$6:$D$7645,4,0),IF(A970="INSUMO",VLOOKUP(B970,INSUMOS!$A$6:$D$6961,4,0),IF(A970="COTAÇÃO",VLOOKUP(B970,'036-20-Cotação'!$A$9:$G$529,3,0))))</f>
        <v>10164.119939798555</v>
      </c>
      <c r="H970" s="463">
        <f t="shared" ref="H970" si="144">G970*F970</f>
        <v>10164.119939798555</v>
      </c>
      <c r="J970" s="201"/>
    </row>
    <row r="971" spans="1:17" s="87" customFormat="1" ht="12.75">
      <c r="A971" s="188"/>
      <c r="B971" s="348" t="s">
        <v>123</v>
      </c>
      <c r="C971" s="695" t="s">
        <v>8181</v>
      </c>
      <c r="D971" s="696"/>
      <c r="E971" s="696"/>
      <c r="F971" s="696"/>
      <c r="G971" s="696"/>
      <c r="H971" s="697"/>
      <c r="J971" s="201"/>
      <c r="K971" s="78"/>
      <c r="L971" s="78"/>
      <c r="M971" s="78"/>
      <c r="N971" s="78"/>
      <c r="O971" s="78"/>
      <c r="P971" s="78"/>
      <c r="Q971" s="78"/>
    </row>
    <row r="972" spans="1:17" s="87" customFormat="1" ht="12.75">
      <c r="A972" s="188"/>
      <c r="B972" s="346"/>
      <c r="C972" s="390"/>
      <c r="D972" s="390"/>
      <c r="E972" s="390"/>
      <c r="F972" s="390"/>
      <c r="G972" s="390"/>
      <c r="H972" s="391"/>
      <c r="J972" s="201"/>
      <c r="K972" s="78"/>
      <c r="L972" s="78"/>
      <c r="M972" s="78"/>
      <c r="N972" s="78"/>
      <c r="O972" s="78"/>
      <c r="P972" s="78"/>
      <c r="Q972" s="78"/>
    </row>
    <row r="973" spans="1:17" s="87" customFormat="1" ht="51">
      <c r="A973" s="188"/>
      <c r="B973" s="80" t="s">
        <v>8176</v>
      </c>
      <c r="C973" s="81" t="s">
        <v>8178</v>
      </c>
      <c r="D973" s="82" t="s">
        <v>84</v>
      </c>
      <c r="E973" s="82" t="s">
        <v>4521</v>
      </c>
      <c r="F973" s="83"/>
      <c r="G973" s="84"/>
      <c r="H973" s="85">
        <f>SUM(H974:H979)</f>
        <v>238.70806134067084</v>
      </c>
      <c r="J973" s="201" t="s">
        <v>8121</v>
      </c>
      <c r="K973" s="78"/>
      <c r="L973" s="78"/>
      <c r="M973" s="78"/>
      <c r="N973" s="78"/>
      <c r="O973" s="78"/>
      <c r="P973" s="78"/>
      <c r="Q973" s="78"/>
    </row>
    <row r="974" spans="1:17" s="87" customFormat="1" ht="25.5">
      <c r="A974" s="232" t="s">
        <v>4542</v>
      </c>
      <c r="B974" s="464" t="s">
        <v>8804</v>
      </c>
      <c r="C974" s="451" t="str">
        <f>IF(A974="SERVIÇO",VLOOKUP(B974,SERVIÇOS!$A$6:$D$7645,2,0),IF(A974="INSUMO",VLOOKUP(B974,INSUMOS!$A$6:$D$6961,2,0),IF(A974="COTAÇÃO",VLOOKUP(B974,'036-20-Cotação'!$A$9:$G$529,2,0))))</f>
        <v>GUINDASTE SOBRE RODAS COM CAPACIDADE DE 370 KN.M - 75 KW</v>
      </c>
      <c r="D974" s="452" t="str">
        <f>IF(A974="SERVIÇO",VLOOKUP(B974,SERVIÇOS!$A$6:$E$7645,5,0),IF(A974="INSUMO",VLOOKUP(B974,INSUMOS!$A$6:$E$6961,5,0),IF(A974="COTAÇÃO",VLOOKUP(B974,'036-20-Cotação'!$A$9:$H$529,8,0))))</f>
        <v>EQUIP.</v>
      </c>
      <c r="E974" s="452" t="str">
        <f>IF(A974="SERVIÇO",VLOOKUP(B974,SERVIÇOS!$A$6:$D$7645,3,0),IF(A974="INSUMO",VLOOKUP(B974,INSUMOS!$A$6:$D$6961,3,0),IF(A974="COTAÇÃO",VLOOKUP(B974,'036-20-Cotação'!$A$9:$G$529,4,0))))</f>
        <v>CHP</v>
      </c>
      <c r="F974" s="462">
        <f>0.39/1.6</f>
        <v>0.24374999999999999</v>
      </c>
      <c r="G974" s="453">
        <f>IF(A974="SERVIÇO",VLOOKUP(B974,SERVIÇOS!$A$6:$D$7645,4,0),IF(A974="INSUMO",VLOOKUP(B974,INSUMOS!$A$6:$D$6961,4,0),IF(A974="COTAÇÃO",VLOOKUP(B974,'036-20-Cotação'!$A$9:$G$529,3,0))))</f>
        <v>148.07040000000001</v>
      </c>
      <c r="H974" s="463">
        <f t="shared" ref="H974:H979" si="145">G974*F974</f>
        <v>36.09216</v>
      </c>
      <c r="J974" s="201"/>
    </row>
    <row r="975" spans="1:17" s="87" customFormat="1" ht="25.5">
      <c r="A975" s="232" t="s">
        <v>4542</v>
      </c>
      <c r="B975" s="464" t="s">
        <v>9644</v>
      </c>
      <c r="C975" s="451" t="str">
        <f>IF(A975="SERVIÇO",VLOOKUP(B975,SERVIÇOS!$A$6:$D$7645,2,0),IF(A975="INSUMO",VLOOKUP(B975,INSUMOS!$A$6:$D$6961,2,0),IF(A975="COTAÇÃO",VLOOKUP(B975,'036-20-Cotação'!$A$9:$G$529,2,0))))</f>
        <v>GUINDASTE SOBRE RODAS COM CAPACIDADE DE 370 KN.M - 75 KW</v>
      </c>
      <c r="D975" s="452" t="str">
        <f>IF(A975="SERVIÇO",VLOOKUP(B975,SERVIÇOS!$A$6:$E$7645,5,0),IF(A975="INSUMO",VLOOKUP(B975,INSUMOS!$A$6:$E$6961,5,0),IF(A975="COTAÇÃO",VLOOKUP(B975,'036-20-Cotação'!$A$9:$H$529,8,0))))</f>
        <v>EQUIP.</v>
      </c>
      <c r="E975" s="452" t="str">
        <f>IF(A975="SERVIÇO",VLOOKUP(B975,SERVIÇOS!$A$6:$D$7645,3,0),IF(A975="INSUMO",VLOOKUP(B975,INSUMOS!$A$6:$D$6961,3,0),IF(A975="COTAÇÃO",VLOOKUP(B975,'036-20-Cotação'!$A$9:$G$529,4,0))))</f>
        <v>CHI</v>
      </c>
      <c r="F975" s="462">
        <f>0.61/1.6</f>
        <v>0.38124999999999998</v>
      </c>
      <c r="G975" s="453">
        <f>IF(A975="SERVIÇO",VLOOKUP(B975,SERVIÇOS!$A$6:$D$7645,4,0),IF(A975="INSUMO",VLOOKUP(B975,INSUMOS!$A$6:$D$6961,4,0),IF(A975="COTAÇÃO",VLOOKUP(B975,'036-20-Cotação'!$A$9:$G$529,3,0))))</f>
        <v>74.887100000000004</v>
      </c>
      <c r="H975" s="463">
        <f t="shared" si="145"/>
        <v>28.550706874999999</v>
      </c>
      <c r="J975" s="201"/>
    </row>
    <row r="976" spans="1:17" s="87" customFormat="1" ht="12.75">
      <c r="A976" s="232" t="s">
        <v>4542</v>
      </c>
      <c r="B976" s="464" t="s">
        <v>6825</v>
      </c>
      <c r="C976" s="451" t="str">
        <f>IF(A976="SERVIÇO",VLOOKUP(B976,SERVIÇOS!$A$6:$D$7645,2,0),IF(A976="INSUMO",VLOOKUP(B976,INSUMOS!$A$6:$D$6961,2,0),IF(A976="COTAÇÃO",VLOOKUP(B976,'036-20-Cotação'!$A$9:$G$529,2,0))))</f>
        <v>AJUDANTE</v>
      </c>
      <c r="D976" s="452" t="str">
        <f>IF(A976="SERVIÇO",VLOOKUP(B976,SERVIÇOS!$A$6:$E$7645,5,0),IF(A976="INSUMO",VLOOKUP(B976,INSUMOS!$A$6:$E$6961,5,0),IF(A976="COTAÇÃO",VLOOKUP(B976,'036-20-Cotação'!$A$9:$H$529,8,0))))</f>
        <v>M.O</v>
      </c>
      <c r="E976" s="452" t="str">
        <f>IF(A976="SERVIÇO",VLOOKUP(B976,SERVIÇOS!$A$6:$D$7645,3,0),IF(A976="INSUMO",VLOOKUP(B976,INSUMOS!$A$6:$D$6961,3,0),IF(A976="COTAÇÃO",VLOOKUP(B976,'036-20-Cotação'!$A$9:$G$529,4,0))))</f>
        <v>H</v>
      </c>
      <c r="F976" s="462">
        <f>4/1.6</f>
        <v>2.5</v>
      </c>
      <c r="G976" s="453">
        <f>IF(A976="SERVIÇO",VLOOKUP(B976,SERVIÇOS!$A$6:$D$7645,4,0),IF(A976="INSUMO",VLOOKUP(B976,INSUMOS!$A$6:$D$6961,4,0),IF(A976="COTAÇÃO",VLOOKUP(B976,'036-20-Cotação'!$A$9:$G$529,3,0))))</f>
        <v>17.9801</v>
      </c>
      <c r="H976" s="463">
        <f t="shared" si="145"/>
        <v>44.950249999999997</v>
      </c>
      <c r="J976" s="201"/>
    </row>
    <row r="977" spans="1:17" s="87" customFormat="1" ht="12.75">
      <c r="A977" s="232" t="s">
        <v>4542</v>
      </c>
      <c r="B977" s="464" t="s">
        <v>6601</v>
      </c>
      <c r="C977" s="451" t="str">
        <f>IF(A977="SERVIÇO",VLOOKUP(B977,SERVIÇOS!$A$6:$D$7645,2,0),IF(A977="INSUMO",VLOOKUP(B977,INSUMOS!$A$6:$D$6961,2,0),IF(A977="COTAÇÃO",VLOOKUP(B977,'036-20-Cotação'!$A$9:$G$529,2,0))))</f>
        <v>MONTADOR</v>
      </c>
      <c r="D977" s="452" t="str">
        <f>IF(A977="SERVIÇO",VLOOKUP(B977,SERVIÇOS!$A$6:$E$7645,5,0),IF(A977="INSUMO",VLOOKUP(B977,INSUMOS!$A$6:$E$6961,5,0),IF(A977="COTAÇÃO",VLOOKUP(B977,'036-20-Cotação'!$A$9:$H$529,8,0))))</f>
        <v>M.O</v>
      </c>
      <c r="E977" s="452" t="str">
        <f>IF(A977="SERVIÇO",VLOOKUP(B977,SERVIÇOS!$A$6:$D$7645,3,0),IF(A977="INSUMO",VLOOKUP(B977,INSUMOS!$A$6:$D$6961,3,0),IF(A977="COTAÇÃO",VLOOKUP(B977,'036-20-Cotação'!$A$9:$G$529,4,0))))</f>
        <v>H</v>
      </c>
      <c r="F977" s="462">
        <f>1/1.6</f>
        <v>0.625</v>
      </c>
      <c r="G977" s="453">
        <f>IF(A977="SERVIÇO",VLOOKUP(B977,SERVIÇOS!$A$6:$D$7645,4,0),IF(A977="INSUMO",VLOOKUP(B977,INSUMOS!$A$6:$D$6961,4,0),IF(A977="COTAÇÃO",VLOOKUP(B977,'036-20-Cotação'!$A$9:$G$529,3,0))))</f>
        <v>23.4679</v>
      </c>
      <c r="H977" s="463">
        <f t="shared" si="145"/>
        <v>14.6674375</v>
      </c>
      <c r="J977" s="201"/>
    </row>
    <row r="978" spans="1:17" s="87" customFormat="1" ht="25.5">
      <c r="A978" s="232" t="s">
        <v>4542</v>
      </c>
      <c r="B978" s="464">
        <v>1108059</v>
      </c>
      <c r="C978" s="451" t="str">
        <f>'036-20-CCA''s'!$C$184</f>
        <v>MICROCONCRETO PARA REPAROS E GROUTEAMENTO</v>
      </c>
      <c r="D978" s="452" t="str">
        <f>'036-20-CCA''s'!$D$184</f>
        <v>SER.CG</v>
      </c>
      <c r="E978" s="452" t="str">
        <f>'036-20-CCA''s'!$E$184</f>
        <v>M3</v>
      </c>
      <c r="F978" s="462">
        <v>3.9469999999999998E-2</v>
      </c>
      <c r="G978" s="453">
        <f>'036-20-CCA''s'!$H$184</f>
        <v>2842.8563490406277</v>
      </c>
      <c r="H978" s="463">
        <f t="shared" si="145"/>
        <v>112.20754009663356</v>
      </c>
      <c r="J978" s="201"/>
    </row>
    <row r="979" spans="1:17" s="87" customFormat="1" ht="25.5">
      <c r="A979" s="232" t="s">
        <v>4542</v>
      </c>
      <c r="B979" s="464" t="s">
        <v>13235</v>
      </c>
      <c r="C979" s="451" t="str">
        <f>'036-20-CCA''s'!$C$313</f>
        <v xml:space="preserve">TEMPO FIXO - CAMINHÃO GUINDAUDO 20 T - CARGA MONOBRA E DESCARGA </v>
      </c>
      <c r="D979" s="452" t="str">
        <f>'036-20-CCA''s'!$D$313</f>
        <v>SER.CG</v>
      </c>
      <c r="E979" s="452" t="str">
        <f>'036-20-CCA''s'!$E$313</f>
        <v>T</v>
      </c>
      <c r="F979" s="462">
        <v>0.23899999999999999</v>
      </c>
      <c r="G979" s="453">
        <f>'036-20-CCA''s'!$H$313</f>
        <v>9.3722463139635721</v>
      </c>
      <c r="H979" s="463">
        <f t="shared" si="145"/>
        <v>2.2399668690372936</v>
      </c>
      <c r="J979" s="201"/>
    </row>
    <row r="980" spans="1:17" s="87" customFormat="1" ht="12.75">
      <c r="A980" s="188"/>
      <c r="B980" s="348" t="s">
        <v>123</v>
      </c>
      <c r="C980" s="695" t="s">
        <v>8181</v>
      </c>
      <c r="D980" s="696"/>
      <c r="E980" s="696"/>
      <c r="F980" s="696"/>
      <c r="G980" s="696"/>
      <c r="H980" s="697"/>
      <c r="J980" s="201"/>
      <c r="K980" s="78"/>
      <c r="L980" s="78"/>
      <c r="M980" s="78"/>
      <c r="N980" s="78"/>
      <c r="O980" s="78"/>
      <c r="P980" s="78"/>
      <c r="Q980" s="78"/>
    </row>
    <row r="981" spans="1:17" s="87" customFormat="1" ht="12.75">
      <c r="A981" s="188"/>
      <c r="B981" s="346"/>
      <c r="C981" s="390"/>
      <c r="D981" s="390"/>
      <c r="E981" s="390"/>
      <c r="F981" s="390"/>
      <c r="G981" s="390"/>
      <c r="H981" s="391"/>
      <c r="J981" s="201"/>
      <c r="K981" s="78"/>
      <c r="L981" s="78"/>
      <c r="M981" s="78"/>
      <c r="N981" s="78"/>
      <c r="O981" s="78"/>
      <c r="P981" s="78"/>
      <c r="Q981" s="78"/>
    </row>
    <row r="982" spans="1:17" s="87" customFormat="1" ht="51">
      <c r="A982" s="188"/>
      <c r="B982" s="80" t="s">
        <v>8186</v>
      </c>
      <c r="C982" s="81" t="s">
        <v>8189</v>
      </c>
      <c r="D982" s="82" t="s">
        <v>84</v>
      </c>
      <c r="E982" s="82" t="s">
        <v>4521</v>
      </c>
      <c r="F982" s="83"/>
      <c r="G982" s="84"/>
      <c r="H982" s="85">
        <f>SUM(H983:H983)</f>
        <v>18604.586886890746</v>
      </c>
      <c r="J982" s="201"/>
      <c r="K982" s="78"/>
      <c r="L982" s="78"/>
      <c r="M982" s="78"/>
      <c r="N982" s="78"/>
      <c r="O982" s="78"/>
      <c r="P982" s="78"/>
      <c r="Q982" s="78"/>
    </row>
    <row r="983" spans="1:17" s="87" customFormat="1" ht="38.25">
      <c r="A983" s="232" t="s">
        <v>12</v>
      </c>
      <c r="B983" s="464" t="s">
        <v>8187</v>
      </c>
      <c r="C983" s="451" t="str">
        <f>IF(A983="SERVIÇO",VLOOKUP(B983,SERVIÇOS!$A$6:$D$7645,2,0),IF(A983="INSUMO",VLOOKUP(B983,INSUMOS!$A$6:$D$6961,2,0),IF(A983="COTAÇÃO",VLOOKUP(B983,'036-20-Cotação'!$A$9:$G$529,2,0))))</f>
        <v>APARELHO DE APOIO ESPECIAL (VASOFLON), TIPO ARTICULAÇÃO MULTIRECIONAL, MODELO VM-700, COM CAPACIDADE DE 7000 KN</v>
      </c>
      <c r="D983" s="452" t="str">
        <f>IF(A983="SERVIÇO",VLOOKUP(B983,SERVIÇOS!$A$6:$E$7645,5,0),IF(A983="INSUMO",VLOOKUP(B983,INSUMOS!$A$6:$E$6961,5,0),IF(A983="COTAÇÃO",VLOOKUP(B983,'036-20-Cotação'!$A$9:$H$529,8,0))))</f>
        <v>MAT.</v>
      </c>
      <c r="E983" s="452" t="str">
        <f>IF(A983="SERVIÇO",VLOOKUP(B983,SERVIÇOS!$A$6:$D$7645,3,0),IF(A983="INSUMO",VLOOKUP(B983,INSUMOS!$A$6:$D$6961,3,0),IF(A983="COTAÇÃO",VLOOKUP(B983,'036-20-Cotação'!$A$9:$G$529,4,0))))</f>
        <v>UN</v>
      </c>
      <c r="F983" s="462">
        <v>1</v>
      </c>
      <c r="G983" s="453">
        <f>IF(A983="SERVIÇO",VLOOKUP(B983,SERVIÇOS!$A$6:$D$7645,4,0),IF(A983="INSUMO",VLOOKUP(B983,INSUMOS!$A$6:$D$6961,4,0),IF(A983="COTAÇÃO",VLOOKUP(B983,'036-20-Cotação'!$A$9:$G$529,3,0))))</f>
        <v>18604.586886890746</v>
      </c>
      <c r="H983" s="463">
        <f t="shared" ref="H983" si="146">G983*F983</f>
        <v>18604.586886890746</v>
      </c>
      <c r="J983" s="201"/>
    </row>
    <row r="984" spans="1:17" s="87" customFormat="1" ht="12.75">
      <c r="A984" s="188"/>
      <c r="B984" s="348" t="s">
        <v>123</v>
      </c>
      <c r="C984" s="695" t="s">
        <v>8192</v>
      </c>
      <c r="D984" s="696"/>
      <c r="E984" s="696"/>
      <c r="F984" s="696"/>
      <c r="G984" s="696"/>
      <c r="H984" s="697"/>
      <c r="J984" s="201"/>
      <c r="K984" s="78"/>
      <c r="L984" s="78"/>
      <c r="M984" s="78"/>
      <c r="N984" s="78"/>
      <c r="O984" s="78"/>
      <c r="P984" s="78"/>
      <c r="Q984" s="78"/>
    </row>
    <row r="985" spans="1:17" s="87" customFormat="1" ht="12.75">
      <c r="A985" s="188"/>
      <c r="B985" s="346"/>
      <c r="C985" s="390"/>
      <c r="D985" s="390"/>
      <c r="E985" s="390"/>
      <c r="F985" s="390"/>
      <c r="G985" s="390"/>
      <c r="H985" s="391"/>
      <c r="J985" s="201"/>
      <c r="K985" s="78"/>
      <c r="L985" s="78"/>
      <c r="M985" s="78"/>
      <c r="N985" s="78"/>
      <c r="O985" s="78"/>
      <c r="P985" s="78"/>
      <c r="Q985" s="78"/>
    </row>
    <row r="986" spans="1:17" s="87" customFormat="1" ht="51">
      <c r="A986" s="188"/>
      <c r="B986" s="80" t="s">
        <v>8193</v>
      </c>
      <c r="C986" s="81" t="s">
        <v>8190</v>
      </c>
      <c r="D986" s="82" t="s">
        <v>84</v>
      </c>
      <c r="E986" s="82" t="s">
        <v>4521</v>
      </c>
      <c r="F986" s="83"/>
      <c r="G986" s="84"/>
      <c r="H986" s="85">
        <f>SUM(H987:H992)</f>
        <v>301.51256805232811</v>
      </c>
      <c r="J986" s="201" t="s">
        <v>8191</v>
      </c>
      <c r="K986" s="78"/>
      <c r="L986" s="78"/>
      <c r="M986" s="78"/>
      <c r="N986" s="78"/>
      <c r="O986" s="78"/>
      <c r="P986" s="78"/>
      <c r="Q986" s="78"/>
    </row>
    <row r="987" spans="1:17" s="87" customFormat="1" ht="25.5">
      <c r="A987" s="232" t="s">
        <v>4542</v>
      </c>
      <c r="B987" s="464" t="s">
        <v>8804</v>
      </c>
      <c r="C987" s="451" t="str">
        <f>IF(A987="SERVIÇO",VLOOKUP(B987,SERVIÇOS!$A$6:$D$7645,2,0),IF(A987="INSUMO",VLOOKUP(B987,INSUMOS!$A$6:$D$6961,2,0),IF(A987="COTAÇÃO",VLOOKUP(B987,'036-20-Cotação'!$A$9:$G$529,2,0))))</f>
        <v>GUINDASTE SOBRE RODAS COM CAPACIDADE DE 370 KN.M - 75 KW</v>
      </c>
      <c r="D987" s="452" t="str">
        <f>IF(A987="SERVIÇO",VLOOKUP(B987,SERVIÇOS!$A$6:$E$7645,5,0),IF(A987="INSUMO",VLOOKUP(B987,INSUMOS!$A$6:$E$6961,5,0),IF(A987="COTAÇÃO",VLOOKUP(B987,'036-20-Cotação'!$A$9:$H$529,8,0))))</f>
        <v>EQUIP.</v>
      </c>
      <c r="E987" s="452" t="str">
        <f>IF(A987="SERVIÇO",VLOOKUP(B987,SERVIÇOS!$A$6:$D$7645,3,0),IF(A987="INSUMO",VLOOKUP(B987,INSUMOS!$A$6:$D$6961,3,0),IF(A987="COTAÇÃO",VLOOKUP(B987,'036-20-Cotação'!$A$9:$G$529,4,0))))</f>
        <v>CHP</v>
      </c>
      <c r="F987" s="462">
        <f>0.31/1.3</f>
        <v>0.23846153846153845</v>
      </c>
      <c r="G987" s="453">
        <f>IF(A987="SERVIÇO",VLOOKUP(B987,SERVIÇOS!$A$6:$D$7645,4,0),IF(A987="INSUMO",VLOOKUP(B987,INSUMOS!$A$6:$D$6961,4,0),IF(A987="COTAÇÃO",VLOOKUP(B987,'036-20-Cotação'!$A$9:$G$529,3,0))))</f>
        <v>148.07040000000001</v>
      </c>
      <c r="H987" s="463">
        <f t="shared" ref="H987:H992" si="147">G987*F987</f>
        <v>35.309095384615382</v>
      </c>
      <c r="J987" s="201"/>
    </row>
    <row r="988" spans="1:17" s="87" customFormat="1" ht="25.5">
      <c r="A988" s="232" t="s">
        <v>4542</v>
      </c>
      <c r="B988" s="464" t="s">
        <v>9644</v>
      </c>
      <c r="C988" s="451" t="str">
        <f>IF(A988="SERVIÇO",VLOOKUP(B988,SERVIÇOS!$A$6:$D$7645,2,0),IF(A988="INSUMO",VLOOKUP(B988,INSUMOS!$A$6:$D$6961,2,0),IF(A988="COTAÇÃO",VLOOKUP(B988,'036-20-Cotação'!$A$9:$G$529,2,0))))</f>
        <v>GUINDASTE SOBRE RODAS COM CAPACIDADE DE 370 KN.M - 75 KW</v>
      </c>
      <c r="D988" s="452" t="str">
        <f>IF(A988="SERVIÇO",VLOOKUP(B988,SERVIÇOS!$A$6:$E$7645,5,0),IF(A988="INSUMO",VLOOKUP(B988,INSUMOS!$A$6:$E$6961,5,0),IF(A988="COTAÇÃO",VLOOKUP(B988,'036-20-Cotação'!$A$9:$H$529,8,0))))</f>
        <v>EQUIP.</v>
      </c>
      <c r="E988" s="452" t="str">
        <f>IF(A988="SERVIÇO",VLOOKUP(B988,SERVIÇOS!$A$6:$D$7645,3,0),IF(A988="INSUMO",VLOOKUP(B988,INSUMOS!$A$6:$D$6961,3,0),IF(A988="COTAÇÃO",VLOOKUP(B988,'036-20-Cotação'!$A$9:$G$529,4,0))))</f>
        <v>CHI</v>
      </c>
      <c r="F988" s="462">
        <f>0.69/1.3</f>
        <v>0.53076923076923066</v>
      </c>
      <c r="G988" s="453">
        <f>IF(A988="SERVIÇO",VLOOKUP(B988,SERVIÇOS!$A$6:$D$7645,4,0),IF(A988="INSUMO",VLOOKUP(B988,INSUMOS!$A$6:$D$6961,4,0),IF(A988="COTAÇÃO",VLOOKUP(B988,'036-20-Cotação'!$A$9:$G$529,3,0))))</f>
        <v>74.887100000000004</v>
      </c>
      <c r="H988" s="463">
        <f t="shared" si="147"/>
        <v>39.747768461538456</v>
      </c>
      <c r="J988" s="201"/>
    </row>
    <row r="989" spans="1:17" s="87" customFormat="1" ht="12.75">
      <c r="A989" s="232" t="s">
        <v>4542</v>
      </c>
      <c r="B989" s="464" t="s">
        <v>6825</v>
      </c>
      <c r="C989" s="451" t="str">
        <f>IF(A989="SERVIÇO",VLOOKUP(B989,SERVIÇOS!$A$6:$D$7645,2,0),IF(A989="INSUMO",VLOOKUP(B989,INSUMOS!$A$6:$D$6961,2,0),IF(A989="COTAÇÃO",VLOOKUP(B989,'036-20-Cotação'!$A$9:$G$529,2,0))))</f>
        <v>AJUDANTE</v>
      </c>
      <c r="D989" s="452" t="str">
        <f>IF(A989="SERVIÇO",VLOOKUP(B989,SERVIÇOS!$A$6:$E$7645,5,0),IF(A989="INSUMO",VLOOKUP(B989,INSUMOS!$A$6:$E$6961,5,0),IF(A989="COTAÇÃO",VLOOKUP(B989,'036-20-Cotação'!$A$9:$H$529,8,0))))</f>
        <v>M.O</v>
      </c>
      <c r="E989" s="452" t="str">
        <f>IF(A989="SERVIÇO",VLOOKUP(B989,SERVIÇOS!$A$6:$D$7645,3,0),IF(A989="INSUMO",VLOOKUP(B989,INSUMOS!$A$6:$D$6961,3,0),IF(A989="COTAÇÃO",VLOOKUP(B989,'036-20-Cotação'!$A$9:$G$529,4,0))))</f>
        <v>H</v>
      </c>
      <c r="F989" s="462">
        <f>4/1.3</f>
        <v>3.0769230769230766</v>
      </c>
      <c r="G989" s="453">
        <f>IF(A989="SERVIÇO",VLOOKUP(B989,SERVIÇOS!$A$6:$D$7645,4,0),IF(A989="INSUMO",VLOOKUP(B989,INSUMOS!$A$6:$D$6961,4,0),IF(A989="COTAÇÃO",VLOOKUP(B989,'036-20-Cotação'!$A$9:$G$529,3,0))))</f>
        <v>17.9801</v>
      </c>
      <c r="H989" s="463">
        <f t="shared" si="147"/>
        <v>55.323384615384612</v>
      </c>
      <c r="J989" s="201"/>
    </row>
    <row r="990" spans="1:17" s="87" customFormat="1" ht="12.75">
      <c r="A990" s="232" t="s">
        <v>4542</v>
      </c>
      <c r="B990" s="464" t="s">
        <v>6601</v>
      </c>
      <c r="C990" s="451" t="str">
        <f>IF(A990="SERVIÇO",VLOOKUP(B990,SERVIÇOS!$A$6:$D$7645,2,0),IF(A990="INSUMO",VLOOKUP(B990,INSUMOS!$A$6:$D$6961,2,0),IF(A990="COTAÇÃO",VLOOKUP(B990,'036-20-Cotação'!$A$9:$G$529,2,0))))</f>
        <v>MONTADOR</v>
      </c>
      <c r="D990" s="452" t="str">
        <f>IF(A990="SERVIÇO",VLOOKUP(B990,SERVIÇOS!$A$6:$E$7645,5,0),IF(A990="INSUMO",VLOOKUP(B990,INSUMOS!$A$6:$E$6961,5,0),IF(A990="COTAÇÃO",VLOOKUP(B990,'036-20-Cotação'!$A$9:$H$529,8,0))))</f>
        <v>M.O</v>
      </c>
      <c r="E990" s="452" t="str">
        <f>IF(A990="SERVIÇO",VLOOKUP(B990,SERVIÇOS!$A$6:$D$7645,3,0),IF(A990="INSUMO",VLOOKUP(B990,INSUMOS!$A$6:$D$6961,3,0),IF(A990="COTAÇÃO",VLOOKUP(B990,'036-20-Cotação'!$A$9:$G$529,4,0))))</f>
        <v>H</v>
      </c>
      <c r="F990" s="462">
        <f>1/1.3</f>
        <v>0.76923076923076916</v>
      </c>
      <c r="G990" s="453">
        <f>IF(A990="SERVIÇO",VLOOKUP(B990,SERVIÇOS!$A$6:$D$7645,4,0),IF(A990="INSUMO",VLOOKUP(B990,INSUMOS!$A$6:$D$6961,4,0),IF(A990="COTAÇÃO",VLOOKUP(B990,'036-20-Cotação'!$A$9:$G$529,3,0))))</f>
        <v>23.4679</v>
      </c>
      <c r="H990" s="463">
        <f t="shared" si="147"/>
        <v>18.052230769230768</v>
      </c>
      <c r="J990" s="201"/>
    </row>
    <row r="991" spans="1:17" s="87" customFormat="1" ht="25.5">
      <c r="A991" s="232" t="s">
        <v>4542</v>
      </c>
      <c r="B991" s="464">
        <v>1108059</v>
      </c>
      <c r="C991" s="451" t="str">
        <f>'036-20-CCA''s'!$C$184</f>
        <v>MICROCONCRETO PARA REPAROS E GROUTEAMENTO</v>
      </c>
      <c r="D991" s="452" t="str">
        <f>'036-20-CCA''s'!$D$184</f>
        <v>SER.CG</v>
      </c>
      <c r="E991" s="452" t="str">
        <f>'036-20-CCA''s'!$E$184</f>
        <v>M3</v>
      </c>
      <c r="F991" s="462">
        <v>5.2400000000000002E-2</v>
      </c>
      <c r="G991" s="453">
        <f>'036-20-CCA''s'!$H$184</f>
        <v>2842.8563490406277</v>
      </c>
      <c r="H991" s="463">
        <f t="shared" si="147"/>
        <v>148.9656726897289</v>
      </c>
      <c r="J991" s="201"/>
    </row>
    <row r="992" spans="1:17" s="87" customFormat="1" ht="25.5">
      <c r="A992" s="232" t="s">
        <v>4542</v>
      </c>
      <c r="B992" s="464" t="s">
        <v>13235</v>
      </c>
      <c r="C992" s="451" t="str">
        <f>'036-20-CCA''s'!$C$313</f>
        <v xml:space="preserve">TEMPO FIXO - CAMINHÃO GUINDAUDO 20 T - CARGA MONOBRA E DESCARGA </v>
      </c>
      <c r="D992" s="452" t="str">
        <f>'036-20-CCA''s'!$D$313</f>
        <v>SER.CG</v>
      </c>
      <c r="E992" s="452" t="str">
        <f>'036-20-CCA''s'!$E$313</f>
        <v>T</v>
      </c>
      <c r="F992" s="462">
        <v>0.439</v>
      </c>
      <c r="G992" s="453">
        <f>'036-20-CCA''s'!$H$313</f>
        <v>9.3722463139635721</v>
      </c>
      <c r="H992" s="463">
        <f t="shared" si="147"/>
        <v>4.1144161318300085</v>
      </c>
      <c r="J992" s="201"/>
    </row>
    <row r="993" spans="1:17" s="87" customFormat="1" ht="12.75">
      <c r="A993" s="188"/>
      <c r="B993" s="348" t="s">
        <v>123</v>
      </c>
      <c r="C993" s="695" t="s">
        <v>8192</v>
      </c>
      <c r="D993" s="696"/>
      <c r="E993" s="696"/>
      <c r="F993" s="696"/>
      <c r="G993" s="696"/>
      <c r="H993" s="697"/>
      <c r="J993" s="201"/>
      <c r="K993" s="78"/>
      <c r="L993" s="78"/>
      <c r="M993" s="78"/>
      <c r="N993" s="78"/>
      <c r="O993" s="78"/>
      <c r="P993" s="78"/>
      <c r="Q993" s="78"/>
    </row>
    <row r="994" spans="1:17" s="87" customFormat="1" ht="12.75">
      <c r="A994" s="188"/>
      <c r="B994" s="346"/>
      <c r="C994" s="390"/>
      <c r="D994" s="390"/>
      <c r="E994" s="390"/>
      <c r="F994" s="390"/>
      <c r="G994" s="390"/>
      <c r="H994" s="391"/>
      <c r="J994" s="201"/>
      <c r="K994" s="78"/>
      <c r="L994" s="78"/>
      <c r="M994" s="78"/>
      <c r="N994" s="78"/>
      <c r="O994" s="78"/>
      <c r="P994" s="78"/>
      <c r="Q994" s="78"/>
    </row>
    <row r="995" spans="1:17" s="87" customFormat="1" ht="38.25">
      <c r="A995" s="188"/>
      <c r="B995" s="80" t="s">
        <v>8194</v>
      </c>
      <c r="C995" s="81" t="s">
        <v>8198</v>
      </c>
      <c r="D995" s="82" t="s">
        <v>84</v>
      </c>
      <c r="E995" s="82" t="s">
        <v>4521</v>
      </c>
      <c r="F995" s="83"/>
      <c r="G995" s="84"/>
      <c r="H995" s="85">
        <f>SUM(H996:H996)</f>
        <v>20915.961100605869</v>
      </c>
      <c r="J995" s="201"/>
      <c r="K995" s="78"/>
      <c r="L995" s="78"/>
      <c r="M995" s="78"/>
      <c r="N995" s="78"/>
      <c r="O995" s="78"/>
      <c r="P995" s="78"/>
      <c r="Q995" s="78"/>
    </row>
    <row r="996" spans="1:17" s="87" customFormat="1" ht="38.25">
      <c r="A996" s="232" t="s">
        <v>12</v>
      </c>
      <c r="B996" s="464" t="s">
        <v>8196</v>
      </c>
      <c r="C996" s="451" t="str">
        <f>IF(A996="SERVIÇO",VLOOKUP(B996,SERVIÇOS!$A$6:$D$7645,2,0),IF(A996="INSUMO",VLOOKUP(B996,INSUMOS!$A$6:$D$6961,2,0),IF(A996="COTAÇÃO",VLOOKUP(B996,'036-20-Cotação'!$A$9:$G$529,2,0))))</f>
        <v>APARELHO DE APOIO ESPECIAL (VASOFLON), TIPO ARTICULAÇÃO MÓVEL, MODELO VUE-700, COM CAPACIDADE DE 7000 KN</v>
      </c>
      <c r="D996" s="452" t="str">
        <f>IF(A996="SERVIÇO",VLOOKUP(B996,SERVIÇOS!$A$6:$E$7645,5,0),IF(A996="INSUMO",VLOOKUP(B996,INSUMOS!$A$6:$E$6961,5,0),IF(A996="COTAÇÃO",VLOOKUP(B996,'036-20-Cotação'!$A$9:$H$529,8,0))))</f>
        <v>MAT.</v>
      </c>
      <c r="E996" s="452" t="str">
        <f>IF(A996="SERVIÇO",VLOOKUP(B996,SERVIÇOS!$A$6:$D$7645,3,0),IF(A996="INSUMO",VLOOKUP(B996,INSUMOS!$A$6:$D$6961,3,0),IF(A996="COTAÇÃO",VLOOKUP(B996,'036-20-Cotação'!$A$9:$G$529,4,0))))</f>
        <v>UN</v>
      </c>
      <c r="F996" s="462">
        <v>1</v>
      </c>
      <c r="G996" s="453">
        <f>IF(A996="SERVIÇO",VLOOKUP(B996,SERVIÇOS!$A$6:$D$7645,4,0),IF(A996="INSUMO",VLOOKUP(B996,INSUMOS!$A$6:$D$6961,4,0),IF(A996="COTAÇÃO",VLOOKUP(B996,'036-20-Cotação'!$A$9:$G$529,3,0))))</f>
        <v>20915.961100605869</v>
      </c>
      <c r="H996" s="463">
        <f t="shared" ref="H996" si="148">G996*F996</f>
        <v>20915.961100605869</v>
      </c>
      <c r="J996" s="201"/>
    </row>
    <row r="997" spans="1:17" s="87" customFormat="1" ht="12.75">
      <c r="A997" s="188"/>
      <c r="B997" s="348" t="s">
        <v>123</v>
      </c>
      <c r="C997" s="695" t="s">
        <v>8197</v>
      </c>
      <c r="D997" s="696"/>
      <c r="E997" s="696"/>
      <c r="F997" s="696"/>
      <c r="G997" s="696"/>
      <c r="H997" s="697"/>
      <c r="J997" s="201"/>
      <c r="K997" s="78"/>
      <c r="L997" s="78"/>
      <c r="M997" s="78"/>
      <c r="N997" s="78"/>
      <c r="O997" s="78"/>
      <c r="P997" s="78"/>
      <c r="Q997" s="78"/>
    </row>
    <row r="998" spans="1:17" s="87" customFormat="1" ht="12.75">
      <c r="A998" s="188"/>
      <c r="B998" s="346"/>
      <c r="C998" s="390"/>
      <c r="D998" s="390"/>
      <c r="E998" s="390"/>
      <c r="F998" s="390"/>
      <c r="G998" s="390"/>
      <c r="H998" s="391"/>
      <c r="J998" s="201"/>
      <c r="K998" s="78"/>
      <c r="L998" s="78"/>
      <c r="M998" s="78"/>
      <c r="N998" s="78"/>
      <c r="O998" s="78"/>
      <c r="P998" s="78"/>
      <c r="Q998" s="78"/>
    </row>
    <row r="999" spans="1:17" s="87" customFormat="1" ht="38.25">
      <c r="A999" s="188"/>
      <c r="B999" s="80" t="s">
        <v>8195</v>
      </c>
      <c r="C999" s="81" t="s">
        <v>8199</v>
      </c>
      <c r="D999" s="82" t="s">
        <v>84</v>
      </c>
      <c r="E999" s="82" t="s">
        <v>4521</v>
      </c>
      <c r="F999" s="83"/>
      <c r="G999" s="84"/>
      <c r="H999" s="85">
        <f>SUM(H1000:H1005)</f>
        <v>320.78748094308912</v>
      </c>
      <c r="J999" s="201" t="s">
        <v>8191</v>
      </c>
      <c r="K999" s="78"/>
      <c r="L999" s="78"/>
      <c r="M999" s="78"/>
      <c r="N999" s="78"/>
      <c r="O999" s="78"/>
      <c r="P999" s="78"/>
      <c r="Q999" s="78"/>
    </row>
    <row r="1000" spans="1:17" s="87" customFormat="1" ht="25.5">
      <c r="A1000" s="232" t="s">
        <v>4542</v>
      </c>
      <c r="B1000" s="464" t="s">
        <v>8804</v>
      </c>
      <c r="C1000" s="451" t="str">
        <f>IF(A1000="SERVIÇO",VLOOKUP(B1000,SERVIÇOS!$A$6:$D$7645,2,0),IF(A1000="INSUMO",VLOOKUP(B1000,INSUMOS!$A$6:$D$6961,2,0),IF(A1000="COTAÇÃO",VLOOKUP(B1000,'036-20-Cotação'!$A$9:$G$529,2,0))))</f>
        <v>GUINDASTE SOBRE RODAS COM CAPACIDADE DE 370 KN.M - 75 KW</v>
      </c>
      <c r="D1000" s="452" t="str">
        <f>IF(A1000="SERVIÇO",VLOOKUP(B1000,SERVIÇOS!$A$6:$E$7645,5,0),IF(A1000="INSUMO",VLOOKUP(B1000,INSUMOS!$A$6:$E$6961,5,0),IF(A1000="COTAÇÃO",VLOOKUP(B1000,'036-20-Cotação'!$A$9:$H$529,8,0))))</f>
        <v>EQUIP.</v>
      </c>
      <c r="E1000" s="452" t="str">
        <f>IF(A1000="SERVIÇO",VLOOKUP(B1000,SERVIÇOS!$A$6:$D$7645,3,0),IF(A1000="INSUMO",VLOOKUP(B1000,INSUMOS!$A$6:$D$6961,3,0),IF(A1000="COTAÇÃO",VLOOKUP(B1000,'036-20-Cotação'!$A$9:$G$529,4,0))))</f>
        <v>CHP</v>
      </c>
      <c r="F1000" s="462">
        <f>0.31/1.3</f>
        <v>0.23846153846153845</v>
      </c>
      <c r="G1000" s="453">
        <f>IF(A1000="SERVIÇO",VLOOKUP(B1000,SERVIÇOS!$A$6:$D$7645,4,0),IF(A1000="INSUMO",VLOOKUP(B1000,INSUMOS!$A$6:$D$6961,4,0),IF(A1000="COTAÇÃO",VLOOKUP(B1000,'036-20-Cotação'!$A$9:$G$529,3,0))))</f>
        <v>148.07040000000001</v>
      </c>
      <c r="H1000" s="463">
        <f t="shared" ref="H1000:H1005" si="149">G1000*F1000</f>
        <v>35.309095384615382</v>
      </c>
      <c r="J1000" s="201"/>
    </row>
    <row r="1001" spans="1:17" s="87" customFormat="1" ht="25.5">
      <c r="A1001" s="232" t="s">
        <v>4542</v>
      </c>
      <c r="B1001" s="464" t="s">
        <v>9644</v>
      </c>
      <c r="C1001" s="451" t="str">
        <f>IF(A1001="SERVIÇO",VLOOKUP(B1001,SERVIÇOS!$A$6:$D$7645,2,0),IF(A1001="INSUMO",VLOOKUP(B1001,INSUMOS!$A$6:$D$6961,2,0),IF(A1001="COTAÇÃO",VLOOKUP(B1001,'036-20-Cotação'!$A$9:$G$529,2,0))))</f>
        <v>GUINDASTE SOBRE RODAS COM CAPACIDADE DE 370 KN.M - 75 KW</v>
      </c>
      <c r="D1001" s="452" t="str">
        <f>IF(A1001="SERVIÇO",VLOOKUP(B1001,SERVIÇOS!$A$6:$E$7645,5,0),IF(A1001="INSUMO",VLOOKUP(B1001,INSUMOS!$A$6:$E$6961,5,0),IF(A1001="COTAÇÃO",VLOOKUP(B1001,'036-20-Cotação'!$A$9:$H$529,8,0))))</f>
        <v>EQUIP.</v>
      </c>
      <c r="E1001" s="452" t="str">
        <f>IF(A1001="SERVIÇO",VLOOKUP(B1001,SERVIÇOS!$A$6:$D$7645,3,0),IF(A1001="INSUMO",VLOOKUP(B1001,INSUMOS!$A$6:$D$6961,3,0),IF(A1001="COTAÇÃO",VLOOKUP(B1001,'036-20-Cotação'!$A$9:$G$529,4,0))))</f>
        <v>CHI</v>
      </c>
      <c r="F1001" s="462">
        <f>0.69/1.3</f>
        <v>0.53076923076923066</v>
      </c>
      <c r="G1001" s="453">
        <f>IF(A1001="SERVIÇO",VLOOKUP(B1001,SERVIÇOS!$A$6:$D$7645,4,0),IF(A1001="INSUMO",VLOOKUP(B1001,INSUMOS!$A$6:$D$6961,4,0),IF(A1001="COTAÇÃO",VLOOKUP(B1001,'036-20-Cotação'!$A$9:$G$529,3,0))))</f>
        <v>74.887100000000004</v>
      </c>
      <c r="H1001" s="463">
        <f t="shared" si="149"/>
        <v>39.747768461538456</v>
      </c>
      <c r="J1001" s="201"/>
    </row>
    <row r="1002" spans="1:17" s="87" customFormat="1" ht="12.75">
      <c r="A1002" s="232" t="s">
        <v>4542</v>
      </c>
      <c r="B1002" s="464" t="s">
        <v>6825</v>
      </c>
      <c r="C1002" s="451" t="str">
        <f>IF(A1002="SERVIÇO",VLOOKUP(B1002,SERVIÇOS!$A$6:$D$7645,2,0),IF(A1002="INSUMO",VLOOKUP(B1002,INSUMOS!$A$6:$D$6961,2,0),IF(A1002="COTAÇÃO",VLOOKUP(B1002,'036-20-Cotação'!$A$9:$G$529,2,0))))</f>
        <v>AJUDANTE</v>
      </c>
      <c r="D1002" s="452" t="str">
        <f>IF(A1002="SERVIÇO",VLOOKUP(B1002,SERVIÇOS!$A$6:$E$7645,5,0),IF(A1002="INSUMO",VLOOKUP(B1002,INSUMOS!$A$6:$E$6961,5,0),IF(A1002="COTAÇÃO",VLOOKUP(B1002,'036-20-Cotação'!$A$9:$H$529,8,0))))</f>
        <v>M.O</v>
      </c>
      <c r="E1002" s="452" t="str">
        <f>IF(A1002="SERVIÇO",VLOOKUP(B1002,SERVIÇOS!$A$6:$D$7645,3,0),IF(A1002="INSUMO",VLOOKUP(B1002,INSUMOS!$A$6:$D$6961,3,0),IF(A1002="COTAÇÃO",VLOOKUP(B1002,'036-20-Cotação'!$A$9:$G$529,4,0))))</f>
        <v>H</v>
      </c>
      <c r="F1002" s="462">
        <f>4/1.3</f>
        <v>3.0769230769230766</v>
      </c>
      <c r="G1002" s="453">
        <f>IF(A1002="SERVIÇO",VLOOKUP(B1002,SERVIÇOS!$A$6:$D$7645,4,0),IF(A1002="INSUMO",VLOOKUP(B1002,INSUMOS!$A$6:$D$6961,4,0),IF(A1002="COTAÇÃO",VLOOKUP(B1002,'036-20-Cotação'!$A$9:$G$529,3,0))))</f>
        <v>17.9801</v>
      </c>
      <c r="H1002" s="463">
        <f t="shared" si="149"/>
        <v>55.323384615384612</v>
      </c>
      <c r="J1002" s="201"/>
    </row>
    <row r="1003" spans="1:17" s="87" customFormat="1" ht="12.75">
      <c r="A1003" s="232" t="s">
        <v>4542</v>
      </c>
      <c r="B1003" s="464" t="s">
        <v>6601</v>
      </c>
      <c r="C1003" s="451" t="str">
        <f>IF(A1003="SERVIÇO",VLOOKUP(B1003,SERVIÇOS!$A$6:$D$7645,2,0),IF(A1003="INSUMO",VLOOKUP(B1003,INSUMOS!$A$6:$D$6961,2,0),IF(A1003="COTAÇÃO",VLOOKUP(B1003,'036-20-Cotação'!$A$9:$G$529,2,0))))</f>
        <v>MONTADOR</v>
      </c>
      <c r="D1003" s="452" t="str">
        <f>IF(A1003="SERVIÇO",VLOOKUP(B1003,SERVIÇOS!$A$6:$E$7645,5,0),IF(A1003="INSUMO",VLOOKUP(B1003,INSUMOS!$A$6:$E$6961,5,0),IF(A1003="COTAÇÃO",VLOOKUP(B1003,'036-20-Cotação'!$A$9:$H$529,8,0))))</f>
        <v>M.O</v>
      </c>
      <c r="E1003" s="452" t="str">
        <f>IF(A1003="SERVIÇO",VLOOKUP(B1003,SERVIÇOS!$A$6:$D$7645,3,0),IF(A1003="INSUMO",VLOOKUP(B1003,INSUMOS!$A$6:$D$6961,3,0),IF(A1003="COTAÇÃO",VLOOKUP(B1003,'036-20-Cotação'!$A$9:$G$529,4,0))))</f>
        <v>H</v>
      </c>
      <c r="F1003" s="462">
        <f>1/1.3</f>
        <v>0.76923076923076916</v>
      </c>
      <c r="G1003" s="453">
        <f>IF(A1003="SERVIÇO",VLOOKUP(B1003,SERVIÇOS!$A$6:$D$7645,4,0),IF(A1003="INSUMO",VLOOKUP(B1003,INSUMOS!$A$6:$D$6961,4,0),IF(A1003="COTAÇÃO",VLOOKUP(B1003,'036-20-Cotação'!$A$9:$G$529,3,0))))</f>
        <v>23.4679</v>
      </c>
      <c r="H1003" s="463">
        <f t="shared" si="149"/>
        <v>18.052230769230768</v>
      </c>
      <c r="J1003" s="201"/>
    </row>
    <row r="1004" spans="1:17" s="87" customFormat="1" ht="25.5">
      <c r="A1004" s="232" t="s">
        <v>4542</v>
      </c>
      <c r="B1004" s="464">
        <v>1108059</v>
      </c>
      <c r="C1004" s="451" t="str">
        <f>'036-20-CCA''s'!$C$184</f>
        <v>MICROCONCRETO PARA REPAROS E GROUTEAMENTO</v>
      </c>
      <c r="D1004" s="452" t="str">
        <f>'036-20-CCA''s'!$D$184</f>
        <v>SER.CG</v>
      </c>
      <c r="E1004" s="452" t="str">
        <f>'036-20-CCA''s'!$E$184</f>
        <v>M3</v>
      </c>
      <c r="F1004" s="462">
        <v>5.8590000000000003E-2</v>
      </c>
      <c r="G1004" s="453">
        <f>'036-20-CCA''s'!$H$184</f>
        <v>2842.8563490406277</v>
      </c>
      <c r="H1004" s="463">
        <f t="shared" si="149"/>
        <v>166.5629534902904</v>
      </c>
      <c r="J1004" s="201"/>
    </row>
    <row r="1005" spans="1:17" s="87" customFormat="1" ht="25.5">
      <c r="A1005" s="232" t="s">
        <v>4542</v>
      </c>
      <c r="B1005" s="464" t="s">
        <v>13235</v>
      </c>
      <c r="C1005" s="451" t="str">
        <f>'036-20-CCA''s'!$C$313</f>
        <v xml:space="preserve">TEMPO FIXO - CAMINHÃO GUINDAUDO 20 T - CARGA MONOBRA E DESCARGA </v>
      </c>
      <c r="D1005" s="452" t="str">
        <f>'036-20-CCA''s'!$D$313</f>
        <v>SER.CG</v>
      </c>
      <c r="E1005" s="452" t="str">
        <f>'036-20-CCA''s'!$E$313</f>
        <v>T</v>
      </c>
      <c r="F1005" s="462">
        <v>0.61799999999999999</v>
      </c>
      <c r="G1005" s="453">
        <f>'036-20-CCA''s'!$H$313</f>
        <v>9.3722463139635721</v>
      </c>
      <c r="H1005" s="463">
        <f t="shared" si="149"/>
        <v>5.7920482220294875</v>
      </c>
      <c r="J1005" s="201"/>
    </row>
    <row r="1006" spans="1:17" s="87" customFormat="1" ht="12.75">
      <c r="A1006" s="188"/>
      <c r="B1006" s="348" t="s">
        <v>123</v>
      </c>
      <c r="C1006" s="695" t="s">
        <v>8197</v>
      </c>
      <c r="D1006" s="696"/>
      <c r="E1006" s="696"/>
      <c r="F1006" s="696"/>
      <c r="G1006" s="696"/>
      <c r="H1006" s="697"/>
      <c r="J1006" s="201"/>
      <c r="K1006" s="78"/>
      <c r="L1006" s="78"/>
      <c r="M1006" s="78"/>
      <c r="N1006" s="78"/>
      <c r="O1006" s="78"/>
      <c r="P1006" s="78"/>
      <c r="Q1006" s="78"/>
    </row>
    <row r="1007" spans="1:17" s="87" customFormat="1" ht="12.75">
      <c r="A1007" s="188"/>
      <c r="B1007" s="346"/>
      <c r="C1007" s="390"/>
      <c r="D1007" s="390"/>
      <c r="E1007" s="390"/>
      <c r="F1007" s="390"/>
      <c r="G1007" s="390"/>
      <c r="H1007" s="391"/>
      <c r="J1007" s="201"/>
      <c r="K1007" s="78"/>
      <c r="L1007" s="78"/>
      <c r="M1007" s="78"/>
      <c r="N1007" s="78"/>
      <c r="O1007" s="78"/>
      <c r="P1007" s="78"/>
      <c r="Q1007" s="78"/>
    </row>
    <row r="1008" spans="1:17" s="87" customFormat="1" ht="63.75">
      <c r="A1008" s="188"/>
      <c r="B1008" s="80" t="s">
        <v>8206</v>
      </c>
      <c r="C1008" s="81" t="s">
        <v>8207</v>
      </c>
      <c r="D1008" s="82" t="s">
        <v>84</v>
      </c>
      <c r="E1008" s="82" t="s">
        <v>4521</v>
      </c>
      <c r="F1008" s="83"/>
      <c r="G1008" s="84"/>
      <c r="H1008" s="85">
        <f>SUM(H1009:H1009)</f>
        <v>642.6</v>
      </c>
      <c r="J1008" s="201"/>
      <c r="K1008" s="78"/>
      <c r="L1008" s="78"/>
      <c r="M1008" s="78"/>
      <c r="N1008" s="78"/>
      <c r="O1008" s="78"/>
      <c r="P1008" s="78"/>
      <c r="Q1008" s="78"/>
    </row>
    <row r="1009" spans="1:17" s="87" customFormat="1" ht="25.5">
      <c r="A1009" s="232" t="s">
        <v>4542</v>
      </c>
      <c r="B1009" s="464" t="s">
        <v>8209</v>
      </c>
      <c r="C1009" s="451" t="str">
        <f>IF(A1009="SERVIÇO",VLOOKUP(B1009,SERVIÇOS!$A$6:$D$7645,2,0),IF(A1009="INSUMO",VLOOKUP(B1009,INSUMOS!$A$6:$D$6961,2,0),IF(A1009="COTAÇÃO",VLOOKUP(B1009,'036-20-Cotação'!$A$9:$G$529,2,0))))</f>
        <v>DESPESAS COM PEDÁGIO DE SP PARA DF - TRASN. MAT. APARELHOS DE APOIO</v>
      </c>
      <c r="D1009" s="452" t="str">
        <f>IF(A1009="SERVIÇO",VLOOKUP(B1009,SERVIÇOS!$A$6:$E$7645,5,0),IF(A1009="INSUMO",VLOOKUP(B1009,INSUMOS!$A$6:$E$6961,5,0),IF(A1009="COTAÇÃO",VLOOKUP(B1009,'036-20-Cotação'!$A$9:$H$529,8,0))))</f>
        <v>SER.CG</v>
      </c>
      <c r="E1009" s="452" t="str">
        <f>IF(A1009="SERVIÇO",VLOOKUP(B1009,SERVIÇOS!$A$6:$D$7645,3,0),IF(A1009="INSUMO",VLOOKUP(B1009,INSUMOS!$A$6:$D$6961,3,0),IF(A1009="COTAÇÃO",VLOOKUP(B1009,'036-20-Cotação'!$A$9:$G$529,4,0))))</f>
        <v xml:space="preserve">UN    </v>
      </c>
      <c r="F1009" s="462">
        <v>1</v>
      </c>
      <c r="G1009" s="453">
        <f>IF(A1009="SERVIÇO",VLOOKUP(B1009,SERVIÇOS!$A$6:$D$7645,4,0),IF(A1009="INSUMO",VLOOKUP(B1009,INSUMOS!$A$6:$D$6961,4,0),IF(A1009="COTAÇÃO",VLOOKUP(B1009,'036-20-Cotação'!$A$9:$G$529,3,0))))</f>
        <v>642.6</v>
      </c>
      <c r="H1009" s="463">
        <f>G1009*F1009</f>
        <v>642.6</v>
      </c>
      <c r="J1009" s="201"/>
    </row>
    <row r="1010" spans="1:17" s="87" customFormat="1" ht="12.75">
      <c r="A1010" s="188"/>
      <c r="B1010" s="348" t="s">
        <v>123</v>
      </c>
      <c r="C1010" s="695" t="s">
        <v>8212</v>
      </c>
      <c r="D1010" s="696"/>
      <c r="E1010" s="696"/>
      <c r="F1010" s="696"/>
      <c r="G1010" s="696"/>
      <c r="H1010" s="697"/>
      <c r="J1010" s="201"/>
      <c r="K1010" s="78"/>
      <c r="L1010" s="78"/>
      <c r="M1010" s="78"/>
      <c r="N1010" s="78"/>
      <c r="O1010" s="78"/>
      <c r="P1010" s="78"/>
      <c r="Q1010" s="78"/>
    </row>
    <row r="1011" spans="1:17" s="87" customFormat="1" ht="12.75">
      <c r="A1011" s="188"/>
      <c r="B1011" s="346"/>
      <c r="C1011" s="393"/>
      <c r="D1011" s="393"/>
      <c r="E1011" s="393"/>
      <c r="F1011" s="393"/>
      <c r="G1011" s="393"/>
      <c r="H1011" s="394"/>
      <c r="J1011" s="201"/>
      <c r="K1011" s="78"/>
      <c r="L1011" s="78"/>
      <c r="M1011" s="78"/>
      <c r="N1011" s="78"/>
      <c r="O1011" s="78"/>
      <c r="P1011" s="78"/>
      <c r="Q1011" s="78"/>
    </row>
    <row r="1012" spans="1:17" s="87" customFormat="1" ht="76.5">
      <c r="A1012" s="188"/>
      <c r="B1012" s="80" t="s">
        <v>8224</v>
      </c>
      <c r="C1012" s="81" t="s">
        <v>13483</v>
      </c>
      <c r="D1012" s="82" t="s">
        <v>84</v>
      </c>
      <c r="E1012" s="82" t="s">
        <v>4521</v>
      </c>
      <c r="F1012" s="83"/>
      <c r="G1012" s="84"/>
      <c r="H1012" s="85">
        <f>SUM(H1013:H1013)</f>
        <v>642.6</v>
      </c>
      <c r="J1012" s="201"/>
      <c r="K1012" s="78"/>
      <c r="L1012" s="78"/>
      <c r="M1012" s="78"/>
      <c r="N1012" s="78"/>
      <c r="O1012" s="78"/>
      <c r="P1012" s="78"/>
      <c r="Q1012" s="78"/>
    </row>
    <row r="1013" spans="1:17" s="87" customFormat="1" ht="38.25">
      <c r="A1013" s="232" t="s">
        <v>4542</v>
      </c>
      <c r="B1013" s="464" t="s">
        <v>8225</v>
      </c>
      <c r="C1013" s="451" t="str">
        <f>IF(A1013="SERVIÇO",VLOOKUP(B1013,SERVIÇOS!$A$6:$D$7645,2,0),IF(A1013="INSUMO",VLOOKUP(B1013,INSUMOS!$A$6:$D$6961,2,0),IF(A1013="COTAÇÃO",VLOOKUP(B1013,'036-20-Cotação'!$A$9:$G$529,2,0))))</f>
        <v>DESPESAS COM PEDÁGIO DE SP PARA DF - TRASN. MAT. SISTEMA DE ANCORAGEM E MATERIAIS DE RECUPERAÇÃO ESTRUTURAL</v>
      </c>
      <c r="D1013" s="452" t="str">
        <f>IF(A1013="SERVIÇO",VLOOKUP(B1013,SERVIÇOS!$A$6:$E$7645,5,0),IF(A1013="INSUMO",VLOOKUP(B1013,INSUMOS!$A$6:$E$6961,5,0),IF(A1013="COTAÇÃO",VLOOKUP(B1013,'036-20-Cotação'!$A$9:$H$529,8,0))))</f>
        <v>SER.CG</v>
      </c>
      <c r="E1013" s="452" t="str">
        <f>IF(A1013="SERVIÇO",VLOOKUP(B1013,SERVIÇOS!$A$6:$D$7645,3,0),IF(A1013="INSUMO",VLOOKUP(B1013,INSUMOS!$A$6:$D$6961,3,0),IF(A1013="COTAÇÃO",VLOOKUP(B1013,'036-20-Cotação'!$A$9:$G$529,4,0))))</f>
        <v xml:space="preserve">UN    </v>
      </c>
      <c r="F1013" s="462">
        <v>1</v>
      </c>
      <c r="G1013" s="453">
        <f>IF(A1013="SERVIÇO",VLOOKUP(B1013,SERVIÇOS!$A$6:$D$7645,4,0),IF(A1013="INSUMO",VLOOKUP(B1013,INSUMOS!$A$6:$D$6961,4,0),IF(A1013="COTAÇÃO",VLOOKUP(B1013,'036-20-Cotação'!$A$9:$G$529,3,0))))</f>
        <v>642.6</v>
      </c>
      <c r="H1013" s="463">
        <f>G1013*F1013</f>
        <v>642.6</v>
      </c>
      <c r="J1013" s="201"/>
    </row>
    <row r="1014" spans="1:17" s="87" customFormat="1" ht="12.75">
      <c r="A1014" s="188"/>
      <c r="B1014" s="348" t="s">
        <v>123</v>
      </c>
      <c r="C1014" s="695" t="s">
        <v>8226</v>
      </c>
      <c r="D1014" s="696"/>
      <c r="E1014" s="696"/>
      <c r="F1014" s="696"/>
      <c r="G1014" s="696"/>
      <c r="H1014" s="697"/>
      <c r="J1014" s="201"/>
      <c r="K1014" s="78"/>
      <c r="L1014" s="78"/>
      <c r="M1014" s="78"/>
      <c r="N1014" s="78"/>
      <c r="O1014" s="78"/>
      <c r="P1014" s="78"/>
      <c r="Q1014" s="78"/>
    </row>
    <row r="1015" spans="1:17" s="78" customFormat="1" ht="12.75">
      <c r="A1015" s="188"/>
      <c r="B1015" s="346"/>
      <c r="C1015" s="347"/>
      <c r="D1015" s="347"/>
      <c r="E1015" s="347"/>
      <c r="F1015" s="347"/>
      <c r="G1015" s="347"/>
      <c r="H1015" s="347"/>
      <c r="J1015" s="79"/>
      <c r="K1015" s="87"/>
      <c r="L1015" s="87"/>
      <c r="M1015" s="87"/>
      <c r="N1015" s="87"/>
      <c r="O1015" s="87"/>
      <c r="P1015" s="87"/>
      <c r="Q1015" s="87"/>
    </row>
    <row r="1016" spans="1:17" s="78" customFormat="1" ht="38.25">
      <c r="A1016" s="188"/>
      <c r="B1016" s="80" t="s">
        <v>8314</v>
      </c>
      <c r="C1016" s="81" t="s">
        <v>8316</v>
      </c>
      <c r="D1016" s="82" t="s">
        <v>84</v>
      </c>
      <c r="E1016" s="82" t="s">
        <v>5</v>
      </c>
      <c r="F1016" s="83"/>
      <c r="G1016" s="84"/>
      <c r="H1016" s="85">
        <f>SUM(H1017:H1018)</f>
        <v>4.0309375000000003</v>
      </c>
      <c r="J1016" s="79"/>
      <c r="K1016" s="87"/>
      <c r="L1016" s="87"/>
      <c r="M1016" s="87"/>
      <c r="N1016" s="87"/>
      <c r="O1016" s="87"/>
      <c r="P1016" s="87"/>
      <c r="Q1016" s="87"/>
    </row>
    <row r="1017" spans="1:17" s="87" customFormat="1" ht="12.75">
      <c r="A1017" s="232" t="s">
        <v>4542</v>
      </c>
      <c r="B1017" s="464" t="s">
        <v>6602</v>
      </c>
      <c r="C1017" s="451" t="str">
        <f>IF(A1017="SERVIÇO",VLOOKUP(B1017,SERVIÇOS!$A$6:$D$7645,2,0),IF(A1017="INSUMO",VLOOKUP(B1017,INSUMOS!$A$6:$D$6961,2,0),IF(A1017="COTAÇÃO",VLOOKUP(B1017,'036-20-Cotação'!$A$9:$G$529,2,0))))</f>
        <v>SERVENTE</v>
      </c>
      <c r="D1017" s="452" t="str">
        <f>IF(A1017="SERVIÇO",VLOOKUP(B1017,SERVIÇOS!$A$6:$E$7645,5,0),IF(A1017="INSUMO",VLOOKUP(B1017,INSUMOS!$A$6:$E$6961,5,0),IF(A1017="COTAÇÃO",VLOOKUP(B1017,'036-20-Cotação'!$A$9:$H$529,8,0))))</f>
        <v>M.O</v>
      </c>
      <c r="E1017" s="452" t="str">
        <f>IF(A1017="SERVIÇO",VLOOKUP(B1017,SERVIÇOS!$A$6:$D$7645,3,0),IF(A1017="INSUMO",VLOOKUP(B1017,INSUMOS!$A$6:$D$6961,3,0),IF(A1017="COTAÇÃO",VLOOKUP(B1017,'036-20-Cotação'!$A$9:$G$529,4,0))))</f>
        <v>H</v>
      </c>
      <c r="F1017" s="462">
        <v>0.125</v>
      </c>
      <c r="G1017" s="453">
        <f>IF(A1017="SERVIÇO",VLOOKUP(B1017,SERVIÇOS!$A$6:$D$7645,4,0),IF(A1017="INSUMO",VLOOKUP(B1017,INSUMOS!$A$6:$D$6961,4,0),IF(A1017="COTAÇÃO",VLOOKUP(B1017,'036-20-Cotação'!$A$9:$G$529,3,0))))</f>
        <v>15.637499999999999</v>
      </c>
      <c r="H1017" s="463">
        <f t="shared" ref="H1017:H1018" si="150">G1017*F1017</f>
        <v>1.9546874999999999</v>
      </c>
      <c r="J1017" s="201"/>
    </row>
    <row r="1018" spans="1:17" s="87" customFormat="1" ht="63.75">
      <c r="A1018" s="232" t="s">
        <v>4542</v>
      </c>
      <c r="B1018" s="464">
        <v>91283</v>
      </c>
      <c r="C1018" s="451" t="str">
        <f>IF(A1018="SERVIÇO",VLOOKUP(B1018,SERVIÇOS!$A$6:$D$7645,2,0),IF(A1018="INSUMO",VLOOKUP(B1018,INSUMOS!$A$6:$D$6961,2,0),IF(A1018="COTAÇÃO",VLOOKUP(B1018,'036-20-Cotação'!$A$9:$G$529,2,0))))</f>
        <v>CORTADORA DE PISO COM MOTOR 4 TEMPOS A GASOLINA, POTÊNCIA DE 13 HP, COM DISCO DE CORTE DIAMANTADO SEGMENTADO PARA CONCRETO, DIÂMETRO DE 350 MM, FURO DE 1" (14 X 1") - CHP DIURNO. AF_08/2015</v>
      </c>
      <c r="D1018" s="452" t="str">
        <f>IF(A1018="SERVIÇO",VLOOKUP(B1018,SERVIÇOS!$A$6:$E$7645,5,0),IF(A1018="INSUMO",VLOOKUP(B1018,INSUMOS!$A$6:$E$6961,5,0),IF(A1018="COTAÇÃO",VLOOKUP(B1018,'036-20-Cotação'!$A$9:$H$529,8,0))))</f>
        <v>EQUIP.</v>
      </c>
      <c r="E1018" s="452" t="str">
        <f>IF(A1018="SERVIÇO",VLOOKUP(B1018,SERVIÇOS!$A$6:$D$7645,3,0),IF(A1018="INSUMO",VLOOKUP(B1018,INSUMOS!$A$6:$D$6961,3,0),IF(A1018="COTAÇÃO",VLOOKUP(B1018,'036-20-Cotação'!$A$9:$G$529,4,0))))</f>
        <v>CHP</v>
      </c>
      <c r="F1018" s="462">
        <v>0.125</v>
      </c>
      <c r="G1018" s="453" t="str">
        <f>IF(A1018="SERVIÇO",VLOOKUP(B1018,SERVIÇOS!$A$6:$D$7645,4,0),IF(A1018="INSUMO",VLOOKUP(B1018,INSUMOS!$A$6:$D$6961,4,0),IF(A1018="COTAÇÃO",VLOOKUP(B1018,'036-20-Cotação'!$A$9:$G$529,3,0))))</f>
        <v>16,61</v>
      </c>
      <c r="H1018" s="463">
        <f t="shared" si="150"/>
        <v>2.0762499999999999</v>
      </c>
      <c r="J1018" s="201"/>
    </row>
    <row r="1019" spans="1:17" s="87" customFormat="1" ht="12.75">
      <c r="A1019" s="188"/>
      <c r="B1019" s="348" t="s">
        <v>123</v>
      </c>
      <c r="C1019" s="695" t="s">
        <v>13139</v>
      </c>
      <c r="D1019" s="696"/>
      <c r="E1019" s="696"/>
      <c r="F1019" s="696"/>
      <c r="G1019" s="696"/>
      <c r="H1019" s="697"/>
      <c r="J1019" s="201"/>
    </row>
    <row r="1020" spans="1:17" s="78" customFormat="1" ht="12.75">
      <c r="A1020" s="188"/>
      <c r="B1020" s="346"/>
      <c r="C1020" s="347"/>
      <c r="D1020" s="347"/>
      <c r="E1020" s="347"/>
      <c r="F1020" s="347"/>
      <c r="G1020" s="347"/>
      <c r="H1020" s="347"/>
      <c r="J1020" s="79"/>
      <c r="K1020" s="87"/>
      <c r="L1020" s="87"/>
      <c r="M1020" s="87"/>
      <c r="N1020" s="87"/>
      <c r="O1020" s="87"/>
      <c r="P1020" s="87"/>
      <c r="Q1020" s="87"/>
    </row>
    <row r="1021" spans="1:17" s="78" customFormat="1" ht="25.5">
      <c r="A1021" s="188"/>
      <c r="B1021" s="80" t="s">
        <v>8315</v>
      </c>
      <c r="C1021" s="81" t="s">
        <v>8317</v>
      </c>
      <c r="D1021" s="82" t="s">
        <v>84</v>
      </c>
      <c r="E1021" s="82" t="s">
        <v>150</v>
      </c>
      <c r="F1021" s="83"/>
      <c r="G1021" s="84"/>
      <c r="H1021" s="85">
        <f>SUM(H1022:H1023)</f>
        <v>1.6306919999999998</v>
      </c>
      <c r="J1021" s="79"/>
      <c r="K1021" s="87"/>
      <c r="L1021" s="87"/>
      <c r="M1021" s="87"/>
      <c r="N1021" s="87"/>
      <c r="O1021" s="87"/>
      <c r="P1021" s="87"/>
      <c r="Q1021" s="87"/>
    </row>
    <row r="1022" spans="1:17" s="87" customFormat="1" ht="12.75">
      <c r="A1022" s="232" t="s">
        <v>4542</v>
      </c>
      <c r="B1022" s="464" t="s">
        <v>6602</v>
      </c>
      <c r="C1022" s="451" t="str">
        <f>IF(A1022="SERVIÇO",VLOOKUP(B1022,SERVIÇOS!$A$6:$D$7645,2,0),IF(A1022="INSUMO",VLOOKUP(B1022,INSUMOS!$A$6:$D$6961,2,0),IF(A1022="COTAÇÃO",VLOOKUP(B1022,'036-20-Cotação'!$A$9:$G$529,2,0))))</f>
        <v>SERVENTE</v>
      </c>
      <c r="D1022" s="452" t="str">
        <f>IF(A1022="SERVIÇO",VLOOKUP(B1022,SERVIÇOS!$A$6:$E$7645,5,0),IF(A1022="INSUMO",VLOOKUP(B1022,INSUMOS!$A$6:$E$6961,5,0),IF(A1022="COTAÇÃO",VLOOKUP(B1022,'036-20-Cotação'!$A$9:$H$529,8,0))))</f>
        <v>M.O</v>
      </c>
      <c r="E1022" s="452" t="str">
        <f>IF(A1022="SERVIÇO",VLOOKUP(B1022,SERVIÇOS!$A$6:$D$7645,3,0),IF(A1022="INSUMO",VLOOKUP(B1022,INSUMOS!$A$6:$D$6961,3,0),IF(A1022="COTAÇÃO",VLOOKUP(B1022,'036-20-Cotação'!$A$9:$G$529,4,0))))</f>
        <v>H</v>
      </c>
      <c r="F1022" s="462">
        <v>8.8999999999999996E-2</v>
      </c>
      <c r="G1022" s="453">
        <f>IF(A1022="SERVIÇO",VLOOKUP(B1022,SERVIÇOS!$A$6:$D$7645,4,0),IF(A1022="INSUMO",VLOOKUP(B1022,INSUMOS!$A$6:$D$6961,4,0),IF(A1022="COTAÇÃO",VLOOKUP(B1022,'036-20-Cotação'!$A$9:$G$529,3,0))))</f>
        <v>15.637499999999999</v>
      </c>
      <c r="H1022" s="463">
        <f t="shared" ref="H1022:H1023" si="151">G1022*F1022</f>
        <v>1.3917374999999998</v>
      </c>
      <c r="J1022" s="201"/>
    </row>
    <row r="1023" spans="1:17" s="87" customFormat="1" ht="25.5">
      <c r="A1023" s="232" t="s">
        <v>4542</v>
      </c>
      <c r="B1023" s="464" t="s">
        <v>9174</v>
      </c>
      <c r="C1023" s="451" t="str">
        <f>IF(A1023="SERVIÇO",VLOOKUP(B1023,SERVIÇOS!$A$6:$D$7645,2,0),IF(A1023="INSUMO",VLOOKUP(B1023,INSUMOS!$A$6:$D$6961,2,0),IF(A1023="COTAÇÃO",VLOOKUP(B1023,'036-20-Cotação'!$A$9:$G$529,2,0))))</f>
        <v>COMPRESSOR DE AR PORTÁTIL DE 71 PCM - 15 KW</v>
      </c>
      <c r="D1023" s="452" t="str">
        <f>IF(A1023="SERVIÇO",VLOOKUP(B1023,SERVIÇOS!$A$6:$E$7645,5,0),IF(A1023="INSUMO",VLOOKUP(B1023,INSUMOS!$A$6:$E$6961,5,0),IF(A1023="COTAÇÃO",VLOOKUP(B1023,'036-20-Cotação'!$A$9:$H$529,8,0))))</f>
        <v>EQUIP.</v>
      </c>
      <c r="E1023" s="452" t="str">
        <f>IF(A1023="SERVIÇO",VLOOKUP(B1023,SERVIÇOS!$A$6:$D$7645,3,0),IF(A1023="INSUMO",VLOOKUP(B1023,INSUMOS!$A$6:$D$6961,3,0),IF(A1023="COTAÇÃO",VLOOKUP(B1023,'036-20-Cotação'!$A$9:$G$529,4,0))))</f>
        <v>CHP</v>
      </c>
      <c r="F1023" s="462">
        <v>1.4999999999999999E-2</v>
      </c>
      <c r="G1023" s="453">
        <f>IF(A1023="SERVIÇO",VLOOKUP(B1023,SERVIÇOS!$A$6:$D$7645,4,0),IF(A1023="INSUMO",VLOOKUP(B1023,INSUMOS!$A$6:$D$6961,4,0),IF(A1023="COTAÇÃO",VLOOKUP(B1023,'036-20-Cotação'!$A$9:$G$529,3,0))))</f>
        <v>15.930300000000001</v>
      </c>
      <c r="H1023" s="463">
        <f t="shared" si="151"/>
        <v>0.23895450000000001</v>
      </c>
      <c r="J1023" s="201"/>
    </row>
    <row r="1024" spans="1:17" s="87" customFormat="1" ht="12.75">
      <c r="A1024" s="188"/>
      <c r="B1024" s="348" t="s">
        <v>123</v>
      </c>
      <c r="C1024" s="695" t="s">
        <v>8318</v>
      </c>
      <c r="D1024" s="696"/>
      <c r="E1024" s="696"/>
      <c r="F1024" s="696"/>
      <c r="G1024" s="696"/>
      <c r="H1024" s="697"/>
      <c r="J1024" s="201"/>
    </row>
    <row r="1025" spans="1:17" s="78" customFormat="1" ht="12.75">
      <c r="A1025" s="188"/>
      <c r="B1025" s="346"/>
      <c r="C1025" s="347"/>
      <c r="D1025" s="347"/>
      <c r="E1025" s="347"/>
      <c r="F1025" s="347"/>
      <c r="G1025" s="347"/>
      <c r="H1025" s="347"/>
      <c r="J1025" s="79"/>
      <c r="K1025" s="87"/>
      <c r="L1025" s="87"/>
      <c r="M1025" s="87"/>
      <c r="N1025" s="87"/>
      <c r="O1025" s="87"/>
      <c r="P1025" s="87"/>
      <c r="Q1025" s="87"/>
    </row>
    <row r="1026" spans="1:17" s="78" customFormat="1" ht="38.25">
      <c r="A1026" s="188"/>
      <c r="B1026" s="80" t="s">
        <v>8319</v>
      </c>
      <c r="C1026" s="81" t="s">
        <v>8320</v>
      </c>
      <c r="D1026" s="82" t="s">
        <v>84</v>
      </c>
      <c r="E1026" s="82" t="s">
        <v>150</v>
      </c>
      <c r="F1026" s="83"/>
      <c r="G1026" s="84"/>
      <c r="H1026" s="85">
        <f>SUM(H1027:H1028)</f>
        <v>67.359143251981834</v>
      </c>
      <c r="J1026" s="201" t="s">
        <v>8321</v>
      </c>
      <c r="K1026" s="87"/>
      <c r="L1026" s="87"/>
      <c r="M1026" s="87"/>
      <c r="N1026" s="87"/>
      <c r="O1026" s="87"/>
      <c r="P1026" s="87"/>
      <c r="Q1026" s="87"/>
    </row>
    <row r="1027" spans="1:17" s="87" customFormat="1" ht="12.75">
      <c r="A1027" s="232" t="s">
        <v>4542</v>
      </c>
      <c r="B1027" s="464" t="s">
        <v>6602</v>
      </c>
      <c r="C1027" s="451" t="str">
        <f>IF(A1027="SERVIÇO",VLOOKUP(B1027,SERVIÇOS!$A$6:$D$7645,2,0),IF(A1027="INSUMO",VLOOKUP(B1027,INSUMOS!$A$6:$D$6961,2,0),IF(A1027="COTAÇÃO",VLOOKUP(B1027,'036-20-Cotação'!$A$9:$G$529,2,0))))</f>
        <v>SERVENTE</v>
      </c>
      <c r="D1027" s="452" t="str">
        <f>IF(A1027="SERVIÇO",VLOOKUP(B1027,SERVIÇOS!$A$6:$E$7645,5,0),IF(A1027="INSUMO",VLOOKUP(B1027,INSUMOS!$A$6:$E$6961,5,0),IF(A1027="COTAÇÃO",VLOOKUP(B1027,'036-20-Cotação'!$A$9:$H$529,8,0))))</f>
        <v>M.O</v>
      </c>
      <c r="E1027" s="452" t="str">
        <f>IF(A1027="SERVIÇO",VLOOKUP(B1027,SERVIÇOS!$A$6:$D$7645,3,0),IF(A1027="INSUMO",VLOOKUP(B1027,INSUMOS!$A$6:$D$6961,3,0),IF(A1027="COTAÇÃO",VLOOKUP(B1027,'036-20-Cotação'!$A$9:$G$529,4,0))))</f>
        <v>H</v>
      </c>
      <c r="F1027" s="462">
        <f>1/5</f>
        <v>0.2</v>
      </c>
      <c r="G1027" s="453">
        <f>IF(A1027="SERVIÇO",VLOOKUP(B1027,SERVIÇOS!$A$6:$D$7645,4,0),IF(A1027="INSUMO",VLOOKUP(B1027,INSUMOS!$A$6:$D$6961,4,0),IF(A1027="COTAÇÃO",VLOOKUP(B1027,'036-20-Cotação'!$A$9:$G$529,3,0))))</f>
        <v>15.637499999999999</v>
      </c>
      <c r="H1027" s="463">
        <f t="shared" ref="H1027:H1028" si="152">G1027*F1027</f>
        <v>3.1274999999999999</v>
      </c>
      <c r="J1027" s="201"/>
    </row>
    <row r="1028" spans="1:17" s="87" customFormat="1" ht="25.5">
      <c r="A1028" s="232" t="s">
        <v>12</v>
      </c>
      <c r="B1028" s="464" t="s">
        <v>8323</v>
      </c>
      <c r="C1028" s="451" t="str">
        <f>IF(A1028="SERVIÇO",VLOOKUP(B1028,SERVIÇOS!$A$6:$D$7645,2,0),IF(A1028="INSUMO",VLOOKUP(B1028,INSUMOS!$A$6:$D$6961,2,0),IF(A1028="COTAÇÃO",VLOOKUP(B1028,'036-20-Cotação'!$A$9:$G$529,2,0))))</f>
        <v>RESINA EPOXI (MC DUR 1300 PLUS OU EQUIVALENTE TÉCNICO)</v>
      </c>
      <c r="D1028" s="452" t="str">
        <f>IF(A1028="SERVIÇO",VLOOKUP(B1028,SERVIÇOS!$A$6:$E$7645,5,0),IF(A1028="INSUMO",VLOOKUP(B1028,INSUMOS!$A$6:$E$6961,5,0),IF(A1028="COTAÇÃO",VLOOKUP(B1028,'036-20-Cotação'!$A$9:$H$529,8,0))))</f>
        <v>MAT.</v>
      </c>
      <c r="E1028" s="452" t="str">
        <f>IF(A1028="SERVIÇO",VLOOKUP(B1028,SERVIÇOS!$A$6:$D$7645,3,0),IF(A1028="INSUMO",VLOOKUP(B1028,INSUMOS!$A$6:$D$6961,3,0),IF(A1028="COTAÇÃO",VLOOKUP(B1028,'036-20-Cotação'!$A$9:$G$529,4,0))))</f>
        <v>KG</v>
      </c>
      <c r="F1028" s="462">
        <v>1.8</v>
      </c>
      <c r="G1028" s="453">
        <f>IF(A1028="SERVIÇO",VLOOKUP(B1028,SERVIÇOS!$A$6:$D$7645,4,0),IF(A1028="INSUMO",VLOOKUP(B1028,INSUMOS!$A$6:$D$6961,4,0),IF(A1028="COTAÇÃO",VLOOKUP(B1028,'036-20-Cotação'!$A$9:$G$529,3,0))))</f>
        <v>35.684246251101023</v>
      </c>
      <c r="H1028" s="463">
        <f t="shared" si="152"/>
        <v>64.231643251981836</v>
      </c>
      <c r="J1028" s="201" t="s">
        <v>8322</v>
      </c>
    </row>
    <row r="1029" spans="1:17" s="87" customFormat="1" ht="12.75">
      <c r="A1029" s="188"/>
      <c r="B1029" s="348" t="s">
        <v>123</v>
      </c>
      <c r="C1029" s="695" t="s">
        <v>8352</v>
      </c>
      <c r="D1029" s="696"/>
      <c r="E1029" s="696"/>
      <c r="F1029" s="696"/>
      <c r="G1029" s="696"/>
      <c r="H1029" s="697"/>
      <c r="J1029" s="201"/>
    </row>
    <row r="1030" spans="1:17" s="78" customFormat="1" ht="12.75">
      <c r="A1030" s="188"/>
      <c r="B1030" s="346"/>
      <c r="C1030" s="347"/>
      <c r="D1030" s="347"/>
      <c r="E1030" s="347"/>
      <c r="F1030" s="347"/>
      <c r="G1030" s="347"/>
      <c r="H1030" s="347"/>
      <c r="J1030" s="79"/>
      <c r="K1030" s="87"/>
      <c r="L1030" s="87"/>
      <c r="M1030" s="87"/>
      <c r="N1030" s="87"/>
      <c r="O1030" s="87"/>
      <c r="P1030" s="87"/>
      <c r="Q1030" s="87"/>
    </row>
    <row r="1031" spans="1:17" s="78" customFormat="1" ht="38.25">
      <c r="A1031" s="188"/>
      <c r="B1031" s="80" t="s">
        <v>8329</v>
      </c>
      <c r="C1031" s="81" t="s">
        <v>8330</v>
      </c>
      <c r="D1031" s="82" t="s">
        <v>84</v>
      </c>
      <c r="E1031" s="82" t="s">
        <v>89</v>
      </c>
      <c r="F1031" s="83"/>
      <c r="G1031" s="84"/>
      <c r="H1031" s="85">
        <f>SUM(H1032:H1036)</f>
        <v>353.31324129526598</v>
      </c>
      <c r="J1031" s="201" t="s">
        <v>7924</v>
      </c>
      <c r="K1031" s="87"/>
      <c r="L1031" s="87"/>
      <c r="M1031" s="87"/>
      <c r="N1031" s="87"/>
      <c r="O1031" s="87"/>
      <c r="P1031" s="87"/>
      <c r="Q1031" s="87"/>
    </row>
    <row r="1032" spans="1:17" s="87" customFormat="1" ht="12.75">
      <c r="A1032" s="232" t="s">
        <v>4542</v>
      </c>
      <c r="B1032" s="464" t="s">
        <v>6614</v>
      </c>
      <c r="C1032" s="451" t="str">
        <f>IF(A1032="SERVIÇO",VLOOKUP(B1032,SERVIÇOS!$A$6:$D$7645,2,0),IF(A1032="INSUMO",VLOOKUP(B1032,INSUMOS!$A$6:$D$6961,2,0),IF(A1032="COTAÇÃO",VLOOKUP(B1032,'036-20-Cotação'!$A$9:$G$529,2,0))))</f>
        <v>PEDREIRO</v>
      </c>
      <c r="D1032" s="452" t="str">
        <f>IF(A1032="SERVIÇO",VLOOKUP(B1032,SERVIÇOS!$A$6:$E$7645,5,0),IF(A1032="INSUMO",VLOOKUP(B1032,INSUMOS!$A$6:$E$6961,5,0),IF(A1032="COTAÇÃO",VLOOKUP(B1032,'036-20-Cotação'!$A$9:$H$529,8,0))))</f>
        <v>M.O</v>
      </c>
      <c r="E1032" s="452" t="str">
        <f>IF(A1032="SERVIÇO",VLOOKUP(B1032,SERVIÇOS!$A$6:$D$7645,3,0),IF(A1032="INSUMO",VLOOKUP(B1032,INSUMOS!$A$6:$D$6961,3,0),IF(A1032="COTAÇÃO",VLOOKUP(B1032,'036-20-Cotação'!$A$9:$G$529,4,0))))</f>
        <v>H</v>
      </c>
      <c r="F1032" s="462">
        <f>1/2</f>
        <v>0.5</v>
      </c>
      <c r="G1032" s="453">
        <f>IF(A1032="SERVIÇO",VLOOKUP(B1032,SERVIÇOS!$A$6:$D$7645,4,0),IF(A1032="INSUMO",VLOOKUP(B1032,INSUMOS!$A$6:$D$6961,4,0),IF(A1032="COTAÇÃO",VLOOKUP(B1032,'036-20-Cotação'!$A$9:$G$529,3,0))))</f>
        <v>21.647600000000001</v>
      </c>
      <c r="H1032" s="463">
        <f t="shared" ref="H1032:H1036" si="153">G1032*F1032</f>
        <v>10.8238</v>
      </c>
      <c r="J1032" s="201"/>
    </row>
    <row r="1033" spans="1:17" s="87" customFormat="1" ht="12.75">
      <c r="A1033" s="232" t="s">
        <v>4542</v>
      </c>
      <c r="B1033" s="464" t="s">
        <v>6602</v>
      </c>
      <c r="C1033" s="451" t="str">
        <f>IF(A1033="SERVIÇO",VLOOKUP(B1033,SERVIÇOS!$A$6:$D$7645,2,0),IF(A1033="INSUMO",VLOOKUP(B1033,INSUMOS!$A$6:$D$6961,2,0),IF(A1033="COTAÇÃO",VLOOKUP(B1033,'036-20-Cotação'!$A$9:$G$529,2,0))))</f>
        <v>SERVENTE</v>
      </c>
      <c r="D1033" s="452" t="str">
        <f>IF(A1033="SERVIÇO",VLOOKUP(B1033,SERVIÇOS!$A$6:$E$7645,5,0),IF(A1033="INSUMO",VLOOKUP(B1033,INSUMOS!$A$6:$E$6961,5,0),IF(A1033="COTAÇÃO",VLOOKUP(B1033,'036-20-Cotação'!$A$9:$H$529,8,0))))</f>
        <v>M.O</v>
      </c>
      <c r="E1033" s="452" t="str">
        <f>IF(A1033="SERVIÇO",VLOOKUP(B1033,SERVIÇOS!$A$6:$D$7645,3,0),IF(A1033="INSUMO",VLOOKUP(B1033,INSUMOS!$A$6:$D$6961,3,0),IF(A1033="COTAÇÃO",VLOOKUP(B1033,'036-20-Cotação'!$A$9:$G$529,4,0))))</f>
        <v>H</v>
      </c>
      <c r="F1033" s="462">
        <f>1/2</f>
        <v>0.5</v>
      </c>
      <c r="G1033" s="453">
        <f>IF(A1033="SERVIÇO",VLOOKUP(B1033,SERVIÇOS!$A$6:$D$7645,4,0),IF(A1033="INSUMO",VLOOKUP(B1033,INSUMOS!$A$6:$D$6961,4,0),IF(A1033="COTAÇÃO",VLOOKUP(B1033,'036-20-Cotação'!$A$9:$G$529,3,0))))</f>
        <v>15.637499999999999</v>
      </c>
      <c r="H1033" s="463">
        <f t="shared" si="153"/>
        <v>7.8187499999999996</v>
      </c>
      <c r="J1033" s="201"/>
    </row>
    <row r="1034" spans="1:17" s="87" customFormat="1" ht="25.5">
      <c r="A1034" s="232" t="s">
        <v>4544</v>
      </c>
      <c r="B1034" s="531" t="s">
        <v>7362</v>
      </c>
      <c r="C1034" s="451" t="str">
        <f>IF(A1034="SERVIÇO",VLOOKUP(B1034,SERVIÇOS!$A$6:$D$7645,2,0),IF(A1034="INSUMO",VLOOKUP(B1034,INSUMOS!$A$6:$D$6961,2,0),IF(A1034="COTAÇÃO",VLOOKUP(B1034,'036-20-Cotação'!$A$9:$G$529,2,0))))</f>
        <v>BICO PARA INJEÇÃO DE ADESIVO ESTRUTURAL À BASE DE RESINA EPÓXI</v>
      </c>
      <c r="D1034" s="452" t="str">
        <f>IF(A1034="SERVIÇO",VLOOKUP(B1034,SERVIÇOS!$A$6:$E$7645,5,0),IF(A1034="INSUMO",VLOOKUP(B1034,INSUMOS!$A$6:$E$6961,5,0),IF(A1034="COTAÇÃO",VLOOKUP(B1034,'036-20-Cotação'!$A$9:$H$529,8,0))))</f>
        <v>MAT.</v>
      </c>
      <c r="E1034" s="452" t="str">
        <f>IF(A1034="SERVIÇO",VLOOKUP(B1034,SERVIÇOS!$A$6:$D$7645,3,0),IF(A1034="INSUMO",VLOOKUP(B1034,INSUMOS!$A$6:$D$6961,3,0),IF(A1034="COTAÇÃO",VLOOKUP(B1034,'036-20-Cotação'!$A$9:$G$529,4,0))))</f>
        <v>UN</v>
      </c>
      <c r="F1034" s="462">
        <v>13.071899999999999</v>
      </c>
      <c r="G1034" s="453">
        <f>IF(A1034="SERVIÇO",VLOOKUP(B1034,SERVIÇOS!$A$6:$D$7645,4,0),IF(A1034="INSUMO",VLOOKUP(B1034,INSUMOS!$A$6:$D$6961,4,0),IF(A1034="COTAÇÃO",VLOOKUP(B1034,'036-20-Cotação'!$A$9:$G$529,3,0))))</f>
        <v>18.3841</v>
      </c>
      <c r="H1034" s="463">
        <f t="shared" si="153"/>
        <v>240.31511678999999</v>
      </c>
      <c r="J1034" s="201"/>
    </row>
    <row r="1035" spans="1:17" s="87" customFormat="1" ht="38.25">
      <c r="A1035" s="232" t="s">
        <v>4542</v>
      </c>
      <c r="B1035" s="464" t="s">
        <v>8331</v>
      </c>
      <c r="C1035" s="451" t="str">
        <f>'036-20-CCA''s'!$C$119</f>
        <v>FORNECIMENTO E APLICAÇÃO DURÕMETRO EPOXÍDICO - MC BAUCHEMIE MC INJEKT 1264 COMPACT OU EQUIVALENTE</v>
      </c>
      <c r="D1035" s="452" t="str">
        <f>'036-20-CCA''s'!$D$119</f>
        <v xml:space="preserve">SER.CG </v>
      </c>
      <c r="E1035" s="452" t="str">
        <f>'036-20-CCA''s'!$E$119</f>
        <v>KG</v>
      </c>
      <c r="F1035" s="462">
        <v>1.2</v>
      </c>
      <c r="G1035" s="453">
        <f>'036-20-CCA''s'!$H$119</f>
        <v>78.626164939275782</v>
      </c>
      <c r="H1035" s="463">
        <f t="shared" si="153"/>
        <v>94.351397927130932</v>
      </c>
      <c r="J1035" s="201">
        <v>45.58</v>
      </c>
    </row>
    <row r="1036" spans="1:17" s="87" customFormat="1" ht="25.5">
      <c r="A1036" s="232" t="s">
        <v>4542</v>
      </c>
      <c r="B1036" s="531" t="s">
        <v>13205</v>
      </c>
      <c r="C1036" s="451" t="str">
        <f>'036-20-CCA''s'!$C$276</f>
        <v>TEMPO FIXO - CAMINHÃO CARROCERIA 5 T - CARGA E DESCARGA MANUAIS</v>
      </c>
      <c r="D1036" s="452" t="str">
        <f>'036-20-CCA''s'!$D$276</f>
        <v>SER.CG</v>
      </c>
      <c r="E1036" s="452" t="str">
        <f>'036-20-CCA''s'!$E$276</f>
        <v>T</v>
      </c>
      <c r="F1036" s="462">
        <v>2.5999999999999998E-4</v>
      </c>
      <c r="G1036" s="453">
        <f>'036-20-CCA''s'!$H$276</f>
        <v>16.063762057877813</v>
      </c>
      <c r="H1036" s="463">
        <f t="shared" si="153"/>
        <v>4.1765781350482315E-3</v>
      </c>
      <c r="J1036" s="201"/>
    </row>
    <row r="1037" spans="1:17" s="87" customFormat="1" ht="12.75">
      <c r="A1037" s="188"/>
      <c r="B1037" s="348" t="s">
        <v>123</v>
      </c>
      <c r="C1037" s="695" t="s">
        <v>7925</v>
      </c>
      <c r="D1037" s="696"/>
      <c r="E1037" s="696"/>
      <c r="F1037" s="696"/>
      <c r="G1037" s="696"/>
      <c r="H1037" s="697"/>
      <c r="J1037" s="201"/>
    </row>
    <row r="1038" spans="1:17" s="78" customFormat="1" ht="12.75">
      <c r="A1038" s="188"/>
      <c r="B1038" s="346"/>
      <c r="C1038" s="347"/>
      <c r="D1038" s="347"/>
      <c r="E1038" s="347"/>
      <c r="F1038" s="347"/>
      <c r="G1038" s="347"/>
      <c r="H1038" s="347"/>
      <c r="J1038" s="79"/>
      <c r="K1038" s="87"/>
      <c r="L1038" s="87"/>
      <c r="M1038" s="87"/>
      <c r="N1038" s="87"/>
      <c r="O1038" s="87"/>
      <c r="P1038" s="87"/>
      <c r="Q1038" s="87"/>
    </row>
    <row r="1039" spans="1:17" s="78" customFormat="1" ht="25.5">
      <c r="A1039" s="188"/>
      <c r="B1039" s="80" t="s">
        <v>8353</v>
      </c>
      <c r="C1039" s="81" t="s">
        <v>8355</v>
      </c>
      <c r="D1039" s="82" t="s">
        <v>84</v>
      </c>
      <c r="E1039" s="82" t="s">
        <v>150</v>
      </c>
      <c r="F1039" s="83"/>
      <c r="G1039" s="84"/>
      <c r="H1039" s="85">
        <f>SUM(H1040:H1043)</f>
        <v>10.675561999999999</v>
      </c>
      <c r="J1039" s="201"/>
      <c r="K1039" s="87"/>
      <c r="L1039" s="87"/>
      <c r="M1039" s="87"/>
      <c r="N1039" s="87"/>
      <c r="O1039" s="87"/>
      <c r="P1039" s="87"/>
      <c r="Q1039" s="87"/>
    </row>
    <row r="1040" spans="1:17" s="87" customFormat="1" ht="12.75">
      <c r="A1040" s="232" t="s">
        <v>4542</v>
      </c>
      <c r="B1040" s="464" t="s">
        <v>6614</v>
      </c>
      <c r="C1040" s="451" t="str">
        <f>IF(A1040="SERVIÇO",VLOOKUP(B1040,SERVIÇOS!$A$6:$D$7645,2,0),IF(A1040="INSUMO",VLOOKUP(B1040,INSUMOS!$A$6:$D$6961,2,0),IF(A1040="COTAÇÃO",VLOOKUP(B1040,'036-20-Cotação'!$A$9:$G$529,2,0))))</f>
        <v>PEDREIRO</v>
      </c>
      <c r="D1040" s="452" t="str">
        <f>IF(A1040="SERVIÇO",VLOOKUP(B1040,SERVIÇOS!$A$6:$E$7645,5,0),IF(A1040="INSUMO",VLOOKUP(B1040,INSUMOS!$A$6:$E$6961,5,0),IF(A1040="COTAÇÃO",VLOOKUP(B1040,'036-20-Cotação'!$A$9:$H$529,8,0))))</f>
        <v>M.O</v>
      </c>
      <c r="E1040" s="452" t="str">
        <f>IF(A1040="SERVIÇO",VLOOKUP(B1040,SERVIÇOS!$A$6:$D$7645,3,0),IF(A1040="INSUMO",VLOOKUP(B1040,INSUMOS!$A$6:$D$6961,3,0),IF(A1040="COTAÇÃO",VLOOKUP(B1040,'036-20-Cotação'!$A$9:$G$529,4,0))))</f>
        <v>H</v>
      </c>
      <c r="F1040" s="462">
        <v>0.3</v>
      </c>
      <c r="G1040" s="453">
        <f>IF(A1040="SERVIÇO",VLOOKUP(B1040,SERVIÇOS!$A$6:$D$7645,4,0),IF(A1040="INSUMO",VLOOKUP(B1040,INSUMOS!$A$6:$D$6961,4,0),IF(A1040="COTAÇÃO",VLOOKUP(B1040,'036-20-Cotação'!$A$9:$G$529,3,0))))</f>
        <v>21.647600000000001</v>
      </c>
      <c r="H1040" s="463">
        <f t="shared" ref="H1040:H1043" si="154">G1040*F1040</f>
        <v>6.4942799999999998</v>
      </c>
      <c r="J1040" s="201"/>
    </row>
    <row r="1041" spans="1:17" s="87" customFormat="1" ht="12.75">
      <c r="A1041" s="232" t="s">
        <v>4542</v>
      </c>
      <c r="B1041" s="464" t="s">
        <v>6602</v>
      </c>
      <c r="C1041" s="451" t="str">
        <f>IF(A1041="SERVIÇO",VLOOKUP(B1041,SERVIÇOS!$A$6:$D$7645,2,0),IF(A1041="INSUMO",VLOOKUP(B1041,INSUMOS!$A$6:$D$6961,2,0),IF(A1041="COTAÇÃO",VLOOKUP(B1041,'036-20-Cotação'!$A$9:$G$529,2,0))))</f>
        <v>SERVENTE</v>
      </c>
      <c r="D1041" s="452" t="str">
        <f>IF(A1041="SERVIÇO",VLOOKUP(B1041,SERVIÇOS!$A$6:$E$7645,5,0),IF(A1041="INSUMO",VLOOKUP(B1041,INSUMOS!$A$6:$E$6961,5,0),IF(A1041="COTAÇÃO",VLOOKUP(B1041,'036-20-Cotação'!$A$9:$H$529,8,0))))</f>
        <v>M.O</v>
      </c>
      <c r="E1041" s="452" t="str">
        <f>IF(A1041="SERVIÇO",VLOOKUP(B1041,SERVIÇOS!$A$6:$D$7645,3,0),IF(A1041="INSUMO",VLOOKUP(B1041,INSUMOS!$A$6:$D$6961,3,0),IF(A1041="COTAÇÃO",VLOOKUP(B1041,'036-20-Cotação'!$A$9:$G$529,4,0))))</f>
        <v>H</v>
      </c>
      <c r="F1041" s="462">
        <v>0.1</v>
      </c>
      <c r="G1041" s="453">
        <f>IF(A1041="SERVIÇO",VLOOKUP(B1041,SERVIÇOS!$A$6:$D$7645,4,0),IF(A1041="INSUMO",VLOOKUP(B1041,INSUMOS!$A$6:$D$6961,4,0),IF(A1041="COTAÇÃO",VLOOKUP(B1041,'036-20-Cotação'!$A$9:$G$529,3,0))))</f>
        <v>15.637499999999999</v>
      </c>
      <c r="H1041" s="463">
        <f t="shared" si="154"/>
        <v>1.56375</v>
      </c>
      <c r="J1041" s="201"/>
    </row>
    <row r="1042" spans="1:17" s="87" customFormat="1" ht="25.5">
      <c r="A1042" s="232" t="s">
        <v>4544</v>
      </c>
      <c r="B1042" s="531">
        <v>26020</v>
      </c>
      <c r="C1042" s="451" t="str">
        <f>IF(A1042="SERVIÇO",VLOOKUP(B1042,SERVIÇOS!$A$6:$D$7645,2,0),IF(A1042="INSUMO",VLOOKUP(B1042,INSUMOS!$A$6:$D$6961,2,0),IF(A1042="COTAÇÃO",VLOOKUP(B1042,'036-20-Cotação'!$A$9:$G$529,2,0))))</f>
        <v xml:space="preserve">DISCO DE LIXA PARA METAL, DIAMETRO = 180 MM, GRAO 120                                                                                                                                                                                                                                                                                                                                                                                                                                                     </v>
      </c>
      <c r="D1042" s="452" t="str">
        <f>IF(A1042="SERVIÇO",VLOOKUP(B1042,SERVIÇOS!$A$6:$E$7645,5,0),IF(A1042="INSUMO",VLOOKUP(B1042,INSUMOS!$A$6:$E$6961,5,0),IF(A1042="COTAÇÃO",VLOOKUP(B1042,'036-20-Cotação'!$A$9:$H$529,8,0))))</f>
        <v>MAT.</v>
      </c>
      <c r="E1042" s="452" t="str">
        <f>IF(A1042="SERVIÇO",VLOOKUP(B1042,SERVIÇOS!$A$6:$D$7645,3,0),IF(A1042="INSUMO",VLOOKUP(B1042,INSUMOS!$A$6:$D$6961,3,0),IF(A1042="COTAÇÃO",VLOOKUP(B1042,'036-20-Cotação'!$A$9:$G$529,4,0))))</f>
        <v xml:space="preserve">UN    </v>
      </c>
      <c r="F1042" s="462">
        <v>0.25</v>
      </c>
      <c r="G1042" s="453" t="str">
        <f>IF(A1042="SERVIÇO",VLOOKUP(B1042,SERVIÇOS!$A$6:$D$7645,4,0),IF(A1042="INSUMO",VLOOKUP(B1042,INSUMOS!$A$6:$D$6961,4,0),IF(A1042="COTAÇÃO",VLOOKUP(B1042,'036-20-Cotação'!$A$9:$G$529,3,0))))</f>
        <v>8,76</v>
      </c>
      <c r="H1042" s="463">
        <f t="shared" si="154"/>
        <v>2.19</v>
      </c>
      <c r="J1042" s="201"/>
    </row>
    <row r="1043" spans="1:17" s="87" customFormat="1" ht="38.25">
      <c r="A1043" s="232" t="s">
        <v>4544</v>
      </c>
      <c r="B1043" s="464">
        <v>38413</v>
      </c>
      <c r="C1043" s="451" t="str">
        <f>IF(A1043="SERVIÇO",VLOOKUP(B1043,SERVIÇOS!$A$6:$D$7645,2,0),IF(A1043="INSUMO",VLOOKUP(B1043,INSUMOS!$A$6:$D$6961,2,0),IF(A1043="COTAÇÃO",VLOOKUP(B1043,'036-20-Cotação'!$A$9:$G$529,2,0))))</f>
        <v xml:space="preserve">LIXADEIRA ELETRICA ANGULAR, PARA DISCO DE 7 " (180 MM), POTENCIA DE 2.200 W, *5.000* RPM, 220 V                                                                                                                                                                                                                                                                                                                                                                                                           </v>
      </c>
      <c r="D1043" s="452" t="str">
        <f>IF(A1043="SERVIÇO",VLOOKUP(B1043,SERVIÇOS!$A$6:$E$7645,5,0),IF(A1043="INSUMO",VLOOKUP(B1043,INSUMOS!$A$6:$E$6961,5,0),IF(A1043="COTAÇÃO",VLOOKUP(B1043,'036-20-Cotação'!$A$9:$H$529,8,0))))</f>
        <v>MAT.</v>
      </c>
      <c r="E1043" s="452" t="str">
        <f>IF(A1043="SERVIÇO",VLOOKUP(B1043,SERVIÇOS!$A$6:$D$7645,3,0),IF(A1043="INSUMO",VLOOKUP(B1043,INSUMOS!$A$6:$D$6961,3,0),IF(A1043="COTAÇÃO",VLOOKUP(B1043,'036-20-Cotação'!$A$9:$G$529,4,0))))</f>
        <v xml:space="preserve">UN    </v>
      </c>
      <c r="F1043" s="462">
        <v>6.9999999999999999E-4</v>
      </c>
      <c r="G1043" s="453" t="str">
        <f>IF(A1043="SERVIÇO",VLOOKUP(B1043,SERVIÇOS!$A$6:$D$7645,4,0),IF(A1043="INSUMO",VLOOKUP(B1043,INSUMOS!$A$6:$D$6961,4,0),IF(A1043="COTAÇÃO",VLOOKUP(B1043,'036-20-Cotação'!$A$9:$G$529,3,0))))</f>
        <v>610,76</v>
      </c>
      <c r="H1043" s="463">
        <f t="shared" si="154"/>
        <v>0.42753199999999997</v>
      </c>
      <c r="J1043" s="201"/>
    </row>
    <row r="1044" spans="1:17" s="87" customFormat="1" ht="12.75">
      <c r="A1044" s="188"/>
      <c r="B1044" s="348" t="s">
        <v>123</v>
      </c>
      <c r="C1044" s="695" t="s">
        <v>8363</v>
      </c>
      <c r="D1044" s="696"/>
      <c r="E1044" s="696"/>
      <c r="F1044" s="696"/>
      <c r="G1044" s="696"/>
      <c r="H1044" s="697"/>
      <c r="J1044" s="201"/>
    </row>
    <row r="1045" spans="1:17" s="78" customFormat="1" ht="12.75">
      <c r="A1045" s="188"/>
      <c r="B1045" s="346"/>
      <c r="C1045" s="347"/>
      <c r="D1045" s="347"/>
      <c r="E1045" s="347"/>
      <c r="F1045" s="347"/>
      <c r="G1045" s="347"/>
      <c r="H1045" s="347"/>
      <c r="J1045" s="79"/>
      <c r="K1045" s="87"/>
      <c r="L1045" s="87"/>
      <c r="M1045" s="87"/>
      <c r="N1045" s="87"/>
      <c r="O1045" s="87"/>
      <c r="P1045" s="87"/>
      <c r="Q1045" s="87"/>
    </row>
    <row r="1046" spans="1:17" s="78" customFormat="1" ht="51">
      <c r="A1046" s="188"/>
      <c r="B1046" s="80" t="s">
        <v>8354</v>
      </c>
      <c r="C1046" s="81" t="s">
        <v>8358</v>
      </c>
      <c r="D1046" s="82" t="s">
        <v>84</v>
      </c>
      <c r="E1046" s="82" t="s">
        <v>150</v>
      </c>
      <c r="F1046" s="83"/>
      <c r="G1046" s="84"/>
      <c r="H1046" s="85">
        <f>SUM(H1047:H1049)</f>
        <v>31.925548914328647</v>
      </c>
      <c r="J1046" s="201"/>
      <c r="K1046" s="87"/>
      <c r="L1046" s="87"/>
      <c r="M1046" s="87"/>
      <c r="N1046" s="87"/>
      <c r="O1046" s="87"/>
      <c r="P1046" s="87"/>
      <c r="Q1046" s="87"/>
    </row>
    <row r="1047" spans="1:17" s="87" customFormat="1" ht="12.75">
      <c r="A1047" s="232" t="s">
        <v>4542</v>
      </c>
      <c r="B1047" s="464" t="s">
        <v>6614</v>
      </c>
      <c r="C1047" s="451" t="str">
        <f>IF(A1047="SERVIÇO",VLOOKUP(B1047,SERVIÇOS!$A$6:$D$7645,2,0),IF(A1047="INSUMO",VLOOKUP(B1047,INSUMOS!$A$6:$D$6961,2,0),IF(A1047="COTAÇÃO",VLOOKUP(B1047,'036-20-Cotação'!$A$9:$G$529,2,0))))</f>
        <v>PEDREIRO</v>
      </c>
      <c r="D1047" s="452" t="str">
        <f>IF(A1047="SERVIÇO",VLOOKUP(B1047,SERVIÇOS!$A$6:$E$7645,5,0),IF(A1047="INSUMO",VLOOKUP(B1047,INSUMOS!$A$6:$E$6961,5,0),IF(A1047="COTAÇÃO",VLOOKUP(B1047,'036-20-Cotação'!$A$9:$H$529,8,0))))</f>
        <v>M.O</v>
      </c>
      <c r="E1047" s="452" t="str">
        <f>IF(A1047="SERVIÇO",VLOOKUP(B1047,SERVIÇOS!$A$6:$D$7645,3,0),IF(A1047="INSUMO",VLOOKUP(B1047,INSUMOS!$A$6:$D$6961,3,0),IF(A1047="COTAÇÃO",VLOOKUP(B1047,'036-20-Cotação'!$A$9:$G$529,4,0))))</f>
        <v>H</v>
      </c>
      <c r="F1047" s="462">
        <v>0.219</v>
      </c>
      <c r="G1047" s="453">
        <f>IF(A1047="SERVIÇO",VLOOKUP(B1047,SERVIÇOS!$A$6:$D$7645,4,0),IF(A1047="INSUMO",VLOOKUP(B1047,INSUMOS!$A$6:$D$6961,4,0),IF(A1047="COTAÇÃO",VLOOKUP(B1047,'036-20-Cotação'!$A$9:$G$529,3,0))))</f>
        <v>21.647600000000001</v>
      </c>
      <c r="H1047" s="463">
        <f t="shared" ref="H1047:H1049" si="155">G1047*F1047</f>
        <v>4.7408244000000002</v>
      </c>
      <c r="J1047" s="201"/>
    </row>
    <row r="1048" spans="1:17" s="87" customFormat="1" ht="12.75">
      <c r="A1048" s="232" t="s">
        <v>4542</v>
      </c>
      <c r="B1048" s="464" t="s">
        <v>6602</v>
      </c>
      <c r="C1048" s="451" t="str">
        <f>IF(A1048="SERVIÇO",VLOOKUP(B1048,SERVIÇOS!$A$6:$D$7645,2,0),IF(A1048="INSUMO",VLOOKUP(B1048,INSUMOS!$A$6:$D$6961,2,0),IF(A1048="COTAÇÃO",VLOOKUP(B1048,'036-20-Cotação'!$A$9:$G$529,2,0))))</f>
        <v>SERVENTE</v>
      </c>
      <c r="D1048" s="452" t="str">
        <f>IF(A1048="SERVIÇO",VLOOKUP(B1048,SERVIÇOS!$A$6:$E$7645,5,0),IF(A1048="INSUMO",VLOOKUP(B1048,INSUMOS!$A$6:$E$6961,5,0),IF(A1048="COTAÇÃO",VLOOKUP(B1048,'036-20-Cotação'!$A$9:$H$529,8,0))))</f>
        <v>M.O</v>
      </c>
      <c r="E1048" s="452" t="str">
        <f>IF(A1048="SERVIÇO",VLOOKUP(B1048,SERVIÇOS!$A$6:$D$7645,3,0),IF(A1048="INSUMO",VLOOKUP(B1048,INSUMOS!$A$6:$D$6961,3,0),IF(A1048="COTAÇÃO",VLOOKUP(B1048,'036-20-Cotação'!$A$9:$G$529,4,0))))</f>
        <v>H</v>
      </c>
      <c r="F1048" s="462">
        <v>4.9000000000000002E-2</v>
      </c>
      <c r="G1048" s="453">
        <f>IF(A1048="SERVIÇO",VLOOKUP(B1048,SERVIÇOS!$A$6:$D$7645,4,0),IF(A1048="INSUMO",VLOOKUP(B1048,INSUMOS!$A$6:$D$6961,4,0),IF(A1048="COTAÇÃO",VLOOKUP(B1048,'036-20-Cotação'!$A$9:$G$529,3,0))))</f>
        <v>15.637499999999999</v>
      </c>
      <c r="H1048" s="463">
        <f t="shared" si="155"/>
        <v>0.76623750000000002</v>
      </c>
      <c r="J1048" s="201"/>
    </row>
    <row r="1049" spans="1:17" s="87" customFormat="1" ht="25.5">
      <c r="A1049" s="232" t="s">
        <v>12</v>
      </c>
      <c r="B1049" s="464" t="s">
        <v>8357</v>
      </c>
      <c r="C1049" s="451" t="str">
        <f>IF(A1049="SERVIÇO",VLOOKUP(B1049,SERVIÇOS!$A$6:$D$7645,2,0),IF(A1049="INSUMO",VLOOKUP(B1049,INSUMOS!$A$6:$D$6961,2,0),IF(A1049="COTAÇÃO",VLOOKUP(B1049,'036-20-Cotação'!$A$9:$G$529,2,0))))</f>
        <v>ARGAMASSA POLIMÉRICA - MC BAUCHEMIE MC ZENTRIFIX CR OU EQUIVALENTE</v>
      </c>
      <c r="D1049" s="452" t="str">
        <f>IF(A1049="SERVIÇO",VLOOKUP(B1049,SERVIÇOS!$A$6:$E$7645,5,0),IF(A1049="INSUMO",VLOOKUP(B1049,INSUMOS!$A$6:$E$6961,5,0),IF(A1049="COTAÇÃO",VLOOKUP(B1049,'036-20-Cotação'!$A$9:$H$529,8,0))))</f>
        <v>MAT.</v>
      </c>
      <c r="E1049" s="452" t="str">
        <f>IF(A1049="SERVIÇO",VLOOKUP(B1049,SERVIÇOS!$A$6:$D$7645,3,0),IF(A1049="INSUMO",VLOOKUP(B1049,INSUMOS!$A$6:$D$6961,3,0),IF(A1049="COTAÇÃO",VLOOKUP(B1049,'036-20-Cotação'!$A$9:$G$529,4,0))))</f>
        <v>KG</v>
      </c>
      <c r="F1049" s="462">
        <f>1849*(1*1*0.005)</f>
        <v>9.245000000000001</v>
      </c>
      <c r="G1049" s="453">
        <f>IF(A1049="SERVIÇO",VLOOKUP(B1049,SERVIÇOS!$A$6:$D$7645,4,0),IF(A1049="INSUMO",VLOOKUP(B1049,INSUMOS!$A$6:$D$6961,4,0),IF(A1049="COTAÇÃO",VLOOKUP(B1049,'036-20-Cotação'!$A$9:$G$529,3,0))))</f>
        <v>2.8575972973854671</v>
      </c>
      <c r="H1049" s="463">
        <f t="shared" si="155"/>
        <v>26.418487014328647</v>
      </c>
      <c r="J1049" s="232" t="s">
        <v>8360</v>
      </c>
      <c r="K1049" s="232" t="s">
        <v>8361</v>
      </c>
    </row>
    <row r="1050" spans="1:17" s="87" customFormat="1" ht="12.75">
      <c r="A1050" s="188"/>
      <c r="B1050" s="348" t="s">
        <v>123</v>
      </c>
      <c r="C1050" s="695" t="s">
        <v>8356</v>
      </c>
      <c r="D1050" s="696"/>
      <c r="E1050" s="696"/>
      <c r="F1050" s="696"/>
      <c r="G1050" s="696"/>
      <c r="H1050" s="697"/>
      <c r="J1050" s="201"/>
    </row>
    <row r="1051" spans="1:17" s="87" customFormat="1" ht="12.75">
      <c r="A1051" s="188"/>
      <c r="B1051" s="346"/>
      <c r="C1051" s="482"/>
      <c r="D1051" s="482"/>
      <c r="E1051" s="482"/>
      <c r="F1051" s="482"/>
      <c r="G1051" s="482"/>
      <c r="H1051" s="483"/>
      <c r="J1051" s="201"/>
      <c r="K1051" s="78"/>
      <c r="L1051" s="78"/>
      <c r="M1051" s="78"/>
      <c r="N1051" s="78"/>
      <c r="O1051" s="78"/>
      <c r="P1051" s="78"/>
      <c r="Q1051" s="78"/>
    </row>
    <row r="1052" spans="1:17" s="87" customFormat="1" ht="63.75">
      <c r="A1052" s="188"/>
      <c r="B1052" s="80" t="s">
        <v>13218</v>
      </c>
      <c r="C1052" s="81" t="s">
        <v>13463</v>
      </c>
      <c r="D1052" s="82" t="s">
        <v>84</v>
      </c>
      <c r="E1052" s="82" t="s">
        <v>4521</v>
      </c>
      <c r="F1052" s="83"/>
      <c r="G1052" s="84"/>
      <c r="H1052" s="85">
        <f>SUM(H1053:H1053)</f>
        <v>357</v>
      </c>
      <c r="J1052" s="201"/>
      <c r="K1052" s="78"/>
      <c r="L1052" s="78"/>
      <c r="M1052" s="78"/>
      <c r="N1052" s="78"/>
      <c r="O1052" s="78"/>
      <c r="P1052" s="78"/>
      <c r="Q1052" s="78"/>
    </row>
    <row r="1053" spans="1:17" s="87" customFormat="1" ht="25.5">
      <c r="A1053" s="232" t="s">
        <v>4542</v>
      </c>
      <c r="B1053" s="464" t="s">
        <v>13221</v>
      </c>
      <c r="C1053" s="451" t="str">
        <f>IF(A1053="SERVIÇO",VLOOKUP(B1053,SERVIÇOS!$A$6:$D$7645,2,0),IF(A1053="INSUMO",VLOOKUP(B1053,INSUMOS!$A$6:$D$6961,2,0),IF(A1053="COTAÇÃO",VLOOKUP(B1053,'036-20-Cotação'!$A$9:$G$529,2,0))))</f>
        <v>DESPESAS COM PEDÁGIO DE SP PARA DF - TRASN. MAT. JUNTAS DE DILATAÇÃO</v>
      </c>
      <c r="D1053" s="452" t="str">
        <f>IF(A1053="SERVIÇO",VLOOKUP(B1053,SERVIÇOS!$A$6:$E$7645,5,0),IF(A1053="INSUMO",VLOOKUP(B1053,INSUMOS!$A$6:$E$6961,5,0),IF(A1053="COTAÇÃO",VLOOKUP(B1053,'036-20-Cotação'!$A$9:$H$529,8,0))))</f>
        <v>SER.CG</v>
      </c>
      <c r="E1053" s="452" t="str">
        <f>IF(A1053="SERVIÇO",VLOOKUP(B1053,SERVIÇOS!$A$6:$D$7645,3,0),IF(A1053="INSUMO",VLOOKUP(B1053,INSUMOS!$A$6:$D$6961,3,0),IF(A1053="COTAÇÃO",VLOOKUP(B1053,'036-20-Cotação'!$A$9:$G$529,4,0))))</f>
        <v xml:space="preserve">UN    </v>
      </c>
      <c r="F1053" s="462">
        <v>1</v>
      </c>
      <c r="G1053" s="453">
        <f>IF(A1053="SERVIÇO",VLOOKUP(B1053,SERVIÇOS!$A$6:$D$7645,4,0),IF(A1053="INSUMO",VLOOKUP(B1053,INSUMOS!$A$6:$D$6961,4,0),IF(A1053="COTAÇÃO",VLOOKUP(B1053,'036-20-Cotação'!$A$9:$G$529,3,0))))</f>
        <v>357</v>
      </c>
      <c r="H1053" s="463">
        <f>G1053*F1053</f>
        <v>357</v>
      </c>
      <c r="J1053" s="201"/>
    </row>
    <row r="1054" spans="1:17" s="87" customFormat="1" ht="12.75">
      <c r="A1054" s="232"/>
      <c r="B1054" s="199" t="s">
        <v>123</v>
      </c>
      <c r="C1054" s="698" t="s">
        <v>13220</v>
      </c>
      <c r="D1054" s="699"/>
      <c r="E1054" s="699"/>
      <c r="F1054" s="699"/>
      <c r="G1054" s="699"/>
      <c r="H1054" s="700"/>
      <c r="J1054" s="201"/>
    </row>
    <row r="1055" spans="1:17" s="87" customFormat="1" ht="12.75">
      <c r="A1055" s="188"/>
      <c r="B1055" s="346"/>
      <c r="C1055" s="526"/>
      <c r="D1055" s="526"/>
      <c r="E1055" s="526"/>
      <c r="F1055" s="526"/>
      <c r="G1055" s="526"/>
      <c r="H1055" s="527"/>
      <c r="J1055" s="201"/>
      <c r="K1055" s="78"/>
      <c r="L1055" s="78"/>
      <c r="M1055" s="78"/>
      <c r="N1055" s="78"/>
      <c r="O1055" s="78"/>
      <c r="P1055" s="78"/>
      <c r="Q1055" s="78"/>
    </row>
    <row r="1056" spans="1:17" s="87" customFormat="1" ht="38.25">
      <c r="A1056" s="188"/>
      <c r="B1056" s="80" t="s">
        <v>13471</v>
      </c>
      <c r="C1056" s="81" t="s">
        <v>13470</v>
      </c>
      <c r="D1056" s="82" t="s">
        <v>84</v>
      </c>
      <c r="E1056" s="82" t="s">
        <v>150</v>
      </c>
      <c r="F1056" s="83"/>
      <c r="G1056" s="84"/>
      <c r="H1056" s="85">
        <f>SUM(H1057:H1061)</f>
        <v>88.008390750000004</v>
      </c>
      <c r="J1056" s="201"/>
      <c r="K1056" s="78"/>
      <c r="L1056" s="78"/>
      <c r="M1056" s="78"/>
      <c r="N1056" s="78"/>
      <c r="O1056" s="78"/>
      <c r="P1056" s="78"/>
      <c r="Q1056" s="78"/>
    </row>
    <row r="1057" spans="1:17" s="87" customFormat="1" ht="25.5">
      <c r="A1057" s="232" t="s">
        <v>4542</v>
      </c>
      <c r="B1057" s="464" t="s">
        <v>9300</v>
      </c>
      <c r="C1057" s="451" t="str">
        <f>IF(A1057="SERVIÇO",VLOOKUP(B1057,SERVIÇOS!$A$6:$D$7645,2,0),IF(A1057="INSUMO",VLOOKUP(B1057,INSUMOS!$A$6:$D$6961,2,0),IF(A1057="COTAÇÃO",VLOOKUP(B1057,'036-20-Cotação'!$A$9:$G$529,2,0))))</f>
        <v>MÁQUINA DE ESMERILHAR TOPO E LATERAL DE BOLETO - 5,2 KW</v>
      </c>
      <c r="D1057" s="452" t="str">
        <f>IF(A1057="SERVIÇO",VLOOKUP(B1057,SERVIÇOS!$A$6:$E$7645,5,0),IF(A1057="INSUMO",VLOOKUP(B1057,INSUMOS!$A$6:$E$6961,5,0),IF(A1057="COTAÇÃO",VLOOKUP(B1057,'036-20-Cotação'!$A$9:$H$529,8,0))))</f>
        <v>EQUIP.</v>
      </c>
      <c r="E1057" s="452" t="str">
        <f>IF(A1057="SERVIÇO",VLOOKUP(B1057,SERVIÇOS!$A$6:$D$7645,3,0),IF(A1057="INSUMO",VLOOKUP(B1057,INSUMOS!$A$6:$D$6961,3,0),IF(A1057="COTAÇÃO",VLOOKUP(B1057,'036-20-Cotação'!$A$9:$G$529,4,0))))</f>
        <v>CHP</v>
      </c>
      <c r="F1057" s="462">
        <f>1*7/5</f>
        <v>1.4</v>
      </c>
      <c r="G1057" s="453">
        <f>IF(A1057="SERVIÇO",VLOOKUP(B1057,SERVIÇOS!$A$6:$D$7645,4,0),IF(A1057="INSUMO",VLOOKUP(B1057,INSUMOS!$A$6:$D$6961,4,0),IF(A1057="COTAÇÃO",VLOOKUP(B1057,'036-20-Cotação'!$A$9:$G$529,3,0))))</f>
        <v>16.866</v>
      </c>
      <c r="H1057" s="463">
        <f t="shared" ref="H1057:H1059" si="156">G1057*F1057</f>
        <v>23.612399999999997</v>
      </c>
      <c r="J1057" s="201">
        <v>5</v>
      </c>
      <c r="K1057" s="87">
        <v>1</v>
      </c>
    </row>
    <row r="1058" spans="1:17" s="87" customFormat="1" ht="12.75">
      <c r="A1058" s="232" t="s">
        <v>4542</v>
      </c>
      <c r="B1058" s="464" t="s">
        <v>6825</v>
      </c>
      <c r="C1058" s="451" t="str">
        <f>IF(A1058="SERVIÇO",VLOOKUP(B1058,SERVIÇOS!$A$6:$D$7645,2,0),IF(A1058="INSUMO",VLOOKUP(B1058,INSUMOS!$A$6:$D$6961,2,0),IF(A1058="COTAÇÃO",VLOOKUP(B1058,'036-20-Cotação'!$A$9:$G$529,2,0))))</f>
        <v>AJUDANTE</v>
      </c>
      <c r="D1058" s="452" t="str">
        <f>IF(A1058="SERVIÇO",VLOOKUP(B1058,SERVIÇOS!$A$6:$E$7645,5,0),IF(A1058="INSUMO",VLOOKUP(B1058,INSUMOS!$A$6:$E$6961,5,0),IF(A1058="COTAÇÃO",VLOOKUP(B1058,'036-20-Cotação'!$A$9:$H$529,8,0))))</f>
        <v>M.O</v>
      </c>
      <c r="E1058" s="452" t="str">
        <f>IF(A1058="SERVIÇO",VLOOKUP(B1058,SERVIÇOS!$A$6:$D$7645,3,0),IF(A1058="INSUMO",VLOOKUP(B1058,INSUMOS!$A$6:$D$6961,3,0),IF(A1058="COTAÇÃO",VLOOKUP(B1058,'036-20-Cotação'!$A$9:$G$529,4,0))))</f>
        <v>H</v>
      </c>
      <c r="F1058" s="462">
        <f>0.5*7/5</f>
        <v>0.7</v>
      </c>
      <c r="G1058" s="453">
        <f>IF(A1058="SERVIÇO",VLOOKUP(B1058,SERVIÇOS!$A$6:$D$7645,4,0),IF(A1058="INSUMO",VLOOKUP(B1058,INSUMOS!$A$6:$D$6961,4,0),IF(A1058="COTAÇÃO",VLOOKUP(B1058,'036-20-Cotação'!$A$9:$G$529,3,0))))</f>
        <v>17.9801</v>
      </c>
      <c r="H1058" s="463">
        <f t="shared" si="156"/>
        <v>12.586069999999999</v>
      </c>
      <c r="J1058" s="201">
        <v>7</v>
      </c>
      <c r="K1058" s="87" t="s">
        <v>6759</v>
      </c>
    </row>
    <row r="1059" spans="1:17" s="87" customFormat="1" ht="12.75">
      <c r="A1059" s="232" t="s">
        <v>4542</v>
      </c>
      <c r="B1059" s="464" t="s">
        <v>6875</v>
      </c>
      <c r="C1059" s="451" t="str">
        <f>IF(A1059="SERVIÇO",VLOOKUP(B1059,SERVIÇOS!$A$6:$D$7645,2,0),IF(A1059="INSUMO",VLOOKUP(B1059,INSUMOS!$A$6:$D$6961,2,0),IF(A1059="COTAÇÃO",VLOOKUP(B1059,'036-20-Cotação'!$A$9:$G$529,2,0))))</f>
        <v>SERRALHEIRO</v>
      </c>
      <c r="D1059" s="452" t="str">
        <f>IF(A1059="SERVIÇO",VLOOKUP(B1059,SERVIÇOS!$A$6:$E$7645,5,0),IF(A1059="INSUMO",VLOOKUP(B1059,INSUMOS!$A$6:$E$6961,5,0),IF(A1059="COTAÇÃO",VLOOKUP(B1059,'036-20-Cotação'!$A$9:$H$529,8,0))))</f>
        <v>M.O</v>
      </c>
      <c r="E1059" s="452" t="str">
        <f>IF(A1059="SERVIÇO",VLOOKUP(B1059,SERVIÇOS!$A$6:$D$7645,3,0),IF(A1059="INSUMO",VLOOKUP(B1059,INSUMOS!$A$6:$D$6961,3,0),IF(A1059="COTAÇÃO",VLOOKUP(B1059,'036-20-Cotação'!$A$9:$G$529,4,0))))</f>
        <v>H</v>
      </c>
      <c r="F1059" s="462">
        <f>1*7/5</f>
        <v>1.4</v>
      </c>
      <c r="G1059" s="453">
        <f>IF(A1059="SERVIÇO",VLOOKUP(B1059,SERVIÇOS!$A$6:$D$7645,4,0),IF(A1059="INSUMO",VLOOKUP(B1059,INSUMOS!$A$6:$D$6961,4,0),IF(A1059="COTAÇÃO",VLOOKUP(B1059,'036-20-Cotação'!$A$9:$G$529,3,0))))</f>
        <v>21.641200000000001</v>
      </c>
      <c r="H1059" s="463">
        <f t="shared" si="156"/>
        <v>30.29768</v>
      </c>
      <c r="J1059" s="201"/>
    </row>
    <row r="1060" spans="1:17" s="87" customFormat="1" ht="12.75">
      <c r="A1060" s="232" t="s">
        <v>4542</v>
      </c>
      <c r="B1060" s="464"/>
      <c r="C1060" s="451" t="s">
        <v>8440</v>
      </c>
      <c r="D1060" s="452" t="s">
        <v>7326</v>
      </c>
      <c r="E1060" s="452" t="s">
        <v>8441</v>
      </c>
      <c r="F1060" s="528">
        <v>0.37140000000000001</v>
      </c>
      <c r="G1060" s="453"/>
      <c r="H1060" s="463">
        <f>(H1059+H1058)*F1060</f>
        <v>15.927024749999999</v>
      </c>
      <c r="J1060" s="201"/>
    </row>
    <row r="1061" spans="1:17" s="87" customFormat="1" ht="12.75">
      <c r="A1061" s="232" t="s">
        <v>4544</v>
      </c>
      <c r="B1061" s="464" t="s">
        <v>11880</v>
      </c>
      <c r="C1061" s="451" t="str">
        <f>IF(A1061="SERVIÇO",VLOOKUP(B1061,SERVIÇOS!$A$6:$D$7645,2,0),IF(A1061="INSUMO",VLOOKUP(B1061,INSUMOS!$A$6:$D$6961,2,0),IF(A1061="COTAÇÃO",VLOOKUP(B1061,'036-20-Cotação'!$A$9:$G$529,2,0))))</f>
        <v>DISCO DE CORTE DE 35 CM</v>
      </c>
      <c r="D1061" s="452" t="str">
        <f>IF(A1061="SERVIÇO",VLOOKUP(B1061,SERVIÇOS!$A$6:$E$7645,5,0),IF(A1061="INSUMO",VLOOKUP(B1061,INSUMOS!$A$6:$E$6961,5,0),IF(A1061="COTAÇÃO",VLOOKUP(B1061,'036-20-Cotação'!$A$9:$H$529,8,0))))</f>
        <v>MAT.</v>
      </c>
      <c r="E1061" s="452" t="str">
        <f>IF(A1061="SERVIÇO",VLOOKUP(B1061,SERVIÇOS!$A$6:$D$7645,3,0),IF(A1061="INSUMO",VLOOKUP(B1061,INSUMOS!$A$6:$D$6961,3,0),IF(A1061="COTAÇÃO",VLOOKUP(B1061,'036-20-Cotação'!$A$9:$G$529,4,0))))</f>
        <v>UN</v>
      </c>
      <c r="F1061" s="462">
        <f>0.2*7/5</f>
        <v>0.28000000000000003</v>
      </c>
      <c r="G1061" s="453">
        <f>IF(A1061="SERVIÇO",VLOOKUP(B1061,SERVIÇOS!$A$6:$D$7645,4,0),IF(A1061="INSUMO",VLOOKUP(B1061,INSUMOS!$A$6:$D$6961,4,0),IF(A1061="COTAÇÃO",VLOOKUP(B1061,'036-20-Cotação'!$A$9:$G$529,3,0))))</f>
        <v>19.947199999999999</v>
      </c>
      <c r="H1061" s="463">
        <f t="shared" ref="H1061" si="157">G1061*F1061</f>
        <v>5.585216</v>
      </c>
      <c r="J1061" s="201"/>
    </row>
    <row r="1062" spans="1:17" s="87" customFormat="1" ht="12.75">
      <c r="A1062" s="188"/>
      <c r="B1062" s="348" t="s">
        <v>123</v>
      </c>
      <c r="C1062" s="695" t="s">
        <v>13498</v>
      </c>
      <c r="D1062" s="696"/>
      <c r="E1062" s="696"/>
      <c r="F1062" s="696"/>
      <c r="G1062" s="696"/>
      <c r="H1062" s="697"/>
      <c r="J1062" s="201"/>
      <c r="K1062" s="78"/>
      <c r="L1062" s="78"/>
      <c r="M1062" s="78"/>
      <c r="N1062" s="78"/>
      <c r="O1062" s="78"/>
      <c r="P1062" s="78"/>
      <c r="Q1062" s="78"/>
    </row>
    <row r="1063" spans="1:17" s="87" customFormat="1" ht="12.75">
      <c r="A1063" s="188"/>
      <c r="B1063" s="346"/>
      <c r="C1063" s="526"/>
      <c r="D1063" s="526"/>
      <c r="E1063" s="526"/>
      <c r="F1063" s="526"/>
      <c r="G1063" s="526"/>
      <c r="H1063" s="527"/>
      <c r="J1063" s="201"/>
      <c r="K1063" s="78"/>
      <c r="L1063" s="78"/>
      <c r="M1063" s="78"/>
      <c r="N1063" s="78"/>
      <c r="O1063" s="78"/>
      <c r="P1063" s="78"/>
      <c r="Q1063" s="78"/>
    </row>
    <row r="1064" spans="1:17" s="87" customFormat="1" ht="25.5">
      <c r="A1064" s="188"/>
      <c r="B1064" s="80" t="s">
        <v>13472</v>
      </c>
      <c r="C1064" s="81" t="s">
        <v>13473</v>
      </c>
      <c r="D1064" s="82" t="s">
        <v>84</v>
      </c>
      <c r="E1064" s="82" t="s">
        <v>172</v>
      </c>
      <c r="F1064" s="83"/>
      <c r="G1064" s="84"/>
      <c r="H1064" s="85">
        <f>SUM(H1065:H1076)</f>
        <v>2661.3112410715453</v>
      </c>
      <c r="J1064" s="201" t="s">
        <v>13474</v>
      </c>
      <c r="K1064" s="78"/>
      <c r="L1064" s="78"/>
      <c r="M1064" s="78"/>
      <c r="N1064" s="78"/>
      <c r="O1064" s="78"/>
      <c r="P1064" s="78"/>
      <c r="Q1064" s="78"/>
    </row>
    <row r="1065" spans="1:17" s="87" customFormat="1" ht="25.5">
      <c r="A1065" s="232" t="s">
        <v>4542</v>
      </c>
      <c r="B1065" s="464" t="s">
        <v>9352</v>
      </c>
      <c r="C1065" s="451" t="str">
        <f>IF(A1065="SERVIÇO",VLOOKUP(B1065,SERVIÇOS!$A$6:$D$7645,2,0),IF(A1065="INSUMO",VLOOKUP(B1065,INSUMOS!$A$6:$D$6961,2,0),IF(A1065="COTAÇÃO",VLOOKUP(B1065,'036-20-Cotação'!$A$9:$G$529,2,0))))</f>
        <v>MISTURADOR DE ARGAMASSA COM CAPACIDADE DE 250 L - 3,7 KW</v>
      </c>
      <c r="D1065" s="452" t="str">
        <f>IF(A1065="SERVIÇO",VLOOKUP(B1065,SERVIÇOS!$A$6:$E$7645,5,0),IF(A1065="INSUMO",VLOOKUP(B1065,INSUMOS!$A$6:$E$6961,5,0),IF(A1065="COTAÇÃO",VLOOKUP(B1065,'036-20-Cotação'!$A$9:$H$529,8,0))))</f>
        <v>EQUIP.</v>
      </c>
      <c r="E1065" s="452" t="str">
        <f>IF(A1065="SERVIÇO",VLOOKUP(B1065,SERVIÇOS!$A$6:$D$7645,3,0),IF(A1065="INSUMO",VLOOKUP(B1065,INSUMOS!$A$6:$D$6961,3,0),IF(A1065="COTAÇÃO",VLOOKUP(B1065,'036-20-Cotação'!$A$9:$G$529,4,0))))</f>
        <v>CHP</v>
      </c>
      <c r="F1065" s="462">
        <f>1/1.29</f>
        <v>0.77519379844961234</v>
      </c>
      <c r="G1065" s="453">
        <f>IF(A1065="SERVIÇO",VLOOKUP(B1065,SERVIÇOS!$A$6:$D$7645,4,0),IF(A1065="INSUMO",VLOOKUP(B1065,INSUMOS!$A$6:$D$6961,4,0),IF(A1065="COTAÇÃO",VLOOKUP(B1065,'036-20-Cotação'!$A$9:$G$529,3,0))))</f>
        <v>23.031700000000001</v>
      </c>
      <c r="H1065" s="463">
        <f t="shared" ref="H1065:H1071" si="158">G1065*F1065</f>
        <v>17.854031007751939</v>
      </c>
      <c r="J1065" s="201"/>
    </row>
    <row r="1066" spans="1:17" s="87" customFormat="1" ht="25.5">
      <c r="A1066" s="232" t="s">
        <v>4542</v>
      </c>
      <c r="B1066" s="464" t="s">
        <v>8841</v>
      </c>
      <c r="C1066" s="451" t="str">
        <f>IF(A1066="SERVIÇO",VLOOKUP(B1066,SERVIÇOS!$A$6:$D$7645,2,0),IF(A1066="INSUMO",VLOOKUP(B1066,INSUMOS!$A$6:$D$6961,2,0),IF(A1066="COTAÇÃO",VLOOKUP(B1066,'036-20-Cotação'!$A$9:$G$529,2,0))))</f>
        <v>TRANSPORTADOR MANUAL CARRINHO DE MÃO COM CAPACIDADE DE 80 L</v>
      </c>
      <c r="D1066" s="452" t="str">
        <f>IF(A1066="SERVIÇO",VLOOKUP(B1066,SERVIÇOS!$A$6:$E$7645,5,0),IF(A1066="INSUMO",VLOOKUP(B1066,INSUMOS!$A$6:$E$6961,5,0),IF(A1066="COTAÇÃO",VLOOKUP(B1066,'036-20-Cotação'!$A$9:$H$529,8,0))))</f>
        <v>EQUIP.</v>
      </c>
      <c r="E1066" s="452" t="str">
        <f>IF(A1066="SERVIÇO",VLOOKUP(B1066,SERVIÇOS!$A$6:$D$7645,3,0),IF(A1066="INSUMO",VLOOKUP(B1066,INSUMOS!$A$6:$D$6961,3,0),IF(A1066="COTAÇÃO",VLOOKUP(B1066,'036-20-Cotação'!$A$9:$G$529,4,0))))</f>
        <v>CHP</v>
      </c>
      <c r="F1066" s="462">
        <f>0.87/1.29*2</f>
        <v>1.3488372093023255</v>
      </c>
      <c r="G1066" s="453">
        <f>IF(A1066="SERVIÇO",VLOOKUP(B1066,SERVIÇOS!$A$6:$D$7645,4,0),IF(A1066="INSUMO",VLOOKUP(B1066,INSUMOS!$A$6:$D$6961,4,0),IF(A1066="COTAÇÃO",VLOOKUP(B1066,'036-20-Cotação'!$A$9:$G$529,3,0))))</f>
        <v>0.3054</v>
      </c>
      <c r="H1066" s="463">
        <f t="shared" ref="H1066:H1067" si="159">G1066*F1066</f>
        <v>0.41193488372093023</v>
      </c>
      <c r="J1066" s="201"/>
    </row>
    <row r="1067" spans="1:17" s="87" customFormat="1" ht="25.5">
      <c r="A1067" s="232" t="s">
        <v>4542</v>
      </c>
      <c r="B1067" s="464" t="s">
        <v>8841</v>
      </c>
      <c r="C1067" s="451" t="str">
        <f>IF(A1067="SERVIÇO",VLOOKUP(B1067,SERVIÇOS!$A$6:$D$7645,2,0),IF(A1067="INSUMO",VLOOKUP(B1067,INSUMOS!$A$6:$D$6961,2,0),IF(A1067="COTAÇÃO",VLOOKUP(B1067,'036-20-Cotação'!$A$9:$G$529,2,0))))</f>
        <v>TRANSPORTADOR MANUAL CARRINHO DE MÃO COM CAPACIDADE DE 80 L</v>
      </c>
      <c r="D1067" s="452" t="str">
        <f>IF(A1067="SERVIÇO",VLOOKUP(B1067,SERVIÇOS!$A$6:$E$7645,5,0),IF(A1067="INSUMO",VLOOKUP(B1067,INSUMOS!$A$6:$E$6961,5,0),IF(A1067="COTAÇÃO",VLOOKUP(B1067,'036-20-Cotação'!$A$9:$H$529,8,0))))</f>
        <v>EQUIP.</v>
      </c>
      <c r="E1067" s="452" t="str">
        <f>IF(A1067="SERVIÇO",VLOOKUP(B1067,SERVIÇOS!$A$6:$D$7645,3,0),IF(A1067="INSUMO",VLOOKUP(B1067,INSUMOS!$A$6:$D$6961,3,0),IF(A1067="COTAÇÃO",VLOOKUP(B1067,'036-20-Cotação'!$A$9:$G$529,4,0))))</f>
        <v>CHP</v>
      </c>
      <c r="F1067" s="462">
        <f>0.13/1.29*2</f>
        <v>0.20155038759689922</v>
      </c>
      <c r="G1067" s="453">
        <f>IF(A1067="SERVIÇO",VLOOKUP(B1067,SERVIÇOS!$A$6:$D$7645,4,0),IF(A1067="INSUMO",VLOOKUP(B1067,INSUMOS!$A$6:$D$6961,4,0),IF(A1067="COTAÇÃO",VLOOKUP(B1067,'036-20-Cotação'!$A$9:$G$529,3,0))))</f>
        <v>0.3054</v>
      </c>
      <c r="H1067" s="463">
        <f t="shared" si="159"/>
        <v>6.1553488372093026E-2</v>
      </c>
      <c r="J1067" s="201"/>
    </row>
    <row r="1068" spans="1:17" s="87" customFormat="1" ht="25.5">
      <c r="A1068" s="232" t="s">
        <v>4542</v>
      </c>
      <c r="B1068" s="464" t="s">
        <v>8829</v>
      </c>
      <c r="C1068" s="451" t="str">
        <f>IF(A1068="SERVIÇO",VLOOKUP(B1068,SERVIÇOS!$A$6:$D$7645,2,0),IF(A1068="INSUMO",VLOOKUP(B1068,INSUMOS!$A$6:$D$6961,2,0),IF(A1068="COTAÇÃO",VLOOKUP(B1068,'036-20-Cotação'!$A$9:$G$529,2,0))))</f>
        <v>TRANSPORTADOR MANUAL GERICA COM CAPACIDADE DE 180 L</v>
      </c>
      <c r="D1068" s="452" t="str">
        <f>IF(A1068="SERVIÇO",VLOOKUP(B1068,SERVIÇOS!$A$6:$E$7645,5,0),IF(A1068="INSUMO",VLOOKUP(B1068,INSUMOS!$A$6:$E$6961,5,0),IF(A1068="COTAÇÃO",VLOOKUP(B1068,'036-20-Cotação'!$A$9:$H$529,8,0))))</f>
        <v>EQUIP.</v>
      </c>
      <c r="E1068" s="452" t="str">
        <f>IF(A1068="SERVIÇO",VLOOKUP(B1068,SERVIÇOS!$A$6:$D$7645,3,0),IF(A1068="INSUMO",VLOOKUP(B1068,INSUMOS!$A$6:$D$6961,3,0),IF(A1068="COTAÇÃO",VLOOKUP(B1068,'036-20-Cotação'!$A$9:$G$529,4,0))))</f>
        <v>CHP</v>
      </c>
      <c r="F1068" s="462">
        <f>0.23/1.29*2</f>
        <v>0.35658914728682173</v>
      </c>
      <c r="G1068" s="453">
        <f>IF(A1068="SERVIÇO",VLOOKUP(B1068,SERVIÇOS!$A$6:$D$7645,4,0),IF(A1068="INSUMO",VLOOKUP(B1068,INSUMOS!$A$6:$D$6961,4,0),IF(A1068="COTAÇÃO",VLOOKUP(B1068,'036-20-Cotação'!$A$9:$G$529,3,0))))</f>
        <v>0.78420000000000001</v>
      </c>
      <c r="H1068" s="463">
        <f t="shared" ref="H1068:H1069" si="160">G1068*F1068</f>
        <v>0.27963720930232561</v>
      </c>
      <c r="J1068" s="201"/>
    </row>
    <row r="1069" spans="1:17" s="87" customFormat="1" ht="25.5">
      <c r="A1069" s="232" t="s">
        <v>4542</v>
      </c>
      <c r="B1069" s="464" t="s">
        <v>9658</v>
      </c>
      <c r="C1069" s="451" t="str">
        <f>IF(A1069="SERVIÇO",VLOOKUP(B1069,SERVIÇOS!$A$6:$D$7645,2,0),IF(A1069="INSUMO",VLOOKUP(B1069,INSUMOS!$A$6:$D$6961,2,0),IF(A1069="COTAÇÃO",VLOOKUP(B1069,'036-20-Cotação'!$A$9:$G$529,2,0))))</f>
        <v>TRANSPORTADOR MANUAL GERICA COM CAPACIDADE DE 180 L</v>
      </c>
      <c r="D1069" s="452" t="str">
        <f>IF(A1069="SERVIÇO",VLOOKUP(B1069,SERVIÇOS!$A$6:$E$7645,5,0),IF(A1069="INSUMO",VLOOKUP(B1069,INSUMOS!$A$6:$E$6961,5,0),IF(A1069="COTAÇÃO",VLOOKUP(B1069,'036-20-Cotação'!$A$9:$H$529,8,0))))</f>
        <v>EQUIP.</v>
      </c>
      <c r="E1069" s="452" t="str">
        <f>IF(A1069="SERVIÇO",VLOOKUP(B1069,SERVIÇOS!$A$6:$D$7645,3,0),IF(A1069="INSUMO",VLOOKUP(B1069,INSUMOS!$A$6:$D$6961,3,0),IF(A1069="COTAÇÃO",VLOOKUP(B1069,'036-20-Cotação'!$A$9:$G$529,4,0))))</f>
        <v>CHI</v>
      </c>
      <c r="F1069" s="462">
        <f>0.77/1.29*2</f>
        <v>1.193798449612403</v>
      </c>
      <c r="G1069" s="453">
        <f>IF(A1069="SERVIÇO",VLOOKUP(B1069,SERVIÇOS!$A$6:$D$7645,4,0),IF(A1069="INSUMO",VLOOKUP(B1069,INSUMOS!$A$6:$D$6961,4,0),IF(A1069="COTAÇÃO",VLOOKUP(B1069,'036-20-Cotação'!$A$9:$G$529,3,0))))</f>
        <v>0.52549999999999997</v>
      </c>
      <c r="H1069" s="463">
        <f t="shared" si="160"/>
        <v>0.62734108527131771</v>
      </c>
      <c r="J1069" s="201"/>
    </row>
    <row r="1070" spans="1:17" s="87" customFormat="1" ht="12.75">
      <c r="A1070" s="232" t="s">
        <v>4542</v>
      </c>
      <c r="B1070" s="464" t="s">
        <v>6614</v>
      </c>
      <c r="C1070" s="451" t="str">
        <f>IF(A1070="SERVIÇO",VLOOKUP(B1070,SERVIÇOS!$A$6:$D$7645,2,0),IF(A1070="INSUMO",VLOOKUP(B1070,INSUMOS!$A$6:$D$6961,2,0),IF(A1070="COTAÇÃO",VLOOKUP(B1070,'036-20-Cotação'!$A$9:$G$529,2,0))))</f>
        <v>PEDREIRO</v>
      </c>
      <c r="D1070" s="452" t="str">
        <f>IF(A1070="SERVIÇO",VLOOKUP(B1070,SERVIÇOS!$A$6:$E$7645,5,0),IF(A1070="INSUMO",VLOOKUP(B1070,INSUMOS!$A$6:$E$6961,5,0),IF(A1070="COTAÇÃO",VLOOKUP(B1070,'036-20-Cotação'!$A$9:$H$529,8,0))))</f>
        <v>M.O</v>
      </c>
      <c r="E1070" s="452" t="str">
        <f>IF(A1070="SERVIÇO",VLOOKUP(B1070,SERVIÇOS!$A$6:$D$7645,3,0),IF(A1070="INSUMO",VLOOKUP(B1070,INSUMOS!$A$6:$D$6961,3,0),IF(A1070="COTAÇÃO",VLOOKUP(B1070,'036-20-Cotação'!$A$9:$G$529,4,0))))</f>
        <v>H</v>
      </c>
      <c r="F1070" s="462">
        <f>1/1.29</f>
        <v>0.77519379844961234</v>
      </c>
      <c r="G1070" s="453">
        <f>IF(A1070="SERVIÇO",VLOOKUP(B1070,SERVIÇOS!$A$6:$D$7645,4,0),IF(A1070="INSUMO",VLOOKUP(B1070,INSUMOS!$A$6:$D$6961,4,0),IF(A1070="COTAÇÃO",VLOOKUP(B1070,'036-20-Cotação'!$A$9:$G$529,3,0))))</f>
        <v>21.647600000000001</v>
      </c>
      <c r="H1070" s="463">
        <f t="shared" si="158"/>
        <v>16.781085271317828</v>
      </c>
      <c r="J1070" s="201"/>
    </row>
    <row r="1071" spans="1:17" s="87" customFormat="1" ht="12.75">
      <c r="A1071" s="232" t="s">
        <v>4542</v>
      </c>
      <c r="B1071" s="464" t="s">
        <v>6602</v>
      </c>
      <c r="C1071" s="451" t="str">
        <f>IF(A1071="SERVIÇO",VLOOKUP(B1071,SERVIÇOS!$A$6:$D$7645,2,0),IF(A1071="INSUMO",VLOOKUP(B1071,INSUMOS!$A$6:$D$6961,2,0),IF(A1071="COTAÇÃO",VLOOKUP(B1071,'036-20-Cotação'!$A$9:$G$529,2,0))))</f>
        <v>SERVENTE</v>
      </c>
      <c r="D1071" s="452" t="str">
        <f>IF(A1071="SERVIÇO",VLOOKUP(B1071,SERVIÇOS!$A$6:$E$7645,5,0),IF(A1071="INSUMO",VLOOKUP(B1071,INSUMOS!$A$6:$E$6961,5,0),IF(A1071="COTAÇÃO",VLOOKUP(B1071,'036-20-Cotação'!$A$9:$H$529,8,0))))</f>
        <v>M.O</v>
      </c>
      <c r="E1071" s="452" t="str">
        <f>IF(A1071="SERVIÇO",VLOOKUP(B1071,SERVIÇOS!$A$6:$D$7645,3,0),IF(A1071="INSUMO",VLOOKUP(B1071,INSUMOS!$A$6:$D$6961,3,0),IF(A1071="COTAÇÃO",VLOOKUP(B1071,'036-20-Cotação'!$A$9:$G$529,4,0))))</f>
        <v>H</v>
      </c>
      <c r="F1071" s="462">
        <f>8/1.29</f>
        <v>6.2015503875968987</v>
      </c>
      <c r="G1071" s="453">
        <f>IF(A1071="SERVIÇO",VLOOKUP(B1071,SERVIÇOS!$A$6:$D$7645,4,0),IF(A1071="INSUMO",VLOOKUP(B1071,INSUMOS!$A$6:$D$6961,4,0),IF(A1071="COTAÇÃO",VLOOKUP(B1071,'036-20-Cotação'!$A$9:$G$529,3,0))))</f>
        <v>15.637499999999999</v>
      </c>
      <c r="H1071" s="463">
        <f t="shared" si="158"/>
        <v>96.976744186046503</v>
      </c>
      <c r="J1071" s="201"/>
    </row>
    <row r="1072" spans="1:17" s="87" customFormat="1" ht="12.75">
      <c r="A1072" s="232" t="s">
        <v>4542</v>
      </c>
      <c r="B1072" s="464"/>
      <c r="C1072" s="451" t="s">
        <v>8440</v>
      </c>
      <c r="D1072" s="452" t="s">
        <v>7326</v>
      </c>
      <c r="E1072" s="452" t="s">
        <v>8441</v>
      </c>
      <c r="F1072" s="528">
        <v>0.37140000000000001</v>
      </c>
      <c r="G1072" s="453"/>
      <c r="H1072" s="463">
        <f>(H1071+H1070)*F1072</f>
        <v>42.249657860465113</v>
      </c>
      <c r="J1072" s="201"/>
    </row>
    <row r="1073" spans="1:17" s="87" customFormat="1" ht="25.5">
      <c r="A1073" s="232" t="s">
        <v>4544</v>
      </c>
      <c r="B1073" s="464" t="s">
        <v>10186</v>
      </c>
      <c r="C1073" s="451" t="str">
        <f>IF(A1073="SERVIÇO",VLOOKUP(B1073,SERVIÇOS!$A$6:$D$7645,2,0),IF(A1073="INSUMO",VLOOKUP(B1073,INSUMOS!$A$6:$D$6961,2,0),IF(A1073="COTAÇÃO",VLOOKUP(B1073,'036-20-Cotação'!$A$9:$G$529,2,0))))</f>
        <v>ARGAMASSA TIPO SIKA GROUT AUTOADENSÁVEL OU SIMILAR</v>
      </c>
      <c r="D1073" s="452" t="str">
        <f>IF(A1073="SERVIÇO",VLOOKUP(B1073,SERVIÇOS!$A$6:$E$7645,5,0),IF(A1073="INSUMO",VLOOKUP(B1073,INSUMOS!$A$6:$E$6961,5,0),IF(A1073="COTAÇÃO",VLOOKUP(B1073,'036-20-Cotação'!$A$9:$H$529,8,0))))</f>
        <v>MAT.</v>
      </c>
      <c r="E1073" s="452" t="str">
        <f>IF(A1073="SERVIÇO",VLOOKUP(B1073,SERVIÇOS!$A$6:$D$7645,3,0),IF(A1073="INSUMO",VLOOKUP(B1073,INSUMOS!$A$6:$D$6961,3,0),IF(A1073="COTAÇÃO",VLOOKUP(B1073,'036-20-Cotação'!$A$9:$G$529,4,0))))</f>
        <v>KG</v>
      </c>
      <c r="F1073" s="542">
        <v>1475</v>
      </c>
      <c r="G1073" s="453">
        <f>IF(A1073="SERVIÇO",VLOOKUP(B1073,SERVIÇOS!$A$6:$D$7645,4,0),IF(A1073="INSUMO",VLOOKUP(B1073,INSUMOS!$A$6:$D$6961,4,0),IF(A1073="COTAÇÃO",VLOOKUP(B1073,'036-20-Cotação'!$A$9:$G$529,3,0))))</f>
        <v>1.6226</v>
      </c>
      <c r="H1073" s="463">
        <f t="shared" ref="H1073" si="161">G1073*F1073</f>
        <v>2393.335</v>
      </c>
      <c r="J1073" s="201"/>
    </row>
    <row r="1074" spans="1:17" s="87" customFormat="1" ht="12.75">
      <c r="A1074" s="232" t="s">
        <v>4544</v>
      </c>
      <c r="B1074" s="464" t="s">
        <v>10788</v>
      </c>
      <c r="C1074" s="451" t="str">
        <f>IF(A1074="SERVIÇO",VLOOKUP(B1074,SERVIÇOS!$A$6:$D$7645,2,0),IF(A1074="INSUMO",VLOOKUP(B1074,INSUMOS!$A$6:$D$6961,2,0),IF(A1074="COTAÇÃO",VLOOKUP(B1074,'036-20-Cotação'!$A$9:$G$529,2,0))))</f>
        <v>PEDRISCO</v>
      </c>
      <c r="D1074" s="452" t="str">
        <f>IF(A1074="SERVIÇO",VLOOKUP(B1074,SERVIÇOS!$A$6:$E$7645,5,0),IF(A1074="INSUMO",VLOOKUP(B1074,INSUMOS!$A$6:$E$6961,5,0),IF(A1074="COTAÇÃO",VLOOKUP(B1074,'036-20-Cotação'!$A$9:$H$529,8,0))))</f>
        <v>MAT.</v>
      </c>
      <c r="E1074" s="452" t="str">
        <f>IF(A1074="SERVIÇO",VLOOKUP(B1074,SERVIÇOS!$A$6:$D$7645,3,0),IF(A1074="INSUMO",VLOOKUP(B1074,INSUMOS!$A$6:$D$6961,3,0),IF(A1074="COTAÇÃO",VLOOKUP(B1074,'036-20-Cotação'!$A$9:$G$529,4,0))))</f>
        <v>M³</v>
      </c>
      <c r="F1074" s="462">
        <v>0.49167</v>
      </c>
      <c r="G1074" s="453">
        <f>IF(A1074="SERVIÇO",VLOOKUP(B1074,SERVIÇOS!$A$6:$D$7645,4,0),IF(A1074="INSUMO",VLOOKUP(B1074,INSUMOS!$A$6:$D$6961,4,0),IF(A1074="COTAÇÃO",VLOOKUP(B1074,'036-20-Cotação'!$A$9:$G$529,3,0))))</f>
        <v>124.4337</v>
      </c>
      <c r="H1074" s="463">
        <f t="shared" ref="H1074:H1076" si="162">G1074*F1074</f>
        <v>61.180317279</v>
      </c>
      <c r="J1074" s="201"/>
    </row>
    <row r="1075" spans="1:17" s="87" customFormat="1" ht="25.5">
      <c r="A1075" s="232" t="s">
        <v>4542</v>
      </c>
      <c r="B1075" s="464" t="s">
        <v>13206</v>
      </c>
      <c r="C1075" s="451" t="str">
        <f>'036-20-CCA''s'!$C$281</f>
        <v>TEMPO FIXO - CAMINHÃO CARROCERIA 15 T - CARGA E DESCARGA MANUAIS</v>
      </c>
      <c r="D1075" s="452" t="str">
        <f>'036-20-CCA''s'!$D$281</f>
        <v>SER.CG</v>
      </c>
      <c r="E1075" s="452" t="str">
        <f>'036-20-CCA''s'!$E$281</f>
        <v>T</v>
      </c>
      <c r="F1075" s="462">
        <v>1.4750000000000001</v>
      </c>
      <c r="G1075" s="453">
        <f>'036-20-CCA''s'!$H$281</f>
        <v>20.925562080536913</v>
      </c>
      <c r="H1075" s="463">
        <f t="shared" si="162"/>
        <v>30.86520406879195</v>
      </c>
      <c r="J1075" s="201"/>
    </row>
    <row r="1076" spans="1:17" s="87" customFormat="1" ht="25.5">
      <c r="A1076" s="232" t="s">
        <v>4542</v>
      </c>
      <c r="B1076" s="464" t="s">
        <v>13226</v>
      </c>
      <c r="C1076" s="451" t="str">
        <f>'036-20-CCA''s'!$C$298</f>
        <v>TEMPO FIXO - CAMINHÃO BASCULANTE 10 M3 - CARGA MONOBRA E DESCARGA</v>
      </c>
      <c r="D1076" s="452" t="str">
        <f>'036-20-CCA''s'!$D$298</f>
        <v>SER.CG</v>
      </c>
      <c r="E1076" s="452" t="str">
        <f>'036-20-CCA''s'!$E$298</f>
        <v>T</v>
      </c>
      <c r="F1076" s="462">
        <v>0.73751</v>
      </c>
      <c r="G1076" s="453">
        <f>'036-20-CCA''s'!$H$298</f>
        <v>0.93386493946512461</v>
      </c>
      <c r="H1076" s="463">
        <f t="shared" si="162"/>
        <v>0.68873473150492404</v>
      </c>
      <c r="J1076" s="201"/>
    </row>
    <row r="1077" spans="1:17" s="87" customFormat="1" ht="12.75">
      <c r="A1077" s="188"/>
      <c r="B1077" s="348" t="s">
        <v>123</v>
      </c>
      <c r="C1077" s="695" t="s">
        <v>13476</v>
      </c>
      <c r="D1077" s="696"/>
      <c r="E1077" s="696"/>
      <c r="F1077" s="696"/>
      <c r="G1077" s="696"/>
      <c r="H1077" s="697"/>
      <c r="J1077" s="201"/>
      <c r="K1077" s="78"/>
      <c r="L1077" s="78"/>
      <c r="M1077" s="78"/>
      <c r="N1077" s="78"/>
      <c r="O1077" s="78"/>
      <c r="P1077" s="78"/>
      <c r="Q1077" s="78"/>
    </row>
    <row r="1078" spans="1:17" s="87" customFormat="1" ht="12.75">
      <c r="A1078" s="188"/>
      <c r="B1078" s="346"/>
      <c r="C1078" s="526"/>
      <c r="D1078" s="526"/>
      <c r="E1078" s="526"/>
      <c r="F1078" s="526"/>
      <c r="G1078" s="526"/>
      <c r="H1078" s="527"/>
      <c r="J1078" s="201"/>
      <c r="K1078" s="78"/>
      <c r="L1078" s="78"/>
      <c r="M1078" s="78"/>
      <c r="N1078" s="78"/>
      <c r="O1078" s="78"/>
      <c r="P1078" s="78"/>
      <c r="Q1078" s="78"/>
    </row>
    <row r="1079" spans="1:17" s="87" customFormat="1" ht="25.5">
      <c r="A1079" s="188"/>
      <c r="B1079" s="80" t="s">
        <v>13477</v>
      </c>
      <c r="C1079" s="81" t="s">
        <v>13467</v>
      </c>
      <c r="D1079" s="82" t="s">
        <v>84</v>
      </c>
      <c r="E1079" s="82" t="s">
        <v>150</v>
      </c>
      <c r="F1079" s="83"/>
      <c r="G1079" s="84"/>
      <c r="H1079" s="85">
        <f>SUM(H1080:H1083)</f>
        <v>15.464981785714286</v>
      </c>
      <c r="J1079" s="201" t="s">
        <v>13468</v>
      </c>
      <c r="K1079" s="78"/>
      <c r="L1079" s="78"/>
      <c r="M1079" s="78"/>
      <c r="N1079" s="78"/>
      <c r="O1079" s="78"/>
      <c r="P1079" s="78"/>
      <c r="Q1079" s="78"/>
    </row>
    <row r="1080" spans="1:17" s="87" customFormat="1" ht="25.5">
      <c r="A1080" s="232" t="s">
        <v>4542</v>
      </c>
      <c r="B1080" s="464" t="s">
        <v>8841</v>
      </c>
      <c r="C1080" s="451" t="str">
        <f>IF(A1080="SERVIÇO",VLOOKUP(B1080,SERVIÇOS!$A$6:$D$7645,2,0),IF(A1080="INSUMO",VLOOKUP(B1080,INSUMOS!$A$6:$D$6961,2,0),IF(A1080="COTAÇÃO",VLOOKUP(B1080,'036-20-Cotação'!$A$9:$G$529,2,0))))</f>
        <v>TRANSPORTADOR MANUAL CARRINHO DE MÃO COM CAPACIDADE DE 80 L</v>
      </c>
      <c r="D1080" s="452" t="str">
        <f>IF(A1080="SERVIÇO",VLOOKUP(B1080,SERVIÇOS!$A$6:$E$7645,5,0),IF(A1080="INSUMO",VLOOKUP(B1080,INSUMOS!$A$6:$E$6961,5,0),IF(A1080="COTAÇÃO",VLOOKUP(B1080,'036-20-Cotação'!$A$9:$H$529,8,0))))</f>
        <v>EQUIP.</v>
      </c>
      <c r="E1080" s="452" t="str">
        <f>IF(A1080="SERVIÇO",VLOOKUP(B1080,SERVIÇOS!$A$6:$D$7645,3,0),IF(A1080="INSUMO",VLOOKUP(B1080,INSUMOS!$A$6:$D$6961,3,0),IF(A1080="COTAÇÃO",VLOOKUP(B1080,'036-20-Cotação'!$A$9:$G$529,4,0))))</f>
        <v>CHP</v>
      </c>
      <c r="F1080" s="462">
        <f>0.01/1.4</f>
        <v>7.1428571428571435E-3</v>
      </c>
      <c r="G1080" s="453">
        <f>IF(A1080="SERVIÇO",VLOOKUP(B1080,SERVIÇOS!$A$6:$D$7645,4,0),IF(A1080="INSUMO",VLOOKUP(B1080,INSUMOS!$A$6:$D$6961,4,0),IF(A1080="COTAÇÃO",VLOOKUP(B1080,'036-20-Cotação'!$A$9:$G$529,3,0))))</f>
        <v>0.3054</v>
      </c>
      <c r="H1080" s="463">
        <f t="shared" ref="H1080:H1082" si="163">G1080*F1080</f>
        <v>2.1814285714285716E-3</v>
      </c>
      <c r="J1080" s="201"/>
    </row>
    <row r="1081" spans="1:17" s="87" customFormat="1" ht="25.5">
      <c r="A1081" s="232" t="s">
        <v>4542</v>
      </c>
      <c r="B1081" s="464" t="s">
        <v>9665</v>
      </c>
      <c r="C1081" s="451" t="str">
        <f>IF(A1081="SERVIÇO",VLOOKUP(B1081,SERVIÇOS!$A$6:$D$7645,2,0),IF(A1081="INSUMO",VLOOKUP(B1081,INSUMOS!$A$6:$D$6961,2,0),IF(A1081="COTAÇÃO",VLOOKUP(B1081,'036-20-Cotação'!$A$9:$G$529,2,0))))</f>
        <v>TRANSPORTADOR MANUAL CARRINHO DE MÃO COM CAPACIDADE DE 80 L</v>
      </c>
      <c r="D1081" s="452" t="str">
        <f>IF(A1081="SERVIÇO",VLOOKUP(B1081,SERVIÇOS!$A$6:$E$7645,5,0),IF(A1081="INSUMO",VLOOKUP(B1081,INSUMOS!$A$6:$E$6961,5,0),IF(A1081="COTAÇÃO",VLOOKUP(B1081,'036-20-Cotação'!$A$9:$H$529,8,0))))</f>
        <v>EQUIP.</v>
      </c>
      <c r="E1081" s="452" t="str">
        <f>IF(A1081="SERVIÇO",VLOOKUP(B1081,SERVIÇOS!$A$6:$D$7645,3,0),IF(A1081="INSUMO",VLOOKUP(B1081,INSUMOS!$A$6:$D$6961,3,0),IF(A1081="COTAÇÃO",VLOOKUP(B1081,'036-20-Cotação'!$A$9:$G$529,4,0))))</f>
        <v>CHI</v>
      </c>
      <c r="F1081" s="462">
        <f>0.99/1.4</f>
        <v>0.70714285714285718</v>
      </c>
      <c r="G1081" s="453">
        <f>IF(A1081="SERVIÇO",VLOOKUP(B1081,SERVIÇOS!$A$6:$D$7645,4,0),IF(A1081="INSUMO",VLOOKUP(B1081,INSUMOS!$A$6:$D$6961,4,0),IF(A1081="COTAÇÃO",VLOOKUP(B1081,'036-20-Cotação'!$A$9:$G$529,3,0))))</f>
        <v>0.20469999999999999</v>
      </c>
      <c r="H1081" s="463">
        <f t="shared" si="163"/>
        <v>0.14475214285714286</v>
      </c>
      <c r="J1081" s="201"/>
    </row>
    <row r="1082" spans="1:17" s="87" customFormat="1" ht="12.75">
      <c r="A1082" s="232" t="s">
        <v>4542</v>
      </c>
      <c r="B1082" s="464" t="s">
        <v>6602</v>
      </c>
      <c r="C1082" s="451" t="str">
        <f>IF(A1082="SERVIÇO",VLOOKUP(B1082,SERVIÇOS!$A$6:$D$7645,2,0),IF(A1082="INSUMO",VLOOKUP(B1082,INSUMOS!$A$6:$D$6961,2,0),IF(A1082="COTAÇÃO",VLOOKUP(B1082,'036-20-Cotação'!$A$9:$G$529,2,0))))</f>
        <v>SERVENTE</v>
      </c>
      <c r="D1082" s="452" t="str">
        <f>IF(A1082="SERVIÇO",VLOOKUP(B1082,SERVIÇOS!$A$6:$E$7645,5,0),IF(A1082="INSUMO",VLOOKUP(B1082,INSUMOS!$A$6:$E$6961,5,0),IF(A1082="COTAÇÃO",VLOOKUP(B1082,'036-20-Cotação'!$A$9:$H$529,8,0))))</f>
        <v>M.O</v>
      </c>
      <c r="E1082" s="452" t="str">
        <f>IF(A1082="SERVIÇO",VLOOKUP(B1082,SERVIÇOS!$A$6:$D$7645,3,0),IF(A1082="INSUMO",VLOOKUP(B1082,INSUMOS!$A$6:$D$6961,3,0),IF(A1082="COTAÇÃO",VLOOKUP(B1082,'036-20-Cotação'!$A$9:$G$529,4,0))))</f>
        <v>H</v>
      </c>
      <c r="F1082" s="462">
        <f>1/1.4</f>
        <v>0.7142857142857143</v>
      </c>
      <c r="G1082" s="453">
        <f>IF(A1082="SERVIÇO",VLOOKUP(B1082,SERVIÇOS!$A$6:$D$7645,4,0),IF(A1082="INSUMO",VLOOKUP(B1082,INSUMOS!$A$6:$D$6961,4,0),IF(A1082="COTAÇÃO",VLOOKUP(B1082,'036-20-Cotação'!$A$9:$G$529,3,0))))</f>
        <v>15.637499999999999</v>
      </c>
      <c r="H1082" s="463">
        <f t="shared" si="163"/>
        <v>11.169642857142858</v>
      </c>
      <c r="J1082" s="201"/>
    </row>
    <row r="1083" spans="1:17" s="87" customFormat="1" ht="12.75">
      <c r="A1083" s="232" t="s">
        <v>4542</v>
      </c>
      <c r="B1083" s="464"/>
      <c r="C1083" s="451" t="s">
        <v>8440</v>
      </c>
      <c r="D1083" s="452" t="s">
        <v>7326</v>
      </c>
      <c r="E1083" s="452" t="s">
        <v>8441</v>
      </c>
      <c r="F1083" s="528">
        <v>0.37140000000000001</v>
      </c>
      <c r="G1083" s="453"/>
      <c r="H1083" s="463">
        <f>(H1082)*F1083</f>
        <v>4.1484053571428579</v>
      </c>
      <c r="J1083" s="201"/>
    </row>
    <row r="1084" spans="1:17" s="87" customFormat="1" ht="12.75">
      <c r="A1084" s="188"/>
      <c r="B1084" s="348" t="s">
        <v>123</v>
      </c>
      <c r="C1084" s="695" t="s">
        <v>13469</v>
      </c>
      <c r="D1084" s="696"/>
      <c r="E1084" s="696"/>
      <c r="F1084" s="696"/>
      <c r="G1084" s="696"/>
      <c r="H1084" s="697"/>
      <c r="J1084" s="201"/>
      <c r="K1084" s="78"/>
      <c r="L1084" s="78"/>
      <c r="M1084" s="78"/>
      <c r="N1084" s="78"/>
      <c r="O1084" s="78"/>
      <c r="P1084" s="78"/>
      <c r="Q1084" s="78"/>
    </row>
    <row r="1085" spans="1:17" s="87" customFormat="1" ht="12.75">
      <c r="A1085" s="188"/>
      <c r="B1085" s="346"/>
      <c r="C1085" s="478"/>
      <c r="D1085" s="478"/>
      <c r="E1085" s="478"/>
      <c r="F1085" s="478"/>
      <c r="G1085" s="478"/>
      <c r="H1085" s="479"/>
      <c r="J1085" s="201"/>
      <c r="K1085" s="78"/>
      <c r="L1085" s="78"/>
      <c r="M1085" s="78"/>
      <c r="N1085" s="78"/>
      <c r="O1085" s="78"/>
      <c r="P1085" s="78"/>
      <c r="Q1085" s="78"/>
    </row>
    <row r="1086" spans="1:17" s="87" customFormat="1" ht="25.5">
      <c r="A1086" s="188"/>
      <c r="B1086" s="80" t="s">
        <v>13478</v>
      </c>
      <c r="C1086" s="81" t="s">
        <v>8442</v>
      </c>
      <c r="D1086" s="82" t="s">
        <v>84</v>
      </c>
      <c r="E1086" s="82" t="s">
        <v>5</v>
      </c>
      <c r="F1086" s="83"/>
      <c r="G1086" s="84"/>
      <c r="H1086" s="85">
        <f>SUM(H1087:H1091)</f>
        <v>4.7363597734340299</v>
      </c>
      <c r="J1086" s="201" t="s">
        <v>13168</v>
      </c>
      <c r="K1086" s="78"/>
      <c r="L1086" s="78"/>
      <c r="M1086" s="78"/>
      <c r="N1086" s="78"/>
      <c r="O1086" s="78"/>
      <c r="P1086" s="78"/>
      <c r="Q1086" s="78"/>
    </row>
    <row r="1087" spans="1:17" s="87" customFormat="1" ht="25.5">
      <c r="A1087" s="232" t="s">
        <v>4542</v>
      </c>
      <c r="B1087" s="464" t="s">
        <v>9479</v>
      </c>
      <c r="C1087" s="451" t="str">
        <f>IF(A1087="SERVIÇO",VLOOKUP(B1087,SERVIÇOS!$A$6:$D$7645,2,0),IF(A1087="INSUMO",VLOOKUP(B1087,INSUMOS!$A$6:$D$6961,2,0),IF(A1087="COTAÇÃO",VLOOKUP(B1087,'036-20-Cotação'!$A$9:$G$529,2,0))))</f>
        <v>CAMINHÃO TANQUE COM CAPACIDADE DE 10.000 L - 188 KW</v>
      </c>
      <c r="D1087" s="452" t="str">
        <f>IF(A1087="SERVIÇO",VLOOKUP(B1087,SERVIÇOS!$A$6:$E$7645,5,0),IF(A1087="INSUMO",VLOOKUP(B1087,INSUMOS!$A$6:$E$6961,5,0),IF(A1087="COTAÇÃO",VLOOKUP(B1087,'036-20-Cotação'!$A$9:$H$529,8,0))))</f>
        <v>EQUIP.</v>
      </c>
      <c r="E1087" s="452" t="str">
        <f>IF(A1087="SERVIÇO",VLOOKUP(B1087,SERVIÇOS!$A$6:$D$7645,3,0),IF(A1087="INSUMO",VLOOKUP(B1087,INSUMOS!$A$6:$D$6961,3,0),IF(A1087="COTAÇÃO",VLOOKUP(B1087,'036-20-Cotação'!$A$9:$G$529,4,0))))</f>
        <v>CHP</v>
      </c>
      <c r="F1087" s="462">
        <f>0.07/22.51</f>
        <v>3.109729009329187E-3</v>
      </c>
      <c r="G1087" s="453">
        <f>IF(A1087="SERVIÇO",VLOOKUP(B1087,SERVIÇOS!$A$6:$D$7645,4,0),IF(A1087="INSUMO",VLOOKUP(B1087,INSUMOS!$A$6:$D$6961,4,0),IF(A1087="COTAÇÃO",VLOOKUP(B1087,'036-20-Cotação'!$A$9:$G$529,3,0))))</f>
        <v>200.50309999999999</v>
      </c>
      <c r="H1087" s="463">
        <f t="shared" ref="H1087:H1090" si="164">G1087*F1087</f>
        <v>0.62351030653043094</v>
      </c>
      <c r="J1087" s="201"/>
    </row>
    <row r="1088" spans="1:17" s="87" customFormat="1" ht="25.5">
      <c r="A1088" s="232" t="s">
        <v>4542</v>
      </c>
      <c r="B1088" s="464" t="s">
        <v>10001</v>
      </c>
      <c r="C1088" s="451" t="str">
        <f>IF(A1088="SERVIÇO",VLOOKUP(B1088,SERVIÇOS!$A$6:$D$7645,2,0),IF(A1088="INSUMO",VLOOKUP(B1088,INSUMOS!$A$6:$D$6961,2,0),IF(A1088="COTAÇÃO",VLOOKUP(B1088,'036-20-Cotação'!$A$9:$G$529,2,0))))</f>
        <v>CAMINHÃO TANQUE COM CAPACIDADE DE 10.000 L - 188 KW</v>
      </c>
      <c r="D1088" s="452" t="str">
        <f>IF(A1088="SERVIÇO",VLOOKUP(B1088,SERVIÇOS!$A$6:$E$7645,5,0),IF(A1088="INSUMO",VLOOKUP(B1088,INSUMOS!$A$6:$E$6961,5,0),IF(A1088="COTAÇÃO",VLOOKUP(B1088,'036-20-Cotação'!$A$9:$H$529,8,0))))</f>
        <v>EQUIP.</v>
      </c>
      <c r="E1088" s="452" t="str">
        <f>IF(A1088="SERVIÇO",VLOOKUP(B1088,SERVIÇOS!$A$6:$D$7645,3,0),IF(A1088="INSUMO",VLOOKUP(B1088,INSUMOS!$A$6:$D$6961,3,0),IF(A1088="COTAÇÃO",VLOOKUP(B1088,'036-20-Cotação'!$A$9:$G$529,4,0))))</f>
        <v>CHI</v>
      </c>
      <c r="F1088" s="462">
        <f>0.93/22.51</f>
        <v>4.1314971123944916E-2</v>
      </c>
      <c r="G1088" s="453">
        <f>IF(A1088="SERVIÇO",VLOOKUP(B1088,SERVIÇOS!$A$6:$D$7645,4,0),IF(A1088="INSUMO",VLOOKUP(B1088,INSUMOS!$A$6:$D$6961,4,0),IF(A1088="COTAÇÃO",VLOOKUP(B1088,'036-20-Cotação'!$A$9:$G$529,3,0))))</f>
        <v>47.441800000000001</v>
      </c>
      <c r="H1088" s="463">
        <f t="shared" ref="H1088" si="165">G1088*F1088</f>
        <v>1.96005659706797</v>
      </c>
      <c r="J1088" s="201"/>
    </row>
    <row r="1089" spans="1:17" s="87" customFormat="1" ht="12.75">
      <c r="A1089" s="232" t="s">
        <v>4542</v>
      </c>
      <c r="B1089" s="464" t="s">
        <v>8770</v>
      </c>
      <c r="C1089" s="451" t="str">
        <f>IF(A1089="SERVIÇO",VLOOKUP(B1089,SERVIÇOS!$A$6:$D$7645,2,0),IF(A1089="INSUMO",VLOOKUP(B1089,INSUMOS!$A$6:$D$6961,2,0),IF(A1089="COTAÇÃO",VLOOKUP(B1089,'036-20-Cotação'!$A$9:$G$529,2,0))))</f>
        <v>LAVADORA PROFISSIONAL - 5,2 KW</v>
      </c>
      <c r="D1089" s="452" t="str">
        <f>IF(A1089="SERVIÇO",VLOOKUP(B1089,SERVIÇOS!$A$6:$E$7645,5,0),IF(A1089="INSUMO",VLOOKUP(B1089,INSUMOS!$A$6:$E$6961,5,0),IF(A1089="COTAÇÃO",VLOOKUP(B1089,'036-20-Cotação'!$A$9:$H$529,8,0))))</f>
        <v>EQUIP.</v>
      </c>
      <c r="E1089" s="452" t="str">
        <f>IF(A1089="SERVIÇO",VLOOKUP(B1089,SERVIÇOS!$A$6:$D$7645,3,0),IF(A1089="INSUMO",VLOOKUP(B1089,INSUMOS!$A$6:$D$6961,3,0),IF(A1089="COTAÇÃO",VLOOKUP(B1089,'036-20-Cotação'!$A$9:$G$529,4,0))))</f>
        <v>CHP</v>
      </c>
      <c r="F1089" s="462">
        <f>1/22.51</f>
        <v>4.4424700133274098E-2</v>
      </c>
      <c r="G1089" s="453">
        <f>IF(A1089="SERVIÇO",VLOOKUP(B1089,SERVIÇOS!$A$6:$D$7645,4,0),IF(A1089="INSUMO",VLOOKUP(B1089,INSUMOS!$A$6:$D$6961,4,0),IF(A1089="COTAÇÃO",VLOOKUP(B1089,'036-20-Cotação'!$A$9:$G$529,3,0))))</f>
        <v>27.014099999999999</v>
      </c>
      <c r="H1089" s="463">
        <f t="shared" si="164"/>
        <v>1.2000932918702798</v>
      </c>
      <c r="J1089" s="201"/>
    </row>
    <row r="1090" spans="1:17" s="87" customFormat="1" ht="12.75">
      <c r="A1090" s="232" t="s">
        <v>4542</v>
      </c>
      <c r="B1090" s="464" t="s">
        <v>6602</v>
      </c>
      <c r="C1090" s="451" t="str">
        <f>IF(A1090="SERVIÇO",VLOOKUP(B1090,SERVIÇOS!$A$6:$D$7645,2,0),IF(A1090="INSUMO",VLOOKUP(B1090,INSUMOS!$A$6:$D$6961,2,0),IF(A1090="COTAÇÃO",VLOOKUP(B1090,'036-20-Cotação'!$A$9:$G$529,2,0))))</f>
        <v>SERVENTE</v>
      </c>
      <c r="D1090" s="452" t="str">
        <f>IF(A1090="SERVIÇO",VLOOKUP(B1090,SERVIÇOS!$A$6:$E$7645,5,0),IF(A1090="INSUMO",VLOOKUP(B1090,INSUMOS!$A$6:$E$6961,5,0),IF(A1090="COTAÇÃO",VLOOKUP(B1090,'036-20-Cotação'!$A$9:$H$529,8,0))))</f>
        <v>M.O</v>
      </c>
      <c r="E1090" s="452" t="str">
        <f>IF(A1090="SERVIÇO",VLOOKUP(B1090,SERVIÇOS!$A$6:$D$7645,3,0),IF(A1090="INSUMO",VLOOKUP(B1090,INSUMOS!$A$6:$D$6961,3,0),IF(A1090="COTAÇÃO",VLOOKUP(B1090,'036-20-Cotação'!$A$9:$G$529,4,0))))</f>
        <v>H</v>
      </c>
      <c r="F1090" s="462">
        <f>1/22.51</f>
        <v>4.4424700133274098E-2</v>
      </c>
      <c r="G1090" s="453">
        <f>IF(A1090="SERVIÇO",VLOOKUP(B1090,SERVIÇOS!$A$6:$D$7645,4,0),IF(A1090="INSUMO",VLOOKUP(B1090,INSUMOS!$A$6:$D$6961,4,0),IF(A1090="COTAÇÃO",VLOOKUP(B1090,'036-20-Cotação'!$A$9:$G$529,3,0))))</f>
        <v>15.637499999999999</v>
      </c>
      <c r="H1090" s="463">
        <f t="shared" si="164"/>
        <v>0.6946912483340737</v>
      </c>
      <c r="J1090" s="201"/>
    </row>
    <row r="1091" spans="1:17" s="87" customFormat="1" ht="12.75">
      <c r="A1091" s="232" t="s">
        <v>4542</v>
      </c>
      <c r="B1091" s="464"/>
      <c r="C1091" s="451" t="s">
        <v>8440</v>
      </c>
      <c r="D1091" s="452" t="s">
        <v>7326</v>
      </c>
      <c r="E1091" s="452" t="s">
        <v>8441</v>
      </c>
      <c r="F1091" s="528">
        <v>0.37140000000000001</v>
      </c>
      <c r="G1091" s="453"/>
      <c r="H1091" s="463">
        <f>(H1090)*F1091</f>
        <v>0.25800832963127496</v>
      </c>
      <c r="J1091" s="201"/>
    </row>
    <row r="1092" spans="1:17" s="87" customFormat="1" ht="12.75">
      <c r="A1092" s="188"/>
      <c r="B1092" s="348" t="s">
        <v>123</v>
      </c>
      <c r="C1092" s="695" t="s">
        <v>13169</v>
      </c>
      <c r="D1092" s="696"/>
      <c r="E1092" s="696"/>
      <c r="F1092" s="696"/>
      <c r="G1092" s="696"/>
      <c r="H1092" s="697"/>
      <c r="J1092" s="201"/>
      <c r="K1092" s="78"/>
      <c r="L1092" s="78"/>
      <c r="M1092" s="78"/>
      <c r="N1092" s="78"/>
      <c r="O1092" s="78"/>
      <c r="P1092" s="78"/>
      <c r="Q1092" s="78"/>
    </row>
    <row r="1093" spans="1:17" s="87" customFormat="1" ht="12.75">
      <c r="A1093" s="188"/>
      <c r="B1093" s="346"/>
      <c r="C1093" s="526"/>
      <c r="D1093" s="526"/>
      <c r="E1093" s="526"/>
      <c r="F1093" s="526"/>
      <c r="G1093" s="526"/>
      <c r="H1093" s="527"/>
      <c r="J1093" s="201"/>
      <c r="K1093" s="78"/>
      <c r="L1093" s="78"/>
      <c r="M1093" s="78"/>
      <c r="N1093" s="78"/>
      <c r="O1093" s="78"/>
      <c r="P1093" s="78"/>
      <c r="Q1093" s="78"/>
    </row>
    <row r="1094" spans="1:17" s="87" customFormat="1" ht="25.5">
      <c r="A1094" s="188"/>
      <c r="B1094" s="80" t="s">
        <v>13480</v>
      </c>
      <c r="C1094" s="81" t="s">
        <v>7756</v>
      </c>
      <c r="D1094" s="82" t="s">
        <v>84</v>
      </c>
      <c r="E1094" s="82" t="s">
        <v>89</v>
      </c>
      <c r="F1094" s="83"/>
      <c r="G1094" s="84"/>
      <c r="H1094" s="85">
        <f>SUM(H1095:H1099)</f>
        <v>48.909482790080531</v>
      </c>
      <c r="J1094" s="201" t="s">
        <v>13479</v>
      </c>
      <c r="K1094" s="78"/>
      <c r="L1094" s="78"/>
      <c r="M1094" s="78"/>
      <c r="N1094" s="78"/>
      <c r="O1094" s="78"/>
      <c r="P1094" s="78"/>
      <c r="Q1094" s="78"/>
    </row>
    <row r="1095" spans="1:17" s="87" customFormat="1" ht="12.75">
      <c r="A1095" s="232" t="s">
        <v>4542</v>
      </c>
      <c r="B1095" s="464" t="s">
        <v>6614</v>
      </c>
      <c r="C1095" s="451" t="str">
        <f>IF(A1095="SERVIÇO",VLOOKUP(B1095,SERVIÇOS!$A$6:$D$7645,2,0),IF(A1095="INSUMO",VLOOKUP(B1095,INSUMOS!$A$6:$D$6961,2,0),IF(A1095="COTAÇÃO",VLOOKUP(B1095,'036-20-Cotação'!$A$9:$G$529,2,0))))</f>
        <v>PEDREIRO</v>
      </c>
      <c r="D1095" s="452" t="str">
        <f>IF(A1095="SERVIÇO",VLOOKUP(B1095,SERVIÇOS!$A$6:$E$7645,5,0),IF(A1095="INSUMO",VLOOKUP(B1095,INSUMOS!$A$6:$E$6961,5,0),IF(A1095="COTAÇÃO",VLOOKUP(B1095,'036-20-Cotação'!$A$9:$H$529,8,0))))</f>
        <v>M.O</v>
      </c>
      <c r="E1095" s="452" t="str">
        <f>IF(A1095="SERVIÇO",VLOOKUP(B1095,SERVIÇOS!$A$6:$D$7645,3,0),IF(A1095="INSUMO",VLOOKUP(B1095,INSUMOS!$A$6:$D$6961,3,0),IF(A1095="COTAÇÃO",VLOOKUP(B1095,'036-20-Cotação'!$A$9:$G$529,4,0))))</f>
        <v>H</v>
      </c>
      <c r="F1095" s="462">
        <f>1/5</f>
        <v>0.2</v>
      </c>
      <c r="G1095" s="453">
        <f>IF(A1095="SERVIÇO",VLOOKUP(B1095,SERVIÇOS!$A$6:$D$7645,4,0),IF(A1095="INSUMO",VLOOKUP(B1095,INSUMOS!$A$6:$D$6961,4,0),IF(A1095="COTAÇÃO",VLOOKUP(B1095,'036-20-Cotação'!$A$9:$G$529,3,0))))</f>
        <v>21.647600000000001</v>
      </c>
      <c r="H1095" s="463">
        <f t="shared" ref="H1095" si="166">G1095*F1095</f>
        <v>4.3295200000000005</v>
      </c>
      <c r="J1095" s="201"/>
    </row>
    <row r="1096" spans="1:17" s="87" customFormat="1" ht="12.75">
      <c r="A1096" s="232" t="s">
        <v>4542</v>
      </c>
      <c r="B1096" s="464" t="s">
        <v>6602</v>
      </c>
      <c r="C1096" s="451" t="str">
        <f>IF(A1096="SERVIÇO",VLOOKUP(B1096,SERVIÇOS!$A$6:$D$7645,2,0),IF(A1096="INSUMO",VLOOKUP(B1096,INSUMOS!$A$6:$D$6961,2,0),IF(A1096="COTAÇÃO",VLOOKUP(B1096,'036-20-Cotação'!$A$9:$G$529,2,0))))</f>
        <v>SERVENTE</v>
      </c>
      <c r="D1096" s="452" t="str">
        <f>IF(A1096="SERVIÇO",VLOOKUP(B1096,SERVIÇOS!$A$6:$E$7645,5,0),IF(A1096="INSUMO",VLOOKUP(B1096,INSUMOS!$A$6:$E$6961,5,0),IF(A1096="COTAÇÃO",VLOOKUP(B1096,'036-20-Cotação'!$A$9:$H$529,8,0))))</f>
        <v>M.O</v>
      </c>
      <c r="E1096" s="452" t="str">
        <f>IF(A1096="SERVIÇO",VLOOKUP(B1096,SERVIÇOS!$A$6:$D$7645,3,0),IF(A1096="INSUMO",VLOOKUP(B1096,INSUMOS!$A$6:$D$6961,3,0),IF(A1096="COTAÇÃO",VLOOKUP(B1096,'036-20-Cotação'!$A$9:$G$529,4,0))))</f>
        <v>H</v>
      </c>
      <c r="F1096" s="462">
        <f>1/5</f>
        <v>0.2</v>
      </c>
      <c r="G1096" s="453">
        <f>IF(A1096="SERVIÇO",VLOOKUP(B1096,SERVIÇOS!$A$6:$D$7645,4,0),IF(A1096="INSUMO",VLOOKUP(B1096,INSUMOS!$A$6:$D$6961,4,0),IF(A1096="COTAÇÃO",VLOOKUP(B1096,'036-20-Cotação'!$A$9:$G$529,3,0))))</f>
        <v>15.637499999999999</v>
      </c>
      <c r="H1096" s="463">
        <f t="shared" ref="H1096" si="167">G1096*F1096</f>
        <v>3.1274999999999999</v>
      </c>
      <c r="J1096" s="201"/>
    </row>
    <row r="1097" spans="1:17" s="87" customFormat="1" ht="12.75">
      <c r="A1097" s="232" t="s">
        <v>4542</v>
      </c>
      <c r="B1097" s="464"/>
      <c r="C1097" s="451" t="s">
        <v>8440</v>
      </c>
      <c r="D1097" s="452" t="s">
        <v>7326</v>
      </c>
      <c r="E1097" s="452" t="s">
        <v>8441</v>
      </c>
      <c r="F1097" s="528">
        <v>0.37140000000000001</v>
      </c>
      <c r="G1097" s="453"/>
      <c r="H1097" s="463">
        <f>(H1095+H1096)*F1097</f>
        <v>2.7695372279999999</v>
      </c>
      <c r="J1097" s="201"/>
    </row>
    <row r="1098" spans="1:17" s="87" customFormat="1" ht="25.5">
      <c r="A1098" s="232" t="s">
        <v>4544</v>
      </c>
      <c r="B1098" s="464" t="s">
        <v>7351</v>
      </c>
      <c r="C1098" s="451" t="str">
        <f>IF(A1098="SERVIÇO",VLOOKUP(B1098,SERVIÇOS!$A$6:$D$7645,2,0),IF(A1098="INSUMO",VLOOKUP(B1098,INSUMOS!$A$6:$D$6961,2,0),IF(A1098="COTAÇÃO",VLOOKUP(B1098,'036-20-Cotação'!$A$9:$G$529,2,0))))</f>
        <v>ADESIVO ESTRUTURAL À BASE DE RESINA EPÓXI</v>
      </c>
      <c r="D1098" s="452" t="str">
        <f>IF(A1098="SERVIÇO",VLOOKUP(B1098,SERVIÇOS!$A$6:$E$7645,5,0),IF(A1098="INSUMO",VLOOKUP(B1098,INSUMOS!$A$6:$E$6961,5,0),IF(A1098="COTAÇÃO",VLOOKUP(B1098,'036-20-Cotação'!$A$9:$H$529,8,0))))</f>
        <v>MAT.</v>
      </c>
      <c r="E1098" s="452" t="str">
        <f>IF(A1098="SERVIÇO",VLOOKUP(B1098,SERVIÇOS!$A$6:$D$7645,3,0),IF(A1098="INSUMO",VLOOKUP(B1098,INSUMOS!$A$6:$D$6961,3,0),IF(A1098="COTAÇÃO",VLOOKUP(B1098,'036-20-Cotação'!$A$9:$G$529,4,0))))</f>
        <v>KG</v>
      </c>
      <c r="F1098" s="462">
        <v>1</v>
      </c>
      <c r="G1098" s="453">
        <f>IF(A1098="SERVIÇO",VLOOKUP(B1098,SERVIÇOS!$A$6:$D$7645,4,0),IF(A1098="INSUMO",VLOOKUP(B1098,INSUMOS!$A$6:$D$6961,4,0),IF(A1098="COTAÇÃO",VLOOKUP(B1098,'036-20-Cotação'!$A$9:$G$529,3,0))))</f>
        <v>38.661999999999999</v>
      </c>
      <c r="H1098" s="463">
        <f>G1098*F1098</f>
        <v>38.661999999999999</v>
      </c>
      <c r="J1098" s="201"/>
    </row>
    <row r="1099" spans="1:17" s="87" customFormat="1" ht="25.5">
      <c r="A1099" s="232" t="s">
        <v>4542</v>
      </c>
      <c r="B1099" s="464" t="s">
        <v>13206</v>
      </c>
      <c r="C1099" s="451" t="str">
        <f>'036-20-CCA''s'!$C$281</f>
        <v>TEMPO FIXO - CAMINHÃO CARROCERIA 15 T - CARGA E DESCARGA MANUAIS</v>
      </c>
      <c r="D1099" s="452" t="str">
        <f>'036-20-CCA''s'!$D$281</f>
        <v>SER.CG</v>
      </c>
      <c r="E1099" s="452" t="str">
        <f>'036-20-CCA''s'!$E$281</f>
        <v>T</v>
      </c>
      <c r="F1099" s="462">
        <v>1E-3</v>
      </c>
      <c r="G1099" s="453">
        <f>'036-20-CCA''s'!$H$281</f>
        <v>20.925562080536913</v>
      </c>
      <c r="H1099" s="463">
        <f t="shared" ref="H1099" si="168">G1099*F1099</f>
        <v>2.0925562080536912E-2</v>
      </c>
      <c r="J1099" s="201"/>
    </row>
    <row r="1100" spans="1:17" s="87" customFormat="1" ht="12.75">
      <c r="A1100" s="188"/>
      <c r="B1100" s="348" t="s">
        <v>123</v>
      </c>
      <c r="C1100" s="695" t="s">
        <v>8034</v>
      </c>
      <c r="D1100" s="696"/>
      <c r="E1100" s="696"/>
      <c r="F1100" s="696"/>
      <c r="G1100" s="696"/>
      <c r="H1100" s="697"/>
      <c r="J1100" s="201"/>
      <c r="K1100" s="78"/>
      <c r="L1100" s="78"/>
      <c r="M1100" s="78"/>
      <c r="N1100" s="78"/>
      <c r="O1100" s="78"/>
      <c r="P1100" s="78"/>
      <c r="Q1100" s="78"/>
    </row>
    <row r="1101" spans="1:17" s="87" customFormat="1" ht="12.75">
      <c r="A1101" s="188"/>
      <c r="B1101" s="346"/>
      <c r="C1101" s="526"/>
      <c r="D1101" s="526"/>
      <c r="E1101" s="526"/>
      <c r="F1101" s="526"/>
      <c r="G1101" s="526"/>
      <c r="H1101" s="527"/>
      <c r="J1101" s="201"/>
      <c r="K1101" s="78"/>
      <c r="L1101" s="78"/>
      <c r="M1101" s="78"/>
      <c r="N1101" s="78"/>
      <c r="O1101" s="78"/>
      <c r="P1101" s="78"/>
      <c r="Q1101" s="78"/>
    </row>
    <row r="1102" spans="1:17" s="87" customFormat="1" ht="63.75">
      <c r="A1102" s="188"/>
      <c r="B1102" s="80" t="s">
        <v>13489</v>
      </c>
      <c r="C1102" s="81" t="s">
        <v>13490</v>
      </c>
      <c r="D1102" s="82" t="s">
        <v>84</v>
      </c>
      <c r="E1102" s="82" t="s">
        <v>4521</v>
      </c>
      <c r="F1102" s="83"/>
      <c r="G1102" s="84"/>
      <c r="H1102" s="85">
        <f>SUM(H1103:H1103)</f>
        <v>1285.2</v>
      </c>
      <c r="J1102" s="201"/>
      <c r="K1102" s="78"/>
      <c r="L1102" s="78"/>
      <c r="M1102" s="78"/>
      <c r="N1102" s="78"/>
      <c r="O1102" s="78"/>
      <c r="P1102" s="78"/>
      <c r="Q1102" s="78"/>
    </row>
    <row r="1103" spans="1:17" s="87" customFormat="1" ht="25.5">
      <c r="A1103" s="232" t="s">
        <v>4542</v>
      </c>
      <c r="B1103" s="464" t="s">
        <v>13491</v>
      </c>
      <c r="C1103" s="451" t="str">
        <f>IF(A1103="SERVIÇO",VLOOKUP(B1103,SERVIÇOS!$A$6:$D$7645,2,0),IF(A1103="INSUMO",VLOOKUP(B1103,INSUMOS!$A$6:$D$6961,2,0),IF(A1103="COTAÇÃO",VLOOKUP(B1103,'036-20-Cotação'!$A$9:$G$529,2,0))))</f>
        <v>DESPESAS COM PEDÁGIO DE SP PARA DF - TRASN. MAT. PINTURA</v>
      </c>
      <c r="D1103" s="452" t="str">
        <f>IF(A1103="SERVIÇO",VLOOKUP(B1103,SERVIÇOS!$A$6:$E$7645,5,0),IF(A1103="INSUMO",VLOOKUP(B1103,INSUMOS!$A$6:$E$6961,5,0),IF(A1103="COTAÇÃO",VLOOKUP(B1103,'036-20-Cotação'!$A$9:$H$529,8,0))))</f>
        <v>SER.CG</v>
      </c>
      <c r="E1103" s="452" t="str">
        <f>IF(A1103="SERVIÇO",VLOOKUP(B1103,SERVIÇOS!$A$6:$D$7645,3,0),IF(A1103="INSUMO",VLOOKUP(B1103,INSUMOS!$A$6:$D$6961,3,0),IF(A1103="COTAÇÃO",VLOOKUP(B1103,'036-20-Cotação'!$A$9:$G$529,4,0))))</f>
        <v xml:space="preserve">UN    </v>
      </c>
      <c r="F1103" s="462">
        <v>1</v>
      </c>
      <c r="G1103" s="453">
        <f>IF(A1103="SERVIÇO",VLOOKUP(B1103,SERVIÇOS!$A$6:$D$7645,4,0),IF(A1103="INSUMO",VLOOKUP(B1103,INSUMOS!$A$6:$D$6961,4,0),IF(A1103="COTAÇÃO",VLOOKUP(B1103,'036-20-Cotação'!$A$9:$G$529,3,0))))</f>
        <v>1285.2</v>
      </c>
      <c r="H1103" s="463">
        <f>G1103*F1103</f>
        <v>1285.2</v>
      </c>
      <c r="J1103" s="201"/>
    </row>
    <row r="1104" spans="1:17" s="87" customFormat="1" ht="12.75">
      <c r="A1104" s="188"/>
      <c r="B1104" s="348" t="s">
        <v>123</v>
      </c>
      <c r="C1104" s="695" t="s">
        <v>13497</v>
      </c>
      <c r="D1104" s="696"/>
      <c r="E1104" s="696"/>
      <c r="F1104" s="696"/>
      <c r="G1104" s="696"/>
      <c r="H1104" s="697"/>
      <c r="J1104" s="201"/>
      <c r="K1104" s="78"/>
      <c r="L1104" s="78"/>
      <c r="M1104" s="78"/>
      <c r="N1104" s="78"/>
      <c r="O1104" s="78"/>
      <c r="P1104" s="78"/>
      <c r="Q1104" s="78"/>
    </row>
    <row r="1105" spans="1:17" s="87" customFormat="1" ht="12.75">
      <c r="A1105" s="188"/>
      <c r="B1105" s="346"/>
      <c r="C1105" s="375"/>
      <c r="D1105" s="375"/>
      <c r="E1105" s="375"/>
      <c r="F1105" s="375"/>
      <c r="G1105" s="375"/>
      <c r="H1105" s="376"/>
      <c r="J1105" s="201"/>
      <c r="K1105" s="78"/>
      <c r="L1105" s="78"/>
      <c r="M1105" s="78"/>
      <c r="N1105" s="78"/>
      <c r="O1105" s="78"/>
      <c r="P1105" s="78"/>
      <c r="Q1105" s="78"/>
    </row>
    <row r="1106" spans="1:17" s="87" customFormat="1" ht="102">
      <c r="A1106" s="188"/>
      <c r="B1106" s="80" t="s">
        <v>6287</v>
      </c>
      <c r="C1106" s="81" t="s">
        <v>8262</v>
      </c>
      <c r="D1106" s="82" t="s">
        <v>84</v>
      </c>
      <c r="E1106" s="82" t="s">
        <v>150</v>
      </c>
      <c r="F1106" s="83"/>
      <c r="G1106" s="84"/>
      <c r="H1106" s="85">
        <f>SUM(H1107:H1113)</f>
        <v>7.9329294010281828</v>
      </c>
      <c r="J1106" s="201" t="s">
        <v>13400</v>
      </c>
      <c r="K1106" s="78"/>
      <c r="L1106" s="78"/>
      <c r="M1106" s="78"/>
      <c r="N1106" s="78"/>
      <c r="O1106" s="78"/>
      <c r="P1106" s="78"/>
      <c r="Q1106" s="78"/>
    </row>
    <row r="1107" spans="1:17" s="87" customFormat="1" ht="38.25">
      <c r="A1107" s="232" t="s">
        <v>4542</v>
      </c>
      <c r="B1107" s="464" t="s">
        <v>9180</v>
      </c>
      <c r="C1107" s="451" t="str">
        <f>IF(A1107="SERVIÇO",VLOOKUP(B1107,SERVIÇOS!$A$6:$D$7645,2,0),IF(A1107="INSUMO",VLOOKUP(B1107,INSUMOS!$A$6:$D$6961,2,0),IF(A1107="COTAÇÃO",VLOOKUP(B1107,'036-20-Cotação'!$A$9:$G$529,2,0))))</f>
        <v>EQUIPAMENTO DE PINTURA A AR COMPRIMIDO DE PISTOLA COM CANECA COM CAPACIDADE DE 1.000 ML E COMPRESSOR DE 1,5 KW</v>
      </c>
      <c r="D1107" s="452" t="str">
        <f>IF(A1107="SERVIÇO",VLOOKUP(B1107,SERVIÇOS!$A$6:$E$7645,5,0),IF(A1107="INSUMO",VLOOKUP(B1107,INSUMOS!$A$6:$E$6961,5,0),IF(A1107="COTAÇÃO",VLOOKUP(B1107,'036-20-Cotação'!$A$9:$H$529,8,0))))</f>
        <v>EQUIP.</v>
      </c>
      <c r="E1107" s="452" t="str">
        <f>IF(A1107="SERVIÇO",VLOOKUP(B1107,SERVIÇOS!$A$6:$D$7645,3,0),IF(A1107="INSUMO",VLOOKUP(B1107,INSUMOS!$A$6:$D$6961,3,0),IF(A1107="COTAÇÃO",VLOOKUP(B1107,'036-20-Cotação'!$A$9:$G$529,4,0))))</f>
        <v>CHP</v>
      </c>
      <c r="F1107" s="462">
        <f>1/45.97</f>
        <v>2.1753317380900587E-2</v>
      </c>
      <c r="G1107" s="453">
        <f>IF(A1107="SERVIÇO",VLOOKUP(B1107,SERVIÇOS!$A$6:$D$7645,4,0),IF(A1107="INSUMO",VLOOKUP(B1107,INSUMOS!$A$6:$D$6961,4,0),IF(A1107="COTAÇÃO",VLOOKUP(B1107,'036-20-Cotação'!$A$9:$G$529,3,0))))</f>
        <v>0.39410000000000001</v>
      </c>
      <c r="H1107" s="463">
        <f t="shared" ref="H1107:H1113" si="169">G1107*F1107</f>
        <v>8.5729823798129205E-3</v>
      </c>
      <c r="J1107" s="201"/>
    </row>
    <row r="1108" spans="1:17" s="87" customFormat="1" ht="12.75">
      <c r="A1108" s="232" t="s">
        <v>4542</v>
      </c>
      <c r="B1108" s="464" t="s">
        <v>9006</v>
      </c>
      <c r="C1108" s="451" t="str">
        <f>IF(A1108="SERVIÇO",VLOOKUP(B1108,SERVIÇOS!$A$6:$D$7645,2,0),IF(A1108="INSUMO",VLOOKUP(B1108,INSUMOS!$A$6:$D$6961,2,0),IF(A1108="COTAÇÃO",VLOOKUP(B1108,'036-20-Cotação'!$A$9:$G$529,2,0))))</f>
        <v>GRUPO GERADOR - 2,5/3 KVA</v>
      </c>
      <c r="D1108" s="452" t="str">
        <f>IF(A1108="SERVIÇO",VLOOKUP(B1108,SERVIÇOS!$A$6:$E$7645,5,0),IF(A1108="INSUMO",VLOOKUP(B1108,INSUMOS!$A$6:$E$6961,5,0),IF(A1108="COTAÇÃO",VLOOKUP(B1108,'036-20-Cotação'!$A$9:$H$529,8,0))))</f>
        <v>EQUIP.</v>
      </c>
      <c r="E1108" s="452" t="str">
        <f>IF(A1108="SERVIÇO",VLOOKUP(B1108,SERVIÇOS!$A$6:$D$7645,3,0),IF(A1108="INSUMO",VLOOKUP(B1108,INSUMOS!$A$6:$D$6961,3,0),IF(A1108="COTAÇÃO",VLOOKUP(B1108,'036-20-Cotação'!$A$9:$G$529,4,0))))</f>
        <v>CHP</v>
      </c>
      <c r="F1108" s="462">
        <f t="shared" ref="F1108:F1110" si="170">1/45.97</f>
        <v>2.1753317380900587E-2</v>
      </c>
      <c r="G1108" s="453">
        <f>IF(A1108="SERVIÇO",VLOOKUP(B1108,SERVIÇOS!$A$6:$D$7645,4,0),IF(A1108="INSUMO",VLOOKUP(B1108,INSUMOS!$A$6:$D$6961,4,0),IF(A1108="COTAÇÃO",VLOOKUP(B1108,'036-20-Cotação'!$A$9:$G$529,3,0))))</f>
        <v>2.9165999999999999</v>
      </c>
      <c r="H1108" s="463">
        <f t="shared" si="169"/>
        <v>6.3445725473134651E-2</v>
      </c>
      <c r="J1108" s="201"/>
    </row>
    <row r="1109" spans="1:17" s="87" customFormat="1" ht="12.75">
      <c r="A1109" s="232" t="s">
        <v>4542</v>
      </c>
      <c r="B1109" s="464" t="s">
        <v>6825</v>
      </c>
      <c r="C1109" s="451" t="str">
        <f>IF(A1109="SERVIÇO",VLOOKUP(B1109,SERVIÇOS!$A$6:$D$7645,2,0),IF(A1109="INSUMO",VLOOKUP(B1109,INSUMOS!$A$6:$D$6961,2,0),IF(A1109="COTAÇÃO",VLOOKUP(B1109,'036-20-Cotação'!$A$9:$G$529,2,0))))</f>
        <v>AJUDANTE</v>
      </c>
      <c r="D1109" s="452" t="str">
        <f>IF(A1109="SERVIÇO",VLOOKUP(B1109,SERVIÇOS!$A$6:$E$7645,5,0),IF(A1109="INSUMO",VLOOKUP(B1109,INSUMOS!$A$6:$E$6961,5,0),IF(A1109="COTAÇÃO",VLOOKUP(B1109,'036-20-Cotação'!$A$9:$H$529,8,0))))</f>
        <v>M.O</v>
      </c>
      <c r="E1109" s="452" t="str">
        <f>IF(A1109="SERVIÇO",VLOOKUP(B1109,SERVIÇOS!$A$6:$D$7645,3,0),IF(A1109="INSUMO",VLOOKUP(B1109,INSUMOS!$A$6:$D$6961,3,0),IF(A1109="COTAÇÃO",VLOOKUP(B1109,'036-20-Cotação'!$A$9:$G$529,4,0))))</f>
        <v>H</v>
      </c>
      <c r="F1109" s="462">
        <f t="shared" si="170"/>
        <v>2.1753317380900587E-2</v>
      </c>
      <c r="G1109" s="453">
        <f>IF(A1109="SERVIÇO",VLOOKUP(B1109,SERVIÇOS!$A$6:$D$7645,4,0),IF(A1109="INSUMO",VLOOKUP(B1109,INSUMOS!$A$6:$D$6961,4,0),IF(A1109="COTAÇÃO",VLOOKUP(B1109,'036-20-Cotação'!$A$9:$G$529,3,0))))</f>
        <v>17.9801</v>
      </c>
      <c r="H1109" s="463">
        <f t="shared" si="169"/>
        <v>0.39112682184033065</v>
      </c>
      <c r="J1109" s="201"/>
    </row>
    <row r="1110" spans="1:17" s="87" customFormat="1" ht="12.75">
      <c r="A1110" s="232" t="s">
        <v>4542</v>
      </c>
      <c r="B1110" s="464" t="s">
        <v>7527</v>
      </c>
      <c r="C1110" s="451" t="str">
        <f>IF(A1110="SERVIÇO",VLOOKUP(B1110,SERVIÇOS!$A$6:$D$7645,2,0),IF(A1110="INSUMO",VLOOKUP(B1110,INSUMOS!$A$6:$D$6961,2,0),IF(A1110="COTAÇÃO",VLOOKUP(B1110,'036-20-Cotação'!$A$9:$G$529,2,0))))</f>
        <v>PINTOR</v>
      </c>
      <c r="D1110" s="452" t="str">
        <f>IF(A1110="SERVIÇO",VLOOKUP(B1110,SERVIÇOS!$A$6:$E$7645,5,0),IF(A1110="INSUMO",VLOOKUP(B1110,INSUMOS!$A$6:$E$6961,5,0),IF(A1110="COTAÇÃO",VLOOKUP(B1110,'036-20-Cotação'!$A$9:$H$529,8,0))))</f>
        <v>M.O</v>
      </c>
      <c r="E1110" s="452" t="str">
        <f>IF(A1110="SERVIÇO",VLOOKUP(B1110,SERVIÇOS!$A$6:$D$7645,3,0),IF(A1110="INSUMO",VLOOKUP(B1110,INSUMOS!$A$6:$D$6961,3,0),IF(A1110="COTAÇÃO",VLOOKUP(B1110,'036-20-Cotação'!$A$9:$G$529,4,0))))</f>
        <v>H</v>
      </c>
      <c r="F1110" s="462">
        <f t="shared" si="170"/>
        <v>2.1753317380900587E-2</v>
      </c>
      <c r="G1110" s="453">
        <f>IF(A1110="SERVIÇO",VLOOKUP(B1110,SERVIÇOS!$A$6:$D$7645,4,0),IF(A1110="INSUMO",VLOOKUP(B1110,INSUMOS!$A$6:$D$6961,4,0),IF(A1110="COTAÇÃO",VLOOKUP(B1110,'036-20-Cotação'!$A$9:$G$529,3,0))))</f>
        <v>21.705200000000001</v>
      </c>
      <c r="H1110" s="463">
        <f t="shared" si="169"/>
        <v>0.47216010441592343</v>
      </c>
      <c r="J1110" s="201"/>
    </row>
    <row r="1111" spans="1:17" s="87" customFormat="1" ht="25.5">
      <c r="A1111" s="232" t="s">
        <v>12</v>
      </c>
      <c r="B1111" s="464" t="s">
        <v>7531</v>
      </c>
      <c r="C1111" s="451" t="str">
        <f>IF(A1111="SERVIÇO",VLOOKUP(B1111,SERVIÇOS!$A$6:$D$7645,2,0),IF(A1111="INSUMO",VLOOKUP(B1111,INSUMOS!$A$6:$D$6961,2,0),IF(A1111="COTAÇÃO",VLOOKUP(B1111,'036-20-Cotação'!$A$9:$G$529,2,0))))</f>
        <v xml:space="preserve">DILUENTE GTA-220   </v>
      </c>
      <c r="D1111" s="452" t="str">
        <f>IF(A1111="SERVIÇO",VLOOKUP(B1111,SERVIÇOS!$A$6:$E$7645,5,0),IF(A1111="INSUMO",VLOOKUP(B1111,INSUMOS!$A$6:$E$6961,5,0),IF(A1111="COTAÇÃO",VLOOKUP(B1111,'036-20-Cotação'!$A$9:$H$529,8,0))))</f>
        <v>MAT.</v>
      </c>
      <c r="E1111" s="452" t="str">
        <f>IF(A1111="SERVIÇO",VLOOKUP(B1111,SERVIÇOS!$A$6:$D$7645,3,0),IF(A1111="INSUMO",VLOOKUP(B1111,INSUMOS!$A$6:$D$6961,3,0),IF(A1111="COTAÇÃO",VLOOKUP(B1111,'036-20-Cotação'!$A$9:$G$529,4,0))))</f>
        <v>L</v>
      </c>
      <c r="F1111" s="462">
        <v>2.5824964131994258E-2</v>
      </c>
      <c r="G1111" s="453">
        <f>IF(A1111="SERVIÇO",VLOOKUP(B1111,SERVIÇOS!$A$6:$D$7645,4,0),IF(A1111="INSUMO",VLOOKUP(B1111,INSUMOS!$A$6:$D$6961,4,0),IF(A1111="COTAÇÃO",VLOOKUP(B1111,'036-20-Cotação'!$A$9:$G$529,3,0))))</f>
        <v>15.267604411812552</v>
      </c>
      <c r="H1111" s="463">
        <f>G1111*F1111</f>
        <v>0.39428533631653645</v>
      </c>
      <c r="J1111" s="201"/>
    </row>
    <row r="1112" spans="1:17" s="87" customFormat="1" ht="12.75">
      <c r="A1112" s="232" t="s">
        <v>4544</v>
      </c>
      <c r="B1112" s="464" t="s">
        <v>7528</v>
      </c>
      <c r="C1112" s="451" t="str">
        <f>IF(A1112="SERVIÇO",VLOOKUP(B1112,SERVIÇOS!$A$6:$D$7645,2,0),IF(A1112="INSUMO",VLOOKUP(B1112,INSUMOS!$A$6:$D$6961,2,0),IF(A1112="COTAÇÃO",VLOOKUP(B1112,'036-20-Cotação'!$A$9:$G$529,2,0))))</f>
        <v>LIXA PARA FERRO</v>
      </c>
      <c r="D1112" s="452" t="str">
        <f>IF(A1112="SERVIÇO",VLOOKUP(B1112,SERVIÇOS!$A$6:$E$7645,5,0),IF(A1112="INSUMO",VLOOKUP(B1112,INSUMOS!$A$6:$E$6961,5,0),IF(A1112="COTAÇÃO",VLOOKUP(B1112,'036-20-Cotação'!$A$9:$H$529,8,0))))</f>
        <v>MAT.</v>
      </c>
      <c r="E1112" s="452" t="str">
        <f>IF(A1112="SERVIÇO",VLOOKUP(B1112,SERVIÇOS!$A$6:$D$7645,3,0),IF(A1112="INSUMO",VLOOKUP(B1112,INSUMOS!$A$6:$D$6961,3,0),IF(A1112="COTAÇÃO",VLOOKUP(B1112,'036-20-Cotação'!$A$9:$G$529,4,0))))</f>
        <v>UN</v>
      </c>
      <c r="F1112" s="462">
        <v>0.3</v>
      </c>
      <c r="G1112" s="453">
        <f>IF(A1112="SERVIÇO",VLOOKUP(B1112,SERVIÇOS!$A$6:$D$7645,4,0),IF(A1112="INSUMO",VLOOKUP(B1112,INSUMOS!$A$6:$D$6961,4,0),IF(A1112="COTAÇÃO",VLOOKUP(B1112,'036-20-Cotação'!$A$9:$G$529,3,0))))</f>
        <v>3.3073999999999999</v>
      </c>
      <c r="H1112" s="463">
        <f t="shared" si="169"/>
        <v>0.99221999999999988</v>
      </c>
      <c r="J1112" s="201"/>
    </row>
    <row r="1113" spans="1:17" s="87" customFormat="1" ht="76.5">
      <c r="A1113" s="232" t="s">
        <v>12</v>
      </c>
      <c r="B1113" s="464" t="s">
        <v>7529</v>
      </c>
      <c r="C1113" s="451" t="str">
        <f>IF(A1113="SERVIÇO",VLOOKUP(B1113,SERVIÇOS!$A$6:$D$7645,2,0),IF(A1113="INSUMO",VLOOKUP(B1113,INSUMOS!$A$6:$D$6961,2,0),IF(A1113="COTAÇÃO",VLOOKUP(B1113,'036-20-Cotação'!$A$9:$G$529,2,0))))</f>
        <v xml:space="preserve">TINTA A BASE DE EPÓXI TOLERANTE DE SUPERFÍCIE (PRIMER), DE ALTOS SÓLIDOS, ALTA ESPESSURA E COM PIGNENTAÇÃO ANTICORROSIVA A BASE DE ALUMÍNIO. PRODUTO DE REFERÊNCIA: INTERSEAL 670HS EGA230 OU EQUIVALENTE. </v>
      </c>
      <c r="D1113" s="452" t="str">
        <f>IF(A1113="SERVIÇO",VLOOKUP(B1113,SERVIÇOS!$A$6:$E$7645,5,0),IF(A1113="INSUMO",VLOOKUP(B1113,INSUMOS!$A$6:$E$6961,5,0),IF(A1113="COTAÇÃO",VLOOKUP(B1113,'036-20-Cotação'!$A$9:$H$529,8,0))))</f>
        <v>MAT.</v>
      </c>
      <c r="E1113" s="452" t="str">
        <f>IF(A1113="SERVIÇO",VLOOKUP(B1113,SERVIÇOS!$A$6:$D$7645,3,0),IF(A1113="INSUMO",VLOOKUP(B1113,INSUMOS!$A$6:$D$6961,3,0),IF(A1113="COTAÇÃO",VLOOKUP(B1113,'036-20-Cotação'!$A$9:$G$529,4,0))))</f>
        <v>L</v>
      </c>
      <c r="F1113" s="462">
        <v>0.17216642754662839</v>
      </c>
      <c r="G1113" s="453">
        <f>IF(A1113="SERVIÇO",VLOOKUP(B1113,SERVIÇOS!$A$6:$D$7645,4,0),IF(A1113="INSUMO",VLOOKUP(B1113,INSUMOS!$A$6:$D$6961,4,0),IF(A1113="COTAÇÃO",VLOOKUP(B1113,'036-20-Cotação'!$A$9:$G$529,3,0))))</f>
        <v>32.591246217749202</v>
      </c>
      <c r="H1113" s="463">
        <f t="shared" si="169"/>
        <v>5.6111184306024446</v>
      </c>
      <c r="J1113" s="201"/>
    </row>
    <row r="1114" spans="1:17" s="87" customFormat="1" ht="12.75">
      <c r="A1114" s="188"/>
      <c r="B1114" s="348" t="s">
        <v>123</v>
      </c>
      <c r="C1114" s="695" t="s">
        <v>8269</v>
      </c>
      <c r="D1114" s="696"/>
      <c r="E1114" s="696"/>
      <c r="F1114" s="696"/>
      <c r="G1114" s="696"/>
      <c r="H1114" s="697"/>
      <c r="J1114" s="201"/>
      <c r="K1114" s="78"/>
      <c r="L1114" s="78"/>
      <c r="M1114" s="78"/>
      <c r="N1114" s="78"/>
      <c r="O1114" s="78"/>
      <c r="P1114" s="78"/>
      <c r="Q1114" s="78"/>
    </row>
    <row r="1115" spans="1:17" s="87" customFormat="1" ht="12.75">
      <c r="A1115" s="188"/>
      <c r="B1115" s="346"/>
      <c r="C1115" s="395"/>
      <c r="D1115" s="395"/>
      <c r="E1115" s="395"/>
      <c r="F1115" s="395"/>
      <c r="G1115" s="395"/>
      <c r="H1115" s="396"/>
      <c r="J1115" s="201"/>
      <c r="K1115" s="78"/>
      <c r="L1115" s="78"/>
      <c r="M1115" s="78"/>
      <c r="N1115" s="78"/>
      <c r="O1115" s="78"/>
      <c r="P1115" s="78"/>
      <c r="Q1115" s="78"/>
    </row>
    <row r="1116" spans="1:17" s="87" customFormat="1" ht="89.25">
      <c r="A1116" s="188"/>
      <c r="B1116" s="80" t="s">
        <v>6288</v>
      </c>
      <c r="C1116" s="81" t="s">
        <v>8263</v>
      </c>
      <c r="D1116" s="82" t="s">
        <v>84</v>
      </c>
      <c r="E1116" s="82" t="s">
        <v>150</v>
      </c>
      <c r="F1116" s="83"/>
      <c r="G1116" s="84"/>
      <c r="H1116" s="85">
        <f>SUM(H1117:H1124)</f>
        <v>12.499629785209933</v>
      </c>
      <c r="J1116" s="201" t="s">
        <v>13400</v>
      </c>
      <c r="K1116" s="78"/>
      <c r="L1116" s="78"/>
      <c r="M1116" s="78"/>
      <c r="N1116" s="78"/>
      <c r="O1116" s="78"/>
      <c r="P1116" s="78"/>
      <c r="Q1116" s="78"/>
    </row>
    <row r="1117" spans="1:17" s="87" customFormat="1" ht="38.25">
      <c r="A1117" s="232" t="s">
        <v>4542</v>
      </c>
      <c r="B1117" s="464" t="s">
        <v>9180</v>
      </c>
      <c r="C1117" s="451" t="str">
        <f>IF(A1117="SERVIÇO",VLOOKUP(B1117,SERVIÇOS!$A$6:$D$7645,2,0),IF(A1117="INSUMO",VLOOKUP(B1117,INSUMOS!$A$6:$D$6961,2,0),IF(A1117="COTAÇÃO",VLOOKUP(B1117,'036-20-Cotação'!$A$9:$G$529,2,0))))</f>
        <v>EQUIPAMENTO DE PINTURA A AR COMPRIMIDO DE PISTOLA COM CANECA COM CAPACIDADE DE 1.000 ML E COMPRESSOR DE 1,5 KW</v>
      </c>
      <c r="D1117" s="452" t="str">
        <f>IF(A1117="SERVIÇO",VLOOKUP(B1117,SERVIÇOS!$A$6:$E$7645,5,0),IF(A1117="INSUMO",VLOOKUP(B1117,INSUMOS!$A$6:$E$6961,5,0),IF(A1117="COTAÇÃO",VLOOKUP(B1117,'036-20-Cotação'!$A$9:$H$529,8,0))))</f>
        <v>EQUIP.</v>
      </c>
      <c r="E1117" s="452" t="str">
        <f>IF(A1117="SERVIÇO",VLOOKUP(B1117,SERVIÇOS!$A$6:$D$7645,3,0),IF(A1117="INSUMO",VLOOKUP(B1117,INSUMOS!$A$6:$D$6961,3,0),IF(A1117="COTAÇÃO",VLOOKUP(B1117,'036-20-Cotação'!$A$9:$G$529,4,0))))</f>
        <v>CHP</v>
      </c>
      <c r="F1117" s="462">
        <f>1/45.97</f>
        <v>2.1753317380900587E-2</v>
      </c>
      <c r="G1117" s="453">
        <f>IF(A1117="SERVIÇO",VLOOKUP(B1117,SERVIÇOS!$A$6:$D$7645,4,0),IF(A1117="INSUMO",VLOOKUP(B1117,INSUMOS!$A$6:$D$6961,4,0),IF(A1117="COTAÇÃO",VLOOKUP(B1117,'036-20-Cotação'!$A$9:$G$529,3,0))))</f>
        <v>0.39410000000000001</v>
      </c>
      <c r="H1117" s="463">
        <f t="shared" ref="H1117:H1120" si="171">G1117*F1117</f>
        <v>8.5729823798129205E-3</v>
      </c>
      <c r="J1117" s="201"/>
    </row>
    <row r="1118" spans="1:17" s="87" customFormat="1" ht="12.75">
      <c r="A1118" s="232" t="s">
        <v>4542</v>
      </c>
      <c r="B1118" s="464" t="s">
        <v>9006</v>
      </c>
      <c r="C1118" s="451" t="str">
        <f>IF(A1118="SERVIÇO",VLOOKUP(B1118,SERVIÇOS!$A$6:$D$7645,2,0),IF(A1118="INSUMO",VLOOKUP(B1118,INSUMOS!$A$6:$D$6961,2,0),IF(A1118="COTAÇÃO",VLOOKUP(B1118,'036-20-Cotação'!$A$9:$G$529,2,0))))</f>
        <v>GRUPO GERADOR - 2,5/3 KVA</v>
      </c>
      <c r="D1118" s="452" t="str">
        <f>IF(A1118="SERVIÇO",VLOOKUP(B1118,SERVIÇOS!$A$6:$E$7645,5,0),IF(A1118="INSUMO",VLOOKUP(B1118,INSUMOS!$A$6:$E$6961,5,0),IF(A1118="COTAÇÃO",VLOOKUP(B1118,'036-20-Cotação'!$A$9:$H$529,8,0))))</f>
        <v>EQUIP.</v>
      </c>
      <c r="E1118" s="452" t="str">
        <f>IF(A1118="SERVIÇO",VLOOKUP(B1118,SERVIÇOS!$A$6:$D$7645,3,0),IF(A1118="INSUMO",VLOOKUP(B1118,INSUMOS!$A$6:$D$6961,3,0),IF(A1118="COTAÇÃO",VLOOKUP(B1118,'036-20-Cotação'!$A$9:$G$529,4,0))))</f>
        <v>CHP</v>
      </c>
      <c r="F1118" s="462">
        <f t="shared" ref="F1118:F1120" si="172">1/45.97</f>
        <v>2.1753317380900587E-2</v>
      </c>
      <c r="G1118" s="453">
        <f>IF(A1118="SERVIÇO",VLOOKUP(B1118,SERVIÇOS!$A$6:$D$7645,4,0),IF(A1118="INSUMO",VLOOKUP(B1118,INSUMOS!$A$6:$D$6961,4,0),IF(A1118="COTAÇÃO",VLOOKUP(B1118,'036-20-Cotação'!$A$9:$G$529,3,0))))</f>
        <v>2.9165999999999999</v>
      </c>
      <c r="H1118" s="463">
        <f t="shared" si="171"/>
        <v>6.3445725473134651E-2</v>
      </c>
      <c r="J1118" s="201"/>
    </row>
    <row r="1119" spans="1:17" s="87" customFormat="1" ht="12.75">
      <c r="A1119" s="232" t="s">
        <v>4542</v>
      </c>
      <c r="B1119" s="464" t="s">
        <v>6825</v>
      </c>
      <c r="C1119" s="451" t="str">
        <f>IF(A1119="SERVIÇO",VLOOKUP(B1119,SERVIÇOS!$A$6:$D$7645,2,0),IF(A1119="INSUMO",VLOOKUP(B1119,INSUMOS!$A$6:$D$6961,2,0),IF(A1119="COTAÇÃO",VLOOKUP(B1119,'036-20-Cotação'!$A$9:$G$529,2,0))))</f>
        <v>AJUDANTE</v>
      </c>
      <c r="D1119" s="452" t="str">
        <f>IF(A1119="SERVIÇO",VLOOKUP(B1119,SERVIÇOS!$A$6:$E$7645,5,0),IF(A1119="INSUMO",VLOOKUP(B1119,INSUMOS!$A$6:$E$6961,5,0),IF(A1119="COTAÇÃO",VLOOKUP(B1119,'036-20-Cotação'!$A$9:$H$529,8,0))))</f>
        <v>M.O</v>
      </c>
      <c r="E1119" s="452" t="str">
        <f>IF(A1119="SERVIÇO",VLOOKUP(B1119,SERVIÇOS!$A$6:$D$7645,3,0),IF(A1119="INSUMO",VLOOKUP(B1119,INSUMOS!$A$6:$D$6961,3,0),IF(A1119="COTAÇÃO",VLOOKUP(B1119,'036-20-Cotação'!$A$9:$G$529,4,0))))</f>
        <v>H</v>
      </c>
      <c r="F1119" s="462">
        <f t="shared" si="172"/>
        <v>2.1753317380900587E-2</v>
      </c>
      <c r="G1119" s="453">
        <f>IF(A1119="SERVIÇO",VLOOKUP(B1119,SERVIÇOS!$A$6:$D$7645,4,0),IF(A1119="INSUMO",VLOOKUP(B1119,INSUMOS!$A$6:$D$6961,4,0),IF(A1119="COTAÇÃO",VLOOKUP(B1119,'036-20-Cotação'!$A$9:$G$529,3,0))))</f>
        <v>17.9801</v>
      </c>
      <c r="H1119" s="463">
        <f t="shared" si="171"/>
        <v>0.39112682184033065</v>
      </c>
      <c r="J1119" s="201"/>
    </row>
    <row r="1120" spans="1:17" s="87" customFormat="1" ht="12.75">
      <c r="A1120" s="232" t="s">
        <v>4542</v>
      </c>
      <c r="B1120" s="464" t="s">
        <v>7527</v>
      </c>
      <c r="C1120" s="451" t="str">
        <f>IF(A1120="SERVIÇO",VLOOKUP(B1120,SERVIÇOS!$A$6:$D$7645,2,0),IF(A1120="INSUMO",VLOOKUP(B1120,INSUMOS!$A$6:$D$6961,2,0),IF(A1120="COTAÇÃO",VLOOKUP(B1120,'036-20-Cotação'!$A$9:$G$529,2,0))))</f>
        <v>PINTOR</v>
      </c>
      <c r="D1120" s="452" t="str">
        <f>IF(A1120="SERVIÇO",VLOOKUP(B1120,SERVIÇOS!$A$6:$E$7645,5,0),IF(A1120="INSUMO",VLOOKUP(B1120,INSUMOS!$A$6:$E$6961,5,0),IF(A1120="COTAÇÃO",VLOOKUP(B1120,'036-20-Cotação'!$A$9:$H$529,8,0))))</f>
        <v>M.O</v>
      </c>
      <c r="E1120" s="452" t="str">
        <f>IF(A1120="SERVIÇO",VLOOKUP(B1120,SERVIÇOS!$A$6:$D$7645,3,0),IF(A1120="INSUMO",VLOOKUP(B1120,INSUMOS!$A$6:$D$6961,3,0),IF(A1120="COTAÇÃO",VLOOKUP(B1120,'036-20-Cotação'!$A$9:$G$529,4,0))))</f>
        <v>H</v>
      </c>
      <c r="F1120" s="462">
        <f t="shared" si="172"/>
        <v>2.1753317380900587E-2</v>
      </c>
      <c r="G1120" s="453">
        <f>IF(A1120="SERVIÇO",VLOOKUP(B1120,SERVIÇOS!$A$6:$D$7645,4,0),IF(A1120="INSUMO",VLOOKUP(B1120,INSUMOS!$A$6:$D$6961,4,0),IF(A1120="COTAÇÃO",VLOOKUP(B1120,'036-20-Cotação'!$A$9:$G$529,3,0))))</f>
        <v>21.705200000000001</v>
      </c>
      <c r="H1120" s="463">
        <f t="shared" si="171"/>
        <v>0.47216010441592343</v>
      </c>
      <c r="J1120" s="201"/>
    </row>
    <row r="1121" spans="1:17" s="87" customFormat="1" ht="25.5">
      <c r="A1121" s="232" t="s">
        <v>12</v>
      </c>
      <c r="B1121" s="464" t="s">
        <v>7531</v>
      </c>
      <c r="C1121" s="451" t="str">
        <f>IF(A1121="SERVIÇO",VLOOKUP(B1121,SERVIÇOS!$A$6:$D$7645,2,0),IF(A1121="INSUMO",VLOOKUP(B1121,INSUMOS!$A$6:$D$6961,2,0),IF(A1121="COTAÇÃO",VLOOKUP(B1121,'036-20-Cotação'!$A$9:$G$529,2,0))))</f>
        <v xml:space="preserve">DILUENTE GTA-220   </v>
      </c>
      <c r="D1121" s="452" t="str">
        <f>IF(A1121="SERVIÇO",VLOOKUP(B1121,SERVIÇOS!$A$6:$E$7645,5,0),IF(A1121="INSUMO",VLOOKUP(B1121,INSUMOS!$A$6:$E$6961,5,0),IF(A1121="COTAÇÃO",VLOOKUP(B1121,'036-20-Cotação'!$A$9:$H$529,8,0))))</f>
        <v>MAT.</v>
      </c>
      <c r="E1121" s="452" t="str">
        <f>IF(A1121="SERVIÇO",VLOOKUP(B1121,SERVIÇOS!$A$6:$D$7645,3,0),IF(A1121="INSUMO",VLOOKUP(B1121,INSUMOS!$A$6:$D$6961,3,0),IF(A1121="COTAÇÃO",VLOOKUP(B1121,'036-20-Cotação'!$A$9:$G$529,4,0))))</f>
        <v>L</v>
      </c>
      <c r="F1121" s="462">
        <v>3.8737446197991389E-2</v>
      </c>
      <c r="G1121" s="453">
        <f>IF(A1121="SERVIÇO",VLOOKUP(B1121,SERVIÇOS!$A$6:$D$7645,4,0),IF(A1121="INSUMO",VLOOKUP(B1121,INSUMOS!$A$6:$D$6961,4,0),IF(A1121="COTAÇÃO",VLOOKUP(B1121,'036-20-Cotação'!$A$9:$G$529,3,0))))</f>
        <v>15.267604411812552</v>
      </c>
      <c r="H1121" s="463">
        <f>G1121*F1121</f>
        <v>0.5914280044748047</v>
      </c>
      <c r="J1121" s="201"/>
    </row>
    <row r="1122" spans="1:17" s="87" customFormat="1" ht="12.75">
      <c r="A1122" s="232" t="s">
        <v>4544</v>
      </c>
      <c r="B1122" s="464" t="s">
        <v>7528</v>
      </c>
      <c r="C1122" s="451" t="str">
        <f>IF(A1122="SERVIÇO",VLOOKUP(B1122,SERVIÇOS!$A$6:$D$7645,2,0),IF(A1122="INSUMO",VLOOKUP(B1122,INSUMOS!$A$6:$D$6961,2,0),IF(A1122="COTAÇÃO",VLOOKUP(B1122,'036-20-Cotação'!$A$9:$G$529,2,0))))</f>
        <v>LIXA PARA FERRO</v>
      </c>
      <c r="D1122" s="452" t="str">
        <f>IF(A1122="SERVIÇO",VLOOKUP(B1122,SERVIÇOS!$A$6:$E$7645,5,0),IF(A1122="INSUMO",VLOOKUP(B1122,INSUMOS!$A$6:$E$6961,5,0),IF(A1122="COTAÇÃO",VLOOKUP(B1122,'036-20-Cotação'!$A$9:$H$529,8,0))))</f>
        <v>MAT.</v>
      </c>
      <c r="E1122" s="452" t="str">
        <f>IF(A1122="SERVIÇO",VLOOKUP(B1122,SERVIÇOS!$A$6:$D$7645,3,0),IF(A1122="INSUMO",VLOOKUP(B1122,INSUMOS!$A$6:$D$6961,3,0),IF(A1122="COTAÇÃO",VLOOKUP(B1122,'036-20-Cotação'!$A$9:$G$529,4,0))))</f>
        <v>UN</v>
      </c>
      <c r="F1122" s="462">
        <v>0.3</v>
      </c>
      <c r="G1122" s="453">
        <f>IF(A1122="SERVIÇO",VLOOKUP(B1122,SERVIÇOS!$A$6:$D$7645,4,0),IF(A1122="INSUMO",VLOOKUP(B1122,INSUMOS!$A$6:$D$6961,4,0),IF(A1122="COTAÇÃO",VLOOKUP(B1122,'036-20-Cotação'!$A$9:$G$529,3,0))))</f>
        <v>3.3073999999999999</v>
      </c>
      <c r="H1122" s="463">
        <f t="shared" ref="H1122:H1123" si="173">G1122*F1122</f>
        <v>0.99221999999999988</v>
      </c>
      <c r="J1122" s="201"/>
    </row>
    <row r="1123" spans="1:17" s="87" customFormat="1" ht="63.75">
      <c r="A1123" s="232" t="s">
        <v>12</v>
      </c>
      <c r="B1123" s="464" t="s">
        <v>7532</v>
      </c>
      <c r="C1123" s="451" t="str">
        <f>IF(A1123="SERVIÇO",VLOOKUP(B1123,SERVIÇOS!$A$6:$D$7645,2,0),IF(A1123="INSUMO",VLOOKUP(B1123,INSUMOS!$A$6:$D$6961,2,0),IF(A1123="COTAÇÃO",VLOOKUP(B1123,'036-20-Cotação'!$A$9:$G$529,2,0))))</f>
        <v xml:space="preserve">TINTA A BASE DE EPÓXI TOLERANTE DE SUPERFÍCIE (PRIMER) NA COR BRANCA, DE ALTOS SÓLIDOS E ALTA ESPESSURA. PRODUTO DE REFERÊNCIA: INTERSEAL 670HS EGB000 OU EQUIVALENTE.     </v>
      </c>
      <c r="D1123" s="452" t="str">
        <f>IF(A1123="SERVIÇO",VLOOKUP(B1123,SERVIÇOS!$A$6:$E$7645,5,0),IF(A1123="INSUMO",VLOOKUP(B1123,INSUMOS!$A$6:$E$6961,5,0),IF(A1123="COTAÇÃO",VLOOKUP(B1123,'036-20-Cotação'!$A$9:$H$529,8,0))))</f>
        <v>MAT.</v>
      </c>
      <c r="E1123" s="452" t="str">
        <f>IF(A1123="SERVIÇO",VLOOKUP(B1123,SERVIÇOS!$A$6:$D$7645,3,0),IF(A1123="INSUMO",VLOOKUP(B1123,INSUMOS!$A$6:$D$6961,3,0),IF(A1123="COTAÇÃO",VLOOKUP(B1123,'036-20-Cotação'!$A$9:$G$529,4,0))))</f>
        <v>L</v>
      </c>
      <c r="F1123" s="462">
        <v>0.2582496413199426</v>
      </c>
      <c r="G1123" s="453">
        <f>IF(A1123="SERVIÇO",VLOOKUP(B1123,SERVIÇOS!$A$6:$D$7645,4,0),IF(A1123="INSUMO",VLOOKUP(B1123,INSUMOS!$A$6:$D$6961,4,0),IF(A1123="COTAÇÃO",VLOOKUP(B1123,'036-20-Cotação'!$A$9:$G$529,3,0))))</f>
        <v>38.647395967768176</v>
      </c>
      <c r="H1123" s="463">
        <f t="shared" si="173"/>
        <v>9.9806761466259282</v>
      </c>
      <c r="J1123" s="201"/>
    </row>
    <row r="1124" spans="1:17" s="87" customFormat="1" ht="12.75">
      <c r="A1124" s="188"/>
      <c r="B1124" s="348" t="s">
        <v>123</v>
      </c>
      <c r="C1124" s="695" t="s">
        <v>8269</v>
      </c>
      <c r="D1124" s="696"/>
      <c r="E1124" s="696"/>
      <c r="F1124" s="696"/>
      <c r="G1124" s="696"/>
      <c r="H1124" s="697"/>
      <c r="J1124" s="201"/>
      <c r="K1124" s="78"/>
      <c r="L1124" s="78"/>
      <c r="M1124" s="78"/>
      <c r="N1124" s="78"/>
      <c r="O1124" s="78"/>
      <c r="P1124" s="78"/>
      <c r="Q1124" s="78"/>
    </row>
    <row r="1125" spans="1:17" s="87" customFormat="1" ht="12.75">
      <c r="A1125" s="188"/>
      <c r="B1125" s="346"/>
      <c r="C1125" s="367"/>
      <c r="D1125" s="367"/>
      <c r="E1125" s="367"/>
      <c r="F1125" s="367"/>
      <c r="G1125" s="367"/>
      <c r="H1125" s="368"/>
      <c r="J1125" s="201"/>
      <c r="K1125" s="78"/>
      <c r="L1125" s="78"/>
      <c r="M1125" s="78"/>
      <c r="N1125" s="78"/>
      <c r="O1125" s="78"/>
      <c r="P1125" s="78"/>
      <c r="Q1125" s="78"/>
    </row>
    <row r="1126" spans="1:17" s="87" customFormat="1" ht="63.75">
      <c r="A1126" s="188"/>
      <c r="B1126" s="80" t="s">
        <v>6289</v>
      </c>
      <c r="C1126" s="81" t="s">
        <v>8251</v>
      </c>
      <c r="D1126" s="82" t="s">
        <v>84</v>
      </c>
      <c r="E1126" s="82" t="s">
        <v>150</v>
      </c>
      <c r="F1126" s="83"/>
      <c r="G1126" s="84"/>
      <c r="H1126" s="85">
        <f>SUM(H1127:H1134)</f>
        <v>17.562350857918293</v>
      </c>
      <c r="J1126" s="201" t="s">
        <v>13400</v>
      </c>
      <c r="K1126" s="78"/>
      <c r="L1126" s="78"/>
      <c r="M1126" s="78"/>
      <c r="N1126" s="78"/>
      <c r="O1126" s="78"/>
      <c r="P1126" s="78"/>
      <c r="Q1126" s="78"/>
    </row>
    <row r="1127" spans="1:17" s="87" customFormat="1" ht="38.25">
      <c r="A1127" s="232" t="s">
        <v>4542</v>
      </c>
      <c r="B1127" s="464" t="s">
        <v>9180</v>
      </c>
      <c r="C1127" s="451" t="str">
        <f>IF(A1127="SERVIÇO",VLOOKUP(B1127,SERVIÇOS!$A$6:$D$7645,2,0),IF(A1127="INSUMO",VLOOKUP(B1127,INSUMOS!$A$6:$D$6961,2,0),IF(A1127="COTAÇÃO",VLOOKUP(B1127,'036-20-Cotação'!$A$9:$G$529,2,0))))</f>
        <v>EQUIPAMENTO DE PINTURA A AR COMPRIMIDO DE PISTOLA COM CANECA COM CAPACIDADE DE 1.000 ML E COMPRESSOR DE 1,5 KW</v>
      </c>
      <c r="D1127" s="452" t="str">
        <f>IF(A1127="SERVIÇO",VLOOKUP(B1127,SERVIÇOS!$A$6:$E$7645,5,0),IF(A1127="INSUMO",VLOOKUP(B1127,INSUMOS!$A$6:$E$6961,5,0),IF(A1127="COTAÇÃO",VLOOKUP(B1127,'036-20-Cotação'!$A$9:$H$529,8,0))))</f>
        <v>EQUIP.</v>
      </c>
      <c r="E1127" s="452" t="str">
        <f>IF(A1127="SERVIÇO",VLOOKUP(B1127,SERVIÇOS!$A$6:$D$7645,3,0),IF(A1127="INSUMO",VLOOKUP(B1127,INSUMOS!$A$6:$D$6961,3,0),IF(A1127="COTAÇÃO",VLOOKUP(B1127,'036-20-Cotação'!$A$9:$G$529,4,0))))</f>
        <v>CHP</v>
      </c>
      <c r="F1127" s="462">
        <f>1/45.97</f>
        <v>2.1753317380900587E-2</v>
      </c>
      <c r="G1127" s="453">
        <f>IF(A1127="SERVIÇO",VLOOKUP(B1127,SERVIÇOS!$A$6:$D$7645,4,0),IF(A1127="INSUMO",VLOOKUP(B1127,INSUMOS!$A$6:$D$6961,4,0),IF(A1127="COTAÇÃO",VLOOKUP(B1127,'036-20-Cotação'!$A$9:$G$529,3,0))))</f>
        <v>0.39410000000000001</v>
      </c>
      <c r="H1127" s="463">
        <f t="shared" ref="H1127:H1130" si="174">G1127*F1127</f>
        <v>8.5729823798129205E-3</v>
      </c>
      <c r="J1127" s="201"/>
    </row>
    <row r="1128" spans="1:17" s="87" customFormat="1" ht="12.75">
      <c r="A1128" s="232" t="s">
        <v>4542</v>
      </c>
      <c r="B1128" s="464" t="s">
        <v>9006</v>
      </c>
      <c r="C1128" s="451" t="str">
        <f>IF(A1128="SERVIÇO",VLOOKUP(B1128,SERVIÇOS!$A$6:$D$7645,2,0),IF(A1128="INSUMO",VLOOKUP(B1128,INSUMOS!$A$6:$D$6961,2,0),IF(A1128="COTAÇÃO",VLOOKUP(B1128,'036-20-Cotação'!$A$9:$G$529,2,0))))</f>
        <v>GRUPO GERADOR - 2,5/3 KVA</v>
      </c>
      <c r="D1128" s="452" t="str">
        <f>IF(A1128="SERVIÇO",VLOOKUP(B1128,SERVIÇOS!$A$6:$E$7645,5,0),IF(A1128="INSUMO",VLOOKUP(B1128,INSUMOS!$A$6:$E$6961,5,0),IF(A1128="COTAÇÃO",VLOOKUP(B1128,'036-20-Cotação'!$A$9:$H$529,8,0))))</f>
        <v>EQUIP.</v>
      </c>
      <c r="E1128" s="452" t="str">
        <f>IF(A1128="SERVIÇO",VLOOKUP(B1128,SERVIÇOS!$A$6:$D$7645,3,0),IF(A1128="INSUMO",VLOOKUP(B1128,INSUMOS!$A$6:$D$6961,3,0),IF(A1128="COTAÇÃO",VLOOKUP(B1128,'036-20-Cotação'!$A$9:$G$529,4,0))))</f>
        <v>CHP</v>
      </c>
      <c r="F1128" s="462">
        <f t="shared" ref="F1128:F1130" si="175">1/45.97</f>
        <v>2.1753317380900587E-2</v>
      </c>
      <c r="G1128" s="453">
        <f>IF(A1128="SERVIÇO",VLOOKUP(B1128,SERVIÇOS!$A$6:$D$7645,4,0),IF(A1128="INSUMO",VLOOKUP(B1128,INSUMOS!$A$6:$D$6961,4,0),IF(A1128="COTAÇÃO",VLOOKUP(B1128,'036-20-Cotação'!$A$9:$G$529,3,0))))</f>
        <v>2.9165999999999999</v>
      </c>
      <c r="H1128" s="463">
        <f t="shared" si="174"/>
        <v>6.3445725473134651E-2</v>
      </c>
      <c r="J1128" s="201"/>
    </row>
    <row r="1129" spans="1:17" s="87" customFormat="1" ht="12.75">
      <c r="A1129" s="232" t="s">
        <v>4542</v>
      </c>
      <c r="B1129" s="464" t="s">
        <v>6825</v>
      </c>
      <c r="C1129" s="451" t="str">
        <f>IF(A1129="SERVIÇO",VLOOKUP(B1129,SERVIÇOS!$A$6:$D$7645,2,0),IF(A1129="INSUMO",VLOOKUP(B1129,INSUMOS!$A$6:$D$6961,2,0),IF(A1129="COTAÇÃO",VLOOKUP(B1129,'036-20-Cotação'!$A$9:$G$529,2,0))))</f>
        <v>AJUDANTE</v>
      </c>
      <c r="D1129" s="452" t="str">
        <f>IF(A1129="SERVIÇO",VLOOKUP(B1129,SERVIÇOS!$A$6:$E$7645,5,0),IF(A1129="INSUMO",VLOOKUP(B1129,INSUMOS!$A$6:$E$6961,5,0),IF(A1129="COTAÇÃO",VLOOKUP(B1129,'036-20-Cotação'!$A$9:$H$529,8,0))))</f>
        <v>M.O</v>
      </c>
      <c r="E1129" s="452" t="str">
        <f>IF(A1129="SERVIÇO",VLOOKUP(B1129,SERVIÇOS!$A$6:$D$7645,3,0),IF(A1129="INSUMO",VLOOKUP(B1129,INSUMOS!$A$6:$D$6961,3,0),IF(A1129="COTAÇÃO",VLOOKUP(B1129,'036-20-Cotação'!$A$9:$G$529,4,0))))</f>
        <v>H</v>
      </c>
      <c r="F1129" s="462">
        <f t="shared" si="175"/>
        <v>2.1753317380900587E-2</v>
      </c>
      <c r="G1129" s="453">
        <f>IF(A1129="SERVIÇO",VLOOKUP(B1129,SERVIÇOS!$A$6:$D$7645,4,0),IF(A1129="INSUMO",VLOOKUP(B1129,INSUMOS!$A$6:$D$6961,4,0),IF(A1129="COTAÇÃO",VLOOKUP(B1129,'036-20-Cotação'!$A$9:$G$529,3,0))))</f>
        <v>17.9801</v>
      </c>
      <c r="H1129" s="463">
        <f t="shared" si="174"/>
        <v>0.39112682184033065</v>
      </c>
      <c r="J1129" s="201"/>
    </row>
    <row r="1130" spans="1:17" s="87" customFormat="1" ht="12.75">
      <c r="A1130" s="232" t="s">
        <v>4542</v>
      </c>
      <c r="B1130" s="464" t="s">
        <v>7527</v>
      </c>
      <c r="C1130" s="451" t="str">
        <f>IF(A1130="SERVIÇO",VLOOKUP(B1130,SERVIÇOS!$A$6:$D$7645,2,0),IF(A1130="INSUMO",VLOOKUP(B1130,INSUMOS!$A$6:$D$6961,2,0),IF(A1130="COTAÇÃO",VLOOKUP(B1130,'036-20-Cotação'!$A$9:$G$529,2,0))))</f>
        <v>PINTOR</v>
      </c>
      <c r="D1130" s="452" t="str">
        <f>IF(A1130="SERVIÇO",VLOOKUP(B1130,SERVIÇOS!$A$6:$E$7645,5,0),IF(A1130="INSUMO",VLOOKUP(B1130,INSUMOS!$A$6:$E$6961,5,0),IF(A1130="COTAÇÃO",VLOOKUP(B1130,'036-20-Cotação'!$A$9:$H$529,8,0))))</f>
        <v>M.O</v>
      </c>
      <c r="E1130" s="452" t="str">
        <f>IF(A1130="SERVIÇO",VLOOKUP(B1130,SERVIÇOS!$A$6:$D$7645,3,0),IF(A1130="INSUMO",VLOOKUP(B1130,INSUMOS!$A$6:$D$6961,3,0),IF(A1130="COTAÇÃO",VLOOKUP(B1130,'036-20-Cotação'!$A$9:$G$529,4,0))))</f>
        <v>H</v>
      </c>
      <c r="F1130" s="462">
        <f t="shared" si="175"/>
        <v>2.1753317380900587E-2</v>
      </c>
      <c r="G1130" s="453">
        <f>IF(A1130="SERVIÇO",VLOOKUP(B1130,SERVIÇOS!$A$6:$D$7645,4,0),IF(A1130="INSUMO",VLOOKUP(B1130,INSUMOS!$A$6:$D$6961,4,0),IF(A1130="COTAÇÃO",VLOOKUP(B1130,'036-20-Cotação'!$A$9:$G$529,3,0))))</f>
        <v>21.705200000000001</v>
      </c>
      <c r="H1130" s="463">
        <f t="shared" si="174"/>
        <v>0.47216010441592343</v>
      </c>
      <c r="J1130" s="201"/>
    </row>
    <row r="1131" spans="1:17" s="87" customFormat="1" ht="25.5">
      <c r="A1131" s="232" t="s">
        <v>12</v>
      </c>
      <c r="B1131" s="464" t="s">
        <v>7358</v>
      </c>
      <c r="C1131" s="451" t="str">
        <f>IF(A1131="SERVIÇO",VLOOKUP(B1131,SERVIÇOS!$A$6:$D$7645,2,0),IF(A1131="INSUMO",VLOOKUP(B1131,INSUMOS!$A$6:$D$6961,2,0),IF(A1131="COTAÇÃO",VLOOKUP(B1131,'036-20-Cotação'!$A$9:$G$529,2,0))))</f>
        <v>DILUENTE GTA-007</v>
      </c>
      <c r="D1131" s="452" t="str">
        <f>IF(A1131="SERVIÇO",VLOOKUP(B1131,SERVIÇOS!$A$6:$E$7645,5,0),IF(A1131="INSUMO",VLOOKUP(B1131,INSUMOS!$A$6:$E$6961,5,0),IF(A1131="COTAÇÃO",VLOOKUP(B1131,'036-20-Cotação'!$A$9:$H$529,8,0))))</f>
        <v>MAT.</v>
      </c>
      <c r="E1131" s="452" t="str">
        <f>IF(A1131="SERVIÇO",VLOOKUP(B1131,SERVIÇOS!$A$6:$D$7645,3,0),IF(A1131="INSUMO",VLOOKUP(B1131,INSUMOS!$A$6:$D$6961,3,0),IF(A1131="COTAÇÃO",VLOOKUP(B1131,'036-20-Cotação'!$A$9:$G$529,4,0))))</f>
        <v>L</v>
      </c>
      <c r="F1131" s="462">
        <v>1.4705882352941178E-2</v>
      </c>
      <c r="G1131" s="453">
        <f>IF(A1131="SERVIÇO",VLOOKUP(B1131,SERVIÇOS!$A$6:$D$7645,4,0),IF(A1131="INSUMO",VLOOKUP(B1131,INSUMOS!$A$6:$D$6961,4,0),IF(A1131="COTAÇÃO",VLOOKUP(B1131,'036-20-Cotação'!$A$9:$G$529,3,0))))</f>
        <v>15.267604411812552</v>
      </c>
      <c r="H1131" s="463">
        <f>G1131*F1131</f>
        <v>0.22452359429136109</v>
      </c>
      <c r="J1131" s="201"/>
    </row>
    <row r="1132" spans="1:17" s="87" customFormat="1" ht="12.75">
      <c r="A1132" s="232" t="s">
        <v>4544</v>
      </c>
      <c r="B1132" s="464" t="s">
        <v>7528</v>
      </c>
      <c r="C1132" s="451" t="str">
        <f>IF(A1132="SERVIÇO",VLOOKUP(B1132,SERVIÇOS!$A$6:$D$7645,2,0),IF(A1132="INSUMO",VLOOKUP(B1132,INSUMOS!$A$6:$D$6961,2,0),IF(A1132="COTAÇÃO",VLOOKUP(B1132,'036-20-Cotação'!$A$9:$G$529,2,0))))</f>
        <v>LIXA PARA FERRO</v>
      </c>
      <c r="D1132" s="452" t="str">
        <f>IF(A1132="SERVIÇO",VLOOKUP(B1132,SERVIÇOS!$A$6:$E$7645,5,0),IF(A1132="INSUMO",VLOOKUP(B1132,INSUMOS!$A$6:$E$6961,5,0),IF(A1132="COTAÇÃO",VLOOKUP(B1132,'036-20-Cotação'!$A$9:$H$529,8,0))))</f>
        <v>MAT.</v>
      </c>
      <c r="E1132" s="452" t="str">
        <f>IF(A1132="SERVIÇO",VLOOKUP(B1132,SERVIÇOS!$A$6:$D$7645,3,0),IF(A1132="INSUMO",VLOOKUP(B1132,INSUMOS!$A$6:$D$6961,3,0),IF(A1132="COTAÇÃO",VLOOKUP(B1132,'036-20-Cotação'!$A$9:$G$529,4,0))))</f>
        <v>UN</v>
      </c>
      <c r="F1132" s="462">
        <v>0.3</v>
      </c>
      <c r="G1132" s="453">
        <f>IF(A1132="SERVIÇO",VLOOKUP(B1132,SERVIÇOS!$A$6:$D$7645,4,0),IF(A1132="INSUMO",VLOOKUP(B1132,INSUMOS!$A$6:$D$6961,4,0),IF(A1132="COTAÇÃO",VLOOKUP(B1132,'036-20-Cotação'!$A$9:$G$529,3,0))))</f>
        <v>3.3073999999999999</v>
      </c>
      <c r="H1132" s="463">
        <f t="shared" ref="H1132:H1133" si="176">G1132*F1132</f>
        <v>0.99221999999999988</v>
      </c>
      <c r="J1132" s="201"/>
    </row>
    <row r="1133" spans="1:17" s="87" customFormat="1" ht="38.25">
      <c r="A1133" s="232" t="s">
        <v>12</v>
      </c>
      <c r="B1133" s="464" t="s">
        <v>7530</v>
      </c>
      <c r="C1133" s="451" t="str">
        <f>IF(A1133="SERVIÇO",VLOOKUP(B1133,SERVIÇOS!$A$6:$D$7645,2,0),IF(A1133="INSUMO",VLOOKUP(B1133,INSUMOS!$A$6:$D$6961,2,0),IF(A1133="COTAÇÃO",VLOOKUP(B1133,'036-20-Cotação'!$A$9:$G$529,2,0))))</f>
        <v>TINTA A BASE DE POLISILOXANO ACRÍLICO NA COR BRANCA OU CINZA. PRODUTO DE REFERÊNCIA: INTERFINE 878 OU EQUIVALENTE.</v>
      </c>
      <c r="D1133" s="452" t="str">
        <f>IF(A1133="SERVIÇO",VLOOKUP(B1133,SERVIÇOS!$A$6:$E$7645,5,0),IF(A1133="INSUMO",VLOOKUP(B1133,INSUMOS!$A$6:$E$6961,5,0),IF(A1133="COTAÇÃO",VLOOKUP(B1133,'036-20-Cotação'!$A$9:$H$529,8,0))))</f>
        <v>MAT.</v>
      </c>
      <c r="E1133" s="452" t="str">
        <f>IF(A1133="SERVIÇO",VLOOKUP(B1133,SERVIÇOS!$A$6:$D$7645,3,0),IF(A1133="INSUMO",VLOOKUP(B1133,INSUMOS!$A$6:$D$6961,3,0),IF(A1133="COTAÇÃO",VLOOKUP(B1133,'036-20-Cotação'!$A$9:$G$529,4,0))))</f>
        <v>L</v>
      </c>
      <c r="F1133" s="462">
        <v>9.8039215686274522E-2</v>
      </c>
      <c r="G1133" s="453">
        <f>IF(A1133="SERVIÇO",VLOOKUP(B1133,SERVIÇOS!$A$6:$D$7645,4,0),IF(A1133="INSUMO",VLOOKUP(B1133,INSUMOS!$A$6:$D$6961,4,0),IF(A1133="COTAÇÃO",VLOOKUP(B1133,'036-20-Cotação'!$A$9:$G$529,3,0))))</f>
        <v>157.18507662108084</v>
      </c>
      <c r="H1133" s="463">
        <f t="shared" si="176"/>
        <v>15.410301629517731</v>
      </c>
      <c r="J1133" s="201"/>
    </row>
    <row r="1134" spans="1:17" s="87" customFormat="1" ht="12.75">
      <c r="A1134" s="188"/>
      <c r="B1134" s="348" t="s">
        <v>123</v>
      </c>
      <c r="C1134" s="695" t="s">
        <v>8269</v>
      </c>
      <c r="D1134" s="696"/>
      <c r="E1134" s="696"/>
      <c r="F1134" s="696"/>
      <c r="G1134" s="696"/>
      <c r="H1134" s="697"/>
      <c r="J1134" s="201"/>
      <c r="K1134" s="78"/>
      <c r="L1134" s="78"/>
      <c r="M1134" s="78"/>
      <c r="N1134" s="78"/>
      <c r="O1134" s="78"/>
      <c r="P1134" s="78"/>
      <c r="Q1134" s="78"/>
    </row>
    <row r="1135" spans="1:17" s="87" customFormat="1" ht="12.75">
      <c r="A1135" s="188"/>
      <c r="B1135" s="346"/>
      <c r="C1135" s="395"/>
      <c r="D1135" s="395"/>
      <c r="E1135" s="395"/>
      <c r="F1135" s="395"/>
      <c r="G1135" s="395"/>
      <c r="H1135" s="396"/>
      <c r="J1135" s="201"/>
      <c r="K1135" s="78"/>
      <c r="L1135" s="78"/>
      <c r="M1135" s="78"/>
      <c r="N1135" s="78"/>
      <c r="O1135" s="78"/>
      <c r="P1135" s="78"/>
      <c r="Q1135" s="78"/>
    </row>
    <row r="1136" spans="1:17" s="87" customFormat="1" ht="76.5">
      <c r="A1136" s="188"/>
      <c r="B1136" s="80" t="s">
        <v>6290</v>
      </c>
      <c r="C1136" s="81" t="s">
        <v>8274</v>
      </c>
      <c r="D1136" s="82" t="s">
        <v>84</v>
      </c>
      <c r="E1136" s="82" t="s">
        <v>150</v>
      </c>
      <c r="F1136" s="83"/>
      <c r="G1136" s="84"/>
      <c r="H1136" s="85">
        <f>SUM(H1137:H1140)</f>
        <v>5.3689586549916095</v>
      </c>
      <c r="J1136" s="201"/>
      <c r="K1136" s="78"/>
      <c r="L1136" s="78"/>
      <c r="M1136" s="78"/>
      <c r="N1136" s="78"/>
      <c r="O1136" s="78"/>
      <c r="P1136" s="78"/>
      <c r="Q1136" s="78"/>
    </row>
    <row r="1137" spans="1:17" s="87" customFormat="1" ht="51">
      <c r="A1137" s="232" t="s">
        <v>12</v>
      </c>
      <c r="B1137" s="464" t="s">
        <v>7534</v>
      </c>
      <c r="C1137" s="451" t="str">
        <f>IF(A1137="SERVIÇO",VLOOKUP(B1137,SERVIÇOS!$A$6:$D$7645,2,0),IF(A1137="INSUMO",VLOOKUP(B1137,INSUMOS!$A$6:$D$6961,2,0),IF(A1137="COTAÇÃO",VLOOKUP(B1137,'036-20-Cotação'!$A$9:$G$529,2,0))))</f>
        <v>DISPERSÃO AQUOSA PARA CONCRETO APARENTE NA COR CINZA CONCRETO - REFERÊNCIA: MC-REPACRYL CINZA CONCRETO - MC BAUCHEMIE OU EQUIVALENTE.</v>
      </c>
      <c r="D1137" s="452" t="str">
        <f>IF(A1137="SERVIÇO",VLOOKUP(B1137,SERVIÇOS!$A$6:$E$7645,5,0),IF(A1137="INSUMO",VLOOKUP(B1137,INSUMOS!$A$6:$E$6961,5,0),IF(A1137="COTAÇÃO",VLOOKUP(B1137,'036-20-Cotação'!$A$9:$H$529,8,0))))</f>
        <v>MAT.</v>
      </c>
      <c r="E1137" s="452" t="str">
        <f>IF(A1137="SERVIÇO",VLOOKUP(B1137,SERVIÇOS!$A$6:$D$7645,3,0),IF(A1137="INSUMO",VLOOKUP(B1137,INSUMOS!$A$6:$D$6961,3,0),IF(A1137="COTAÇÃO",VLOOKUP(B1137,'036-20-Cotação'!$A$9:$G$529,4,0))))</f>
        <v>KG</v>
      </c>
      <c r="F1137" s="462">
        <v>0.25</v>
      </c>
      <c r="G1137" s="453">
        <f>IF(A1137="SERVIÇO",VLOOKUP(B1137,SERVIÇOS!$A$6:$D$7645,4,0),IF(A1137="INSUMO",VLOOKUP(B1137,INSUMOS!$A$6:$D$6961,4,0),IF(A1137="COTAÇÃO",VLOOKUP(B1137,'036-20-Cotação'!$A$9:$G$529,3,0))))</f>
        <v>16.431184459966438</v>
      </c>
      <c r="H1137" s="463">
        <f t="shared" ref="H1137" si="177">G1137*F1137</f>
        <v>4.1077961149916096</v>
      </c>
      <c r="J1137" s="201"/>
    </row>
    <row r="1138" spans="1:17" s="87" customFormat="1" ht="12.75">
      <c r="A1138" s="232" t="s">
        <v>4542</v>
      </c>
      <c r="B1138" s="464" t="s">
        <v>6602</v>
      </c>
      <c r="C1138" s="451" t="str">
        <f>IF(A1138="SERVIÇO",VLOOKUP(B1138,SERVIÇOS!$A$6:$D$7645,2,0),IF(A1138="INSUMO",VLOOKUP(B1138,INSUMOS!$A$6:$D$6961,2,0),IF(A1138="COTAÇÃO",VLOOKUP(B1138,'036-20-Cotação'!$A$9:$G$529,2,0))))</f>
        <v>SERVENTE</v>
      </c>
      <c r="D1138" s="452" t="str">
        <f>IF(A1138="SERVIÇO",VLOOKUP(B1138,SERVIÇOS!$A$6:$E$7645,5,0),IF(A1138="INSUMO",VLOOKUP(B1138,INSUMOS!$A$6:$E$6961,5,0),IF(A1138="COTAÇÃO",VLOOKUP(B1138,'036-20-Cotação'!$A$9:$H$529,8,0))))</f>
        <v>M.O</v>
      </c>
      <c r="E1138" s="452" t="str">
        <f>IF(A1138="SERVIÇO",VLOOKUP(B1138,SERVIÇOS!$A$6:$D$7645,3,0),IF(A1138="INSUMO",VLOOKUP(B1138,INSUMOS!$A$6:$D$6961,3,0),IF(A1138="COTAÇÃO",VLOOKUP(B1138,'036-20-Cotação'!$A$9:$G$529,4,0))))</f>
        <v>H</v>
      </c>
      <c r="F1138" s="462">
        <v>1.7000000000000001E-2</v>
      </c>
      <c r="G1138" s="453">
        <f>IF(A1138="SERVIÇO",VLOOKUP(B1138,SERVIÇOS!$A$6:$D$7645,4,0),IF(A1138="INSUMO",VLOOKUP(B1138,INSUMOS!$A$6:$D$6961,4,0),IF(A1138="COTAÇÃO",VLOOKUP(B1138,'036-20-Cotação'!$A$9:$G$529,3,0))))</f>
        <v>15.637499999999999</v>
      </c>
      <c r="H1138" s="463">
        <f t="shared" ref="H1138:H1140" si="178">G1138*F1138</f>
        <v>0.2658375</v>
      </c>
      <c r="J1138" s="201"/>
    </row>
    <row r="1139" spans="1:17" s="87" customFormat="1" ht="38.25">
      <c r="A1139" s="232" t="s">
        <v>4542</v>
      </c>
      <c r="B1139" s="464" t="s">
        <v>8276</v>
      </c>
      <c r="C1139" s="451" t="str">
        <f>'036-20-CCA''s'!$C$105</f>
        <v>PULVERIZADOR DE TINTA ELÉTRICO/MÁQUINA DE PINTURA AIRLESS, VAZÃO 2 L/MIN - CHP DIURNO. AF_08/2016</v>
      </c>
      <c r="D1139" s="452" t="str">
        <f>'036-20-CCA''s'!$D$105</f>
        <v xml:space="preserve">SER.CG </v>
      </c>
      <c r="E1139" s="452" t="str">
        <f>'036-20-CCA''s'!$E$105</f>
        <v>CHP</v>
      </c>
      <c r="F1139" s="462">
        <v>6.3E-3</v>
      </c>
      <c r="G1139" s="453">
        <f>'036-20-CCA''s'!$H$105</f>
        <v>22.485199999999999</v>
      </c>
      <c r="H1139" s="463">
        <f t="shared" si="178"/>
        <v>0.14165675999999999</v>
      </c>
      <c r="J1139" s="201"/>
    </row>
    <row r="1140" spans="1:17" s="87" customFormat="1" ht="38.25">
      <c r="A1140" s="232" t="s">
        <v>4542</v>
      </c>
      <c r="B1140" s="464" t="s">
        <v>8278</v>
      </c>
      <c r="C1140" s="451" t="str">
        <f>'036-20-CCA''s'!$C$113</f>
        <v>PULVERIZADOR DE TINTA ELÉTRICO/MÁQUINA DE PINTURA AIRLESS, VAZÃO 2 L/MIN - CHP DIURNO. AF_08/2016</v>
      </c>
      <c r="D1140" s="452" t="str">
        <f>'036-20-CCA''s'!$D$113</f>
        <v xml:space="preserve">SER.CG </v>
      </c>
      <c r="E1140" s="452" t="str">
        <f>'036-20-CCA''s'!$E$113</f>
        <v>CHI</v>
      </c>
      <c r="F1140" s="462">
        <v>3.8899999999999997E-2</v>
      </c>
      <c r="G1140" s="453">
        <f>'036-20-CCA''s'!$H$113</f>
        <v>21.9452</v>
      </c>
      <c r="H1140" s="463">
        <f t="shared" si="178"/>
        <v>0.85366827999999995</v>
      </c>
      <c r="J1140" s="201"/>
    </row>
    <row r="1141" spans="1:17" s="87" customFormat="1" ht="12.75">
      <c r="A1141" s="188"/>
      <c r="B1141" s="348" t="s">
        <v>123</v>
      </c>
      <c r="C1141" s="695" t="s">
        <v>8287</v>
      </c>
      <c r="D1141" s="696"/>
      <c r="E1141" s="696"/>
      <c r="F1141" s="696"/>
      <c r="G1141" s="696"/>
      <c r="H1141" s="697"/>
      <c r="J1141" s="201"/>
      <c r="K1141" s="78"/>
      <c r="L1141" s="78"/>
      <c r="M1141" s="78"/>
      <c r="N1141" s="78"/>
      <c r="O1141" s="78"/>
      <c r="P1141" s="78"/>
      <c r="Q1141" s="78"/>
    </row>
    <row r="1142" spans="1:17" s="87" customFormat="1" ht="12.75">
      <c r="A1142" s="188"/>
      <c r="B1142" s="346"/>
      <c r="C1142" s="369"/>
      <c r="D1142" s="369"/>
      <c r="E1142" s="369"/>
      <c r="F1142" s="369"/>
      <c r="G1142" s="369"/>
      <c r="H1142" s="370"/>
      <c r="J1142" s="201"/>
      <c r="K1142" s="78"/>
      <c r="L1142" s="78"/>
      <c r="M1142" s="78"/>
      <c r="N1142" s="78"/>
      <c r="O1142" s="78"/>
      <c r="P1142" s="78"/>
      <c r="Q1142" s="78"/>
    </row>
    <row r="1143" spans="1:17" s="87" customFormat="1" ht="89.25">
      <c r="A1143" s="188"/>
      <c r="B1143" s="80" t="s">
        <v>6291</v>
      </c>
      <c r="C1143" s="81" t="s">
        <v>8281</v>
      </c>
      <c r="D1143" s="82" t="s">
        <v>84</v>
      </c>
      <c r="E1143" s="82" t="s">
        <v>150</v>
      </c>
      <c r="F1143" s="83"/>
      <c r="G1143" s="84"/>
      <c r="H1143" s="85">
        <f>SUM(H1144:H1149)</f>
        <v>59.603774028286608</v>
      </c>
      <c r="J1143" s="201"/>
      <c r="K1143" s="78"/>
      <c r="L1143" s="78"/>
      <c r="M1143" s="78"/>
      <c r="N1143" s="78"/>
      <c r="O1143" s="78"/>
      <c r="P1143" s="78"/>
      <c r="Q1143" s="78"/>
    </row>
    <row r="1144" spans="1:17" s="87" customFormat="1" ht="51">
      <c r="A1144" s="232" t="s">
        <v>12</v>
      </c>
      <c r="B1144" s="464" t="s">
        <v>8282</v>
      </c>
      <c r="C1144" s="451" t="str">
        <f>IF(A1144="SERVIÇO",VLOOKUP(B1144,SERVIÇOS!$A$6:$D$7645,2,0),IF(A1144="INSUMO",VLOOKUP(B1144,INSUMOS!$A$6:$D$6961,2,0),IF(A1144="COTAÇÃO",VLOOKUP(B1144,'036-20-Cotação'!$A$9:$G$529,2,0))))</f>
        <v>RESINA POLIURETANO PARTE "A", COR BRANCO, ALTO DESEMPENHO, ANTI-GRAFITE. PRODUTO DE REFERÊNCIA MC-COLOR FLAIR VISION – MC BAUCHEMIE OU EQUIVALENTE.</v>
      </c>
      <c r="D1144" s="452" t="str">
        <f>IF(A1144="SERVIÇO",VLOOKUP(B1144,SERVIÇOS!$A$6:$E$7645,5,0),IF(A1144="INSUMO",VLOOKUP(B1144,INSUMOS!$A$6:$E$6961,5,0),IF(A1144="COTAÇÃO",VLOOKUP(B1144,'036-20-Cotação'!$A$9:$H$529,8,0))))</f>
        <v>MAT.</v>
      </c>
      <c r="E1144" s="452" t="str">
        <f>IF(A1144="SERVIÇO",VLOOKUP(B1144,SERVIÇOS!$A$6:$D$7645,3,0),IF(A1144="INSUMO",VLOOKUP(B1144,INSUMOS!$A$6:$D$6961,3,0),IF(A1144="COTAÇÃO",VLOOKUP(B1144,'036-20-Cotação'!$A$9:$G$529,4,0))))</f>
        <v>KG</v>
      </c>
      <c r="F1144" s="462">
        <v>0.25925925925925924</v>
      </c>
      <c r="G1144" s="453">
        <f>IF(A1144="SERVIÇO",VLOOKUP(B1144,SERVIÇOS!$A$6:$D$7645,4,0),IF(A1144="INSUMO",VLOOKUP(B1144,INSUMOS!$A$6:$D$6961,4,0),IF(A1144="COTAÇÃO",VLOOKUP(B1144,'036-20-Cotação'!$A$9:$G$529,3,0))))</f>
        <v>117.51868885497734</v>
      </c>
      <c r="H1144" s="463">
        <f t="shared" ref="H1144:H1148" si="179">G1144*F1144</f>
        <v>30.467808221660789</v>
      </c>
      <c r="J1144" s="201"/>
    </row>
    <row r="1145" spans="1:17" s="87" customFormat="1" ht="63.75">
      <c r="A1145" s="232" t="s">
        <v>12</v>
      </c>
      <c r="B1145" s="464" t="s">
        <v>8283</v>
      </c>
      <c r="C1145" s="451" t="str">
        <f>IF(A1145="SERVIÇO",VLOOKUP(B1145,SERVIÇOS!$A$6:$D$7645,2,0),IF(A1145="INSUMO",VLOOKUP(B1145,INSUMOS!$A$6:$D$6961,2,0),IF(A1145="COTAÇÃO",VLOOKUP(B1145,'036-20-Cotação'!$A$9:$G$529,2,0))))</f>
        <v>RESINA POLIURETANO PARTE "B", COR BRANCO, ALTO DESEMPENHO, ANTI-GRAFITE. PRODUTO DE REFERÊNCIA MC-COLOR FLAIR VISION-PARTE B – MC BAUCHEMIE OU EQUIVALENTE.</v>
      </c>
      <c r="D1145" s="452" t="str">
        <f>IF(A1145="SERVIÇO",VLOOKUP(B1145,SERVIÇOS!$A$6:$E$7645,5,0),IF(A1145="INSUMO",VLOOKUP(B1145,INSUMOS!$A$6:$E$6961,5,0),IF(A1145="COTAÇÃO",VLOOKUP(B1145,'036-20-Cotação'!$A$9:$H$529,8,0))))</f>
        <v>MAT.</v>
      </c>
      <c r="E1145" s="452" t="str">
        <f>IF(A1145="SERVIÇO",VLOOKUP(B1145,SERVIÇOS!$A$6:$D$7645,3,0),IF(A1145="INSUMO",VLOOKUP(B1145,INSUMOS!$A$6:$D$6961,3,0),IF(A1145="COTAÇÃO",VLOOKUP(B1145,'036-20-Cotação'!$A$9:$G$529,4,0))))</f>
        <v>KG</v>
      </c>
      <c r="F1145" s="462">
        <v>9.0740740740740705E-2</v>
      </c>
      <c r="G1145" s="453">
        <f>IF(A1145="SERVIÇO",VLOOKUP(B1145,SERVIÇOS!$A$6:$D$7645,4,0),IF(A1145="INSUMO",VLOOKUP(B1145,INSUMOS!$A$6:$D$6961,4,0),IF(A1145="COTAÇÃO",VLOOKUP(B1145,'036-20-Cotação'!$A$9:$G$529,3,0))))</f>
        <v>307.19170946893774</v>
      </c>
      <c r="H1145" s="463">
        <f t="shared" ref="H1145" si="180">G1145*F1145</f>
        <v>27.874803266625822</v>
      </c>
      <c r="J1145" s="201"/>
    </row>
    <row r="1146" spans="1:17" s="87" customFormat="1" ht="12.75">
      <c r="A1146" s="232" t="s">
        <v>4542</v>
      </c>
      <c r="B1146" s="464" t="s">
        <v>6602</v>
      </c>
      <c r="C1146" s="451" t="str">
        <f>IF(A1146="SERVIÇO",VLOOKUP(B1146,SERVIÇOS!$A$6:$D$7645,2,0),IF(A1146="INSUMO",VLOOKUP(B1146,INSUMOS!$A$6:$D$6961,2,0),IF(A1146="COTAÇÃO",VLOOKUP(B1146,'036-20-Cotação'!$A$9:$G$529,2,0))))</f>
        <v>SERVENTE</v>
      </c>
      <c r="D1146" s="452" t="str">
        <f>IF(A1146="SERVIÇO",VLOOKUP(B1146,SERVIÇOS!$A$6:$E$7645,5,0),IF(A1146="INSUMO",VLOOKUP(B1146,INSUMOS!$A$6:$E$6961,5,0),IF(A1146="COTAÇÃO",VLOOKUP(B1146,'036-20-Cotação'!$A$9:$H$529,8,0))))</f>
        <v>M.O</v>
      </c>
      <c r="E1146" s="452" t="str">
        <f>IF(A1146="SERVIÇO",VLOOKUP(B1146,SERVIÇOS!$A$6:$D$7645,3,0),IF(A1146="INSUMO",VLOOKUP(B1146,INSUMOS!$A$6:$D$6961,3,0),IF(A1146="COTAÇÃO",VLOOKUP(B1146,'036-20-Cotação'!$A$9:$G$529,4,0))))</f>
        <v>H</v>
      </c>
      <c r="F1146" s="462">
        <v>1.7000000000000001E-2</v>
      </c>
      <c r="G1146" s="453">
        <f>IF(A1146="SERVIÇO",VLOOKUP(B1146,SERVIÇOS!$A$6:$D$7645,4,0),IF(A1146="INSUMO",VLOOKUP(B1146,INSUMOS!$A$6:$D$6961,4,0),IF(A1146="COTAÇÃO",VLOOKUP(B1146,'036-20-Cotação'!$A$9:$G$529,3,0))))</f>
        <v>15.637499999999999</v>
      </c>
      <c r="H1146" s="463">
        <f t="shared" si="179"/>
        <v>0.2658375</v>
      </c>
      <c r="J1146" s="201"/>
    </row>
    <row r="1147" spans="1:17" s="87" customFormat="1" ht="38.25">
      <c r="A1147" s="232" t="s">
        <v>4542</v>
      </c>
      <c r="B1147" s="464" t="s">
        <v>8276</v>
      </c>
      <c r="C1147" s="451" t="str">
        <f>'036-20-CCA''s'!$C$105</f>
        <v>PULVERIZADOR DE TINTA ELÉTRICO/MÁQUINA DE PINTURA AIRLESS, VAZÃO 2 L/MIN - CHP DIURNO. AF_08/2016</v>
      </c>
      <c r="D1147" s="452" t="str">
        <f>'036-20-CCA''s'!$D$105</f>
        <v xml:space="preserve">SER.CG </v>
      </c>
      <c r="E1147" s="452" t="str">
        <f>'036-20-CCA''s'!$E$105</f>
        <v>CHP</v>
      </c>
      <c r="F1147" s="462">
        <v>6.3E-3</v>
      </c>
      <c r="G1147" s="453">
        <f>'036-20-CCA''s'!$H$105</f>
        <v>22.485199999999999</v>
      </c>
      <c r="H1147" s="463">
        <f t="shared" si="179"/>
        <v>0.14165675999999999</v>
      </c>
      <c r="J1147" s="201"/>
    </row>
    <row r="1148" spans="1:17" s="87" customFormat="1" ht="38.25">
      <c r="A1148" s="232" t="s">
        <v>4542</v>
      </c>
      <c r="B1148" s="464" t="s">
        <v>8278</v>
      </c>
      <c r="C1148" s="451" t="str">
        <f>'036-20-CCA''s'!$C$113</f>
        <v>PULVERIZADOR DE TINTA ELÉTRICO/MÁQUINA DE PINTURA AIRLESS, VAZÃO 2 L/MIN - CHP DIURNO. AF_08/2016</v>
      </c>
      <c r="D1148" s="452" t="str">
        <f>'036-20-CCA''s'!$D$113</f>
        <v xml:space="preserve">SER.CG </v>
      </c>
      <c r="E1148" s="452" t="str">
        <f>'036-20-CCA''s'!$E$113</f>
        <v>CHI</v>
      </c>
      <c r="F1148" s="462">
        <v>3.8899999999999997E-2</v>
      </c>
      <c r="G1148" s="453">
        <f>'036-20-CCA''s'!$H$113</f>
        <v>21.9452</v>
      </c>
      <c r="H1148" s="463">
        <f t="shared" si="179"/>
        <v>0.85366827999999995</v>
      </c>
      <c r="J1148" s="201"/>
    </row>
    <row r="1149" spans="1:17" s="87" customFormat="1" ht="12.75">
      <c r="A1149" s="188"/>
      <c r="B1149" s="348" t="s">
        <v>123</v>
      </c>
      <c r="C1149" s="695" t="s">
        <v>8287</v>
      </c>
      <c r="D1149" s="696"/>
      <c r="E1149" s="696"/>
      <c r="F1149" s="696"/>
      <c r="G1149" s="696"/>
      <c r="H1149" s="697"/>
      <c r="J1149" s="201"/>
      <c r="K1149" s="78"/>
      <c r="L1149" s="78"/>
      <c r="M1149" s="78"/>
      <c r="N1149" s="78"/>
      <c r="O1149" s="78"/>
      <c r="P1149" s="78"/>
      <c r="Q1149" s="78"/>
    </row>
    <row r="1150" spans="1:17" s="87" customFormat="1" ht="12.75">
      <c r="A1150" s="188"/>
      <c r="B1150" s="346"/>
      <c r="C1150" s="369"/>
      <c r="D1150" s="369"/>
      <c r="E1150" s="369"/>
      <c r="F1150" s="369"/>
      <c r="G1150" s="369"/>
      <c r="H1150" s="370"/>
      <c r="J1150" s="201"/>
      <c r="K1150" s="78"/>
      <c r="L1150" s="78"/>
      <c r="M1150" s="78"/>
      <c r="N1150" s="78"/>
      <c r="O1150" s="78"/>
      <c r="P1150" s="78"/>
      <c r="Q1150" s="78"/>
    </row>
    <row r="1151" spans="1:17" s="87" customFormat="1" ht="76.5">
      <c r="A1151" s="188"/>
      <c r="B1151" s="80" t="s">
        <v>6292</v>
      </c>
      <c r="C1151" s="81" t="s">
        <v>8252</v>
      </c>
      <c r="D1151" s="82" t="s">
        <v>84</v>
      </c>
      <c r="E1151" s="82" t="s">
        <v>150</v>
      </c>
      <c r="F1151" s="83"/>
      <c r="G1151" s="84"/>
      <c r="H1151" s="85">
        <f>SUM(H1152:H1158)</f>
        <v>9.1243509874592856</v>
      </c>
      <c r="J1151" s="201" t="s">
        <v>13400</v>
      </c>
      <c r="K1151" s="78"/>
      <c r="L1151" s="78"/>
      <c r="M1151" s="78"/>
      <c r="N1151" s="78"/>
      <c r="O1151" s="78"/>
      <c r="P1151" s="78"/>
      <c r="Q1151" s="78"/>
    </row>
    <row r="1152" spans="1:17" s="87" customFormat="1" ht="38.25">
      <c r="A1152" s="232" t="s">
        <v>4542</v>
      </c>
      <c r="B1152" s="464" t="s">
        <v>9180</v>
      </c>
      <c r="C1152" s="451" t="str">
        <f>IF(A1152="SERVIÇO",VLOOKUP(B1152,SERVIÇOS!$A$6:$D$7645,2,0),IF(A1152="INSUMO",VLOOKUP(B1152,INSUMOS!$A$6:$D$6961,2,0),IF(A1152="COTAÇÃO",VLOOKUP(B1152,'036-20-Cotação'!$A$9:$G$529,2,0))))</f>
        <v>EQUIPAMENTO DE PINTURA A AR COMPRIMIDO DE PISTOLA COM CANECA COM CAPACIDADE DE 1.000 ML E COMPRESSOR DE 1,5 KW</v>
      </c>
      <c r="D1152" s="452" t="str">
        <f>IF(A1152="SERVIÇO",VLOOKUP(B1152,SERVIÇOS!$A$6:$E$7645,5,0),IF(A1152="INSUMO",VLOOKUP(B1152,INSUMOS!$A$6:$E$6961,5,0),IF(A1152="COTAÇÃO",VLOOKUP(B1152,'036-20-Cotação'!$A$9:$H$529,8,0))))</f>
        <v>EQUIP.</v>
      </c>
      <c r="E1152" s="452" t="str">
        <f>IF(A1152="SERVIÇO",VLOOKUP(B1152,SERVIÇOS!$A$6:$D$7645,3,0),IF(A1152="INSUMO",VLOOKUP(B1152,INSUMOS!$A$6:$D$6961,3,0),IF(A1152="COTAÇÃO",VLOOKUP(B1152,'036-20-Cotação'!$A$9:$G$529,4,0))))</f>
        <v>CHP</v>
      </c>
      <c r="F1152" s="462">
        <f>1/45.97</f>
        <v>2.1753317380900587E-2</v>
      </c>
      <c r="G1152" s="453">
        <f>IF(A1152="SERVIÇO",VLOOKUP(B1152,SERVIÇOS!$A$6:$D$7645,4,0),IF(A1152="INSUMO",VLOOKUP(B1152,INSUMOS!$A$6:$D$6961,4,0),IF(A1152="COTAÇÃO",VLOOKUP(B1152,'036-20-Cotação'!$A$9:$G$529,3,0))))</f>
        <v>0.39410000000000001</v>
      </c>
      <c r="H1152" s="463">
        <f t="shared" ref="H1152:H1155" si="181">G1152*F1152</f>
        <v>8.5729823798129205E-3</v>
      </c>
      <c r="J1152" s="201"/>
    </row>
    <row r="1153" spans="1:17" s="87" customFormat="1" ht="12.75">
      <c r="A1153" s="232" t="s">
        <v>4542</v>
      </c>
      <c r="B1153" s="464" t="s">
        <v>9006</v>
      </c>
      <c r="C1153" s="451" t="str">
        <f>IF(A1153="SERVIÇO",VLOOKUP(B1153,SERVIÇOS!$A$6:$D$7645,2,0),IF(A1153="INSUMO",VLOOKUP(B1153,INSUMOS!$A$6:$D$6961,2,0),IF(A1153="COTAÇÃO",VLOOKUP(B1153,'036-20-Cotação'!$A$9:$G$529,2,0))))</f>
        <v>GRUPO GERADOR - 2,5/3 KVA</v>
      </c>
      <c r="D1153" s="452" t="str">
        <f>IF(A1153="SERVIÇO",VLOOKUP(B1153,SERVIÇOS!$A$6:$E$7645,5,0),IF(A1153="INSUMO",VLOOKUP(B1153,INSUMOS!$A$6:$E$6961,5,0),IF(A1153="COTAÇÃO",VLOOKUP(B1153,'036-20-Cotação'!$A$9:$H$529,8,0))))</f>
        <v>EQUIP.</v>
      </c>
      <c r="E1153" s="452" t="str">
        <f>IF(A1153="SERVIÇO",VLOOKUP(B1153,SERVIÇOS!$A$6:$D$7645,3,0),IF(A1153="INSUMO",VLOOKUP(B1153,INSUMOS!$A$6:$D$6961,3,0),IF(A1153="COTAÇÃO",VLOOKUP(B1153,'036-20-Cotação'!$A$9:$G$529,4,0))))</f>
        <v>CHP</v>
      </c>
      <c r="F1153" s="462">
        <f t="shared" ref="F1153:F1155" si="182">1/45.97</f>
        <v>2.1753317380900587E-2</v>
      </c>
      <c r="G1153" s="453">
        <f>IF(A1153="SERVIÇO",VLOOKUP(B1153,SERVIÇOS!$A$6:$D$7645,4,0),IF(A1153="INSUMO",VLOOKUP(B1153,INSUMOS!$A$6:$D$6961,4,0),IF(A1153="COTAÇÃO",VLOOKUP(B1153,'036-20-Cotação'!$A$9:$G$529,3,0))))</f>
        <v>2.9165999999999999</v>
      </c>
      <c r="H1153" s="463">
        <f t="shared" si="181"/>
        <v>6.3445725473134651E-2</v>
      </c>
      <c r="J1153" s="201"/>
    </row>
    <row r="1154" spans="1:17" s="87" customFormat="1" ht="12.75">
      <c r="A1154" s="232" t="s">
        <v>4542</v>
      </c>
      <c r="B1154" s="464" t="s">
        <v>6825</v>
      </c>
      <c r="C1154" s="451" t="str">
        <f>IF(A1154="SERVIÇO",VLOOKUP(B1154,SERVIÇOS!$A$6:$D$7645,2,0),IF(A1154="INSUMO",VLOOKUP(B1154,INSUMOS!$A$6:$D$6961,2,0),IF(A1154="COTAÇÃO",VLOOKUP(B1154,'036-20-Cotação'!$A$9:$G$529,2,0))))</f>
        <v>AJUDANTE</v>
      </c>
      <c r="D1154" s="452" t="str">
        <f>IF(A1154="SERVIÇO",VLOOKUP(B1154,SERVIÇOS!$A$6:$E$7645,5,0),IF(A1154="INSUMO",VLOOKUP(B1154,INSUMOS!$A$6:$E$6961,5,0),IF(A1154="COTAÇÃO",VLOOKUP(B1154,'036-20-Cotação'!$A$9:$H$529,8,0))))</f>
        <v>M.O</v>
      </c>
      <c r="E1154" s="452" t="str">
        <f>IF(A1154="SERVIÇO",VLOOKUP(B1154,SERVIÇOS!$A$6:$D$7645,3,0),IF(A1154="INSUMO",VLOOKUP(B1154,INSUMOS!$A$6:$D$6961,3,0),IF(A1154="COTAÇÃO",VLOOKUP(B1154,'036-20-Cotação'!$A$9:$G$529,4,0))))</f>
        <v>H</v>
      </c>
      <c r="F1154" s="462">
        <f t="shared" si="182"/>
        <v>2.1753317380900587E-2</v>
      </c>
      <c r="G1154" s="453">
        <f>IF(A1154="SERVIÇO",VLOOKUP(B1154,SERVIÇOS!$A$6:$D$7645,4,0),IF(A1154="INSUMO",VLOOKUP(B1154,INSUMOS!$A$6:$D$6961,4,0),IF(A1154="COTAÇÃO",VLOOKUP(B1154,'036-20-Cotação'!$A$9:$G$529,3,0))))</f>
        <v>17.9801</v>
      </c>
      <c r="H1154" s="463">
        <f t="shared" si="181"/>
        <v>0.39112682184033065</v>
      </c>
      <c r="J1154" s="201"/>
    </row>
    <row r="1155" spans="1:17" s="87" customFormat="1" ht="12.75">
      <c r="A1155" s="232" t="s">
        <v>4542</v>
      </c>
      <c r="B1155" s="464" t="s">
        <v>7527</v>
      </c>
      <c r="C1155" s="451" t="str">
        <f>IF(A1155="SERVIÇO",VLOOKUP(B1155,SERVIÇOS!$A$6:$D$7645,2,0),IF(A1155="INSUMO",VLOOKUP(B1155,INSUMOS!$A$6:$D$6961,2,0),IF(A1155="COTAÇÃO",VLOOKUP(B1155,'036-20-Cotação'!$A$9:$G$529,2,0))))</f>
        <v>PINTOR</v>
      </c>
      <c r="D1155" s="452" t="str">
        <f>IF(A1155="SERVIÇO",VLOOKUP(B1155,SERVIÇOS!$A$6:$E$7645,5,0),IF(A1155="INSUMO",VLOOKUP(B1155,INSUMOS!$A$6:$E$6961,5,0),IF(A1155="COTAÇÃO",VLOOKUP(B1155,'036-20-Cotação'!$A$9:$H$529,8,0))))</f>
        <v>M.O</v>
      </c>
      <c r="E1155" s="452" t="str">
        <f>IF(A1155="SERVIÇO",VLOOKUP(B1155,SERVIÇOS!$A$6:$D$7645,3,0),IF(A1155="INSUMO",VLOOKUP(B1155,INSUMOS!$A$6:$D$6961,3,0),IF(A1155="COTAÇÃO",VLOOKUP(B1155,'036-20-Cotação'!$A$9:$G$529,4,0))))</f>
        <v>H</v>
      </c>
      <c r="F1155" s="462">
        <f t="shared" si="182"/>
        <v>2.1753317380900587E-2</v>
      </c>
      <c r="G1155" s="453">
        <f>IF(A1155="SERVIÇO",VLOOKUP(B1155,SERVIÇOS!$A$6:$D$7645,4,0),IF(A1155="INSUMO",VLOOKUP(B1155,INSUMOS!$A$6:$D$6961,4,0),IF(A1155="COTAÇÃO",VLOOKUP(B1155,'036-20-Cotação'!$A$9:$G$529,3,0))))</f>
        <v>21.705200000000001</v>
      </c>
      <c r="H1155" s="463">
        <f t="shared" si="181"/>
        <v>0.47216010441592343</v>
      </c>
      <c r="J1155" s="201"/>
    </row>
    <row r="1156" spans="1:17" s="87" customFormat="1" ht="25.5">
      <c r="A1156" s="232" t="s">
        <v>12</v>
      </c>
      <c r="B1156" s="464" t="s">
        <v>7536</v>
      </c>
      <c r="C1156" s="451" t="str">
        <f>IF(A1156="SERVIÇO",VLOOKUP(B1156,SERVIÇOS!$A$6:$D$7645,2,0),IF(A1156="INSUMO",VLOOKUP(B1156,INSUMOS!$A$6:$D$6961,2,0),IF(A1156="COTAÇÃO",VLOOKUP(B1156,'036-20-Cotação'!$A$9:$G$529,2,0))))</f>
        <v>DILUENTE EPOXI 3005 OU EQUIVALENTE.</v>
      </c>
      <c r="D1156" s="452" t="str">
        <f>IF(A1156="SERVIÇO",VLOOKUP(B1156,SERVIÇOS!$A$6:$E$7645,5,0),IF(A1156="INSUMO",VLOOKUP(B1156,INSUMOS!$A$6:$E$6961,5,0),IF(A1156="COTAÇÃO",VLOOKUP(B1156,'036-20-Cotação'!$A$9:$H$529,8,0))))</f>
        <v>MAT.</v>
      </c>
      <c r="E1156" s="452" t="str">
        <f>IF(A1156="SERVIÇO",VLOOKUP(B1156,SERVIÇOS!$A$6:$D$7645,3,0),IF(A1156="INSUMO",VLOOKUP(B1156,INSUMOS!$A$6:$D$6961,3,0),IF(A1156="COTAÇÃO",VLOOKUP(B1156,'036-20-Cotação'!$A$9:$G$529,4,0))))</f>
        <v>L</v>
      </c>
      <c r="F1156" s="462">
        <v>2.1261516654854717E-2</v>
      </c>
      <c r="G1156" s="453">
        <f>IF(A1156="SERVIÇO",VLOOKUP(B1156,SERVIÇOS!$A$6:$D$7645,4,0),IF(A1156="INSUMO",VLOOKUP(B1156,INSUMOS!$A$6:$D$6961,4,0),IF(A1156="COTAÇÃO",VLOOKUP(B1156,'036-20-Cotação'!$A$9:$G$529,3,0))))</f>
        <v>10.818387007293635</v>
      </c>
      <c r="H1156" s="463">
        <f>G1156*F1156</f>
        <v>0.23001531553423751</v>
      </c>
      <c r="J1156" s="201"/>
    </row>
    <row r="1157" spans="1:17" s="87" customFormat="1" ht="12.75">
      <c r="A1157" s="232" t="s">
        <v>4544</v>
      </c>
      <c r="B1157" s="464" t="s">
        <v>7528</v>
      </c>
      <c r="C1157" s="451" t="str">
        <f>IF(A1157="SERVIÇO",VLOOKUP(B1157,SERVIÇOS!$A$6:$D$7645,2,0),IF(A1157="INSUMO",VLOOKUP(B1157,INSUMOS!$A$6:$D$6961,2,0),IF(A1157="COTAÇÃO",VLOOKUP(B1157,'036-20-Cotação'!$A$9:$G$529,2,0))))</f>
        <v>LIXA PARA FERRO</v>
      </c>
      <c r="D1157" s="452" t="str">
        <f>IF(A1157="SERVIÇO",VLOOKUP(B1157,SERVIÇOS!$A$6:$E$7645,5,0),IF(A1157="INSUMO",VLOOKUP(B1157,INSUMOS!$A$6:$E$6961,5,0),IF(A1157="COTAÇÃO",VLOOKUP(B1157,'036-20-Cotação'!$A$9:$H$529,8,0))))</f>
        <v>MAT.</v>
      </c>
      <c r="E1157" s="452" t="str">
        <f>IF(A1157="SERVIÇO",VLOOKUP(B1157,SERVIÇOS!$A$6:$D$7645,3,0),IF(A1157="INSUMO",VLOOKUP(B1157,INSUMOS!$A$6:$D$6961,3,0),IF(A1157="COTAÇÃO",VLOOKUP(B1157,'036-20-Cotação'!$A$9:$G$529,4,0))))</f>
        <v>UN</v>
      </c>
      <c r="F1157" s="462">
        <v>0.3</v>
      </c>
      <c r="G1157" s="453">
        <f>IF(A1157="SERVIÇO",VLOOKUP(B1157,SERVIÇOS!$A$6:$D$7645,4,0),IF(A1157="INSUMO",VLOOKUP(B1157,INSUMOS!$A$6:$D$6961,4,0),IF(A1157="COTAÇÃO",VLOOKUP(B1157,'036-20-Cotação'!$A$9:$G$529,3,0))))</f>
        <v>3.3073999999999999</v>
      </c>
      <c r="H1157" s="463">
        <f t="shared" ref="H1157:H1158" si="183">G1157*F1157</f>
        <v>0.99221999999999988</v>
      </c>
      <c r="J1157" s="201"/>
    </row>
    <row r="1158" spans="1:17" s="87" customFormat="1" ht="38.25">
      <c r="A1158" s="232" t="s">
        <v>12</v>
      </c>
      <c r="B1158" s="464" t="s">
        <v>7535</v>
      </c>
      <c r="C1158" s="451" t="str">
        <f>IF(A1158="SERVIÇO",VLOOKUP(B1158,SERVIÇOS!$A$6:$D$7645,2,0),IF(A1158="INSUMO",VLOOKUP(B1158,INSUMOS!$A$6:$D$6961,2,0),IF(A1158="COTAÇÃO",VLOOKUP(B1158,'036-20-Cotação'!$A$9:$G$529,2,0))))</f>
        <v>PRIMER EPÓXI POLIAMIDA BICOMPONENTE, REFERÊNCIA DO PRODUTO WEGPOXI WET SURFACE 89 PW OU EQUIVALENTE.</v>
      </c>
      <c r="D1158" s="452" t="str">
        <f>IF(A1158="SERVIÇO",VLOOKUP(B1158,SERVIÇOS!$A$6:$E$7645,5,0),IF(A1158="INSUMO",VLOOKUP(B1158,INSUMOS!$A$6:$E$6961,5,0),IF(A1158="COTAÇÃO",VLOOKUP(B1158,'036-20-Cotação'!$A$9:$H$529,8,0))))</f>
        <v>MAT.</v>
      </c>
      <c r="E1158" s="452" t="str">
        <f>IF(A1158="SERVIÇO",VLOOKUP(B1158,SERVIÇOS!$A$6:$D$7645,3,0),IF(A1158="INSUMO",VLOOKUP(B1158,INSUMOS!$A$6:$D$6961,3,0),IF(A1158="COTAÇÃO",VLOOKUP(B1158,'036-20-Cotação'!$A$9:$G$529,4,0))))</f>
        <v>L</v>
      </c>
      <c r="F1158" s="462">
        <v>0.21261516654854715</v>
      </c>
      <c r="G1158" s="453">
        <f>IF(A1158="SERVIÇO",VLOOKUP(B1158,SERVIÇOS!$A$6:$D$7645,4,0),IF(A1158="INSUMO",VLOOKUP(B1158,INSUMOS!$A$6:$D$6961,4,0),IF(A1158="COTAÇÃO",VLOOKUP(B1158,'036-20-Cotação'!$A$9:$G$529,3,0))))</f>
        <v>32.76722987786053</v>
      </c>
      <c r="H1158" s="463">
        <f t="shared" si="183"/>
        <v>6.9668100378158471</v>
      </c>
      <c r="J1158" s="201"/>
    </row>
    <row r="1159" spans="1:17" s="87" customFormat="1" ht="12.75">
      <c r="A1159" s="188"/>
      <c r="B1159" s="348" t="s">
        <v>123</v>
      </c>
      <c r="C1159" s="695" t="s">
        <v>8269</v>
      </c>
      <c r="D1159" s="696"/>
      <c r="E1159" s="696"/>
      <c r="F1159" s="696"/>
      <c r="G1159" s="696"/>
      <c r="H1159" s="697"/>
      <c r="J1159" s="201"/>
      <c r="K1159" s="78"/>
      <c r="L1159" s="78"/>
      <c r="M1159" s="78"/>
      <c r="N1159" s="78"/>
      <c r="O1159" s="78"/>
      <c r="P1159" s="78"/>
      <c r="Q1159" s="78"/>
    </row>
    <row r="1160" spans="1:17" s="87" customFormat="1" ht="12.75">
      <c r="A1160" s="188"/>
      <c r="B1160" s="346"/>
      <c r="C1160" s="395"/>
      <c r="D1160" s="395"/>
      <c r="E1160" s="395"/>
      <c r="F1160" s="395"/>
      <c r="G1160" s="395"/>
      <c r="H1160" s="396"/>
      <c r="J1160" s="201"/>
      <c r="K1160" s="78"/>
      <c r="L1160" s="78"/>
      <c r="M1160" s="78"/>
      <c r="N1160" s="78"/>
      <c r="O1160" s="78"/>
      <c r="P1160" s="78"/>
      <c r="Q1160" s="78"/>
    </row>
    <row r="1161" spans="1:17" s="87" customFormat="1" ht="63.75">
      <c r="A1161" s="188"/>
      <c r="B1161" s="80" t="s">
        <v>6293</v>
      </c>
      <c r="C1161" s="81" t="s">
        <v>8253</v>
      </c>
      <c r="D1161" s="82" t="s">
        <v>84</v>
      </c>
      <c r="E1161" s="82" t="s">
        <v>150</v>
      </c>
      <c r="F1161" s="83"/>
      <c r="G1161" s="84"/>
      <c r="H1161" s="85">
        <f>SUM(H1162:H1166)</f>
        <v>36.158424476233954</v>
      </c>
      <c r="J1161" s="201" t="s">
        <v>13400</v>
      </c>
      <c r="K1161" s="78"/>
      <c r="L1161" s="78"/>
      <c r="M1161" s="78"/>
      <c r="N1161" s="78"/>
      <c r="O1161" s="78"/>
      <c r="P1161" s="78"/>
      <c r="Q1161" s="78"/>
    </row>
    <row r="1162" spans="1:17" s="87" customFormat="1" ht="12.75">
      <c r="A1162" s="232" t="s">
        <v>4544</v>
      </c>
      <c r="B1162" s="464" t="s">
        <v>7528</v>
      </c>
      <c r="C1162" s="451" t="str">
        <f>IF(A1162="SERVIÇO",VLOOKUP(B1162,SERVIÇOS!$A$6:$D$7645,2,0),IF(A1162="INSUMO",VLOOKUP(B1162,INSUMOS!$A$6:$D$6961,2,0),IF(A1162="COTAÇÃO",VLOOKUP(B1162,'036-20-Cotação'!$A$9:$G$529,2,0))))</f>
        <v>LIXA PARA FERRO</v>
      </c>
      <c r="D1162" s="452" t="str">
        <f>IF(A1162="SERVIÇO",VLOOKUP(B1162,SERVIÇOS!$A$6:$E$7645,5,0),IF(A1162="INSUMO",VLOOKUP(B1162,INSUMOS!$A$6:$E$6961,5,0),IF(A1162="COTAÇÃO",VLOOKUP(B1162,'036-20-Cotação'!$A$9:$H$529,8,0))))</f>
        <v>MAT.</v>
      </c>
      <c r="E1162" s="452" t="str">
        <f>IF(A1162="SERVIÇO",VLOOKUP(B1162,SERVIÇOS!$A$6:$D$7645,3,0),IF(A1162="INSUMO",VLOOKUP(B1162,INSUMOS!$A$6:$D$6961,3,0),IF(A1162="COTAÇÃO",VLOOKUP(B1162,'036-20-Cotação'!$A$9:$G$529,4,0))))</f>
        <v>UN</v>
      </c>
      <c r="F1162" s="462" t="s">
        <v>8302</v>
      </c>
      <c r="G1162" s="453">
        <f>IF(A1162="SERVIÇO",VLOOKUP(B1162,SERVIÇOS!$A$6:$D$7645,4,0),IF(A1162="INSUMO",VLOOKUP(B1162,INSUMOS!$A$6:$D$6961,4,0),IF(A1162="COTAÇÃO",VLOOKUP(B1162,'036-20-Cotação'!$A$9:$G$529,3,0))))</f>
        <v>3.3073999999999999</v>
      </c>
      <c r="H1162" s="463">
        <f t="shared" ref="H1162:H1164" si="184">G1162*F1162</f>
        <v>0.79377599999999993</v>
      </c>
      <c r="J1162" s="201"/>
    </row>
    <row r="1163" spans="1:17" s="87" customFormat="1" ht="25.5">
      <c r="A1163" s="232" t="s">
        <v>12</v>
      </c>
      <c r="B1163" s="464" t="s">
        <v>7536</v>
      </c>
      <c r="C1163" s="451" t="str">
        <f>IF(A1163="SERVIÇO",VLOOKUP(B1163,SERVIÇOS!$A$6:$D$7645,2,0),IF(A1163="INSUMO",VLOOKUP(B1163,INSUMOS!$A$6:$D$6961,2,0),IF(A1163="COTAÇÃO",VLOOKUP(B1163,'036-20-Cotação'!$A$9:$G$529,2,0))))</f>
        <v>DILUENTE EPOXI 3005 OU EQUIVALENTE.</v>
      </c>
      <c r="D1163" s="452" t="str">
        <f>IF(A1163="SERVIÇO",VLOOKUP(B1163,SERVIÇOS!$A$6:$E$7645,5,0),IF(A1163="INSUMO",VLOOKUP(B1163,INSUMOS!$A$6:$E$6961,5,0),IF(A1163="COTAÇÃO",VLOOKUP(B1163,'036-20-Cotação'!$A$9:$H$529,8,0))))</f>
        <v>MAT.</v>
      </c>
      <c r="E1163" s="452" t="str">
        <f>IF(A1163="SERVIÇO",VLOOKUP(B1163,SERVIÇOS!$A$6:$D$7645,3,0),IF(A1163="INSUMO",VLOOKUP(B1163,INSUMOS!$A$6:$D$6961,3,0),IF(A1163="COTAÇÃO",VLOOKUP(B1163,'036-20-Cotação'!$A$9:$G$529,4,0))))</f>
        <v>L</v>
      </c>
      <c r="F1163" s="462">
        <v>7.5987841945288764E-2</v>
      </c>
      <c r="G1163" s="453">
        <f>IF(A1163="SERVIÇO",VLOOKUP(B1163,SERVIÇOS!$A$6:$D$7645,4,0),IF(A1163="INSUMO",VLOOKUP(B1163,INSUMOS!$A$6:$D$6961,4,0),IF(A1163="COTAÇÃO",VLOOKUP(B1163,'036-20-Cotação'!$A$9:$G$529,3,0))))</f>
        <v>10.818387007293635</v>
      </c>
      <c r="H1163" s="463">
        <f>G1163*F1163</f>
        <v>0.8220658820131943</v>
      </c>
      <c r="J1163" s="201"/>
    </row>
    <row r="1164" spans="1:17" s="87" customFormat="1" ht="38.25">
      <c r="A1164" s="232" t="s">
        <v>12</v>
      </c>
      <c r="B1164" s="464" t="s">
        <v>7537</v>
      </c>
      <c r="C1164" s="451" t="str">
        <f>IF(A1164="SERVIÇO",VLOOKUP(B1164,SERVIÇOS!$A$6:$D$7645,2,0),IF(A1164="INSUMO",VLOOKUP(B1164,INSUMOS!$A$6:$D$6961,2,0),IF(A1164="COTAÇÃO",VLOOKUP(B1164,'036-20-Cotação'!$A$9:$G$529,2,0))))</f>
        <v>TINTA EPÓXI POLIAMIDA BICOMPONENTE, REFERÊNCIA DO PRODUTO WEGPOXI ADA 314 OU EQUIVALENTE.</v>
      </c>
      <c r="D1164" s="452" t="str">
        <f>IF(A1164="SERVIÇO",VLOOKUP(B1164,SERVIÇOS!$A$6:$E$7645,5,0),IF(A1164="INSUMO",VLOOKUP(B1164,INSUMOS!$A$6:$E$6961,5,0),IF(A1164="COTAÇÃO",VLOOKUP(B1164,'036-20-Cotação'!$A$9:$H$529,8,0))))</f>
        <v>MAT.</v>
      </c>
      <c r="E1164" s="452" t="str">
        <f>IF(A1164="SERVIÇO",VLOOKUP(B1164,SERVIÇOS!$A$6:$D$7645,3,0),IF(A1164="INSUMO",VLOOKUP(B1164,INSUMOS!$A$6:$D$6961,3,0),IF(A1164="COTAÇÃO",VLOOKUP(B1164,'036-20-Cotação'!$A$9:$G$529,4,0))))</f>
        <v>L</v>
      </c>
      <c r="F1164" s="462">
        <v>0.75987841945288759</v>
      </c>
      <c r="G1164" s="453">
        <f>IF(A1164="SERVIÇO",VLOOKUP(B1164,SERVIÇOS!$A$6:$D$7645,4,0),IF(A1164="INSUMO",VLOOKUP(B1164,INSUMOS!$A$6:$D$6961,4,0),IF(A1164="COTAÇÃO",VLOOKUP(B1164,'036-20-Cotação'!$A$9:$G$529,3,0))))</f>
        <v>30.715140733994517</v>
      </c>
      <c r="H1164" s="463">
        <f t="shared" si="184"/>
        <v>23.339772594220758</v>
      </c>
      <c r="J1164" s="201"/>
    </row>
    <row r="1165" spans="1:17" s="87" customFormat="1" ht="12.75">
      <c r="A1165" s="232" t="s">
        <v>4542</v>
      </c>
      <c r="B1165" s="464" t="s">
        <v>6602</v>
      </c>
      <c r="C1165" s="451" t="str">
        <f>IF(A1165="SERVIÇO",VLOOKUP(B1165,SERVIÇOS!$A$6:$D$7645,2,0),IF(A1165="INSUMO",VLOOKUP(B1165,INSUMOS!$A$6:$D$6961,2,0),IF(A1165="COTAÇÃO",VLOOKUP(B1165,'036-20-Cotação'!$A$9:$G$529,2,0))))</f>
        <v>SERVENTE</v>
      </c>
      <c r="D1165" s="452" t="str">
        <f>IF(A1165="SERVIÇO",VLOOKUP(B1165,SERVIÇOS!$A$6:$E$7645,5,0),IF(A1165="INSUMO",VLOOKUP(B1165,INSUMOS!$A$6:$E$6961,5,0),IF(A1165="COTAÇÃO",VLOOKUP(B1165,'036-20-Cotação'!$A$9:$H$529,8,0))))</f>
        <v>M.O</v>
      </c>
      <c r="E1165" s="452" t="str">
        <f>IF(A1165="SERVIÇO",VLOOKUP(B1165,SERVIÇOS!$A$6:$D$7645,3,0),IF(A1165="INSUMO",VLOOKUP(B1165,INSUMOS!$A$6:$D$6961,3,0),IF(A1165="COTAÇÃO",VLOOKUP(B1165,'036-20-Cotação'!$A$9:$G$529,4,0))))</f>
        <v>H</v>
      </c>
      <c r="F1165" s="462" t="s">
        <v>8303</v>
      </c>
      <c r="G1165" s="453">
        <f>IF(A1165="SERVIÇO",VLOOKUP(B1165,SERVIÇOS!$A$6:$D$7645,4,0),IF(A1165="INSUMO",VLOOKUP(B1165,INSUMOS!$A$6:$D$6961,4,0),IF(A1165="COTAÇÃO",VLOOKUP(B1165,'036-20-Cotação'!$A$9:$G$529,3,0))))</f>
        <v>15.637499999999999</v>
      </c>
      <c r="H1165" s="463">
        <f>G1165*F1165</f>
        <v>4.6912499999999993</v>
      </c>
      <c r="J1165" s="201"/>
    </row>
    <row r="1166" spans="1:17" s="87" customFormat="1" ht="12.75">
      <c r="A1166" s="232" t="s">
        <v>4542</v>
      </c>
      <c r="B1166" s="464" t="s">
        <v>7527</v>
      </c>
      <c r="C1166" s="451" t="str">
        <f>IF(A1166="SERVIÇO",VLOOKUP(B1166,SERVIÇOS!$A$6:$D$7645,2,0),IF(A1166="INSUMO",VLOOKUP(B1166,INSUMOS!$A$6:$D$6961,2,0),IF(A1166="COTAÇÃO",VLOOKUP(B1166,'036-20-Cotação'!$A$9:$G$529,2,0))))</f>
        <v>PINTOR</v>
      </c>
      <c r="D1166" s="452" t="str">
        <f>IF(A1166="SERVIÇO",VLOOKUP(B1166,SERVIÇOS!$A$6:$E$7645,5,0),IF(A1166="INSUMO",VLOOKUP(B1166,INSUMOS!$A$6:$E$6961,5,0),IF(A1166="COTAÇÃO",VLOOKUP(B1166,'036-20-Cotação'!$A$9:$H$529,8,0))))</f>
        <v>M.O</v>
      </c>
      <c r="E1166" s="452" t="str">
        <f>IF(A1166="SERVIÇO",VLOOKUP(B1166,SERVIÇOS!$A$6:$D$7645,3,0),IF(A1166="INSUMO",VLOOKUP(B1166,INSUMOS!$A$6:$D$6961,3,0),IF(A1166="COTAÇÃO",VLOOKUP(B1166,'036-20-Cotação'!$A$9:$G$529,4,0))))</f>
        <v>H</v>
      </c>
      <c r="F1166" s="462" t="s">
        <v>8303</v>
      </c>
      <c r="G1166" s="453">
        <f>IF(A1166="SERVIÇO",VLOOKUP(B1166,SERVIÇOS!$A$6:$D$7645,4,0),IF(A1166="INSUMO",VLOOKUP(B1166,INSUMOS!$A$6:$D$6961,4,0),IF(A1166="COTAÇÃO",VLOOKUP(B1166,'036-20-Cotação'!$A$9:$G$529,3,0))))</f>
        <v>21.705200000000001</v>
      </c>
      <c r="H1166" s="463">
        <f>G1166*F1166</f>
        <v>6.5115600000000002</v>
      </c>
      <c r="J1166" s="201"/>
    </row>
    <row r="1167" spans="1:17" s="87" customFormat="1" ht="12.75">
      <c r="A1167" s="188"/>
      <c r="B1167" s="348" t="s">
        <v>123</v>
      </c>
      <c r="C1167" s="695" t="s">
        <v>8301</v>
      </c>
      <c r="D1167" s="696"/>
      <c r="E1167" s="696"/>
      <c r="F1167" s="696"/>
      <c r="G1167" s="696"/>
      <c r="H1167" s="697"/>
      <c r="J1167" s="201"/>
      <c r="K1167" s="78"/>
      <c r="L1167" s="78"/>
      <c r="M1167" s="78"/>
      <c r="N1167" s="78"/>
      <c r="O1167" s="78"/>
      <c r="P1167" s="78"/>
      <c r="Q1167" s="78"/>
    </row>
    <row r="1168" spans="1:17" s="87" customFormat="1" ht="12.75">
      <c r="A1168" s="188"/>
      <c r="B1168" s="346"/>
      <c r="C1168" s="369"/>
      <c r="D1168" s="369"/>
      <c r="E1168" s="369"/>
      <c r="F1168" s="369"/>
      <c r="G1168" s="369"/>
      <c r="H1168" s="370"/>
      <c r="J1168" s="201"/>
      <c r="K1168" s="78"/>
      <c r="L1168" s="78"/>
      <c r="M1168" s="78"/>
      <c r="N1168" s="78"/>
      <c r="O1168" s="78"/>
      <c r="P1168" s="78"/>
      <c r="Q1168" s="78"/>
    </row>
    <row r="1169" spans="1:17" s="87" customFormat="1" ht="25.5">
      <c r="A1169" s="188"/>
      <c r="B1169" s="80" t="s">
        <v>6294</v>
      </c>
      <c r="C1169" s="81" t="s">
        <v>7538</v>
      </c>
      <c r="D1169" s="82" t="s">
        <v>84</v>
      </c>
      <c r="E1169" s="82" t="s">
        <v>150</v>
      </c>
      <c r="F1169" s="83"/>
      <c r="G1169" s="84"/>
      <c r="H1169" s="85">
        <f>SUM(H1170:H1173)</f>
        <v>4.6725596765594455</v>
      </c>
      <c r="J1169" s="201" t="s">
        <v>8108</v>
      </c>
      <c r="K1169" s="78"/>
      <c r="L1169" s="78"/>
      <c r="M1169" s="78"/>
      <c r="N1169" s="78"/>
      <c r="O1169" s="78"/>
      <c r="P1169" s="78"/>
      <c r="Q1169" s="78"/>
    </row>
    <row r="1170" spans="1:17" s="87" customFormat="1" ht="25.5">
      <c r="A1170" s="232" t="s">
        <v>4542</v>
      </c>
      <c r="B1170" s="464" t="s">
        <v>9479</v>
      </c>
      <c r="C1170" s="451" t="str">
        <f>IF(A1170="SERVIÇO",VLOOKUP(B1170,SERVIÇOS!$A$6:$D$7645,2,0),IF(A1170="INSUMO",VLOOKUP(B1170,INSUMOS!$A$6:$D$6961,2,0),IF(A1170="COTAÇÃO",VLOOKUP(B1170,'036-20-Cotação'!$A$9:$G$529,2,0))))</f>
        <v>CAMINHÃO TANQUE COM CAPACIDADE DE 10.000 L - 188 KW</v>
      </c>
      <c r="D1170" s="452" t="str">
        <f>IF(A1170="SERVIÇO",VLOOKUP(B1170,SERVIÇOS!$A$6:$E$7645,5,0),IF(A1170="INSUMO",VLOOKUP(B1170,INSUMOS!$A$6:$E$6961,5,0),IF(A1170="COTAÇÃO",VLOOKUP(B1170,'036-20-Cotação'!$A$9:$H$529,8,0))))</f>
        <v>EQUIP.</v>
      </c>
      <c r="E1170" s="452" t="str">
        <f>IF(A1170="SERVIÇO",VLOOKUP(B1170,SERVIÇOS!$A$6:$D$7645,3,0),IF(A1170="INSUMO",VLOOKUP(B1170,INSUMOS!$A$6:$D$6961,3,0),IF(A1170="COTAÇÃO",VLOOKUP(B1170,'036-20-Cotação'!$A$9:$G$529,4,0))))</f>
        <v>CHP</v>
      </c>
      <c r="F1170" s="462">
        <f>(0.41/56.27)</f>
        <v>7.2862982050826367E-3</v>
      </c>
      <c r="G1170" s="453">
        <f>IF(A1170="SERVIÇO",VLOOKUP(B1170,SERVIÇOS!$A$6:$D$7645,4,0),IF(A1170="INSUMO",VLOOKUP(B1170,INSUMOS!$A$6:$D$6961,4,0),IF(A1170="COTAÇÃO",VLOOKUP(B1170,'036-20-Cotação'!$A$9:$G$529,3,0))))</f>
        <v>200.50309999999999</v>
      </c>
      <c r="H1170" s="463">
        <f t="shared" ref="H1170:H1173" si="185">G1170*F1170</f>
        <v>1.4609253776435043</v>
      </c>
      <c r="J1170" s="201"/>
    </row>
    <row r="1171" spans="1:17" s="87" customFormat="1" ht="25.5">
      <c r="A1171" s="232" t="s">
        <v>4542</v>
      </c>
      <c r="B1171" s="464" t="s">
        <v>10001</v>
      </c>
      <c r="C1171" s="451" t="str">
        <f>IF(A1171="SERVIÇO",VLOOKUP(B1171,SERVIÇOS!$A$6:$D$7645,2,0),IF(A1171="INSUMO",VLOOKUP(B1171,INSUMOS!$A$6:$D$6961,2,0),IF(A1171="COTAÇÃO",VLOOKUP(B1171,'036-20-Cotação'!$A$9:$G$529,2,0))))</f>
        <v>CAMINHÃO TANQUE COM CAPACIDADE DE 10.000 L - 188 KW</v>
      </c>
      <c r="D1171" s="452" t="str">
        <f>IF(A1171="SERVIÇO",VLOOKUP(B1171,SERVIÇOS!$A$6:$E$7645,5,0),IF(A1171="INSUMO",VLOOKUP(B1171,INSUMOS!$A$6:$E$6961,5,0),IF(A1171="COTAÇÃO",VLOOKUP(B1171,'036-20-Cotação'!$A$9:$H$529,8,0))))</f>
        <v>EQUIP.</v>
      </c>
      <c r="E1171" s="452" t="str">
        <f>IF(A1171="SERVIÇO",VLOOKUP(B1171,SERVIÇOS!$A$6:$D$7645,3,0),IF(A1171="INSUMO",VLOOKUP(B1171,INSUMOS!$A$6:$D$6961,3,0),IF(A1171="COTAÇÃO",VLOOKUP(B1171,'036-20-Cotação'!$A$9:$G$529,4,0))))</f>
        <v>CHI</v>
      </c>
      <c r="F1171" s="462">
        <f>(0.59/56.27)</f>
        <v>1.0485160831704282E-2</v>
      </c>
      <c r="G1171" s="453">
        <f>IF(A1171="SERVIÇO",VLOOKUP(B1171,SERVIÇOS!$A$6:$D$7645,4,0),IF(A1171="INSUMO",VLOOKUP(B1171,INSUMOS!$A$6:$D$6961,4,0),IF(A1171="COTAÇÃO",VLOOKUP(B1171,'036-20-Cotação'!$A$9:$G$529,3,0))))</f>
        <v>47.441800000000001</v>
      </c>
      <c r="H1171" s="463">
        <f t="shared" ref="H1171" si="186">G1171*F1171</f>
        <v>0.49743490314554822</v>
      </c>
      <c r="J1171" s="201"/>
    </row>
    <row r="1172" spans="1:17" s="87" customFormat="1" ht="25.5">
      <c r="A1172" s="232" t="s">
        <v>4542</v>
      </c>
      <c r="B1172" s="464" t="s">
        <v>8803</v>
      </c>
      <c r="C1172" s="451" t="str">
        <f>IF(A1172="SERVIÇO",VLOOKUP(B1172,SERVIÇOS!$A$6:$D$7645,2,0),IF(A1172="INSUMO",VLOOKUP(B1172,INSUMOS!$A$6:$D$6961,2,0),IF(A1172="COTAÇÃO",VLOOKUP(B1172,'036-20-Cotação'!$A$9:$G$529,2,0))))</f>
        <v>LAVADORA PROFISSIONAL DE ALTA PRESSÃO COM CAPACIDADE DE 250 MPA - 72 KW</v>
      </c>
      <c r="D1172" s="452" t="str">
        <f>IF(A1172="SERVIÇO",VLOOKUP(B1172,SERVIÇOS!$A$6:$E$7645,5,0),IF(A1172="INSUMO",VLOOKUP(B1172,INSUMOS!$A$6:$E$6961,5,0),IF(A1172="COTAÇÃO",VLOOKUP(B1172,'036-20-Cotação'!$A$9:$H$529,8,0))))</f>
        <v>EQUIP.</v>
      </c>
      <c r="E1172" s="452" t="str">
        <f>IF(A1172="SERVIÇO",VLOOKUP(B1172,SERVIÇOS!$A$6:$D$7645,3,0),IF(A1172="INSUMO",VLOOKUP(B1172,INSUMOS!$A$6:$D$6961,3,0),IF(A1172="COTAÇÃO",VLOOKUP(B1172,'036-20-Cotação'!$A$9:$G$529,4,0))))</f>
        <v>CHP</v>
      </c>
      <c r="F1172" s="462">
        <f>(1/56.27)</f>
        <v>1.7771459036786921E-2</v>
      </c>
      <c r="G1172" s="453">
        <f>IF(A1172="SERVIÇO",VLOOKUP(B1172,SERVIÇOS!$A$6:$D$7645,4,0),IF(A1172="INSUMO",VLOOKUP(B1172,INSUMOS!$A$6:$D$6961,4,0),IF(A1172="COTAÇÃO",VLOOKUP(B1172,'036-20-Cotação'!$A$9:$G$529,3,0))))</f>
        <v>137.09049999999999</v>
      </c>
      <c r="H1172" s="463">
        <f t="shared" ref="H1172" si="187">G1172*F1172</f>
        <v>2.4362982050826374</v>
      </c>
      <c r="J1172" s="201"/>
    </row>
    <row r="1173" spans="1:17" s="87" customFormat="1" ht="12.75">
      <c r="A1173" s="232" t="s">
        <v>4542</v>
      </c>
      <c r="B1173" s="464" t="s">
        <v>6602</v>
      </c>
      <c r="C1173" s="451" t="str">
        <f>IF(A1173="SERVIÇO",VLOOKUP(B1173,SERVIÇOS!$A$6:$D$7645,2,0),IF(A1173="INSUMO",VLOOKUP(B1173,INSUMOS!$A$6:$D$6961,2,0),IF(A1173="COTAÇÃO",VLOOKUP(B1173,'036-20-Cotação'!$A$9:$G$529,2,0))))</f>
        <v>SERVENTE</v>
      </c>
      <c r="D1173" s="452" t="str">
        <f>IF(A1173="SERVIÇO",VLOOKUP(B1173,SERVIÇOS!$A$6:$E$7645,5,0),IF(A1173="INSUMO",VLOOKUP(B1173,INSUMOS!$A$6:$E$6961,5,0),IF(A1173="COTAÇÃO",VLOOKUP(B1173,'036-20-Cotação'!$A$9:$H$529,8,0))))</f>
        <v>M.O</v>
      </c>
      <c r="E1173" s="452" t="str">
        <f>IF(A1173="SERVIÇO",VLOOKUP(B1173,SERVIÇOS!$A$6:$D$7645,3,0),IF(A1173="INSUMO",VLOOKUP(B1173,INSUMOS!$A$6:$D$6961,3,0),IF(A1173="COTAÇÃO",VLOOKUP(B1173,'036-20-Cotação'!$A$9:$G$529,4,0))))</f>
        <v>H</v>
      </c>
      <c r="F1173" s="462">
        <f>(1/56.27)</f>
        <v>1.7771459036786921E-2</v>
      </c>
      <c r="G1173" s="453">
        <f>IF(A1173="SERVIÇO",VLOOKUP(B1173,SERVIÇOS!$A$6:$D$7645,4,0),IF(A1173="INSUMO",VLOOKUP(B1173,INSUMOS!$A$6:$D$6961,4,0),IF(A1173="COTAÇÃO",VLOOKUP(B1173,'036-20-Cotação'!$A$9:$G$529,3,0))))</f>
        <v>15.637499999999999</v>
      </c>
      <c r="H1173" s="463">
        <f t="shared" si="185"/>
        <v>0.27790119068775548</v>
      </c>
      <c r="J1173" s="201"/>
    </row>
    <row r="1174" spans="1:17" s="87" customFormat="1" ht="12.75">
      <c r="A1174" s="188"/>
      <c r="B1174" s="348" t="s">
        <v>123</v>
      </c>
      <c r="C1174" s="695" t="s">
        <v>13508</v>
      </c>
      <c r="D1174" s="696"/>
      <c r="E1174" s="696"/>
      <c r="F1174" s="696"/>
      <c r="G1174" s="696"/>
      <c r="H1174" s="697"/>
      <c r="J1174" s="201"/>
      <c r="K1174" s="78"/>
      <c r="L1174" s="78"/>
      <c r="M1174" s="78"/>
      <c r="N1174" s="78"/>
      <c r="O1174" s="78"/>
      <c r="P1174" s="78"/>
      <c r="Q1174" s="78"/>
    </row>
    <row r="1175" spans="1:17" s="87" customFormat="1" ht="12.75">
      <c r="A1175" s="188"/>
      <c r="B1175" s="346"/>
      <c r="C1175" s="369"/>
      <c r="D1175" s="369"/>
      <c r="E1175" s="369"/>
      <c r="F1175" s="369"/>
      <c r="G1175" s="369"/>
      <c r="H1175" s="370"/>
      <c r="J1175" s="201"/>
      <c r="K1175" s="78"/>
      <c r="L1175" s="78"/>
      <c r="M1175" s="78"/>
      <c r="N1175" s="78"/>
      <c r="O1175" s="78"/>
      <c r="P1175" s="78"/>
      <c r="Q1175" s="78"/>
    </row>
    <row r="1176" spans="1:17" s="87" customFormat="1" ht="51">
      <c r="A1176" s="188"/>
      <c r="B1176" s="80" t="s">
        <v>6295</v>
      </c>
      <c r="C1176" s="81" t="s">
        <v>13405</v>
      </c>
      <c r="D1176" s="82" t="s">
        <v>84</v>
      </c>
      <c r="E1176" s="82" t="s">
        <v>4521</v>
      </c>
      <c r="F1176" s="83"/>
      <c r="G1176" s="84"/>
      <c r="H1176" s="85">
        <f>SUM(H1177:H1178)</f>
        <v>22.37106</v>
      </c>
      <c r="J1176" s="201"/>
      <c r="K1176" s="78"/>
      <c r="L1176" s="78"/>
      <c r="M1176" s="78"/>
      <c r="N1176" s="78"/>
      <c r="O1176" s="78"/>
      <c r="P1176" s="78"/>
      <c r="Q1176" s="78"/>
    </row>
    <row r="1177" spans="1:17" s="87" customFormat="1" ht="12.75">
      <c r="A1177" s="232" t="s">
        <v>4542</v>
      </c>
      <c r="B1177" s="464" t="s">
        <v>6614</v>
      </c>
      <c r="C1177" s="451" t="str">
        <f>IF(A1177="SERVIÇO",VLOOKUP(B1177,SERVIÇOS!$A$6:$D$7645,2,0),IF(A1177="INSUMO",VLOOKUP(B1177,INSUMOS!$A$6:$D$6961,2,0),IF(A1177="COTAÇÃO",VLOOKUP(B1177,'036-20-Cotação'!$A$9:$G$529,2,0))))</f>
        <v>PEDREIRO</v>
      </c>
      <c r="D1177" s="452" t="str">
        <f>IF(A1177="SERVIÇO",VLOOKUP(B1177,SERVIÇOS!$A$6:$E$7645,5,0),IF(A1177="INSUMO",VLOOKUP(B1177,INSUMOS!$A$6:$E$6961,5,0),IF(A1177="COTAÇÃO",VLOOKUP(B1177,'036-20-Cotação'!$A$9:$H$529,8,0))))</f>
        <v>M.O</v>
      </c>
      <c r="E1177" s="452" t="str">
        <f>IF(A1177="SERVIÇO",VLOOKUP(B1177,SERVIÇOS!$A$6:$D$7645,3,0),IF(A1177="INSUMO",VLOOKUP(B1177,INSUMOS!$A$6:$D$6961,3,0),IF(A1177="COTAÇÃO",VLOOKUP(B1177,'036-20-Cotação'!$A$9:$G$529,4,0))))</f>
        <v>H</v>
      </c>
      <c r="F1177" s="462">
        <v>0.6</v>
      </c>
      <c r="G1177" s="453">
        <f>IF(A1177="SERVIÇO",VLOOKUP(B1177,SERVIÇOS!$A$6:$D$7645,4,0),IF(A1177="INSUMO",VLOOKUP(B1177,INSUMOS!$A$6:$D$6961,4,0),IF(A1177="COTAÇÃO",VLOOKUP(B1177,'036-20-Cotação'!$A$9:$G$529,3,0))))</f>
        <v>21.647600000000001</v>
      </c>
      <c r="H1177" s="463">
        <f t="shared" ref="H1177:H1178" si="188">G1177*F1177</f>
        <v>12.98856</v>
      </c>
      <c r="J1177" s="201"/>
    </row>
    <row r="1178" spans="1:17" s="87" customFormat="1" ht="12.75">
      <c r="A1178" s="232" t="s">
        <v>4542</v>
      </c>
      <c r="B1178" s="464" t="s">
        <v>6602</v>
      </c>
      <c r="C1178" s="451" t="str">
        <f>IF(A1178="SERVIÇO",VLOOKUP(B1178,SERVIÇOS!$A$6:$D$7645,2,0),IF(A1178="INSUMO",VLOOKUP(B1178,INSUMOS!$A$6:$D$6961,2,0),IF(A1178="COTAÇÃO",VLOOKUP(B1178,'036-20-Cotação'!$A$9:$G$529,2,0))))</f>
        <v>SERVENTE</v>
      </c>
      <c r="D1178" s="452" t="str">
        <f>IF(A1178="SERVIÇO",VLOOKUP(B1178,SERVIÇOS!$A$6:$E$7645,5,0),IF(A1178="INSUMO",VLOOKUP(B1178,INSUMOS!$A$6:$E$6961,5,0),IF(A1178="COTAÇÃO",VLOOKUP(B1178,'036-20-Cotação'!$A$9:$H$529,8,0))))</f>
        <v>M.O</v>
      </c>
      <c r="E1178" s="452" t="str">
        <f>IF(A1178="SERVIÇO",VLOOKUP(B1178,SERVIÇOS!$A$6:$D$7645,3,0),IF(A1178="INSUMO",VLOOKUP(B1178,INSUMOS!$A$6:$D$6961,3,0),IF(A1178="COTAÇÃO",VLOOKUP(B1178,'036-20-Cotação'!$A$9:$G$529,4,0))))</f>
        <v>H</v>
      </c>
      <c r="F1178" s="462">
        <v>0.6</v>
      </c>
      <c r="G1178" s="453">
        <f>IF(A1178="SERVIÇO",VLOOKUP(B1178,SERVIÇOS!$A$6:$D$7645,4,0),IF(A1178="INSUMO",VLOOKUP(B1178,INSUMOS!$A$6:$D$6961,4,0),IF(A1178="COTAÇÃO",VLOOKUP(B1178,'036-20-Cotação'!$A$9:$G$529,3,0))))</f>
        <v>15.637499999999999</v>
      </c>
      <c r="H1178" s="463">
        <f t="shared" si="188"/>
        <v>9.3824999999999985</v>
      </c>
      <c r="J1178" s="201"/>
    </row>
    <row r="1179" spans="1:17" s="87" customFormat="1" ht="12.75">
      <c r="A1179" s="188"/>
      <c r="B1179" s="348" t="s">
        <v>123</v>
      </c>
      <c r="C1179" s="695" t="s">
        <v>13406</v>
      </c>
      <c r="D1179" s="696"/>
      <c r="E1179" s="696"/>
      <c r="F1179" s="696"/>
      <c r="G1179" s="696"/>
      <c r="H1179" s="697"/>
      <c r="J1179" s="201"/>
      <c r="K1179" s="78"/>
      <c r="L1179" s="78"/>
      <c r="M1179" s="78"/>
      <c r="N1179" s="78"/>
      <c r="O1179" s="78"/>
      <c r="P1179" s="78"/>
      <c r="Q1179" s="78"/>
    </row>
    <row r="1180" spans="1:17" s="87" customFormat="1" ht="12.75">
      <c r="A1180" s="188"/>
      <c r="B1180" s="346"/>
      <c r="C1180" s="369"/>
      <c r="D1180" s="369"/>
      <c r="E1180" s="369"/>
      <c r="F1180" s="369"/>
      <c r="G1180" s="369"/>
      <c r="H1180" s="370"/>
      <c r="J1180" s="201"/>
      <c r="K1180" s="78"/>
      <c r="L1180" s="78"/>
      <c r="M1180" s="78"/>
      <c r="N1180" s="78"/>
      <c r="O1180" s="78"/>
      <c r="P1180" s="78"/>
      <c r="Q1180" s="78"/>
    </row>
    <row r="1181" spans="1:17" s="87" customFormat="1" ht="25.5">
      <c r="A1181" s="188"/>
      <c r="B1181" s="80" t="s">
        <v>6296</v>
      </c>
      <c r="C1181" s="81" t="s">
        <v>7880</v>
      </c>
      <c r="D1181" s="82" t="s">
        <v>84</v>
      </c>
      <c r="E1181" s="82" t="s">
        <v>3495</v>
      </c>
      <c r="F1181" s="83"/>
      <c r="G1181" s="84"/>
      <c r="H1181" s="85">
        <f>SUM(H1182:H1182)</f>
        <v>3901.49</v>
      </c>
      <c r="J1181" s="201"/>
      <c r="K1181" s="78"/>
      <c r="L1181" s="78"/>
      <c r="M1181" s="78"/>
      <c r="N1181" s="78"/>
      <c r="O1181" s="78"/>
      <c r="P1181" s="78"/>
      <c r="Q1181" s="78"/>
    </row>
    <row r="1182" spans="1:17" s="87" customFormat="1" ht="25.5">
      <c r="A1182" s="232" t="s">
        <v>4544</v>
      </c>
      <c r="B1182" s="464" t="s">
        <v>7557</v>
      </c>
      <c r="C1182" s="451" t="str">
        <f>IF(A1182="SERVIÇO",VLOOKUP(B1182,SERVIÇOS!$A$6:$D$7645,2,0),IF(A1182="INSUMO",VLOOKUP(B1182,INSUMOS!$A$6:$D$6961,2,0),IF(A1182="COTAÇÃO",VLOOKUP(B1182,'036-20-Cotação'!$A$9:$G$529,2,0))))</f>
        <v>CIMENTO ASFÁLTICO CAP 50/70 COM POLÍMERO</v>
      </c>
      <c r="D1182" s="452" t="str">
        <f>IF(A1182="SERVIÇO",VLOOKUP(B1182,SERVIÇOS!$A$6:$E$7645,5,0),IF(A1182="INSUMO",VLOOKUP(B1182,INSUMOS!$A$6:$E$6961,5,0),IF(A1182="COTAÇÃO",VLOOKUP(B1182,'036-20-Cotação'!$A$9:$H$529,8,0))))</f>
        <v>MAT.</v>
      </c>
      <c r="E1182" s="452" t="str">
        <f>IF(A1182="SERVIÇO",VLOOKUP(B1182,SERVIÇOS!$A$6:$D$7645,3,0),IF(A1182="INSUMO",VLOOKUP(B1182,INSUMOS!$A$6:$D$6961,3,0),IF(A1182="COTAÇÃO",VLOOKUP(B1182,'036-20-Cotação'!$A$9:$G$529,4,0))))</f>
        <v>T</v>
      </c>
      <c r="F1182" s="462">
        <v>1</v>
      </c>
      <c r="G1182" s="453">
        <f>IF(A1182="SERVIÇO",VLOOKUP(B1182,SERVIÇOS!$A$6:$D$7645,4,0),IF(A1182="INSUMO",VLOOKUP(B1182,INSUMOS!$A$6:$D$6961,4,0),IF(A1182="COTAÇÃO",VLOOKUP(B1182,'036-20-Cotação'!$A$9:$G$529,3,0))))</f>
        <v>3901.49</v>
      </c>
      <c r="H1182" s="463">
        <f>G1182*F1182</f>
        <v>3901.49</v>
      </c>
      <c r="J1182" s="201"/>
    </row>
    <row r="1183" spans="1:17" s="87" customFormat="1" ht="12.75">
      <c r="A1183" s="188"/>
      <c r="B1183" s="348" t="s">
        <v>123</v>
      </c>
      <c r="C1183" s="695" t="s">
        <v>7882</v>
      </c>
      <c r="D1183" s="696"/>
      <c r="E1183" s="696"/>
      <c r="F1183" s="696"/>
      <c r="G1183" s="696"/>
      <c r="H1183" s="697"/>
      <c r="J1183" s="201"/>
      <c r="K1183" s="78"/>
      <c r="L1183" s="78"/>
      <c r="M1183" s="78"/>
      <c r="N1183" s="78"/>
      <c r="O1183" s="78"/>
      <c r="P1183" s="78"/>
      <c r="Q1183" s="78"/>
    </row>
    <row r="1184" spans="1:17" s="87" customFormat="1" ht="12.75">
      <c r="A1184" s="188"/>
      <c r="B1184" s="346"/>
      <c r="C1184" s="369"/>
      <c r="D1184" s="369"/>
      <c r="E1184" s="369"/>
      <c r="F1184" s="369"/>
      <c r="G1184" s="369"/>
      <c r="H1184" s="370"/>
      <c r="J1184" s="201"/>
      <c r="K1184" s="78"/>
      <c r="L1184" s="78"/>
      <c r="M1184" s="78"/>
      <c r="N1184" s="78"/>
      <c r="O1184" s="78"/>
      <c r="P1184" s="78"/>
      <c r="Q1184" s="78"/>
    </row>
    <row r="1185" spans="1:17" s="87" customFormat="1" ht="25.5">
      <c r="A1185" s="188"/>
      <c r="B1185" s="80" t="s">
        <v>6297</v>
      </c>
      <c r="C1185" s="81" t="s">
        <v>7881</v>
      </c>
      <c r="D1185" s="82" t="s">
        <v>84</v>
      </c>
      <c r="E1185" s="82" t="s">
        <v>3495</v>
      </c>
      <c r="F1185" s="83"/>
      <c r="G1185" s="84"/>
      <c r="H1185" s="85">
        <f>SUM(H1186:H1186)</f>
        <v>3070.05</v>
      </c>
      <c r="J1185" s="201"/>
      <c r="K1185" s="78"/>
      <c r="L1185" s="78"/>
      <c r="M1185" s="78"/>
      <c r="N1185" s="78"/>
      <c r="O1185" s="78"/>
      <c r="P1185" s="78"/>
      <c r="Q1185" s="78"/>
    </row>
    <row r="1186" spans="1:17" s="87" customFormat="1" ht="25.5">
      <c r="A1186" s="232" t="s">
        <v>4544</v>
      </c>
      <c r="B1186" s="464" t="s">
        <v>7560</v>
      </c>
      <c r="C1186" s="451" t="str">
        <f>IF(A1186="SERVIÇO",VLOOKUP(B1186,SERVIÇOS!$A$6:$D$7645,2,0),IF(A1186="INSUMO",VLOOKUP(B1186,INSUMOS!$A$6:$D$6961,2,0),IF(A1186="COTAÇÃO",VLOOKUP(B1186,'036-20-Cotação'!$A$9:$G$529,2,0))))</f>
        <v>EMULSÕES ASF. MOD. POR POLÍMEROS RC1C-E</v>
      </c>
      <c r="D1186" s="452" t="str">
        <f>IF(A1186="SERVIÇO",VLOOKUP(B1186,SERVIÇOS!$A$6:$E$7645,5,0),IF(A1186="INSUMO",VLOOKUP(B1186,INSUMOS!$A$6:$E$6961,5,0),IF(A1186="COTAÇÃO",VLOOKUP(B1186,'036-20-Cotação'!$A$9:$H$529,8,0))))</f>
        <v>MAT.</v>
      </c>
      <c r="E1186" s="452" t="str">
        <f>IF(A1186="SERVIÇO",VLOOKUP(B1186,SERVIÇOS!$A$6:$D$7645,3,0),IF(A1186="INSUMO",VLOOKUP(B1186,INSUMOS!$A$6:$D$6961,3,0),IF(A1186="COTAÇÃO",VLOOKUP(B1186,'036-20-Cotação'!$A$9:$G$529,4,0))))</f>
        <v>T</v>
      </c>
      <c r="F1186" s="462">
        <v>1</v>
      </c>
      <c r="G1186" s="453">
        <f>IF(A1186="SERVIÇO",VLOOKUP(B1186,SERVIÇOS!$A$6:$D$7645,4,0),IF(A1186="INSUMO",VLOOKUP(B1186,INSUMOS!$A$6:$D$6961,4,0),IF(A1186="COTAÇÃO",VLOOKUP(B1186,'036-20-Cotação'!$A$9:$G$529,3,0))))</f>
        <v>3070.05</v>
      </c>
      <c r="H1186" s="463">
        <f>G1186*F1186</f>
        <v>3070.05</v>
      </c>
      <c r="J1186" s="201"/>
    </row>
    <row r="1187" spans="1:17" s="87" customFormat="1" ht="12.75">
      <c r="A1187" s="188"/>
      <c r="B1187" s="348" t="s">
        <v>123</v>
      </c>
      <c r="C1187" s="695" t="s">
        <v>7882</v>
      </c>
      <c r="D1187" s="696"/>
      <c r="E1187" s="696"/>
      <c r="F1187" s="696"/>
      <c r="G1187" s="696"/>
      <c r="H1187" s="697"/>
      <c r="J1187" s="201"/>
      <c r="K1187" s="78"/>
      <c r="L1187" s="78"/>
      <c r="M1187" s="78"/>
      <c r="N1187" s="78"/>
      <c r="O1187" s="78"/>
      <c r="P1187" s="78"/>
      <c r="Q1187" s="78"/>
    </row>
    <row r="1188" spans="1:17" s="87" customFormat="1" ht="12.75">
      <c r="A1188" s="188"/>
      <c r="B1188" s="346"/>
      <c r="C1188" s="369"/>
      <c r="D1188" s="369"/>
      <c r="E1188" s="369"/>
      <c r="F1188" s="369"/>
      <c r="G1188" s="369"/>
      <c r="H1188" s="370"/>
      <c r="J1188" s="201"/>
      <c r="K1188" s="78"/>
      <c r="L1188" s="78"/>
      <c r="M1188" s="78"/>
      <c r="N1188" s="78"/>
      <c r="O1188" s="78"/>
      <c r="P1188" s="78"/>
      <c r="Q1188" s="78"/>
    </row>
    <row r="1189" spans="1:17" s="87" customFormat="1" ht="25.5">
      <c r="A1189" s="188"/>
      <c r="B1189" s="80" t="s">
        <v>6298</v>
      </c>
      <c r="C1189" s="81" t="s">
        <v>7561</v>
      </c>
      <c r="D1189" s="82" t="s">
        <v>84</v>
      </c>
      <c r="E1189" s="82" t="s">
        <v>3495</v>
      </c>
      <c r="F1189" s="83"/>
      <c r="G1189" s="84"/>
      <c r="H1189" s="85">
        <f>SUM(H1190:H1190)</f>
        <v>128.97999999999999</v>
      </c>
      <c r="J1189" s="201"/>
      <c r="K1189" s="78"/>
      <c r="L1189" s="78"/>
      <c r="M1189" s="78"/>
      <c r="N1189" s="78"/>
      <c r="O1189" s="78"/>
      <c r="P1189" s="78"/>
      <c r="Q1189" s="78"/>
    </row>
    <row r="1190" spans="1:17" s="87" customFormat="1" ht="12.75">
      <c r="A1190" s="232" t="s">
        <v>4542</v>
      </c>
      <c r="B1190" s="464" t="s">
        <v>7563</v>
      </c>
      <c r="C1190" s="451" t="str">
        <f>IF(A1190="SERVIÇO",VLOOKUP(B1190,SERVIÇOS!$A$6:$D$7645,2,0),IF(A1190="INSUMO",VLOOKUP(B1190,INSUMOS!$A$6:$D$6961,2,0),IF(A1190="COTAÇÃO",VLOOKUP(B1190,'036-20-Cotação'!$A$9:$G$529,2,0))))</f>
        <v xml:space="preserve">TRANSPORTE CAP 50/70     </v>
      </c>
      <c r="D1190" s="452" t="str">
        <f>IF(A1190="SERVIÇO",VLOOKUP(B1190,SERVIÇOS!$A$6:$E$7645,5,0),IF(A1190="INSUMO",VLOOKUP(B1190,INSUMOS!$A$6:$E$6961,5,0),IF(A1190="COTAÇÃO",VLOOKUP(B1190,'036-20-Cotação'!$A$9:$H$529,8,0))))</f>
        <v>SER.CG</v>
      </c>
      <c r="E1190" s="452" t="str">
        <f>IF(A1190="SERVIÇO",VLOOKUP(B1190,SERVIÇOS!$A$6:$D$7645,3,0),IF(A1190="INSUMO",VLOOKUP(B1190,INSUMOS!$A$6:$D$6961,3,0),IF(A1190="COTAÇÃO",VLOOKUP(B1190,'036-20-Cotação'!$A$9:$G$529,4,0))))</f>
        <v>T</v>
      </c>
      <c r="F1190" s="462">
        <v>1</v>
      </c>
      <c r="G1190" s="453">
        <f>IF(A1190="SERVIÇO",VLOOKUP(B1190,SERVIÇOS!$A$6:$D$7645,4,0),IF(A1190="INSUMO",VLOOKUP(B1190,INSUMOS!$A$6:$D$6961,4,0),IF(A1190="COTAÇÃO",VLOOKUP(B1190,'036-20-Cotação'!$A$9:$G$529,3,0))))</f>
        <v>128.97999999999999</v>
      </c>
      <c r="H1190" s="463">
        <f>G1190*F1190</f>
        <v>128.97999999999999</v>
      </c>
      <c r="J1190" s="201"/>
    </row>
    <row r="1191" spans="1:17" s="87" customFormat="1" ht="12.75">
      <c r="A1191" s="188"/>
      <c r="B1191" s="348" t="s">
        <v>123</v>
      </c>
      <c r="C1191" s="695" t="s">
        <v>7882</v>
      </c>
      <c r="D1191" s="696"/>
      <c r="E1191" s="696"/>
      <c r="F1191" s="696"/>
      <c r="G1191" s="696"/>
      <c r="H1191" s="697"/>
      <c r="J1191" s="201"/>
      <c r="K1191" s="78"/>
      <c r="L1191" s="78"/>
      <c r="M1191" s="78"/>
      <c r="N1191" s="78"/>
      <c r="O1191" s="78"/>
      <c r="P1191" s="78"/>
      <c r="Q1191" s="78"/>
    </row>
    <row r="1192" spans="1:17" s="87" customFormat="1" ht="12.75">
      <c r="A1192" s="188"/>
      <c r="B1192" s="346"/>
      <c r="C1192" s="369"/>
      <c r="D1192" s="369"/>
      <c r="E1192" s="369"/>
      <c r="F1192" s="369"/>
      <c r="G1192" s="369"/>
      <c r="H1192" s="370"/>
      <c r="J1192" s="201"/>
      <c r="K1192" s="78"/>
      <c r="L1192" s="78"/>
      <c r="M1192" s="78"/>
      <c r="N1192" s="78"/>
      <c r="O1192" s="78"/>
      <c r="P1192" s="78"/>
      <c r="Q1192" s="78"/>
    </row>
    <row r="1193" spans="1:17" s="87" customFormat="1" ht="25.5">
      <c r="A1193" s="188"/>
      <c r="B1193" s="80" t="s">
        <v>6299</v>
      </c>
      <c r="C1193" s="81" t="s">
        <v>7564</v>
      </c>
      <c r="D1193" s="82" t="s">
        <v>84</v>
      </c>
      <c r="E1193" s="82" t="s">
        <v>3495</v>
      </c>
      <c r="F1193" s="83"/>
      <c r="G1193" s="84"/>
      <c r="H1193" s="85">
        <f>SUM(H1194:H1194)</f>
        <v>128.97999999999999</v>
      </c>
      <c r="J1193" s="201"/>
      <c r="K1193" s="78"/>
      <c r="L1193" s="78"/>
      <c r="M1193" s="78"/>
      <c r="N1193" s="78"/>
      <c r="O1193" s="78"/>
      <c r="P1193" s="78"/>
      <c r="Q1193" s="78"/>
    </row>
    <row r="1194" spans="1:17" s="87" customFormat="1" ht="12.75">
      <c r="A1194" s="232" t="s">
        <v>4542</v>
      </c>
      <c r="B1194" s="464" t="s">
        <v>7565</v>
      </c>
      <c r="C1194" s="451" t="str">
        <f>IF(A1194="SERVIÇO",VLOOKUP(B1194,SERVIÇOS!$A$6:$D$7645,2,0),IF(A1194="INSUMO",VLOOKUP(B1194,INSUMOS!$A$6:$D$6961,2,0),IF(A1194="COTAÇÃO",VLOOKUP(B1194,'036-20-Cotação'!$A$9:$G$529,2,0))))</f>
        <v xml:space="preserve">TRANSPORTE RC1C-E               </v>
      </c>
      <c r="D1194" s="452" t="str">
        <f>IF(A1194="SERVIÇO",VLOOKUP(B1194,SERVIÇOS!$A$6:$E$7645,5,0),IF(A1194="INSUMO",VLOOKUP(B1194,INSUMOS!$A$6:$E$6961,5,0),IF(A1194="COTAÇÃO",VLOOKUP(B1194,'036-20-Cotação'!$A$9:$H$529,8,0))))</f>
        <v>SER.CG</v>
      </c>
      <c r="E1194" s="452" t="str">
        <f>IF(A1194="SERVIÇO",VLOOKUP(B1194,SERVIÇOS!$A$6:$D$7645,3,0),IF(A1194="INSUMO",VLOOKUP(B1194,INSUMOS!$A$6:$D$6961,3,0),IF(A1194="COTAÇÃO",VLOOKUP(B1194,'036-20-Cotação'!$A$9:$G$529,4,0))))</f>
        <v>T</v>
      </c>
      <c r="F1194" s="462">
        <v>1</v>
      </c>
      <c r="G1194" s="453">
        <f>IF(A1194="SERVIÇO",VLOOKUP(B1194,SERVIÇOS!$A$6:$D$7645,4,0),IF(A1194="INSUMO",VLOOKUP(B1194,INSUMOS!$A$6:$D$6961,4,0),IF(A1194="COTAÇÃO",VLOOKUP(B1194,'036-20-Cotação'!$A$9:$G$529,3,0))))</f>
        <v>128.97999999999999</v>
      </c>
      <c r="H1194" s="463">
        <f>G1194*F1194</f>
        <v>128.97999999999999</v>
      </c>
      <c r="J1194" s="201"/>
    </row>
    <row r="1195" spans="1:17" s="87" customFormat="1" ht="12.75">
      <c r="A1195" s="188"/>
      <c r="B1195" s="348" t="s">
        <v>123</v>
      </c>
      <c r="C1195" s="695" t="s">
        <v>7882</v>
      </c>
      <c r="D1195" s="696"/>
      <c r="E1195" s="696"/>
      <c r="F1195" s="696"/>
      <c r="G1195" s="696"/>
      <c r="H1195" s="697"/>
      <c r="J1195" s="201"/>
      <c r="K1195" s="78"/>
      <c r="L1195" s="78"/>
      <c r="M1195" s="78"/>
      <c r="N1195" s="78"/>
      <c r="O1195" s="78"/>
      <c r="P1195" s="78"/>
      <c r="Q1195" s="78"/>
    </row>
    <row r="1196" spans="1:17" s="87" customFormat="1" ht="12.75">
      <c r="A1196" s="188"/>
      <c r="B1196" s="346"/>
      <c r="C1196" s="373"/>
      <c r="D1196" s="373"/>
      <c r="E1196" s="373"/>
      <c r="F1196" s="373"/>
      <c r="G1196" s="373"/>
      <c r="H1196" s="374"/>
      <c r="J1196" s="201"/>
      <c r="K1196" s="78"/>
      <c r="L1196" s="78"/>
      <c r="M1196" s="78"/>
      <c r="N1196" s="78"/>
      <c r="O1196" s="78"/>
      <c r="P1196" s="78"/>
      <c r="Q1196" s="78"/>
    </row>
    <row r="1197" spans="1:17" s="87" customFormat="1" ht="51">
      <c r="A1197" s="188"/>
      <c r="B1197" s="80" t="s">
        <v>6300</v>
      </c>
      <c r="C1197" s="81" t="s">
        <v>7887</v>
      </c>
      <c r="D1197" s="82" t="s">
        <v>84</v>
      </c>
      <c r="E1197" s="82" t="s">
        <v>4521</v>
      </c>
      <c r="F1197" s="83"/>
      <c r="G1197" s="84"/>
      <c r="H1197" s="85">
        <f>SUM(H1198:H1198)</f>
        <v>142.19999999999999</v>
      </c>
      <c r="J1197" s="201"/>
      <c r="K1197" s="78"/>
      <c r="L1197" s="78"/>
      <c r="M1197" s="78"/>
      <c r="N1197" s="78"/>
      <c r="O1197" s="78"/>
      <c r="P1197" s="78"/>
      <c r="Q1197" s="78"/>
    </row>
    <row r="1198" spans="1:17" s="87" customFormat="1" ht="25.5">
      <c r="A1198" s="232" t="s">
        <v>4542</v>
      </c>
      <c r="B1198" s="464" t="s">
        <v>7888</v>
      </c>
      <c r="C1198" s="451" t="str">
        <f>IF(A1198="SERVIÇO",VLOOKUP(B1198,SERVIÇOS!$A$6:$D$7645,2,0),IF(A1198="INSUMO",VLOOKUP(B1198,INSUMOS!$A$6:$D$6961,2,0),IF(A1198="COTAÇÃO",VLOOKUP(B1198,'036-20-Cotação'!$A$9:$G$529,2,0))))</f>
        <v>DESPESAS COM PEDÁGIO DE GO PARA DF - TRASN. MAT. ASFÁLTICOS</v>
      </c>
      <c r="D1198" s="452" t="str">
        <f>IF(A1198="SERVIÇO",VLOOKUP(B1198,SERVIÇOS!$A$6:$E$7645,5,0),IF(A1198="INSUMO",VLOOKUP(B1198,INSUMOS!$A$6:$E$6961,5,0),IF(A1198="COTAÇÃO",VLOOKUP(B1198,'036-20-Cotação'!$A$9:$H$529,8,0))))</f>
        <v>SER.CG</v>
      </c>
      <c r="E1198" s="452" t="str">
        <f>IF(A1198="SERVIÇO",VLOOKUP(B1198,SERVIÇOS!$A$6:$D$7645,3,0),IF(A1198="INSUMO",VLOOKUP(B1198,INSUMOS!$A$6:$D$6961,3,0),IF(A1198="COTAÇÃO",VLOOKUP(B1198,'036-20-Cotação'!$A$9:$G$529,4,0))))</f>
        <v xml:space="preserve">UN    </v>
      </c>
      <c r="F1198" s="462">
        <v>1</v>
      </c>
      <c r="G1198" s="453">
        <f>IF(A1198="SERVIÇO",VLOOKUP(B1198,SERVIÇOS!$A$6:$D$7645,4,0),IF(A1198="INSUMO",VLOOKUP(B1198,INSUMOS!$A$6:$D$6961,4,0),IF(A1198="COTAÇÃO",VLOOKUP(B1198,'036-20-Cotação'!$A$9:$G$529,3,0))))</f>
        <v>142.19999999999999</v>
      </c>
      <c r="H1198" s="463">
        <f>G1198*F1198</f>
        <v>142.19999999999999</v>
      </c>
      <c r="J1198" s="201"/>
    </row>
    <row r="1199" spans="1:17" s="87" customFormat="1" ht="12.75" customHeight="1">
      <c r="A1199" s="188"/>
      <c r="B1199" s="348" t="s">
        <v>123</v>
      </c>
      <c r="C1199" s="695" t="s">
        <v>7882</v>
      </c>
      <c r="D1199" s="696"/>
      <c r="E1199" s="696"/>
      <c r="F1199" s="696"/>
      <c r="G1199" s="696"/>
      <c r="H1199" s="697"/>
      <c r="J1199" s="201"/>
      <c r="K1199" s="78"/>
      <c r="L1199" s="78"/>
      <c r="M1199" s="78"/>
      <c r="N1199" s="78"/>
      <c r="O1199" s="78"/>
      <c r="P1199" s="78"/>
      <c r="Q1199" s="78"/>
    </row>
    <row r="1200" spans="1:17" s="87" customFormat="1" ht="12.75">
      <c r="A1200" s="188"/>
      <c r="B1200" s="346"/>
      <c r="C1200" s="369"/>
      <c r="D1200" s="369"/>
      <c r="E1200" s="369"/>
      <c r="F1200" s="369"/>
      <c r="G1200" s="369"/>
      <c r="H1200" s="370"/>
      <c r="J1200" s="201"/>
      <c r="K1200" s="78"/>
      <c r="L1200" s="78"/>
      <c r="M1200" s="78"/>
      <c r="N1200" s="78"/>
      <c r="O1200" s="78"/>
      <c r="P1200" s="78"/>
      <c r="Q1200" s="78"/>
    </row>
    <row r="1201" spans="1:17" s="87" customFormat="1" ht="89.25">
      <c r="A1201" s="188"/>
      <c r="B1201" s="80" t="s">
        <v>6301</v>
      </c>
      <c r="C1201" s="81" t="s">
        <v>7575</v>
      </c>
      <c r="D1201" s="82" t="s">
        <v>84</v>
      </c>
      <c r="E1201" s="82" t="s">
        <v>150</v>
      </c>
      <c r="F1201" s="83"/>
      <c r="G1201" s="84"/>
      <c r="H1201" s="85">
        <f>SUM(H1202:H1205)</f>
        <v>712.26499999999999</v>
      </c>
      <c r="J1201" s="201"/>
      <c r="K1201" s="78"/>
      <c r="L1201" s="78"/>
      <c r="M1201" s="78"/>
      <c r="N1201" s="78"/>
      <c r="O1201" s="78"/>
      <c r="P1201" s="78"/>
      <c r="Q1201" s="78"/>
    </row>
    <row r="1202" spans="1:17" s="87" customFormat="1" ht="38.25">
      <c r="A1202" s="232" t="s">
        <v>12</v>
      </c>
      <c r="B1202" s="464" t="s">
        <v>7571</v>
      </c>
      <c r="C1202" s="451" t="str">
        <f>IF(A1202="SERVIÇO",VLOOKUP(B1202,SERVIÇOS!$A$6:$D$7645,2,0),IF(A1202="INSUMO",VLOOKUP(B1202,INSUMOS!$A$6:$D$6961,2,0),IF(A1202="COTAÇÃO",VLOOKUP(B1202,'036-20-Cotação'!$A$9:$G$529,2,0))))</f>
        <v>DERMASFALT WP-80 FORNECIMENTO, TRANSPORTE E INCLUSO TRIBUTOS  + 5% IPI   CONFORME PROPOSTA DO FORNECEDOR</v>
      </c>
      <c r="D1202" s="452" t="str">
        <f>IF(A1202="SERVIÇO",VLOOKUP(B1202,SERVIÇOS!$A$6:$E$7645,5,0),IF(A1202="INSUMO",VLOOKUP(B1202,INSUMOS!$A$6:$E$6961,5,0),IF(A1202="COTAÇÃO",VLOOKUP(B1202,'036-20-Cotação'!$A$9:$H$529,8,0))))</f>
        <v>MAT.</v>
      </c>
      <c r="E1202" s="452" t="str">
        <f>IF(A1202="SERVIÇO",VLOOKUP(B1202,SERVIÇOS!$A$6:$D$7645,3,0),IF(A1202="INSUMO",VLOOKUP(B1202,INSUMOS!$A$6:$D$6961,3,0),IF(A1202="COTAÇÃO",VLOOKUP(B1202,'036-20-Cotação'!$A$9:$G$529,4,0))))</f>
        <v>KG</v>
      </c>
      <c r="F1202" s="462">
        <v>8.25</v>
      </c>
      <c r="G1202" s="453">
        <f>IF(A1202="SERVIÇO",VLOOKUP(B1202,SERVIÇOS!$A$6:$D$7645,4,0),IF(A1202="INSUMO",VLOOKUP(B1202,INSUMOS!$A$6:$D$6961,4,0),IF(A1202="COTAÇÃO",VLOOKUP(B1202,'036-20-Cotação'!$A$9:$G$529,3,0))))</f>
        <v>59.22</v>
      </c>
      <c r="H1202" s="463">
        <f t="shared" ref="H1202:H1205" si="189">G1202*F1202</f>
        <v>488.565</v>
      </c>
      <c r="J1202" s="201"/>
    </row>
    <row r="1203" spans="1:17" s="87" customFormat="1" ht="51">
      <c r="A1203" s="232" t="s">
        <v>12</v>
      </c>
      <c r="B1203" s="464" t="s">
        <v>7572</v>
      </c>
      <c r="C1203" s="451" t="str">
        <f>IF(A1203="SERVIÇO",VLOOKUP(B1203,SERVIÇOS!$A$6:$D$7645,2,0),IF(A1203="INSUMO",VLOOKUP(B1203,INSUMOS!$A$6:$D$6961,2,0),IF(A1203="COTAÇÃO",VLOOKUP(B1203,'036-20-Cotação'!$A$9:$G$529,2,0))))</f>
        <v>AGREGADO GC-80 PARA USINAGEM E ESTRUTURAÇÃO. FORNECIMENTO, TRANSPORTE E INCLUSO TODOS TRIBUTOS CONFORME PROPOSTA DO FORNECEDOR</v>
      </c>
      <c r="D1203" s="452" t="str">
        <f>IF(A1203="SERVIÇO",VLOOKUP(B1203,SERVIÇOS!$A$6:$E$7645,5,0),IF(A1203="INSUMO",VLOOKUP(B1203,INSUMOS!$A$6:$E$6961,5,0),IF(A1203="COTAÇÃO",VLOOKUP(B1203,'036-20-Cotação'!$A$9:$H$529,8,0))))</f>
        <v>MAT.</v>
      </c>
      <c r="E1203" s="452" t="str">
        <f>IF(A1203="SERVIÇO",VLOOKUP(B1203,SERVIÇOS!$A$6:$D$7645,3,0),IF(A1203="INSUMO",VLOOKUP(B1203,INSUMOS!$A$6:$D$6961,3,0),IF(A1203="COTAÇÃO",VLOOKUP(B1203,'036-20-Cotação'!$A$9:$G$529,4,0))))</f>
        <v>KG</v>
      </c>
      <c r="F1203" s="462">
        <v>8.25</v>
      </c>
      <c r="G1203" s="453">
        <f>IF(A1203="SERVIÇO",VLOOKUP(B1203,SERVIÇOS!$A$6:$D$7645,4,0),IF(A1203="INSUMO",VLOOKUP(B1203,INSUMOS!$A$6:$D$6961,4,0),IF(A1203="COTAÇÃO",VLOOKUP(B1203,'036-20-Cotação'!$A$9:$G$529,3,0))))</f>
        <v>1.6</v>
      </c>
      <c r="H1203" s="463">
        <f t="shared" si="189"/>
        <v>13.200000000000001</v>
      </c>
      <c r="J1203" s="201"/>
    </row>
    <row r="1204" spans="1:17" s="87" customFormat="1" ht="51">
      <c r="A1204" s="232" t="s">
        <v>12</v>
      </c>
      <c r="B1204" s="464" t="s">
        <v>7573</v>
      </c>
      <c r="C1204" s="451" t="str">
        <f>IF(A1204="SERVIÇO",VLOOKUP(B1204,SERVIÇOS!$A$6:$D$7645,2,0),IF(A1204="INSUMO",VLOOKUP(B1204,INSUMOS!$A$6:$D$6961,2,0),IF(A1204="COTAÇÃO",VLOOKUP(B1204,'036-20-Cotação'!$A$9:$G$529,2,0))))</f>
        <v>AGREGADO BSA PARA ACABAMENTO SUPERFICIAL ANTIADERENTE. FORNECIMENTO, TRANSPORTE E INCLUSO TODOS TRIBUTOS CONFORME PROPOSTA DO FORNECEDOR</v>
      </c>
      <c r="D1204" s="452" t="str">
        <f>IF(A1204="SERVIÇO",VLOOKUP(B1204,SERVIÇOS!$A$6:$E$7645,5,0),IF(A1204="INSUMO",VLOOKUP(B1204,INSUMOS!$A$6:$E$6961,5,0),IF(A1204="COTAÇÃO",VLOOKUP(B1204,'036-20-Cotação'!$A$9:$H$529,8,0))))</f>
        <v>MAT.</v>
      </c>
      <c r="E1204" s="452" t="str">
        <f>IF(A1204="SERVIÇO",VLOOKUP(B1204,SERVIÇOS!$A$6:$D$7645,3,0),IF(A1204="INSUMO",VLOOKUP(B1204,INSUMOS!$A$6:$D$6961,3,0),IF(A1204="COTAÇÃO",VLOOKUP(B1204,'036-20-Cotação'!$A$9:$G$529,4,0))))</f>
        <v>KG</v>
      </c>
      <c r="F1204" s="462">
        <v>10</v>
      </c>
      <c r="G1204" s="453">
        <f>IF(A1204="SERVIÇO",VLOOKUP(B1204,SERVIÇOS!$A$6:$D$7645,4,0),IF(A1204="INSUMO",VLOOKUP(B1204,INSUMOS!$A$6:$D$6961,4,0),IF(A1204="COTAÇÃO",VLOOKUP(B1204,'036-20-Cotação'!$A$9:$G$529,3,0))))</f>
        <v>1.65</v>
      </c>
      <c r="H1204" s="463">
        <f t="shared" si="189"/>
        <v>16.5</v>
      </c>
      <c r="J1204" s="201"/>
    </row>
    <row r="1205" spans="1:17" s="87" customFormat="1" ht="63.75">
      <c r="A1205" s="232" t="s">
        <v>12</v>
      </c>
      <c r="B1205" s="464" t="s">
        <v>7574</v>
      </c>
      <c r="C1205" s="451" t="str">
        <f>IF(A1205="SERVIÇO",VLOOKUP(B1205,SERVIÇOS!$A$6:$D$7645,2,0),IF(A1205="INSUMO",VLOOKUP(B1205,INSUMOS!$A$6:$D$6961,2,0),IF(A1205="COTAÇÃO",VLOOKUP(B1205,'036-20-Cotação'!$A$9:$G$529,2,0))))</f>
        <v>SERVIÇO DE EXECUÇÃO DE REVESTIMENTO DERMASFALT INCLUSO MÃO DE OBRA, EQUIPAMENTOS E TODAS AS DESPESAS COM MOBILIZAÇÃO, DESMOBILIZAÇÃO E TODOS OS CUSTOS CONFORME PROPOSTA COMERCIAL.</v>
      </c>
      <c r="D1205" s="452" t="str">
        <f>IF(A1205="SERVIÇO",VLOOKUP(B1205,SERVIÇOS!$A$6:$E$7645,5,0),IF(A1205="INSUMO",VLOOKUP(B1205,INSUMOS!$A$6:$E$6961,5,0),IF(A1205="COTAÇÃO",VLOOKUP(B1205,'036-20-Cotação'!$A$9:$H$529,8,0))))</f>
        <v>MAT.</v>
      </c>
      <c r="E1205" s="452" t="str">
        <f>IF(A1205="SERVIÇO",VLOOKUP(B1205,SERVIÇOS!$A$6:$D$7645,3,0),IF(A1205="INSUMO",VLOOKUP(B1205,INSUMOS!$A$6:$D$6961,3,0),IF(A1205="COTAÇÃO",VLOOKUP(B1205,'036-20-Cotação'!$A$9:$G$529,4,0))))</f>
        <v>M2</v>
      </c>
      <c r="F1205" s="462">
        <v>1</v>
      </c>
      <c r="G1205" s="453">
        <f>IF(A1205="SERVIÇO",VLOOKUP(B1205,SERVIÇOS!$A$6:$D$7645,4,0),IF(A1205="INSUMO",VLOOKUP(B1205,INSUMOS!$A$6:$D$6961,4,0),IF(A1205="COTAÇÃO",VLOOKUP(B1205,'036-20-Cotação'!$A$9:$G$529,3,0))))</f>
        <v>194</v>
      </c>
      <c r="H1205" s="463">
        <f t="shared" si="189"/>
        <v>194</v>
      </c>
      <c r="J1205" s="201"/>
    </row>
    <row r="1206" spans="1:17" s="87" customFormat="1" ht="12.75">
      <c r="A1206" s="188"/>
      <c r="B1206" s="348" t="s">
        <v>123</v>
      </c>
      <c r="C1206" s="695" t="s">
        <v>7883</v>
      </c>
      <c r="D1206" s="696"/>
      <c r="E1206" s="696"/>
      <c r="F1206" s="696"/>
      <c r="G1206" s="696"/>
      <c r="H1206" s="697"/>
      <c r="J1206" s="201"/>
      <c r="K1206" s="78"/>
      <c r="L1206" s="78"/>
      <c r="M1206" s="78"/>
      <c r="N1206" s="78"/>
      <c r="O1206" s="78"/>
      <c r="P1206" s="78"/>
      <c r="Q1206" s="78"/>
    </row>
    <row r="1207" spans="1:17" s="87" customFormat="1" ht="12.75">
      <c r="A1207" s="188"/>
      <c r="B1207" s="346"/>
      <c r="C1207" s="369"/>
      <c r="D1207" s="369"/>
      <c r="E1207" s="369"/>
      <c r="F1207" s="369"/>
      <c r="G1207" s="369"/>
      <c r="H1207" s="370"/>
      <c r="J1207" s="201"/>
      <c r="K1207" s="78"/>
      <c r="L1207" s="78"/>
      <c r="M1207" s="78"/>
      <c r="N1207" s="78"/>
      <c r="O1207" s="78"/>
      <c r="P1207" s="78"/>
      <c r="Q1207" s="78"/>
    </row>
    <row r="1208" spans="1:17" s="87" customFormat="1" ht="114.75">
      <c r="A1208" s="188"/>
      <c r="B1208" s="80" t="s">
        <v>6302</v>
      </c>
      <c r="C1208" s="81" t="s">
        <v>7580</v>
      </c>
      <c r="D1208" s="82" t="s">
        <v>84</v>
      </c>
      <c r="E1208" s="82" t="s">
        <v>150</v>
      </c>
      <c r="F1208" s="83"/>
      <c r="G1208" s="84"/>
      <c r="H1208" s="85">
        <f>SUM(H1209:H1209)</f>
        <v>188</v>
      </c>
      <c r="J1208" s="201"/>
      <c r="K1208" s="78"/>
      <c r="L1208" s="78"/>
      <c r="M1208" s="78"/>
      <c r="N1208" s="78"/>
      <c r="O1208" s="78"/>
      <c r="P1208" s="78"/>
      <c r="Q1208" s="78"/>
    </row>
    <row r="1209" spans="1:17" s="87" customFormat="1" ht="114.75">
      <c r="A1209" s="232" t="s">
        <v>12</v>
      </c>
      <c r="B1209" s="464" t="s">
        <v>7579</v>
      </c>
      <c r="C1209" s="451" t="str">
        <f>IF(A1209="SERVIÇO",VLOOKUP(B1209,SERVIÇOS!$A$6:$D$7645,2,0),IF(A1209="INSUMO",VLOOKUP(B1209,INSUMOS!$A$6:$D$6961,2,0),IF(A1209="COTAÇÃO",VLOOKUP(B1209,'036-20-Cotação'!$A$9:$G$529,2,0))))</f>
        <v>REMOÇÃO DE PAVIMENTO DERMASFALT COM TUNEL DE AQUECIEMTO TERMOFUSOR INCLUSIVE LIMPEZA PARA APLICAÇÃO DO NOVO PAVIMENTO E TRANSPORTE DO MATERIAL REMOVIDO ATÉ O LOCAL DE ARMAZENAMENTO NO CANTERIO DE OBRAS. INCLUSO MÃO DE OBRA, EQUIPAMENTOS E FERRAMENTAS CONFORME PROPOSTA COMERCIAL</v>
      </c>
      <c r="D1209" s="452" t="str">
        <f>IF(A1209="SERVIÇO",VLOOKUP(B1209,SERVIÇOS!$A$6:$E$7645,5,0),IF(A1209="INSUMO",VLOOKUP(B1209,INSUMOS!$A$6:$E$6961,5,0),IF(A1209="COTAÇÃO",VLOOKUP(B1209,'036-20-Cotação'!$A$9:$H$529,8,0))))</f>
        <v>MAT.</v>
      </c>
      <c r="E1209" s="452" t="str">
        <f>IF(A1209="SERVIÇO",VLOOKUP(B1209,SERVIÇOS!$A$6:$D$7645,3,0),IF(A1209="INSUMO",VLOOKUP(B1209,INSUMOS!$A$6:$D$6961,3,0),IF(A1209="COTAÇÃO",VLOOKUP(B1209,'036-20-Cotação'!$A$9:$G$529,4,0))))</f>
        <v>M2</v>
      </c>
      <c r="F1209" s="462">
        <v>1</v>
      </c>
      <c r="G1209" s="453">
        <f>IF(A1209="SERVIÇO",VLOOKUP(B1209,SERVIÇOS!$A$6:$D$7645,4,0),IF(A1209="INSUMO",VLOOKUP(B1209,INSUMOS!$A$6:$D$6961,4,0),IF(A1209="COTAÇÃO",VLOOKUP(B1209,'036-20-Cotação'!$A$9:$G$529,3,0))))</f>
        <v>188</v>
      </c>
      <c r="H1209" s="463">
        <f>G1209*F1209</f>
        <v>188</v>
      </c>
      <c r="J1209" s="201"/>
    </row>
    <row r="1210" spans="1:17" s="87" customFormat="1" ht="12.75">
      <c r="A1210" s="188"/>
      <c r="B1210" s="346"/>
      <c r="C1210" s="695" t="s">
        <v>7883</v>
      </c>
      <c r="D1210" s="696"/>
      <c r="E1210" s="696"/>
      <c r="F1210" s="696"/>
      <c r="G1210" s="696"/>
      <c r="H1210" s="697"/>
      <c r="J1210" s="201"/>
      <c r="K1210" s="78"/>
      <c r="L1210" s="78"/>
      <c r="M1210" s="78"/>
      <c r="N1210" s="78"/>
      <c r="O1210" s="78"/>
      <c r="P1210" s="78"/>
      <c r="Q1210" s="78"/>
    </row>
    <row r="1211" spans="1:17" s="87" customFormat="1" ht="12.75">
      <c r="A1211" s="188"/>
      <c r="B1211" s="346"/>
      <c r="C1211" s="397"/>
      <c r="D1211" s="397"/>
      <c r="E1211" s="397"/>
      <c r="F1211" s="397"/>
      <c r="G1211" s="397"/>
      <c r="H1211" s="398"/>
      <c r="J1211" s="201"/>
      <c r="K1211" s="78"/>
      <c r="L1211" s="78"/>
      <c r="M1211" s="78"/>
      <c r="N1211" s="78"/>
      <c r="O1211" s="78"/>
      <c r="P1211" s="78"/>
      <c r="Q1211" s="78"/>
    </row>
    <row r="1212" spans="1:17" s="87" customFormat="1" ht="89.25">
      <c r="A1212" s="188"/>
      <c r="B1212" s="80" t="s">
        <v>6303</v>
      </c>
      <c r="C1212" s="81" t="s">
        <v>8288</v>
      </c>
      <c r="D1212" s="82" t="s">
        <v>84</v>
      </c>
      <c r="E1212" s="82" t="s">
        <v>150</v>
      </c>
      <c r="F1212" s="83"/>
      <c r="G1212" s="84"/>
      <c r="H1212" s="85">
        <f>SUM(H1213:H1218)</f>
        <v>57.83265903667791</v>
      </c>
      <c r="J1212" s="201"/>
      <c r="K1212" s="78"/>
      <c r="L1212" s="78"/>
      <c r="M1212" s="78"/>
      <c r="N1212" s="78"/>
      <c r="O1212" s="78"/>
      <c r="P1212" s="78"/>
      <c r="Q1212" s="78"/>
    </row>
    <row r="1213" spans="1:17" s="87" customFormat="1" ht="63.75">
      <c r="A1213" s="232" t="s">
        <v>12</v>
      </c>
      <c r="B1213" s="464" t="s">
        <v>7359</v>
      </c>
      <c r="C1213" s="451" t="str">
        <f>IF(A1213="SERVIÇO",VLOOKUP(B1213,SERVIÇOS!$A$6:$D$7645,2,0),IF(A1213="INSUMO",VLOOKUP(B1213,INSUMOS!$A$6:$D$6961,2,0),IF(A1213="COTAÇÃO",VLOOKUP(B1213,'036-20-Cotação'!$A$9:$G$529,2,0))))</f>
        <v>RESINA POLIURETANO PARTE "A", TRANSPARENTE, ALTO DESEMPENHO, ANTI-GRAFITE. PRODUTO DE REFERÊNCIA MC-COLOR PROOF VISION – MC BAUCHEMIE OU EQUIVALENTE.</v>
      </c>
      <c r="D1213" s="452" t="str">
        <f>IF(A1213="SERVIÇO",VLOOKUP(B1213,SERVIÇOS!$A$6:$E$7645,5,0),IF(A1213="INSUMO",VLOOKUP(B1213,INSUMOS!$A$6:$E$6961,5,0),IF(A1213="COTAÇÃO",VLOOKUP(B1213,'036-20-Cotação'!$A$9:$H$529,8,0))))</f>
        <v>MAT.</v>
      </c>
      <c r="E1213" s="452" t="str">
        <f>IF(A1213="SERVIÇO",VLOOKUP(B1213,SERVIÇOS!$A$6:$D$7645,3,0),IF(A1213="INSUMO",VLOOKUP(B1213,INSUMOS!$A$6:$D$6961,3,0),IF(A1213="COTAÇÃO",VLOOKUP(B1213,'036-20-Cotação'!$A$9:$G$529,4,0))))</f>
        <v>KG</v>
      </c>
      <c r="F1213" s="462">
        <v>0.29166666666666663</v>
      </c>
      <c r="G1213" s="453">
        <f>IF(A1213="SERVIÇO",VLOOKUP(B1213,SERVIÇOS!$A$6:$D$7645,4,0),IF(A1213="INSUMO",VLOOKUP(B1213,INSUMOS!$A$6:$D$6961,4,0),IF(A1213="COTAÇÃO",VLOOKUP(B1213,'036-20-Cotação'!$A$9:$G$529,3,0))))</f>
        <v>117.51868885497734</v>
      </c>
      <c r="H1213" s="463">
        <f t="shared" ref="H1213:H1217" si="190">G1213*F1213</f>
        <v>34.276284249368388</v>
      </c>
      <c r="J1213" s="201"/>
    </row>
    <row r="1214" spans="1:17" s="87" customFormat="1" ht="63.75">
      <c r="A1214" s="232" t="s">
        <v>12</v>
      </c>
      <c r="B1214" s="464" t="s">
        <v>8280</v>
      </c>
      <c r="C1214" s="451" t="str">
        <f>IF(A1214="SERVIÇO",VLOOKUP(B1214,SERVIÇOS!$A$6:$D$7645,2,0),IF(A1214="INSUMO",VLOOKUP(B1214,INSUMOS!$A$6:$D$6961,2,0),IF(A1214="COTAÇÃO",VLOOKUP(B1214,'036-20-Cotação'!$A$9:$G$529,2,0))))</f>
        <v>RESINA POLIURETANO PARTE "B", TRANSPARENTE, ALTO DESEMPENHO, ANTI-GRAFITE. PRODUTO DE REFERÊNCIA MC-COLOR PROOF VISION – MC BAUCHEMIE OU EQUIVALENTE.</v>
      </c>
      <c r="D1214" s="452" t="str">
        <f>IF(A1214="SERVIÇO",VLOOKUP(B1214,SERVIÇOS!$A$6:$E$7645,5,0),IF(A1214="INSUMO",VLOOKUP(B1214,INSUMOS!$A$6:$E$6961,5,0),IF(A1214="COTAÇÃO",VLOOKUP(B1214,'036-20-Cotação'!$A$9:$H$529,8,0))))</f>
        <v>MAT.</v>
      </c>
      <c r="E1214" s="452" t="str">
        <f>IF(A1214="SERVIÇO",VLOOKUP(B1214,SERVIÇOS!$A$6:$D$7645,3,0),IF(A1214="INSUMO",VLOOKUP(B1214,INSUMOS!$A$6:$D$6961,3,0),IF(A1214="COTAÇÃO",VLOOKUP(B1214,'036-20-Cotação'!$A$9:$G$529,4,0))))</f>
        <v>KG</v>
      </c>
      <c r="F1214" s="462">
        <v>5.83333333333333E-2</v>
      </c>
      <c r="G1214" s="453">
        <f>IF(A1214="SERVIÇO",VLOOKUP(B1214,SERVIÇOS!$A$6:$D$7645,4,0),IF(A1214="INSUMO",VLOOKUP(B1214,INSUMOS!$A$6:$D$6961,4,0),IF(A1214="COTAÇÃO",VLOOKUP(B1214,'036-20-Cotação'!$A$9:$G$529,3,0))))</f>
        <v>382.20363852530625</v>
      </c>
      <c r="H1214" s="463">
        <f t="shared" ref="H1214" si="191">G1214*F1214</f>
        <v>22.295212247309518</v>
      </c>
      <c r="J1214" s="201"/>
    </row>
    <row r="1215" spans="1:17" s="87" customFormat="1" ht="12.75">
      <c r="A1215" s="232" t="s">
        <v>4542</v>
      </c>
      <c r="B1215" s="464" t="s">
        <v>6602</v>
      </c>
      <c r="C1215" s="451" t="str">
        <f>IF(A1215="SERVIÇO",VLOOKUP(B1215,SERVIÇOS!$A$6:$D$7645,2,0),IF(A1215="INSUMO",VLOOKUP(B1215,INSUMOS!$A$6:$D$6961,2,0),IF(A1215="COTAÇÃO",VLOOKUP(B1215,'036-20-Cotação'!$A$9:$G$529,2,0))))</f>
        <v>SERVENTE</v>
      </c>
      <c r="D1215" s="452" t="str">
        <f>IF(A1215="SERVIÇO",VLOOKUP(B1215,SERVIÇOS!$A$6:$E$7645,5,0),IF(A1215="INSUMO",VLOOKUP(B1215,INSUMOS!$A$6:$E$6961,5,0),IF(A1215="COTAÇÃO",VLOOKUP(B1215,'036-20-Cotação'!$A$9:$H$529,8,0))))</f>
        <v>M.O</v>
      </c>
      <c r="E1215" s="452" t="str">
        <f>IF(A1215="SERVIÇO",VLOOKUP(B1215,SERVIÇOS!$A$6:$D$7645,3,0),IF(A1215="INSUMO",VLOOKUP(B1215,INSUMOS!$A$6:$D$6961,3,0),IF(A1215="COTAÇÃO",VLOOKUP(B1215,'036-20-Cotação'!$A$9:$G$529,4,0))))</f>
        <v>H</v>
      </c>
      <c r="F1215" s="462">
        <v>1.7000000000000001E-2</v>
      </c>
      <c r="G1215" s="453">
        <f>IF(A1215="SERVIÇO",VLOOKUP(B1215,SERVIÇOS!$A$6:$D$7645,4,0),IF(A1215="INSUMO",VLOOKUP(B1215,INSUMOS!$A$6:$D$6961,4,0),IF(A1215="COTAÇÃO",VLOOKUP(B1215,'036-20-Cotação'!$A$9:$G$529,3,0))))</f>
        <v>15.637499999999999</v>
      </c>
      <c r="H1215" s="463">
        <f t="shared" si="190"/>
        <v>0.2658375</v>
      </c>
      <c r="J1215" s="201"/>
    </row>
    <row r="1216" spans="1:17" s="87" customFormat="1" ht="38.25">
      <c r="A1216" s="232" t="s">
        <v>4542</v>
      </c>
      <c r="B1216" s="464" t="s">
        <v>8276</v>
      </c>
      <c r="C1216" s="451" t="str">
        <f>'036-20-CCA''s'!$C$105</f>
        <v>PULVERIZADOR DE TINTA ELÉTRICO/MÁQUINA DE PINTURA AIRLESS, VAZÃO 2 L/MIN - CHP DIURNO. AF_08/2016</v>
      </c>
      <c r="D1216" s="452" t="str">
        <f>'036-20-CCA''s'!$D$105</f>
        <v xml:space="preserve">SER.CG </v>
      </c>
      <c r="E1216" s="452" t="str">
        <f>'036-20-CCA''s'!$E$105</f>
        <v>CHP</v>
      </c>
      <c r="F1216" s="462">
        <v>6.3E-3</v>
      </c>
      <c r="G1216" s="453">
        <f>'036-20-CCA''s'!$H$105</f>
        <v>22.485199999999999</v>
      </c>
      <c r="H1216" s="463">
        <f t="shared" si="190"/>
        <v>0.14165675999999999</v>
      </c>
      <c r="J1216" s="201"/>
    </row>
    <row r="1217" spans="1:17" s="87" customFormat="1" ht="38.25">
      <c r="A1217" s="232" t="s">
        <v>4542</v>
      </c>
      <c r="B1217" s="464" t="s">
        <v>8278</v>
      </c>
      <c r="C1217" s="451" t="str">
        <f>'036-20-CCA''s'!$C$113</f>
        <v>PULVERIZADOR DE TINTA ELÉTRICO/MÁQUINA DE PINTURA AIRLESS, VAZÃO 2 L/MIN - CHP DIURNO. AF_08/2016</v>
      </c>
      <c r="D1217" s="452" t="str">
        <f>'036-20-CCA''s'!$D$113</f>
        <v xml:space="preserve">SER.CG </v>
      </c>
      <c r="E1217" s="452" t="str">
        <f>'036-20-CCA''s'!$E$113</f>
        <v>CHI</v>
      </c>
      <c r="F1217" s="462">
        <v>3.8899999999999997E-2</v>
      </c>
      <c r="G1217" s="453">
        <f>'036-20-CCA''s'!$H$113</f>
        <v>21.9452</v>
      </c>
      <c r="H1217" s="463">
        <f t="shared" si="190"/>
        <v>0.85366827999999995</v>
      </c>
      <c r="J1217" s="201"/>
    </row>
    <row r="1218" spans="1:17" s="87" customFormat="1" ht="12.75">
      <c r="A1218" s="188"/>
      <c r="B1218" s="348" t="s">
        <v>123</v>
      </c>
      <c r="C1218" s="695" t="s">
        <v>8287</v>
      </c>
      <c r="D1218" s="696"/>
      <c r="E1218" s="696"/>
      <c r="F1218" s="696"/>
      <c r="G1218" s="696"/>
      <c r="H1218" s="697"/>
      <c r="J1218" s="201"/>
      <c r="K1218" s="78"/>
      <c r="L1218" s="78"/>
      <c r="M1218" s="78"/>
      <c r="N1218" s="78"/>
      <c r="O1218" s="78"/>
      <c r="P1218" s="78"/>
      <c r="Q1218" s="78"/>
    </row>
    <row r="1219" spans="1:17" s="78" customFormat="1" ht="12.75">
      <c r="A1219" s="188"/>
      <c r="B1219" s="346"/>
      <c r="C1219" s="347"/>
      <c r="D1219" s="347"/>
      <c r="E1219" s="347"/>
      <c r="F1219" s="347"/>
      <c r="G1219" s="347"/>
      <c r="H1219" s="347"/>
      <c r="J1219" s="79"/>
      <c r="K1219" s="87"/>
      <c r="L1219" s="87"/>
      <c r="M1219" s="87"/>
      <c r="N1219" s="87"/>
      <c r="O1219" s="87"/>
      <c r="P1219" s="87"/>
      <c r="Q1219" s="87"/>
    </row>
    <row r="1220" spans="1:17" s="78" customFormat="1" ht="38.25">
      <c r="A1220" s="188"/>
      <c r="B1220" s="80" t="s">
        <v>6304</v>
      </c>
      <c r="C1220" s="81" t="s">
        <v>8344</v>
      </c>
      <c r="D1220" s="82" t="s">
        <v>84</v>
      </c>
      <c r="E1220" s="82" t="s">
        <v>6107</v>
      </c>
      <c r="F1220" s="83"/>
      <c r="G1220" s="84"/>
      <c r="H1220" s="85">
        <f>SUM(H1221:H1221)</f>
        <v>0.50196374999999993</v>
      </c>
      <c r="J1220" s="79"/>
      <c r="K1220" s="87"/>
      <c r="L1220" s="87"/>
      <c r="M1220" s="87"/>
      <c r="N1220" s="87"/>
      <c r="O1220" s="87"/>
      <c r="P1220" s="87"/>
      <c r="Q1220" s="87"/>
    </row>
    <row r="1221" spans="1:17" s="87" customFormat="1" ht="12.75">
      <c r="A1221" s="232" t="s">
        <v>4542</v>
      </c>
      <c r="B1221" s="464" t="s">
        <v>6602</v>
      </c>
      <c r="C1221" s="451" t="str">
        <f>IF(A1221="SERVIÇO",VLOOKUP(B1221,SERVIÇOS!$A$6:$D$7645,2,0),IF(A1221="INSUMO",VLOOKUP(B1221,INSUMOS!$A$6:$D$6961,2,0),IF(A1221="COTAÇÃO",VLOOKUP(B1221,'036-20-Cotação'!$A$9:$G$529,2,0))))</f>
        <v>SERVENTE</v>
      </c>
      <c r="D1221" s="452" t="str">
        <f>IF(A1221="SERVIÇO",VLOOKUP(B1221,SERVIÇOS!$A$6:$E$7645,5,0),IF(A1221="INSUMO",VLOOKUP(B1221,INSUMOS!$A$6:$E$6961,5,0),IF(A1221="COTAÇÃO",VLOOKUP(B1221,'036-20-Cotação'!$A$9:$H$529,8,0))))</f>
        <v>M.O</v>
      </c>
      <c r="E1221" s="452" t="str">
        <f>IF(A1221="SERVIÇO",VLOOKUP(B1221,SERVIÇOS!$A$6:$D$7645,3,0),IF(A1221="INSUMO",VLOOKUP(B1221,INSUMOS!$A$6:$D$6961,3,0),IF(A1221="COTAÇÃO",VLOOKUP(B1221,'036-20-Cotação'!$A$9:$G$529,4,0))))</f>
        <v>H</v>
      </c>
      <c r="F1221" s="462">
        <f>0.0321</f>
        <v>3.2099999999999997E-2</v>
      </c>
      <c r="G1221" s="453">
        <f>IF(A1221="SERVIÇO",VLOOKUP(B1221,SERVIÇOS!$A$6:$D$7645,4,0),IF(A1221="INSUMO",VLOOKUP(B1221,INSUMOS!$A$6:$D$6961,4,0),IF(A1221="COTAÇÃO",VLOOKUP(B1221,'036-20-Cotação'!$A$9:$G$529,3,0))))</f>
        <v>15.637499999999999</v>
      </c>
      <c r="H1221" s="463">
        <f t="shared" ref="H1221" si="192">G1221*F1221</f>
        <v>0.50196374999999993</v>
      </c>
      <c r="J1221" s="201"/>
    </row>
    <row r="1222" spans="1:17" s="87" customFormat="1" ht="12.75">
      <c r="A1222" s="188"/>
      <c r="B1222" s="348" t="s">
        <v>123</v>
      </c>
      <c r="C1222" s="695" t="s">
        <v>8304</v>
      </c>
      <c r="D1222" s="696"/>
      <c r="E1222" s="696"/>
      <c r="F1222" s="696"/>
      <c r="G1222" s="696"/>
      <c r="H1222" s="697"/>
      <c r="J1222" s="201"/>
    </row>
    <row r="1223" spans="1:17" s="87" customFormat="1" ht="12.75">
      <c r="A1223" s="188"/>
      <c r="B1223" s="346"/>
      <c r="C1223" s="407"/>
      <c r="D1223" s="407"/>
      <c r="E1223" s="407"/>
      <c r="F1223" s="407"/>
      <c r="G1223" s="407"/>
      <c r="H1223" s="408"/>
      <c r="J1223" s="201"/>
      <c r="K1223" s="78"/>
      <c r="L1223" s="78"/>
      <c r="M1223" s="78"/>
      <c r="N1223" s="78"/>
      <c r="O1223" s="78"/>
      <c r="P1223" s="78"/>
      <c r="Q1223" s="78"/>
    </row>
    <row r="1224" spans="1:17" s="87" customFormat="1" ht="25.5">
      <c r="A1224" s="188"/>
      <c r="B1224" s="80" t="s">
        <v>8475</v>
      </c>
      <c r="C1224" s="81" t="s">
        <v>8476</v>
      </c>
      <c r="D1224" s="82" t="s">
        <v>84</v>
      </c>
      <c r="E1224" s="82" t="s">
        <v>5</v>
      </c>
      <c r="F1224" s="83"/>
      <c r="G1224" s="84"/>
      <c r="H1224" s="85">
        <f>SUM(H1225:H1228)</f>
        <v>12.677197331668363</v>
      </c>
      <c r="J1224" s="201"/>
      <c r="K1224" s="78"/>
      <c r="L1224" s="78"/>
      <c r="M1224" s="78"/>
      <c r="N1224" s="78"/>
      <c r="O1224" s="78"/>
      <c r="P1224" s="78"/>
      <c r="Q1224" s="78"/>
    </row>
    <row r="1225" spans="1:17" s="87" customFormat="1" ht="12.75">
      <c r="A1225" s="232" t="s">
        <v>4542</v>
      </c>
      <c r="B1225" s="464" t="s">
        <v>6825</v>
      </c>
      <c r="C1225" s="451" t="str">
        <f>IF(A1225="SERVIÇO",VLOOKUP(B1225,SERVIÇOS!$A$6:$D$7645,2,0),IF(A1225="INSUMO",VLOOKUP(B1225,INSUMOS!$A$6:$D$6961,2,0),IF(A1225="COTAÇÃO",VLOOKUP(B1225,'036-20-Cotação'!$A$9:$G$529,2,0))))</f>
        <v>AJUDANTE</v>
      </c>
      <c r="D1225" s="452" t="str">
        <f>IF(A1225="SERVIÇO",VLOOKUP(B1225,SERVIÇOS!$A$6:$E$7645,5,0),IF(A1225="INSUMO",VLOOKUP(B1225,INSUMOS!$A$6:$E$6961,5,0),IF(A1225="COTAÇÃO",VLOOKUP(B1225,'036-20-Cotação'!$A$9:$H$529,8,0))))</f>
        <v>M.O</v>
      </c>
      <c r="E1225" s="452" t="str">
        <f>IF(A1225="SERVIÇO",VLOOKUP(B1225,SERVIÇOS!$A$6:$D$7645,3,0),IF(A1225="INSUMO",VLOOKUP(B1225,INSUMOS!$A$6:$D$6961,3,0),IF(A1225="COTAÇÃO",VLOOKUP(B1225,'036-20-Cotação'!$A$9:$G$529,4,0))))</f>
        <v>H</v>
      </c>
      <c r="F1225" s="462">
        <v>0.2</v>
      </c>
      <c r="G1225" s="453">
        <f>IF(A1225="SERVIÇO",VLOOKUP(B1225,SERVIÇOS!$A$6:$D$7645,4,0),IF(A1225="INSUMO",VLOOKUP(B1225,INSUMOS!$A$6:$D$6961,4,0),IF(A1225="COTAÇÃO",VLOOKUP(B1225,'036-20-Cotação'!$A$9:$G$529,3,0))))</f>
        <v>17.9801</v>
      </c>
      <c r="H1225" s="463">
        <f t="shared" ref="H1225:H1227" si="193">G1225*F1225</f>
        <v>3.5960200000000002</v>
      </c>
      <c r="J1225" s="201"/>
    </row>
    <row r="1226" spans="1:17" s="87" customFormat="1" ht="12.75">
      <c r="A1226" s="232" t="s">
        <v>4542</v>
      </c>
      <c r="B1226" s="464" t="s">
        <v>6601</v>
      </c>
      <c r="C1226" s="451" t="str">
        <f>IF(A1226="SERVIÇO",VLOOKUP(B1226,SERVIÇOS!$A$6:$D$7645,2,0),IF(A1226="INSUMO",VLOOKUP(B1226,INSUMOS!$A$6:$D$6961,2,0),IF(A1226="COTAÇÃO",VLOOKUP(B1226,'036-20-Cotação'!$A$9:$G$529,2,0))))</f>
        <v>MONTADOR</v>
      </c>
      <c r="D1226" s="452" t="str">
        <f>IF(A1226="SERVIÇO",VLOOKUP(B1226,SERVIÇOS!$A$6:$E$7645,5,0),IF(A1226="INSUMO",VLOOKUP(B1226,INSUMOS!$A$6:$E$6961,5,0),IF(A1226="COTAÇÃO",VLOOKUP(B1226,'036-20-Cotação'!$A$9:$H$529,8,0))))</f>
        <v>M.O</v>
      </c>
      <c r="E1226" s="452" t="str">
        <f>IF(A1226="SERVIÇO",VLOOKUP(B1226,SERVIÇOS!$A$6:$D$7645,3,0),IF(A1226="INSUMO",VLOOKUP(B1226,INSUMOS!$A$6:$D$6961,3,0),IF(A1226="COTAÇÃO",VLOOKUP(B1226,'036-20-Cotação'!$A$9:$G$529,4,0))))</f>
        <v>H</v>
      </c>
      <c r="F1226" s="462">
        <v>0.2</v>
      </c>
      <c r="G1226" s="453">
        <f>IF(A1226="SERVIÇO",VLOOKUP(B1226,SERVIÇOS!$A$6:$D$7645,4,0),IF(A1226="INSUMO",VLOOKUP(B1226,INSUMOS!$A$6:$D$6961,4,0),IF(A1226="COTAÇÃO",VLOOKUP(B1226,'036-20-Cotação'!$A$9:$G$529,3,0))))</f>
        <v>23.4679</v>
      </c>
      <c r="H1226" s="463">
        <f t="shared" si="193"/>
        <v>4.6935799999999999</v>
      </c>
      <c r="J1226" s="201"/>
    </row>
    <row r="1227" spans="1:17" s="87" customFormat="1" ht="25.5">
      <c r="A1227" s="232" t="s">
        <v>12</v>
      </c>
      <c r="B1227" s="464" t="s">
        <v>8478</v>
      </c>
      <c r="C1227" s="451" t="str">
        <f>IF(A1227="SERVIÇO",VLOOKUP(B1227,SERVIÇOS!$A$6:$D$7645,2,0),IF(A1227="INSUMO",VLOOKUP(B1227,INSUMOS!$A$6:$D$6961,2,0),IF(A1227="COTAÇÃO",VLOOKUP(B1227,'036-20-Cotação'!$A$9:$G$529,2,0))))</f>
        <v>CABO DE AÇO 3/16" REVESTIDO EM PVC</v>
      </c>
      <c r="D1227" s="452" t="str">
        <f>IF(A1227="SERVIÇO",VLOOKUP(B1227,SERVIÇOS!$A$6:$E$7645,5,0),IF(A1227="INSUMO",VLOOKUP(B1227,INSUMOS!$A$6:$E$6961,5,0),IF(A1227="COTAÇÃO",VLOOKUP(B1227,'036-20-Cotação'!$A$9:$H$529,8,0))))</f>
        <v>MAT.</v>
      </c>
      <c r="E1227" s="452" t="str">
        <f>IF(A1227="SERVIÇO",VLOOKUP(B1227,SERVIÇOS!$A$6:$D$7645,3,0),IF(A1227="INSUMO",VLOOKUP(B1227,INSUMOS!$A$6:$D$6961,3,0),IF(A1227="COTAÇÃO",VLOOKUP(B1227,'036-20-Cotação'!$A$9:$G$529,4,0))))</f>
        <v>M</v>
      </c>
      <c r="F1227" s="462">
        <v>1.05</v>
      </c>
      <c r="G1227" s="453">
        <f>IF(A1227="SERVIÇO",VLOOKUP(B1227,SERVIÇOS!$A$6:$D$7645,4,0),IF(A1227="INSUMO",VLOOKUP(B1227,INSUMOS!$A$6:$D$6961,4,0),IF(A1227="COTAÇÃO",VLOOKUP(B1227,'036-20-Cotação'!$A$9:$G$529,3,0))))</f>
        <v>4.1786641253984422</v>
      </c>
      <c r="H1227" s="463">
        <f t="shared" si="193"/>
        <v>4.3875973316683643</v>
      </c>
      <c r="J1227" s="201"/>
    </row>
    <row r="1228" spans="1:17" s="87" customFormat="1" ht="12.75">
      <c r="A1228" s="188"/>
      <c r="B1228" s="348" t="s">
        <v>123</v>
      </c>
      <c r="C1228" s="695" t="s">
        <v>8477</v>
      </c>
      <c r="D1228" s="696"/>
      <c r="E1228" s="696"/>
      <c r="F1228" s="696"/>
      <c r="G1228" s="696"/>
      <c r="H1228" s="697"/>
      <c r="J1228" s="201"/>
      <c r="K1228" s="78"/>
      <c r="L1228" s="78"/>
      <c r="M1228" s="78"/>
      <c r="N1228" s="78"/>
      <c r="O1228" s="78"/>
      <c r="P1228" s="78"/>
      <c r="Q1228" s="78"/>
    </row>
    <row r="1229" spans="1:17" s="87" customFormat="1" ht="12.75">
      <c r="A1229" s="188"/>
      <c r="B1229" s="346"/>
      <c r="C1229" s="489"/>
      <c r="D1229" s="489"/>
      <c r="E1229" s="489"/>
      <c r="F1229" s="489"/>
      <c r="G1229" s="489"/>
      <c r="H1229" s="490"/>
      <c r="J1229" s="201"/>
      <c r="K1229" s="78"/>
      <c r="L1229" s="78"/>
      <c r="M1229" s="78"/>
      <c r="N1229" s="78"/>
      <c r="O1229" s="78"/>
      <c r="P1229" s="78"/>
      <c r="Q1229" s="78"/>
    </row>
    <row r="1230" spans="1:17" s="87" customFormat="1" ht="38.25">
      <c r="A1230" s="188"/>
      <c r="B1230" s="80" t="s">
        <v>13407</v>
      </c>
      <c r="C1230" s="81" t="s">
        <v>13408</v>
      </c>
      <c r="D1230" s="82" t="s">
        <v>84</v>
      </c>
      <c r="E1230" s="82" t="s">
        <v>150</v>
      </c>
      <c r="F1230" s="83"/>
      <c r="G1230" s="84"/>
      <c r="H1230" s="85">
        <f>SUM(H1236:H1237)</f>
        <v>29.466349999999998</v>
      </c>
      <c r="J1230" s="201"/>
      <c r="K1230" s="78"/>
      <c r="L1230" s="78"/>
      <c r="M1230" s="78"/>
      <c r="N1230" s="78"/>
      <c r="O1230" s="78"/>
      <c r="P1230" s="78"/>
      <c r="Q1230" s="78"/>
    </row>
    <row r="1231" spans="1:17" s="87" customFormat="1" ht="12.75">
      <c r="A1231" s="232" t="s">
        <v>4544</v>
      </c>
      <c r="B1231" s="464" t="s">
        <v>7350</v>
      </c>
      <c r="C1231" s="451" t="str">
        <f>IF(A1231="SERVIÇO",VLOOKUP(B1231,SERVIÇOS!$A$6:$D$7645,2,0),IF(A1231="INSUMO",VLOOKUP(B1231,INSUMOS!$A$6:$D$6961,2,0),IF(A1231="COTAÇÃO",VLOOKUP(B1231,'036-20-Cotação'!$A$9:$G$529,2,0))))</f>
        <v>CIMENTO PORTLAND CP II - 32</v>
      </c>
      <c r="D1231" s="452" t="str">
        <f>IF(A1231="SERVIÇO",VLOOKUP(B1231,SERVIÇOS!$A$6:$E$7645,5,0),IF(A1231="INSUMO",VLOOKUP(B1231,INSUMOS!$A$6:$E$6961,5,0),IF(A1231="COTAÇÃO",VLOOKUP(B1231,'036-20-Cotação'!$A$9:$H$529,8,0))))</f>
        <v>MAT.</v>
      </c>
      <c r="E1231" s="452" t="str">
        <f>IF(A1231="SERVIÇO",VLOOKUP(B1231,SERVIÇOS!$A$6:$D$7645,3,0),IF(A1231="INSUMO",VLOOKUP(B1231,INSUMOS!$A$6:$D$6961,3,0),IF(A1231="COTAÇÃO",VLOOKUP(B1231,'036-20-Cotação'!$A$9:$G$529,4,0))))</f>
        <v>KG</v>
      </c>
      <c r="F1231" s="462">
        <v>0.15</v>
      </c>
      <c r="G1231" s="453">
        <f>IF(A1231="SERVIÇO",VLOOKUP(B1231,SERVIÇOS!$A$6:$D$7645,4,0),IF(A1231="INSUMO",VLOOKUP(B1231,INSUMOS!$A$6:$D$6961,4,0),IF(A1231="COTAÇÃO",VLOOKUP(B1231,'036-20-Cotação'!$A$9:$G$529,3,0))))</f>
        <v>0.44140000000000001</v>
      </c>
      <c r="H1231" s="463">
        <f t="shared" ref="H1231:H1235" si="194">G1231*F1231</f>
        <v>6.6210000000000005E-2</v>
      </c>
      <c r="J1231" s="201"/>
    </row>
    <row r="1232" spans="1:17" s="87" customFormat="1" ht="12.75">
      <c r="A1232" s="232" t="s">
        <v>4544</v>
      </c>
      <c r="B1232" s="464">
        <v>1380</v>
      </c>
      <c r="C1232" s="451" t="str">
        <f>IF(A1232="SERVIÇO",VLOOKUP(B1232,SERVIÇOS!$A$6:$D$7645,2,0),IF(A1232="INSUMO",VLOOKUP(B1232,INSUMOS!$A$6:$D$6961,2,0),IF(A1232="COTAÇÃO",VLOOKUP(B1232,'036-20-Cotação'!$A$9:$G$529,2,0))))</f>
        <v xml:space="preserve">CIMENTO BRANCO                                                                                                                                                                                                                                                                                                                                                                                                                                                                                            </v>
      </c>
      <c r="D1232" s="452" t="str">
        <f>IF(A1232="SERVIÇO",VLOOKUP(B1232,SERVIÇOS!$A$6:$E$7645,5,0),IF(A1232="INSUMO",VLOOKUP(B1232,INSUMOS!$A$6:$E$6961,5,0),IF(A1232="COTAÇÃO",VLOOKUP(B1232,'036-20-Cotação'!$A$9:$H$529,8,0))))</f>
        <v>MAT.</v>
      </c>
      <c r="E1232" s="452" t="str">
        <f>IF(A1232="SERVIÇO",VLOOKUP(B1232,SERVIÇOS!$A$6:$D$7645,3,0),IF(A1232="INSUMO",VLOOKUP(B1232,INSUMOS!$A$6:$D$6961,3,0),IF(A1232="COTAÇÃO",VLOOKUP(B1232,'036-20-Cotação'!$A$9:$G$529,4,0))))</f>
        <v xml:space="preserve">KG    </v>
      </c>
      <c r="F1232" s="462">
        <v>0.15</v>
      </c>
      <c r="G1232" s="453" t="str">
        <f>IF(A1232="SERVIÇO",VLOOKUP(B1232,SERVIÇOS!$A$6:$D$7645,4,0),IF(A1232="INSUMO",VLOOKUP(B1232,INSUMOS!$A$6:$D$6961,4,0),IF(A1232="COTAÇÃO",VLOOKUP(B1232,'036-20-Cotação'!$A$9:$G$529,3,0))))</f>
        <v>2,57</v>
      </c>
      <c r="H1232" s="463">
        <f t="shared" si="194"/>
        <v>0.38549999999999995</v>
      </c>
      <c r="J1232" s="201"/>
    </row>
    <row r="1233" spans="1:17" s="87" customFormat="1" ht="12.75">
      <c r="A1233" s="232" t="s">
        <v>4544</v>
      </c>
      <c r="B1233" s="464" t="s">
        <v>7528</v>
      </c>
      <c r="C1233" s="451" t="str">
        <f>IF(A1233="SERVIÇO",VLOOKUP(B1233,SERVIÇOS!$A$6:$D$7645,2,0),IF(A1233="INSUMO",VLOOKUP(B1233,INSUMOS!$A$6:$D$6961,2,0),IF(A1233="COTAÇÃO",VLOOKUP(B1233,'036-20-Cotação'!$A$9:$G$529,2,0))))</f>
        <v>LIXA PARA FERRO</v>
      </c>
      <c r="D1233" s="452" t="str">
        <f>IF(A1233="SERVIÇO",VLOOKUP(B1233,SERVIÇOS!$A$6:$E$7645,5,0),IF(A1233="INSUMO",VLOOKUP(B1233,INSUMOS!$A$6:$E$6961,5,0),IF(A1233="COTAÇÃO",VLOOKUP(B1233,'036-20-Cotação'!$A$9:$H$529,8,0))))</f>
        <v>MAT.</v>
      </c>
      <c r="E1233" s="452" t="str">
        <f>IF(A1233="SERVIÇO",VLOOKUP(B1233,SERVIÇOS!$A$6:$D$7645,3,0),IF(A1233="INSUMO",VLOOKUP(B1233,INSUMOS!$A$6:$D$6961,3,0),IF(A1233="COTAÇÃO",VLOOKUP(B1233,'036-20-Cotação'!$A$9:$G$529,4,0))))</f>
        <v>UN</v>
      </c>
      <c r="F1233" s="462">
        <v>0.17</v>
      </c>
      <c r="G1233" s="453">
        <f>IF(A1233="SERVIÇO",VLOOKUP(B1233,SERVIÇOS!$A$6:$D$7645,4,0),IF(A1233="INSUMO",VLOOKUP(B1233,INSUMOS!$A$6:$D$6961,4,0),IF(A1233="COTAÇÃO",VLOOKUP(B1233,'036-20-Cotação'!$A$9:$G$529,3,0))))</f>
        <v>3.3073999999999999</v>
      </c>
      <c r="H1233" s="463">
        <f t="shared" si="194"/>
        <v>0.56225800000000004</v>
      </c>
      <c r="J1233" s="201"/>
    </row>
    <row r="1234" spans="1:17" s="87" customFormat="1" ht="12.75">
      <c r="A1234" s="232" t="s">
        <v>4544</v>
      </c>
      <c r="B1234" s="464">
        <v>11849</v>
      </c>
      <c r="C1234" s="451" t="str">
        <f>IF(A1234="SERVIÇO",VLOOKUP(B1234,SERVIÇOS!$A$6:$D$7645,2,0),IF(A1234="INSUMO",VLOOKUP(B1234,INSUMOS!$A$6:$D$6961,2,0),IF(A1234="COTAÇÃO",VLOOKUP(B1234,'036-20-Cotação'!$A$9:$G$529,2,0))))</f>
        <v xml:space="preserve">COLA BRANCA BASE PVA                                                                                                                                                                                                                                                                                                                                                                                                                                                                                      </v>
      </c>
      <c r="D1234" s="452" t="str">
        <f>IF(A1234="SERVIÇO",VLOOKUP(B1234,SERVIÇOS!$A$6:$E$7645,5,0),IF(A1234="INSUMO",VLOOKUP(B1234,INSUMOS!$A$6:$E$6961,5,0),IF(A1234="COTAÇÃO",VLOOKUP(B1234,'036-20-Cotação'!$A$9:$H$529,8,0))))</f>
        <v>MAT.</v>
      </c>
      <c r="E1234" s="452" t="str">
        <f>IF(A1234="SERVIÇO",VLOOKUP(B1234,SERVIÇOS!$A$6:$D$7645,3,0),IF(A1234="INSUMO",VLOOKUP(B1234,INSUMOS!$A$6:$D$6961,3,0),IF(A1234="COTAÇÃO",VLOOKUP(B1234,'036-20-Cotação'!$A$9:$G$529,4,0))))</f>
        <v xml:space="preserve">L     </v>
      </c>
      <c r="F1234" s="462">
        <v>0.1</v>
      </c>
      <c r="G1234" s="453" t="str">
        <f>IF(A1234="SERVIÇO",VLOOKUP(B1234,SERVIÇOS!$A$6:$D$7645,4,0),IF(A1234="INSUMO",VLOOKUP(B1234,INSUMOS!$A$6:$D$6961,4,0),IF(A1234="COTAÇÃO",VLOOKUP(B1234,'036-20-Cotação'!$A$9:$G$529,3,0))))</f>
        <v>17,14</v>
      </c>
      <c r="H1234" s="463">
        <f t="shared" si="194"/>
        <v>1.7140000000000002</v>
      </c>
      <c r="J1234" s="201"/>
    </row>
    <row r="1235" spans="1:17" s="87" customFormat="1" ht="38.25">
      <c r="A1235" s="232" t="s">
        <v>4544</v>
      </c>
      <c r="B1235" s="464">
        <v>26019</v>
      </c>
      <c r="C1235" s="451" t="str">
        <f>IF(A1235="SERVIÇO",VLOOKUP(B1235,SERVIÇOS!$A$6:$D$7645,2,0),IF(A1235="INSUMO",VLOOKUP(B1235,INSUMOS!$A$6:$D$6961,2,0),IF(A1235="COTAÇÃO",VLOOKUP(B1235,'036-20-Cotação'!$A$9:$G$529,2,0))))</f>
        <v xml:space="preserve">DISCO DE DESBASTE PARA METAL FERROSO EM GERAL, COM TRES TELAS,  9 X 1/4 X 7/8 " (228,6 X 6,4 X 22,2 MM)                                                                                                                                                                                                                                                                                                                                                                                                   </v>
      </c>
      <c r="D1235" s="452" t="str">
        <f>IF(A1235="SERVIÇO",VLOOKUP(B1235,SERVIÇOS!$A$6:$E$7645,5,0),IF(A1235="INSUMO",VLOOKUP(B1235,INSUMOS!$A$6:$E$6961,5,0),IF(A1235="COTAÇÃO",VLOOKUP(B1235,'036-20-Cotação'!$A$9:$H$529,8,0))))</f>
        <v>MAT.</v>
      </c>
      <c r="E1235" s="452" t="str">
        <f>IF(A1235="SERVIÇO",VLOOKUP(B1235,SERVIÇOS!$A$6:$D$7645,3,0),IF(A1235="INSUMO",VLOOKUP(B1235,INSUMOS!$A$6:$D$6961,3,0),IF(A1235="COTAÇÃO",VLOOKUP(B1235,'036-20-Cotação'!$A$9:$G$529,4,0))))</f>
        <v xml:space="preserve">UN    </v>
      </c>
      <c r="F1235" s="462">
        <v>0.04</v>
      </c>
      <c r="G1235" s="453" t="str">
        <f>IF(A1235="SERVIÇO",VLOOKUP(B1235,SERVIÇOS!$A$6:$D$7645,4,0),IF(A1235="INSUMO",VLOOKUP(B1235,INSUMOS!$A$6:$D$6961,4,0),IF(A1235="COTAÇÃO",VLOOKUP(B1235,'036-20-Cotação'!$A$9:$G$529,3,0))))</f>
        <v>33,61</v>
      </c>
      <c r="H1235" s="463">
        <f t="shared" si="194"/>
        <v>1.3444</v>
      </c>
      <c r="J1235" s="201"/>
    </row>
    <row r="1236" spans="1:17" s="87" customFormat="1" ht="12.75">
      <c r="A1236" s="232" t="s">
        <v>4542</v>
      </c>
      <c r="B1236" s="464" t="s">
        <v>6614</v>
      </c>
      <c r="C1236" s="451" t="str">
        <f>IF(A1236="SERVIÇO",VLOOKUP(B1236,SERVIÇOS!$A$6:$D$7645,2,0),IF(A1236="INSUMO",VLOOKUP(B1236,INSUMOS!$A$6:$D$6961,2,0),IF(A1236="COTAÇÃO",VLOOKUP(B1236,'036-20-Cotação'!$A$9:$G$529,2,0))))</f>
        <v>PEDREIRO</v>
      </c>
      <c r="D1236" s="452" t="str">
        <f>IF(A1236="SERVIÇO",VLOOKUP(B1236,SERVIÇOS!$A$6:$E$7645,5,0),IF(A1236="INSUMO",VLOOKUP(B1236,INSUMOS!$A$6:$E$6961,5,0),IF(A1236="COTAÇÃO",VLOOKUP(B1236,'036-20-Cotação'!$A$9:$H$529,8,0))))</f>
        <v>M.O</v>
      </c>
      <c r="E1236" s="452" t="str">
        <f>IF(A1236="SERVIÇO",VLOOKUP(B1236,SERVIÇOS!$A$6:$D$7645,3,0),IF(A1236="INSUMO",VLOOKUP(B1236,INSUMOS!$A$6:$D$6961,3,0),IF(A1236="COTAÇÃO",VLOOKUP(B1236,'036-20-Cotação'!$A$9:$G$529,4,0))))</f>
        <v>H</v>
      </c>
      <c r="F1236" s="462">
        <v>1</v>
      </c>
      <c r="G1236" s="453">
        <f>IF(A1236="SERVIÇO",VLOOKUP(B1236,SERVIÇOS!$A$6:$D$7645,4,0),IF(A1236="INSUMO",VLOOKUP(B1236,INSUMOS!$A$6:$D$6961,4,0),IF(A1236="COTAÇÃO",VLOOKUP(B1236,'036-20-Cotação'!$A$9:$G$529,3,0))))</f>
        <v>21.647600000000001</v>
      </c>
      <c r="H1236" s="463">
        <f t="shared" ref="H1236:H1237" si="195">G1236*F1236</f>
        <v>21.647600000000001</v>
      </c>
      <c r="J1236" s="201"/>
    </row>
    <row r="1237" spans="1:17" s="87" customFormat="1" ht="12.75">
      <c r="A1237" s="232" t="s">
        <v>4542</v>
      </c>
      <c r="B1237" s="464" t="s">
        <v>6602</v>
      </c>
      <c r="C1237" s="451" t="str">
        <f>IF(A1237="SERVIÇO",VLOOKUP(B1237,SERVIÇOS!$A$6:$D$7645,2,0),IF(A1237="INSUMO",VLOOKUP(B1237,INSUMOS!$A$6:$D$6961,2,0),IF(A1237="COTAÇÃO",VLOOKUP(B1237,'036-20-Cotação'!$A$9:$G$529,2,0))))</f>
        <v>SERVENTE</v>
      </c>
      <c r="D1237" s="452" t="str">
        <f>IF(A1237="SERVIÇO",VLOOKUP(B1237,SERVIÇOS!$A$6:$E$7645,5,0),IF(A1237="INSUMO",VLOOKUP(B1237,INSUMOS!$A$6:$E$6961,5,0),IF(A1237="COTAÇÃO",VLOOKUP(B1237,'036-20-Cotação'!$A$9:$H$529,8,0))))</f>
        <v>M.O</v>
      </c>
      <c r="E1237" s="452" t="str">
        <f>IF(A1237="SERVIÇO",VLOOKUP(B1237,SERVIÇOS!$A$6:$D$7645,3,0),IF(A1237="INSUMO",VLOOKUP(B1237,INSUMOS!$A$6:$D$6961,3,0),IF(A1237="COTAÇÃO",VLOOKUP(B1237,'036-20-Cotação'!$A$9:$G$529,4,0))))</f>
        <v>H</v>
      </c>
      <c r="F1237" s="462">
        <v>0.5</v>
      </c>
      <c r="G1237" s="453">
        <f>IF(A1237="SERVIÇO",VLOOKUP(B1237,SERVIÇOS!$A$6:$D$7645,4,0),IF(A1237="INSUMO",VLOOKUP(B1237,INSUMOS!$A$6:$D$6961,4,0),IF(A1237="COTAÇÃO",VLOOKUP(B1237,'036-20-Cotação'!$A$9:$G$529,3,0))))</f>
        <v>15.637499999999999</v>
      </c>
      <c r="H1237" s="463">
        <f t="shared" si="195"/>
        <v>7.8187499999999996</v>
      </c>
      <c r="J1237" s="201"/>
    </row>
    <row r="1238" spans="1:17" s="87" customFormat="1" ht="12.75">
      <c r="A1238" s="188"/>
      <c r="B1238" s="348" t="s">
        <v>123</v>
      </c>
      <c r="C1238" s="695" t="s">
        <v>13409</v>
      </c>
      <c r="D1238" s="696"/>
      <c r="E1238" s="696"/>
      <c r="F1238" s="696"/>
      <c r="G1238" s="696"/>
      <c r="H1238" s="697"/>
      <c r="J1238" s="201"/>
      <c r="K1238" s="78"/>
      <c r="L1238" s="78"/>
      <c r="M1238" s="78"/>
      <c r="N1238" s="78"/>
      <c r="O1238" s="78"/>
      <c r="P1238" s="78"/>
      <c r="Q1238" s="78"/>
    </row>
    <row r="1239" spans="1:17" s="87" customFormat="1" ht="12.75">
      <c r="A1239" s="188"/>
      <c r="B1239" s="346"/>
      <c r="C1239" s="489"/>
      <c r="D1239" s="489"/>
      <c r="E1239" s="489"/>
      <c r="F1239" s="489"/>
      <c r="G1239" s="489"/>
      <c r="H1239" s="490"/>
      <c r="J1239" s="201"/>
      <c r="K1239" s="78"/>
      <c r="L1239" s="78"/>
      <c r="M1239" s="78"/>
      <c r="N1239" s="78"/>
      <c r="O1239" s="78"/>
      <c r="P1239" s="78"/>
      <c r="Q1239" s="78"/>
    </row>
    <row r="1240" spans="1:17" s="87" customFormat="1" ht="38.25">
      <c r="A1240" s="188"/>
      <c r="B1240" s="80" t="s">
        <v>13410</v>
      </c>
      <c r="C1240" s="81" t="s">
        <v>13413</v>
      </c>
      <c r="D1240" s="82" t="s">
        <v>84</v>
      </c>
      <c r="E1240" s="82" t="s">
        <v>4521</v>
      </c>
      <c r="F1240" s="83"/>
      <c r="G1240" s="84"/>
      <c r="H1240" s="85">
        <f>SUM(H1241:H1243)</f>
        <v>218.58903955794625</v>
      </c>
      <c r="J1240" s="201"/>
      <c r="K1240" s="78"/>
      <c r="L1240" s="78"/>
      <c r="M1240" s="78"/>
      <c r="N1240" s="78"/>
      <c r="O1240" s="78"/>
      <c r="P1240" s="78"/>
      <c r="Q1240" s="78"/>
    </row>
    <row r="1241" spans="1:17" s="87" customFormat="1" ht="12.75">
      <c r="A1241" s="232" t="s">
        <v>4542</v>
      </c>
      <c r="B1241" s="464" t="s">
        <v>6614</v>
      </c>
      <c r="C1241" s="451" t="str">
        <f>IF(A1241="SERVIÇO",VLOOKUP(B1241,SERVIÇOS!$A$6:$D$7645,2,0),IF(A1241="INSUMO",VLOOKUP(B1241,INSUMOS!$A$6:$D$6961,2,0),IF(A1241="COTAÇÃO",VLOOKUP(B1241,'036-20-Cotação'!$A$9:$G$529,2,0))))</f>
        <v>PEDREIRO</v>
      </c>
      <c r="D1241" s="452" t="str">
        <f>IF(A1241="SERVIÇO",VLOOKUP(B1241,SERVIÇOS!$A$6:$E$7645,5,0),IF(A1241="INSUMO",VLOOKUP(B1241,INSUMOS!$A$6:$E$6961,5,0),IF(A1241="COTAÇÃO",VLOOKUP(B1241,'036-20-Cotação'!$A$9:$H$529,8,0))))</f>
        <v>M.O</v>
      </c>
      <c r="E1241" s="452" t="str">
        <f>IF(A1241="SERVIÇO",VLOOKUP(B1241,SERVIÇOS!$A$6:$D$7645,3,0),IF(A1241="INSUMO",VLOOKUP(B1241,INSUMOS!$A$6:$D$6961,3,0),IF(A1241="COTAÇÃO",VLOOKUP(B1241,'036-20-Cotação'!$A$9:$G$529,4,0))))</f>
        <v>H</v>
      </c>
      <c r="F1241" s="462">
        <v>0.6</v>
      </c>
      <c r="G1241" s="453">
        <f>IF(A1241="SERVIÇO",VLOOKUP(B1241,SERVIÇOS!$A$6:$D$7645,4,0),IF(A1241="INSUMO",VLOOKUP(B1241,INSUMOS!$A$6:$D$6961,4,0),IF(A1241="COTAÇÃO",VLOOKUP(B1241,'036-20-Cotação'!$A$9:$G$529,3,0))))</f>
        <v>21.647600000000001</v>
      </c>
      <c r="H1241" s="463">
        <f t="shared" ref="H1241:H1243" si="196">G1241*F1241</f>
        <v>12.98856</v>
      </c>
      <c r="J1241" s="201"/>
    </row>
    <row r="1242" spans="1:17" s="87" customFormat="1" ht="12.75">
      <c r="A1242" s="232" t="s">
        <v>4542</v>
      </c>
      <c r="B1242" s="464" t="s">
        <v>6602</v>
      </c>
      <c r="C1242" s="451" t="str">
        <f>IF(A1242="SERVIÇO",VLOOKUP(B1242,SERVIÇOS!$A$6:$D$7645,2,0),IF(A1242="INSUMO",VLOOKUP(B1242,INSUMOS!$A$6:$D$6961,2,0),IF(A1242="COTAÇÃO",VLOOKUP(B1242,'036-20-Cotação'!$A$9:$G$529,2,0))))</f>
        <v>SERVENTE</v>
      </c>
      <c r="D1242" s="452" t="str">
        <f>IF(A1242="SERVIÇO",VLOOKUP(B1242,SERVIÇOS!$A$6:$E$7645,5,0),IF(A1242="INSUMO",VLOOKUP(B1242,INSUMOS!$A$6:$E$6961,5,0),IF(A1242="COTAÇÃO",VLOOKUP(B1242,'036-20-Cotação'!$A$9:$H$529,8,0))))</f>
        <v>M.O</v>
      </c>
      <c r="E1242" s="452" t="str">
        <f>IF(A1242="SERVIÇO",VLOOKUP(B1242,SERVIÇOS!$A$6:$D$7645,3,0),IF(A1242="INSUMO",VLOOKUP(B1242,INSUMOS!$A$6:$D$6961,3,0),IF(A1242="COTAÇÃO",VLOOKUP(B1242,'036-20-Cotação'!$A$9:$G$529,4,0))))</f>
        <v>H</v>
      </c>
      <c r="F1242" s="462">
        <v>0.6</v>
      </c>
      <c r="G1242" s="453">
        <f>IF(A1242="SERVIÇO",VLOOKUP(B1242,SERVIÇOS!$A$6:$D$7645,4,0),IF(A1242="INSUMO",VLOOKUP(B1242,INSUMOS!$A$6:$D$6961,4,0),IF(A1242="COTAÇÃO",VLOOKUP(B1242,'036-20-Cotação'!$A$9:$G$529,3,0))))</f>
        <v>15.637499999999999</v>
      </c>
      <c r="H1242" s="463">
        <f t="shared" si="196"/>
        <v>9.3824999999999985</v>
      </c>
      <c r="J1242" s="201"/>
    </row>
    <row r="1243" spans="1:17" s="87" customFormat="1" ht="25.5">
      <c r="A1243" s="232" t="s">
        <v>12</v>
      </c>
      <c r="B1243" s="464" t="s">
        <v>7539</v>
      </c>
      <c r="C1243" s="451" t="str">
        <f>IF(A1243="SERVIÇO",VLOOKUP(B1243,SERVIÇOS!$A$6:$D$7645,2,0),IF(A1243="INSUMO",VLOOKUP(B1243,INSUMOS!$A$6:$D$6961,2,0),IF(A1243="COTAÇÃO",VLOOKUP(B1243,'036-20-Cotação'!$A$9:$G$529,2,0))))</f>
        <v xml:space="preserve">PLACA 260X360MM EM AÇO INOX #20 FOTOCORROSÃO  </v>
      </c>
      <c r="D1243" s="452" t="str">
        <f>IF(A1243="SERVIÇO",VLOOKUP(B1243,SERVIÇOS!$A$6:$E$7645,5,0),IF(A1243="INSUMO",VLOOKUP(B1243,INSUMOS!$A$6:$E$6961,5,0),IF(A1243="COTAÇÃO",VLOOKUP(B1243,'036-20-Cotação'!$A$9:$H$529,8,0))))</f>
        <v>MAT.</v>
      </c>
      <c r="E1243" s="452" t="str">
        <f>IF(A1243="SERVIÇO",VLOOKUP(B1243,SERVIÇOS!$A$6:$D$7645,3,0),IF(A1243="INSUMO",VLOOKUP(B1243,INSUMOS!$A$6:$D$6961,3,0),IF(A1243="COTAÇÃO",VLOOKUP(B1243,'036-20-Cotação'!$A$9:$G$529,4,0))))</f>
        <v>UN</v>
      </c>
      <c r="F1243" s="462">
        <v>1</v>
      </c>
      <c r="G1243" s="453">
        <f>IF(A1243="SERVIÇO",VLOOKUP(B1243,SERVIÇOS!$A$6:$D$7645,4,0),IF(A1243="INSUMO",VLOOKUP(B1243,INSUMOS!$A$6:$D$6961,4,0),IF(A1243="COTAÇÃO",VLOOKUP(B1243,'036-20-Cotação'!$A$9:$G$529,3,0))))</f>
        <v>196.21797955794625</v>
      </c>
      <c r="H1243" s="463">
        <f t="shared" si="196"/>
        <v>196.21797955794625</v>
      </c>
      <c r="J1243" s="201"/>
    </row>
    <row r="1244" spans="1:17" s="87" customFormat="1" ht="12.75">
      <c r="A1244" s="188"/>
      <c r="B1244" s="348" t="s">
        <v>123</v>
      </c>
      <c r="C1244" s="695" t="s">
        <v>13406</v>
      </c>
      <c r="D1244" s="696"/>
      <c r="E1244" s="696"/>
      <c r="F1244" s="696"/>
      <c r="G1244" s="696"/>
      <c r="H1244" s="697"/>
      <c r="J1244" s="201"/>
      <c r="K1244" s="78"/>
      <c r="L1244" s="78"/>
      <c r="M1244" s="78"/>
      <c r="N1244" s="78"/>
      <c r="O1244" s="78"/>
      <c r="P1244" s="78"/>
      <c r="Q1244" s="78"/>
    </row>
    <row r="1245" spans="1:17" s="87" customFormat="1" ht="12.75">
      <c r="A1245" s="188"/>
      <c r="B1245" s="346"/>
      <c r="C1245" s="489"/>
      <c r="D1245" s="489"/>
      <c r="E1245" s="489"/>
      <c r="F1245" s="489"/>
      <c r="G1245" s="489"/>
      <c r="H1245" s="490"/>
      <c r="J1245" s="201"/>
      <c r="K1245" s="78"/>
      <c r="L1245" s="78"/>
      <c r="M1245" s="78"/>
      <c r="N1245" s="78"/>
      <c r="O1245" s="78"/>
      <c r="P1245" s="78"/>
      <c r="Q1245" s="78"/>
    </row>
    <row r="1246" spans="1:17" s="87" customFormat="1" ht="38.25">
      <c r="A1246" s="188"/>
      <c r="B1246" s="80" t="s">
        <v>13412</v>
      </c>
      <c r="C1246" s="81" t="s">
        <v>13414</v>
      </c>
      <c r="D1246" s="82" t="s">
        <v>84</v>
      </c>
      <c r="E1246" s="82" t="s">
        <v>4521</v>
      </c>
      <c r="F1246" s="83"/>
      <c r="G1246" s="84"/>
      <c r="H1246" s="85">
        <f>SUM(H1247:H1249)</f>
        <v>711.59250228295855</v>
      </c>
      <c r="J1246" s="201"/>
      <c r="K1246" s="78"/>
      <c r="L1246" s="78"/>
      <c r="M1246" s="78"/>
      <c r="N1246" s="78"/>
      <c r="O1246" s="78"/>
      <c r="P1246" s="78"/>
      <c r="Q1246" s="78"/>
    </row>
    <row r="1247" spans="1:17" s="87" customFormat="1" ht="12.75">
      <c r="A1247" s="232" t="s">
        <v>4542</v>
      </c>
      <c r="B1247" s="464" t="s">
        <v>6614</v>
      </c>
      <c r="C1247" s="451" t="str">
        <f>IF(A1247="SERVIÇO",VLOOKUP(B1247,SERVIÇOS!$A$6:$D$7645,2,0),IF(A1247="INSUMO",VLOOKUP(B1247,INSUMOS!$A$6:$D$6961,2,0),IF(A1247="COTAÇÃO",VLOOKUP(B1247,'036-20-Cotação'!$A$9:$G$529,2,0))))</f>
        <v>PEDREIRO</v>
      </c>
      <c r="D1247" s="452" t="str">
        <f>IF(A1247="SERVIÇO",VLOOKUP(B1247,SERVIÇOS!$A$6:$E$7645,5,0),IF(A1247="INSUMO",VLOOKUP(B1247,INSUMOS!$A$6:$E$6961,5,0),IF(A1247="COTAÇÃO",VLOOKUP(B1247,'036-20-Cotação'!$A$9:$H$529,8,0))))</f>
        <v>M.O</v>
      </c>
      <c r="E1247" s="452" t="str">
        <f>IF(A1247="SERVIÇO",VLOOKUP(B1247,SERVIÇOS!$A$6:$D$7645,3,0),IF(A1247="INSUMO",VLOOKUP(B1247,INSUMOS!$A$6:$D$6961,3,0),IF(A1247="COTAÇÃO",VLOOKUP(B1247,'036-20-Cotação'!$A$9:$G$529,4,0))))</f>
        <v>H</v>
      </c>
      <c r="F1247" s="462">
        <v>0.6</v>
      </c>
      <c r="G1247" s="453">
        <f>IF(A1247="SERVIÇO",VLOOKUP(B1247,SERVIÇOS!$A$6:$D$7645,4,0),IF(A1247="INSUMO",VLOOKUP(B1247,INSUMOS!$A$6:$D$6961,4,0),IF(A1247="COTAÇÃO",VLOOKUP(B1247,'036-20-Cotação'!$A$9:$G$529,3,0))))</f>
        <v>21.647600000000001</v>
      </c>
      <c r="H1247" s="463">
        <f t="shared" ref="H1247:H1249" si="197">G1247*F1247</f>
        <v>12.98856</v>
      </c>
      <c r="J1247" s="201"/>
    </row>
    <row r="1248" spans="1:17" s="87" customFormat="1" ht="12.75">
      <c r="A1248" s="232" t="s">
        <v>4542</v>
      </c>
      <c r="B1248" s="464" t="s">
        <v>6602</v>
      </c>
      <c r="C1248" s="451" t="str">
        <f>IF(A1248="SERVIÇO",VLOOKUP(B1248,SERVIÇOS!$A$6:$D$7645,2,0),IF(A1248="INSUMO",VLOOKUP(B1248,INSUMOS!$A$6:$D$6961,2,0),IF(A1248="COTAÇÃO",VLOOKUP(B1248,'036-20-Cotação'!$A$9:$G$529,2,0))))</f>
        <v>SERVENTE</v>
      </c>
      <c r="D1248" s="452" t="str">
        <f>IF(A1248="SERVIÇO",VLOOKUP(B1248,SERVIÇOS!$A$6:$E$7645,5,0),IF(A1248="INSUMO",VLOOKUP(B1248,INSUMOS!$A$6:$E$6961,5,0),IF(A1248="COTAÇÃO",VLOOKUP(B1248,'036-20-Cotação'!$A$9:$H$529,8,0))))</f>
        <v>M.O</v>
      </c>
      <c r="E1248" s="452" t="str">
        <f>IF(A1248="SERVIÇO",VLOOKUP(B1248,SERVIÇOS!$A$6:$D$7645,3,0),IF(A1248="INSUMO",VLOOKUP(B1248,INSUMOS!$A$6:$D$6961,3,0),IF(A1248="COTAÇÃO",VLOOKUP(B1248,'036-20-Cotação'!$A$9:$G$529,4,0))))</f>
        <v>H</v>
      </c>
      <c r="F1248" s="462">
        <v>0.6</v>
      </c>
      <c r="G1248" s="453">
        <f>IF(A1248="SERVIÇO",VLOOKUP(B1248,SERVIÇOS!$A$6:$D$7645,4,0),IF(A1248="INSUMO",VLOOKUP(B1248,INSUMOS!$A$6:$D$6961,4,0),IF(A1248="COTAÇÃO",VLOOKUP(B1248,'036-20-Cotação'!$A$9:$G$529,3,0))))</f>
        <v>15.637499999999999</v>
      </c>
      <c r="H1248" s="463">
        <f t="shared" si="197"/>
        <v>9.3824999999999985</v>
      </c>
      <c r="J1248" s="201"/>
    </row>
    <row r="1249" spans="1:17" s="87" customFormat="1" ht="25.5">
      <c r="A1249" s="232" t="s">
        <v>12</v>
      </c>
      <c r="B1249" s="464" t="s">
        <v>7540</v>
      </c>
      <c r="C1249" s="451" t="str">
        <f>IF(A1249="SERVIÇO",VLOOKUP(B1249,SERVIÇOS!$A$6:$D$7645,2,0),IF(A1249="INSUMO",VLOOKUP(B1249,INSUMOS!$A$6:$D$6961,2,0),IF(A1249="COTAÇÃO",VLOOKUP(B1249,'036-20-Cotação'!$A$9:$G$529,2,0))))</f>
        <v xml:space="preserve">PLACA INOX  #20 81X50CM FOTOCORROSÃO   </v>
      </c>
      <c r="D1249" s="452" t="str">
        <f>IF(A1249="SERVIÇO",VLOOKUP(B1249,SERVIÇOS!$A$6:$E$7645,5,0),IF(A1249="INSUMO",VLOOKUP(B1249,INSUMOS!$A$6:$E$6961,5,0),IF(A1249="COTAÇÃO",VLOOKUP(B1249,'036-20-Cotação'!$A$9:$H$529,8,0))))</f>
        <v>MAT.</v>
      </c>
      <c r="E1249" s="452" t="str">
        <f>IF(A1249="SERVIÇO",VLOOKUP(B1249,SERVIÇOS!$A$6:$D$7645,3,0),IF(A1249="INSUMO",VLOOKUP(B1249,INSUMOS!$A$6:$D$6961,3,0),IF(A1249="COTAÇÃO",VLOOKUP(B1249,'036-20-Cotação'!$A$9:$G$529,4,0))))</f>
        <v>UN</v>
      </c>
      <c r="F1249" s="462">
        <v>1</v>
      </c>
      <c r="G1249" s="453">
        <f>IF(A1249="SERVIÇO",VLOOKUP(B1249,SERVIÇOS!$A$6:$D$7645,4,0),IF(A1249="INSUMO",VLOOKUP(B1249,INSUMOS!$A$6:$D$6961,4,0),IF(A1249="COTAÇÃO",VLOOKUP(B1249,'036-20-Cotação'!$A$9:$G$529,3,0))))</f>
        <v>689.22144228295849</v>
      </c>
      <c r="H1249" s="463">
        <f t="shared" si="197"/>
        <v>689.22144228295849</v>
      </c>
      <c r="J1249" s="201"/>
    </row>
    <row r="1250" spans="1:17" s="87" customFormat="1" ht="12.75">
      <c r="A1250" s="188"/>
      <c r="B1250" s="348" t="s">
        <v>123</v>
      </c>
      <c r="C1250" s="695" t="s">
        <v>13406</v>
      </c>
      <c r="D1250" s="696"/>
      <c r="E1250" s="696"/>
      <c r="F1250" s="696"/>
      <c r="G1250" s="696"/>
      <c r="H1250" s="697"/>
      <c r="J1250" s="201"/>
      <c r="K1250" s="78"/>
      <c r="L1250" s="78"/>
      <c r="M1250" s="78"/>
      <c r="N1250" s="78"/>
      <c r="O1250" s="78"/>
      <c r="P1250" s="78"/>
      <c r="Q1250" s="78"/>
    </row>
    <row r="1251" spans="1:17" s="87" customFormat="1" ht="12.75">
      <c r="A1251" s="188"/>
      <c r="B1251" s="346"/>
      <c r="C1251" s="489"/>
      <c r="D1251" s="489"/>
      <c r="E1251" s="489"/>
      <c r="F1251" s="489"/>
      <c r="G1251" s="489"/>
      <c r="H1251" s="490"/>
      <c r="J1251" s="201"/>
      <c r="K1251" s="78"/>
      <c r="L1251" s="78"/>
      <c r="M1251" s="78"/>
      <c r="N1251" s="78"/>
      <c r="O1251" s="78"/>
      <c r="P1251" s="78"/>
      <c r="Q1251" s="78"/>
    </row>
    <row r="1252" spans="1:17" s="87" customFormat="1" ht="38.25">
      <c r="A1252" s="188"/>
      <c r="B1252" s="80" t="s">
        <v>13415</v>
      </c>
      <c r="C1252" s="81" t="s">
        <v>13416</v>
      </c>
      <c r="D1252" s="82" t="s">
        <v>84</v>
      </c>
      <c r="E1252" s="82" t="s">
        <v>4521</v>
      </c>
      <c r="F1252" s="83"/>
      <c r="G1252" s="84"/>
      <c r="H1252" s="85">
        <f>SUM(H1253:H1255)</f>
        <v>2673.03326564895</v>
      </c>
      <c r="J1252" s="201"/>
      <c r="K1252" s="78"/>
      <c r="L1252" s="78"/>
      <c r="M1252" s="78"/>
      <c r="N1252" s="78"/>
      <c r="O1252" s="78"/>
      <c r="P1252" s="78"/>
      <c r="Q1252" s="78"/>
    </row>
    <row r="1253" spans="1:17" s="87" customFormat="1" ht="12.75">
      <c r="A1253" s="232" t="s">
        <v>4542</v>
      </c>
      <c r="B1253" s="464" t="s">
        <v>6614</v>
      </c>
      <c r="C1253" s="451" t="str">
        <f>IF(A1253="SERVIÇO",VLOOKUP(B1253,SERVIÇOS!$A$6:$D$7645,2,0),IF(A1253="INSUMO",VLOOKUP(B1253,INSUMOS!$A$6:$D$6961,2,0),IF(A1253="COTAÇÃO",VLOOKUP(B1253,'036-20-Cotação'!$A$9:$G$529,2,0))))</f>
        <v>PEDREIRO</v>
      </c>
      <c r="D1253" s="452" t="str">
        <f>IF(A1253="SERVIÇO",VLOOKUP(B1253,SERVIÇOS!$A$6:$E$7645,5,0),IF(A1253="INSUMO",VLOOKUP(B1253,INSUMOS!$A$6:$E$6961,5,0),IF(A1253="COTAÇÃO",VLOOKUP(B1253,'036-20-Cotação'!$A$9:$H$529,8,0))))</f>
        <v>M.O</v>
      </c>
      <c r="E1253" s="452" t="str">
        <f>IF(A1253="SERVIÇO",VLOOKUP(B1253,SERVIÇOS!$A$6:$D$7645,3,0),IF(A1253="INSUMO",VLOOKUP(B1253,INSUMOS!$A$6:$D$6961,3,0),IF(A1253="COTAÇÃO",VLOOKUP(B1253,'036-20-Cotação'!$A$9:$G$529,4,0))))</f>
        <v>H</v>
      </c>
      <c r="F1253" s="462">
        <v>0.6</v>
      </c>
      <c r="G1253" s="453">
        <f>IF(A1253="SERVIÇO",VLOOKUP(B1253,SERVIÇOS!$A$6:$D$7645,4,0),IF(A1253="INSUMO",VLOOKUP(B1253,INSUMOS!$A$6:$D$6961,4,0),IF(A1253="COTAÇÃO",VLOOKUP(B1253,'036-20-Cotação'!$A$9:$G$529,3,0))))</f>
        <v>21.647600000000001</v>
      </c>
      <c r="H1253" s="463">
        <f t="shared" ref="H1253:H1255" si="198">G1253*F1253</f>
        <v>12.98856</v>
      </c>
      <c r="J1253" s="201"/>
    </row>
    <row r="1254" spans="1:17" s="87" customFormat="1" ht="12.75">
      <c r="A1254" s="232" t="s">
        <v>4542</v>
      </c>
      <c r="B1254" s="464" t="s">
        <v>6602</v>
      </c>
      <c r="C1254" s="451" t="str">
        <f>IF(A1254="SERVIÇO",VLOOKUP(B1254,SERVIÇOS!$A$6:$D$7645,2,0),IF(A1254="INSUMO",VLOOKUP(B1254,INSUMOS!$A$6:$D$6961,2,0),IF(A1254="COTAÇÃO",VLOOKUP(B1254,'036-20-Cotação'!$A$9:$G$529,2,0))))</f>
        <v>SERVENTE</v>
      </c>
      <c r="D1254" s="452" t="str">
        <f>IF(A1254="SERVIÇO",VLOOKUP(B1254,SERVIÇOS!$A$6:$E$7645,5,0),IF(A1254="INSUMO",VLOOKUP(B1254,INSUMOS!$A$6:$E$6961,5,0),IF(A1254="COTAÇÃO",VLOOKUP(B1254,'036-20-Cotação'!$A$9:$H$529,8,0))))</f>
        <v>M.O</v>
      </c>
      <c r="E1254" s="452" t="str">
        <f>IF(A1254="SERVIÇO",VLOOKUP(B1254,SERVIÇOS!$A$6:$D$7645,3,0),IF(A1254="INSUMO",VLOOKUP(B1254,INSUMOS!$A$6:$D$6961,3,0),IF(A1254="COTAÇÃO",VLOOKUP(B1254,'036-20-Cotação'!$A$9:$G$529,4,0))))</f>
        <v>H</v>
      </c>
      <c r="F1254" s="462">
        <v>0.6</v>
      </c>
      <c r="G1254" s="453">
        <f>IF(A1254="SERVIÇO",VLOOKUP(B1254,SERVIÇOS!$A$6:$D$7645,4,0),IF(A1254="INSUMO",VLOOKUP(B1254,INSUMOS!$A$6:$D$6961,4,0),IF(A1254="COTAÇÃO",VLOOKUP(B1254,'036-20-Cotação'!$A$9:$G$529,3,0))))</f>
        <v>15.637499999999999</v>
      </c>
      <c r="H1254" s="463">
        <f t="shared" si="198"/>
        <v>9.3824999999999985</v>
      </c>
      <c r="J1254" s="201"/>
    </row>
    <row r="1255" spans="1:17" s="87" customFormat="1" ht="25.5">
      <c r="A1255" s="232" t="s">
        <v>12</v>
      </c>
      <c r="B1255" s="464" t="s">
        <v>7541</v>
      </c>
      <c r="C1255" s="451" t="str">
        <f>IF(A1255="SERVIÇO",VLOOKUP(B1255,SERVIÇOS!$A$6:$D$7645,2,0),IF(A1255="INSUMO",VLOOKUP(B1255,INSUMOS!$A$6:$D$6961,2,0),IF(A1255="COTAÇÃO",VLOOKUP(B1255,'036-20-Cotação'!$A$9:$G$529,2,0))))</f>
        <v xml:space="preserve">DE PLACA INOX  #20 198X118CM  FOTOCORROSÃO   </v>
      </c>
      <c r="D1255" s="452" t="str">
        <f>IF(A1255="SERVIÇO",VLOOKUP(B1255,SERVIÇOS!$A$6:$E$7645,5,0),IF(A1255="INSUMO",VLOOKUP(B1255,INSUMOS!$A$6:$E$6961,5,0),IF(A1255="COTAÇÃO",VLOOKUP(B1255,'036-20-Cotação'!$A$9:$H$529,8,0))))</f>
        <v>MAT.</v>
      </c>
      <c r="E1255" s="452" t="str">
        <f>IF(A1255="SERVIÇO",VLOOKUP(B1255,SERVIÇOS!$A$6:$D$7645,3,0),IF(A1255="INSUMO",VLOOKUP(B1255,INSUMOS!$A$6:$D$6961,3,0),IF(A1255="COTAÇÃO",VLOOKUP(B1255,'036-20-Cotação'!$A$9:$G$529,4,0))))</f>
        <v>UN</v>
      </c>
      <c r="F1255" s="462">
        <v>1</v>
      </c>
      <c r="G1255" s="453">
        <f>IF(A1255="SERVIÇO",VLOOKUP(B1255,SERVIÇOS!$A$6:$D$7645,4,0),IF(A1255="INSUMO",VLOOKUP(B1255,INSUMOS!$A$6:$D$6961,4,0),IF(A1255="COTAÇÃO",VLOOKUP(B1255,'036-20-Cotação'!$A$9:$G$529,3,0))))</f>
        <v>2650.66220564895</v>
      </c>
      <c r="H1255" s="463">
        <f t="shared" si="198"/>
        <v>2650.66220564895</v>
      </c>
      <c r="J1255" s="201"/>
    </row>
    <row r="1256" spans="1:17" s="87" customFormat="1" ht="12.75">
      <c r="A1256" s="188"/>
      <c r="B1256" s="348" t="s">
        <v>123</v>
      </c>
      <c r="C1256" s="695" t="s">
        <v>13406</v>
      </c>
      <c r="D1256" s="696"/>
      <c r="E1256" s="696"/>
      <c r="F1256" s="696"/>
      <c r="G1256" s="696"/>
      <c r="H1256" s="697"/>
      <c r="J1256" s="201"/>
      <c r="K1256" s="78"/>
      <c r="L1256" s="78"/>
      <c r="M1256" s="78"/>
      <c r="N1256" s="78"/>
      <c r="O1256" s="78"/>
      <c r="P1256" s="78"/>
      <c r="Q1256" s="78"/>
    </row>
    <row r="1257" spans="1:17" s="87" customFormat="1" ht="12.75">
      <c r="A1257" s="188"/>
      <c r="B1257" s="346"/>
      <c r="C1257" s="522"/>
      <c r="D1257" s="522"/>
      <c r="E1257" s="522"/>
      <c r="F1257" s="522"/>
      <c r="G1257" s="522"/>
      <c r="H1257" s="523"/>
      <c r="J1257" s="201"/>
      <c r="K1257" s="78"/>
      <c r="L1257" s="78"/>
      <c r="M1257" s="78"/>
      <c r="N1257" s="78"/>
      <c r="O1257" s="78"/>
      <c r="P1257" s="78"/>
      <c r="Q1257" s="78"/>
    </row>
    <row r="1258" spans="1:17" s="87" customFormat="1" ht="51">
      <c r="A1258" s="188"/>
      <c r="B1258" s="80" t="s">
        <v>13449</v>
      </c>
      <c r="C1258" s="81" t="s">
        <v>13448</v>
      </c>
      <c r="D1258" s="82" t="s">
        <v>84</v>
      </c>
      <c r="E1258" s="82" t="s">
        <v>150</v>
      </c>
      <c r="F1258" s="83"/>
      <c r="G1258" s="84"/>
      <c r="H1258" s="85">
        <f>SUM(H1259:H1267)</f>
        <v>13.551773260592439</v>
      </c>
      <c r="J1258" s="201" t="s">
        <v>13166</v>
      </c>
      <c r="K1258" s="78"/>
      <c r="L1258" s="78"/>
      <c r="M1258" s="78"/>
      <c r="N1258" s="78"/>
      <c r="O1258" s="78"/>
      <c r="P1258" s="78"/>
      <c r="Q1258" s="78"/>
    </row>
    <row r="1259" spans="1:17" s="87" customFormat="1" ht="38.25">
      <c r="A1259" s="232" t="s">
        <v>4542</v>
      </c>
      <c r="B1259" s="464" t="s">
        <v>9180</v>
      </c>
      <c r="C1259" s="451" t="str">
        <f>IF(A1259="SERVIÇO",VLOOKUP(B1259,SERVIÇOS!$A$6:$D$7645,2,0),IF(A1259="INSUMO",VLOOKUP(B1259,INSUMOS!$A$6:$D$6961,2,0),IF(A1259="COTAÇÃO",VLOOKUP(B1259,'036-20-Cotação'!$A$9:$G$529,2,0))))</f>
        <v>EQUIPAMENTO DE PINTURA A AR COMPRIMIDO DE PISTOLA COM CANECA COM CAPACIDADE DE 1.000 ML E COMPRESSOR DE 1,5 KW</v>
      </c>
      <c r="D1259" s="452" t="str">
        <f>IF(A1259="SERVIÇO",VLOOKUP(B1259,SERVIÇOS!$A$6:$E$7645,5,0),IF(A1259="INSUMO",VLOOKUP(B1259,INSUMOS!$A$6:$E$6961,5,0),IF(A1259="COTAÇÃO",VLOOKUP(B1259,'036-20-Cotação'!$A$9:$H$529,8,0))))</f>
        <v>EQUIP.</v>
      </c>
      <c r="E1259" s="452" t="str">
        <f>IF(A1259="SERVIÇO",VLOOKUP(B1259,SERVIÇOS!$A$6:$D$7645,3,0),IF(A1259="INSUMO",VLOOKUP(B1259,INSUMOS!$A$6:$D$6961,3,0),IF(A1259="COTAÇÃO",VLOOKUP(B1259,'036-20-Cotação'!$A$9:$G$529,4,0))))</f>
        <v>CHP</v>
      </c>
      <c r="F1259" s="462">
        <f>1/22.98</f>
        <v>4.3516100957354219E-2</v>
      </c>
      <c r="G1259" s="453">
        <f>IF(A1259="SERVIÇO",VLOOKUP(B1259,SERVIÇOS!$A$6:$D$7645,4,0),IF(A1259="INSUMO",VLOOKUP(B1259,INSUMOS!$A$6:$D$6961,4,0),IF(A1259="COTAÇÃO",VLOOKUP(B1259,'036-20-Cotação'!$A$9:$G$529,3,0))))</f>
        <v>0.39410000000000001</v>
      </c>
      <c r="H1259" s="463">
        <f t="shared" ref="H1259:H1267" si="199">G1259*F1259</f>
        <v>1.7149695387293298E-2</v>
      </c>
      <c r="J1259" s="201"/>
    </row>
    <row r="1260" spans="1:17" s="87" customFormat="1" ht="12.75">
      <c r="A1260" s="232" t="s">
        <v>4542</v>
      </c>
      <c r="B1260" s="464" t="s">
        <v>9006</v>
      </c>
      <c r="C1260" s="451" t="str">
        <f>IF(A1260="SERVIÇO",VLOOKUP(B1260,SERVIÇOS!$A$6:$D$7645,2,0),IF(A1260="INSUMO",VLOOKUP(B1260,INSUMOS!$A$6:$D$6961,2,0),IF(A1260="COTAÇÃO",VLOOKUP(B1260,'036-20-Cotação'!$A$9:$G$529,2,0))))</f>
        <v>GRUPO GERADOR - 2,5/3 KVA</v>
      </c>
      <c r="D1260" s="452" t="str">
        <f>IF(A1260="SERVIÇO",VLOOKUP(B1260,SERVIÇOS!$A$6:$E$7645,5,0),IF(A1260="INSUMO",VLOOKUP(B1260,INSUMOS!$A$6:$E$6961,5,0),IF(A1260="COTAÇÃO",VLOOKUP(B1260,'036-20-Cotação'!$A$9:$H$529,8,0))))</f>
        <v>EQUIP.</v>
      </c>
      <c r="E1260" s="452" t="str">
        <f>IF(A1260="SERVIÇO",VLOOKUP(B1260,SERVIÇOS!$A$6:$D$7645,3,0),IF(A1260="INSUMO",VLOOKUP(B1260,INSUMOS!$A$6:$D$6961,3,0),IF(A1260="COTAÇÃO",VLOOKUP(B1260,'036-20-Cotação'!$A$9:$G$529,4,0))))</f>
        <v>CHP</v>
      </c>
      <c r="F1260" s="462">
        <f t="shared" ref="F1260:F1262" si="200">1/22.98</f>
        <v>4.3516100957354219E-2</v>
      </c>
      <c r="G1260" s="453">
        <f>IF(A1260="SERVIÇO",VLOOKUP(B1260,SERVIÇOS!$A$6:$D$7645,4,0),IF(A1260="INSUMO",VLOOKUP(B1260,INSUMOS!$A$6:$D$6961,4,0),IF(A1260="COTAÇÃO",VLOOKUP(B1260,'036-20-Cotação'!$A$9:$G$529,3,0))))</f>
        <v>2.9165999999999999</v>
      </c>
      <c r="H1260" s="463">
        <f t="shared" si="199"/>
        <v>0.12691906005221931</v>
      </c>
      <c r="J1260" s="201"/>
    </row>
    <row r="1261" spans="1:17" s="87" customFormat="1" ht="12.75">
      <c r="A1261" s="232" t="s">
        <v>4542</v>
      </c>
      <c r="B1261" s="464" t="s">
        <v>6825</v>
      </c>
      <c r="C1261" s="451" t="str">
        <f>IF(A1261="SERVIÇO",VLOOKUP(B1261,SERVIÇOS!$A$6:$D$7645,2,0),IF(A1261="INSUMO",VLOOKUP(B1261,INSUMOS!$A$6:$D$6961,2,0),IF(A1261="COTAÇÃO",VLOOKUP(B1261,'036-20-Cotação'!$A$9:$G$529,2,0))))</f>
        <v>AJUDANTE</v>
      </c>
      <c r="D1261" s="452" t="str">
        <f>IF(A1261="SERVIÇO",VLOOKUP(B1261,SERVIÇOS!$A$6:$E$7645,5,0),IF(A1261="INSUMO",VLOOKUP(B1261,INSUMOS!$A$6:$E$6961,5,0),IF(A1261="COTAÇÃO",VLOOKUP(B1261,'036-20-Cotação'!$A$9:$H$529,8,0))))</f>
        <v>M.O</v>
      </c>
      <c r="E1261" s="452" t="str">
        <f>IF(A1261="SERVIÇO",VLOOKUP(B1261,SERVIÇOS!$A$6:$D$7645,3,0),IF(A1261="INSUMO",VLOOKUP(B1261,INSUMOS!$A$6:$D$6961,3,0),IF(A1261="COTAÇÃO",VLOOKUP(B1261,'036-20-Cotação'!$A$9:$G$529,4,0))))</f>
        <v>H</v>
      </c>
      <c r="F1261" s="462">
        <f>2/22.98</f>
        <v>8.7032201914708437E-2</v>
      </c>
      <c r="G1261" s="453">
        <f>IF(A1261="SERVIÇO",VLOOKUP(B1261,SERVIÇOS!$A$6:$D$7645,4,0),IF(A1261="INSUMO",VLOOKUP(B1261,INSUMOS!$A$6:$D$6961,4,0),IF(A1261="COTAÇÃO",VLOOKUP(B1261,'036-20-Cotação'!$A$9:$G$529,3,0))))</f>
        <v>17.9801</v>
      </c>
      <c r="H1261" s="463">
        <f t="shared" si="199"/>
        <v>1.5648476936466491</v>
      </c>
      <c r="J1261" s="201"/>
    </row>
    <row r="1262" spans="1:17" s="87" customFormat="1" ht="12.75">
      <c r="A1262" s="232" t="s">
        <v>4542</v>
      </c>
      <c r="B1262" s="464" t="s">
        <v>7527</v>
      </c>
      <c r="C1262" s="451" t="str">
        <f>IF(A1262="SERVIÇO",VLOOKUP(B1262,SERVIÇOS!$A$6:$D$7645,2,0),IF(A1262="INSUMO",VLOOKUP(B1262,INSUMOS!$A$6:$D$6961,2,0),IF(A1262="COTAÇÃO",VLOOKUP(B1262,'036-20-Cotação'!$A$9:$G$529,2,0))))</f>
        <v>PINTOR</v>
      </c>
      <c r="D1262" s="452" t="str">
        <f>IF(A1262="SERVIÇO",VLOOKUP(B1262,SERVIÇOS!$A$6:$E$7645,5,0),IF(A1262="INSUMO",VLOOKUP(B1262,INSUMOS!$A$6:$E$6961,5,0),IF(A1262="COTAÇÃO",VLOOKUP(B1262,'036-20-Cotação'!$A$9:$H$529,8,0))))</f>
        <v>M.O</v>
      </c>
      <c r="E1262" s="452" t="str">
        <f>IF(A1262="SERVIÇO",VLOOKUP(B1262,SERVIÇOS!$A$6:$D$7645,3,0),IF(A1262="INSUMO",VLOOKUP(B1262,INSUMOS!$A$6:$D$6961,3,0),IF(A1262="COTAÇÃO",VLOOKUP(B1262,'036-20-Cotação'!$A$9:$G$529,4,0))))</f>
        <v>H</v>
      </c>
      <c r="F1262" s="462">
        <f t="shared" si="200"/>
        <v>4.3516100957354219E-2</v>
      </c>
      <c r="G1262" s="453">
        <f>IF(A1262="SERVIÇO",VLOOKUP(B1262,SERVIÇOS!$A$6:$D$7645,4,0),IF(A1262="INSUMO",VLOOKUP(B1262,INSUMOS!$A$6:$D$6961,4,0),IF(A1262="COTAÇÃO",VLOOKUP(B1262,'036-20-Cotação'!$A$9:$G$529,3,0))))</f>
        <v>21.705200000000001</v>
      </c>
      <c r="H1262" s="463">
        <f t="shared" si="199"/>
        <v>0.94452567449956482</v>
      </c>
      <c r="J1262" s="201"/>
    </row>
    <row r="1263" spans="1:17" s="87" customFormat="1" ht="12.75">
      <c r="A1263" s="232" t="s">
        <v>4544</v>
      </c>
      <c r="B1263" s="464" t="s">
        <v>10557</v>
      </c>
      <c r="C1263" s="451" t="str">
        <f>IF(A1263="SERVIÇO",VLOOKUP(B1263,SERVIÇOS!$A$6:$D$7645,2,0),IF(A1263="INSUMO",VLOOKUP(B1263,INSUMOS!$A$6:$D$6961,2,0),IF(A1263="COTAÇÃO",VLOOKUP(B1263,'036-20-Cotação'!$A$9:$G$529,2,0))))</f>
        <v>DILUENTE EPÓXI</v>
      </c>
      <c r="D1263" s="452" t="str">
        <f>IF(A1263="SERVIÇO",VLOOKUP(B1263,SERVIÇOS!$A$6:$E$7645,5,0),IF(A1263="INSUMO",VLOOKUP(B1263,INSUMOS!$A$6:$E$6961,5,0),IF(A1263="COTAÇÃO",VLOOKUP(B1263,'036-20-Cotação'!$A$9:$H$529,8,0))))</f>
        <v>MAT.</v>
      </c>
      <c r="E1263" s="452" t="str">
        <f>IF(A1263="SERVIÇO",VLOOKUP(B1263,SERVIÇOS!$A$6:$D$7645,3,0),IF(A1263="INSUMO",VLOOKUP(B1263,INSUMOS!$A$6:$D$6961,3,0),IF(A1263="COTAÇÃO",VLOOKUP(B1263,'036-20-Cotação'!$A$9:$G$529,4,0))))</f>
        <v>L</v>
      </c>
      <c r="F1263" s="462">
        <v>2.8799999999999999E-2</v>
      </c>
      <c r="G1263" s="453">
        <f>IF(A1263="SERVIÇO",VLOOKUP(B1263,SERVIÇOS!$A$6:$D$7645,4,0),IF(A1263="INSUMO",VLOOKUP(B1263,INSUMOS!$A$6:$D$6961,4,0),IF(A1263="COTAÇÃO",VLOOKUP(B1263,'036-20-Cotação'!$A$9:$G$529,3,0))))</f>
        <v>28.466000000000001</v>
      </c>
      <c r="H1263" s="463">
        <f t="shared" si="199"/>
        <v>0.81982080000000002</v>
      </c>
      <c r="J1263" s="201"/>
    </row>
    <row r="1264" spans="1:17" s="87" customFormat="1" ht="12.75">
      <c r="A1264" s="232" t="s">
        <v>4544</v>
      </c>
      <c r="B1264" s="464" t="s">
        <v>7528</v>
      </c>
      <c r="C1264" s="451" t="str">
        <f>IF(A1264="SERVIÇO",VLOOKUP(B1264,SERVIÇOS!$A$6:$D$7645,2,0),IF(A1264="INSUMO",VLOOKUP(B1264,INSUMOS!$A$6:$D$6961,2,0),IF(A1264="COTAÇÃO",VLOOKUP(B1264,'036-20-Cotação'!$A$9:$G$529,2,0))))</f>
        <v>LIXA PARA FERRO</v>
      </c>
      <c r="D1264" s="452" t="str">
        <f>IF(A1264="SERVIÇO",VLOOKUP(B1264,SERVIÇOS!$A$6:$E$7645,5,0),IF(A1264="INSUMO",VLOOKUP(B1264,INSUMOS!$A$6:$E$6961,5,0),IF(A1264="COTAÇÃO",VLOOKUP(B1264,'036-20-Cotação'!$A$9:$H$529,8,0))))</f>
        <v>MAT.</v>
      </c>
      <c r="E1264" s="452" t="str">
        <f>IF(A1264="SERVIÇO",VLOOKUP(B1264,SERVIÇOS!$A$6:$D$7645,3,0),IF(A1264="INSUMO",VLOOKUP(B1264,INSUMOS!$A$6:$D$6961,3,0),IF(A1264="COTAÇÃO",VLOOKUP(B1264,'036-20-Cotação'!$A$9:$G$529,4,0))))</f>
        <v>UN</v>
      </c>
      <c r="F1264" s="462">
        <v>0.3</v>
      </c>
      <c r="G1264" s="453">
        <f>IF(A1264="SERVIÇO",VLOOKUP(B1264,SERVIÇOS!$A$6:$D$7645,4,0),IF(A1264="INSUMO",VLOOKUP(B1264,INSUMOS!$A$6:$D$6961,4,0),IF(A1264="COTAÇÃO",VLOOKUP(B1264,'036-20-Cotação'!$A$9:$G$529,3,0))))</f>
        <v>3.3073999999999999</v>
      </c>
      <c r="H1264" s="463">
        <f t="shared" si="199"/>
        <v>0.99221999999999988</v>
      </c>
      <c r="J1264" s="201"/>
    </row>
    <row r="1265" spans="1:17" s="87" customFormat="1" ht="12.75">
      <c r="A1265" s="232" t="s">
        <v>4544</v>
      </c>
      <c r="B1265" s="464" t="s">
        <v>11058</v>
      </c>
      <c r="C1265" s="451" t="str">
        <f>IF(A1265="SERVIÇO",VLOOKUP(B1265,SERVIÇOS!$A$6:$D$7645,2,0),IF(A1265="INSUMO",VLOOKUP(B1265,INSUMOS!$A$6:$D$6961,2,0),IF(A1265="COTAÇÃO",VLOOKUP(B1265,'036-20-Cotação'!$A$9:$G$529,2,0))))</f>
        <v>TINTA EPÓXI</v>
      </c>
      <c r="D1265" s="452" t="str">
        <f>IF(A1265="SERVIÇO",VLOOKUP(B1265,SERVIÇOS!$A$6:$E$7645,5,0),IF(A1265="INSUMO",VLOOKUP(B1265,INSUMOS!$A$6:$E$6961,5,0),IF(A1265="COTAÇÃO",VLOOKUP(B1265,'036-20-Cotação'!$A$9:$H$529,8,0))))</f>
        <v>MAT.</v>
      </c>
      <c r="E1265" s="452" t="str">
        <f>IF(A1265="SERVIÇO",VLOOKUP(B1265,SERVIÇOS!$A$6:$D$7645,3,0),IF(A1265="INSUMO",VLOOKUP(B1265,INSUMOS!$A$6:$D$6961,3,0),IF(A1265="COTAÇÃO",VLOOKUP(B1265,'036-20-Cotação'!$A$9:$G$529,4,0))))</f>
        <v>L</v>
      </c>
      <c r="F1265" s="462">
        <v>0.14399999999999999</v>
      </c>
      <c r="G1265" s="453">
        <f>IF(A1265="SERVIÇO",VLOOKUP(B1265,SERVIÇOS!$A$6:$D$7645,4,0),IF(A1265="INSUMO",VLOOKUP(B1265,INSUMOS!$A$6:$D$6961,4,0),IF(A1265="COTAÇÃO",VLOOKUP(B1265,'036-20-Cotação'!$A$9:$G$529,3,0))))</f>
        <v>44.248600000000003</v>
      </c>
      <c r="H1265" s="463">
        <f t="shared" si="199"/>
        <v>6.3717984000000003</v>
      </c>
      <c r="J1265" s="201"/>
    </row>
    <row r="1266" spans="1:17" s="87" customFormat="1" ht="12.75">
      <c r="A1266" s="232" t="s">
        <v>4544</v>
      </c>
      <c r="B1266" s="464" t="s">
        <v>10559</v>
      </c>
      <c r="C1266" s="451" t="str">
        <f>IF(A1266="SERVIÇO",VLOOKUP(B1266,SERVIÇOS!$A$6:$D$7645,2,0),IF(A1266="INSUMO",VLOOKUP(B1266,INSUMOS!$A$6:$D$6961,2,0),IF(A1266="COTAÇÃO",VLOOKUP(B1266,'036-20-Cotação'!$A$9:$G$529,2,0))))</f>
        <v>TINTA EPÓXI PARA FUNDO BRANCO</v>
      </c>
      <c r="D1266" s="452" t="str">
        <f>IF(A1266="SERVIÇO",VLOOKUP(B1266,SERVIÇOS!$A$6:$E$7645,5,0),IF(A1266="INSUMO",VLOOKUP(B1266,INSUMOS!$A$6:$E$6961,5,0),IF(A1266="COTAÇÃO",VLOOKUP(B1266,'036-20-Cotação'!$A$9:$H$529,8,0))))</f>
        <v>MAT.</v>
      </c>
      <c r="E1266" s="452" t="str">
        <f>IF(A1266="SERVIÇO",VLOOKUP(B1266,SERVIÇOS!$A$6:$D$7645,3,0),IF(A1266="INSUMO",VLOOKUP(B1266,INSUMOS!$A$6:$D$6961,3,0),IF(A1266="COTAÇÃO",VLOOKUP(B1266,'036-20-Cotação'!$A$9:$G$529,4,0))))</f>
        <v>L</v>
      </c>
      <c r="F1266" s="462">
        <v>6.6669999999999993E-2</v>
      </c>
      <c r="G1266" s="453">
        <f>IF(A1266="SERVIÇO",VLOOKUP(B1266,SERVIÇOS!$A$6:$D$7645,4,0),IF(A1266="INSUMO",VLOOKUP(B1266,INSUMOS!$A$6:$D$6961,4,0),IF(A1266="COTAÇÃO",VLOOKUP(B1266,'036-20-Cotação'!$A$9:$G$529,3,0))))</f>
        <v>40.533299999999997</v>
      </c>
      <c r="H1266" s="463">
        <f t="shared" si="199"/>
        <v>2.7023551109999997</v>
      </c>
      <c r="J1266" s="201"/>
    </row>
    <row r="1267" spans="1:17" s="87" customFormat="1" ht="25.5">
      <c r="A1267" s="232" t="s">
        <v>4542</v>
      </c>
      <c r="B1267" s="464" t="s">
        <v>13206</v>
      </c>
      <c r="C1267" s="451" t="str">
        <f>'036-20-CCA''s'!$C$281</f>
        <v>TEMPO FIXO - CAMINHÃO CARROCERIA 15 T - CARGA E DESCARGA MANUAIS</v>
      </c>
      <c r="D1267" s="452" t="str">
        <f>'036-20-CCA''s'!$D$281</f>
        <v>SER.CG</v>
      </c>
      <c r="E1267" s="452" t="str">
        <f>'036-20-CCA''s'!$E$281</f>
        <v>T</v>
      </c>
      <c r="F1267" s="462">
        <v>5.8E-4</v>
      </c>
      <c r="G1267" s="453">
        <f>'036-20-CCA''s'!$H$281</f>
        <v>20.925562080536913</v>
      </c>
      <c r="H1267" s="463">
        <f t="shared" si="199"/>
        <v>1.2136826006711409E-2</v>
      </c>
      <c r="J1267" s="201"/>
    </row>
    <row r="1268" spans="1:17" s="87" customFormat="1" ht="12.75">
      <c r="A1268" s="188"/>
      <c r="B1268" s="348" t="s">
        <v>123</v>
      </c>
      <c r="C1268" s="695" t="s">
        <v>13167</v>
      </c>
      <c r="D1268" s="696"/>
      <c r="E1268" s="696"/>
      <c r="F1268" s="696"/>
      <c r="G1268" s="696"/>
      <c r="H1268" s="697"/>
      <c r="J1268" s="201"/>
      <c r="K1268" s="78"/>
      <c r="L1268" s="78"/>
      <c r="M1268" s="78"/>
      <c r="N1268" s="78"/>
      <c r="O1268" s="78"/>
      <c r="P1268" s="78"/>
      <c r="Q1268" s="78"/>
    </row>
    <row r="1269" spans="1:17" s="87" customFormat="1" ht="12.75">
      <c r="A1269" s="188"/>
      <c r="B1269" s="346"/>
      <c r="C1269" s="409"/>
      <c r="D1269" s="409"/>
      <c r="E1269" s="409"/>
      <c r="F1269" s="409"/>
      <c r="G1269" s="409"/>
      <c r="H1269" s="410"/>
      <c r="J1269" s="201"/>
      <c r="K1269" s="78"/>
      <c r="L1269" s="78"/>
      <c r="M1269" s="78"/>
      <c r="N1269" s="78"/>
      <c r="O1269" s="78"/>
      <c r="P1269" s="78"/>
      <c r="Q1269" s="78"/>
    </row>
    <row r="1270" spans="1:17" s="87" customFormat="1" ht="63.75">
      <c r="A1270" s="188"/>
      <c r="B1270" s="80" t="s">
        <v>8412</v>
      </c>
      <c r="C1270" s="81" t="s">
        <v>8532</v>
      </c>
      <c r="D1270" s="82" t="s">
        <v>84</v>
      </c>
      <c r="E1270" s="82" t="s">
        <v>4521</v>
      </c>
      <c r="F1270" s="83"/>
      <c r="G1270" s="84"/>
      <c r="H1270" s="85">
        <f>SUM(H1271:H1275)</f>
        <v>2584.4988358433839</v>
      </c>
      <c r="J1270" s="201"/>
      <c r="K1270" s="78"/>
      <c r="L1270" s="78"/>
      <c r="M1270" s="78"/>
      <c r="N1270" s="78"/>
      <c r="O1270" s="78"/>
      <c r="P1270" s="78"/>
      <c r="Q1270" s="78"/>
    </row>
    <row r="1271" spans="1:17" s="87" customFormat="1" ht="51">
      <c r="A1271" s="232" t="s">
        <v>12</v>
      </c>
      <c r="B1271" s="464" t="s">
        <v>8414</v>
      </c>
      <c r="C1271" s="451" t="str">
        <f>IF(A1271="SERVIÇO",VLOOKUP(B1271,SERVIÇOS!$A$6:$D$7645,2,0),IF(A1271="INSUMO",VLOOKUP(B1271,INSUMOS!$A$6:$D$6961,2,0),IF(A1271="COTAÇÃO",VLOOKUP(B1271,'036-20-Cotação'!$A$9:$G$529,2,0))))</f>
        <v>BALIZAMENTO AUTÔNOMO, TIPO BALIZADOR NOTURNO, COMPOSTO PELO SINALIZADOR, PAINEL SOLAR E GABINETE COM CONTROLADOR DE CARGA DAS BATERIAS</v>
      </c>
      <c r="D1271" s="452" t="str">
        <f>IF(A1271="SERVIÇO",VLOOKUP(B1271,SERVIÇOS!$A$6:$E$7645,5,0),IF(A1271="INSUMO",VLOOKUP(B1271,INSUMOS!$A$6:$E$6961,5,0),IF(A1271="COTAÇÃO",VLOOKUP(B1271,'036-20-Cotação'!$A$9:$H$529,8,0))))</f>
        <v>MAT.</v>
      </c>
      <c r="E1271" s="452" t="str">
        <f>IF(A1271="SERVIÇO",VLOOKUP(B1271,SERVIÇOS!$A$6:$D$7645,3,0),IF(A1271="INSUMO",VLOOKUP(B1271,INSUMOS!$A$6:$D$6961,3,0),IF(A1271="COTAÇÃO",VLOOKUP(B1271,'036-20-Cotação'!$A$9:$G$529,4,0))))</f>
        <v>UN</v>
      </c>
      <c r="F1271" s="462">
        <v>1</v>
      </c>
      <c r="G1271" s="453">
        <f>IF(A1271="SERVIÇO",VLOOKUP(B1271,SERVIÇOS!$A$6:$D$7645,4,0),IF(A1271="INSUMO",VLOOKUP(B1271,INSUMOS!$A$6:$D$6961,4,0),IF(A1271="COTAÇÃO",VLOOKUP(B1271,'036-20-Cotação'!$A$9:$G$529,3,0))))</f>
        <v>2522.5067858433836</v>
      </c>
      <c r="H1271" s="463">
        <f t="shared" ref="H1271:H1274" si="201">G1271*F1271</f>
        <v>2522.5067858433836</v>
      </c>
      <c r="J1271" s="201"/>
    </row>
    <row r="1272" spans="1:17" s="87" customFormat="1" ht="12.75">
      <c r="A1272" s="232" t="s">
        <v>4542</v>
      </c>
      <c r="B1272" s="464" t="s">
        <v>6684</v>
      </c>
      <c r="C1272" s="451" t="str">
        <f>IF(A1272="SERVIÇO",VLOOKUP(B1272,SERVIÇOS!$A$6:$D$7645,2,0),IF(A1272="INSUMO",VLOOKUP(B1272,INSUMOS!$A$6:$D$6961,2,0),IF(A1272="COTAÇÃO",VLOOKUP(B1272,'036-20-Cotação'!$A$9:$G$529,2,0))))</f>
        <v>ELETRICISTA</v>
      </c>
      <c r="D1272" s="452" t="str">
        <f>IF(A1272="SERVIÇO",VLOOKUP(B1272,SERVIÇOS!$A$6:$E$7645,5,0),IF(A1272="INSUMO",VLOOKUP(B1272,INSUMOS!$A$6:$E$6961,5,0),IF(A1272="COTAÇÃO",VLOOKUP(B1272,'036-20-Cotação'!$A$9:$H$529,8,0))))</f>
        <v>M.O</v>
      </c>
      <c r="E1272" s="452" t="str">
        <f>IF(A1272="SERVIÇO",VLOOKUP(B1272,SERVIÇOS!$A$6:$D$7645,3,0),IF(A1272="INSUMO",VLOOKUP(B1272,INSUMOS!$A$6:$D$6961,3,0),IF(A1272="COTAÇÃO",VLOOKUP(B1272,'036-20-Cotação'!$A$9:$G$529,4,0))))</f>
        <v>H</v>
      </c>
      <c r="F1272" s="462">
        <v>1.5</v>
      </c>
      <c r="G1272" s="453">
        <f>IF(A1272="SERVIÇO",VLOOKUP(B1272,SERVIÇOS!$A$6:$D$7645,4,0),IF(A1272="INSUMO",VLOOKUP(B1272,INSUMOS!$A$6:$D$6961,4,0),IF(A1272="COTAÇÃO",VLOOKUP(B1272,'036-20-Cotação'!$A$9:$G$529,3,0))))</f>
        <v>22.082599999999999</v>
      </c>
      <c r="H1272" s="463">
        <f t="shared" si="201"/>
        <v>33.123899999999999</v>
      </c>
      <c r="J1272" s="201"/>
    </row>
    <row r="1273" spans="1:17" s="87" customFormat="1" ht="12.75">
      <c r="A1273" s="232" t="s">
        <v>4542</v>
      </c>
      <c r="B1273" s="464" t="s">
        <v>6602</v>
      </c>
      <c r="C1273" s="451" t="str">
        <f>IF(A1273="SERVIÇO",VLOOKUP(B1273,SERVIÇOS!$A$6:$D$7645,2,0),IF(A1273="INSUMO",VLOOKUP(B1273,INSUMOS!$A$6:$D$6961,2,0),IF(A1273="COTAÇÃO",VLOOKUP(B1273,'036-20-Cotação'!$A$9:$G$529,2,0))))</f>
        <v>SERVENTE</v>
      </c>
      <c r="D1273" s="452" t="str">
        <f>IF(A1273="SERVIÇO",VLOOKUP(B1273,SERVIÇOS!$A$6:$E$7645,5,0),IF(A1273="INSUMO",VLOOKUP(B1273,INSUMOS!$A$6:$E$6961,5,0),IF(A1273="COTAÇÃO",VLOOKUP(B1273,'036-20-Cotação'!$A$9:$H$529,8,0))))</f>
        <v>M.O</v>
      </c>
      <c r="E1273" s="452" t="str">
        <f>IF(A1273="SERVIÇO",VLOOKUP(B1273,SERVIÇOS!$A$6:$D$7645,3,0),IF(A1273="INSUMO",VLOOKUP(B1273,INSUMOS!$A$6:$D$6961,3,0),IF(A1273="COTAÇÃO",VLOOKUP(B1273,'036-20-Cotação'!$A$9:$G$529,4,0))))</f>
        <v>H</v>
      </c>
      <c r="F1273" s="462">
        <v>1.5</v>
      </c>
      <c r="G1273" s="453">
        <f>IF(A1273="SERVIÇO",VLOOKUP(B1273,SERVIÇOS!$A$6:$D$7645,4,0),IF(A1273="INSUMO",VLOOKUP(B1273,INSUMOS!$A$6:$D$6961,4,0),IF(A1273="COTAÇÃO",VLOOKUP(B1273,'036-20-Cotação'!$A$9:$G$529,3,0))))</f>
        <v>15.637499999999999</v>
      </c>
      <c r="H1273" s="463">
        <f t="shared" si="201"/>
        <v>23.456249999999997</v>
      </c>
      <c r="J1273" s="201"/>
    </row>
    <row r="1274" spans="1:17" s="87" customFormat="1" ht="12.75">
      <c r="A1274" s="232" t="s">
        <v>4542</v>
      </c>
      <c r="B1274" s="464" t="s">
        <v>6614</v>
      </c>
      <c r="C1274" s="451" t="str">
        <f>IF(A1274="SERVIÇO",VLOOKUP(B1274,SERVIÇOS!$A$6:$D$7645,2,0),IF(A1274="INSUMO",VLOOKUP(B1274,INSUMOS!$A$6:$D$6961,2,0),IF(A1274="COTAÇÃO",VLOOKUP(B1274,'036-20-Cotação'!$A$9:$G$529,2,0))))</f>
        <v>PEDREIRO</v>
      </c>
      <c r="D1274" s="452" t="str">
        <f>IF(A1274="SERVIÇO",VLOOKUP(B1274,SERVIÇOS!$A$6:$E$7645,5,0),IF(A1274="INSUMO",VLOOKUP(B1274,INSUMOS!$A$6:$E$6961,5,0),IF(A1274="COTAÇÃO",VLOOKUP(B1274,'036-20-Cotação'!$A$9:$H$529,8,0))))</f>
        <v>M.O</v>
      </c>
      <c r="E1274" s="452" t="str">
        <f>IF(A1274="SERVIÇO",VLOOKUP(B1274,SERVIÇOS!$A$6:$D$7645,3,0),IF(A1274="INSUMO",VLOOKUP(B1274,INSUMOS!$A$6:$D$6961,3,0),IF(A1274="COTAÇÃO",VLOOKUP(B1274,'036-20-Cotação'!$A$9:$G$529,4,0))))</f>
        <v>H</v>
      </c>
      <c r="F1274" s="462">
        <v>0.25</v>
      </c>
      <c r="G1274" s="453">
        <f>IF(A1274="SERVIÇO",VLOOKUP(B1274,SERVIÇOS!$A$6:$D$7645,4,0),IF(A1274="INSUMO",VLOOKUP(B1274,INSUMOS!$A$6:$D$6961,4,0),IF(A1274="COTAÇÃO",VLOOKUP(B1274,'036-20-Cotação'!$A$9:$G$529,3,0))))</f>
        <v>21.647600000000001</v>
      </c>
      <c r="H1274" s="463">
        <f t="shared" si="201"/>
        <v>5.4119000000000002</v>
      </c>
      <c r="J1274" s="201"/>
    </row>
    <row r="1275" spans="1:17" s="87" customFormat="1" ht="12.75">
      <c r="A1275" s="188"/>
      <c r="B1275" s="348" t="s">
        <v>123</v>
      </c>
      <c r="C1275" s="695" t="s">
        <v>8413</v>
      </c>
      <c r="D1275" s="696"/>
      <c r="E1275" s="696"/>
      <c r="F1275" s="696"/>
      <c r="G1275" s="696"/>
      <c r="H1275" s="697"/>
      <c r="J1275" s="201"/>
      <c r="K1275" s="78"/>
      <c r="L1275" s="78"/>
      <c r="M1275" s="78"/>
      <c r="N1275" s="78"/>
      <c r="O1275" s="78"/>
      <c r="P1275" s="78"/>
      <c r="Q1275" s="78"/>
    </row>
    <row r="1276" spans="1:17" s="87" customFormat="1" ht="12.75">
      <c r="A1276" s="188"/>
      <c r="B1276" s="346"/>
      <c r="C1276" s="369"/>
      <c r="D1276" s="369"/>
      <c r="E1276" s="369"/>
      <c r="F1276" s="369"/>
      <c r="G1276" s="369"/>
      <c r="H1276" s="370"/>
      <c r="J1276" s="201"/>
      <c r="K1276" s="78"/>
      <c r="L1276" s="78"/>
      <c r="M1276" s="78"/>
      <c r="N1276" s="78"/>
      <c r="O1276" s="78"/>
      <c r="P1276" s="78"/>
      <c r="Q1276" s="78"/>
    </row>
    <row r="1277" spans="1:17" s="87" customFormat="1" ht="25.5">
      <c r="A1277" s="188"/>
      <c r="B1277" s="80" t="s">
        <v>8485</v>
      </c>
      <c r="C1277" s="81" t="s">
        <v>7698</v>
      </c>
      <c r="D1277" s="82" t="s">
        <v>84</v>
      </c>
      <c r="E1277" s="82" t="s">
        <v>89</v>
      </c>
      <c r="F1277" s="83"/>
      <c r="G1277" s="84"/>
      <c r="H1277" s="85">
        <f>SUM(H1278:H1287)</f>
        <v>0.60807136077314705</v>
      </c>
      <c r="J1277" s="201"/>
      <c r="K1277" s="78"/>
      <c r="L1277" s="78"/>
      <c r="M1277" s="78"/>
      <c r="N1277" s="78"/>
      <c r="O1277" s="78"/>
      <c r="P1277" s="78"/>
      <c r="Q1277" s="78"/>
    </row>
    <row r="1278" spans="1:17" s="87" customFormat="1" ht="25.5">
      <c r="A1278" s="232" t="s">
        <v>4542</v>
      </c>
      <c r="B1278" s="464" t="s">
        <v>9000</v>
      </c>
      <c r="C1278" s="451" t="str">
        <f>IF(A1278="SERVIÇO",VLOOKUP(B1278,SERVIÇOS!$A$6:$D$7645,2,0),IF(A1278="INSUMO",VLOOKUP(B1278,INSUMOS!$A$6:$D$6961,2,0),IF(A1278="COTAÇÃO",VLOOKUP(B1278,'036-20-Cotação'!$A$9:$G$529,2,0))))</f>
        <v>COMPRESSOR DE AR PORTÁTIL DE 912 PCM - 242 KW</v>
      </c>
      <c r="D1278" s="452" t="str">
        <f>IF(A1278="SERVIÇO",VLOOKUP(B1278,SERVIÇOS!$A$6:$E$7645,5,0),IF(A1278="INSUMO",VLOOKUP(B1278,INSUMOS!$A$6:$E$6961,5,0),IF(A1278="COTAÇÃO",VLOOKUP(B1278,'036-20-Cotação'!$A$9:$H$529,8,0))))</f>
        <v>EQUIP.</v>
      </c>
      <c r="E1278" s="452" t="str">
        <f>IF(A1278="SERVIÇO",VLOOKUP(B1278,SERVIÇOS!$A$6:$D$7645,3,0),IF(A1278="INSUMO",VLOOKUP(B1278,INSUMOS!$A$6:$D$6961,3,0),IF(A1278="COTAÇÃO",VLOOKUP(B1278,'036-20-Cotação'!$A$9:$G$529,4,0))))</f>
        <v>CHP</v>
      </c>
      <c r="F1278" s="462">
        <f>1/1738.35</f>
        <v>5.752581470935082E-4</v>
      </c>
      <c r="G1278" s="453">
        <f>IF(A1278="SERVIÇO",VLOOKUP(B1278,SERVIÇOS!$A$6:$D$7645,4,0),IF(A1278="INSUMO",VLOOKUP(B1278,INSUMOS!$A$6:$D$6961,4,0),IF(A1278="COTAÇÃO",VLOOKUP(B1278,'036-20-Cotação'!$A$9:$G$529,3,0))))</f>
        <v>196.6591</v>
      </c>
      <c r="H1278" s="463">
        <f t="shared" ref="H1278:H1287" si="202">G1278*F1278</f>
        <v>0.11312974947507694</v>
      </c>
      <c r="J1278" s="201"/>
    </row>
    <row r="1279" spans="1:17" s="87" customFormat="1" ht="25.5">
      <c r="A1279" s="232" t="s">
        <v>4542</v>
      </c>
      <c r="B1279" s="464" t="s">
        <v>9117</v>
      </c>
      <c r="C1279" s="451" t="str">
        <f>IF(A1279="SERVIÇO",VLOOKUP(B1279,SERVIÇOS!$A$6:$D$7645,2,0),IF(A1279="INSUMO",VLOOKUP(B1279,INSUMOS!$A$6:$D$6961,2,0),IF(A1279="COTAÇÃO",VLOOKUP(B1279,'036-20-Cotação'!$A$9:$G$529,2,0))))</f>
        <v>EMBARCAÇÃO DE TRANSPORTE DE PESSOAL E APOIO LOGÍSTICO - 175 HP</v>
      </c>
      <c r="D1279" s="452" t="str">
        <f>IF(A1279="SERVIÇO",VLOOKUP(B1279,SERVIÇOS!$A$6:$E$7645,5,0),IF(A1279="INSUMO",VLOOKUP(B1279,INSUMOS!$A$6:$E$6961,5,0),IF(A1279="COTAÇÃO",VLOOKUP(B1279,'036-20-Cotação'!$A$9:$H$529,8,0))))</f>
        <v>EQUIP.</v>
      </c>
      <c r="E1279" s="452" t="str">
        <f>IF(A1279="SERVIÇO",VLOOKUP(B1279,SERVIÇOS!$A$6:$D$7645,3,0),IF(A1279="INSUMO",VLOOKUP(B1279,INSUMOS!$A$6:$D$6961,3,0),IF(A1279="COTAÇÃO",VLOOKUP(B1279,'036-20-Cotação'!$A$9:$G$529,4,0))))</f>
        <v>CHP</v>
      </c>
      <c r="F1279" s="462">
        <f>0.5/1738.35</f>
        <v>2.876290735467541E-4</v>
      </c>
      <c r="G1279" s="453">
        <f>IF(A1279="SERVIÇO",VLOOKUP(B1279,SERVIÇOS!$A$6:$D$7645,4,0),IF(A1279="INSUMO",VLOOKUP(B1279,INSUMOS!$A$6:$D$6961,4,0),IF(A1279="COTAÇÃO",VLOOKUP(B1279,'036-20-Cotação'!$A$9:$G$529,3,0))))</f>
        <v>274.07380000000001</v>
      </c>
      <c r="H1279" s="463">
        <f t="shared" si="202"/>
        <v>7.8831593177438375E-2</v>
      </c>
      <c r="J1279" s="201"/>
    </row>
    <row r="1280" spans="1:17" s="87" customFormat="1" ht="25.5">
      <c r="A1280" s="232" t="s">
        <v>4542</v>
      </c>
      <c r="B1280" s="464" t="s">
        <v>9807</v>
      </c>
      <c r="C1280" s="451" t="str">
        <f>IF(A1280="SERVIÇO",VLOOKUP(B1280,SERVIÇOS!$A$6:$D$7645,2,0),IF(A1280="INSUMO",VLOOKUP(B1280,INSUMOS!$A$6:$D$6961,2,0),IF(A1280="COTAÇÃO",VLOOKUP(B1280,'036-20-Cotação'!$A$9:$G$529,2,0))))</f>
        <v>EMBARCAÇÃO DE TRANSPORTE DE PESSOAL E APOIO LOGÍSTICO - 175 HP</v>
      </c>
      <c r="D1280" s="452" t="str">
        <f>IF(A1280="SERVIÇO",VLOOKUP(B1280,SERVIÇOS!$A$6:$E$7645,5,0),IF(A1280="INSUMO",VLOOKUP(B1280,INSUMOS!$A$6:$E$6961,5,0),IF(A1280="COTAÇÃO",VLOOKUP(B1280,'036-20-Cotação'!$A$9:$H$529,8,0))))</f>
        <v>EQUIP.</v>
      </c>
      <c r="E1280" s="452" t="str">
        <f>IF(A1280="SERVIÇO",VLOOKUP(B1280,SERVIÇOS!$A$6:$D$7645,3,0),IF(A1280="INSUMO",VLOOKUP(B1280,INSUMOS!$A$6:$D$6961,3,0),IF(A1280="COTAÇÃO",VLOOKUP(B1280,'036-20-Cotação'!$A$9:$G$529,4,0))))</f>
        <v>CHI</v>
      </c>
      <c r="F1280" s="462">
        <f>0.5/1738.35</f>
        <v>2.876290735467541E-4</v>
      </c>
      <c r="G1280" s="453">
        <f>IF(A1280="SERVIÇO",VLOOKUP(B1280,SERVIÇOS!$A$6:$D$7645,4,0),IF(A1280="INSUMO",VLOOKUP(B1280,INSUMOS!$A$6:$D$6961,4,0),IF(A1280="COTAÇÃO",VLOOKUP(B1280,'036-20-Cotação'!$A$9:$G$529,3,0))))</f>
        <v>41.510399999999997</v>
      </c>
      <c r="H1280" s="463">
        <f t="shared" si="202"/>
        <v>1.1939597894555181E-2</v>
      </c>
      <c r="J1280" s="201"/>
    </row>
    <row r="1281" spans="1:17" s="87" customFormat="1" ht="12.75">
      <c r="A1281" s="232" t="s">
        <v>4542</v>
      </c>
      <c r="B1281" s="464" t="s">
        <v>9340</v>
      </c>
      <c r="C1281" s="451" t="str">
        <f>IF(A1281="SERVIÇO",VLOOKUP(B1281,SERVIÇOS!$A$6:$D$7645,2,0),IF(A1281="INSUMO",VLOOKUP(B1281,INSUMOS!$A$6:$D$6961,2,0),IF(A1281="COTAÇÃO",VLOOKUP(B1281,'036-20-Cotação'!$A$9:$G$529,2,0))))</f>
        <v>GRUPO GERADOR - 310/340 KVA</v>
      </c>
      <c r="D1281" s="452" t="str">
        <f>IF(A1281="SERVIÇO",VLOOKUP(B1281,SERVIÇOS!$A$6:$E$7645,5,0),IF(A1281="INSUMO",VLOOKUP(B1281,INSUMOS!$A$6:$E$6961,5,0),IF(A1281="COTAÇÃO",VLOOKUP(B1281,'036-20-Cotação'!$A$9:$H$529,8,0))))</f>
        <v>EQUIP.</v>
      </c>
      <c r="E1281" s="452" t="str">
        <f>IF(A1281="SERVIÇO",VLOOKUP(B1281,SERVIÇOS!$A$6:$D$7645,3,0),IF(A1281="INSUMO",VLOOKUP(B1281,INSUMOS!$A$6:$D$6961,3,0),IF(A1281="COTAÇÃO",VLOOKUP(B1281,'036-20-Cotação'!$A$9:$G$529,4,0))))</f>
        <v>CHP</v>
      </c>
      <c r="F1281" s="462">
        <f>1/1738.35</f>
        <v>5.752581470935082E-4</v>
      </c>
      <c r="G1281" s="453">
        <f>IF(A1281="SERVIÇO",VLOOKUP(B1281,SERVIÇOS!$A$6:$D$7645,4,0),IF(A1281="INSUMO",VLOOKUP(B1281,INSUMOS!$A$6:$D$6961,4,0),IF(A1281="COTAÇÃO",VLOOKUP(B1281,'036-20-Cotação'!$A$9:$G$529,3,0))))</f>
        <v>184.82230000000001</v>
      </c>
      <c r="H1281" s="463">
        <f t="shared" si="202"/>
        <v>0.10632053383956051</v>
      </c>
      <c r="J1281" s="201"/>
    </row>
    <row r="1282" spans="1:17" s="87" customFormat="1" ht="25.5">
      <c r="A1282" s="232" t="s">
        <v>4542</v>
      </c>
      <c r="B1282" s="464" t="s">
        <v>8813</v>
      </c>
      <c r="C1282" s="451" t="str">
        <f>IF(A1282="SERVIÇO",VLOOKUP(B1282,SERVIÇOS!$A$6:$D$7645,2,0),IF(A1282="INSUMO",VLOOKUP(B1282,INSUMOS!$A$6:$D$6961,2,0),IF(A1282="COTAÇÃO",VLOOKUP(B1282,'036-20-Cotação'!$A$9:$G$529,2,0))))</f>
        <v>GUINCHO PNEUMÁTICO COM CAPACIDADE DE 2,5 T</v>
      </c>
      <c r="D1282" s="452" t="str">
        <f>IF(A1282="SERVIÇO",VLOOKUP(B1282,SERVIÇOS!$A$6:$E$7645,5,0),IF(A1282="INSUMO",VLOOKUP(B1282,INSUMOS!$A$6:$E$6961,5,0),IF(A1282="COTAÇÃO",VLOOKUP(B1282,'036-20-Cotação'!$A$9:$H$529,8,0))))</f>
        <v>EQUIP.</v>
      </c>
      <c r="E1282" s="452" t="str">
        <f>IF(A1282="SERVIÇO",VLOOKUP(B1282,SERVIÇOS!$A$6:$D$7645,3,0),IF(A1282="INSUMO",VLOOKUP(B1282,INSUMOS!$A$6:$D$6961,3,0),IF(A1282="COTAÇÃO",VLOOKUP(B1282,'036-20-Cotação'!$A$9:$G$529,4,0))))</f>
        <v>CHP</v>
      </c>
      <c r="F1282" s="462">
        <f>4/1738.35</f>
        <v>2.3010325883740328E-3</v>
      </c>
      <c r="G1282" s="453">
        <f>IF(A1282="SERVIÇO",VLOOKUP(B1282,SERVIÇOS!$A$6:$D$7645,4,0),IF(A1282="INSUMO",VLOOKUP(B1282,INSUMOS!$A$6:$D$6961,4,0),IF(A1282="COTAÇÃO",VLOOKUP(B1282,'036-20-Cotação'!$A$9:$G$529,3,0))))</f>
        <v>48.603499999999997</v>
      </c>
      <c r="H1282" s="463">
        <f t="shared" si="202"/>
        <v>0.1118382374090373</v>
      </c>
      <c r="J1282" s="201"/>
    </row>
    <row r="1283" spans="1:17" s="87" customFormat="1" ht="25.5">
      <c r="A1283" s="232" t="s">
        <v>4542</v>
      </c>
      <c r="B1283" s="464" t="s">
        <v>8818</v>
      </c>
      <c r="C1283" s="451" t="str">
        <f>IF(A1283="SERVIÇO",VLOOKUP(B1283,SERVIÇOS!$A$6:$D$7645,2,0),IF(A1283="INSUMO",VLOOKUP(B1283,INSUMOS!$A$6:$D$6961,2,0),IF(A1283="COTAÇÃO",VLOOKUP(B1283,'036-20-Cotação'!$A$9:$G$529,2,0))))</f>
        <v>PLATAFORMA FLUTUANTE DE 12 X 24 X 1,8 M COM CAPACIDADE DE 150 T</v>
      </c>
      <c r="D1283" s="452" t="str">
        <f>IF(A1283="SERVIÇO",VLOOKUP(B1283,SERVIÇOS!$A$6:$E$7645,5,0),IF(A1283="INSUMO",VLOOKUP(B1283,INSUMOS!$A$6:$E$6961,5,0),IF(A1283="COTAÇÃO",VLOOKUP(B1283,'036-20-Cotação'!$A$9:$H$529,8,0))))</f>
        <v>EQUIP.</v>
      </c>
      <c r="E1283" s="452" t="str">
        <f>IF(A1283="SERVIÇO",VLOOKUP(B1283,SERVIÇOS!$A$6:$D$7645,3,0),IF(A1283="INSUMO",VLOOKUP(B1283,INSUMOS!$A$6:$D$6961,3,0),IF(A1283="COTAÇÃO",VLOOKUP(B1283,'036-20-Cotação'!$A$9:$G$529,4,0))))</f>
        <v>CHP</v>
      </c>
      <c r="F1283" s="462">
        <f>1/1738.35</f>
        <v>5.752581470935082E-4</v>
      </c>
      <c r="G1283" s="453">
        <f>IF(A1283="SERVIÇO",VLOOKUP(B1283,SERVIÇOS!$A$6:$D$7645,4,0),IF(A1283="INSUMO",VLOOKUP(B1283,INSUMOS!$A$6:$D$6961,4,0),IF(A1283="COTAÇÃO",VLOOKUP(B1283,'036-20-Cotação'!$A$9:$G$529,3,0))))</f>
        <v>32.6526</v>
      </c>
      <c r="H1283" s="463">
        <f t="shared" si="202"/>
        <v>1.8783674173785486E-2</v>
      </c>
      <c r="J1283" s="201"/>
    </row>
    <row r="1284" spans="1:17" s="87" customFormat="1" ht="12.75">
      <c r="A1284" s="232" t="s">
        <v>4542</v>
      </c>
      <c r="B1284" s="464" t="s">
        <v>8739</v>
      </c>
      <c r="C1284" s="451" t="str">
        <f>IF(A1284="SERVIÇO",VLOOKUP(B1284,SERVIÇOS!$A$6:$D$7645,2,0),IF(A1284="INSUMO",VLOOKUP(B1284,INSUMOS!$A$6:$D$6961,2,0),IF(A1284="COTAÇÃO",VLOOKUP(B1284,'036-20-Cotação'!$A$9:$G$529,2,0))))</f>
        <v>REBOCADOR - 360 HP</v>
      </c>
      <c r="D1284" s="452" t="str">
        <f>IF(A1284="SERVIÇO",VLOOKUP(B1284,SERVIÇOS!$A$6:$E$7645,5,0),IF(A1284="INSUMO",VLOOKUP(B1284,INSUMOS!$A$6:$E$6961,5,0),IF(A1284="COTAÇÃO",VLOOKUP(B1284,'036-20-Cotação'!$A$9:$H$529,8,0))))</f>
        <v>EQUIP.</v>
      </c>
      <c r="E1284" s="452" t="str">
        <f>IF(A1284="SERVIÇO",VLOOKUP(B1284,SERVIÇOS!$A$6:$D$7645,3,0),IF(A1284="INSUMO",VLOOKUP(B1284,INSUMOS!$A$6:$D$6961,3,0),IF(A1284="COTAÇÃO",VLOOKUP(B1284,'036-20-Cotação'!$A$9:$G$529,4,0))))</f>
        <v>CHP</v>
      </c>
      <c r="F1284" s="462">
        <f t="shared" ref="F1284:F1285" si="203">0.5/1738.35</f>
        <v>2.876290735467541E-4</v>
      </c>
      <c r="G1284" s="453">
        <f>IF(A1284="SERVIÇO",VLOOKUP(B1284,SERVIÇOS!$A$6:$D$7645,4,0),IF(A1284="INSUMO",VLOOKUP(B1284,INSUMOS!$A$6:$D$6961,4,0),IF(A1284="COTAÇÃO",VLOOKUP(B1284,'036-20-Cotação'!$A$9:$G$529,3,0))))</f>
        <v>339.82830000000001</v>
      </c>
      <c r="H1284" s="463">
        <f t="shared" si="202"/>
        <v>9.7744499093968415E-2</v>
      </c>
      <c r="J1284" s="201"/>
    </row>
    <row r="1285" spans="1:17" s="87" customFormat="1" ht="12.75">
      <c r="A1285" s="232" t="s">
        <v>4542</v>
      </c>
      <c r="B1285" s="464" t="s">
        <v>9608</v>
      </c>
      <c r="C1285" s="451" t="str">
        <f>IF(A1285="SERVIÇO",VLOOKUP(B1285,SERVIÇOS!$A$6:$D$7645,2,0),IF(A1285="INSUMO",VLOOKUP(B1285,INSUMOS!$A$6:$D$6961,2,0),IF(A1285="COTAÇÃO",VLOOKUP(B1285,'036-20-Cotação'!$A$9:$G$529,2,0))))</f>
        <v>REBOCADOR - 360 HP</v>
      </c>
      <c r="D1285" s="452" t="str">
        <f>IF(A1285="SERVIÇO",VLOOKUP(B1285,SERVIÇOS!$A$6:$E$7645,5,0),IF(A1285="INSUMO",VLOOKUP(B1285,INSUMOS!$A$6:$E$6961,5,0),IF(A1285="COTAÇÃO",VLOOKUP(B1285,'036-20-Cotação'!$A$9:$H$529,8,0))))</f>
        <v>EQUIP.</v>
      </c>
      <c r="E1285" s="452" t="str">
        <f>IF(A1285="SERVIÇO",VLOOKUP(B1285,SERVIÇOS!$A$6:$D$7645,3,0),IF(A1285="INSUMO",VLOOKUP(B1285,INSUMOS!$A$6:$D$6961,3,0),IF(A1285="COTAÇÃO",VLOOKUP(B1285,'036-20-Cotação'!$A$9:$G$529,4,0))))</f>
        <v>CHI</v>
      </c>
      <c r="F1285" s="462">
        <f t="shared" si="203"/>
        <v>2.876290735467541E-4</v>
      </c>
      <c r="G1285" s="453">
        <f>IF(A1285="SERVIÇO",VLOOKUP(B1285,SERVIÇOS!$A$6:$D$7645,4,0),IF(A1285="INSUMO",VLOOKUP(B1285,INSUMOS!$A$6:$D$6961,4,0),IF(A1285="COTAÇÃO",VLOOKUP(B1285,'036-20-Cotação'!$A$9:$G$529,3,0))))</f>
        <v>144.78219999999999</v>
      </c>
      <c r="H1285" s="463">
        <f t="shared" si="202"/>
        <v>4.164357005206086E-2</v>
      </c>
      <c r="J1285" s="201"/>
    </row>
    <row r="1286" spans="1:17" s="87" customFormat="1" ht="12.75">
      <c r="A1286" s="232" t="s">
        <v>4542</v>
      </c>
      <c r="B1286" s="464" t="s">
        <v>6884</v>
      </c>
      <c r="C1286" s="451" t="str">
        <f>IF(A1286="SERVIÇO",VLOOKUP(B1286,SERVIÇOS!$A$6:$D$7645,2,0),IF(A1286="INSUMO",VLOOKUP(B1286,INSUMOS!$A$6:$D$6961,2,0),IF(A1286="COTAÇÃO",VLOOKUP(B1286,'036-20-Cotação'!$A$9:$G$529,2,0))))</f>
        <v>BOMBEIRO HIDRÁULICO</v>
      </c>
      <c r="D1286" s="452" t="str">
        <f>IF(A1286="SERVIÇO",VLOOKUP(B1286,SERVIÇOS!$A$6:$E$7645,5,0),IF(A1286="INSUMO",VLOOKUP(B1286,INSUMOS!$A$6:$E$6961,5,0),IF(A1286="COTAÇÃO",VLOOKUP(B1286,'036-20-Cotação'!$A$9:$H$529,8,0))))</f>
        <v>M.O</v>
      </c>
      <c r="E1286" s="452" t="str">
        <f>IF(A1286="SERVIÇO",VLOOKUP(B1286,SERVIÇOS!$A$6:$D$7645,3,0),IF(A1286="INSUMO",VLOOKUP(B1286,INSUMOS!$A$6:$D$6961,3,0),IF(A1286="COTAÇÃO",VLOOKUP(B1286,'036-20-Cotação'!$A$9:$G$529,4,0))))</f>
        <v>H</v>
      </c>
      <c r="F1286" s="462">
        <f t="shared" ref="F1286:F1287" si="204">1/1738.35</f>
        <v>5.752581470935082E-4</v>
      </c>
      <c r="G1286" s="453">
        <f>IF(A1286="SERVIÇO",VLOOKUP(B1286,SERVIÇOS!$A$6:$D$7645,4,0),IF(A1286="INSUMO",VLOOKUP(B1286,INSUMOS!$A$6:$D$6961,4,0),IF(A1286="COTAÇÃO",VLOOKUP(B1286,'036-20-Cotação'!$A$9:$G$529,3,0))))</f>
        <v>26.312899999999999</v>
      </c>
      <c r="H1286" s="463">
        <f t="shared" si="202"/>
        <v>1.5136710098656771E-2</v>
      </c>
      <c r="J1286" s="201"/>
    </row>
    <row r="1287" spans="1:17" s="87" customFormat="1" ht="12.75">
      <c r="A1287" s="232" t="s">
        <v>4542</v>
      </c>
      <c r="B1287" s="464" t="s">
        <v>6684</v>
      </c>
      <c r="C1287" s="451" t="str">
        <f>IF(A1287="SERVIÇO",VLOOKUP(B1287,SERVIÇOS!$A$6:$D$7645,2,0),IF(A1287="INSUMO",VLOOKUP(B1287,INSUMOS!$A$6:$D$6961,2,0),IF(A1287="COTAÇÃO",VLOOKUP(B1287,'036-20-Cotação'!$A$9:$G$529,2,0))))</f>
        <v>ELETRICISTA</v>
      </c>
      <c r="D1287" s="452" t="str">
        <f>IF(A1287="SERVIÇO",VLOOKUP(B1287,SERVIÇOS!$A$6:$E$7645,5,0),IF(A1287="INSUMO",VLOOKUP(B1287,INSUMOS!$A$6:$E$6961,5,0),IF(A1287="COTAÇÃO",VLOOKUP(B1287,'036-20-Cotação'!$A$9:$H$529,8,0))))</f>
        <v>M.O</v>
      </c>
      <c r="E1287" s="452" t="str">
        <f>IF(A1287="SERVIÇO",VLOOKUP(B1287,SERVIÇOS!$A$6:$D$7645,3,0),IF(A1287="INSUMO",VLOOKUP(B1287,INSUMOS!$A$6:$D$6961,3,0),IF(A1287="COTAÇÃO",VLOOKUP(B1287,'036-20-Cotação'!$A$9:$G$529,4,0))))</f>
        <v>H</v>
      </c>
      <c r="F1287" s="462">
        <f t="shared" si="204"/>
        <v>5.752581470935082E-4</v>
      </c>
      <c r="G1287" s="453">
        <f>IF(A1287="SERVIÇO",VLOOKUP(B1287,SERVIÇOS!$A$6:$D$7645,4,0),IF(A1287="INSUMO",VLOOKUP(B1287,INSUMOS!$A$6:$D$6961,4,0),IF(A1287="COTAÇÃO",VLOOKUP(B1287,'036-20-Cotação'!$A$9:$G$529,3,0))))</f>
        <v>22.082599999999999</v>
      </c>
      <c r="H1287" s="463">
        <f t="shared" si="202"/>
        <v>1.2703195559007103E-2</v>
      </c>
      <c r="J1287" s="201"/>
    </row>
    <row r="1288" spans="1:17" s="87" customFormat="1" ht="12.75">
      <c r="A1288" s="188"/>
      <c r="B1288" s="348" t="s">
        <v>123</v>
      </c>
      <c r="C1288" s="695" t="s">
        <v>7890</v>
      </c>
      <c r="D1288" s="696"/>
      <c r="E1288" s="696"/>
      <c r="F1288" s="696"/>
      <c r="G1288" s="696"/>
      <c r="H1288" s="697"/>
      <c r="J1288" s="201"/>
      <c r="K1288" s="78"/>
      <c r="L1288" s="78"/>
      <c r="M1288" s="78"/>
      <c r="N1288" s="78"/>
      <c r="O1288" s="78"/>
      <c r="P1288" s="78"/>
      <c r="Q1288" s="78"/>
    </row>
    <row r="1289" spans="1:17" s="87" customFormat="1" ht="12.75">
      <c r="A1289" s="188"/>
      <c r="B1289" s="346"/>
      <c r="C1289" s="390"/>
      <c r="D1289" s="390"/>
      <c r="E1289" s="390"/>
      <c r="F1289" s="390"/>
      <c r="G1289" s="390"/>
      <c r="H1289" s="391"/>
      <c r="J1289" s="201"/>
      <c r="K1289" s="78"/>
      <c r="L1289" s="78"/>
      <c r="M1289" s="78"/>
      <c r="N1289" s="78"/>
      <c r="O1289" s="78"/>
      <c r="P1289" s="78"/>
      <c r="Q1289" s="78"/>
    </row>
    <row r="1290" spans="1:17" s="87" customFormat="1" ht="38.25">
      <c r="A1290" s="188"/>
      <c r="B1290" s="80" t="s">
        <v>8486</v>
      </c>
      <c r="C1290" s="81" t="s">
        <v>8367</v>
      </c>
      <c r="D1290" s="82" t="s">
        <v>84</v>
      </c>
      <c r="E1290" s="82" t="s">
        <v>89</v>
      </c>
      <c r="F1290" s="83"/>
      <c r="G1290" s="84"/>
      <c r="H1290" s="85">
        <f>SUM(H1291:H1300)</f>
        <v>0.60807136077314705</v>
      </c>
      <c r="J1290" s="201"/>
      <c r="K1290" s="78"/>
      <c r="L1290" s="78"/>
      <c r="M1290" s="78"/>
      <c r="N1290" s="78"/>
      <c r="O1290" s="78"/>
      <c r="P1290" s="78"/>
      <c r="Q1290" s="78"/>
    </row>
    <row r="1291" spans="1:17" s="87" customFormat="1" ht="25.5">
      <c r="A1291" s="232" t="s">
        <v>4542</v>
      </c>
      <c r="B1291" s="464" t="s">
        <v>9000</v>
      </c>
      <c r="C1291" s="451" t="str">
        <f>IF(A1291="SERVIÇO",VLOOKUP(B1291,SERVIÇOS!$A$6:$D$7645,2,0),IF(A1291="INSUMO",VLOOKUP(B1291,INSUMOS!$A$6:$D$6961,2,0),IF(A1291="COTAÇÃO",VLOOKUP(B1291,'036-20-Cotação'!$A$9:$G$529,2,0))))</f>
        <v>COMPRESSOR DE AR PORTÁTIL DE 912 PCM - 242 KW</v>
      </c>
      <c r="D1291" s="452" t="str">
        <f>IF(A1291="SERVIÇO",VLOOKUP(B1291,SERVIÇOS!$A$6:$E$7645,5,0),IF(A1291="INSUMO",VLOOKUP(B1291,INSUMOS!$A$6:$E$6961,5,0),IF(A1291="COTAÇÃO",VLOOKUP(B1291,'036-20-Cotação'!$A$9:$H$529,8,0))))</f>
        <v>EQUIP.</v>
      </c>
      <c r="E1291" s="452" t="str">
        <f>IF(A1291="SERVIÇO",VLOOKUP(B1291,SERVIÇOS!$A$6:$D$7645,3,0),IF(A1291="INSUMO",VLOOKUP(B1291,INSUMOS!$A$6:$D$6961,3,0),IF(A1291="COTAÇÃO",VLOOKUP(B1291,'036-20-Cotação'!$A$9:$G$529,4,0))))</f>
        <v>CHP</v>
      </c>
      <c r="F1291" s="462">
        <f>1/1738.35</f>
        <v>5.752581470935082E-4</v>
      </c>
      <c r="G1291" s="453">
        <f>IF(A1291="SERVIÇO",VLOOKUP(B1291,SERVIÇOS!$A$6:$D$7645,4,0),IF(A1291="INSUMO",VLOOKUP(B1291,INSUMOS!$A$6:$D$6961,4,0),IF(A1291="COTAÇÃO",VLOOKUP(B1291,'036-20-Cotação'!$A$9:$G$529,3,0))))</f>
        <v>196.6591</v>
      </c>
      <c r="H1291" s="463">
        <f t="shared" ref="H1291:H1300" si="205">G1291*F1291</f>
        <v>0.11312974947507694</v>
      </c>
      <c r="J1291" s="201"/>
    </row>
    <row r="1292" spans="1:17" s="87" customFormat="1" ht="25.5">
      <c r="A1292" s="232" t="s">
        <v>4542</v>
      </c>
      <c r="B1292" s="464" t="s">
        <v>9117</v>
      </c>
      <c r="C1292" s="451" t="str">
        <f>IF(A1292="SERVIÇO",VLOOKUP(B1292,SERVIÇOS!$A$6:$D$7645,2,0),IF(A1292="INSUMO",VLOOKUP(B1292,INSUMOS!$A$6:$D$6961,2,0),IF(A1292="COTAÇÃO",VLOOKUP(B1292,'036-20-Cotação'!$A$9:$G$529,2,0))))</f>
        <v>EMBARCAÇÃO DE TRANSPORTE DE PESSOAL E APOIO LOGÍSTICO - 175 HP</v>
      </c>
      <c r="D1292" s="452" t="str">
        <f>IF(A1292="SERVIÇO",VLOOKUP(B1292,SERVIÇOS!$A$6:$E$7645,5,0),IF(A1292="INSUMO",VLOOKUP(B1292,INSUMOS!$A$6:$E$6961,5,0),IF(A1292="COTAÇÃO",VLOOKUP(B1292,'036-20-Cotação'!$A$9:$H$529,8,0))))</f>
        <v>EQUIP.</v>
      </c>
      <c r="E1292" s="452" t="str">
        <f>IF(A1292="SERVIÇO",VLOOKUP(B1292,SERVIÇOS!$A$6:$D$7645,3,0),IF(A1292="INSUMO",VLOOKUP(B1292,INSUMOS!$A$6:$D$6961,3,0),IF(A1292="COTAÇÃO",VLOOKUP(B1292,'036-20-Cotação'!$A$9:$G$529,4,0))))</f>
        <v>CHP</v>
      </c>
      <c r="F1292" s="462">
        <f>0.5/1738.35</f>
        <v>2.876290735467541E-4</v>
      </c>
      <c r="G1292" s="453">
        <f>IF(A1292="SERVIÇO",VLOOKUP(B1292,SERVIÇOS!$A$6:$D$7645,4,0),IF(A1292="INSUMO",VLOOKUP(B1292,INSUMOS!$A$6:$D$6961,4,0),IF(A1292="COTAÇÃO",VLOOKUP(B1292,'036-20-Cotação'!$A$9:$G$529,3,0))))</f>
        <v>274.07380000000001</v>
      </c>
      <c r="H1292" s="463">
        <f t="shared" si="205"/>
        <v>7.8831593177438375E-2</v>
      </c>
      <c r="J1292" s="201"/>
    </row>
    <row r="1293" spans="1:17" s="87" customFormat="1" ht="25.5">
      <c r="A1293" s="232" t="s">
        <v>4542</v>
      </c>
      <c r="B1293" s="464" t="s">
        <v>9807</v>
      </c>
      <c r="C1293" s="451" t="str">
        <f>IF(A1293="SERVIÇO",VLOOKUP(B1293,SERVIÇOS!$A$6:$D$7645,2,0),IF(A1293="INSUMO",VLOOKUP(B1293,INSUMOS!$A$6:$D$6961,2,0),IF(A1293="COTAÇÃO",VLOOKUP(B1293,'036-20-Cotação'!$A$9:$G$529,2,0))))</f>
        <v>EMBARCAÇÃO DE TRANSPORTE DE PESSOAL E APOIO LOGÍSTICO - 175 HP</v>
      </c>
      <c r="D1293" s="452" t="str">
        <f>IF(A1293="SERVIÇO",VLOOKUP(B1293,SERVIÇOS!$A$6:$E$7645,5,0),IF(A1293="INSUMO",VLOOKUP(B1293,INSUMOS!$A$6:$E$6961,5,0),IF(A1293="COTAÇÃO",VLOOKUP(B1293,'036-20-Cotação'!$A$9:$H$529,8,0))))</f>
        <v>EQUIP.</v>
      </c>
      <c r="E1293" s="452" t="str">
        <f>IF(A1293="SERVIÇO",VLOOKUP(B1293,SERVIÇOS!$A$6:$D$7645,3,0),IF(A1293="INSUMO",VLOOKUP(B1293,INSUMOS!$A$6:$D$6961,3,0),IF(A1293="COTAÇÃO",VLOOKUP(B1293,'036-20-Cotação'!$A$9:$G$529,4,0))))</f>
        <v>CHI</v>
      </c>
      <c r="F1293" s="462">
        <f>0.5/1738.35</f>
        <v>2.876290735467541E-4</v>
      </c>
      <c r="G1293" s="453">
        <f>IF(A1293="SERVIÇO",VLOOKUP(B1293,SERVIÇOS!$A$6:$D$7645,4,0),IF(A1293="INSUMO",VLOOKUP(B1293,INSUMOS!$A$6:$D$6961,4,0),IF(A1293="COTAÇÃO",VLOOKUP(B1293,'036-20-Cotação'!$A$9:$G$529,3,0))))</f>
        <v>41.510399999999997</v>
      </c>
      <c r="H1293" s="463">
        <f t="shared" si="205"/>
        <v>1.1939597894555181E-2</v>
      </c>
      <c r="J1293" s="201"/>
    </row>
    <row r="1294" spans="1:17" s="87" customFormat="1" ht="12.75">
      <c r="A1294" s="232" t="s">
        <v>4542</v>
      </c>
      <c r="B1294" s="464" t="s">
        <v>9340</v>
      </c>
      <c r="C1294" s="451" t="str">
        <f>IF(A1294="SERVIÇO",VLOOKUP(B1294,SERVIÇOS!$A$6:$D$7645,2,0),IF(A1294="INSUMO",VLOOKUP(B1294,INSUMOS!$A$6:$D$6961,2,0),IF(A1294="COTAÇÃO",VLOOKUP(B1294,'036-20-Cotação'!$A$9:$G$529,2,0))))</f>
        <v>GRUPO GERADOR - 310/340 KVA</v>
      </c>
      <c r="D1294" s="452" t="str">
        <f>IF(A1294="SERVIÇO",VLOOKUP(B1294,SERVIÇOS!$A$6:$E$7645,5,0),IF(A1294="INSUMO",VLOOKUP(B1294,INSUMOS!$A$6:$E$6961,5,0),IF(A1294="COTAÇÃO",VLOOKUP(B1294,'036-20-Cotação'!$A$9:$H$529,8,0))))</f>
        <v>EQUIP.</v>
      </c>
      <c r="E1294" s="452" t="str">
        <f>IF(A1294="SERVIÇO",VLOOKUP(B1294,SERVIÇOS!$A$6:$D$7645,3,0),IF(A1294="INSUMO",VLOOKUP(B1294,INSUMOS!$A$6:$D$6961,3,0),IF(A1294="COTAÇÃO",VLOOKUP(B1294,'036-20-Cotação'!$A$9:$G$529,4,0))))</f>
        <v>CHP</v>
      </c>
      <c r="F1294" s="462">
        <f>1/1738.35</f>
        <v>5.752581470935082E-4</v>
      </c>
      <c r="G1294" s="453">
        <f>IF(A1294="SERVIÇO",VLOOKUP(B1294,SERVIÇOS!$A$6:$D$7645,4,0),IF(A1294="INSUMO",VLOOKUP(B1294,INSUMOS!$A$6:$D$6961,4,0),IF(A1294="COTAÇÃO",VLOOKUP(B1294,'036-20-Cotação'!$A$9:$G$529,3,0))))</f>
        <v>184.82230000000001</v>
      </c>
      <c r="H1294" s="463">
        <f t="shared" si="205"/>
        <v>0.10632053383956051</v>
      </c>
      <c r="J1294" s="201"/>
    </row>
    <row r="1295" spans="1:17" s="87" customFormat="1" ht="25.5">
      <c r="A1295" s="232" t="s">
        <v>4542</v>
      </c>
      <c r="B1295" s="464" t="s">
        <v>8813</v>
      </c>
      <c r="C1295" s="451" t="str">
        <f>IF(A1295="SERVIÇO",VLOOKUP(B1295,SERVIÇOS!$A$6:$D$7645,2,0),IF(A1295="INSUMO",VLOOKUP(B1295,INSUMOS!$A$6:$D$6961,2,0),IF(A1295="COTAÇÃO",VLOOKUP(B1295,'036-20-Cotação'!$A$9:$G$529,2,0))))</f>
        <v>GUINCHO PNEUMÁTICO COM CAPACIDADE DE 2,5 T</v>
      </c>
      <c r="D1295" s="452" t="str">
        <f>IF(A1295="SERVIÇO",VLOOKUP(B1295,SERVIÇOS!$A$6:$E$7645,5,0),IF(A1295="INSUMO",VLOOKUP(B1295,INSUMOS!$A$6:$E$6961,5,0),IF(A1295="COTAÇÃO",VLOOKUP(B1295,'036-20-Cotação'!$A$9:$H$529,8,0))))</f>
        <v>EQUIP.</v>
      </c>
      <c r="E1295" s="452" t="str">
        <f>IF(A1295="SERVIÇO",VLOOKUP(B1295,SERVIÇOS!$A$6:$D$7645,3,0),IF(A1295="INSUMO",VLOOKUP(B1295,INSUMOS!$A$6:$D$6961,3,0),IF(A1295="COTAÇÃO",VLOOKUP(B1295,'036-20-Cotação'!$A$9:$G$529,4,0))))</f>
        <v>CHP</v>
      </c>
      <c r="F1295" s="462">
        <f>4/1738.35</f>
        <v>2.3010325883740328E-3</v>
      </c>
      <c r="G1295" s="453">
        <f>IF(A1295="SERVIÇO",VLOOKUP(B1295,SERVIÇOS!$A$6:$D$7645,4,0),IF(A1295="INSUMO",VLOOKUP(B1295,INSUMOS!$A$6:$D$6961,4,0),IF(A1295="COTAÇÃO",VLOOKUP(B1295,'036-20-Cotação'!$A$9:$G$529,3,0))))</f>
        <v>48.603499999999997</v>
      </c>
      <c r="H1295" s="463">
        <f t="shared" si="205"/>
        <v>0.1118382374090373</v>
      </c>
      <c r="J1295" s="201"/>
    </row>
    <row r="1296" spans="1:17" s="87" customFormat="1" ht="25.5">
      <c r="A1296" s="232" t="s">
        <v>4542</v>
      </c>
      <c r="B1296" s="464" t="s">
        <v>8818</v>
      </c>
      <c r="C1296" s="451" t="str">
        <f>IF(A1296="SERVIÇO",VLOOKUP(B1296,SERVIÇOS!$A$6:$D$7645,2,0),IF(A1296="INSUMO",VLOOKUP(B1296,INSUMOS!$A$6:$D$6961,2,0),IF(A1296="COTAÇÃO",VLOOKUP(B1296,'036-20-Cotação'!$A$9:$G$529,2,0))))</f>
        <v>PLATAFORMA FLUTUANTE DE 12 X 24 X 1,8 M COM CAPACIDADE DE 150 T</v>
      </c>
      <c r="D1296" s="452" t="str">
        <f>IF(A1296="SERVIÇO",VLOOKUP(B1296,SERVIÇOS!$A$6:$E$7645,5,0),IF(A1296="INSUMO",VLOOKUP(B1296,INSUMOS!$A$6:$E$6961,5,0),IF(A1296="COTAÇÃO",VLOOKUP(B1296,'036-20-Cotação'!$A$9:$H$529,8,0))))</f>
        <v>EQUIP.</v>
      </c>
      <c r="E1296" s="452" t="str">
        <f>IF(A1296="SERVIÇO",VLOOKUP(B1296,SERVIÇOS!$A$6:$D$7645,3,0),IF(A1296="INSUMO",VLOOKUP(B1296,INSUMOS!$A$6:$D$6961,3,0),IF(A1296="COTAÇÃO",VLOOKUP(B1296,'036-20-Cotação'!$A$9:$G$529,4,0))))</f>
        <v>CHP</v>
      </c>
      <c r="F1296" s="462">
        <f>1/1738.35</f>
        <v>5.752581470935082E-4</v>
      </c>
      <c r="G1296" s="453">
        <f>IF(A1296="SERVIÇO",VLOOKUP(B1296,SERVIÇOS!$A$6:$D$7645,4,0),IF(A1296="INSUMO",VLOOKUP(B1296,INSUMOS!$A$6:$D$6961,4,0),IF(A1296="COTAÇÃO",VLOOKUP(B1296,'036-20-Cotação'!$A$9:$G$529,3,0))))</f>
        <v>32.6526</v>
      </c>
      <c r="H1296" s="463">
        <f t="shared" si="205"/>
        <v>1.8783674173785486E-2</v>
      </c>
      <c r="J1296" s="201"/>
    </row>
    <row r="1297" spans="1:17" s="87" customFormat="1" ht="12.75">
      <c r="A1297" s="232" t="s">
        <v>4542</v>
      </c>
      <c r="B1297" s="464" t="s">
        <v>8739</v>
      </c>
      <c r="C1297" s="451" t="str">
        <f>IF(A1297="SERVIÇO",VLOOKUP(B1297,SERVIÇOS!$A$6:$D$7645,2,0),IF(A1297="INSUMO",VLOOKUP(B1297,INSUMOS!$A$6:$D$6961,2,0),IF(A1297="COTAÇÃO",VLOOKUP(B1297,'036-20-Cotação'!$A$9:$G$529,2,0))))</f>
        <v>REBOCADOR - 360 HP</v>
      </c>
      <c r="D1297" s="452" t="str">
        <f>IF(A1297="SERVIÇO",VLOOKUP(B1297,SERVIÇOS!$A$6:$E$7645,5,0),IF(A1297="INSUMO",VLOOKUP(B1297,INSUMOS!$A$6:$E$6961,5,0),IF(A1297="COTAÇÃO",VLOOKUP(B1297,'036-20-Cotação'!$A$9:$H$529,8,0))))</f>
        <v>EQUIP.</v>
      </c>
      <c r="E1297" s="452" t="str">
        <f>IF(A1297="SERVIÇO",VLOOKUP(B1297,SERVIÇOS!$A$6:$D$7645,3,0),IF(A1297="INSUMO",VLOOKUP(B1297,INSUMOS!$A$6:$D$6961,3,0),IF(A1297="COTAÇÃO",VLOOKUP(B1297,'036-20-Cotação'!$A$9:$G$529,4,0))))</f>
        <v>CHP</v>
      </c>
      <c r="F1297" s="462">
        <f t="shared" ref="F1297:F1298" si="206">0.5/1738.35</f>
        <v>2.876290735467541E-4</v>
      </c>
      <c r="G1297" s="453">
        <f>IF(A1297="SERVIÇO",VLOOKUP(B1297,SERVIÇOS!$A$6:$D$7645,4,0),IF(A1297="INSUMO",VLOOKUP(B1297,INSUMOS!$A$6:$D$6961,4,0),IF(A1297="COTAÇÃO",VLOOKUP(B1297,'036-20-Cotação'!$A$9:$G$529,3,0))))</f>
        <v>339.82830000000001</v>
      </c>
      <c r="H1297" s="463">
        <f t="shared" si="205"/>
        <v>9.7744499093968415E-2</v>
      </c>
      <c r="J1297" s="201"/>
    </row>
    <row r="1298" spans="1:17" s="87" customFormat="1" ht="12.75">
      <c r="A1298" s="232" t="s">
        <v>4542</v>
      </c>
      <c r="B1298" s="464" t="s">
        <v>9608</v>
      </c>
      <c r="C1298" s="451" t="str">
        <f>IF(A1298="SERVIÇO",VLOOKUP(B1298,SERVIÇOS!$A$6:$D$7645,2,0),IF(A1298="INSUMO",VLOOKUP(B1298,INSUMOS!$A$6:$D$6961,2,0),IF(A1298="COTAÇÃO",VLOOKUP(B1298,'036-20-Cotação'!$A$9:$G$529,2,0))))</f>
        <v>REBOCADOR - 360 HP</v>
      </c>
      <c r="D1298" s="452" t="str">
        <f>IF(A1298="SERVIÇO",VLOOKUP(B1298,SERVIÇOS!$A$6:$E$7645,5,0),IF(A1298="INSUMO",VLOOKUP(B1298,INSUMOS!$A$6:$E$6961,5,0),IF(A1298="COTAÇÃO",VLOOKUP(B1298,'036-20-Cotação'!$A$9:$H$529,8,0))))</f>
        <v>EQUIP.</v>
      </c>
      <c r="E1298" s="452" t="str">
        <f>IF(A1298="SERVIÇO",VLOOKUP(B1298,SERVIÇOS!$A$6:$D$7645,3,0),IF(A1298="INSUMO",VLOOKUP(B1298,INSUMOS!$A$6:$D$6961,3,0),IF(A1298="COTAÇÃO",VLOOKUP(B1298,'036-20-Cotação'!$A$9:$G$529,4,0))))</f>
        <v>CHI</v>
      </c>
      <c r="F1298" s="462">
        <f t="shared" si="206"/>
        <v>2.876290735467541E-4</v>
      </c>
      <c r="G1298" s="453">
        <f>IF(A1298="SERVIÇO",VLOOKUP(B1298,SERVIÇOS!$A$6:$D$7645,4,0),IF(A1298="INSUMO",VLOOKUP(B1298,INSUMOS!$A$6:$D$6961,4,0),IF(A1298="COTAÇÃO",VLOOKUP(B1298,'036-20-Cotação'!$A$9:$G$529,3,0))))</f>
        <v>144.78219999999999</v>
      </c>
      <c r="H1298" s="463">
        <f t="shared" si="205"/>
        <v>4.164357005206086E-2</v>
      </c>
      <c r="J1298" s="201"/>
    </row>
    <row r="1299" spans="1:17" s="87" customFormat="1" ht="12.75">
      <c r="A1299" s="232" t="s">
        <v>4542</v>
      </c>
      <c r="B1299" s="464" t="s">
        <v>6884</v>
      </c>
      <c r="C1299" s="451" t="str">
        <f>IF(A1299="SERVIÇO",VLOOKUP(B1299,SERVIÇOS!$A$6:$D$7645,2,0),IF(A1299="INSUMO",VLOOKUP(B1299,INSUMOS!$A$6:$D$6961,2,0),IF(A1299="COTAÇÃO",VLOOKUP(B1299,'036-20-Cotação'!$A$9:$G$529,2,0))))</f>
        <v>BOMBEIRO HIDRÁULICO</v>
      </c>
      <c r="D1299" s="452" t="str">
        <f>IF(A1299="SERVIÇO",VLOOKUP(B1299,SERVIÇOS!$A$6:$E$7645,5,0),IF(A1299="INSUMO",VLOOKUP(B1299,INSUMOS!$A$6:$E$6961,5,0),IF(A1299="COTAÇÃO",VLOOKUP(B1299,'036-20-Cotação'!$A$9:$H$529,8,0))))</f>
        <v>M.O</v>
      </c>
      <c r="E1299" s="452" t="str">
        <f>IF(A1299="SERVIÇO",VLOOKUP(B1299,SERVIÇOS!$A$6:$D$7645,3,0),IF(A1299="INSUMO",VLOOKUP(B1299,INSUMOS!$A$6:$D$6961,3,0),IF(A1299="COTAÇÃO",VLOOKUP(B1299,'036-20-Cotação'!$A$9:$G$529,4,0))))</f>
        <v>H</v>
      </c>
      <c r="F1299" s="462">
        <f t="shared" ref="F1299:F1300" si="207">1/1738.35</f>
        <v>5.752581470935082E-4</v>
      </c>
      <c r="G1299" s="453">
        <f>IF(A1299="SERVIÇO",VLOOKUP(B1299,SERVIÇOS!$A$6:$D$7645,4,0),IF(A1299="INSUMO",VLOOKUP(B1299,INSUMOS!$A$6:$D$6961,4,0),IF(A1299="COTAÇÃO",VLOOKUP(B1299,'036-20-Cotação'!$A$9:$G$529,3,0))))</f>
        <v>26.312899999999999</v>
      </c>
      <c r="H1299" s="463">
        <f t="shared" si="205"/>
        <v>1.5136710098656771E-2</v>
      </c>
      <c r="J1299" s="201"/>
    </row>
    <row r="1300" spans="1:17" s="87" customFormat="1" ht="12.75">
      <c r="A1300" s="232" t="s">
        <v>4542</v>
      </c>
      <c r="B1300" s="464" t="s">
        <v>6684</v>
      </c>
      <c r="C1300" s="451" t="str">
        <f>IF(A1300="SERVIÇO",VLOOKUP(B1300,SERVIÇOS!$A$6:$D$7645,2,0),IF(A1300="INSUMO",VLOOKUP(B1300,INSUMOS!$A$6:$D$6961,2,0),IF(A1300="COTAÇÃO",VLOOKUP(B1300,'036-20-Cotação'!$A$9:$G$529,2,0))))</f>
        <v>ELETRICISTA</v>
      </c>
      <c r="D1300" s="452" t="str">
        <f>IF(A1300="SERVIÇO",VLOOKUP(B1300,SERVIÇOS!$A$6:$E$7645,5,0),IF(A1300="INSUMO",VLOOKUP(B1300,INSUMOS!$A$6:$E$6961,5,0),IF(A1300="COTAÇÃO",VLOOKUP(B1300,'036-20-Cotação'!$A$9:$H$529,8,0))))</f>
        <v>M.O</v>
      </c>
      <c r="E1300" s="452" t="str">
        <f>IF(A1300="SERVIÇO",VLOOKUP(B1300,SERVIÇOS!$A$6:$D$7645,3,0),IF(A1300="INSUMO",VLOOKUP(B1300,INSUMOS!$A$6:$D$6961,3,0),IF(A1300="COTAÇÃO",VLOOKUP(B1300,'036-20-Cotação'!$A$9:$G$529,4,0))))</f>
        <v>H</v>
      </c>
      <c r="F1300" s="462">
        <f t="shared" si="207"/>
        <v>5.752581470935082E-4</v>
      </c>
      <c r="G1300" s="453">
        <f>IF(A1300="SERVIÇO",VLOOKUP(B1300,SERVIÇOS!$A$6:$D$7645,4,0),IF(A1300="INSUMO",VLOOKUP(B1300,INSUMOS!$A$6:$D$6961,4,0),IF(A1300="COTAÇÃO",VLOOKUP(B1300,'036-20-Cotação'!$A$9:$G$529,3,0))))</f>
        <v>22.082599999999999</v>
      </c>
      <c r="H1300" s="463">
        <f t="shared" si="205"/>
        <v>1.2703195559007103E-2</v>
      </c>
      <c r="J1300" s="201"/>
    </row>
    <row r="1301" spans="1:17" s="87" customFormat="1" ht="12.75">
      <c r="A1301" s="188"/>
      <c r="B1301" s="348" t="s">
        <v>123</v>
      </c>
      <c r="C1301" s="695" t="s">
        <v>7890</v>
      </c>
      <c r="D1301" s="696"/>
      <c r="E1301" s="696"/>
      <c r="F1301" s="696"/>
      <c r="G1301" s="696"/>
      <c r="H1301" s="697"/>
      <c r="J1301" s="201"/>
      <c r="K1301" s="78"/>
      <c r="L1301" s="78"/>
      <c r="M1301" s="78"/>
      <c r="N1301" s="78"/>
      <c r="O1301" s="78"/>
      <c r="P1301" s="78"/>
      <c r="Q1301" s="78"/>
    </row>
    <row r="1302" spans="1:17" s="87" customFormat="1" ht="12.75">
      <c r="A1302" s="188"/>
      <c r="B1302" s="346"/>
      <c r="C1302" s="402"/>
      <c r="D1302" s="402"/>
      <c r="E1302" s="402"/>
      <c r="F1302" s="402"/>
      <c r="G1302" s="402"/>
      <c r="H1302" s="403"/>
      <c r="J1302" s="201"/>
      <c r="K1302" s="78"/>
      <c r="L1302" s="78"/>
      <c r="M1302" s="78"/>
      <c r="N1302" s="78"/>
      <c r="O1302" s="78"/>
      <c r="P1302" s="78"/>
      <c r="Q1302" s="78"/>
    </row>
    <row r="1303" spans="1:17" s="87" customFormat="1" ht="25.5">
      <c r="A1303" s="188"/>
      <c r="B1303" s="80" t="s">
        <v>8487</v>
      </c>
      <c r="C1303" s="81" t="s">
        <v>8343</v>
      </c>
      <c r="D1303" s="82" t="s">
        <v>84</v>
      </c>
      <c r="E1303" s="82" t="s">
        <v>89</v>
      </c>
      <c r="F1303" s="83"/>
      <c r="G1303" s="84"/>
      <c r="H1303" s="85">
        <f>SUM(H1304:H1313)</f>
        <v>0.60807136077314705</v>
      </c>
      <c r="J1303" s="201"/>
      <c r="K1303" s="78"/>
      <c r="L1303" s="78"/>
      <c r="M1303" s="78"/>
      <c r="N1303" s="78"/>
      <c r="O1303" s="78"/>
      <c r="P1303" s="78"/>
      <c r="Q1303" s="78"/>
    </row>
    <row r="1304" spans="1:17" s="87" customFormat="1" ht="25.5">
      <c r="A1304" s="232" t="s">
        <v>4542</v>
      </c>
      <c r="B1304" s="464" t="s">
        <v>9000</v>
      </c>
      <c r="C1304" s="451" t="str">
        <f>IF(A1304="SERVIÇO",VLOOKUP(B1304,SERVIÇOS!$A$6:$D$7645,2,0),IF(A1304="INSUMO",VLOOKUP(B1304,INSUMOS!$A$6:$D$6961,2,0),IF(A1304="COTAÇÃO",VLOOKUP(B1304,'036-20-Cotação'!$A$9:$G$529,2,0))))</f>
        <v>COMPRESSOR DE AR PORTÁTIL DE 912 PCM - 242 KW</v>
      </c>
      <c r="D1304" s="452" t="str">
        <f>IF(A1304="SERVIÇO",VLOOKUP(B1304,SERVIÇOS!$A$6:$E$7645,5,0),IF(A1304="INSUMO",VLOOKUP(B1304,INSUMOS!$A$6:$E$6961,5,0),IF(A1304="COTAÇÃO",VLOOKUP(B1304,'036-20-Cotação'!$A$9:$H$529,8,0))))</f>
        <v>EQUIP.</v>
      </c>
      <c r="E1304" s="452" t="str">
        <f>IF(A1304="SERVIÇO",VLOOKUP(B1304,SERVIÇOS!$A$6:$D$7645,3,0),IF(A1304="INSUMO",VLOOKUP(B1304,INSUMOS!$A$6:$D$6961,3,0),IF(A1304="COTAÇÃO",VLOOKUP(B1304,'036-20-Cotação'!$A$9:$G$529,4,0))))</f>
        <v>CHP</v>
      </c>
      <c r="F1304" s="462">
        <f>1/1738.35</f>
        <v>5.752581470935082E-4</v>
      </c>
      <c r="G1304" s="453">
        <f>IF(A1304="SERVIÇO",VLOOKUP(B1304,SERVIÇOS!$A$6:$D$7645,4,0),IF(A1304="INSUMO",VLOOKUP(B1304,INSUMOS!$A$6:$D$6961,4,0),IF(A1304="COTAÇÃO",VLOOKUP(B1304,'036-20-Cotação'!$A$9:$G$529,3,0))))</f>
        <v>196.6591</v>
      </c>
      <c r="H1304" s="463">
        <f t="shared" ref="H1304:H1313" si="208">G1304*F1304</f>
        <v>0.11312974947507694</v>
      </c>
      <c r="J1304" s="201"/>
    </row>
    <row r="1305" spans="1:17" s="87" customFormat="1" ht="25.5">
      <c r="A1305" s="232" t="s">
        <v>4542</v>
      </c>
      <c r="B1305" s="464" t="s">
        <v>9117</v>
      </c>
      <c r="C1305" s="451" t="str">
        <f>IF(A1305="SERVIÇO",VLOOKUP(B1305,SERVIÇOS!$A$6:$D$7645,2,0),IF(A1305="INSUMO",VLOOKUP(B1305,INSUMOS!$A$6:$D$6961,2,0),IF(A1305="COTAÇÃO",VLOOKUP(B1305,'036-20-Cotação'!$A$9:$G$529,2,0))))</f>
        <v>EMBARCAÇÃO DE TRANSPORTE DE PESSOAL E APOIO LOGÍSTICO - 175 HP</v>
      </c>
      <c r="D1305" s="452" t="str">
        <f>IF(A1305="SERVIÇO",VLOOKUP(B1305,SERVIÇOS!$A$6:$E$7645,5,0),IF(A1305="INSUMO",VLOOKUP(B1305,INSUMOS!$A$6:$E$6961,5,0),IF(A1305="COTAÇÃO",VLOOKUP(B1305,'036-20-Cotação'!$A$9:$H$529,8,0))))</f>
        <v>EQUIP.</v>
      </c>
      <c r="E1305" s="452" t="str">
        <f>IF(A1305="SERVIÇO",VLOOKUP(B1305,SERVIÇOS!$A$6:$D$7645,3,0),IF(A1305="INSUMO",VLOOKUP(B1305,INSUMOS!$A$6:$D$6961,3,0),IF(A1305="COTAÇÃO",VLOOKUP(B1305,'036-20-Cotação'!$A$9:$G$529,4,0))))</f>
        <v>CHP</v>
      </c>
      <c r="F1305" s="462">
        <f>0.5/1738.35</f>
        <v>2.876290735467541E-4</v>
      </c>
      <c r="G1305" s="453">
        <f>IF(A1305="SERVIÇO",VLOOKUP(B1305,SERVIÇOS!$A$6:$D$7645,4,0),IF(A1305="INSUMO",VLOOKUP(B1305,INSUMOS!$A$6:$D$6961,4,0),IF(A1305="COTAÇÃO",VLOOKUP(B1305,'036-20-Cotação'!$A$9:$G$529,3,0))))</f>
        <v>274.07380000000001</v>
      </c>
      <c r="H1305" s="463">
        <f t="shared" si="208"/>
        <v>7.8831593177438375E-2</v>
      </c>
      <c r="J1305" s="201"/>
    </row>
    <row r="1306" spans="1:17" s="87" customFormat="1" ht="25.5">
      <c r="A1306" s="232" t="s">
        <v>4542</v>
      </c>
      <c r="B1306" s="464" t="s">
        <v>9807</v>
      </c>
      <c r="C1306" s="451" t="str">
        <f>IF(A1306="SERVIÇO",VLOOKUP(B1306,SERVIÇOS!$A$6:$D$7645,2,0),IF(A1306="INSUMO",VLOOKUP(B1306,INSUMOS!$A$6:$D$6961,2,0),IF(A1306="COTAÇÃO",VLOOKUP(B1306,'036-20-Cotação'!$A$9:$G$529,2,0))))</f>
        <v>EMBARCAÇÃO DE TRANSPORTE DE PESSOAL E APOIO LOGÍSTICO - 175 HP</v>
      </c>
      <c r="D1306" s="452" t="str">
        <f>IF(A1306="SERVIÇO",VLOOKUP(B1306,SERVIÇOS!$A$6:$E$7645,5,0),IF(A1306="INSUMO",VLOOKUP(B1306,INSUMOS!$A$6:$E$6961,5,0),IF(A1306="COTAÇÃO",VLOOKUP(B1306,'036-20-Cotação'!$A$9:$H$529,8,0))))</f>
        <v>EQUIP.</v>
      </c>
      <c r="E1306" s="452" t="str">
        <f>IF(A1306="SERVIÇO",VLOOKUP(B1306,SERVIÇOS!$A$6:$D$7645,3,0),IF(A1306="INSUMO",VLOOKUP(B1306,INSUMOS!$A$6:$D$6961,3,0),IF(A1306="COTAÇÃO",VLOOKUP(B1306,'036-20-Cotação'!$A$9:$G$529,4,0))))</f>
        <v>CHI</v>
      </c>
      <c r="F1306" s="462">
        <f>0.5/1738.35</f>
        <v>2.876290735467541E-4</v>
      </c>
      <c r="G1306" s="453">
        <f>IF(A1306="SERVIÇO",VLOOKUP(B1306,SERVIÇOS!$A$6:$D$7645,4,0),IF(A1306="INSUMO",VLOOKUP(B1306,INSUMOS!$A$6:$D$6961,4,0),IF(A1306="COTAÇÃO",VLOOKUP(B1306,'036-20-Cotação'!$A$9:$G$529,3,0))))</f>
        <v>41.510399999999997</v>
      </c>
      <c r="H1306" s="463">
        <f t="shared" si="208"/>
        <v>1.1939597894555181E-2</v>
      </c>
      <c r="J1306" s="201"/>
    </row>
    <row r="1307" spans="1:17" s="87" customFormat="1" ht="12.75">
      <c r="A1307" s="232" t="s">
        <v>4542</v>
      </c>
      <c r="B1307" s="464" t="s">
        <v>9340</v>
      </c>
      <c r="C1307" s="451" t="str">
        <f>IF(A1307="SERVIÇO",VLOOKUP(B1307,SERVIÇOS!$A$6:$D$7645,2,0),IF(A1307="INSUMO",VLOOKUP(B1307,INSUMOS!$A$6:$D$6961,2,0),IF(A1307="COTAÇÃO",VLOOKUP(B1307,'036-20-Cotação'!$A$9:$G$529,2,0))))</f>
        <v>GRUPO GERADOR - 310/340 KVA</v>
      </c>
      <c r="D1307" s="452" t="str">
        <f>IF(A1307="SERVIÇO",VLOOKUP(B1307,SERVIÇOS!$A$6:$E$7645,5,0),IF(A1307="INSUMO",VLOOKUP(B1307,INSUMOS!$A$6:$E$6961,5,0),IF(A1307="COTAÇÃO",VLOOKUP(B1307,'036-20-Cotação'!$A$9:$H$529,8,0))))</f>
        <v>EQUIP.</v>
      </c>
      <c r="E1307" s="452" t="str">
        <f>IF(A1307="SERVIÇO",VLOOKUP(B1307,SERVIÇOS!$A$6:$D$7645,3,0),IF(A1307="INSUMO",VLOOKUP(B1307,INSUMOS!$A$6:$D$6961,3,0),IF(A1307="COTAÇÃO",VLOOKUP(B1307,'036-20-Cotação'!$A$9:$G$529,4,0))))</f>
        <v>CHP</v>
      </c>
      <c r="F1307" s="462">
        <f>1/1738.35</f>
        <v>5.752581470935082E-4</v>
      </c>
      <c r="G1307" s="453">
        <f>IF(A1307="SERVIÇO",VLOOKUP(B1307,SERVIÇOS!$A$6:$D$7645,4,0),IF(A1307="INSUMO",VLOOKUP(B1307,INSUMOS!$A$6:$D$6961,4,0),IF(A1307="COTAÇÃO",VLOOKUP(B1307,'036-20-Cotação'!$A$9:$G$529,3,0))))</f>
        <v>184.82230000000001</v>
      </c>
      <c r="H1307" s="463">
        <f t="shared" si="208"/>
        <v>0.10632053383956051</v>
      </c>
      <c r="J1307" s="201"/>
    </row>
    <row r="1308" spans="1:17" s="87" customFormat="1" ht="25.5">
      <c r="A1308" s="232" t="s">
        <v>4542</v>
      </c>
      <c r="B1308" s="464" t="s">
        <v>8813</v>
      </c>
      <c r="C1308" s="451" t="str">
        <f>IF(A1308="SERVIÇO",VLOOKUP(B1308,SERVIÇOS!$A$6:$D$7645,2,0),IF(A1308="INSUMO",VLOOKUP(B1308,INSUMOS!$A$6:$D$6961,2,0),IF(A1308="COTAÇÃO",VLOOKUP(B1308,'036-20-Cotação'!$A$9:$G$529,2,0))))</f>
        <v>GUINCHO PNEUMÁTICO COM CAPACIDADE DE 2,5 T</v>
      </c>
      <c r="D1308" s="452" t="str">
        <f>IF(A1308="SERVIÇO",VLOOKUP(B1308,SERVIÇOS!$A$6:$E$7645,5,0),IF(A1308="INSUMO",VLOOKUP(B1308,INSUMOS!$A$6:$E$6961,5,0),IF(A1308="COTAÇÃO",VLOOKUP(B1308,'036-20-Cotação'!$A$9:$H$529,8,0))))</f>
        <v>EQUIP.</v>
      </c>
      <c r="E1308" s="452" t="str">
        <f>IF(A1308="SERVIÇO",VLOOKUP(B1308,SERVIÇOS!$A$6:$D$7645,3,0),IF(A1308="INSUMO",VLOOKUP(B1308,INSUMOS!$A$6:$D$6961,3,0),IF(A1308="COTAÇÃO",VLOOKUP(B1308,'036-20-Cotação'!$A$9:$G$529,4,0))))</f>
        <v>CHP</v>
      </c>
      <c r="F1308" s="462">
        <f>4/1738.35</f>
        <v>2.3010325883740328E-3</v>
      </c>
      <c r="G1308" s="453">
        <f>IF(A1308="SERVIÇO",VLOOKUP(B1308,SERVIÇOS!$A$6:$D$7645,4,0),IF(A1308="INSUMO",VLOOKUP(B1308,INSUMOS!$A$6:$D$6961,4,0),IF(A1308="COTAÇÃO",VLOOKUP(B1308,'036-20-Cotação'!$A$9:$G$529,3,0))))</f>
        <v>48.603499999999997</v>
      </c>
      <c r="H1308" s="463">
        <f t="shared" si="208"/>
        <v>0.1118382374090373</v>
      </c>
      <c r="J1308" s="201"/>
    </row>
    <row r="1309" spans="1:17" s="87" customFormat="1" ht="25.5">
      <c r="A1309" s="232" t="s">
        <v>4542</v>
      </c>
      <c r="B1309" s="464" t="s">
        <v>8818</v>
      </c>
      <c r="C1309" s="451" t="str">
        <f>IF(A1309="SERVIÇO",VLOOKUP(B1309,SERVIÇOS!$A$6:$D$7645,2,0),IF(A1309="INSUMO",VLOOKUP(B1309,INSUMOS!$A$6:$D$6961,2,0),IF(A1309="COTAÇÃO",VLOOKUP(B1309,'036-20-Cotação'!$A$9:$G$529,2,0))))</f>
        <v>PLATAFORMA FLUTUANTE DE 12 X 24 X 1,8 M COM CAPACIDADE DE 150 T</v>
      </c>
      <c r="D1309" s="452" t="str">
        <f>IF(A1309="SERVIÇO",VLOOKUP(B1309,SERVIÇOS!$A$6:$E$7645,5,0),IF(A1309="INSUMO",VLOOKUP(B1309,INSUMOS!$A$6:$E$6961,5,0),IF(A1309="COTAÇÃO",VLOOKUP(B1309,'036-20-Cotação'!$A$9:$H$529,8,0))))</f>
        <v>EQUIP.</v>
      </c>
      <c r="E1309" s="452" t="str">
        <f>IF(A1309="SERVIÇO",VLOOKUP(B1309,SERVIÇOS!$A$6:$D$7645,3,0),IF(A1309="INSUMO",VLOOKUP(B1309,INSUMOS!$A$6:$D$6961,3,0),IF(A1309="COTAÇÃO",VLOOKUP(B1309,'036-20-Cotação'!$A$9:$G$529,4,0))))</f>
        <v>CHP</v>
      </c>
      <c r="F1309" s="462">
        <f>1/1738.35</f>
        <v>5.752581470935082E-4</v>
      </c>
      <c r="G1309" s="453">
        <f>IF(A1309="SERVIÇO",VLOOKUP(B1309,SERVIÇOS!$A$6:$D$7645,4,0),IF(A1309="INSUMO",VLOOKUP(B1309,INSUMOS!$A$6:$D$6961,4,0),IF(A1309="COTAÇÃO",VLOOKUP(B1309,'036-20-Cotação'!$A$9:$G$529,3,0))))</f>
        <v>32.6526</v>
      </c>
      <c r="H1309" s="463">
        <f t="shared" si="208"/>
        <v>1.8783674173785486E-2</v>
      </c>
      <c r="J1309" s="201"/>
    </row>
    <row r="1310" spans="1:17" s="87" customFormat="1" ht="12.75">
      <c r="A1310" s="232" t="s">
        <v>4542</v>
      </c>
      <c r="B1310" s="464" t="s">
        <v>8739</v>
      </c>
      <c r="C1310" s="451" t="str">
        <f>IF(A1310="SERVIÇO",VLOOKUP(B1310,SERVIÇOS!$A$6:$D$7645,2,0),IF(A1310="INSUMO",VLOOKUP(B1310,INSUMOS!$A$6:$D$6961,2,0),IF(A1310="COTAÇÃO",VLOOKUP(B1310,'036-20-Cotação'!$A$9:$G$529,2,0))))</f>
        <v>REBOCADOR - 360 HP</v>
      </c>
      <c r="D1310" s="452" t="str">
        <f>IF(A1310="SERVIÇO",VLOOKUP(B1310,SERVIÇOS!$A$6:$E$7645,5,0),IF(A1310="INSUMO",VLOOKUP(B1310,INSUMOS!$A$6:$E$6961,5,0),IF(A1310="COTAÇÃO",VLOOKUP(B1310,'036-20-Cotação'!$A$9:$H$529,8,0))))</f>
        <v>EQUIP.</v>
      </c>
      <c r="E1310" s="452" t="str">
        <f>IF(A1310="SERVIÇO",VLOOKUP(B1310,SERVIÇOS!$A$6:$D$7645,3,0),IF(A1310="INSUMO",VLOOKUP(B1310,INSUMOS!$A$6:$D$6961,3,0),IF(A1310="COTAÇÃO",VLOOKUP(B1310,'036-20-Cotação'!$A$9:$G$529,4,0))))</f>
        <v>CHP</v>
      </c>
      <c r="F1310" s="462">
        <f t="shared" ref="F1310:F1311" si="209">0.5/1738.35</f>
        <v>2.876290735467541E-4</v>
      </c>
      <c r="G1310" s="453">
        <f>IF(A1310="SERVIÇO",VLOOKUP(B1310,SERVIÇOS!$A$6:$D$7645,4,0),IF(A1310="INSUMO",VLOOKUP(B1310,INSUMOS!$A$6:$D$6961,4,0),IF(A1310="COTAÇÃO",VLOOKUP(B1310,'036-20-Cotação'!$A$9:$G$529,3,0))))</f>
        <v>339.82830000000001</v>
      </c>
      <c r="H1310" s="463">
        <f t="shared" si="208"/>
        <v>9.7744499093968415E-2</v>
      </c>
      <c r="J1310" s="201"/>
    </row>
    <row r="1311" spans="1:17" s="87" customFormat="1" ht="12.75">
      <c r="A1311" s="232" t="s">
        <v>4542</v>
      </c>
      <c r="B1311" s="464" t="s">
        <v>9608</v>
      </c>
      <c r="C1311" s="451" t="str">
        <f>IF(A1311="SERVIÇO",VLOOKUP(B1311,SERVIÇOS!$A$6:$D$7645,2,0),IF(A1311="INSUMO",VLOOKUP(B1311,INSUMOS!$A$6:$D$6961,2,0),IF(A1311="COTAÇÃO",VLOOKUP(B1311,'036-20-Cotação'!$A$9:$G$529,2,0))))</f>
        <v>REBOCADOR - 360 HP</v>
      </c>
      <c r="D1311" s="452" t="str">
        <f>IF(A1311="SERVIÇO",VLOOKUP(B1311,SERVIÇOS!$A$6:$E$7645,5,0),IF(A1311="INSUMO",VLOOKUP(B1311,INSUMOS!$A$6:$E$6961,5,0),IF(A1311="COTAÇÃO",VLOOKUP(B1311,'036-20-Cotação'!$A$9:$H$529,8,0))))</f>
        <v>EQUIP.</v>
      </c>
      <c r="E1311" s="452" t="str">
        <f>IF(A1311="SERVIÇO",VLOOKUP(B1311,SERVIÇOS!$A$6:$D$7645,3,0),IF(A1311="INSUMO",VLOOKUP(B1311,INSUMOS!$A$6:$D$6961,3,0),IF(A1311="COTAÇÃO",VLOOKUP(B1311,'036-20-Cotação'!$A$9:$G$529,4,0))))</f>
        <v>CHI</v>
      </c>
      <c r="F1311" s="462">
        <f t="shared" si="209"/>
        <v>2.876290735467541E-4</v>
      </c>
      <c r="G1311" s="453">
        <f>IF(A1311="SERVIÇO",VLOOKUP(B1311,SERVIÇOS!$A$6:$D$7645,4,0),IF(A1311="INSUMO",VLOOKUP(B1311,INSUMOS!$A$6:$D$6961,4,0),IF(A1311="COTAÇÃO",VLOOKUP(B1311,'036-20-Cotação'!$A$9:$G$529,3,0))))</f>
        <v>144.78219999999999</v>
      </c>
      <c r="H1311" s="463">
        <f t="shared" si="208"/>
        <v>4.164357005206086E-2</v>
      </c>
      <c r="J1311" s="201"/>
    </row>
    <row r="1312" spans="1:17" s="87" customFormat="1" ht="12.75">
      <c r="A1312" s="232" t="s">
        <v>4542</v>
      </c>
      <c r="B1312" s="464" t="s">
        <v>6884</v>
      </c>
      <c r="C1312" s="451" t="str">
        <f>IF(A1312="SERVIÇO",VLOOKUP(B1312,SERVIÇOS!$A$6:$D$7645,2,0),IF(A1312="INSUMO",VLOOKUP(B1312,INSUMOS!$A$6:$D$6961,2,0),IF(A1312="COTAÇÃO",VLOOKUP(B1312,'036-20-Cotação'!$A$9:$G$529,2,0))))</f>
        <v>BOMBEIRO HIDRÁULICO</v>
      </c>
      <c r="D1312" s="452" t="str">
        <f>IF(A1312="SERVIÇO",VLOOKUP(B1312,SERVIÇOS!$A$6:$E$7645,5,0),IF(A1312="INSUMO",VLOOKUP(B1312,INSUMOS!$A$6:$E$6961,5,0),IF(A1312="COTAÇÃO",VLOOKUP(B1312,'036-20-Cotação'!$A$9:$H$529,8,0))))</f>
        <v>M.O</v>
      </c>
      <c r="E1312" s="452" t="str">
        <f>IF(A1312="SERVIÇO",VLOOKUP(B1312,SERVIÇOS!$A$6:$D$7645,3,0),IF(A1312="INSUMO",VLOOKUP(B1312,INSUMOS!$A$6:$D$6961,3,0),IF(A1312="COTAÇÃO",VLOOKUP(B1312,'036-20-Cotação'!$A$9:$G$529,4,0))))</f>
        <v>H</v>
      </c>
      <c r="F1312" s="462">
        <f t="shared" ref="F1312:F1313" si="210">1/1738.35</f>
        <v>5.752581470935082E-4</v>
      </c>
      <c r="G1312" s="453">
        <f>IF(A1312="SERVIÇO",VLOOKUP(B1312,SERVIÇOS!$A$6:$D$7645,4,0),IF(A1312="INSUMO",VLOOKUP(B1312,INSUMOS!$A$6:$D$6961,4,0),IF(A1312="COTAÇÃO",VLOOKUP(B1312,'036-20-Cotação'!$A$9:$G$529,3,0))))</f>
        <v>26.312899999999999</v>
      </c>
      <c r="H1312" s="463">
        <f t="shared" si="208"/>
        <v>1.5136710098656771E-2</v>
      </c>
      <c r="J1312" s="201"/>
    </row>
    <row r="1313" spans="1:17" s="87" customFormat="1" ht="12.75">
      <c r="A1313" s="232" t="s">
        <v>4542</v>
      </c>
      <c r="B1313" s="464" t="s">
        <v>6684</v>
      </c>
      <c r="C1313" s="451" t="str">
        <f>IF(A1313="SERVIÇO",VLOOKUP(B1313,SERVIÇOS!$A$6:$D$7645,2,0),IF(A1313="INSUMO",VLOOKUP(B1313,INSUMOS!$A$6:$D$6961,2,0),IF(A1313="COTAÇÃO",VLOOKUP(B1313,'036-20-Cotação'!$A$9:$G$529,2,0))))</f>
        <v>ELETRICISTA</v>
      </c>
      <c r="D1313" s="452" t="str">
        <f>IF(A1313="SERVIÇO",VLOOKUP(B1313,SERVIÇOS!$A$6:$E$7645,5,0),IF(A1313="INSUMO",VLOOKUP(B1313,INSUMOS!$A$6:$E$6961,5,0),IF(A1313="COTAÇÃO",VLOOKUP(B1313,'036-20-Cotação'!$A$9:$H$529,8,0))))</f>
        <v>M.O</v>
      </c>
      <c r="E1313" s="452" t="str">
        <f>IF(A1313="SERVIÇO",VLOOKUP(B1313,SERVIÇOS!$A$6:$D$7645,3,0),IF(A1313="INSUMO",VLOOKUP(B1313,INSUMOS!$A$6:$D$6961,3,0),IF(A1313="COTAÇÃO",VLOOKUP(B1313,'036-20-Cotação'!$A$9:$G$529,4,0))))</f>
        <v>H</v>
      </c>
      <c r="F1313" s="462">
        <f t="shared" si="210"/>
        <v>5.752581470935082E-4</v>
      </c>
      <c r="G1313" s="453">
        <f>IF(A1313="SERVIÇO",VLOOKUP(B1313,SERVIÇOS!$A$6:$D$7645,4,0),IF(A1313="INSUMO",VLOOKUP(B1313,INSUMOS!$A$6:$D$6961,4,0),IF(A1313="COTAÇÃO",VLOOKUP(B1313,'036-20-Cotação'!$A$9:$G$529,3,0))))</f>
        <v>22.082599999999999</v>
      </c>
      <c r="H1313" s="463">
        <f t="shared" si="208"/>
        <v>1.2703195559007103E-2</v>
      </c>
      <c r="J1313" s="201"/>
    </row>
    <row r="1314" spans="1:17" s="87" customFormat="1" ht="12.75">
      <c r="A1314" s="188"/>
      <c r="B1314" s="348" t="s">
        <v>123</v>
      </c>
      <c r="C1314" s="695" t="s">
        <v>7890</v>
      </c>
      <c r="D1314" s="696"/>
      <c r="E1314" s="696"/>
      <c r="F1314" s="696"/>
      <c r="G1314" s="696"/>
      <c r="H1314" s="697"/>
      <c r="J1314" s="201"/>
      <c r="K1314" s="78"/>
      <c r="L1314" s="78"/>
      <c r="M1314" s="78"/>
      <c r="N1314" s="78"/>
      <c r="O1314" s="78"/>
      <c r="P1314" s="78"/>
      <c r="Q1314" s="78"/>
    </row>
    <row r="1315" spans="1:17" s="87" customFormat="1" ht="12.75">
      <c r="A1315" s="188"/>
      <c r="B1315" s="346"/>
      <c r="C1315" s="402"/>
      <c r="D1315" s="402"/>
      <c r="E1315" s="402"/>
      <c r="F1315" s="402"/>
      <c r="G1315" s="402"/>
      <c r="H1315" s="403"/>
      <c r="J1315" s="201"/>
      <c r="K1315" s="78"/>
      <c r="L1315" s="78"/>
      <c r="M1315" s="78"/>
      <c r="N1315" s="78"/>
      <c r="O1315" s="78"/>
      <c r="P1315" s="78"/>
      <c r="Q1315" s="78"/>
    </row>
    <row r="1316" spans="1:17" s="87" customFormat="1" ht="38.25">
      <c r="A1316" s="188"/>
      <c r="B1316" s="80" t="s">
        <v>8488</v>
      </c>
      <c r="C1316" s="81" t="s">
        <v>8364</v>
      </c>
      <c r="D1316" s="82" t="s">
        <v>84</v>
      </c>
      <c r="E1316" s="82" t="s">
        <v>89</v>
      </c>
      <c r="F1316" s="83"/>
      <c r="G1316" s="84"/>
      <c r="H1316" s="85">
        <f>SUM(H1317:H1326)</f>
        <v>0.60807136077314705</v>
      </c>
      <c r="J1316" s="201"/>
      <c r="K1316" s="78"/>
      <c r="L1316" s="78"/>
      <c r="M1316" s="78"/>
      <c r="N1316" s="78"/>
      <c r="O1316" s="78"/>
      <c r="P1316" s="78"/>
      <c r="Q1316" s="78"/>
    </row>
    <row r="1317" spans="1:17" s="87" customFormat="1" ht="25.5">
      <c r="A1317" s="232" t="s">
        <v>4542</v>
      </c>
      <c r="B1317" s="464" t="s">
        <v>9000</v>
      </c>
      <c r="C1317" s="451" t="str">
        <f>IF(A1317="SERVIÇO",VLOOKUP(B1317,SERVIÇOS!$A$6:$D$7645,2,0),IF(A1317="INSUMO",VLOOKUP(B1317,INSUMOS!$A$6:$D$6961,2,0),IF(A1317="COTAÇÃO",VLOOKUP(B1317,'036-20-Cotação'!$A$9:$G$529,2,0))))</f>
        <v>COMPRESSOR DE AR PORTÁTIL DE 912 PCM - 242 KW</v>
      </c>
      <c r="D1317" s="452" t="str">
        <f>IF(A1317="SERVIÇO",VLOOKUP(B1317,SERVIÇOS!$A$6:$E$7645,5,0),IF(A1317="INSUMO",VLOOKUP(B1317,INSUMOS!$A$6:$E$6961,5,0),IF(A1317="COTAÇÃO",VLOOKUP(B1317,'036-20-Cotação'!$A$9:$H$529,8,0))))</f>
        <v>EQUIP.</v>
      </c>
      <c r="E1317" s="452" t="str">
        <f>IF(A1317="SERVIÇO",VLOOKUP(B1317,SERVIÇOS!$A$6:$D$7645,3,0),IF(A1317="INSUMO",VLOOKUP(B1317,INSUMOS!$A$6:$D$6961,3,0),IF(A1317="COTAÇÃO",VLOOKUP(B1317,'036-20-Cotação'!$A$9:$G$529,4,0))))</f>
        <v>CHP</v>
      </c>
      <c r="F1317" s="462">
        <f>1/1738.35</f>
        <v>5.752581470935082E-4</v>
      </c>
      <c r="G1317" s="453">
        <f>IF(A1317="SERVIÇO",VLOOKUP(B1317,SERVIÇOS!$A$6:$D$7645,4,0),IF(A1317="INSUMO",VLOOKUP(B1317,INSUMOS!$A$6:$D$6961,4,0),IF(A1317="COTAÇÃO",VLOOKUP(B1317,'036-20-Cotação'!$A$9:$G$529,3,0))))</f>
        <v>196.6591</v>
      </c>
      <c r="H1317" s="463">
        <f t="shared" ref="H1317:H1326" si="211">G1317*F1317</f>
        <v>0.11312974947507694</v>
      </c>
      <c r="J1317" s="201"/>
    </row>
    <row r="1318" spans="1:17" s="87" customFormat="1" ht="25.5">
      <c r="A1318" s="232" t="s">
        <v>4542</v>
      </c>
      <c r="B1318" s="464" t="s">
        <v>9117</v>
      </c>
      <c r="C1318" s="451" t="str">
        <f>IF(A1318="SERVIÇO",VLOOKUP(B1318,SERVIÇOS!$A$6:$D$7645,2,0),IF(A1318="INSUMO",VLOOKUP(B1318,INSUMOS!$A$6:$D$6961,2,0),IF(A1318="COTAÇÃO",VLOOKUP(B1318,'036-20-Cotação'!$A$9:$G$529,2,0))))</f>
        <v>EMBARCAÇÃO DE TRANSPORTE DE PESSOAL E APOIO LOGÍSTICO - 175 HP</v>
      </c>
      <c r="D1318" s="452" t="str">
        <f>IF(A1318="SERVIÇO",VLOOKUP(B1318,SERVIÇOS!$A$6:$E$7645,5,0),IF(A1318="INSUMO",VLOOKUP(B1318,INSUMOS!$A$6:$E$6961,5,0),IF(A1318="COTAÇÃO",VLOOKUP(B1318,'036-20-Cotação'!$A$9:$H$529,8,0))))</f>
        <v>EQUIP.</v>
      </c>
      <c r="E1318" s="452" t="str">
        <f>IF(A1318="SERVIÇO",VLOOKUP(B1318,SERVIÇOS!$A$6:$D$7645,3,0),IF(A1318="INSUMO",VLOOKUP(B1318,INSUMOS!$A$6:$D$6961,3,0),IF(A1318="COTAÇÃO",VLOOKUP(B1318,'036-20-Cotação'!$A$9:$G$529,4,0))))</f>
        <v>CHP</v>
      </c>
      <c r="F1318" s="462">
        <f>0.5/1738.35</f>
        <v>2.876290735467541E-4</v>
      </c>
      <c r="G1318" s="453">
        <f>IF(A1318="SERVIÇO",VLOOKUP(B1318,SERVIÇOS!$A$6:$D$7645,4,0),IF(A1318="INSUMO",VLOOKUP(B1318,INSUMOS!$A$6:$D$6961,4,0),IF(A1318="COTAÇÃO",VLOOKUP(B1318,'036-20-Cotação'!$A$9:$G$529,3,0))))</f>
        <v>274.07380000000001</v>
      </c>
      <c r="H1318" s="463">
        <f t="shared" si="211"/>
        <v>7.8831593177438375E-2</v>
      </c>
      <c r="J1318" s="201"/>
    </row>
    <row r="1319" spans="1:17" s="87" customFormat="1" ht="25.5">
      <c r="A1319" s="232" t="s">
        <v>4542</v>
      </c>
      <c r="B1319" s="464" t="s">
        <v>9807</v>
      </c>
      <c r="C1319" s="451" t="str">
        <f>IF(A1319="SERVIÇO",VLOOKUP(B1319,SERVIÇOS!$A$6:$D$7645,2,0),IF(A1319="INSUMO",VLOOKUP(B1319,INSUMOS!$A$6:$D$6961,2,0),IF(A1319="COTAÇÃO",VLOOKUP(B1319,'036-20-Cotação'!$A$9:$G$529,2,0))))</f>
        <v>EMBARCAÇÃO DE TRANSPORTE DE PESSOAL E APOIO LOGÍSTICO - 175 HP</v>
      </c>
      <c r="D1319" s="452" t="str">
        <f>IF(A1319="SERVIÇO",VLOOKUP(B1319,SERVIÇOS!$A$6:$E$7645,5,0),IF(A1319="INSUMO",VLOOKUP(B1319,INSUMOS!$A$6:$E$6961,5,0),IF(A1319="COTAÇÃO",VLOOKUP(B1319,'036-20-Cotação'!$A$9:$H$529,8,0))))</f>
        <v>EQUIP.</v>
      </c>
      <c r="E1319" s="452" t="str">
        <f>IF(A1319="SERVIÇO",VLOOKUP(B1319,SERVIÇOS!$A$6:$D$7645,3,0),IF(A1319="INSUMO",VLOOKUP(B1319,INSUMOS!$A$6:$D$6961,3,0),IF(A1319="COTAÇÃO",VLOOKUP(B1319,'036-20-Cotação'!$A$9:$G$529,4,0))))</f>
        <v>CHI</v>
      </c>
      <c r="F1319" s="462">
        <f>0.5/1738.35</f>
        <v>2.876290735467541E-4</v>
      </c>
      <c r="G1319" s="453">
        <f>IF(A1319="SERVIÇO",VLOOKUP(B1319,SERVIÇOS!$A$6:$D$7645,4,0),IF(A1319="INSUMO",VLOOKUP(B1319,INSUMOS!$A$6:$D$6961,4,0),IF(A1319="COTAÇÃO",VLOOKUP(B1319,'036-20-Cotação'!$A$9:$G$529,3,0))))</f>
        <v>41.510399999999997</v>
      </c>
      <c r="H1319" s="463">
        <f t="shared" si="211"/>
        <v>1.1939597894555181E-2</v>
      </c>
      <c r="J1319" s="201"/>
    </row>
    <row r="1320" spans="1:17" s="87" customFormat="1" ht="12.75">
      <c r="A1320" s="232" t="s">
        <v>4542</v>
      </c>
      <c r="B1320" s="464" t="s">
        <v>9340</v>
      </c>
      <c r="C1320" s="451" t="str">
        <f>IF(A1320="SERVIÇO",VLOOKUP(B1320,SERVIÇOS!$A$6:$D$7645,2,0),IF(A1320="INSUMO",VLOOKUP(B1320,INSUMOS!$A$6:$D$6961,2,0),IF(A1320="COTAÇÃO",VLOOKUP(B1320,'036-20-Cotação'!$A$9:$G$529,2,0))))</f>
        <v>GRUPO GERADOR - 310/340 KVA</v>
      </c>
      <c r="D1320" s="452" t="str">
        <f>IF(A1320="SERVIÇO",VLOOKUP(B1320,SERVIÇOS!$A$6:$E$7645,5,0),IF(A1320="INSUMO",VLOOKUP(B1320,INSUMOS!$A$6:$E$6961,5,0),IF(A1320="COTAÇÃO",VLOOKUP(B1320,'036-20-Cotação'!$A$9:$H$529,8,0))))</f>
        <v>EQUIP.</v>
      </c>
      <c r="E1320" s="452" t="str">
        <f>IF(A1320="SERVIÇO",VLOOKUP(B1320,SERVIÇOS!$A$6:$D$7645,3,0),IF(A1320="INSUMO",VLOOKUP(B1320,INSUMOS!$A$6:$D$6961,3,0),IF(A1320="COTAÇÃO",VLOOKUP(B1320,'036-20-Cotação'!$A$9:$G$529,4,0))))</f>
        <v>CHP</v>
      </c>
      <c r="F1320" s="462">
        <f>1/1738.35</f>
        <v>5.752581470935082E-4</v>
      </c>
      <c r="G1320" s="453">
        <f>IF(A1320="SERVIÇO",VLOOKUP(B1320,SERVIÇOS!$A$6:$D$7645,4,0),IF(A1320="INSUMO",VLOOKUP(B1320,INSUMOS!$A$6:$D$6961,4,0),IF(A1320="COTAÇÃO",VLOOKUP(B1320,'036-20-Cotação'!$A$9:$G$529,3,0))))</f>
        <v>184.82230000000001</v>
      </c>
      <c r="H1320" s="463">
        <f t="shared" si="211"/>
        <v>0.10632053383956051</v>
      </c>
      <c r="J1320" s="201"/>
    </row>
    <row r="1321" spans="1:17" s="87" customFormat="1" ht="25.5">
      <c r="A1321" s="232" t="s">
        <v>4542</v>
      </c>
      <c r="B1321" s="464" t="s">
        <v>8813</v>
      </c>
      <c r="C1321" s="451" t="str">
        <f>IF(A1321="SERVIÇO",VLOOKUP(B1321,SERVIÇOS!$A$6:$D$7645,2,0),IF(A1321="INSUMO",VLOOKUP(B1321,INSUMOS!$A$6:$D$6961,2,0),IF(A1321="COTAÇÃO",VLOOKUP(B1321,'036-20-Cotação'!$A$9:$G$529,2,0))))</f>
        <v>GUINCHO PNEUMÁTICO COM CAPACIDADE DE 2,5 T</v>
      </c>
      <c r="D1321" s="452" t="str">
        <f>IF(A1321="SERVIÇO",VLOOKUP(B1321,SERVIÇOS!$A$6:$E$7645,5,0),IF(A1321="INSUMO",VLOOKUP(B1321,INSUMOS!$A$6:$E$6961,5,0),IF(A1321="COTAÇÃO",VLOOKUP(B1321,'036-20-Cotação'!$A$9:$H$529,8,0))))</f>
        <v>EQUIP.</v>
      </c>
      <c r="E1321" s="452" t="str">
        <f>IF(A1321="SERVIÇO",VLOOKUP(B1321,SERVIÇOS!$A$6:$D$7645,3,0),IF(A1321="INSUMO",VLOOKUP(B1321,INSUMOS!$A$6:$D$6961,3,0),IF(A1321="COTAÇÃO",VLOOKUP(B1321,'036-20-Cotação'!$A$9:$G$529,4,0))))</f>
        <v>CHP</v>
      </c>
      <c r="F1321" s="462">
        <f>4/1738.35</f>
        <v>2.3010325883740328E-3</v>
      </c>
      <c r="G1321" s="453">
        <f>IF(A1321="SERVIÇO",VLOOKUP(B1321,SERVIÇOS!$A$6:$D$7645,4,0),IF(A1321="INSUMO",VLOOKUP(B1321,INSUMOS!$A$6:$D$6961,4,0),IF(A1321="COTAÇÃO",VLOOKUP(B1321,'036-20-Cotação'!$A$9:$G$529,3,0))))</f>
        <v>48.603499999999997</v>
      </c>
      <c r="H1321" s="463">
        <f t="shared" si="211"/>
        <v>0.1118382374090373</v>
      </c>
      <c r="J1321" s="201"/>
    </row>
    <row r="1322" spans="1:17" s="87" customFormat="1" ht="25.5">
      <c r="A1322" s="232" t="s">
        <v>4542</v>
      </c>
      <c r="B1322" s="464" t="s">
        <v>8818</v>
      </c>
      <c r="C1322" s="451" t="str">
        <f>IF(A1322="SERVIÇO",VLOOKUP(B1322,SERVIÇOS!$A$6:$D$7645,2,0),IF(A1322="INSUMO",VLOOKUP(B1322,INSUMOS!$A$6:$D$6961,2,0),IF(A1322="COTAÇÃO",VLOOKUP(B1322,'036-20-Cotação'!$A$9:$G$529,2,0))))</f>
        <v>PLATAFORMA FLUTUANTE DE 12 X 24 X 1,8 M COM CAPACIDADE DE 150 T</v>
      </c>
      <c r="D1322" s="452" t="str">
        <f>IF(A1322="SERVIÇO",VLOOKUP(B1322,SERVIÇOS!$A$6:$E$7645,5,0),IF(A1322="INSUMO",VLOOKUP(B1322,INSUMOS!$A$6:$E$6961,5,0),IF(A1322="COTAÇÃO",VLOOKUP(B1322,'036-20-Cotação'!$A$9:$H$529,8,0))))</f>
        <v>EQUIP.</v>
      </c>
      <c r="E1322" s="452" t="str">
        <f>IF(A1322="SERVIÇO",VLOOKUP(B1322,SERVIÇOS!$A$6:$D$7645,3,0),IF(A1322="INSUMO",VLOOKUP(B1322,INSUMOS!$A$6:$D$6961,3,0),IF(A1322="COTAÇÃO",VLOOKUP(B1322,'036-20-Cotação'!$A$9:$G$529,4,0))))</f>
        <v>CHP</v>
      </c>
      <c r="F1322" s="462">
        <f>1/1738.35</f>
        <v>5.752581470935082E-4</v>
      </c>
      <c r="G1322" s="453">
        <f>IF(A1322="SERVIÇO",VLOOKUP(B1322,SERVIÇOS!$A$6:$D$7645,4,0),IF(A1322="INSUMO",VLOOKUP(B1322,INSUMOS!$A$6:$D$6961,4,0),IF(A1322="COTAÇÃO",VLOOKUP(B1322,'036-20-Cotação'!$A$9:$G$529,3,0))))</f>
        <v>32.6526</v>
      </c>
      <c r="H1322" s="463">
        <f t="shared" si="211"/>
        <v>1.8783674173785486E-2</v>
      </c>
      <c r="J1322" s="201"/>
    </row>
    <row r="1323" spans="1:17" s="87" customFormat="1" ht="12.75">
      <c r="A1323" s="232" t="s">
        <v>4542</v>
      </c>
      <c r="B1323" s="464" t="s">
        <v>8739</v>
      </c>
      <c r="C1323" s="451" t="str">
        <f>IF(A1323="SERVIÇO",VLOOKUP(B1323,SERVIÇOS!$A$6:$D$7645,2,0),IF(A1323="INSUMO",VLOOKUP(B1323,INSUMOS!$A$6:$D$6961,2,0),IF(A1323="COTAÇÃO",VLOOKUP(B1323,'036-20-Cotação'!$A$9:$G$529,2,0))))</f>
        <v>REBOCADOR - 360 HP</v>
      </c>
      <c r="D1323" s="452" t="str">
        <f>IF(A1323="SERVIÇO",VLOOKUP(B1323,SERVIÇOS!$A$6:$E$7645,5,0),IF(A1323="INSUMO",VLOOKUP(B1323,INSUMOS!$A$6:$E$6961,5,0),IF(A1323="COTAÇÃO",VLOOKUP(B1323,'036-20-Cotação'!$A$9:$H$529,8,0))))</f>
        <v>EQUIP.</v>
      </c>
      <c r="E1323" s="452" t="str">
        <f>IF(A1323="SERVIÇO",VLOOKUP(B1323,SERVIÇOS!$A$6:$D$7645,3,0),IF(A1323="INSUMO",VLOOKUP(B1323,INSUMOS!$A$6:$D$6961,3,0),IF(A1323="COTAÇÃO",VLOOKUP(B1323,'036-20-Cotação'!$A$9:$G$529,4,0))))</f>
        <v>CHP</v>
      </c>
      <c r="F1323" s="462">
        <f t="shared" ref="F1323:F1324" si="212">0.5/1738.35</f>
        <v>2.876290735467541E-4</v>
      </c>
      <c r="G1323" s="453">
        <f>IF(A1323="SERVIÇO",VLOOKUP(B1323,SERVIÇOS!$A$6:$D$7645,4,0),IF(A1323="INSUMO",VLOOKUP(B1323,INSUMOS!$A$6:$D$6961,4,0),IF(A1323="COTAÇÃO",VLOOKUP(B1323,'036-20-Cotação'!$A$9:$G$529,3,0))))</f>
        <v>339.82830000000001</v>
      </c>
      <c r="H1323" s="463">
        <f t="shared" si="211"/>
        <v>9.7744499093968415E-2</v>
      </c>
      <c r="J1323" s="201"/>
    </row>
    <row r="1324" spans="1:17" s="87" customFormat="1" ht="12.75">
      <c r="A1324" s="232" t="s">
        <v>4542</v>
      </c>
      <c r="B1324" s="464" t="s">
        <v>9608</v>
      </c>
      <c r="C1324" s="451" t="str">
        <f>IF(A1324="SERVIÇO",VLOOKUP(B1324,SERVIÇOS!$A$6:$D$7645,2,0),IF(A1324="INSUMO",VLOOKUP(B1324,INSUMOS!$A$6:$D$6961,2,0),IF(A1324="COTAÇÃO",VLOOKUP(B1324,'036-20-Cotação'!$A$9:$G$529,2,0))))</f>
        <v>REBOCADOR - 360 HP</v>
      </c>
      <c r="D1324" s="452" t="str">
        <f>IF(A1324="SERVIÇO",VLOOKUP(B1324,SERVIÇOS!$A$6:$E$7645,5,0),IF(A1324="INSUMO",VLOOKUP(B1324,INSUMOS!$A$6:$E$6961,5,0),IF(A1324="COTAÇÃO",VLOOKUP(B1324,'036-20-Cotação'!$A$9:$H$529,8,0))))</f>
        <v>EQUIP.</v>
      </c>
      <c r="E1324" s="452" t="str">
        <f>IF(A1324="SERVIÇO",VLOOKUP(B1324,SERVIÇOS!$A$6:$D$7645,3,0),IF(A1324="INSUMO",VLOOKUP(B1324,INSUMOS!$A$6:$D$6961,3,0),IF(A1324="COTAÇÃO",VLOOKUP(B1324,'036-20-Cotação'!$A$9:$G$529,4,0))))</f>
        <v>CHI</v>
      </c>
      <c r="F1324" s="462">
        <f t="shared" si="212"/>
        <v>2.876290735467541E-4</v>
      </c>
      <c r="G1324" s="453">
        <f>IF(A1324="SERVIÇO",VLOOKUP(B1324,SERVIÇOS!$A$6:$D$7645,4,0),IF(A1324="INSUMO",VLOOKUP(B1324,INSUMOS!$A$6:$D$6961,4,0),IF(A1324="COTAÇÃO",VLOOKUP(B1324,'036-20-Cotação'!$A$9:$G$529,3,0))))</f>
        <v>144.78219999999999</v>
      </c>
      <c r="H1324" s="463">
        <f t="shared" si="211"/>
        <v>4.164357005206086E-2</v>
      </c>
      <c r="J1324" s="201"/>
    </row>
    <row r="1325" spans="1:17" s="87" customFormat="1" ht="12.75">
      <c r="A1325" s="232" t="s">
        <v>4542</v>
      </c>
      <c r="B1325" s="464" t="s">
        <v>6884</v>
      </c>
      <c r="C1325" s="451" t="str">
        <f>IF(A1325="SERVIÇO",VLOOKUP(B1325,SERVIÇOS!$A$6:$D$7645,2,0),IF(A1325="INSUMO",VLOOKUP(B1325,INSUMOS!$A$6:$D$6961,2,0),IF(A1325="COTAÇÃO",VLOOKUP(B1325,'036-20-Cotação'!$A$9:$G$529,2,0))))</f>
        <v>BOMBEIRO HIDRÁULICO</v>
      </c>
      <c r="D1325" s="452" t="str">
        <f>IF(A1325="SERVIÇO",VLOOKUP(B1325,SERVIÇOS!$A$6:$E$7645,5,0),IF(A1325="INSUMO",VLOOKUP(B1325,INSUMOS!$A$6:$E$6961,5,0),IF(A1325="COTAÇÃO",VLOOKUP(B1325,'036-20-Cotação'!$A$9:$H$529,8,0))))</f>
        <v>M.O</v>
      </c>
      <c r="E1325" s="452" t="str">
        <f>IF(A1325="SERVIÇO",VLOOKUP(B1325,SERVIÇOS!$A$6:$D$7645,3,0),IF(A1325="INSUMO",VLOOKUP(B1325,INSUMOS!$A$6:$D$6961,3,0),IF(A1325="COTAÇÃO",VLOOKUP(B1325,'036-20-Cotação'!$A$9:$G$529,4,0))))</f>
        <v>H</v>
      </c>
      <c r="F1325" s="462">
        <f t="shared" ref="F1325:F1326" si="213">1/1738.35</f>
        <v>5.752581470935082E-4</v>
      </c>
      <c r="G1325" s="453">
        <f>IF(A1325="SERVIÇO",VLOOKUP(B1325,SERVIÇOS!$A$6:$D$7645,4,0),IF(A1325="INSUMO",VLOOKUP(B1325,INSUMOS!$A$6:$D$6961,4,0),IF(A1325="COTAÇÃO",VLOOKUP(B1325,'036-20-Cotação'!$A$9:$G$529,3,0))))</f>
        <v>26.312899999999999</v>
      </c>
      <c r="H1325" s="463">
        <f t="shared" si="211"/>
        <v>1.5136710098656771E-2</v>
      </c>
      <c r="J1325" s="201"/>
    </row>
    <row r="1326" spans="1:17" s="87" customFormat="1" ht="12.75">
      <c r="A1326" s="232" t="s">
        <v>4542</v>
      </c>
      <c r="B1326" s="464" t="s">
        <v>6684</v>
      </c>
      <c r="C1326" s="451" t="str">
        <f>IF(A1326="SERVIÇO",VLOOKUP(B1326,SERVIÇOS!$A$6:$D$7645,2,0),IF(A1326="INSUMO",VLOOKUP(B1326,INSUMOS!$A$6:$D$6961,2,0),IF(A1326="COTAÇÃO",VLOOKUP(B1326,'036-20-Cotação'!$A$9:$G$529,2,0))))</f>
        <v>ELETRICISTA</v>
      </c>
      <c r="D1326" s="452" t="str">
        <f>IF(A1326="SERVIÇO",VLOOKUP(B1326,SERVIÇOS!$A$6:$E$7645,5,0),IF(A1326="INSUMO",VLOOKUP(B1326,INSUMOS!$A$6:$E$6961,5,0),IF(A1326="COTAÇÃO",VLOOKUP(B1326,'036-20-Cotação'!$A$9:$H$529,8,0))))</f>
        <v>M.O</v>
      </c>
      <c r="E1326" s="452" t="str">
        <f>IF(A1326="SERVIÇO",VLOOKUP(B1326,SERVIÇOS!$A$6:$D$7645,3,0),IF(A1326="INSUMO",VLOOKUP(B1326,INSUMOS!$A$6:$D$6961,3,0),IF(A1326="COTAÇÃO",VLOOKUP(B1326,'036-20-Cotação'!$A$9:$G$529,4,0))))</f>
        <v>H</v>
      </c>
      <c r="F1326" s="462">
        <f t="shared" si="213"/>
        <v>5.752581470935082E-4</v>
      </c>
      <c r="G1326" s="453">
        <f>IF(A1326="SERVIÇO",VLOOKUP(B1326,SERVIÇOS!$A$6:$D$7645,4,0),IF(A1326="INSUMO",VLOOKUP(B1326,INSUMOS!$A$6:$D$6961,4,0),IF(A1326="COTAÇÃO",VLOOKUP(B1326,'036-20-Cotação'!$A$9:$G$529,3,0))))</f>
        <v>22.082599999999999</v>
      </c>
      <c r="H1326" s="463">
        <f t="shared" si="211"/>
        <v>1.2703195559007103E-2</v>
      </c>
      <c r="J1326" s="201"/>
    </row>
    <row r="1327" spans="1:17" s="87" customFormat="1" ht="12.75">
      <c r="A1327" s="188"/>
      <c r="B1327" s="348" t="s">
        <v>123</v>
      </c>
      <c r="C1327" s="695" t="s">
        <v>7890</v>
      </c>
      <c r="D1327" s="696"/>
      <c r="E1327" s="696"/>
      <c r="F1327" s="696"/>
      <c r="G1327" s="696"/>
      <c r="H1327" s="697"/>
      <c r="J1327" s="201"/>
      <c r="K1327" s="78"/>
      <c r="L1327" s="78"/>
      <c r="M1327" s="78"/>
      <c r="N1327" s="78"/>
      <c r="O1327" s="78"/>
      <c r="P1327" s="78"/>
      <c r="Q1327" s="78"/>
    </row>
    <row r="1328" spans="1:17" s="87" customFormat="1" ht="12.75">
      <c r="A1328" s="188"/>
      <c r="B1328" s="346"/>
      <c r="C1328" s="402"/>
      <c r="D1328" s="402"/>
      <c r="E1328" s="402"/>
      <c r="F1328" s="402"/>
      <c r="G1328" s="402"/>
      <c r="H1328" s="403"/>
      <c r="J1328" s="201"/>
      <c r="K1328" s="78"/>
      <c r="L1328" s="78"/>
      <c r="M1328" s="78"/>
      <c r="N1328" s="78"/>
      <c r="O1328" s="78"/>
      <c r="P1328" s="78"/>
      <c r="Q1328" s="78"/>
    </row>
    <row r="1329" spans="1:17" s="87" customFormat="1" ht="38.25">
      <c r="A1329" s="188"/>
      <c r="B1329" s="80" t="s">
        <v>8489</v>
      </c>
      <c r="C1329" s="81" t="s">
        <v>8365</v>
      </c>
      <c r="D1329" s="82" t="s">
        <v>84</v>
      </c>
      <c r="E1329" s="82" t="s">
        <v>89</v>
      </c>
      <c r="F1329" s="83"/>
      <c r="G1329" s="84"/>
      <c r="H1329" s="85">
        <f>SUM(H1330:H1339)</f>
        <v>0.60807136077314705</v>
      </c>
      <c r="J1329" s="201"/>
      <c r="K1329" s="78"/>
      <c r="L1329" s="78"/>
      <c r="M1329" s="78"/>
      <c r="N1329" s="78"/>
      <c r="O1329" s="78"/>
      <c r="P1329" s="78"/>
      <c r="Q1329" s="78"/>
    </row>
    <row r="1330" spans="1:17" s="87" customFormat="1" ht="25.5">
      <c r="A1330" s="232" t="s">
        <v>4542</v>
      </c>
      <c r="B1330" s="464" t="s">
        <v>9000</v>
      </c>
      <c r="C1330" s="451" t="str">
        <f>IF(A1330="SERVIÇO",VLOOKUP(B1330,SERVIÇOS!$A$6:$D$7645,2,0),IF(A1330="INSUMO",VLOOKUP(B1330,INSUMOS!$A$6:$D$6961,2,0),IF(A1330="COTAÇÃO",VLOOKUP(B1330,'036-20-Cotação'!$A$9:$G$529,2,0))))</f>
        <v>COMPRESSOR DE AR PORTÁTIL DE 912 PCM - 242 KW</v>
      </c>
      <c r="D1330" s="452" t="str">
        <f>IF(A1330="SERVIÇO",VLOOKUP(B1330,SERVIÇOS!$A$6:$E$7645,5,0),IF(A1330="INSUMO",VLOOKUP(B1330,INSUMOS!$A$6:$E$6961,5,0),IF(A1330="COTAÇÃO",VLOOKUP(B1330,'036-20-Cotação'!$A$9:$H$529,8,0))))</f>
        <v>EQUIP.</v>
      </c>
      <c r="E1330" s="452" t="str">
        <f>IF(A1330="SERVIÇO",VLOOKUP(B1330,SERVIÇOS!$A$6:$D$7645,3,0),IF(A1330="INSUMO",VLOOKUP(B1330,INSUMOS!$A$6:$D$6961,3,0),IF(A1330="COTAÇÃO",VLOOKUP(B1330,'036-20-Cotação'!$A$9:$G$529,4,0))))</f>
        <v>CHP</v>
      </c>
      <c r="F1330" s="462">
        <f>1/1738.35</f>
        <v>5.752581470935082E-4</v>
      </c>
      <c r="G1330" s="453">
        <f>IF(A1330="SERVIÇO",VLOOKUP(B1330,SERVIÇOS!$A$6:$D$7645,4,0),IF(A1330="INSUMO",VLOOKUP(B1330,INSUMOS!$A$6:$D$6961,4,0),IF(A1330="COTAÇÃO",VLOOKUP(B1330,'036-20-Cotação'!$A$9:$G$529,3,0))))</f>
        <v>196.6591</v>
      </c>
      <c r="H1330" s="463">
        <f t="shared" ref="H1330:H1339" si="214">G1330*F1330</f>
        <v>0.11312974947507694</v>
      </c>
      <c r="J1330" s="201"/>
    </row>
    <row r="1331" spans="1:17" s="87" customFormat="1" ht="25.5">
      <c r="A1331" s="232" t="s">
        <v>4542</v>
      </c>
      <c r="B1331" s="464" t="s">
        <v>9117</v>
      </c>
      <c r="C1331" s="451" t="str">
        <f>IF(A1331="SERVIÇO",VLOOKUP(B1331,SERVIÇOS!$A$6:$D$7645,2,0),IF(A1331="INSUMO",VLOOKUP(B1331,INSUMOS!$A$6:$D$6961,2,0),IF(A1331="COTAÇÃO",VLOOKUP(B1331,'036-20-Cotação'!$A$9:$G$529,2,0))))</f>
        <v>EMBARCAÇÃO DE TRANSPORTE DE PESSOAL E APOIO LOGÍSTICO - 175 HP</v>
      </c>
      <c r="D1331" s="452" t="str">
        <f>IF(A1331="SERVIÇO",VLOOKUP(B1331,SERVIÇOS!$A$6:$E$7645,5,0),IF(A1331="INSUMO",VLOOKUP(B1331,INSUMOS!$A$6:$E$6961,5,0),IF(A1331="COTAÇÃO",VLOOKUP(B1331,'036-20-Cotação'!$A$9:$H$529,8,0))))</f>
        <v>EQUIP.</v>
      </c>
      <c r="E1331" s="452" t="str">
        <f>IF(A1331="SERVIÇO",VLOOKUP(B1331,SERVIÇOS!$A$6:$D$7645,3,0),IF(A1331="INSUMO",VLOOKUP(B1331,INSUMOS!$A$6:$D$6961,3,0),IF(A1331="COTAÇÃO",VLOOKUP(B1331,'036-20-Cotação'!$A$9:$G$529,4,0))))</f>
        <v>CHP</v>
      </c>
      <c r="F1331" s="462">
        <f>0.5/1738.35</f>
        <v>2.876290735467541E-4</v>
      </c>
      <c r="G1331" s="453">
        <f>IF(A1331="SERVIÇO",VLOOKUP(B1331,SERVIÇOS!$A$6:$D$7645,4,0),IF(A1331="INSUMO",VLOOKUP(B1331,INSUMOS!$A$6:$D$6961,4,0),IF(A1331="COTAÇÃO",VLOOKUP(B1331,'036-20-Cotação'!$A$9:$G$529,3,0))))</f>
        <v>274.07380000000001</v>
      </c>
      <c r="H1331" s="463">
        <f t="shared" si="214"/>
        <v>7.8831593177438375E-2</v>
      </c>
      <c r="J1331" s="201"/>
    </row>
    <row r="1332" spans="1:17" s="87" customFormat="1" ht="25.5">
      <c r="A1332" s="232" t="s">
        <v>4542</v>
      </c>
      <c r="B1332" s="464" t="s">
        <v>9807</v>
      </c>
      <c r="C1332" s="451" t="str">
        <f>IF(A1332="SERVIÇO",VLOOKUP(B1332,SERVIÇOS!$A$6:$D$7645,2,0),IF(A1332="INSUMO",VLOOKUP(B1332,INSUMOS!$A$6:$D$6961,2,0),IF(A1332="COTAÇÃO",VLOOKUP(B1332,'036-20-Cotação'!$A$9:$G$529,2,0))))</f>
        <v>EMBARCAÇÃO DE TRANSPORTE DE PESSOAL E APOIO LOGÍSTICO - 175 HP</v>
      </c>
      <c r="D1332" s="452" t="str">
        <f>IF(A1332="SERVIÇO",VLOOKUP(B1332,SERVIÇOS!$A$6:$E$7645,5,0),IF(A1332="INSUMO",VLOOKUP(B1332,INSUMOS!$A$6:$E$6961,5,0),IF(A1332="COTAÇÃO",VLOOKUP(B1332,'036-20-Cotação'!$A$9:$H$529,8,0))))</f>
        <v>EQUIP.</v>
      </c>
      <c r="E1332" s="452" t="str">
        <f>IF(A1332="SERVIÇO",VLOOKUP(B1332,SERVIÇOS!$A$6:$D$7645,3,0),IF(A1332="INSUMO",VLOOKUP(B1332,INSUMOS!$A$6:$D$6961,3,0),IF(A1332="COTAÇÃO",VLOOKUP(B1332,'036-20-Cotação'!$A$9:$G$529,4,0))))</f>
        <v>CHI</v>
      </c>
      <c r="F1332" s="462">
        <f>0.5/1738.35</f>
        <v>2.876290735467541E-4</v>
      </c>
      <c r="G1332" s="453">
        <f>IF(A1332="SERVIÇO",VLOOKUP(B1332,SERVIÇOS!$A$6:$D$7645,4,0),IF(A1332="INSUMO",VLOOKUP(B1332,INSUMOS!$A$6:$D$6961,4,0),IF(A1332="COTAÇÃO",VLOOKUP(B1332,'036-20-Cotação'!$A$9:$G$529,3,0))))</f>
        <v>41.510399999999997</v>
      </c>
      <c r="H1332" s="463">
        <f t="shared" si="214"/>
        <v>1.1939597894555181E-2</v>
      </c>
      <c r="J1332" s="201"/>
    </row>
    <row r="1333" spans="1:17" s="87" customFormat="1" ht="12.75">
      <c r="A1333" s="232" t="s">
        <v>4542</v>
      </c>
      <c r="B1333" s="464" t="s">
        <v>9340</v>
      </c>
      <c r="C1333" s="451" t="str">
        <f>IF(A1333="SERVIÇO",VLOOKUP(B1333,SERVIÇOS!$A$6:$D$7645,2,0),IF(A1333="INSUMO",VLOOKUP(B1333,INSUMOS!$A$6:$D$6961,2,0),IF(A1333="COTAÇÃO",VLOOKUP(B1333,'036-20-Cotação'!$A$9:$G$529,2,0))))</f>
        <v>GRUPO GERADOR - 310/340 KVA</v>
      </c>
      <c r="D1333" s="452" t="str">
        <f>IF(A1333="SERVIÇO",VLOOKUP(B1333,SERVIÇOS!$A$6:$E$7645,5,0),IF(A1333="INSUMO",VLOOKUP(B1333,INSUMOS!$A$6:$E$6961,5,0),IF(A1333="COTAÇÃO",VLOOKUP(B1333,'036-20-Cotação'!$A$9:$H$529,8,0))))</f>
        <v>EQUIP.</v>
      </c>
      <c r="E1333" s="452" t="str">
        <f>IF(A1333="SERVIÇO",VLOOKUP(B1333,SERVIÇOS!$A$6:$D$7645,3,0),IF(A1333="INSUMO",VLOOKUP(B1333,INSUMOS!$A$6:$D$6961,3,0),IF(A1333="COTAÇÃO",VLOOKUP(B1333,'036-20-Cotação'!$A$9:$G$529,4,0))))</f>
        <v>CHP</v>
      </c>
      <c r="F1333" s="462">
        <f>1/1738.35</f>
        <v>5.752581470935082E-4</v>
      </c>
      <c r="G1333" s="453">
        <f>IF(A1333="SERVIÇO",VLOOKUP(B1333,SERVIÇOS!$A$6:$D$7645,4,0),IF(A1333="INSUMO",VLOOKUP(B1333,INSUMOS!$A$6:$D$6961,4,0),IF(A1333="COTAÇÃO",VLOOKUP(B1333,'036-20-Cotação'!$A$9:$G$529,3,0))))</f>
        <v>184.82230000000001</v>
      </c>
      <c r="H1333" s="463">
        <f t="shared" si="214"/>
        <v>0.10632053383956051</v>
      </c>
      <c r="J1333" s="201"/>
    </row>
    <row r="1334" spans="1:17" s="87" customFormat="1" ht="25.5">
      <c r="A1334" s="232" t="s">
        <v>4542</v>
      </c>
      <c r="B1334" s="464" t="s">
        <v>8813</v>
      </c>
      <c r="C1334" s="451" t="str">
        <f>IF(A1334="SERVIÇO",VLOOKUP(B1334,SERVIÇOS!$A$6:$D$7645,2,0),IF(A1334="INSUMO",VLOOKUP(B1334,INSUMOS!$A$6:$D$6961,2,0),IF(A1334="COTAÇÃO",VLOOKUP(B1334,'036-20-Cotação'!$A$9:$G$529,2,0))))</f>
        <v>GUINCHO PNEUMÁTICO COM CAPACIDADE DE 2,5 T</v>
      </c>
      <c r="D1334" s="452" t="str">
        <f>IF(A1334="SERVIÇO",VLOOKUP(B1334,SERVIÇOS!$A$6:$E$7645,5,0),IF(A1334="INSUMO",VLOOKUP(B1334,INSUMOS!$A$6:$E$6961,5,0),IF(A1334="COTAÇÃO",VLOOKUP(B1334,'036-20-Cotação'!$A$9:$H$529,8,0))))</f>
        <v>EQUIP.</v>
      </c>
      <c r="E1334" s="452" t="str">
        <f>IF(A1334="SERVIÇO",VLOOKUP(B1334,SERVIÇOS!$A$6:$D$7645,3,0),IF(A1334="INSUMO",VLOOKUP(B1334,INSUMOS!$A$6:$D$6961,3,0),IF(A1334="COTAÇÃO",VLOOKUP(B1334,'036-20-Cotação'!$A$9:$G$529,4,0))))</f>
        <v>CHP</v>
      </c>
      <c r="F1334" s="462">
        <f>4/1738.35</f>
        <v>2.3010325883740328E-3</v>
      </c>
      <c r="G1334" s="453">
        <f>IF(A1334="SERVIÇO",VLOOKUP(B1334,SERVIÇOS!$A$6:$D$7645,4,0),IF(A1334="INSUMO",VLOOKUP(B1334,INSUMOS!$A$6:$D$6961,4,0),IF(A1334="COTAÇÃO",VLOOKUP(B1334,'036-20-Cotação'!$A$9:$G$529,3,0))))</f>
        <v>48.603499999999997</v>
      </c>
      <c r="H1334" s="463">
        <f t="shared" si="214"/>
        <v>0.1118382374090373</v>
      </c>
      <c r="J1334" s="201"/>
    </row>
    <row r="1335" spans="1:17" s="87" customFormat="1" ht="25.5">
      <c r="A1335" s="232" t="s">
        <v>4542</v>
      </c>
      <c r="B1335" s="464" t="s">
        <v>8818</v>
      </c>
      <c r="C1335" s="451" t="str">
        <f>IF(A1335="SERVIÇO",VLOOKUP(B1335,SERVIÇOS!$A$6:$D$7645,2,0),IF(A1335="INSUMO",VLOOKUP(B1335,INSUMOS!$A$6:$D$6961,2,0),IF(A1335="COTAÇÃO",VLOOKUP(B1335,'036-20-Cotação'!$A$9:$G$529,2,0))))</f>
        <v>PLATAFORMA FLUTUANTE DE 12 X 24 X 1,8 M COM CAPACIDADE DE 150 T</v>
      </c>
      <c r="D1335" s="452" t="str">
        <f>IF(A1335="SERVIÇO",VLOOKUP(B1335,SERVIÇOS!$A$6:$E$7645,5,0),IF(A1335="INSUMO",VLOOKUP(B1335,INSUMOS!$A$6:$E$6961,5,0),IF(A1335="COTAÇÃO",VLOOKUP(B1335,'036-20-Cotação'!$A$9:$H$529,8,0))))</f>
        <v>EQUIP.</v>
      </c>
      <c r="E1335" s="452" t="str">
        <f>IF(A1335="SERVIÇO",VLOOKUP(B1335,SERVIÇOS!$A$6:$D$7645,3,0),IF(A1335="INSUMO",VLOOKUP(B1335,INSUMOS!$A$6:$D$6961,3,0),IF(A1335="COTAÇÃO",VLOOKUP(B1335,'036-20-Cotação'!$A$9:$G$529,4,0))))</f>
        <v>CHP</v>
      </c>
      <c r="F1335" s="462">
        <f>1/1738.35</f>
        <v>5.752581470935082E-4</v>
      </c>
      <c r="G1335" s="453">
        <f>IF(A1335="SERVIÇO",VLOOKUP(B1335,SERVIÇOS!$A$6:$D$7645,4,0),IF(A1335="INSUMO",VLOOKUP(B1335,INSUMOS!$A$6:$D$6961,4,0),IF(A1335="COTAÇÃO",VLOOKUP(B1335,'036-20-Cotação'!$A$9:$G$529,3,0))))</f>
        <v>32.6526</v>
      </c>
      <c r="H1335" s="463">
        <f t="shared" si="214"/>
        <v>1.8783674173785486E-2</v>
      </c>
      <c r="J1335" s="201"/>
    </row>
    <row r="1336" spans="1:17" s="87" customFormat="1" ht="12.75">
      <c r="A1336" s="232" t="s">
        <v>4542</v>
      </c>
      <c r="B1336" s="464" t="s">
        <v>8739</v>
      </c>
      <c r="C1336" s="451" t="str">
        <f>IF(A1336="SERVIÇO",VLOOKUP(B1336,SERVIÇOS!$A$6:$D$7645,2,0),IF(A1336="INSUMO",VLOOKUP(B1336,INSUMOS!$A$6:$D$6961,2,0),IF(A1336="COTAÇÃO",VLOOKUP(B1336,'036-20-Cotação'!$A$9:$G$529,2,0))))</f>
        <v>REBOCADOR - 360 HP</v>
      </c>
      <c r="D1336" s="452" t="str">
        <f>IF(A1336="SERVIÇO",VLOOKUP(B1336,SERVIÇOS!$A$6:$E$7645,5,0),IF(A1336="INSUMO",VLOOKUP(B1336,INSUMOS!$A$6:$E$6961,5,0),IF(A1336="COTAÇÃO",VLOOKUP(B1336,'036-20-Cotação'!$A$9:$H$529,8,0))))</f>
        <v>EQUIP.</v>
      </c>
      <c r="E1336" s="452" t="str">
        <f>IF(A1336="SERVIÇO",VLOOKUP(B1336,SERVIÇOS!$A$6:$D$7645,3,0),IF(A1336="INSUMO",VLOOKUP(B1336,INSUMOS!$A$6:$D$6961,3,0),IF(A1336="COTAÇÃO",VLOOKUP(B1336,'036-20-Cotação'!$A$9:$G$529,4,0))))</f>
        <v>CHP</v>
      </c>
      <c r="F1336" s="462">
        <f t="shared" ref="F1336:F1337" si="215">0.5/1738.35</f>
        <v>2.876290735467541E-4</v>
      </c>
      <c r="G1336" s="453">
        <f>IF(A1336="SERVIÇO",VLOOKUP(B1336,SERVIÇOS!$A$6:$D$7645,4,0),IF(A1336="INSUMO",VLOOKUP(B1336,INSUMOS!$A$6:$D$6961,4,0),IF(A1336="COTAÇÃO",VLOOKUP(B1336,'036-20-Cotação'!$A$9:$G$529,3,0))))</f>
        <v>339.82830000000001</v>
      </c>
      <c r="H1336" s="463">
        <f t="shared" si="214"/>
        <v>9.7744499093968415E-2</v>
      </c>
      <c r="J1336" s="201"/>
    </row>
    <row r="1337" spans="1:17" s="87" customFormat="1" ht="12.75">
      <c r="A1337" s="232" t="s">
        <v>4542</v>
      </c>
      <c r="B1337" s="464" t="s">
        <v>9608</v>
      </c>
      <c r="C1337" s="451" t="str">
        <f>IF(A1337="SERVIÇO",VLOOKUP(B1337,SERVIÇOS!$A$6:$D$7645,2,0),IF(A1337="INSUMO",VLOOKUP(B1337,INSUMOS!$A$6:$D$6961,2,0),IF(A1337="COTAÇÃO",VLOOKUP(B1337,'036-20-Cotação'!$A$9:$G$529,2,0))))</f>
        <v>REBOCADOR - 360 HP</v>
      </c>
      <c r="D1337" s="452" t="str">
        <f>IF(A1337="SERVIÇO",VLOOKUP(B1337,SERVIÇOS!$A$6:$E$7645,5,0),IF(A1337="INSUMO",VLOOKUP(B1337,INSUMOS!$A$6:$E$6961,5,0),IF(A1337="COTAÇÃO",VLOOKUP(B1337,'036-20-Cotação'!$A$9:$H$529,8,0))))</f>
        <v>EQUIP.</v>
      </c>
      <c r="E1337" s="452" t="str">
        <f>IF(A1337="SERVIÇO",VLOOKUP(B1337,SERVIÇOS!$A$6:$D$7645,3,0),IF(A1337="INSUMO",VLOOKUP(B1337,INSUMOS!$A$6:$D$6961,3,0),IF(A1337="COTAÇÃO",VLOOKUP(B1337,'036-20-Cotação'!$A$9:$G$529,4,0))))</f>
        <v>CHI</v>
      </c>
      <c r="F1337" s="462">
        <f t="shared" si="215"/>
        <v>2.876290735467541E-4</v>
      </c>
      <c r="G1337" s="453">
        <f>IF(A1337="SERVIÇO",VLOOKUP(B1337,SERVIÇOS!$A$6:$D$7645,4,0),IF(A1337="INSUMO",VLOOKUP(B1337,INSUMOS!$A$6:$D$6961,4,0),IF(A1337="COTAÇÃO",VLOOKUP(B1337,'036-20-Cotação'!$A$9:$G$529,3,0))))</f>
        <v>144.78219999999999</v>
      </c>
      <c r="H1337" s="463">
        <f t="shared" si="214"/>
        <v>4.164357005206086E-2</v>
      </c>
      <c r="J1337" s="201"/>
    </row>
    <row r="1338" spans="1:17" s="87" customFormat="1" ht="12.75">
      <c r="A1338" s="232" t="s">
        <v>4542</v>
      </c>
      <c r="B1338" s="464" t="s">
        <v>6884</v>
      </c>
      <c r="C1338" s="451" t="str">
        <f>IF(A1338="SERVIÇO",VLOOKUP(B1338,SERVIÇOS!$A$6:$D$7645,2,0),IF(A1338="INSUMO",VLOOKUP(B1338,INSUMOS!$A$6:$D$6961,2,0),IF(A1338="COTAÇÃO",VLOOKUP(B1338,'036-20-Cotação'!$A$9:$G$529,2,0))))</f>
        <v>BOMBEIRO HIDRÁULICO</v>
      </c>
      <c r="D1338" s="452" t="str">
        <f>IF(A1338="SERVIÇO",VLOOKUP(B1338,SERVIÇOS!$A$6:$E$7645,5,0),IF(A1338="INSUMO",VLOOKUP(B1338,INSUMOS!$A$6:$E$6961,5,0),IF(A1338="COTAÇÃO",VLOOKUP(B1338,'036-20-Cotação'!$A$9:$H$529,8,0))))</f>
        <v>M.O</v>
      </c>
      <c r="E1338" s="452" t="str">
        <f>IF(A1338="SERVIÇO",VLOOKUP(B1338,SERVIÇOS!$A$6:$D$7645,3,0),IF(A1338="INSUMO",VLOOKUP(B1338,INSUMOS!$A$6:$D$6961,3,0),IF(A1338="COTAÇÃO",VLOOKUP(B1338,'036-20-Cotação'!$A$9:$G$529,4,0))))</f>
        <v>H</v>
      </c>
      <c r="F1338" s="462">
        <f t="shared" ref="F1338:F1339" si="216">1/1738.35</f>
        <v>5.752581470935082E-4</v>
      </c>
      <c r="G1338" s="453">
        <f>IF(A1338="SERVIÇO",VLOOKUP(B1338,SERVIÇOS!$A$6:$D$7645,4,0),IF(A1338="INSUMO",VLOOKUP(B1338,INSUMOS!$A$6:$D$6961,4,0),IF(A1338="COTAÇÃO",VLOOKUP(B1338,'036-20-Cotação'!$A$9:$G$529,3,0))))</f>
        <v>26.312899999999999</v>
      </c>
      <c r="H1338" s="463">
        <f t="shared" si="214"/>
        <v>1.5136710098656771E-2</v>
      </c>
      <c r="J1338" s="201"/>
    </row>
    <row r="1339" spans="1:17" s="87" customFormat="1" ht="12.75">
      <c r="A1339" s="232" t="s">
        <v>4542</v>
      </c>
      <c r="B1339" s="464" t="s">
        <v>6684</v>
      </c>
      <c r="C1339" s="451" t="str">
        <f>IF(A1339="SERVIÇO",VLOOKUP(B1339,SERVIÇOS!$A$6:$D$7645,2,0),IF(A1339="INSUMO",VLOOKUP(B1339,INSUMOS!$A$6:$D$6961,2,0),IF(A1339="COTAÇÃO",VLOOKUP(B1339,'036-20-Cotação'!$A$9:$G$529,2,0))))</f>
        <v>ELETRICISTA</v>
      </c>
      <c r="D1339" s="452" t="str">
        <f>IF(A1339="SERVIÇO",VLOOKUP(B1339,SERVIÇOS!$A$6:$E$7645,5,0),IF(A1339="INSUMO",VLOOKUP(B1339,INSUMOS!$A$6:$E$6961,5,0),IF(A1339="COTAÇÃO",VLOOKUP(B1339,'036-20-Cotação'!$A$9:$H$529,8,0))))</f>
        <v>M.O</v>
      </c>
      <c r="E1339" s="452" t="str">
        <f>IF(A1339="SERVIÇO",VLOOKUP(B1339,SERVIÇOS!$A$6:$D$7645,3,0),IF(A1339="INSUMO",VLOOKUP(B1339,INSUMOS!$A$6:$D$6961,3,0),IF(A1339="COTAÇÃO",VLOOKUP(B1339,'036-20-Cotação'!$A$9:$G$529,4,0))))</f>
        <v>H</v>
      </c>
      <c r="F1339" s="462">
        <f t="shared" si="216"/>
        <v>5.752581470935082E-4</v>
      </c>
      <c r="G1339" s="453">
        <f>IF(A1339="SERVIÇO",VLOOKUP(B1339,SERVIÇOS!$A$6:$D$7645,4,0),IF(A1339="INSUMO",VLOOKUP(B1339,INSUMOS!$A$6:$D$6961,4,0),IF(A1339="COTAÇÃO",VLOOKUP(B1339,'036-20-Cotação'!$A$9:$G$529,3,0))))</f>
        <v>22.082599999999999</v>
      </c>
      <c r="H1339" s="463">
        <f t="shared" si="214"/>
        <v>1.2703195559007103E-2</v>
      </c>
      <c r="J1339" s="201"/>
    </row>
    <row r="1340" spans="1:17" s="87" customFormat="1" ht="12.75">
      <c r="A1340" s="188"/>
      <c r="B1340" s="348" t="s">
        <v>123</v>
      </c>
      <c r="C1340" s="695" t="s">
        <v>7890</v>
      </c>
      <c r="D1340" s="696"/>
      <c r="E1340" s="696"/>
      <c r="F1340" s="696"/>
      <c r="G1340" s="696"/>
      <c r="H1340" s="697"/>
      <c r="J1340" s="201"/>
      <c r="K1340" s="78"/>
      <c r="L1340" s="78"/>
      <c r="M1340" s="78"/>
      <c r="N1340" s="78"/>
      <c r="O1340" s="78"/>
      <c r="P1340" s="78"/>
      <c r="Q1340" s="78"/>
    </row>
    <row r="1341" spans="1:17" s="87" customFormat="1" ht="12.75">
      <c r="A1341" s="188"/>
      <c r="B1341" s="346"/>
      <c r="C1341" s="414"/>
      <c r="D1341" s="414"/>
      <c r="E1341" s="414"/>
      <c r="F1341" s="414"/>
      <c r="G1341" s="414"/>
      <c r="H1341" s="415"/>
      <c r="J1341" s="201"/>
      <c r="K1341" s="78"/>
      <c r="L1341" s="78"/>
      <c r="M1341" s="78"/>
      <c r="N1341" s="78"/>
      <c r="O1341" s="78"/>
      <c r="P1341" s="78"/>
      <c r="Q1341" s="78"/>
    </row>
    <row r="1342" spans="1:17" s="87" customFormat="1" ht="38.25">
      <c r="A1342" s="188"/>
      <c r="B1342" s="80" t="s">
        <v>8511</v>
      </c>
      <c r="C1342" s="81" t="s">
        <v>8512</v>
      </c>
      <c r="D1342" s="82" t="s">
        <v>84</v>
      </c>
      <c r="E1342" s="82" t="s">
        <v>89</v>
      </c>
      <c r="F1342" s="83"/>
      <c r="G1342" s="84"/>
      <c r="H1342" s="85">
        <f>SUM(H1343:H1352)</f>
        <v>0.60807136077314705</v>
      </c>
      <c r="J1342" s="201"/>
      <c r="K1342" s="78"/>
      <c r="L1342" s="78"/>
      <c r="M1342" s="78"/>
      <c r="N1342" s="78"/>
      <c r="O1342" s="78"/>
      <c r="P1342" s="78"/>
      <c r="Q1342" s="78"/>
    </row>
    <row r="1343" spans="1:17" s="87" customFormat="1" ht="25.5">
      <c r="A1343" s="232" t="s">
        <v>4542</v>
      </c>
      <c r="B1343" s="464" t="s">
        <v>9000</v>
      </c>
      <c r="C1343" s="451" t="str">
        <f>IF(A1343="SERVIÇO",VLOOKUP(B1343,SERVIÇOS!$A$6:$D$7645,2,0),IF(A1343="INSUMO",VLOOKUP(B1343,INSUMOS!$A$6:$D$6961,2,0),IF(A1343="COTAÇÃO",VLOOKUP(B1343,'036-20-Cotação'!$A$9:$G$529,2,0))))</f>
        <v>COMPRESSOR DE AR PORTÁTIL DE 912 PCM - 242 KW</v>
      </c>
      <c r="D1343" s="452" t="str">
        <f>IF(A1343="SERVIÇO",VLOOKUP(B1343,SERVIÇOS!$A$6:$E$7645,5,0),IF(A1343="INSUMO",VLOOKUP(B1343,INSUMOS!$A$6:$E$6961,5,0),IF(A1343="COTAÇÃO",VLOOKUP(B1343,'036-20-Cotação'!$A$9:$H$529,8,0))))</f>
        <v>EQUIP.</v>
      </c>
      <c r="E1343" s="452" t="str">
        <f>IF(A1343="SERVIÇO",VLOOKUP(B1343,SERVIÇOS!$A$6:$D$7645,3,0),IF(A1343="INSUMO",VLOOKUP(B1343,INSUMOS!$A$6:$D$6961,3,0),IF(A1343="COTAÇÃO",VLOOKUP(B1343,'036-20-Cotação'!$A$9:$G$529,4,0))))</f>
        <v>CHP</v>
      </c>
      <c r="F1343" s="462">
        <f>1/1738.35</f>
        <v>5.752581470935082E-4</v>
      </c>
      <c r="G1343" s="453">
        <f>IF(A1343="SERVIÇO",VLOOKUP(B1343,SERVIÇOS!$A$6:$D$7645,4,0),IF(A1343="INSUMO",VLOOKUP(B1343,INSUMOS!$A$6:$D$6961,4,0),IF(A1343="COTAÇÃO",VLOOKUP(B1343,'036-20-Cotação'!$A$9:$G$529,3,0))))</f>
        <v>196.6591</v>
      </c>
      <c r="H1343" s="463">
        <f t="shared" ref="H1343:H1352" si="217">G1343*F1343</f>
        <v>0.11312974947507694</v>
      </c>
      <c r="J1343" s="201"/>
    </row>
    <row r="1344" spans="1:17" s="87" customFormat="1" ht="25.5">
      <c r="A1344" s="232" t="s">
        <v>4542</v>
      </c>
      <c r="B1344" s="464" t="s">
        <v>9117</v>
      </c>
      <c r="C1344" s="451" t="str">
        <f>IF(A1344="SERVIÇO",VLOOKUP(B1344,SERVIÇOS!$A$6:$D$7645,2,0),IF(A1344="INSUMO",VLOOKUP(B1344,INSUMOS!$A$6:$D$6961,2,0),IF(A1344="COTAÇÃO",VLOOKUP(B1344,'036-20-Cotação'!$A$9:$G$529,2,0))))</f>
        <v>EMBARCAÇÃO DE TRANSPORTE DE PESSOAL E APOIO LOGÍSTICO - 175 HP</v>
      </c>
      <c r="D1344" s="452" t="str">
        <f>IF(A1344="SERVIÇO",VLOOKUP(B1344,SERVIÇOS!$A$6:$E$7645,5,0),IF(A1344="INSUMO",VLOOKUP(B1344,INSUMOS!$A$6:$E$6961,5,0),IF(A1344="COTAÇÃO",VLOOKUP(B1344,'036-20-Cotação'!$A$9:$H$529,8,0))))</f>
        <v>EQUIP.</v>
      </c>
      <c r="E1344" s="452" t="str">
        <f>IF(A1344="SERVIÇO",VLOOKUP(B1344,SERVIÇOS!$A$6:$D$7645,3,0),IF(A1344="INSUMO",VLOOKUP(B1344,INSUMOS!$A$6:$D$6961,3,0),IF(A1344="COTAÇÃO",VLOOKUP(B1344,'036-20-Cotação'!$A$9:$G$529,4,0))))</f>
        <v>CHP</v>
      </c>
      <c r="F1344" s="462">
        <f>0.5/1738.35</f>
        <v>2.876290735467541E-4</v>
      </c>
      <c r="G1344" s="453">
        <f>IF(A1344="SERVIÇO",VLOOKUP(B1344,SERVIÇOS!$A$6:$D$7645,4,0),IF(A1344="INSUMO",VLOOKUP(B1344,INSUMOS!$A$6:$D$6961,4,0),IF(A1344="COTAÇÃO",VLOOKUP(B1344,'036-20-Cotação'!$A$9:$G$529,3,0))))</f>
        <v>274.07380000000001</v>
      </c>
      <c r="H1344" s="463">
        <f t="shared" si="217"/>
        <v>7.8831593177438375E-2</v>
      </c>
      <c r="J1344" s="201"/>
    </row>
    <row r="1345" spans="1:17" s="87" customFormat="1" ht="25.5">
      <c r="A1345" s="232" t="s">
        <v>4542</v>
      </c>
      <c r="B1345" s="464" t="s">
        <v>9807</v>
      </c>
      <c r="C1345" s="451" t="str">
        <f>IF(A1345="SERVIÇO",VLOOKUP(B1345,SERVIÇOS!$A$6:$D$7645,2,0),IF(A1345="INSUMO",VLOOKUP(B1345,INSUMOS!$A$6:$D$6961,2,0),IF(A1345="COTAÇÃO",VLOOKUP(B1345,'036-20-Cotação'!$A$9:$G$529,2,0))))</f>
        <v>EMBARCAÇÃO DE TRANSPORTE DE PESSOAL E APOIO LOGÍSTICO - 175 HP</v>
      </c>
      <c r="D1345" s="452" t="str">
        <f>IF(A1345="SERVIÇO",VLOOKUP(B1345,SERVIÇOS!$A$6:$E$7645,5,0),IF(A1345="INSUMO",VLOOKUP(B1345,INSUMOS!$A$6:$E$6961,5,0),IF(A1345="COTAÇÃO",VLOOKUP(B1345,'036-20-Cotação'!$A$9:$H$529,8,0))))</f>
        <v>EQUIP.</v>
      </c>
      <c r="E1345" s="452" t="str">
        <f>IF(A1345="SERVIÇO",VLOOKUP(B1345,SERVIÇOS!$A$6:$D$7645,3,0),IF(A1345="INSUMO",VLOOKUP(B1345,INSUMOS!$A$6:$D$6961,3,0),IF(A1345="COTAÇÃO",VLOOKUP(B1345,'036-20-Cotação'!$A$9:$G$529,4,0))))</f>
        <v>CHI</v>
      </c>
      <c r="F1345" s="462">
        <f>0.5/1738.35</f>
        <v>2.876290735467541E-4</v>
      </c>
      <c r="G1345" s="453">
        <f>IF(A1345="SERVIÇO",VLOOKUP(B1345,SERVIÇOS!$A$6:$D$7645,4,0),IF(A1345="INSUMO",VLOOKUP(B1345,INSUMOS!$A$6:$D$6961,4,0),IF(A1345="COTAÇÃO",VLOOKUP(B1345,'036-20-Cotação'!$A$9:$G$529,3,0))))</f>
        <v>41.510399999999997</v>
      </c>
      <c r="H1345" s="463">
        <f t="shared" si="217"/>
        <v>1.1939597894555181E-2</v>
      </c>
      <c r="J1345" s="201"/>
    </row>
    <row r="1346" spans="1:17" s="87" customFormat="1" ht="12.75">
      <c r="A1346" s="232" t="s">
        <v>4542</v>
      </c>
      <c r="B1346" s="464" t="s">
        <v>9340</v>
      </c>
      <c r="C1346" s="451" t="str">
        <f>IF(A1346="SERVIÇO",VLOOKUP(B1346,SERVIÇOS!$A$6:$D$7645,2,0),IF(A1346="INSUMO",VLOOKUP(B1346,INSUMOS!$A$6:$D$6961,2,0),IF(A1346="COTAÇÃO",VLOOKUP(B1346,'036-20-Cotação'!$A$9:$G$529,2,0))))</f>
        <v>GRUPO GERADOR - 310/340 KVA</v>
      </c>
      <c r="D1346" s="452" t="str">
        <f>IF(A1346="SERVIÇO",VLOOKUP(B1346,SERVIÇOS!$A$6:$E$7645,5,0),IF(A1346="INSUMO",VLOOKUP(B1346,INSUMOS!$A$6:$E$6961,5,0),IF(A1346="COTAÇÃO",VLOOKUP(B1346,'036-20-Cotação'!$A$9:$H$529,8,0))))</f>
        <v>EQUIP.</v>
      </c>
      <c r="E1346" s="452" t="str">
        <f>IF(A1346="SERVIÇO",VLOOKUP(B1346,SERVIÇOS!$A$6:$D$7645,3,0),IF(A1346="INSUMO",VLOOKUP(B1346,INSUMOS!$A$6:$D$6961,3,0),IF(A1346="COTAÇÃO",VLOOKUP(B1346,'036-20-Cotação'!$A$9:$G$529,4,0))))</f>
        <v>CHP</v>
      </c>
      <c r="F1346" s="462">
        <f>1/1738.35</f>
        <v>5.752581470935082E-4</v>
      </c>
      <c r="G1346" s="453">
        <f>IF(A1346="SERVIÇO",VLOOKUP(B1346,SERVIÇOS!$A$6:$D$7645,4,0),IF(A1346="INSUMO",VLOOKUP(B1346,INSUMOS!$A$6:$D$6961,4,0),IF(A1346="COTAÇÃO",VLOOKUP(B1346,'036-20-Cotação'!$A$9:$G$529,3,0))))</f>
        <v>184.82230000000001</v>
      </c>
      <c r="H1346" s="463">
        <f t="shared" si="217"/>
        <v>0.10632053383956051</v>
      </c>
      <c r="J1346" s="201"/>
    </row>
    <row r="1347" spans="1:17" s="87" customFormat="1" ht="25.5">
      <c r="A1347" s="232" t="s">
        <v>4542</v>
      </c>
      <c r="B1347" s="464" t="s">
        <v>8813</v>
      </c>
      <c r="C1347" s="451" t="str">
        <f>IF(A1347="SERVIÇO",VLOOKUP(B1347,SERVIÇOS!$A$6:$D$7645,2,0),IF(A1347="INSUMO",VLOOKUP(B1347,INSUMOS!$A$6:$D$6961,2,0),IF(A1347="COTAÇÃO",VLOOKUP(B1347,'036-20-Cotação'!$A$9:$G$529,2,0))))</f>
        <v>GUINCHO PNEUMÁTICO COM CAPACIDADE DE 2,5 T</v>
      </c>
      <c r="D1347" s="452" t="str">
        <f>IF(A1347="SERVIÇO",VLOOKUP(B1347,SERVIÇOS!$A$6:$E$7645,5,0),IF(A1347="INSUMO",VLOOKUP(B1347,INSUMOS!$A$6:$E$6961,5,0),IF(A1347="COTAÇÃO",VLOOKUP(B1347,'036-20-Cotação'!$A$9:$H$529,8,0))))</f>
        <v>EQUIP.</v>
      </c>
      <c r="E1347" s="452" t="str">
        <f>IF(A1347="SERVIÇO",VLOOKUP(B1347,SERVIÇOS!$A$6:$D$7645,3,0),IF(A1347="INSUMO",VLOOKUP(B1347,INSUMOS!$A$6:$D$6961,3,0),IF(A1347="COTAÇÃO",VLOOKUP(B1347,'036-20-Cotação'!$A$9:$G$529,4,0))))</f>
        <v>CHP</v>
      </c>
      <c r="F1347" s="462">
        <f>4/1738.35</f>
        <v>2.3010325883740328E-3</v>
      </c>
      <c r="G1347" s="453">
        <f>IF(A1347="SERVIÇO",VLOOKUP(B1347,SERVIÇOS!$A$6:$D$7645,4,0),IF(A1347="INSUMO",VLOOKUP(B1347,INSUMOS!$A$6:$D$6961,4,0),IF(A1347="COTAÇÃO",VLOOKUP(B1347,'036-20-Cotação'!$A$9:$G$529,3,0))))</f>
        <v>48.603499999999997</v>
      </c>
      <c r="H1347" s="463">
        <f t="shared" si="217"/>
        <v>0.1118382374090373</v>
      </c>
      <c r="J1347" s="201"/>
    </row>
    <row r="1348" spans="1:17" s="87" customFormat="1" ht="25.5">
      <c r="A1348" s="232" t="s">
        <v>4542</v>
      </c>
      <c r="B1348" s="464" t="s">
        <v>8818</v>
      </c>
      <c r="C1348" s="451" t="str">
        <f>IF(A1348="SERVIÇO",VLOOKUP(B1348,SERVIÇOS!$A$6:$D$7645,2,0),IF(A1348="INSUMO",VLOOKUP(B1348,INSUMOS!$A$6:$D$6961,2,0),IF(A1348="COTAÇÃO",VLOOKUP(B1348,'036-20-Cotação'!$A$9:$G$529,2,0))))</f>
        <v>PLATAFORMA FLUTUANTE DE 12 X 24 X 1,8 M COM CAPACIDADE DE 150 T</v>
      </c>
      <c r="D1348" s="452" t="str">
        <f>IF(A1348="SERVIÇO",VLOOKUP(B1348,SERVIÇOS!$A$6:$E$7645,5,0),IF(A1348="INSUMO",VLOOKUP(B1348,INSUMOS!$A$6:$E$6961,5,0),IF(A1348="COTAÇÃO",VLOOKUP(B1348,'036-20-Cotação'!$A$9:$H$529,8,0))))</f>
        <v>EQUIP.</v>
      </c>
      <c r="E1348" s="452" t="str">
        <f>IF(A1348="SERVIÇO",VLOOKUP(B1348,SERVIÇOS!$A$6:$D$7645,3,0),IF(A1348="INSUMO",VLOOKUP(B1348,INSUMOS!$A$6:$D$6961,3,0),IF(A1348="COTAÇÃO",VLOOKUP(B1348,'036-20-Cotação'!$A$9:$G$529,4,0))))</f>
        <v>CHP</v>
      </c>
      <c r="F1348" s="462">
        <f>1/1738.35</f>
        <v>5.752581470935082E-4</v>
      </c>
      <c r="G1348" s="453">
        <f>IF(A1348="SERVIÇO",VLOOKUP(B1348,SERVIÇOS!$A$6:$D$7645,4,0),IF(A1348="INSUMO",VLOOKUP(B1348,INSUMOS!$A$6:$D$6961,4,0),IF(A1348="COTAÇÃO",VLOOKUP(B1348,'036-20-Cotação'!$A$9:$G$529,3,0))))</f>
        <v>32.6526</v>
      </c>
      <c r="H1348" s="463">
        <f t="shared" si="217"/>
        <v>1.8783674173785486E-2</v>
      </c>
      <c r="J1348" s="201"/>
    </row>
    <row r="1349" spans="1:17" s="87" customFormat="1" ht="12.75">
      <c r="A1349" s="232" t="s">
        <v>4542</v>
      </c>
      <c r="B1349" s="464" t="s">
        <v>8739</v>
      </c>
      <c r="C1349" s="451" t="str">
        <f>IF(A1349="SERVIÇO",VLOOKUP(B1349,SERVIÇOS!$A$6:$D$7645,2,0),IF(A1349="INSUMO",VLOOKUP(B1349,INSUMOS!$A$6:$D$6961,2,0),IF(A1349="COTAÇÃO",VLOOKUP(B1349,'036-20-Cotação'!$A$9:$G$529,2,0))))</f>
        <v>REBOCADOR - 360 HP</v>
      </c>
      <c r="D1349" s="452" t="str">
        <f>IF(A1349="SERVIÇO",VLOOKUP(B1349,SERVIÇOS!$A$6:$E$7645,5,0),IF(A1349="INSUMO",VLOOKUP(B1349,INSUMOS!$A$6:$E$6961,5,0),IF(A1349="COTAÇÃO",VLOOKUP(B1349,'036-20-Cotação'!$A$9:$H$529,8,0))))</f>
        <v>EQUIP.</v>
      </c>
      <c r="E1349" s="452" t="str">
        <f>IF(A1349="SERVIÇO",VLOOKUP(B1349,SERVIÇOS!$A$6:$D$7645,3,0),IF(A1349="INSUMO",VLOOKUP(B1349,INSUMOS!$A$6:$D$6961,3,0),IF(A1349="COTAÇÃO",VLOOKUP(B1349,'036-20-Cotação'!$A$9:$G$529,4,0))))</f>
        <v>CHP</v>
      </c>
      <c r="F1349" s="462">
        <f t="shared" ref="F1349:F1350" si="218">0.5/1738.35</f>
        <v>2.876290735467541E-4</v>
      </c>
      <c r="G1349" s="453">
        <f>IF(A1349="SERVIÇO",VLOOKUP(B1349,SERVIÇOS!$A$6:$D$7645,4,0),IF(A1349="INSUMO",VLOOKUP(B1349,INSUMOS!$A$6:$D$6961,4,0),IF(A1349="COTAÇÃO",VLOOKUP(B1349,'036-20-Cotação'!$A$9:$G$529,3,0))))</f>
        <v>339.82830000000001</v>
      </c>
      <c r="H1349" s="463">
        <f t="shared" si="217"/>
        <v>9.7744499093968415E-2</v>
      </c>
      <c r="J1349" s="201"/>
    </row>
    <row r="1350" spans="1:17" s="87" customFormat="1" ht="12.75">
      <c r="A1350" s="232" t="s">
        <v>4542</v>
      </c>
      <c r="B1350" s="464" t="s">
        <v>9608</v>
      </c>
      <c r="C1350" s="451" t="str">
        <f>IF(A1350="SERVIÇO",VLOOKUP(B1350,SERVIÇOS!$A$6:$D$7645,2,0),IF(A1350="INSUMO",VLOOKUP(B1350,INSUMOS!$A$6:$D$6961,2,0),IF(A1350="COTAÇÃO",VLOOKUP(B1350,'036-20-Cotação'!$A$9:$G$529,2,0))))</f>
        <v>REBOCADOR - 360 HP</v>
      </c>
      <c r="D1350" s="452" t="str">
        <f>IF(A1350="SERVIÇO",VLOOKUP(B1350,SERVIÇOS!$A$6:$E$7645,5,0),IF(A1350="INSUMO",VLOOKUP(B1350,INSUMOS!$A$6:$E$6961,5,0),IF(A1350="COTAÇÃO",VLOOKUP(B1350,'036-20-Cotação'!$A$9:$H$529,8,0))))</f>
        <v>EQUIP.</v>
      </c>
      <c r="E1350" s="452" t="str">
        <f>IF(A1350="SERVIÇO",VLOOKUP(B1350,SERVIÇOS!$A$6:$D$7645,3,0),IF(A1350="INSUMO",VLOOKUP(B1350,INSUMOS!$A$6:$D$6961,3,0),IF(A1350="COTAÇÃO",VLOOKUP(B1350,'036-20-Cotação'!$A$9:$G$529,4,0))))</f>
        <v>CHI</v>
      </c>
      <c r="F1350" s="462">
        <f t="shared" si="218"/>
        <v>2.876290735467541E-4</v>
      </c>
      <c r="G1350" s="453">
        <f>IF(A1350="SERVIÇO",VLOOKUP(B1350,SERVIÇOS!$A$6:$D$7645,4,0),IF(A1350="INSUMO",VLOOKUP(B1350,INSUMOS!$A$6:$D$6961,4,0),IF(A1350="COTAÇÃO",VLOOKUP(B1350,'036-20-Cotação'!$A$9:$G$529,3,0))))</f>
        <v>144.78219999999999</v>
      </c>
      <c r="H1350" s="463">
        <f t="shared" si="217"/>
        <v>4.164357005206086E-2</v>
      </c>
      <c r="J1350" s="201"/>
    </row>
    <row r="1351" spans="1:17" s="87" customFormat="1" ht="12.75">
      <c r="A1351" s="232" t="s">
        <v>4542</v>
      </c>
      <c r="B1351" s="464" t="s">
        <v>6884</v>
      </c>
      <c r="C1351" s="451" t="str">
        <f>IF(A1351="SERVIÇO",VLOOKUP(B1351,SERVIÇOS!$A$6:$D$7645,2,0),IF(A1351="INSUMO",VLOOKUP(B1351,INSUMOS!$A$6:$D$6961,2,0),IF(A1351="COTAÇÃO",VLOOKUP(B1351,'036-20-Cotação'!$A$9:$G$529,2,0))))</f>
        <v>BOMBEIRO HIDRÁULICO</v>
      </c>
      <c r="D1351" s="452" t="str">
        <f>IF(A1351="SERVIÇO",VLOOKUP(B1351,SERVIÇOS!$A$6:$E$7645,5,0),IF(A1351="INSUMO",VLOOKUP(B1351,INSUMOS!$A$6:$E$6961,5,0),IF(A1351="COTAÇÃO",VLOOKUP(B1351,'036-20-Cotação'!$A$9:$H$529,8,0))))</f>
        <v>M.O</v>
      </c>
      <c r="E1351" s="452" t="str">
        <f>IF(A1351="SERVIÇO",VLOOKUP(B1351,SERVIÇOS!$A$6:$D$7645,3,0),IF(A1351="INSUMO",VLOOKUP(B1351,INSUMOS!$A$6:$D$6961,3,0),IF(A1351="COTAÇÃO",VLOOKUP(B1351,'036-20-Cotação'!$A$9:$G$529,4,0))))</f>
        <v>H</v>
      </c>
      <c r="F1351" s="462">
        <f t="shared" ref="F1351:F1352" si="219">1/1738.35</f>
        <v>5.752581470935082E-4</v>
      </c>
      <c r="G1351" s="453">
        <f>IF(A1351="SERVIÇO",VLOOKUP(B1351,SERVIÇOS!$A$6:$D$7645,4,0),IF(A1351="INSUMO",VLOOKUP(B1351,INSUMOS!$A$6:$D$6961,4,0),IF(A1351="COTAÇÃO",VLOOKUP(B1351,'036-20-Cotação'!$A$9:$G$529,3,0))))</f>
        <v>26.312899999999999</v>
      </c>
      <c r="H1351" s="463">
        <f t="shared" si="217"/>
        <v>1.5136710098656771E-2</v>
      </c>
      <c r="J1351" s="201"/>
    </row>
    <row r="1352" spans="1:17" s="87" customFormat="1" ht="12.75">
      <c r="A1352" s="232" t="s">
        <v>4542</v>
      </c>
      <c r="B1352" s="464" t="s">
        <v>6684</v>
      </c>
      <c r="C1352" s="451" t="str">
        <f>IF(A1352="SERVIÇO",VLOOKUP(B1352,SERVIÇOS!$A$6:$D$7645,2,0),IF(A1352="INSUMO",VLOOKUP(B1352,INSUMOS!$A$6:$D$6961,2,0),IF(A1352="COTAÇÃO",VLOOKUP(B1352,'036-20-Cotação'!$A$9:$G$529,2,0))))</f>
        <v>ELETRICISTA</v>
      </c>
      <c r="D1352" s="452" t="str">
        <f>IF(A1352="SERVIÇO",VLOOKUP(B1352,SERVIÇOS!$A$6:$E$7645,5,0),IF(A1352="INSUMO",VLOOKUP(B1352,INSUMOS!$A$6:$E$6961,5,0),IF(A1352="COTAÇÃO",VLOOKUP(B1352,'036-20-Cotação'!$A$9:$H$529,8,0))))</f>
        <v>M.O</v>
      </c>
      <c r="E1352" s="452" t="str">
        <f>IF(A1352="SERVIÇO",VLOOKUP(B1352,SERVIÇOS!$A$6:$D$7645,3,0),IF(A1352="INSUMO",VLOOKUP(B1352,INSUMOS!$A$6:$D$6961,3,0),IF(A1352="COTAÇÃO",VLOOKUP(B1352,'036-20-Cotação'!$A$9:$G$529,4,0))))</f>
        <v>H</v>
      </c>
      <c r="F1352" s="462">
        <f t="shared" si="219"/>
        <v>5.752581470935082E-4</v>
      </c>
      <c r="G1352" s="453">
        <f>IF(A1352="SERVIÇO",VLOOKUP(B1352,SERVIÇOS!$A$6:$D$7645,4,0),IF(A1352="INSUMO",VLOOKUP(B1352,INSUMOS!$A$6:$D$6961,4,0),IF(A1352="COTAÇÃO",VLOOKUP(B1352,'036-20-Cotação'!$A$9:$G$529,3,0))))</f>
        <v>22.082599999999999</v>
      </c>
      <c r="H1352" s="463">
        <f t="shared" si="217"/>
        <v>1.2703195559007103E-2</v>
      </c>
      <c r="J1352" s="201"/>
    </row>
    <row r="1353" spans="1:17" s="87" customFormat="1" ht="12.75">
      <c r="A1353" s="188"/>
      <c r="B1353" s="348" t="s">
        <v>123</v>
      </c>
      <c r="C1353" s="695" t="s">
        <v>7890</v>
      </c>
      <c r="D1353" s="696"/>
      <c r="E1353" s="696"/>
      <c r="F1353" s="696"/>
      <c r="G1353" s="696"/>
      <c r="H1353" s="697"/>
      <c r="J1353" s="201"/>
      <c r="K1353" s="78"/>
      <c r="L1353" s="78"/>
      <c r="M1353" s="78"/>
      <c r="N1353" s="78"/>
      <c r="O1353" s="78"/>
      <c r="P1353" s="78"/>
      <c r="Q1353" s="78"/>
    </row>
    <row r="1354" spans="1:17" s="87" customFormat="1" ht="12.75">
      <c r="A1354" s="188"/>
      <c r="B1354" s="346"/>
      <c r="C1354" s="465"/>
      <c r="D1354" s="465"/>
      <c r="E1354" s="465"/>
      <c r="F1354" s="465"/>
      <c r="G1354" s="465"/>
      <c r="H1354" s="466"/>
      <c r="J1354" s="201"/>
      <c r="K1354" s="78"/>
      <c r="L1354" s="78"/>
      <c r="M1354" s="78"/>
      <c r="N1354" s="78"/>
      <c r="O1354" s="78"/>
      <c r="P1354" s="78"/>
      <c r="Q1354" s="78"/>
    </row>
    <row r="1355" spans="1:17" s="87" customFormat="1" ht="38.25">
      <c r="A1355" s="188"/>
      <c r="B1355" s="80" t="s">
        <v>8556</v>
      </c>
      <c r="C1355" s="81" t="s">
        <v>8557</v>
      </c>
      <c r="D1355" s="82" t="s">
        <v>84</v>
      </c>
      <c r="E1355" s="82" t="s">
        <v>89</v>
      </c>
      <c r="F1355" s="83"/>
      <c r="G1355" s="84"/>
      <c r="H1355" s="85">
        <f>SUM(H1356:H1357)</f>
        <v>0.20083213000000003</v>
      </c>
      <c r="J1355" s="201"/>
      <c r="K1355" s="78"/>
      <c r="L1355" s="78"/>
      <c r="M1355" s="78"/>
      <c r="N1355" s="78"/>
      <c r="O1355" s="78"/>
      <c r="P1355" s="78"/>
      <c r="Q1355" s="78"/>
    </row>
    <row r="1356" spans="1:17" s="87" customFormat="1" ht="25.5">
      <c r="A1356" s="232" t="s">
        <v>4542</v>
      </c>
      <c r="B1356" s="464" t="s">
        <v>8804</v>
      </c>
      <c r="C1356" s="451" t="str">
        <f>IF(A1356="SERVIÇO",VLOOKUP(B1356,SERVIÇOS!$A$6:$D$7645,2,0),IF(A1356="INSUMO",VLOOKUP(B1356,INSUMOS!$A$6:$D$6961,2,0),IF(A1356="COTAÇÃO",VLOOKUP(B1356,'036-20-Cotação'!$A$9:$G$529,2,0))))</f>
        <v>GUINDASTE SOBRE RODAS COM CAPACIDADE DE 370 KN.M - 75 KW</v>
      </c>
      <c r="D1356" s="452" t="str">
        <f>IF(A1356="SERVIÇO",VLOOKUP(B1356,SERVIÇOS!$A$6:$E$7645,5,0),IF(A1356="INSUMO",VLOOKUP(B1356,INSUMOS!$A$6:$E$6961,5,0),IF(A1356="COTAÇÃO",VLOOKUP(B1356,'036-20-Cotação'!$A$9:$H$529,8,0))))</f>
        <v>EQUIP.</v>
      </c>
      <c r="E1356" s="452" t="str">
        <f>IF(A1356="SERVIÇO",VLOOKUP(B1356,SERVIÇOS!$A$6:$D$7645,3,0),IF(A1356="INSUMO",VLOOKUP(B1356,INSUMOS!$A$6:$D$6961,3,0),IF(A1356="COTAÇÃO",VLOOKUP(B1356,'036-20-Cotação'!$A$9:$G$529,4,0))))</f>
        <v>CHP</v>
      </c>
      <c r="F1356" s="462">
        <v>8.0000000000000004E-4</v>
      </c>
      <c r="G1356" s="453">
        <f>IF(A1356="SERVIÇO",VLOOKUP(B1356,SERVIÇOS!$A$6:$D$7645,4,0),IF(A1356="INSUMO",VLOOKUP(B1356,INSUMOS!$A$6:$D$6961,4,0),IF(A1356="COTAÇÃO",VLOOKUP(B1356,'036-20-Cotação'!$A$9:$G$529,3,0))))</f>
        <v>148.07040000000001</v>
      </c>
      <c r="H1356" s="463">
        <f t="shared" ref="H1356:H1357" si="220">G1356*F1356</f>
        <v>0.11845632000000002</v>
      </c>
      <c r="J1356" s="201"/>
    </row>
    <row r="1357" spans="1:17" s="87" customFormat="1" ht="25.5">
      <c r="A1357" s="232" t="s">
        <v>4542</v>
      </c>
      <c r="B1357" s="464" t="s">
        <v>9644</v>
      </c>
      <c r="C1357" s="451" t="str">
        <f>IF(A1357="SERVIÇO",VLOOKUP(B1357,SERVIÇOS!$A$6:$D$7645,2,0),IF(A1357="INSUMO",VLOOKUP(B1357,INSUMOS!$A$6:$D$6961,2,0),IF(A1357="COTAÇÃO",VLOOKUP(B1357,'036-20-Cotação'!$A$9:$G$529,2,0))))</f>
        <v>GUINDASTE SOBRE RODAS COM CAPACIDADE DE 370 KN.M - 75 KW</v>
      </c>
      <c r="D1357" s="452" t="str">
        <f>IF(A1357="SERVIÇO",VLOOKUP(B1357,SERVIÇOS!$A$6:$E$7645,5,0),IF(A1357="INSUMO",VLOOKUP(B1357,INSUMOS!$A$6:$E$6961,5,0),IF(A1357="COTAÇÃO",VLOOKUP(B1357,'036-20-Cotação'!$A$9:$H$529,8,0))))</f>
        <v>EQUIP.</v>
      </c>
      <c r="E1357" s="452" t="str">
        <f>IF(A1357="SERVIÇO",VLOOKUP(B1357,SERVIÇOS!$A$6:$D$7645,3,0),IF(A1357="INSUMO",VLOOKUP(B1357,INSUMOS!$A$6:$D$6961,3,0),IF(A1357="COTAÇÃO",VLOOKUP(B1357,'036-20-Cotação'!$A$9:$G$529,4,0))))</f>
        <v>CHI</v>
      </c>
      <c r="F1357" s="462">
        <v>1.1000000000000001E-3</v>
      </c>
      <c r="G1357" s="453">
        <f>IF(A1357="SERVIÇO",VLOOKUP(B1357,SERVIÇOS!$A$6:$D$7645,4,0),IF(A1357="INSUMO",VLOOKUP(B1357,INSUMOS!$A$6:$D$6961,4,0),IF(A1357="COTAÇÃO",VLOOKUP(B1357,'036-20-Cotação'!$A$9:$G$529,3,0))))</f>
        <v>74.887100000000004</v>
      </c>
      <c r="H1357" s="463">
        <f t="shared" si="220"/>
        <v>8.2375810000000008E-2</v>
      </c>
      <c r="J1357" s="201"/>
    </row>
    <row r="1358" spans="1:17" s="87" customFormat="1" ht="12.75">
      <c r="A1358" s="188"/>
      <c r="B1358" s="348" t="s">
        <v>123</v>
      </c>
      <c r="C1358" s="695" t="s">
        <v>8558</v>
      </c>
      <c r="D1358" s="696"/>
      <c r="E1358" s="696"/>
      <c r="F1358" s="696"/>
      <c r="G1358" s="696"/>
      <c r="H1358" s="697"/>
      <c r="J1358" s="201"/>
      <c r="K1358" s="78"/>
      <c r="L1358" s="78"/>
      <c r="M1358" s="78"/>
      <c r="N1358" s="78"/>
      <c r="O1358" s="78"/>
      <c r="P1358" s="78"/>
      <c r="Q1358" s="78"/>
    </row>
    <row r="1359" spans="1:17" s="87" customFormat="1" ht="12.75">
      <c r="A1359" s="188"/>
      <c r="B1359" s="346"/>
      <c r="C1359" s="373"/>
      <c r="D1359" s="373"/>
      <c r="E1359" s="373"/>
      <c r="F1359" s="373"/>
      <c r="G1359" s="373"/>
      <c r="H1359" s="374"/>
      <c r="J1359" s="201"/>
      <c r="K1359" s="78"/>
      <c r="L1359" s="78"/>
      <c r="M1359" s="78"/>
      <c r="N1359" s="78"/>
      <c r="O1359" s="78"/>
      <c r="P1359" s="78"/>
      <c r="Q1359" s="78"/>
    </row>
    <row r="1360" spans="1:17" s="87" customFormat="1" ht="25.5">
      <c r="A1360" s="188"/>
      <c r="B1360" s="80" t="s">
        <v>6327</v>
      </c>
      <c r="C1360" s="81" t="s">
        <v>7600</v>
      </c>
      <c r="D1360" s="82" t="s">
        <v>84</v>
      </c>
      <c r="E1360" s="82" t="s">
        <v>5079</v>
      </c>
      <c r="F1360" s="83"/>
      <c r="G1360" s="84"/>
      <c r="H1360" s="85">
        <f>SUM(H1361:H1363)</f>
        <v>2193.3399400000003</v>
      </c>
      <c r="J1360" s="201"/>
      <c r="K1360" s="78"/>
      <c r="L1360" s="78"/>
      <c r="M1360" s="78"/>
      <c r="N1360" s="78"/>
      <c r="O1360" s="78"/>
      <c r="P1360" s="78"/>
      <c r="Q1360" s="78"/>
    </row>
    <row r="1361" spans="1:17" s="87" customFormat="1" ht="12.75">
      <c r="A1361" s="232" t="s">
        <v>4542</v>
      </c>
      <c r="B1361" s="464" t="s">
        <v>7597</v>
      </c>
      <c r="C1361" s="451" t="str">
        <f>IF(A1361="SERVIÇO",VLOOKUP(B1361,SERVIÇOS!$A$6:$D$7645,2,0),IF(A1361="INSUMO",VLOOKUP(B1361,INSUMOS!$A$6:$D$6961,2,0),IF(A1361="COTAÇÃO",VLOOKUP(B1361,'036-20-Cotação'!$A$9:$G$529,2,0))))</f>
        <v>PEDREIRO - MENSALISTA</v>
      </c>
      <c r="D1361" s="452" t="str">
        <f>IF(A1361="SERVIÇO",VLOOKUP(B1361,SERVIÇOS!$A$6:$E$7645,5,0),IF(A1361="INSUMO",VLOOKUP(B1361,INSUMOS!$A$6:$E$6961,5,0),IF(A1361="COTAÇÃO",VLOOKUP(B1361,'036-20-Cotação'!$A$9:$H$529,8,0))))</f>
        <v>M.O</v>
      </c>
      <c r="E1361" s="452" t="str">
        <f>IF(A1361="SERVIÇO",VLOOKUP(B1361,SERVIÇOS!$A$6:$D$7645,3,0),IF(A1361="INSUMO",VLOOKUP(B1361,INSUMOS!$A$6:$D$6961,3,0),IF(A1361="COTAÇÃO",VLOOKUP(B1361,'036-20-Cotação'!$A$9:$G$529,4,0))))</f>
        <v>MÊS</v>
      </c>
      <c r="F1361" s="462">
        <f>44/220</f>
        <v>0.2</v>
      </c>
      <c r="G1361" s="453">
        <f>IF(A1361="SERVIÇO",VLOOKUP(B1361,SERVIÇOS!$A$6:$D$7645,4,0),IF(A1361="INSUMO",VLOOKUP(B1361,INSUMOS!$A$6:$D$6961,4,0),IF(A1361="COTAÇÃO",VLOOKUP(B1361,'036-20-Cotação'!$A$9:$G$529,3,0))))</f>
        <v>3999.9641000000001</v>
      </c>
      <c r="H1361" s="463">
        <f t="shared" ref="H1361:H1363" si="221">G1361*F1361</f>
        <v>799.99282000000005</v>
      </c>
      <c r="J1361" s="201"/>
      <c r="K1361" s="87">
        <f>2*22</f>
        <v>44</v>
      </c>
    </row>
    <row r="1362" spans="1:17" s="87" customFormat="1" ht="12.75">
      <c r="A1362" s="232" t="s">
        <v>4542</v>
      </c>
      <c r="B1362" s="464" t="s">
        <v>7598</v>
      </c>
      <c r="C1362" s="451" t="str">
        <f>IF(A1362="SERVIÇO",VLOOKUP(B1362,SERVIÇOS!$A$6:$D$7645,2,0),IF(A1362="INSUMO",VLOOKUP(B1362,INSUMOS!$A$6:$D$6961,2,0),IF(A1362="COTAÇÃO",VLOOKUP(B1362,'036-20-Cotação'!$A$9:$G$529,2,0))))</f>
        <v>ELETRICISTA - MENSALISTA</v>
      </c>
      <c r="D1362" s="452" t="str">
        <f>IF(A1362="SERVIÇO",VLOOKUP(B1362,SERVIÇOS!$A$6:$E$7645,5,0),IF(A1362="INSUMO",VLOOKUP(B1362,INSUMOS!$A$6:$E$6961,5,0),IF(A1362="COTAÇÃO",VLOOKUP(B1362,'036-20-Cotação'!$A$9:$H$529,8,0))))</f>
        <v>M.O</v>
      </c>
      <c r="E1362" s="452" t="str">
        <f>IF(A1362="SERVIÇO",VLOOKUP(B1362,SERVIÇOS!$A$6:$D$7645,3,0),IF(A1362="INSUMO",VLOOKUP(B1362,INSUMOS!$A$6:$D$6961,3,0),IF(A1362="COTAÇÃO",VLOOKUP(B1362,'036-20-Cotação'!$A$9:$G$529,4,0))))</f>
        <v>MÊS</v>
      </c>
      <c r="F1362" s="462">
        <f t="shared" ref="F1362:F1363" si="222">44/220</f>
        <v>0.2</v>
      </c>
      <c r="G1362" s="453">
        <f>IF(A1362="SERVIÇO",VLOOKUP(B1362,SERVIÇOS!$A$6:$D$7645,4,0),IF(A1362="INSUMO",VLOOKUP(B1362,INSUMOS!$A$6:$D$6961,4,0),IF(A1362="COTAÇÃO",VLOOKUP(B1362,'036-20-Cotação'!$A$9:$G$529,3,0))))</f>
        <v>4070.7091999999998</v>
      </c>
      <c r="H1362" s="463">
        <f t="shared" si="221"/>
        <v>814.14184</v>
      </c>
      <c r="J1362" s="201"/>
      <c r="K1362" s="87">
        <f>K1361/220</f>
        <v>0.2</v>
      </c>
    </row>
    <row r="1363" spans="1:17" s="87" customFormat="1" ht="12.75">
      <c r="A1363" s="232" t="s">
        <v>4542</v>
      </c>
      <c r="B1363" s="464" t="s">
        <v>7599</v>
      </c>
      <c r="C1363" s="451" t="str">
        <f>IF(A1363="SERVIÇO",VLOOKUP(B1363,SERVIÇOS!$A$6:$D$7645,2,0),IF(A1363="INSUMO",VLOOKUP(B1363,INSUMOS!$A$6:$D$6961,2,0),IF(A1363="COTAÇÃO",VLOOKUP(B1363,'036-20-Cotação'!$A$9:$G$529,2,0))))</f>
        <v>SERVENTE - MENSALISTA</v>
      </c>
      <c r="D1363" s="452" t="str">
        <f>IF(A1363="SERVIÇO",VLOOKUP(B1363,SERVIÇOS!$A$6:$E$7645,5,0),IF(A1363="INSUMO",VLOOKUP(B1363,INSUMOS!$A$6:$E$6961,5,0),IF(A1363="COTAÇÃO",VLOOKUP(B1363,'036-20-Cotação'!$A$9:$H$529,8,0))))</f>
        <v>M.O</v>
      </c>
      <c r="E1363" s="452" t="str">
        <f>IF(A1363="SERVIÇO",VLOOKUP(B1363,SERVIÇOS!$A$6:$D$7645,3,0),IF(A1363="INSUMO",VLOOKUP(B1363,INSUMOS!$A$6:$D$6961,3,0),IF(A1363="COTAÇÃO",VLOOKUP(B1363,'036-20-Cotação'!$A$9:$G$529,4,0))))</f>
        <v>MÊS</v>
      </c>
      <c r="F1363" s="462">
        <f t="shared" si="222"/>
        <v>0.2</v>
      </c>
      <c r="G1363" s="453">
        <f>IF(A1363="SERVIÇO",VLOOKUP(B1363,SERVIÇOS!$A$6:$D$7645,4,0),IF(A1363="INSUMO",VLOOKUP(B1363,INSUMOS!$A$6:$D$6961,4,0),IF(A1363="COTAÇÃO",VLOOKUP(B1363,'036-20-Cotação'!$A$9:$G$529,3,0))))</f>
        <v>2896.0264000000002</v>
      </c>
      <c r="H1363" s="463">
        <f t="shared" si="221"/>
        <v>579.20528000000002</v>
      </c>
      <c r="J1363" s="201"/>
    </row>
    <row r="1364" spans="1:17" s="87" customFormat="1" ht="12.75">
      <c r="A1364" s="188"/>
      <c r="B1364" s="346"/>
      <c r="C1364" s="369"/>
      <c r="D1364" s="369"/>
      <c r="E1364" s="369"/>
      <c r="F1364" s="369"/>
      <c r="G1364" s="369"/>
      <c r="H1364" s="370"/>
      <c r="J1364" s="201"/>
      <c r="K1364" s="78"/>
      <c r="L1364" s="78"/>
      <c r="M1364" s="78"/>
      <c r="N1364" s="78"/>
      <c r="O1364" s="78"/>
      <c r="P1364" s="78"/>
      <c r="Q1364" s="78"/>
    </row>
    <row r="1365" spans="1:17" s="87" customFormat="1" ht="25.5">
      <c r="A1365" s="188"/>
      <c r="B1365" s="80" t="s">
        <v>6329</v>
      </c>
      <c r="C1365" s="81" t="s">
        <v>7623</v>
      </c>
      <c r="D1365" s="82" t="s">
        <v>84</v>
      </c>
      <c r="E1365" s="82" t="s">
        <v>5079</v>
      </c>
      <c r="F1365" s="83"/>
      <c r="G1365" s="84"/>
      <c r="H1365" s="85">
        <f>SUM(H1366:H1367)</f>
        <v>12438.28758</v>
      </c>
      <c r="J1365" s="201"/>
      <c r="K1365" s="78"/>
      <c r="L1365" s="78"/>
      <c r="M1365" s="78"/>
      <c r="N1365" s="78"/>
      <c r="O1365" s="78"/>
      <c r="P1365" s="78"/>
      <c r="Q1365" s="78"/>
    </row>
    <row r="1366" spans="1:17" s="87" customFormat="1" ht="12.75">
      <c r="A1366" s="232" t="s">
        <v>4542</v>
      </c>
      <c r="B1366" s="464" t="s">
        <v>6784</v>
      </c>
      <c r="C1366" s="451" t="str">
        <f>IF(A1366="SERVIÇO",VLOOKUP(B1366,SERVIÇOS!$A$6:$D$7645,2,0),IF(A1366="INSUMO",VLOOKUP(B1366,INSUMOS!$A$6:$D$6961,2,0),IF(A1366="COTAÇÃO",VLOOKUP(B1366,'036-20-Cotação'!$A$9:$G$529,2,0))))</f>
        <v>ENGENHEIRO</v>
      </c>
      <c r="D1366" s="452" t="str">
        <f>IF(A1366="SERVIÇO",VLOOKUP(B1366,SERVIÇOS!$A$6:$E$7645,5,0),IF(A1366="INSUMO",VLOOKUP(B1366,INSUMOS!$A$6:$E$6961,5,0),IF(A1366="COTAÇÃO",VLOOKUP(B1366,'036-20-Cotação'!$A$9:$H$529,8,0))))</f>
        <v>M.O</v>
      </c>
      <c r="E1366" s="452" t="str">
        <f>IF(A1366="SERVIÇO",VLOOKUP(B1366,SERVIÇOS!$A$6:$D$7645,3,0),IF(A1366="INSUMO",VLOOKUP(B1366,INSUMOS!$A$6:$D$6961,3,0),IF(A1366="COTAÇÃO",VLOOKUP(B1366,'036-20-Cotação'!$A$9:$G$529,4,0))))</f>
        <v>MÊS</v>
      </c>
      <c r="F1366" s="462">
        <v>0.4</v>
      </c>
      <c r="G1366" s="453">
        <f>IF(A1366="SERVIÇO",VLOOKUP(B1366,SERVIÇOS!$A$6:$D$7645,4,0),IF(A1366="INSUMO",VLOOKUP(B1366,INSUMOS!$A$6:$D$6961,4,0),IF(A1366="COTAÇÃO",VLOOKUP(B1366,'036-20-Cotação'!$A$9:$G$529,3,0))))</f>
        <v>21731.673900000002</v>
      </c>
      <c r="H1366" s="463">
        <f t="shared" ref="H1366:H1367" si="223">G1366*F1366</f>
        <v>8692.6695600000003</v>
      </c>
      <c r="J1366" s="201"/>
    </row>
    <row r="1367" spans="1:17" s="87" customFormat="1" ht="12.75">
      <c r="A1367" s="232" t="s">
        <v>4542</v>
      </c>
      <c r="B1367" s="464" t="s">
        <v>7624</v>
      </c>
      <c r="C1367" s="451" t="str">
        <f>IF(A1367="SERVIÇO",VLOOKUP(B1367,SERVIÇOS!$A$6:$D$7645,2,0),IF(A1367="INSUMO",VLOOKUP(B1367,INSUMOS!$A$6:$D$6961,2,0),IF(A1367="COTAÇÃO",VLOOKUP(B1367,'036-20-Cotação'!$A$9:$G$529,2,0))))</f>
        <v>TÉCNICO DE MEIO AMBIENTE</v>
      </c>
      <c r="D1367" s="452" t="str">
        <f>IF(A1367="SERVIÇO",VLOOKUP(B1367,SERVIÇOS!$A$6:$E$7645,5,0),IF(A1367="INSUMO",VLOOKUP(B1367,INSUMOS!$A$6:$E$6961,5,0),IF(A1367="COTAÇÃO",VLOOKUP(B1367,'036-20-Cotação'!$A$9:$H$529,8,0))))</f>
        <v>M.O</v>
      </c>
      <c r="E1367" s="452" t="str">
        <f>IF(A1367="SERVIÇO",VLOOKUP(B1367,SERVIÇOS!$A$6:$D$7645,3,0),IF(A1367="INSUMO",VLOOKUP(B1367,INSUMOS!$A$6:$D$6961,3,0),IF(A1367="COTAÇÃO",VLOOKUP(B1367,'036-20-Cotação'!$A$9:$G$529,4,0))))</f>
        <v>MÊS</v>
      </c>
      <c r="F1367" s="462">
        <v>0.6</v>
      </c>
      <c r="G1367" s="453">
        <f>IF(A1367="SERVIÇO",VLOOKUP(B1367,SERVIÇOS!$A$6:$D$7645,4,0),IF(A1367="INSUMO",VLOOKUP(B1367,INSUMOS!$A$6:$D$6961,4,0),IF(A1367="COTAÇÃO",VLOOKUP(B1367,'036-20-Cotação'!$A$9:$G$529,3,0))))</f>
        <v>6242.6967000000004</v>
      </c>
      <c r="H1367" s="463">
        <f t="shared" si="223"/>
        <v>3745.6180199999999</v>
      </c>
      <c r="J1367" s="201"/>
    </row>
    <row r="1368" spans="1:17" s="87" customFormat="1" ht="12.75">
      <c r="A1368" s="188"/>
      <c r="B1368" s="346"/>
      <c r="C1368" s="369"/>
      <c r="D1368" s="369"/>
      <c r="E1368" s="369"/>
      <c r="F1368" s="369"/>
      <c r="G1368" s="369"/>
      <c r="H1368" s="370"/>
      <c r="J1368" s="201"/>
      <c r="K1368" s="78"/>
      <c r="L1368" s="78"/>
      <c r="M1368" s="78"/>
      <c r="N1368" s="78"/>
      <c r="O1368" s="78"/>
      <c r="P1368" s="78"/>
      <c r="Q1368" s="78"/>
    </row>
    <row r="1369" spans="1:17" s="87" customFormat="1" ht="25.5">
      <c r="A1369" s="188"/>
      <c r="B1369" s="80" t="s">
        <v>7638</v>
      </c>
      <c r="C1369" s="81" t="s">
        <v>7639</v>
      </c>
      <c r="D1369" s="82" t="s">
        <v>84</v>
      </c>
      <c r="E1369" s="82" t="s">
        <v>5079</v>
      </c>
      <c r="F1369" s="83"/>
      <c r="G1369" s="84"/>
      <c r="H1369" s="85">
        <f>SUM(H1370:H1371)</f>
        <v>3666.9342899999997</v>
      </c>
      <c r="J1369" s="201"/>
      <c r="K1369" s="78"/>
      <c r="L1369" s="78"/>
      <c r="M1369" s="78"/>
      <c r="N1369" s="78"/>
      <c r="O1369" s="78"/>
      <c r="P1369" s="78"/>
      <c r="Q1369" s="78"/>
    </row>
    <row r="1370" spans="1:17" s="87" customFormat="1" ht="12.75">
      <c r="A1370" s="232" t="s">
        <v>4542</v>
      </c>
      <c r="B1370" s="464" t="s">
        <v>6615</v>
      </c>
      <c r="C1370" s="451" t="str">
        <f>IF(A1370="SERVIÇO",VLOOKUP(B1370,SERVIÇOS!$A$6:$D$7645,2,0),IF(A1370="INSUMO",VLOOKUP(B1370,INSUMOS!$A$6:$D$6961,2,0),IF(A1370="COTAÇÃO",VLOOKUP(B1370,'036-20-Cotação'!$A$9:$G$529,2,0))))</f>
        <v>TOPÓGRAFO</v>
      </c>
      <c r="D1370" s="452" t="str">
        <f>IF(A1370="SERVIÇO",VLOOKUP(B1370,SERVIÇOS!$A$6:$E$7645,5,0),IF(A1370="INSUMO",VLOOKUP(B1370,INSUMOS!$A$6:$E$6961,5,0),IF(A1370="COTAÇÃO",VLOOKUP(B1370,'036-20-Cotação'!$A$9:$H$529,8,0))))</f>
        <v>M.O</v>
      </c>
      <c r="E1370" s="452" t="str">
        <f>IF(A1370="SERVIÇO",VLOOKUP(B1370,SERVIÇOS!$A$6:$D$7645,3,0),IF(A1370="INSUMO",VLOOKUP(B1370,INSUMOS!$A$6:$D$6961,3,0),IF(A1370="COTAÇÃO",VLOOKUP(B1370,'036-20-Cotação'!$A$9:$G$529,4,0))))</f>
        <v>MÊS</v>
      </c>
      <c r="F1370" s="462">
        <v>0.3</v>
      </c>
      <c r="G1370" s="453">
        <f>IF(A1370="SERVIÇO",VLOOKUP(B1370,SERVIÇOS!$A$6:$D$7645,4,0),IF(A1370="INSUMO",VLOOKUP(B1370,INSUMOS!$A$6:$D$6961,4,0),IF(A1370="COTAÇÃO",VLOOKUP(B1370,'036-20-Cotação'!$A$9:$G$529,3,0))))</f>
        <v>5118.4363000000003</v>
      </c>
      <c r="H1370" s="463">
        <f t="shared" ref="H1370:H1371" si="224">G1370*F1370</f>
        <v>1535.53089</v>
      </c>
      <c r="J1370" s="201"/>
    </row>
    <row r="1371" spans="1:17" s="87" customFormat="1" ht="12.75">
      <c r="A1371" s="232" t="s">
        <v>4542</v>
      </c>
      <c r="B1371" s="464" t="s">
        <v>6616</v>
      </c>
      <c r="C1371" s="451" t="str">
        <f>IF(A1371="SERVIÇO",VLOOKUP(B1371,SERVIÇOS!$A$6:$D$7645,2,0),IF(A1371="INSUMO",VLOOKUP(B1371,INSUMOS!$A$6:$D$6961,2,0),IF(A1371="COTAÇÃO",VLOOKUP(B1371,'036-20-Cotação'!$A$9:$G$529,2,0))))</f>
        <v>AUXILIAR DE TOPOGRAFIA</v>
      </c>
      <c r="D1371" s="452" t="str">
        <f>IF(A1371="SERVIÇO",VLOOKUP(B1371,SERVIÇOS!$A$6:$E$7645,5,0),IF(A1371="INSUMO",VLOOKUP(B1371,INSUMOS!$A$6:$E$6961,5,0),IF(A1371="COTAÇÃO",VLOOKUP(B1371,'036-20-Cotação'!$A$9:$H$529,8,0))))</f>
        <v>M.O</v>
      </c>
      <c r="E1371" s="452" t="str">
        <f>IF(A1371="SERVIÇO",VLOOKUP(B1371,SERVIÇOS!$A$6:$D$7645,3,0),IF(A1371="INSUMO",VLOOKUP(B1371,INSUMOS!$A$6:$D$6961,3,0),IF(A1371="COTAÇÃO",VLOOKUP(B1371,'036-20-Cotação'!$A$9:$G$529,4,0))))</f>
        <v>MÊS</v>
      </c>
      <c r="F1371" s="462">
        <v>0.6</v>
      </c>
      <c r="G1371" s="453">
        <f>IF(A1371="SERVIÇO",VLOOKUP(B1371,SERVIÇOS!$A$6:$D$7645,4,0),IF(A1371="INSUMO",VLOOKUP(B1371,INSUMOS!$A$6:$D$6961,4,0),IF(A1371="COTAÇÃO",VLOOKUP(B1371,'036-20-Cotação'!$A$9:$G$529,3,0))))</f>
        <v>3552.3389999999999</v>
      </c>
      <c r="H1371" s="463">
        <f t="shared" si="224"/>
        <v>2131.4033999999997</v>
      </c>
      <c r="J1371" s="201"/>
    </row>
    <row r="1372" spans="1:17" s="87" customFormat="1" ht="12.75">
      <c r="A1372" s="188"/>
      <c r="B1372" s="346"/>
      <c r="C1372" s="369"/>
      <c r="D1372" s="369"/>
      <c r="E1372" s="369"/>
      <c r="F1372" s="369"/>
      <c r="G1372" s="369"/>
      <c r="H1372" s="370"/>
      <c r="J1372" s="201"/>
      <c r="K1372" s="78"/>
      <c r="L1372" s="78"/>
      <c r="M1372" s="78"/>
      <c r="N1372" s="78"/>
      <c r="O1372" s="78"/>
      <c r="P1372" s="78"/>
      <c r="Q1372" s="78"/>
    </row>
    <row r="1373" spans="1:17" s="87" customFormat="1" ht="25.5">
      <c r="A1373" s="188"/>
      <c r="B1373" s="80" t="s">
        <v>7643</v>
      </c>
      <c r="C1373" s="81" t="s">
        <v>7644</v>
      </c>
      <c r="D1373" s="82" t="s">
        <v>84</v>
      </c>
      <c r="E1373" s="82" t="s">
        <v>5079</v>
      </c>
      <c r="F1373" s="83"/>
      <c r="G1373" s="84"/>
      <c r="H1373" s="85">
        <f>SUM(H1374:H1375)</f>
        <v>2294.0928600000002</v>
      </c>
      <c r="J1373" s="201"/>
      <c r="K1373" s="78"/>
      <c r="L1373" s="78"/>
      <c r="M1373" s="78"/>
      <c r="N1373" s="78"/>
      <c r="O1373" s="78"/>
      <c r="P1373" s="78"/>
      <c r="Q1373" s="78"/>
    </row>
    <row r="1374" spans="1:17" s="87" customFormat="1" ht="13.9" customHeight="1">
      <c r="A1374" s="232" t="s">
        <v>4542</v>
      </c>
      <c r="B1374" s="464" t="s">
        <v>7645</v>
      </c>
      <c r="C1374" s="451" t="str">
        <f>IF(A1374="SERVIÇO",VLOOKUP(B1374,SERVIÇOS!$A$6:$D$7645,2,0),IF(A1374="INSUMO",VLOOKUP(B1374,INSUMOS!$A$6:$D$6961,2,0),IF(A1374="COTAÇÃO",VLOOKUP(B1374,'036-20-Cotação'!$A$9:$G$529,2,0))))</f>
        <v>AUXILIAR DE LABORATÓRIO</v>
      </c>
      <c r="D1374" s="452" t="str">
        <f>IF(A1374="SERVIÇO",VLOOKUP(B1374,SERVIÇOS!$A$6:$E$7645,5,0),IF(A1374="INSUMO",VLOOKUP(B1374,INSUMOS!$A$6:$E$6961,5,0),IF(A1374="COTAÇÃO",VLOOKUP(B1374,'036-20-Cotação'!$A$9:$H$529,8,0))))</f>
        <v>M.O</v>
      </c>
      <c r="E1374" s="452" t="str">
        <f>IF(A1374="SERVIÇO",VLOOKUP(B1374,SERVIÇOS!$A$6:$D$7645,3,0),IF(A1374="INSUMO",VLOOKUP(B1374,INSUMOS!$A$6:$D$6961,3,0),IF(A1374="COTAÇÃO",VLOOKUP(B1374,'036-20-Cotação'!$A$9:$G$529,4,0))))</f>
        <v>MÊS</v>
      </c>
      <c r="F1374" s="462">
        <v>0.4</v>
      </c>
      <c r="G1374" s="453">
        <f>IF(A1374="SERVIÇO",VLOOKUP(B1374,SERVIÇOS!$A$6:$D$7645,4,0),IF(A1374="INSUMO",VLOOKUP(B1374,INSUMOS!$A$6:$D$6961,4,0),IF(A1374="COTAÇÃO",VLOOKUP(B1374,'036-20-Cotação'!$A$9:$G$529,3,0))))</f>
        <v>3277.1741000000002</v>
      </c>
      <c r="H1374" s="463">
        <f t="shared" ref="H1374:H1375" si="225">G1374*F1374</f>
        <v>1310.8696400000001</v>
      </c>
      <c r="J1374" s="201"/>
    </row>
    <row r="1375" spans="1:17" s="87" customFormat="1" ht="12.75">
      <c r="A1375" s="232" t="s">
        <v>4542</v>
      </c>
      <c r="B1375" s="464" t="s">
        <v>7646</v>
      </c>
      <c r="C1375" s="451" t="str">
        <f>IF(A1375="SERVIÇO",VLOOKUP(B1375,SERVIÇOS!$A$6:$D$7645,2,0),IF(A1375="INSUMO",VLOOKUP(B1375,INSUMOS!$A$6:$D$6961,2,0),IF(A1375="COTAÇÃO",VLOOKUP(B1375,'036-20-Cotação'!$A$9:$G$529,2,0))))</f>
        <v>LABORATORISTA</v>
      </c>
      <c r="D1375" s="452" t="str">
        <f>IF(A1375="SERVIÇO",VLOOKUP(B1375,SERVIÇOS!$A$6:$E$7645,5,0),IF(A1375="INSUMO",VLOOKUP(B1375,INSUMOS!$A$6:$E$6961,5,0),IF(A1375="COTAÇÃO",VLOOKUP(B1375,'036-20-Cotação'!$A$9:$H$529,8,0))))</f>
        <v>M.O</v>
      </c>
      <c r="E1375" s="452" t="str">
        <f>IF(A1375="SERVIÇO",VLOOKUP(B1375,SERVIÇOS!$A$6:$D$7645,3,0),IF(A1375="INSUMO",VLOOKUP(B1375,INSUMOS!$A$6:$D$6961,3,0),IF(A1375="COTAÇÃO",VLOOKUP(B1375,'036-20-Cotação'!$A$9:$G$529,4,0))))</f>
        <v>MÊS</v>
      </c>
      <c r="F1375" s="462">
        <v>0.2</v>
      </c>
      <c r="G1375" s="453">
        <f>IF(A1375="SERVIÇO",VLOOKUP(B1375,SERVIÇOS!$A$6:$D$7645,4,0),IF(A1375="INSUMO",VLOOKUP(B1375,INSUMOS!$A$6:$D$6961,4,0),IF(A1375="COTAÇÃO",VLOOKUP(B1375,'036-20-Cotação'!$A$9:$G$529,3,0))))</f>
        <v>4916.1161000000002</v>
      </c>
      <c r="H1375" s="463">
        <f t="shared" si="225"/>
        <v>983.22322000000008</v>
      </c>
      <c r="J1375" s="201"/>
    </row>
    <row r="1376" spans="1:17" s="87" customFormat="1" ht="12.75">
      <c r="A1376" s="188"/>
      <c r="B1376" s="346"/>
      <c r="C1376" s="369"/>
      <c r="D1376" s="369"/>
      <c r="E1376" s="369"/>
      <c r="F1376" s="369"/>
      <c r="G1376" s="369"/>
      <c r="H1376" s="370"/>
      <c r="J1376" s="201"/>
      <c r="K1376" s="78"/>
      <c r="L1376" s="78"/>
      <c r="M1376" s="78"/>
      <c r="N1376" s="78"/>
      <c r="O1376" s="78"/>
      <c r="P1376" s="78"/>
      <c r="Q1376" s="78"/>
    </row>
    <row r="1377" spans="1:17" s="87" customFormat="1" ht="25.5">
      <c r="A1377" s="188"/>
      <c r="B1377" s="80" t="s">
        <v>7661</v>
      </c>
      <c r="C1377" s="81" t="s">
        <v>8495</v>
      </c>
      <c r="D1377" s="82" t="s">
        <v>84</v>
      </c>
      <c r="E1377" s="82" t="s">
        <v>5079</v>
      </c>
      <c r="F1377" s="83"/>
      <c r="G1377" s="84"/>
      <c r="H1377" s="85">
        <f>SUM(H1378:H1378)</f>
        <v>7265.9579999999996</v>
      </c>
      <c r="J1377" s="201"/>
      <c r="K1377" s="78"/>
      <c r="L1377" s="78"/>
      <c r="M1377" s="78"/>
      <c r="N1377" s="78"/>
      <c r="O1377" s="78"/>
      <c r="P1377" s="78"/>
      <c r="Q1377" s="78"/>
    </row>
    <row r="1378" spans="1:17" s="87" customFormat="1" ht="12.75">
      <c r="A1378" s="232" t="s">
        <v>4542</v>
      </c>
      <c r="B1378" s="464" t="s">
        <v>7662</v>
      </c>
      <c r="C1378" s="451" t="str">
        <f>IF(A1378="SERVIÇO",VLOOKUP(B1378,SERVIÇOS!$A$6:$D$7645,2,0),IF(A1378="INSUMO",VLOOKUP(B1378,INSUMOS!$A$6:$D$6961,2,0),IF(A1378="COTAÇÃO",VLOOKUP(B1378,'036-20-Cotação'!$A$9:$G$529,2,0))))</f>
        <v>VIGIA</v>
      </c>
      <c r="D1378" s="452" t="str">
        <f>IF(A1378="SERVIÇO",VLOOKUP(B1378,SERVIÇOS!$A$6:$E$7645,5,0),IF(A1378="INSUMO",VLOOKUP(B1378,INSUMOS!$A$6:$E$6961,5,0),IF(A1378="COTAÇÃO",VLOOKUP(B1378,'036-20-Cotação'!$A$9:$H$529,8,0))))</f>
        <v>M.O</v>
      </c>
      <c r="E1378" s="452" t="str">
        <f>IF(A1378="SERVIÇO",VLOOKUP(B1378,SERVIÇOS!$A$6:$D$7645,3,0),IF(A1378="INSUMO",VLOOKUP(B1378,INSUMOS!$A$6:$D$6961,3,0),IF(A1378="COTAÇÃO",VLOOKUP(B1378,'036-20-Cotação'!$A$9:$G$529,4,0))))</f>
        <v>MÊS</v>
      </c>
      <c r="F1378" s="462">
        <v>2</v>
      </c>
      <c r="G1378" s="453">
        <f>IF(A1378="SERVIÇO",VLOOKUP(B1378,SERVIÇOS!$A$6:$D$7645,4,0),IF(A1378="INSUMO",VLOOKUP(B1378,INSUMOS!$A$6:$D$6961,4,0),IF(A1378="COTAÇÃO",VLOOKUP(B1378,'036-20-Cotação'!$A$9:$G$529,3,0))))</f>
        <v>3632.9789999999998</v>
      </c>
      <c r="H1378" s="463">
        <f t="shared" ref="H1378" si="226">G1378*F1378</f>
        <v>7265.9579999999996</v>
      </c>
      <c r="J1378" s="201"/>
    </row>
    <row r="1379" spans="1:17" s="87" customFormat="1" ht="12.75">
      <c r="A1379" s="188"/>
      <c r="B1379" s="346"/>
      <c r="C1379" s="369"/>
      <c r="D1379" s="369"/>
      <c r="E1379" s="369"/>
      <c r="F1379" s="369"/>
      <c r="G1379" s="369"/>
      <c r="H1379" s="370"/>
      <c r="J1379" s="201"/>
      <c r="K1379" s="78"/>
      <c r="L1379" s="78"/>
      <c r="M1379" s="78"/>
      <c r="N1379" s="78"/>
      <c r="O1379" s="78"/>
      <c r="P1379" s="78"/>
      <c r="Q1379" s="78"/>
    </row>
    <row r="1380" spans="1:17" s="87" customFormat="1" ht="25.5">
      <c r="A1380" s="188"/>
      <c r="B1380" s="80" t="s">
        <v>7675</v>
      </c>
      <c r="C1380" s="81" t="s">
        <v>7676</v>
      </c>
      <c r="D1380" s="82" t="s">
        <v>84</v>
      </c>
      <c r="E1380" s="82" t="s">
        <v>5079</v>
      </c>
      <c r="F1380" s="83"/>
      <c r="G1380" s="84"/>
      <c r="H1380" s="85">
        <f>SUM(H1381:H1381)</f>
        <v>6502.9154716499997</v>
      </c>
      <c r="J1380" s="201"/>
      <c r="K1380" s="78"/>
      <c r="L1380" s="78"/>
      <c r="M1380" s="78"/>
      <c r="N1380" s="78"/>
      <c r="O1380" s="78"/>
      <c r="P1380" s="78"/>
      <c r="Q1380" s="78"/>
    </row>
    <row r="1381" spans="1:17" s="87" customFormat="1" ht="25.5">
      <c r="A1381" s="232" t="s">
        <v>4542</v>
      </c>
      <c r="B1381" s="464" t="s">
        <v>7677</v>
      </c>
      <c r="C1381" s="451" t="str">
        <f>IF(A1381="SERVIÇO",VLOOKUP(B1381,SERVIÇOS!$A$6:$D$7645,2,0),IF(A1381="INSUMO",VLOOKUP(B1381,INSUMOS!$A$6:$D$6961,2,0),IF(A1381="COTAÇÃO",VLOOKUP(B1381,'036-20-Cotação'!$A$9:$G$529,2,0))))</f>
        <v xml:space="preserve">DESPESAS DIVERSAS        </v>
      </c>
      <c r="D1381" s="452" t="str">
        <f>IF(A1381="SERVIÇO",VLOOKUP(B1381,SERVIÇOS!$A$6:$E$7645,5,0),IF(A1381="INSUMO",VLOOKUP(B1381,INSUMOS!$A$6:$E$6961,5,0),IF(A1381="COTAÇÃO",VLOOKUP(B1381,'036-20-Cotação'!$A$9:$H$529,8,0))))</f>
        <v>SER.CG</v>
      </c>
      <c r="E1381" s="452" t="str">
        <f>IF(A1381="SERVIÇO",VLOOKUP(B1381,SERVIÇOS!$A$6:$D$7645,3,0),IF(A1381="INSUMO",VLOOKUP(B1381,INSUMOS!$A$6:$D$6961,3,0),IF(A1381="COTAÇÃO",VLOOKUP(B1381,'036-20-Cotação'!$A$9:$G$529,4,0))))</f>
        <v>MÊS</v>
      </c>
      <c r="F1381" s="462">
        <v>1</v>
      </c>
      <c r="G1381" s="453">
        <f>IF(A1381="SERVIÇO",VLOOKUP(B1381,SERVIÇOS!$A$6:$D$7645,4,0),IF(A1381="INSUMO",VLOOKUP(B1381,INSUMOS!$A$6:$D$6961,4,0),IF(A1381="COTAÇÃO",VLOOKUP(B1381,'036-20-Cotação'!$A$9:$G$529,3,0))))</f>
        <v>6502.9154716499997</v>
      </c>
      <c r="H1381" s="463">
        <f t="shared" ref="H1381" si="227">G1381*F1381</f>
        <v>6502.9154716499997</v>
      </c>
      <c r="J1381" s="201"/>
    </row>
    <row r="1382" spans="1:17" s="87" customFormat="1" ht="12.75">
      <c r="A1382" s="188"/>
      <c r="B1382" s="348" t="s">
        <v>123</v>
      </c>
      <c r="C1382" s="695" t="s">
        <v>8508</v>
      </c>
      <c r="D1382" s="696"/>
      <c r="E1382" s="696"/>
      <c r="F1382" s="696"/>
      <c r="G1382" s="696"/>
      <c r="H1382" s="697"/>
      <c r="J1382" s="201"/>
      <c r="K1382" s="78"/>
      <c r="L1382" s="78"/>
      <c r="M1382" s="78"/>
      <c r="N1382" s="78"/>
      <c r="O1382" s="78"/>
      <c r="P1382" s="78"/>
      <c r="Q1382" s="78"/>
    </row>
    <row r="1383" spans="1:17" s="87" customFormat="1" ht="12.75">
      <c r="A1383" s="188"/>
      <c r="B1383" s="346"/>
      <c r="C1383" s="369"/>
      <c r="D1383" s="369"/>
      <c r="E1383" s="369"/>
      <c r="F1383" s="369"/>
      <c r="G1383" s="369"/>
      <c r="H1383" s="370"/>
      <c r="J1383" s="201"/>
      <c r="K1383" s="78"/>
      <c r="L1383" s="78"/>
      <c r="M1383" s="78"/>
      <c r="N1383" s="78"/>
      <c r="O1383" s="78"/>
      <c r="P1383" s="78"/>
      <c r="Q1383" s="78"/>
    </row>
    <row r="1384" spans="1:17" s="87" customFormat="1" ht="25.5">
      <c r="A1384" s="188"/>
      <c r="B1384" s="80" t="s">
        <v>7681</v>
      </c>
      <c r="C1384" s="81" t="s">
        <v>7682</v>
      </c>
      <c r="D1384" s="82" t="s">
        <v>84</v>
      </c>
      <c r="E1384" s="82" t="s">
        <v>5079</v>
      </c>
      <c r="F1384" s="83"/>
      <c r="G1384" s="84"/>
      <c r="H1384" s="85">
        <f>SUM(H1385:H1385)</f>
        <v>664.99</v>
      </c>
      <c r="J1384" s="201"/>
      <c r="K1384" s="78"/>
      <c r="L1384" s="78"/>
      <c r="M1384" s="78"/>
      <c r="N1384" s="78"/>
      <c r="O1384" s="78"/>
      <c r="P1384" s="78"/>
      <c r="Q1384" s="78"/>
    </row>
    <row r="1385" spans="1:17" s="87" customFormat="1" ht="25.5">
      <c r="A1385" s="232" t="s">
        <v>4542</v>
      </c>
      <c r="B1385" s="464" t="s">
        <v>7683</v>
      </c>
      <c r="C1385" s="451" t="str">
        <f>IF(A1385="SERVIÇO",VLOOKUP(B1385,SERVIÇOS!$A$6:$D$7645,2,0),IF(A1385="INSUMO",VLOOKUP(B1385,INSUMOS!$A$6:$D$6961,2,0),IF(A1385="COTAÇÃO",VLOOKUP(B1385,'036-20-Cotação'!$A$9:$G$529,2,0))))</f>
        <v xml:space="preserve">MOBILIÁRIO DO CANTEIRO DE OBRA                               </v>
      </c>
      <c r="D1385" s="452" t="str">
        <f>IF(A1385="SERVIÇO",VLOOKUP(B1385,SERVIÇOS!$A$6:$E$7645,5,0),IF(A1385="INSUMO",VLOOKUP(B1385,INSUMOS!$A$6:$E$6961,5,0),IF(A1385="COTAÇÃO",VLOOKUP(B1385,'036-20-Cotação'!$A$9:$H$529,8,0))))</f>
        <v>MAT.</v>
      </c>
      <c r="E1385" s="452" t="str">
        <f>IF(A1385="SERVIÇO",VLOOKUP(B1385,SERVIÇOS!$A$6:$D$7645,3,0),IF(A1385="INSUMO",VLOOKUP(B1385,INSUMOS!$A$6:$D$6961,3,0),IF(A1385="COTAÇÃO",VLOOKUP(B1385,'036-20-Cotação'!$A$9:$G$529,4,0))))</f>
        <v>MÊS</v>
      </c>
      <c r="F1385" s="462">
        <v>1</v>
      </c>
      <c r="G1385" s="453">
        <f>IF(A1385="SERVIÇO",VLOOKUP(B1385,SERVIÇOS!$A$6:$D$7645,4,0),IF(A1385="INSUMO",VLOOKUP(B1385,INSUMOS!$A$6:$D$6961,4,0),IF(A1385="COTAÇÃO",VLOOKUP(B1385,'036-20-Cotação'!$A$9:$G$529,3,0))))</f>
        <v>664.99</v>
      </c>
      <c r="H1385" s="463">
        <f t="shared" ref="H1385" si="228">G1385*F1385</f>
        <v>664.99</v>
      </c>
      <c r="J1385" s="201"/>
    </row>
    <row r="1386" spans="1:17" s="87" customFormat="1" ht="12.75">
      <c r="A1386" s="188"/>
      <c r="B1386" s="348" t="s">
        <v>123</v>
      </c>
      <c r="C1386" s="695" t="s">
        <v>26848</v>
      </c>
      <c r="D1386" s="696"/>
      <c r="E1386" s="696"/>
      <c r="F1386" s="696"/>
      <c r="G1386" s="696"/>
      <c r="H1386" s="697"/>
      <c r="J1386" s="201"/>
      <c r="K1386" s="78"/>
      <c r="L1386" s="78"/>
      <c r="M1386" s="78"/>
      <c r="N1386" s="78"/>
      <c r="O1386" s="78"/>
      <c r="P1386" s="78"/>
      <c r="Q1386" s="78"/>
    </row>
    <row r="1387" spans="1:17" s="87" customFormat="1" ht="12.75">
      <c r="A1387" s="188"/>
      <c r="B1387" s="346"/>
      <c r="C1387" s="369"/>
      <c r="D1387" s="369"/>
      <c r="E1387" s="369"/>
      <c r="F1387" s="369"/>
      <c r="G1387" s="369"/>
      <c r="H1387" s="370"/>
      <c r="J1387" s="201"/>
      <c r="K1387" s="78"/>
      <c r="L1387" s="78"/>
      <c r="M1387" s="78"/>
      <c r="N1387" s="78"/>
      <c r="O1387" s="78"/>
      <c r="P1387" s="78"/>
      <c r="Q1387" s="78"/>
    </row>
    <row r="1388" spans="1:17" s="87" customFormat="1" ht="25.5">
      <c r="A1388" s="188"/>
      <c r="B1388" s="80" t="s">
        <v>7689</v>
      </c>
      <c r="C1388" s="81" t="s">
        <v>7690</v>
      </c>
      <c r="D1388" s="82" t="s">
        <v>84</v>
      </c>
      <c r="E1388" s="82" t="s">
        <v>5079</v>
      </c>
      <c r="F1388" s="83"/>
      <c r="G1388" s="84"/>
      <c r="H1388" s="85">
        <f>SUM(H1389:H1390)</f>
        <v>6205.16</v>
      </c>
      <c r="J1388" s="201"/>
      <c r="K1388" s="78"/>
      <c r="L1388" s="78"/>
      <c r="M1388" s="78"/>
      <c r="N1388" s="78"/>
      <c r="O1388" s="78"/>
      <c r="P1388" s="78"/>
      <c r="Q1388" s="78"/>
    </row>
    <row r="1389" spans="1:17" s="87" customFormat="1" ht="25.5">
      <c r="A1389" s="232" t="s">
        <v>4542</v>
      </c>
      <c r="B1389" s="464" t="s">
        <v>7691</v>
      </c>
      <c r="C1389" s="451" t="str">
        <f>IF(A1389="SERVIÇO",VLOOKUP(B1389,SERVIÇOS!$A$6:$D$7645,2,0),IF(A1389="INSUMO",VLOOKUP(B1389,INSUMOS!$A$6:$D$6961,2,0),IF(A1389="COTAÇÃO",VLOOKUP(B1389,'036-20-Cotação'!$A$9:$G$529,2,0))))</f>
        <v xml:space="preserve">EQUIP. LABORATÓRIO DE CONCRETO       </v>
      </c>
      <c r="D1389" s="452" t="str">
        <f>IF(A1389="SERVIÇO",VLOOKUP(B1389,SERVIÇOS!$A$6:$E$7645,5,0),IF(A1389="INSUMO",VLOOKUP(B1389,INSUMOS!$A$6:$E$6961,5,0),IF(A1389="COTAÇÃO",VLOOKUP(B1389,'036-20-Cotação'!$A$9:$H$529,8,0))))</f>
        <v>SER.CG</v>
      </c>
      <c r="E1389" s="452" t="str">
        <f>IF(A1389="SERVIÇO",VLOOKUP(B1389,SERVIÇOS!$A$6:$D$7645,3,0),IF(A1389="INSUMO",VLOOKUP(B1389,INSUMOS!$A$6:$D$6961,3,0),IF(A1389="COTAÇÃO",VLOOKUP(B1389,'036-20-Cotação'!$A$9:$G$529,4,0))))</f>
        <v>MÊS</v>
      </c>
      <c r="F1389" s="462">
        <v>1</v>
      </c>
      <c r="G1389" s="453">
        <v>3102.58</v>
      </c>
      <c r="H1389" s="463">
        <f t="shared" ref="H1389" si="229">G1389*F1389</f>
        <v>3102.58</v>
      </c>
      <c r="J1389" s="201"/>
    </row>
    <row r="1390" spans="1:17" s="87" customFormat="1" ht="25.5">
      <c r="A1390" s="232" t="s">
        <v>4542</v>
      </c>
      <c r="B1390" s="464" t="s">
        <v>8507</v>
      </c>
      <c r="C1390" s="451" t="str">
        <f>IF(A1390="SERVIÇO",VLOOKUP(B1390,SERVIÇOS!$A$6:$D$7645,2,0),IF(A1390="INSUMO",VLOOKUP(B1390,INSUMOS!$A$6:$D$6961,2,0),IF(A1390="COTAÇÃO",VLOOKUP(B1390,'036-20-Cotação'!$A$9:$G$529,2,0))))</f>
        <v xml:space="preserve">EQUIP. LABORATÓRIO DE BETUME     </v>
      </c>
      <c r="D1390" s="452" t="str">
        <f>IF(A1390="SERVIÇO",VLOOKUP(B1390,SERVIÇOS!$A$6:$E$7645,5,0),IF(A1390="INSUMO",VLOOKUP(B1390,INSUMOS!$A$6:$E$6961,5,0),IF(A1390="COTAÇÃO",VLOOKUP(B1390,'036-20-Cotação'!$A$9:$H$529,8,0))))</f>
        <v>SER.CG</v>
      </c>
      <c r="E1390" s="452" t="str">
        <f>IF(A1390="SERVIÇO",VLOOKUP(B1390,SERVIÇOS!$A$6:$D$7645,3,0),IF(A1390="INSUMO",VLOOKUP(B1390,INSUMOS!$A$6:$D$6961,3,0),IF(A1390="COTAÇÃO",VLOOKUP(B1390,'036-20-Cotação'!$A$9:$G$529,4,0))))</f>
        <v>MÊS</v>
      </c>
      <c r="F1390" s="462">
        <v>1</v>
      </c>
      <c r="G1390" s="453">
        <v>3102.58</v>
      </c>
      <c r="H1390" s="463">
        <f t="shared" ref="H1390" si="230">G1390*F1390</f>
        <v>3102.58</v>
      </c>
      <c r="J1390" s="201"/>
    </row>
    <row r="1391" spans="1:17" s="87" customFormat="1" ht="12.75">
      <c r="A1391" s="188"/>
      <c r="B1391" s="348" t="s">
        <v>123</v>
      </c>
      <c r="C1391" s="695" t="s">
        <v>26848</v>
      </c>
      <c r="D1391" s="696"/>
      <c r="E1391" s="696"/>
      <c r="F1391" s="696"/>
      <c r="G1391" s="696"/>
      <c r="H1391" s="697"/>
      <c r="J1391" s="201"/>
      <c r="K1391" s="78"/>
      <c r="L1391" s="78"/>
      <c r="M1391" s="78"/>
      <c r="N1391" s="78"/>
      <c r="O1391" s="78"/>
      <c r="P1391" s="78"/>
      <c r="Q1391" s="78"/>
    </row>
    <row r="1392" spans="1:17" s="87" customFormat="1" ht="12.75">
      <c r="A1392" s="188"/>
      <c r="B1392" s="346"/>
      <c r="C1392" s="369"/>
      <c r="D1392" s="369"/>
      <c r="E1392" s="369"/>
      <c r="F1392" s="369"/>
      <c r="G1392" s="369"/>
      <c r="H1392" s="370"/>
      <c r="J1392" s="201"/>
      <c r="K1392" s="78"/>
      <c r="L1392" s="78"/>
      <c r="M1392" s="78"/>
      <c r="N1392" s="78"/>
      <c r="O1392" s="78"/>
      <c r="P1392" s="78"/>
      <c r="Q1392" s="78"/>
    </row>
    <row r="1393" spans="1:17" s="87" customFormat="1" ht="25.5">
      <c r="A1393" s="188"/>
      <c r="B1393" s="80" t="s">
        <v>7695</v>
      </c>
      <c r="C1393" s="81" t="s">
        <v>7696</v>
      </c>
      <c r="D1393" s="82" t="s">
        <v>84</v>
      </c>
      <c r="E1393" s="82" t="s">
        <v>5079</v>
      </c>
      <c r="F1393" s="83"/>
      <c r="G1393" s="84"/>
      <c r="H1393" s="85">
        <f>SUM(H1394:H1397)</f>
        <v>5093.4416000000001</v>
      </c>
      <c r="J1393" s="201"/>
      <c r="K1393" s="78"/>
      <c r="L1393" s="78"/>
      <c r="M1393" s="78"/>
      <c r="N1393" s="78"/>
      <c r="O1393" s="78"/>
      <c r="P1393" s="78"/>
      <c r="Q1393" s="78"/>
    </row>
    <row r="1394" spans="1:17" s="87" customFormat="1" ht="25.5">
      <c r="A1394" s="232" t="s">
        <v>4542</v>
      </c>
      <c r="B1394" s="464" t="s">
        <v>8808</v>
      </c>
      <c r="C1394" s="451" t="str">
        <f>IF(A1394="SERVIÇO",VLOOKUP(B1394,SERVIÇOS!$A$6:$D$7645,2,0),IF(A1394="INSUMO",VLOOKUP(B1394,INSUMOS!$A$6:$D$6961,2,0),IF(A1394="COTAÇÃO",VLOOKUP(B1394,'036-20-Cotação'!$A$9:$G$529,2,0))))</f>
        <v>EMPILHADEIRA A DIESEL COM CAPACIDADE DE 10 T - 100 KW</v>
      </c>
      <c r="D1394" s="452" t="str">
        <f>IF(A1394="SERVIÇO",VLOOKUP(B1394,SERVIÇOS!$A$6:$E$7645,5,0),IF(A1394="INSUMO",VLOOKUP(B1394,INSUMOS!$A$6:$E$6961,5,0),IF(A1394="COTAÇÃO",VLOOKUP(B1394,'036-20-Cotação'!$A$9:$H$529,8,0))))</f>
        <v>EQUIP.</v>
      </c>
      <c r="E1394" s="452" t="str">
        <f>IF(A1394="SERVIÇO",VLOOKUP(B1394,SERVIÇOS!$A$6:$D$7645,3,0),IF(A1394="INSUMO",VLOOKUP(B1394,INSUMOS!$A$6:$D$6961,3,0),IF(A1394="COTAÇÃO",VLOOKUP(B1394,'036-20-Cotação'!$A$9:$G$529,4,0))))</f>
        <v>CHP</v>
      </c>
      <c r="F1394" s="462">
        <v>16</v>
      </c>
      <c r="G1394" s="453">
        <f>IF(A1394="SERVIÇO",VLOOKUP(B1394,SERVIÇOS!$A$6:$D$7645,4,0),IF(A1394="INSUMO",VLOOKUP(B1394,INSUMOS!$A$6:$D$6961,4,0),IF(A1394="COTAÇÃO",VLOOKUP(B1394,'036-20-Cotação'!$A$9:$G$529,3,0))))</f>
        <v>138.23480000000001</v>
      </c>
      <c r="H1394" s="463">
        <f t="shared" ref="H1394:H1397" si="231">G1394*F1394</f>
        <v>2211.7568000000001</v>
      </c>
      <c r="J1394" s="201"/>
    </row>
    <row r="1395" spans="1:17" s="87" customFormat="1" ht="25.5">
      <c r="A1395" s="232" t="s">
        <v>4542</v>
      </c>
      <c r="B1395" s="464" t="s">
        <v>9460</v>
      </c>
      <c r="C1395" s="451" t="str">
        <f>IF(A1395="SERVIÇO",VLOOKUP(B1395,SERVIÇOS!$A$6:$D$7645,2,0),IF(A1395="INSUMO",VLOOKUP(B1395,INSUMOS!$A$6:$D$6961,2,0),IF(A1395="COTAÇÃO",VLOOKUP(B1395,'036-20-Cotação'!$A$9:$G$529,2,0))))</f>
        <v>CAMINHÃO BASCULANTE COM CAPACIDADE DE 6 M³ - 136 KW</v>
      </c>
      <c r="D1395" s="452" t="str">
        <f>IF(A1395="SERVIÇO",VLOOKUP(B1395,SERVIÇOS!$A$6:$E$7645,5,0),IF(A1395="INSUMO",VLOOKUP(B1395,INSUMOS!$A$6:$E$6961,5,0),IF(A1395="COTAÇÃO",VLOOKUP(B1395,'036-20-Cotação'!$A$9:$H$529,8,0))))</f>
        <v>EQUIP.</v>
      </c>
      <c r="E1395" s="452" t="str">
        <f>IF(A1395="SERVIÇO",VLOOKUP(B1395,SERVIÇOS!$A$6:$D$7645,3,0),IF(A1395="INSUMO",VLOOKUP(B1395,INSUMOS!$A$6:$D$6961,3,0),IF(A1395="COTAÇÃO",VLOOKUP(B1395,'036-20-Cotação'!$A$9:$G$529,4,0))))</f>
        <v>CHP</v>
      </c>
      <c r="F1395" s="462">
        <v>6</v>
      </c>
      <c r="G1395" s="453">
        <f>IF(A1395="SERVIÇO",VLOOKUP(B1395,SERVIÇOS!$A$6:$D$7645,4,0),IF(A1395="INSUMO",VLOOKUP(B1395,INSUMOS!$A$6:$D$6961,4,0),IF(A1395="COTAÇÃO",VLOOKUP(B1395,'036-20-Cotação'!$A$9:$G$529,3,0))))</f>
        <v>110.92149999999999</v>
      </c>
      <c r="H1395" s="463">
        <f t="shared" si="231"/>
        <v>665.529</v>
      </c>
      <c r="J1395" s="201"/>
    </row>
    <row r="1396" spans="1:17" s="87" customFormat="1" ht="25.5">
      <c r="A1396" s="232" t="s">
        <v>4542</v>
      </c>
      <c r="B1396" s="464" t="s">
        <v>9091</v>
      </c>
      <c r="C1396" s="451" t="str">
        <f>IF(A1396="SERVIÇO",VLOOKUP(B1396,SERVIÇOS!$A$6:$D$7645,2,0),IF(A1396="INSUMO",VLOOKUP(B1396,INSUMOS!$A$6:$D$6961,2,0),IF(A1396="COTAÇÃO",VLOOKUP(B1396,'036-20-Cotação'!$A$9:$G$529,2,0))))</f>
        <v>CARREGADEIRA DE PNEUS COM CAPACIDADE DE 1,53 M³ - 106 KW</v>
      </c>
      <c r="D1396" s="452" t="str">
        <f>IF(A1396="SERVIÇO",VLOOKUP(B1396,SERVIÇOS!$A$6:$E$7645,5,0),IF(A1396="INSUMO",VLOOKUP(B1396,INSUMOS!$A$6:$E$6961,5,0),IF(A1396="COTAÇÃO",VLOOKUP(B1396,'036-20-Cotação'!$A$9:$H$529,8,0))))</f>
        <v>EQUIP.</v>
      </c>
      <c r="E1396" s="452" t="str">
        <f>IF(A1396="SERVIÇO",VLOOKUP(B1396,SERVIÇOS!$A$6:$D$7645,3,0),IF(A1396="INSUMO",VLOOKUP(B1396,INSUMOS!$A$6:$D$6961,3,0),IF(A1396="COTAÇÃO",VLOOKUP(B1396,'036-20-Cotação'!$A$9:$G$529,4,0))))</f>
        <v>CHP</v>
      </c>
      <c r="F1396" s="462">
        <v>12</v>
      </c>
      <c r="G1396" s="453">
        <f>IF(A1396="SERVIÇO",VLOOKUP(B1396,SERVIÇOS!$A$6:$D$7645,4,0),IF(A1396="INSUMO",VLOOKUP(B1396,INSUMOS!$A$6:$D$6961,4,0),IF(A1396="COTAÇÃO",VLOOKUP(B1396,'036-20-Cotação'!$A$9:$G$529,3,0))))</f>
        <v>105.7415</v>
      </c>
      <c r="H1396" s="463">
        <f t="shared" si="231"/>
        <v>1268.8980000000001</v>
      </c>
      <c r="J1396" s="201"/>
    </row>
    <row r="1397" spans="1:17" s="87" customFormat="1" ht="25.5">
      <c r="A1397" s="232" t="s">
        <v>4542</v>
      </c>
      <c r="B1397" s="464" t="s">
        <v>9543</v>
      </c>
      <c r="C1397" s="451" t="str">
        <f>IF(A1397="SERVIÇO",VLOOKUP(B1397,SERVIÇOS!$A$6:$D$7645,2,0),IF(A1397="INSUMO",VLOOKUP(B1397,INSUMOS!$A$6:$D$6961,2,0),IF(A1397="COTAÇÃO",VLOOKUP(B1397,'036-20-Cotação'!$A$9:$G$529,2,0))))</f>
        <v>CAMINHÃO TANQUE COM CAPACIDADE DE 8.000 L - 136 KW</v>
      </c>
      <c r="D1397" s="452" t="str">
        <f>IF(A1397="SERVIÇO",VLOOKUP(B1397,SERVIÇOS!$A$6:$E$7645,5,0),IF(A1397="INSUMO",VLOOKUP(B1397,INSUMOS!$A$6:$E$6961,5,0),IF(A1397="COTAÇÃO",VLOOKUP(B1397,'036-20-Cotação'!$A$9:$H$529,8,0))))</f>
        <v>EQUIP.</v>
      </c>
      <c r="E1397" s="452" t="str">
        <f>IF(A1397="SERVIÇO",VLOOKUP(B1397,SERVIÇOS!$A$6:$D$7645,3,0),IF(A1397="INSUMO",VLOOKUP(B1397,INSUMOS!$A$6:$D$6961,3,0),IF(A1397="COTAÇÃO",VLOOKUP(B1397,'036-20-Cotação'!$A$9:$G$529,4,0))))</f>
        <v>CHP</v>
      </c>
      <c r="F1397" s="462">
        <v>6</v>
      </c>
      <c r="G1397" s="453">
        <f>IF(A1397="SERVIÇO",VLOOKUP(B1397,SERVIÇOS!$A$6:$D$7645,4,0),IF(A1397="INSUMO",VLOOKUP(B1397,INSUMOS!$A$6:$D$6961,4,0),IF(A1397="COTAÇÃO",VLOOKUP(B1397,'036-20-Cotação'!$A$9:$G$529,3,0))))</f>
        <v>157.87629999999999</v>
      </c>
      <c r="H1397" s="463">
        <f t="shared" si="231"/>
        <v>947.25779999999986</v>
      </c>
      <c r="J1397" s="201"/>
    </row>
    <row r="1398" spans="1:17" s="87" customFormat="1" ht="12.75">
      <c r="A1398" s="188"/>
      <c r="B1398" s="346"/>
      <c r="C1398" s="412"/>
      <c r="D1398" s="412"/>
      <c r="E1398" s="412"/>
      <c r="F1398" s="412"/>
      <c r="G1398" s="412"/>
      <c r="H1398" s="413"/>
      <c r="J1398" s="201"/>
      <c r="K1398" s="78"/>
      <c r="L1398" s="78"/>
      <c r="M1398" s="78"/>
      <c r="N1398" s="78"/>
      <c r="O1398" s="78"/>
      <c r="P1398" s="78"/>
      <c r="Q1398" s="78"/>
    </row>
    <row r="1399" spans="1:17" s="87" customFormat="1" ht="25.5">
      <c r="A1399" s="188"/>
      <c r="B1399" s="80" t="s">
        <v>7697</v>
      </c>
      <c r="C1399" s="81" t="s">
        <v>8490</v>
      </c>
      <c r="D1399" s="82" t="s">
        <v>84</v>
      </c>
      <c r="E1399" s="82" t="s">
        <v>5079</v>
      </c>
      <c r="F1399" s="83"/>
      <c r="G1399" s="84"/>
      <c r="H1399" s="85">
        <f>SUM(H1400:H1400)</f>
        <v>1641.4340400000001</v>
      </c>
      <c r="J1399" s="201"/>
      <c r="K1399" s="78"/>
      <c r="L1399" s="78"/>
      <c r="M1399" s="78"/>
      <c r="N1399" s="78"/>
      <c r="O1399" s="78"/>
      <c r="P1399" s="78"/>
      <c r="Q1399" s="78"/>
    </row>
    <row r="1400" spans="1:17" s="87" customFormat="1" ht="12.75">
      <c r="A1400" s="232" t="s">
        <v>4542</v>
      </c>
      <c r="B1400" s="464" t="s">
        <v>7612</v>
      </c>
      <c r="C1400" s="451" t="str">
        <f>IF(A1400="SERVIÇO",VLOOKUP(B1400,SERVIÇOS!$A$6:$D$7645,2,0),IF(A1400="INSUMO",VLOOKUP(B1400,INSUMOS!$A$6:$D$6961,2,0),IF(A1400="COTAÇÃO",VLOOKUP(B1400,'036-20-Cotação'!$A$9:$G$529,2,0))))</f>
        <v>MOTORISTA DE VEÍCULO LEVE - MENSALISTA</v>
      </c>
      <c r="D1400" s="452" t="str">
        <f>IF(A1400="SERVIÇO",VLOOKUP(B1400,SERVIÇOS!$A$6:$E$7645,5,0),IF(A1400="INSUMO",VLOOKUP(B1400,INSUMOS!$A$6:$E$6961,5,0),IF(A1400="COTAÇÃO",VLOOKUP(B1400,'036-20-Cotação'!$A$9:$H$529,8,0))))</f>
        <v>M.O</v>
      </c>
      <c r="E1400" s="452" t="str">
        <f>IF(A1400="SERVIÇO",VLOOKUP(B1400,SERVIÇOS!$A$6:$D$7645,3,0),IF(A1400="INSUMO",VLOOKUP(B1400,INSUMOS!$A$6:$D$6961,3,0),IF(A1400="COTAÇÃO",VLOOKUP(B1400,'036-20-Cotação'!$A$9:$G$529,4,0))))</f>
        <v>MÊS</v>
      </c>
      <c r="F1400" s="462">
        <v>0.4</v>
      </c>
      <c r="G1400" s="453">
        <f>IF(A1400="SERVIÇO",VLOOKUP(B1400,SERVIÇOS!$A$6:$D$7645,4,0),IF(A1400="INSUMO",VLOOKUP(B1400,INSUMOS!$A$6:$D$6961,4,0),IF(A1400="COTAÇÃO",VLOOKUP(B1400,'036-20-Cotação'!$A$9:$G$529,3,0))))</f>
        <v>4103.5851000000002</v>
      </c>
      <c r="H1400" s="463">
        <f t="shared" ref="H1400" si="232">G1400*F1400</f>
        <v>1641.4340400000001</v>
      </c>
      <c r="J1400" s="201"/>
    </row>
    <row r="1401" spans="1:17" s="87" customFormat="1" ht="12.75">
      <c r="A1401" s="188"/>
      <c r="B1401" s="346"/>
      <c r="C1401" s="369"/>
      <c r="D1401" s="369"/>
      <c r="E1401" s="369"/>
      <c r="F1401" s="369"/>
      <c r="G1401" s="369"/>
      <c r="H1401" s="370"/>
      <c r="J1401" s="201"/>
      <c r="K1401" s="78"/>
      <c r="L1401" s="78"/>
      <c r="M1401" s="78"/>
      <c r="N1401" s="78"/>
      <c r="O1401" s="78"/>
      <c r="P1401" s="78"/>
      <c r="Q1401" s="78"/>
    </row>
    <row r="1402" spans="1:17" s="87" customFormat="1" ht="25.5">
      <c r="A1402" s="188"/>
      <c r="B1402" s="80" t="s">
        <v>7702</v>
      </c>
      <c r="C1402" s="81" t="s">
        <v>7705</v>
      </c>
      <c r="D1402" s="82" t="s">
        <v>84</v>
      </c>
      <c r="E1402" s="82" t="s">
        <v>5079</v>
      </c>
      <c r="F1402" s="83"/>
      <c r="G1402" s="84"/>
      <c r="H1402" s="85">
        <f>SUM(H1403:H1403)</f>
        <v>1826.25</v>
      </c>
      <c r="J1402" s="201"/>
      <c r="K1402" s="78"/>
      <c r="L1402" s="78"/>
      <c r="M1402" s="78"/>
      <c r="N1402" s="78"/>
      <c r="O1402" s="78"/>
      <c r="P1402" s="78"/>
      <c r="Q1402" s="78"/>
    </row>
    <row r="1403" spans="1:17" s="87" customFormat="1" ht="25.5">
      <c r="A1403" s="232" t="s">
        <v>4542</v>
      </c>
      <c r="B1403" s="464" t="s">
        <v>7704</v>
      </c>
      <c r="C1403" s="451" t="str">
        <f>IF(A1403="SERVIÇO",VLOOKUP(B1403,SERVIÇOS!$A$6:$D$7645,2,0),IF(A1403="INSUMO",VLOOKUP(B1403,INSUMOS!$A$6:$D$6961,2,0),IF(A1403="COTAÇÃO",VLOOKUP(B1403,'036-20-Cotação'!$A$9:$G$529,2,0))))</f>
        <v xml:space="preserve">INSTRUMENTAL DE TOPOGRAFIA        </v>
      </c>
      <c r="D1403" s="452" t="str">
        <f>IF(A1403="SERVIÇO",VLOOKUP(B1403,SERVIÇOS!$A$6:$E$7645,5,0),IF(A1403="INSUMO",VLOOKUP(B1403,INSUMOS!$A$6:$E$6961,5,0),IF(A1403="COTAÇÃO",VLOOKUP(B1403,'036-20-Cotação'!$A$9:$H$529,8,0))))</f>
        <v>SER.CG</v>
      </c>
      <c r="E1403" s="452" t="str">
        <f>IF(A1403="SERVIÇO",VLOOKUP(B1403,SERVIÇOS!$A$6:$D$7645,3,0),IF(A1403="INSUMO",VLOOKUP(B1403,INSUMOS!$A$6:$D$6961,3,0),IF(A1403="COTAÇÃO",VLOOKUP(B1403,'036-20-Cotação'!$A$9:$G$529,4,0))))</f>
        <v>MÊS</v>
      </c>
      <c r="F1403" s="462">
        <v>1</v>
      </c>
      <c r="G1403" s="453">
        <f>IF(A1403="SERVIÇO",VLOOKUP(B1403,SERVIÇOS!$A$6:$D$7645,4,0),IF(A1403="INSUMO",VLOOKUP(B1403,INSUMOS!$A$6:$D$6961,4,0),IF(A1403="COTAÇÃO",VLOOKUP(B1403,'036-20-Cotação'!$A$9:$G$529,3,0))))</f>
        <v>1826.25</v>
      </c>
      <c r="H1403" s="463">
        <f t="shared" ref="H1403" si="233">G1403*F1403</f>
        <v>1826.25</v>
      </c>
      <c r="J1403" s="201" t="s">
        <v>8502</v>
      </c>
    </row>
    <row r="1404" spans="1:17" s="87" customFormat="1" ht="12.75">
      <c r="A1404" s="188"/>
      <c r="B1404" s="348" t="s">
        <v>123</v>
      </c>
      <c r="C1404" s="695" t="s">
        <v>26848</v>
      </c>
      <c r="D1404" s="696"/>
      <c r="E1404" s="696"/>
      <c r="F1404" s="696"/>
      <c r="G1404" s="696"/>
      <c r="H1404" s="697"/>
      <c r="J1404" s="201"/>
      <c r="K1404" s="78"/>
      <c r="L1404" s="78"/>
      <c r="M1404" s="78"/>
      <c r="N1404" s="78"/>
      <c r="O1404" s="78"/>
      <c r="P1404" s="78"/>
      <c r="Q1404" s="78"/>
    </row>
    <row r="1405" spans="1:17" s="87" customFormat="1" ht="12.75">
      <c r="A1405" s="188"/>
      <c r="B1405" s="346"/>
      <c r="C1405" s="369"/>
      <c r="D1405" s="369"/>
      <c r="E1405" s="369"/>
      <c r="F1405" s="369"/>
      <c r="G1405" s="369"/>
      <c r="H1405" s="370"/>
      <c r="J1405" s="201"/>
      <c r="K1405" s="78"/>
      <c r="L1405" s="78"/>
      <c r="M1405" s="78"/>
      <c r="N1405" s="78"/>
      <c r="O1405" s="78"/>
      <c r="P1405" s="78"/>
      <c r="Q1405" s="78"/>
    </row>
    <row r="1406" spans="1:17" s="87" customFormat="1" ht="25.5">
      <c r="A1406" s="188"/>
      <c r="B1406" s="80" t="s">
        <v>7711</v>
      </c>
      <c r="C1406" s="81" t="s">
        <v>7712</v>
      </c>
      <c r="D1406" s="82" t="s">
        <v>84</v>
      </c>
      <c r="E1406" s="82" t="s">
        <v>5079</v>
      </c>
      <c r="F1406" s="83"/>
      <c r="G1406" s="84"/>
      <c r="H1406" s="85">
        <f>SUM(H1407:H1408)</f>
        <v>3882.1119999999996</v>
      </c>
      <c r="J1406" s="201"/>
      <c r="K1406" s="78"/>
      <c r="L1406" s="78"/>
      <c r="M1406" s="78"/>
      <c r="N1406" s="78"/>
      <c r="O1406" s="78"/>
      <c r="P1406" s="78"/>
      <c r="Q1406" s="78"/>
    </row>
    <row r="1407" spans="1:17" s="87" customFormat="1" ht="12.75">
      <c r="A1407" s="232" t="s">
        <v>4542</v>
      </c>
      <c r="B1407" s="464" t="s">
        <v>8881</v>
      </c>
      <c r="C1407" s="451" t="str">
        <f>IF(A1407="SERVIÇO",VLOOKUP(B1407,SERVIÇOS!$A$6:$D$7645,2,0),IF(A1407="INSUMO",VLOOKUP(B1407,INSUMOS!$A$6:$D$6961,2,0),IF(A1407="COTAÇÃO",VLOOKUP(B1407,'036-20-Cotação'!$A$9:$G$529,2,0))))</f>
        <v>VEÍCULO LEVE - 53 KW (SEM MOTORISTA)</v>
      </c>
      <c r="D1407" s="452" t="str">
        <f>IF(A1407="SERVIÇO",VLOOKUP(B1407,SERVIÇOS!$A$6:$E$7645,5,0),IF(A1407="INSUMO",VLOOKUP(B1407,INSUMOS!$A$6:$E$6961,5,0),IF(A1407="COTAÇÃO",VLOOKUP(B1407,'036-20-Cotação'!$A$9:$H$529,8,0))))</f>
        <v>EQUIP.</v>
      </c>
      <c r="E1407" s="452" t="str">
        <f>IF(A1407="SERVIÇO",VLOOKUP(B1407,SERVIÇOS!$A$6:$D$7645,3,0),IF(A1407="INSUMO",VLOOKUP(B1407,INSUMOS!$A$6:$D$6961,3,0),IF(A1407="COTAÇÃO",VLOOKUP(B1407,'036-20-Cotação'!$A$9:$G$529,4,0))))</f>
        <v>CHP</v>
      </c>
      <c r="F1407" s="462">
        <v>40</v>
      </c>
      <c r="G1407" s="453">
        <f>IF(A1407="SERVIÇO",VLOOKUP(B1407,SERVIÇOS!$A$6:$D$7645,4,0),IF(A1407="INSUMO",VLOOKUP(B1407,INSUMOS!$A$6:$D$6961,4,0),IF(A1407="COTAÇÃO",VLOOKUP(B1407,'036-20-Cotação'!$A$9:$G$529,3,0))))</f>
        <v>26.6523</v>
      </c>
      <c r="H1407" s="463">
        <f t="shared" ref="H1407:H1408" si="234">G1407*F1407</f>
        <v>1066.0920000000001</v>
      </c>
      <c r="J1407" s="201"/>
    </row>
    <row r="1408" spans="1:17" s="87" customFormat="1" ht="12.75">
      <c r="A1408" s="232" t="s">
        <v>4542</v>
      </c>
      <c r="B1408" s="464" t="s">
        <v>9231</v>
      </c>
      <c r="C1408" s="451" t="str">
        <f>IF(A1408="SERVIÇO",VLOOKUP(B1408,SERVIÇOS!$A$6:$D$7645,2,0),IF(A1408="INSUMO",VLOOKUP(B1408,INSUMOS!$A$6:$D$6961,2,0),IF(A1408="COTAÇÃO",VLOOKUP(B1408,'036-20-Cotação'!$A$9:$G$529,2,0))))</f>
        <v>VEÍCULO LEVE PICK UP 4 X 4 - 147 KW</v>
      </c>
      <c r="D1408" s="452" t="str">
        <f>IF(A1408="SERVIÇO",VLOOKUP(B1408,SERVIÇOS!$A$6:$E$7645,5,0),IF(A1408="INSUMO",VLOOKUP(B1408,INSUMOS!$A$6:$E$6961,5,0),IF(A1408="COTAÇÃO",VLOOKUP(B1408,'036-20-Cotação'!$A$9:$H$529,8,0))))</f>
        <v>EQUIP.</v>
      </c>
      <c r="E1408" s="452" t="str">
        <f>IF(A1408="SERVIÇO",VLOOKUP(B1408,SERVIÇOS!$A$6:$D$7645,3,0),IF(A1408="INSUMO",VLOOKUP(B1408,INSUMOS!$A$6:$D$6961,3,0),IF(A1408="COTAÇÃO",VLOOKUP(B1408,'036-20-Cotação'!$A$9:$G$529,4,0))))</f>
        <v>CHP</v>
      </c>
      <c r="F1408" s="462">
        <v>40</v>
      </c>
      <c r="G1408" s="453">
        <f>IF(A1408="SERVIÇO",VLOOKUP(B1408,SERVIÇOS!$A$6:$D$7645,4,0),IF(A1408="INSUMO",VLOOKUP(B1408,INSUMOS!$A$6:$D$6961,4,0),IF(A1408="COTAÇÃO",VLOOKUP(B1408,'036-20-Cotação'!$A$9:$G$529,3,0))))</f>
        <v>70.400499999999994</v>
      </c>
      <c r="H1408" s="463">
        <f t="shared" si="234"/>
        <v>2816.0199999999995</v>
      </c>
      <c r="J1408" s="201"/>
    </row>
    <row r="1409" spans="1:17" s="87" customFormat="1" ht="12.75">
      <c r="A1409" s="188"/>
      <c r="B1409" s="346"/>
      <c r="C1409" s="369"/>
      <c r="D1409" s="369"/>
      <c r="E1409" s="369"/>
      <c r="F1409" s="369"/>
      <c r="G1409" s="369"/>
      <c r="H1409" s="370"/>
      <c r="J1409" s="201"/>
      <c r="K1409" s="78"/>
      <c r="L1409" s="78"/>
      <c r="M1409" s="78"/>
      <c r="N1409" s="78"/>
      <c r="O1409" s="78"/>
      <c r="P1409" s="78"/>
      <c r="Q1409" s="78"/>
    </row>
    <row r="1410" spans="1:17" s="87" customFormat="1" ht="38.25">
      <c r="A1410" s="188"/>
      <c r="B1410" s="80" t="s">
        <v>7713</v>
      </c>
      <c r="C1410" s="81" t="s">
        <v>7717</v>
      </c>
      <c r="D1410" s="82" t="s">
        <v>84</v>
      </c>
      <c r="E1410" s="82" t="s">
        <v>5079</v>
      </c>
      <c r="F1410" s="83"/>
      <c r="G1410" s="84"/>
      <c r="H1410" s="85">
        <f>SUM(H1411:H1411)</f>
        <v>800</v>
      </c>
      <c r="J1410" s="201"/>
      <c r="K1410" s="78"/>
      <c r="L1410" s="78"/>
      <c r="M1410" s="78"/>
      <c r="N1410" s="78"/>
      <c r="O1410" s="78"/>
      <c r="P1410" s="78"/>
      <c r="Q1410" s="78"/>
    </row>
    <row r="1411" spans="1:17" s="87" customFormat="1" ht="38.25">
      <c r="A1411" s="232" t="s">
        <v>4542</v>
      </c>
      <c r="B1411" s="464" t="s">
        <v>7718</v>
      </c>
      <c r="C1411" s="451" t="str">
        <f>IF(A1411="SERVIÇO",VLOOKUP(B1411,SERVIÇOS!$A$6:$D$7645,2,0),IF(A1411="INSUMO",VLOOKUP(B1411,INSUMOS!$A$6:$D$6961,2,0),IF(A1411="COTAÇÃO",VLOOKUP(B1411,'036-20-Cotação'!$A$9:$G$529,2,0))))</f>
        <v>IS-0021 - TRANSPORTE RODOVIÁRIO EQUIPE   DE OPERAÇÃO DO APOIO NÁUTICO IDA E VOLTA</v>
      </c>
      <c r="D1411" s="452" t="str">
        <f>IF(A1411="SERVIÇO",VLOOKUP(B1411,SERVIÇOS!$A$6:$E$7645,5,0),IF(A1411="INSUMO",VLOOKUP(B1411,INSUMOS!$A$6:$E$6961,5,0),IF(A1411="COTAÇÃO",VLOOKUP(B1411,'036-20-Cotação'!$A$9:$H$529,8,0))))</f>
        <v>SER.CG</v>
      </c>
      <c r="E1411" s="452" t="str">
        <f>IF(A1411="SERVIÇO",VLOOKUP(B1411,SERVIÇOS!$A$6:$D$7645,3,0),IF(A1411="INSUMO",VLOOKUP(B1411,INSUMOS!$A$6:$D$6961,3,0),IF(A1411="COTAÇÃO",VLOOKUP(B1411,'036-20-Cotação'!$A$9:$G$529,4,0))))</f>
        <v>UN</v>
      </c>
      <c r="F1411" s="462">
        <v>20</v>
      </c>
      <c r="G1411" s="453">
        <f>IF(A1411="SERVIÇO",VLOOKUP(B1411,SERVIÇOS!$A$6:$D$7645,4,0),IF(A1411="INSUMO",VLOOKUP(B1411,INSUMOS!$A$6:$D$6961,4,0),IF(A1411="COTAÇÃO",VLOOKUP(B1411,'036-20-Cotação'!$A$9:$G$529,3,0))))</f>
        <v>40</v>
      </c>
      <c r="H1411" s="463">
        <f t="shared" ref="H1411" si="235">G1411*F1411</f>
        <v>800</v>
      </c>
      <c r="J1411" s="201"/>
    </row>
    <row r="1412" spans="1:17" s="87" customFormat="1" ht="12.75">
      <c r="A1412" s="188"/>
      <c r="B1412" s="346"/>
      <c r="C1412" s="369"/>
      <c r="D1412" s="369"/>
      <c r="E1412" s="369"/>
      <c r="F1412" s="369"/>
      <c r="G1412" s="369"/>
      <c r="H1412" s="370"/>
      <c r="J1412" s="201"/>
      <c r="K1412" s="78"/>
      <c r="L1412" s="78"/>
      <c r="M1412" s="78"/>
      <c r="N1412" s="78"/>
      <c r="O1412" s="78"/>
      <c r="P1412" s="78"/>
      <c r="Q1412" s="78"/>
    </row>
    <row r="1413" spans="1:17" s="87" customFormat="1" ht="25.5">
      <c r="A1413" s="188"/>
      <c r="B1413" s="80" t="s">
        <v>7719</v>
      </c>
      <c r="C1413" s="81" t="s">
        <v>7724</v>
      </c>
      <c r="D1413" s="82" t="s">
        <v>84</v>
      </c>
      <c r="E1413" s="82" t="s">
        <v>4521</v>
      </c>
      <c r="F1413" s="83"/>
      <c r="G1413" s="84"/>
      <c r="H1413" s="85">
        <f>SUM(H1414:H1417)</f>
        <v>20080.120650000001</v>
      </c>
      <c r="J1413" s="201"/>
      <c r="K1413" s="78"/>
      <c r="L1413" s="78"/>
      <c r="M1413" s="78"/>
      <c r="N1413" s="78"/>
      <c r="O1413" s="78"/>
      <c r="P1413" s="78"/>
      <c r="Q1413" s="78"/>
    </row>
    <row r="1414" spans="1:17" s="87" customFormat="1" ht="38.25">
      <c r="A1414" s="232" t="s">
        <v>4542</v>
      </c>
      <c r="B1414" s="464" t="s">
        <v>9372</v>
      </c>
      <c r="C1414" s="451" t="str">
        <f>IF(A1414="SERVIÇO",VLOOKUP(B1414,SERVIÇOS!$A$6:$D$7645,2,0),IF(A1414="INSUMO",VLOOKUP(B1414,INSUMOS!$A$6:$D$6961,2,0),IF(A1414="COTAÇÃO",VLOOKUP(B1414,'036-20-Cotação'!$A$9:$G$529,2,0))))</f>
        <v>CAVALO MECÂNICO COM DOLLY INTERMEDIÁRIO E SEMIRREBOQUE DE 4 EIXOS COM CAPACIDADE DE 53 T - 323 KW</v>
      </c>
      <c r="D1414" s="452" t="str">
        <f>IF(A1414="SERVIÇO",VLOOKUP(B1414,SERVIÇOS!$A$6:$E$7645,5,0),IF(A1414="INSUMO",VLOOKUP(B1414,INSUMOS!$A$6:$E$6961,5,0),IF(A1414="COTAÇÃO",VLOOKUP(B1414,'036-20-Cotação'!$A$9:$H$529,8,0))))</f>
        <v>EQUIP.</v>
      </c>
      <c r="E1414" s="452" t="str">
        <f>IF(A1414="SERVIÇO",VLOOKUP(B1414,SERVIÇOS!$A$6:$D$7645,3,0),IF(A1414="INSUMO",VLOOKUP(B1414,INSUMOS!$A$6:$D$6961,3,0),IF(A1414="COTAÇÃO",VLOOKUP(B1414,'036-20-Cotação'!$A$9:$G$529,4,0))))</f>
        <v>CHP</v>
      </c>
      <c r="F1414" s="462">
        <v>57.49</v>
      </c>
      <c r="G1414" s="453">
        <f>IF(A1414="SERVIÇO",VLOOKUP(B1414,SERVIÇOS!$A$6:$D$7645,4,0),IF(A1414="INSUMO",VLOOKUP(B1414,INSUMOS!$A$6:$D$6961,4,0),IF(A1414="COTAÇÃO",VLOOKUP(B1414,'036-20-Cotação'!$A$9:$G$529,3,0))))</f>
        <v>293.4674</v>
      </c>
      <c r="H1414" s="463">
        <f t="shared" ref="H1414:H1417" si="236">G1414*F1414</f>
        <v>16871.440826000002</v>
      </c>
      <c r="J1414" s="201"/>
    </row>
    <row r="1415" spans="1:17" s="87" customFormat="1" ht="25.5">
      <c r="A1415" s="232" t="s">
        <v>4542</v>
      </c>
      <c r="B1415" s="464" t="s">
        <v>9465</v>
      </c>
      <c r="C1415" s="451" t="str">
        <f>IF(A1415="SERVIÇO",VLOOKUP(B1415,SERVIÇOS!$A$6:$D$7645,2,0),IF(A1415="INSUMO",VLOOKUP(B1415,INSUMOS!$A$6:$D$6961,2,0),IF(A1415="COTAÇÃO",VLOOKUP(B1415,'036-20-Cotação'!$A$9:$G$529,2,0))))</f>
        <v>CAMINHÃO CARROCERIA COM CAPACIDADE DE 9 T - 136 KW</v>
      </c>
      <c r="D1415" s="452" t="str">
        <f>IF(A1415="SERVIÇO",VLOOKUP(B1415,SERVIÇOS!$A$6:$E$7645,5,0),IF(A1415="INSUMO",VLOOKUP(B1415,INSUMOS!$A$6:$E$6961,5,0),IF(A1415="COTAÇÃO",VLOOKUP(B1415,'036-20-Cotação'!$A$9:$H$529,8,0))))</f>
        <v>EQUIP.</v>
      </c>
      <c r="E1415" s="452" t="str">
        <f>IF(A1415="SERVIÇO",VLOOKUP(B1415,SERVIÇOS!$A$6:$D$7645,3,0),IF(A1415="INSUMO",VLOOKUP(B1415,INSUMOS!$A$6:$D$6961,3,0),IF(A1415="COTAÇÃO",VLOOKUP(B1415,'036-20-Cotação'!$A$9:$G$529,4,0))))</f>
        <v>CHP</v>
      </c>
      <c r="F1415" s="462">
        <v>25.83</v>
      </c>
      <c r="G1415" s="453">
        <f>IF(A1415="SERVIÇO",VLOOKUP(B1415,SERVIÇOS!$A$6:$D$7645,4,0),IF(A1415="INSUMO",VLOOKUP(B1415,INSUMOS!$A$6:$D$6961,4,0),IF(A1415="COTAÇÃO",VLOOKUP(B1415,'036-20-Cotação'!$A$9:$G$529,3,0))))</f>
        <v>108.48480000000001</v>
      </c>
      <c r="H1415" s="463">
        <f t="shared" si="236"/>
        <v>2802.1623840000002</v>
      </c>
      <c r="J1415" s="201"/>
    </row>
    <row r="1416" spans="1:17" s="87" customFormat="1" ht="12.75">
      <c r="A1416" s="232" t="s">
        <v>4542</v>
      </c>
      <c r="B1416" s="464" t="s">
        <v>7725</v>
      </c>
      <c r="C1416" s="451" t="str">
        <f>IF(A1416="SERVIÇO",VLOOKUP(B1416,SERVIÇOS!$A$6:$D$7645,2,0),IF(A1416="INSUMO",VLOOKUP(B1416,INSUMOS!$A$6:$D$6961,2,0),IF(A1416="COTAÇÃO",VLOOKUP(B1416,'036-20-Cotação'!$A$9:$G$529,2,0))))</f>
        <v>MOTORISTA DE CAMINHÃO</v>
      </c>
      <c r="D1416" s="452" t="str">
        <f>IF(A1416="SERVIÇO",VLOOKUP(B1416,SERVIÇOS!$A$6:$E$7645,5,0),IF(A1416="INSUMO",VLOOKUP(B1416,INSUMOS!$A$6:$E$6961,5,0),IF(A1416="COTAÇÃO",VLOOKUP(B1416,'036-20-Cotação'!$A$9:$H$529,8,0))))</f>
        <v>M.O</v>
      </c>
      <c r="E1416" s="452" t="str">
        <f>IF(A1416="SERVIÇO",VLOOKUP(B1416,SERVIÇOS!$A$6:$D$7645,3,0),IF(A1416="INSUMO",VLOOKUP(B1416,INSUMOS!$A$6:$D$6961,3,0),IF(A1416="COTAÇÃO",VLOOKUP(B1416,'036-20-Cotação'!$A$9:$G$529,4,0))))</f>
        <v>H</v>
      </c>
      <c r="F1416" s="462">
        <v>13.44</v>
      </c>
      <c r="G1416" s="453">
        <f>IF(A1416="SERVIÇO",VLOOKUP(B1416,SERVIÇOS!$A$6:$D$7645,4,0),IF(A1416="INSUMO",VLOOKUP(B1416,INSUMOS!$A$6:$D$6961,4,0),IF(A1416="COTAÇÃO",VLOOKUP(B1416,'036-20-Cotação'!$A$9:$G$529,3,0))))</f>
        <v>22.267099999999999</v>
      </c>
      <c r="H1416" s="463">
        <f t="shared" si="236"/>
        <v>299.26982399999997</v>
      </c>
      <c r="J1416" s="201"/>
    </row>
    <row r="1417" spans="1:17" s="87" customFormat="1" ht="12.75">
      <c r="A1417" s="232" t="s">
        <v>4542</v>
      </c>
      <c r="B1417" s="464" t="s">
        <v>7726</v>
      </c>
      <c r="C1417" s="451" t="str">
        <f>IF(A1417="SERVIÇO",VLOOKUP(B1417,SERVIÇOS!$A$6:$D$7645,2,0),IF(A1417="INSUMO",VLOOKUP(B1417,INSUMOS!$A$6:$D$6961,2,0),IF(A1417="COTAÇÃO",VLOOKUP(B1417,'036-20-Cotação'!$A$9:$G$529,2,0))))</f>
        <v>MOTORISTA DE VEÍCULO ESPECIAL</v>
      </c>
      <c r="D1417" s="452" t="str">
        <f>IF(A1417="SERVIÇO",VLOOKUP(B1417,SERVIÇOS!$A$6:$E$7645,5,0),IF(A1417="INSUMO",VLOOKUP(B1417,INSUMOS!$A$6:$E$6961,5,0),IF(A1417="COTAÇÃO",VLOOKUP(B1417,'036-20-Cotação'!$A$9:$H$529,8,0))))</f>
        <v>M.O</v>
      </c>
      <c r="E1417" s="452" t="str">
        <f>IF(A1417="SERVIÇO",VLOOKUP(B1417,SERVIÇOS!$A$6:$D$7645,3,0),IF(A1417="INSUMO",VLOOKUP(B1417,INSUMOS!$A$6:$D$6961,3,0),IF(A1417="COTAÇÃO",VLOOKUP(B1417,'036-20-Cotação'!$A$9:$G$529,4,0))))</f>
        <v>H</v>
      </c>
      <c r="F1417" s="462">
        <v>4.4800000000000004</v>
      </c>
      <c r="G1417" s="453">
        <f>IF(A1417="SERVIÇO",VLOOKUP(B1417,SERVIÇOS!$A$6:$D$7645,4,0),IF(A1417="INSUMO",VLOOKUP(B1417,INSUMOS!$A$6:$D$6961,4,0),IF(A1417="COTAÇÃO",VLOOKUP(B1417,'036-20-Cotação'!$A$9:$G$529,3,0))))</f>
        <v>23.9392</v>
      </c>
      <c r="H1417" s="463">
        <f t="shared" si="236"/>
        <v>107.24761600000001</v>
      </c>
      <c r="J1417" s="201"/>
    </row>
    <row r="1418" spans="1:17" s="87" customFormat="1" ht="12.75">
      <c r="A1418" s="188"/>
      <c r="B1418" s="346"/>
      <c r="C1418" s="369"/>
      <c r="D1418" s="369"/>
      <c r="E1418" s="369"/>
      <c r="F1418" s="369"/>
      <c r="G1418" s="369"/>
      <c r="H1418" s="370"/>
      <c r="J1418" s="201"/>
      <c r="K1418" s="78"/>
      <c r="L1418" s="78"/>
      <c r="M1418" s="78"/>
      <c r="N1418" s="78"/>
      <c r="O1418" s="78"/>
      <c r="P1418" s="78"/>
      <c r="Q1418" s="78"/>
    </row>
    <row r="1419" spans="1:17" s="87" customFormat="1" ht="25.5">
      <c r="A1419" s="188"/>
      <c r="B1419" s="80" t="s">
        <v>7720</v>
      </c>
      <c r="C1419" s="81" t="s">
        <v>7727</v>
      </c>
      <c r="D1419" s="82" t="s">
        <v>84</v>
      </c>
      <c r="E1419" s="82" t="s">
        <v>4521</v>
      </c>
      <c r="F1419" s="83"/>
      <c r="G1419" s="84"/>
      <c r="H1419" s="85">
        <f>SUM(H1420:H1423)</f>
        <v>20080.120650000001</v>
      </c>
      <c r="J1419" s="201"/>
      <c r="K1419" s="78"/>
      <c r="L1419" s="78"/>
      <c r="M1419" s="78"/>
      <c r="N1419" s="78"/>
      <c r="O1419" s="78"/>
      <c r="P1419" s="78"/>
      <c r="Q1419" s="78"/>
    </row>
    <row r="1420" spans="1:17" s="87" customFormat="1" ht="38.25">
      <c r="A1420" s="232" t="s">
        <v>4542</v>
      </c>
      <c r="B1420" s="464" t="s">
        <v>9372</v>
      </c>
      <c r="C1420" s="451" t="str">
        <f>IF(A1420="SERVIÇO",VLOOKUP(B1420,SERVIÇOS!$A$6:$D$7645,2,0),IF(A1420="INSUMO",VLOOKUP(B1420,INSUMOS!$A$6:$D$6961,2,0),IF(A1420="COTAÇÃO",VLOOKUP(B1420,'036-20-Cotação'!$A$9:$G$529,2,0))))</f>
        <v>CAVALO MECÂNICO COM DOLLY INTERMEDIÁRIO E SEMIRREBOQUE DE 4 EIXOS COM CAPACIDADE DE 53 T - 323 KW</v>
      </c>
      <c r="D1420" s="452" t="str">
        <f>IF(A1420="SERVIÇO",VLOOKUP(B1420,SERVIÇOS!$A$6:$E$7645,5,0),IF(A1420="INSUMO",VLOOKUP(B1420,INSUMOS!$A$6:$E$6961,5,0),IF(A1420="COTAÇÃO",VLOOKUP(B1420,'036-20-Cotação'!$A$9:$H$529,8,0))))</f>
        <v>EQUIP.</v>
      </c>
      <c r="E1420" s="452" t="str">
        <f>IF(A1420="SERVIÇO",VLOOKUP(B1420,SERVIÇOS!$A$6:$D$7645,3,0),IF(A1420="INSUMO",VLOOKUP(B1420,INSUMOS!$A$6:$D$6961,3,0),IF(A1420="COTAÇÃO",VLOOKUP(B1420,'036-20-Cotação'!$A$9:$G$529,4,0))))</f>
        <v>CHP</v>
      </c>
      <c r="F1420" s="462">
        <v>57.49</v>
      </c>
      <c r="G1420" s="453">
        <f>IF(A1420="SERVIÇO",VLOOKUP(B1420,SERVIÇOS!$A$6:$D$7645,4,0),IF(A1420="INSUMO",VLOOKUP(B1420,INSUMOS!$A$6:$D$6961,4,0),IF(A1420="COTAÇÃO",VLOOKUP(B1420,'036-20-Cotação'!$A$9:$G$529,3,0))))</f>
        <v>293.4674</v>
      </c>
      <c r="H1420" s="463">
        <f t="shared" ref="H1420:H1423" si="237">G1420*F1420</f>
        <v>16871.440826000002</v>
      </c>
      <c r="J1420" s="201"/>
    </row>
    <row r="1421" spans="1:17" s="87" customFormat="1" ht="25.5">
      <c r="A1421" s="232" t="s">
        <v>4542</v>
      </c>
      <c r="B1421" s="464" t="s">
        <v>9465</v>
      </c>
      <c r="C1421" s="451" t="str">
        <f>IF(A1421="SERVIÇO",VLOOKUP(B1421,SERVIÇOS!$A$6:$D$7645,2,0),IF(A1421="INSUMO",VLOOKUP(B1421,INSUMOS!$A$6:$D$6961,2,0),IF(A1421="COTAÇÃO",VLOOKUP(B1421,'036-20-Cotação'!$A$9:$G$529,2,0))))</f>
        <v>CAMINHÃO CARROCERIA COM CAPACIDADE DE 9 T - 136 KW</v>
      </c>
      <c r="D1421" s="452" t="str">
        <f>IF(A1421="SERVIÇO",VLOOKUP(B1421,SERVIÇOS!$A$6:$E$7645,5,0),IF(A1421="INSUMO",VLOOKUP(B1421,INSUMOS!$A$6:$E$6961,5,0),IF(A1421="COTAÇÃO",VLOOKUP(B1421,'036-20-Cotação'!$A$9:$H$529,8,0))))</f>
        <v>EQUIP.</v>
      </c>
      <c r="E1421" s="452" t="str">
        <f>IF(A1421="SERVIÇO",VLOOKUP(B1421,SERVIÇOS!$A$6:$D$7645,3,0),IF(A1421="INSUMO",VLOOKUP(B1421,INSUMOS!$A$6:$D$6961,3,0),IF(A1421="COTAÇÃO",VLOOKUP(B1421,'036-20-Cotação'!$A$9:$G$529,4,0))))</f>
        <v>CHP</v>
      </c>
      <c r="F1421" s="462">
        <v>25.83</v>
      </c>
      <c r="G1421" s="453">
        <f>IF(A1421="SERVIÇO",VLOOKUP(B1421,SERVIÇOS!$A$6:$D$7645,4,0),IF(A1421="INSUMO",VLOOKUP(B1421,INSUMOS!$A$6:$D$6961,4,0),IF(A1421="COTAÇÃO",VLOOKUP(B1421,'036-20-Cotação'!$A$9:$G$529,3,0))))</f>
        <v>108.48480000000001</v>
      </c>
      <c r="H1421" s="463">
        <f t="shared" si="237"/>
        <v>2802.1623840000002</v>
      </c>
      <c r="J1421" s="201"/>
    </row>
    <row r="1422" spans="1:17" s="87" customFormat="1" ht="12.75">
      <c r="A1422" s="232" t="s">
        <v>4542</v>
      </c>
      <c r="B1422" s="464" t="s">
        <v>7725</v>
      </c>
      <c r="C1422" s="451" t="str">
        <f>IF(A1422="SERVIÇO",VLOOKUP(B1422,SERVIÇOS!$A$6:$D$7645,2,0),IF(A1422="INSUMO",VLOOKUP(B1422,INSUMOS!$A$6:$D$6961,2,0),IF(A1422="COTAÇÃO",VLOOKUP(B1422,'036-20-Cotação'!$A$9:$G$529,2,0))))</f>
        <v>MOTORISTA DE CAMINHÃO</v>
      </c>
      <c r="D1422" s="452" t="str">
        <f>IF(A1422="SERVIÇO",VLOOKUP(B1422,SERVIÇOS!$A$6:$E$7645,5,0),IF(A1422="INSUMO",VLOOKUP(B1422,INSUMOS!$A$6:$E$6961,5,0),IF(A1422="COTAÇÃO",VLOOKUP(B1422,'036-20-Cotação'!$A$9:$H$529,8,0))))</f>
        <v>M.O</v>
      </c>
      <c r="E1422" s="452" t="str">
        <f>IF(A1422="SERVIÇO",VLOOKUP(B1422,SERVIÇOS!$A$6:$D$7645,3,0),IF(A1422="INSUMO",VLOOKUP(B1422,INSUMOS!$A$6:$D$6961,3,0),IF(A1422="COTAÇÃO",VLOOKUP(B1422,'036-20-Cotação'!$A$9:$G$529,4,0))))</f>
        <v>H</v>
      </c>
      <c r="F1422" s="462">
        <v>13.44</v>
      </c>
      <c r="G1422" s="453">
        <f>IF(A1422="SERVIÇO",VLOOKUP(B1422,SERVIÇOS!$A$6:$D$7645,4,0),IF(A1422="INSUMO",VLOOKUP(B1422,INSUMOS!$A$6:$D$6961,4,0),IF(A1422="COTAÇÃO",VLOOKUP(B1422,'036-20-Cotação'!$A$9:$G$529,3,0))))</f>
        <v>22.267099999999999</v>
      </c>
      <c r="H1422" s="463">
        <f t="shared" si="237"/>
        <v>299.26982399999997</v>
      </c>
      <c r="J1422" s="201"/>
    </row>
    <row r="1423" spans="1:17" s="87" customFormat="1" ht="12.75">
      <c r="A1423" s="232" t="s">
        <v>4542</v>
      </c>
      <c r="B1423" s="464" t="s">
        <v>7726</v>
      </c>
      <c r="C1423" s="451" t="str">
        <f>IF(A1423="SERVIÇO",VLOOKUP(B1423,SERVIÇOS!$A$6:$D$7645,2,0),IF(A1423="INSUMO",VLOOKUP(B1423,INSUMOS!$A$6:$D$6961,2,0),IF(A1423="COTAÇÃO",VLOOKUP(B1423,'036-20-Cotação'!$A$9:$G$529,2,0))))</f>
        <v>MOTORISTA DE VEÍCULO ESPECIAL</v>
      </c>
      <c r="D1423" s="452" t="str">
        <f>IF(A1423="SERVIÇO",VLOOKUP(B1423,SERVIÇOS!$A$6:$E$7645,5,0),IF(A1423="INSUMO",VLOOKUP(B1423,INSUMOS!$A$6:$E$6961,5,0),IF(A1423="COTAÇÃO",VLOOKUP(B1423,'036-20-Cotação'!$A$9:$H$529,8,0))))</f>
        <v>M.O</v>
      </c>
      <c r="E1423" s="452" t="str">
        <f>IF(A1423="SERVIÇO",VLOOKUP(B1423,SERVIÇOS!$A$6:$D$7645,3,0),IF(A1423="INSUMO",VLOOKUP(B1423,INSUMOS!$A$6:$D$6961,3,0),IF(A1423="COTAÇÃO",VLOOKUP(B1423,'036-20-Cotação'!$A$9:$G$529,4,0))))</f>
        <v>H</v>
      </c>
      <c r="F1423" s="462">
        <v>4.4800000000000004</v>
      </c>
      <c r="G1423" s="453">
        <f>IF(A1423="SERVIÇO",VLOOKUP(B1423,SERVIÇOS!$A$6:$D$7645,4,0),IF(A1423="INSUMO",VLOOKUP(B1423,INSUMOS!$A$6:$D$6961,4,0),IF(A1423="COTAÇÃO",VLOOKUP(B1423,'036-20-Cotação'!$A$9:$G$529,3,0))))</f>
        <v>23.9392</v>
      </c>
      <c r="H1423" s="463">
        <f t="shared" si="237"/>
        <v>107.24761600000001</v>
      </c>
      <c r="J1423" s="201"/>
    </row>
    <row r="1424" spans="1:17" s="87" customFormat="1" ht="12.75">
      <c r="A1424" s="188"/>
      <c r="B1424" s="346"/>
      <c r="C1424" s="369"/>
      <c r="D1424" s="369"/>
      <c r="E1424" s="369"/>
      <c r="F1424" s="369"/>
      <c r="G1424" s="369"/>
      <c r="H1424" s="370"/>
      <c r="J1424" s="201"/>
      <c r="K1424" s="78"/>
      <c r="L1424" s="78"/>
      <c r="M1424" s="78"/>
      <c r="N1424" s="78"/>
      <c r="O1424" s="78"/>
      <c r="P1424" s="78"/>
      <c r="Q1424" s="78"/>
    </row>
    <row r="1425" spans="1:17" s="87" customFormat="1" ht="25.5">
      <c r="A1425" s="188"/>
      <c r="B1425" s="80" t="s">
        <v>7728</v>
      </c>
      <c r="C1425" s="81" t="s">
        <v>7732</v>
      </c>
      <c r="D1425" s="82" t="s">
        <v>84</v>
      </c>
      <c r="E1425" s="82" t="s">
        <v>5079</v>
      </c>
      <c r="F1425" s="83"/>
      <c r="G1425" s="84"/>
      <c r="H1425" s="85">
        <f>SUM(H1426:H1427)</f>
        <v>1377.55</v>
      </c>
      <c r="J1425" s="201"/>
      <c r="K1425" s="78"/>
      <c r="L1425" s="78"/>
      <c r="M1425" s="78"/>
      <c r="N1425" s="78"/>
      <c r="O1425" s="78"/>
      <c r="P1425" s="78"/>
      <c r="Q1425" s="78"/>
    </row>
    <row r="1426" spans="1:17" s="87" customFormat="1" ht="25.5">
      <c r="A1426" s="232" t="s">
        <v>12</v>
      </c>
      <c r="B1426" s="464" t="s">
        <v>7733</v>
      </c>
      <c r="C1426" s="451" t="str">
        <f>IF(A1426="SERVIÇO",VLOOKUP(B1426,SERVIÇOS!$A$6:$D$7645,2,0),IF(A1426="INSUMO",VLOOKUP(B1426,INSUMOS!$A$6:$D$6961,2,0),IF(A1426="COTAÇÃO",VLOOKUP(B1426,'036-20-Cotação'!$A$9:$G$529,2,0))))</f>
        <v>ALUGUEL DE RESIDENCIA PARA     EQUIPE DO APOIO NÁUTICO COM 3 QUARTOS</v>
      </c>
      <c r="D1426" s="452" t="str">
        <f>IF(A1426="SERVIÇO",VLOOKUP(B1426,SERVIÇOS!$A$6:$E$7645,5,0),IF(A1426="INSUMO",VLOOKUP(B1426,INSUMOS!$A$6:$E$6961,5,0),IF(A1426="COTAÇÃO",VLOOKUP(B1426,'036-20-Cotação'!$A$9:$H$529,8,0))))</f>
        <v>MAT.</v>
      </c>
      <c r="E1426" s="452" t="str">
        <f>IF(A1426="SERVIÇO",VLOOKUP(B1426,SERVIÇOS!$A$6:$D$7645,3,0),IF(A1426="INSUMO",VLOOKUP(B1426,INSUMOS!$A$6:$D$6961,3,0),IF(A1426="COTAÇÃO",VLOOKUP(B1426,'036-20-Cotação'!$A$9:$G$529,4,0))))</f>
        <v>MÊS</v>
      </c>
      <c r="F1426" s="462">
        <v>1</v>
      </c>
      <c r="G1426" s="453">
        <f>IF(A1426="SERVIÇO",VLOOKUP(B1426,SERVIÇOS!$A$6:$D$7645,4,0),IF(A1426="INSUMO",VLOOKUP(B1426,INSUMOS!$A$6:$D$6961,4,0),IF(A1426="COTAÇÃO",VLOOKUP(B1426,'036-20-Cotação'!$A$9:$G$529,3,0))))</f>
        <v>950</v>
      </c>
      <c r="H1426" s="463">
        <f t="shared" ref="H1426:H1427" si="238">G1426*F1426</f>
        <v>950</v>
      </c>
      <c r="J1426" s="201"/>
    </row>
    <row r="1427" spans="1:17" s="87" customFormat="1" ht="12.75">
      <c r="A1427" s="232" t="s">
        <v>4544</v>
      </c>
      <c r="B1427" s="464" t="s">
        <v>7734</v>
      </c>
      <c r="C1427" s="451" t="str">
        <f>IF(A1427="SERVIÇO",VLOOKUP(B1427,SERVIÇOS!$A$6:$D$7645,2,0),IF(A1427="INSUMO",VLOOKUP(B1427,INSUMOS!$A$6:$D$6961,2,0),IF(A1427="COTAÇÃO",VLOOKUP(B1427,'036-20-Cotação'!$A$9:$G$529,2,0))))</f>
        <v xml:space="preserve">MOBILIARIO PARA RESIDENCIA       </v>
      </c>
      <c r="D1427" s="452" t="str">
        <f>IF(A1427="SERVIÇO",VLOOKUP(B1427,SERVIÇOS!$A$6:$E$7645,5,0),IF(A1427="INSUMO",VLOOKUP(B1427,INSUMOS!$A$6:$E$6961,5,0),IF(A1427="COTAÇÃO",VLOOKUP(B1427,'036-20-Cotação'!$A$9:$H$529,8,0))))</f>
        <v>MAT.</v>
      </c>
      <c r="E1427" s="452" t="str">
        <f>IF(A1427="SERVIÇO",VLOOKUP(B1427,SERVIÇOS!$A$6:$D$7645,3,0),IF(A1427="INSUMO",VLOOKUP(B1427,INSUMOS!$A$6:$D$6961,3,0),IF(A1427="COTAÇÃO",VLOOKUP(B1427,'036-20-Cotação'!$A$9:$G$529,4,0))))</f>
        <v>MÊS</v>
      </c>
      <c r="F1427" s="462">
        <v>1</v>
      </c>
      <c r="G1427" s="453">
        <f>IF(A1427="SERVIÇO",VLOOKUP(B1427,SERVIÇOS!$A$6:$D$7645,4,0),IF(A1427="INSUMO",VLOOKUP(B1427,INSUMOS!$A$6:$D$6961,4,0),IF(A1427="COTAÇÃO",VLOOKUP(B1427,'036-20-Cotação'!$A$9:$G$529,3,0))))</f>
        <v>427.55</v>
      </c>
      <c r="H1427" s="463">
        <f t="shared" si="238"/>
        <v>427.55</v>
      </c>
      <c r="J1427" s="201"/>
    </row>
    <row r="1428" spans="1:17" s="87" customFormat="1" ht="12.75">
      <c r="A1428" s="188"/>
      <c r="B1428" s="348" t="s">
        <v>123</v>
      </c>
      <c r="C1428" s="695" t="s">
        <v>13117</v>
      </c>
      <c r="D1428" s="696"/>
      <c r="E1428" s="696"/>
      <c r="F1428" s="696"/>
      <c r="G1428" s="696"/>
      <c r="H1428" s="697"/>
      <c r="J1428" s="201"/>
      <c r="K1428" s="78"/>
      <c r="L1428" s="78"/>
      <c r="M1428" s="78"/>
      <c r="N1428" s="78"/>
      <c r="O1428" s="78"/>
      <c r="P1428" s="78"/>
      <c r="Q1428" s="78"/>
    </row>
    <row r="1429" spans="1:17" s="87" customFormat="1" ht="12.75">
      <c r="A1429" s="188"/>
      <c r="B1429" s="346"/>
      <c r="C1429" s="470"/>
      <c r="D1429" s="470"/>
      <c r="E1429" s="470"/>
      <c r="F1429" s="470"/>
      <c r="G1429" s="470"/>
      <c r="H1429" s="471"/>
      <c r="J1429" s="201"/>
      <c r="K1429" s="78"/>
      <c r="L1429" s="78"/>
      <c r="M1429" s="78"/>
      <c r="N1429" s="78"/>
      <c r="O1429" s="78"/>
      <c r="P1429" s="78"/>
      <c r="Q1429" s="78"/>
    </row>
    <row r="1430" spans="1:17" s="87" customFormat="1" ht="25.5">
      <c r="A1430" s="188"/>
      <c r="B1430" s="80" t="s">
        <v>8165</v>
      </c>
      <c r="C1430" s="81" t="s">
        <v>7792</v>
      </c>
      <c r="D1430" s="82" t="s">
        <v>84</v>
      </c>
      <c r="E1430" s="82" t="s">
        <v>5079</v>
      </c>
      <c r="F1430" s="83"/>
      <c r="G1430" s="84"/>
      <c r="H1430" s="85">
        <f>SUM(H1431:H1431)</f>
        <v>3767.1317199999999</v>
      </c>
      <c r="J1430" s="201"/>
      <c r="K1430" s="78"/>
      <c r="L1430" s="78"/>
      <c r="M1430" s="78"/>
      <c r="N1430" s="78"/>
      <c r="O1430" s="78"/>
      <c r="P1430" s="78"/>
      <c r="Q1430" s="78"/>
    </row>
    <row r="1431" spans="1:17" s="87" customFormat="1" ht="12.75">
      <c r="A1431" s="232" t="s">
        <v>4542</v>
      </c>
      <c r="B1431" s="464" t="s">
        <v>7630</v>
      </c>
      <c r="C1431" s="451" t="str">
        <f>IF(A1431="SERVIÇO",VLOOKUP(B1431,SERVIÇOS!$A$6:$D$7645,2,0),IF(A1431="INSUMO",VLOOKUP(B1431,INSUMOS!$A$6:$D$6961,2,0),IF(A1431="COTAÇÃO",VLOOKUP(B1431,'036-20-Cotação'!$A$9:$G$529,2,0))))</f>
        <v>ENGENHEIRO DE SEGURANÇA DO TRABALHO</v>
      </c>
      <c r="D1431" s="452" t="str">
        <f>IF(A1431="SERVIÇO",VLOOKUP(B1431,SERVIÇOS!$A$6:$E$7645,5,0),IF(A1431="INSUMO",VLOOKUP(B1431,INSUMOS!$A$6:$E$6961,5,0),IF(A1431="COTAÇÃO",VLOOKUP(B1431,'036-20-Cotação'!$A$9:$H$529,8,0))))</f>
        <v>M.O</v>
      </c>
      <c r="E1431" s="452" t="str">
        <f>IF(A1431="SERVIÇO",VLOOKUP(B1431,SERVIÇOS!$A$6:$D$7645,3,0),IF(A1431="INSUMO",VLOOKUP(B1431,INSUMOS!$A$6:$D$6961,3,0),IF(A1431="COTAÇÃO",VLOOKUP(B1431,'036-20-Cotação'!$A$9:$G$529,4,0))))</f>
        <v>MÊS</v>
      </c>
      <c r="F1431" s="462">
        <v>0.2</v>
      </c>
      <c r="G1431" s="453">
        <f>IF(A1431="SERVIÇO",VLOOKUP(B1431,SERVIÇOS!$A$6:$D$7645,4,0),IF(A1431="INSUMO",VLOOKUP(B1431,INSUMOS!$A$6:$D$6961,4,0),IF(A1431="COTAÇÃO",VLOOKUP(B1431,'036-20-Cotação'!$A$9:$G$529,3,0))))</f>
        <v>18835.658599999999</v>
      </c>
      <c r="H1431" s="463">
        <f t="shared" ref="H1431" si="239">G1431*F1431</f>
        <v>3767.1317199999999</v>
      </c>
      <c r="J1431" s="201"/>
    </row>
    <row r="1432" spans="1:17" s="87" customFormat="1" ht="12.75">
      <c r="A1432" s="188"/>
      <c r="B1432" s="346"/>
      <c r="C1432" s="647"/>
      <c r="D1432" s="647"/>
      <c r="E1432" s="647"/>
      <c r="F1432" s="647"/>
      <c r="G1432" s="647"/>
      <c r="H1432" s="648"/>
      <c r="J1432" s="201"/>
      <c r="K1432" s="78"/>
      <c r="L1432" s="78"/>
      <c r="M1432" s="78"/>
      <c r="N1432" s="78"/>
      <c r="O1432" s="78"/>
      <c r="P1432" s="78"/>
      <c r="Q1432" s="78"/>
    </row>
    <row r="1433" spans="1:17" s="87" customFormat="1" ht="25.5">
      <c r="A1433" s="188"/>
      <c r="B1433" s="80" t="s">
        <v>26996</v>
      </c>
      <c r="C1433" s="81" t="s">
        <v>26997</v>
      </c>
      <c r="D1433" s="82" t="s">
        <v>84</v>
      </c>
      <c r="E1433" s="82" t="s">
        <v>5079</v>
      </c>
      <c r="F1433" s="83"/>
      <c r="G1433" s="84"/>
      <c r="H1433" s="85">
        <f>SUM(H1434:H1434)</f>
        <v>20625.572400000001</v>
      </c>
      <c r="J1433" s="201" t="s">
        <v>26998</v>
      </c>
      <c r="K1433" s="78"/>
      <c r="L1433" s="78"/>
      <c r="M1433" s="78"/>
      <c r="N1433" s="78"/>
      <c r="O1433" s="78"/>
      <c r="P1433" s="78"/>
      <c r="Q1433" s="78"/>
    </row>
    <row r="1434" spans="1:17" s="87" customFormat="1" ht="25.5">
      <c r="A1434" s="232" t="s">
        <v>4542</v>
      </c>
      <c r="B1434" s="464" t="s">
        <v>7607</v>
      </c>
      <c r="C1434" s="451" t="str">
        <f>IF(A1434="SERVIÇO",VLOOKUP(B1434,SERVIÇOS!$A$6:$D$7645,2,0),IF(A1434="INSUMO",VLOOKUP(B1434,INSUMOS!$A$6:$D$6961,2,0),IF(A1434="COTAÇÃO",VLOOKUP(B1434,'036-20-Cotação'!$A$9:$G$529,2,0))))</f>
        <v>ENCARREGADO DE OBRAS DE ARTES ESPECIAIS</v>
      </c>
      <c r="D1434" s="452" t="str">
        <f>IF(A1434="SERVIÇO",VLOOKUP(B1434,SERVIÇOS!$A$6:$E$7645,5,0),IF(A1434="INSUMO",VLOOKUP(B1434,INSUMOS!$A$6:$E$6961,5,0),IF(A1434="COTAÇÃO",VLOOKUP(B1434,'036-20-Cotação'!$A$9:$H$529,8,0))))</f>
        <v>M.O</v>
      </c>
      <c r="E1434" s="452" t="str">
        <f>IF(A1434="SERVIÇO",VLOOKUP(B1434,SERVIÇOS!$A$6:$D$7645,3,0),IF(A1434="INSUMO",VLOOKUP(B1434,INSUMOS!$A$6:$D$6961,3,0),IF(A1434="COTAÇÃO",VLOOKUP(B1434,'036-20-Cotação'!$A$9:$G$529,4,0))))</f>
        <v>MÊS</v>
      </c>
      <c r="F1434" s="462">
        <v>3</v>
      </c>
      <c r="G1434" s="453">
        <f>IF(A1434="SERVIÇO",VLOOKUP(B1434,SERVIÇOS!$A$6:$D$7645,4,0),IF(A1434="INSUMO",VLOOKUP(B1434,INSUMOS!$A$6:$D$6961,4,0),IF(A1434="COTAÇÃO",VLOOKUP(B1434,'036-20-Cotação'!$A$9:$G$529,3,0))))</f>
        <v>6875.1908000000003</v>
      </c>
      <c r="H1434" s="463">
        <f t="shared" ref="H1434" si="240">G1434*F1434</f>
        <v>20625.572400000001</v>
      </c>
      <c r="J1434" s="201"/>
    </row>
    <row r="1435" spans="1:17" s="87" customFormat="1" ht="12.75">
      <c r="A1435" s="188"/>
      <c r="B1435" s="346"/>
      <c r="C1435" s="647"/>
      <c r="D1435" s="647"/>
      <c r="E1435" s="647"/>
      <c r="F1435" s="647"/>
      <c r="G1435" s="647"/>
      <c r="H1435" s="648"/>
      <c r="J1435" s="201"/>
      <c r="K1435" s="78"/>
      <c r="L1435" s="78"/>
      <c r="M1435" s="78"/>
      <c r="N1435" s="78"/>
      <c r="O1435" s="78"/>
      <c r="P1435" s="78"/>
      <c r="Q1435" s="78"/>
    </row>
    <row r="1436" spans="1:17" s="87" customFormat="1" ht="25.5">
      <c r="A1436" s="188"/>
      <c r="B1436" s="80" t="s">
        <v>26999</v>
      </c>
      <c r="C1436" s="81" t="s">
        <v>27000</v>
      </c>
      <c r="D1436" s="82" t="s">
        <v>84</v>
      </c>
      <c r="E1436" s="82" t="s">
        <v>5079</v>
      </c>
      <c r="F1436" s="83"/>
      <c r="G1436" s="84"/>
      <c r="H1436" s="85">
        <f>SUM(H1437:H1437)</f>
        <v>35149.885799999996</v>
      </c>
      <c r="J1436" s="201" t="s">
        <v>13422</v>
      </c>
      <c r="K1436" s="78"/>
      <c r="L1436" s="78"/>
      <c r="M1436" s="78"/>
      <c r="N1436" s="78"/>
      <c r="O1436" s="78"/>
      <c r="P1436" s="78"/>
      <c r="Q1436" s="78"/>
    </row>
    <row r="1437" spans="1:17" s="87" customFormat="1" ht="12.75">
      <c r="A1437" s="232" t="s">
        <v>4542</v>
      </c>
      <c r="B1437" s="464" t="s">
        <v>7655</v>
      </c>
      <c r="C1437" s="451" t="str">
        <f>IF(A1437="SERVIÇO",VLOOKUP(B1437,SERVIÇOS!$A$6:$D$7645,2,0),IF(A1437="INSUMO",VLOOKUP(B1437,INSUMOS!$A$6:$D$6961,2,0),IF(A1437="COTAÇÃO",VLOOKUP(B1437,'036-20-Cotação'!$A$9:$G$529,2,0))))</f>
        <v>ENGENHEIRO DE OBRA</v>
      </c>
      <c r="D1437" s="452" t="str">
        <f>IF(A1437="SERVIÇO",VLOOKUP(B1437,SERVIÇOS!$A$6:$E$7645,5,0),IF(A1437="INSUMO",VLOOKUP(B1437,INSUMOS!$A$6:$E$6961,5,0),IF(A1437="COTAÇÃO",VLOOKUP(B1437,'036-20-Cotação'!$A$9:$H$529,8,0))))</f>
        <v>M.O.</v>
      </c>
      <c r="E1437" s="452" t="str">
        <f>IF(A1437="SERVIÇO",VLOOKUP(B1437,SERVIÇOS!$A$6:$D$7645,3,0),IF(A1437="INSUMO",VLOOKUP(B1437,INSUMOS!$A$6:$D$6961,3,0),IF(A1437="COTAÇÃO",VLOOKUP(B1437,'036-20-Cotação'!$A$9:$G$529,4,0))))</f>
        <v>MÊS</v>
      </c>
      <c r="F1437" s="462">
        <v>2</v>
      </c>
      <c r="G1437" s="453">
        <f>IF(A1437="SERVIÇO",VLOOKUP(B1437,SERVIÇOS!$A$6:$D$7645,4,0),IF(A1437="INSUMO",VLOOKUP(B1437,INSUMOS!$A$6:$D$6961,4,0),IF(A1437="COTAÇÃO",VLOOKUP(B1437,'036-20-Cotação'!$A$9:$G$529,3,0))))</f>
        <v>17574.942899999998</v>
      </c>
      <c r="H1437" s="463">
        <f t="shared" ref="H1437" si="241">G1437*F1437</f>
        <v>35149.885799999996</v>
      </c>
      <c r="J1437" s="201"/>
    </row>
    <row r="1438" spans="1:17" s="87" customFormat="1" ht="12.75">
      <c r="A1438" s="188"/>
      <c r="B1438" s="346"/>
      <c r="C1438" s="649"/>
      <c r="D1438" s="649"/>
      <c r="E1438" s="649"/>
      <c r="F1438" s="649"/>
      <c r="G1438" s="649"/>
      <c r="H1438" s="650"/>
      <c r="J1438" s="201"/>
      <c r="K1438" s="78"/>
      <c r="L1438" s="78"/>
      <c r="M1438" s="78"/>
      <c r="N1438" s="78"/>
      <c r="O1438" s="78"/>
      <c r="P1438" s="78"/>
      <c r="Q1438" s="78"/>
    </row>
    <row r="1439" spans="1:17" s="87" customFormat="1" ht="25.5">
      <c r="A1439" s="188"/>
      <c r="B1439" s="80" t="s">
        <v>27028</v>
      </c>
      <c r="C1439" s="81" t="s">
        <v>27030</v>
      </c>
      <c r="D1439" s="82" t="s">
        <v>84</v>
      </c>
      <c r="E1439" s="82" t="s">
        <v>5079</v>
      </c>
      <c r="F1439" s="83"/>
      <c r="G1439" s="84"/>
      <c r="H1439" s="85">
        <f>SUM(H1440:H1440)</f>
        <v>9528.6200000000008</v>
      </c>
      <c r="J1439" s="201" t="s">
        <v>27029</v>
      </c>
      <c r="K1439" s="78"/>
      <c r="L1439" s="78"/>
      <c r="M1439" s="78"/>
      <c r="N1439" s="78"/>
      <c r="O1439" s="78"/>
      <c r="P1439" s="78"/>
      <c r="Q1439" s="78"/>
    </row>
    <row r="1440" spans="1:17" s="87" customFormat="1" ht="12.75">
      <c r="A1440" s="232" t="s">
        <v>4542</v>
      </c>
      <c r="B1440" s="464">
        <v>94295</v>
      </c>
      <c r="C1440" s="451" t="str">
        <f>IF(A1440="SERVIÇO",VLOOKUP(B1440,SERVIÇOS!$A$6:$D$7645,2,0),IF(A1440="INSUMO",VLOOKUP(B1440,INSUMOS!$A$6:$D$6961,2,0),IF(A1440="COTAÇÃO",VLOOKUP(B1440,'036-20-Cotação'!$A$9:$G$529,2,0))))</f>
        <v>MESTRE DE OBRAS COM ENCARGOS COMPLEMENTARES</v>
      </c>
      <c r="D1440" s="452" t="str">
        <f>IF(A1440="SERVIÇO",VLOOKUP(B1440,SERVIÇOS!$A$6:$E$7645,5,0),IF(A1440="INSUMO",VLOOKUP(B1440,INSUMOS!$A$6:$E$6961,5,0),IF(A1440="COTAÇÃO",VLOOKUP(B1440,'036-20-Cotação'!$A$9:$H$529,8,0))))</f>
        <v>M.O</v>
      </c>
      <c r="E1440" s="452" t="str">
        <f>IF(A1440="SERVIÇO",VLOOKUP(B1440,SERVIÇOS!$A$6:$D$7645,3,0),IF(A1440="INSUMO",VLOOKUP(B1440,INSUMOS!$A$6:$D$6961,3,0),IF(A1440="COTAÇÃO",VLOOKUP(B1440,'036-20-Cotação'!$A$9:$G$529,4,0))))</f>
        <v>MES</v>
      </c>
      <c r="F1440" s="462">
        <v>2</v>
      </c>
      <c r="G1440" s="453" t="str">
        <f>IF(A1440="SERVIÇO",VLOOKUP(B1440,SERVIÇOS!$A$6:$D$7645,4,0),IF(A1440="INSUMO",VLOOKUP(B1440,INSUMOS!$A$6:$D$6961,4,0),IF(A1440="COTAÇÃO",VLOOKUP(B1440,'036-20-Cotação'!$A$9:$G$529,3,0))))</f>
        <v>4.764,31</v>
      </c>
      <c r="H1440" s="463">
        <f t="shared" ref="H1440" si="242">G1440*F1440</f>
        <v>9528.6200000000008</v>
      </c>
      <c r="J1440" s="201"/>
    </row>
    <row r="1441" spans="1:17" s="87" customFormat="1" ht="12.75">
      <c r="A1441" s="188"/>
      <c r="B1441" s="346"/>
      <c r="C1441" s="470"/>
      <c r="D1441" s="470"/>
      <c r="E1441" s="470"/>
      <c r="F1441" s="470"/>
      <c r="G1441" s="470"/>
      <c r="H1441" s="471"/>
      <c r="J1441" s="201"/>
      <c r="K1441" s="78"/>
      <c r="L1441" s="78"/>
      <c r="M1441" s="78"/>
      <c r="N1441" s="78"/>
      <c r="O1441" s="78"/>
      <c r="P1441" s="78"/>
      <c r="Q1441" s="78"/>
    </row>
    <row r="1442" spans="1:17" s="87" customFormat="1" ht="25.5">
      <c r="A1442" s="188"/>
      <c r="B1442" s="80">
        <v>1600990</v>
      </c>
      <c r="C1442" s="81" t="s">
        <v>7742</v>
      </c>
      <c r="D1442" s="82" t="s">
        <v>84</v>
      </c>
      <c r="E1442" s="82" t="s">
        <v>172</v>
      </c>
      <c r="F1442" s="83"/>
      <c r="G1442" s="84"/>
      <c r="H1442" s="85">
        <f>SUM(H1443:H1450)</f>
        <v>463.90482506570413</v>
      </c>
      <c r="J1442" s="201" t="s">
        <v>13119</v>
      </c>
      <c r="K1442" s="78"/>
      <c r="L1442" s="78"/>
      <c r="M1442" s="78"/>
      <c r="N1442" s="78"/>
      <c r="O1442" s="78"/>
      <c r="P1442" s="78"/>
      <c r="Q1442" s="78"/>
    </row>
    <row r="1443" spans="1:17" s="87" customFormat="1" ht="25.5">
      <c r="A1443" s="232" t="s">
        <v>4542</v>
      </c>
      <c r="B1443" s="464" t="s">
        <v>8992</v>
      </c>
      <c r="C1443" s="451" t="str">
        <f>IF(A1443="SERVIÇO",VLOOKUP(B1443,SERVIÇOS!$A$6:$D$7645,2,0),IF(A1443="INSUMO",VLOOKUP(B1443,INSUMOS!$A$6:$D$6961,2,0),IF(A1443="COTAÇÃO",VLOOKUP(B1443,'036-20-Cotação'!$A$9:$G$529,2,0))))</f>
        <v>COMPRESSOR DE AR PORTÁTIL DE 340 PCM - 81 KW</v>
      </c>
      <c r="D1443" s="452" t="str">
        <f>IF(A1443="SERVIÇO",VLOOKUP(B1443,SERVIÇOS!$A$6:$E$7645,5,0),IF(A1443="INSUMO",VLOOKUP(B1443,INSUMOS!$A$6:$E$6961,5,0),IF(A1443="COTAÇÃO",VLOOKUP(B1443,'036-20-Cotação'!$A$9:$H$529,8,0))))</f>
        <v>EQUIP.</v>
      </c>
      <c r="E1443" s="452" t="str">
        <f>IF(A1443="SERVIÇO",VLOOKUP(B1443,SERVIÇOS!$A$6:$D$7645,3,0),IF(A1443="INSUMO",VLOOKUP(B1443,INSUMOS!$A$6:$D$6961,3,0),IF(A1443="COTAÇÃO",VLOOKUP(B1443,'036-20-Cotação'!$A$9:$G$529,4,0))))</f>
        <v>CHP</v>
      </c>
      <c r="F1443" s="462">
        <f>1/0.76</f>
        <v>1.3157894736842106</v>
      </c>
      <c r="G1443" s="453">
        <f>IF(A1443="SERVIÇO",VLOOKUP(B1443,SERVIÇOS!$A$6:$D$7645,4,0),IF(A1443="INSUMO",VLOOKUP(B1443,INSUMOS!$A$6:$D$6961,4,0),IF(A1443="COTAÇÃO",VLOOKUP(B1443,'036-20-Cotação'!$A$9:$G$529,3,0))))</f>
        <v>71.0929</v>
      </c>
      <c r="H1443" s="463">
        <f t="shared" ref="H1443:H1450" si="243">G1443*F1443</f>
        <v>93.543289473684212</v>
      </c>
      <c r="J1443" s="201"/>
    </row>
    <row r="1444" spans="1:17" s="87" customFormat="1" ht="25.5">
      <c r="A1444" s="232" t="s">
        <v>4542</v>
      </c>
      <c r="B1444" s="464" t="s">
        <v>9017</v>
      </c>
      <c r="C1444" s="451" t="str">
        <f>IF(A1444="SERVIÇO",VLOOKUP(B1444,SERVIÇOS!$A$6:$D$7645,2,0),IF(A1444="INSUMO",VLOOKUP(B1444,INSUMOS!$A$6:$D$6961,2,0),IF(A1444="COTAÇÃO",VLOOKUP(B1444,'036-20-Cotação'!$A$9:$G$529,2,0))))</f>
        <v>MARTELETE PERFURADOR/ROMPEDOR A AR COMPRIMIDO DE 25 KG PARA ROCHA</v>
      </c>
      <c r="D1444" s="452" t="str">
        <f>IF(A1444="SERVIÇO",VLOOKUP(B1444,SERVIÇOS!$A$6:$E$7645,5,0),IF(A1444="INSUMO",VLOOKUP(B1444,INSUMOS!$A$6:$E$6961,5,0),IF(A1444="COTAÇÃO",VLOOKUP(B1444,'036-20-Cotação'!$A$9:$H$529,8,0))))</f>
        <v>EQUIP.</v>
      </c>
      <c r="E1444" s="452" t="str">
        <f>IF(A1444="SERVIÇO",VLOOKUP(B1444,SERVIÇOS!$A$6:$D$7645,3,0),IF(A1444="INSUMO",VLOOKUP(B1444,INSUMOS!$A$6:$D$6961,3,0),IF(A1444="COTAÇÃO",VLOOKUP(B1444,'036-20-Cotação'!$A$9:$G$529,4,0))))</f>
        <v>CHP</v>
      </c>
      <c r="F1444" s="462">
        <f>1/0.76*3</f>
        <v>3.9473684210526319</v>
      </c>
      <c r="G1444" s="453">
        <f>IF(A1444="SERVIÇO",VLOOKUP(B1444,SERVIÇOS!$A$6:$D$7645,4,0),IF(A1444="INSUMO",VLOOKUP(B1444,INSUMOS!$A$6:$D$6961,4,0),IF(A1444="COTAÇÃO",VLOOKUP(B1444,'036-20-Cotação'!$A$9:$G$529,3,0))))</f>
        <v>21.363900000000001</v>
      </c>
      <c r="H1444" s="463">
        <f t="shared" si="243"/>
        <v>84.331184210526331</v>
      </c>
      <c r="J1444" s="201"/>
    </row>
    <row r="1445" spans="1:17" s="87" customFormat="1" ht="25.5">
      <c r="A1445" s="232" t="s">
        <v>4542</v>
      </c>
      <c r="B1445" s="464" t="s">
        <v>8841</v>
      </c>
      <c r="C1445" s="451" t="str">
        <f>IF(A1445="SERVIÇO",VLOOKUP(B1445,SERVIÇOS!$A$6:$D$7645,2,0),IF(A1445="INSUMO",VLOOKUP(B1445,INSUMOS!$A$6:$D$6961,2,0),IF(A1445="COTAÇÃO",VLOOKUP(B1445,'036-20-Cotação'!$A$9:$G$529,2,0))))</f>
        <v>TRANSPORTADOR MANUAL CARRINHO DE MÃO COM CAPACIDADE DE 80 L</v>
      </c>
      <c r="D1445" s="452" t="str">
        <f>IF(A1445="SERVIÇO",VLOOKUP(B1445,SERVIÇOS!$A$6:$E$7645,5,0),IF(A1445="INSUMO",VLOOKUP(B1445,INSUMOS!$A$6:$E$6961,5,0),IF(A1445="COTAÇÃO",VLOOKUP(B1445,'036-20-Cotação'!$A$9:$H$529,8,0))))</f>
        <v>EQUIP.</v>
      </c>
      <c r="E1445" s="452" t="str">
        <f>IF(A1445="SERVIÇO",VLOOKUP(B1445,SERVIÇOS!$A$6:$D$7645,3,0),IF(A1445="INSUMO",VLOOKUP(B1445,INSUMOS!$A$6:$D$6961,3,0),IF(A1445="COTAÇÃO",VLOOKUP(B1445,'036-20-Cotação'!$A$9:$G$529,4,0))))</f>
        <v>CHP</v>
      </c>
      <c r="F1445" s="462">
        <f>0.5/0.76</f>
        <v>0.65789473684210531</v>
      </c>
      <c r="G1445" s="453">
        <f>IF(A1445="SERVIÇO",VLOOKUP(B1445,SERVIÇOS!$A$6:$D$7645,4,0),IF(A1445="INSUMO",VLOOKUP(B1445,INSUMOS!$A$6:$D$6961,4,0),IF(A1445="COTAÇÃO",VLOOKUP(B1445,'036-20-Cotação'!$A$9:$G$529,3,0))))</f>
        <v>0.3054</v>
      </c>
      <c r="H1445" s="463">
        <f t="shared" ref="H1445:H1446" si="244">G1445*F1445</f>
        <v>0.20092105263157897</v>
      </c>
      <c r="J1445" s="201"/>
    </row>
    <row r="1446" spans="1:17" s="87" customFormat="1" ht="25.5">
      <c r="A1446" s="232" t="s">
        <v>4542</v>
      </c>
      <c r="B1446" s="464" t="s">
        <v>9665</v>
      </c>
      <c r="C1446" s="451" t="str">
        <f>IF(A1446="SERVIÇO",VLOOKUP(B1446,SERVIÇOS!$A$6:$D$7645,2,0),IF(A1446="INSUMO",VLOOKUP(B1446,INSUMOS!$A$6:$D$6961,2,0),IF(A1446="COTAÇÃO",VLOOKUP(B1446,'036-20-Cotação'!$A$9:$G$529,2,0))))</f>
        <v>TRANSPORTADOR MANUAL CARRINHO DE MÃO COM CAPACIDADE DE 80 L</v>
      </c>
      <c r="D1446" s="452" t="str">
        <f>IF(A1446="SERVIÇO",VLOOKUP(B1446,SERVIÇOS!$A$6:$E$7645,5,0),IF(A1446="INSUMO",VLOOKUP(B1446,INSUMOS!$A$6:$E$6961,5,0),IF(A1446="COTAÇÃO",VLOOKUP(B1446,'036-20-Cotação'!$A$9:$H$529,8,0))))</f>
        <v>EQUIP.</v>
      </c>
      <c r="E1446" s="452" t="str">
        <f>IF(A1446="SERVIÇO",VLOOKUP(B1446,SERVIÇOS!$A$6:$D$7645,3,0),IF(A1446="INSUMO",VLOOKUP(B1446,INSUMOS!$A$6:$D$6961,3,0),IF(A1446="COTAÇÃO",VLOOKUP(B1446,'036-20-Cotação'!$A$9:$G$529,4,0))))</f>
        <v>CHI</v>
      </c>
      <c r="F1446" s="462">
        <f>0.5/0.76</f>
        <v>0.65789473684210531</v>
      </c>
      <c r="G1446" s="453">
        <f>IF(A1446="SERVIÇO",VLOOKUP(B1446,SERVIÇOS!$A$6:$D$7645,4,0),IF(A1446="INSUMO",VLOOKUP(B1446,INSUMOS!$A$6:$D$6961,4,0),IF(A1446="COTAÇÃO",VLOOKUP(B1446,'036-20-Cotação'!$A$9:$G$529,3,0))))</f>
        <v>0.20469999999999999</v>
      </c>
      <c r="H1446" s="463">
        <f t="shared" si="244"/>
        <v>0.13467105263157894</v>
      </c>
      <c r="J1446" s="201"/>
    </row>
    <row r="1447" spans="1:17" s="87" customFormat="1" ht="12.75">
      <c r="A1447" s="232" t="s">
        <v>4542</v>
      </c>
      <c r="B1447" s="464" t="s">
        <v>6602</v>
      </c>
      <c r="C1447" s="451" t="str">
        <f>IF(A1447="SERVIÇO",VLOOKUP(B1447,SERVIÇOS!$A$6:$D$7645,2,0),IF(A1447="INSUMO",VLOOKUP(B1447,INSUMOS!$A$6:$D$6961,2,0),IF(A1447="COTAÇÃO",VLOOKUP(B1447,'036-20-Cotação'!$A$9:$G$529,2,0))))</f>
        <v>SERVENTE</v>
      </c>
      <c r="D1447" s="452" t="str">
        <f>IF(A1447="SERVIÇO",VLOOKUP(B1447,SERVIÇOS!$A$6:$E$7645,5,0),IF(A1447="INSUMO",VLOOKUP(B1447,INSUMOS!$A$6:$E$6961,5,0),IF(A1447="COTAÇÃO",VLOOKUP(B1447,'036-20-Cotação'!$A$9:$H$529,8,0))))</f>
        <v>M.O</v>
      </c>
      <c r="E1447" s="452" t="str">
        <f>IF(A1447="SERVIÇO",VLOOKUP(B1447,SERVIÇOS!$A$6:$D$7645,3,0),IF(A1447="INSUMO",VLOOKUP(B1447,INSUMOS!$A$6:$D$6961,3,0),IF(A1447="COTAÇÃO",VLOOKUP(B1447,'036-20-Cotação'!$A$9:$G$529,4,0))))</f>
        <v>H</v>
      </c>
      <c r="F1447" s="462">
        <f>1/0.76</f>
        <v>1.3157894736842106</v>
      </c>
      <c r="G1447" s="453">
        <f>IF(A1447="SERVIÇO",VLOOKUP(B1447,SERVIÇOS!$A$6:$D$7645,4,0),IF(A1447="INSUMO",VLOOKUP(B1447,INSUMOS!$A$6:$D$6961,4,0),IF(A1447="COTAÇÃO",VLOOKUP(B1447,'036-20-Cotação'!$A$9:$G$529,3,0))))</f>
        <v>15.637499999999999</v>
      </c>
      <c r="H1447" s="463">
        <f t="shared" si="243"/>
        <v>20.575657894736842</v>
      </c>
      <c r="J1447" s="201"/>
    </row>
    <row r="1448" spans="1:17" s="87" customFormat="1" ht="12.75">
      <c r="A1448" s="232" t="s">
        <v>4544</v>
      </c>
      <c r="B1448" s="464" t="s">
        <v>10962</v>
      </c>
      <c r="C1448" s="451" t="str">
        <f>IF(A1448="SERVIÇO",VLOOKUP(B1448,SERVIÇOS!$A$6:$D$7645,2,0),IF(A1448="INSUMO",VLOOKUP(B1448,INSUMOS!$A$6:$D$6961,2,0),IF(A1448="COTAÇÃO",VLOOKUP(B1448,'036-20-Cotação'!$A$9:$G$529,2,0))))</f>
        <v>PONTEIRO PARA MARTELETE DE 22 X 1.000 MM</v>
      </c>
      <c r="D1448" s="452" t="str">
        <f>IF(A1448="SERVIÇO",VLOOKUP(B1448,SERVIÇOS!$A$6:$E$7645,5,0),IF(A1448="INSUMO",VLOOKUP(B1448,INSUMOS!$A$6:$E$6961,5,0),IF(A1448="COTAÇÃO",VLOOKUP(B1448,'036-20-Cotação'!$A$9:$H$529,8,0))))</f>
        <v>MAT.</v>
      </c>
      <c r="E1448" s="452" t="str">
        <f>IF(A1448="SERVIÇO",VLOOKUP(B1448,SERVIÇOS!$A$6:$D$7645,3,0),IF(A1448="INSUMO",VLOOKUP(B1448,INSUMOS!$A$6:$D$6961,3,0),IF(A1448="COTAÇÃO",VLOOKUP(B1448,'036-20-Cotação'!$A$9:$G$529,4,0))))</f>
        <v>UN</v>
      </c>
      <c r="F1448" s="462">
        <v>0.66666999999999998</v>
      </c>
      <c r="G1448" s="453">
        <f>IF(A1448="SERVIÇO",VLOOKUP(B1448,SERVIÇOS!$A$6:$D$7645,4,0),IF(A1448="INSUMO",VLOOKUP(B1448,INSUMOS!$A$6:$D$6961,4,0),IF(A1448="COTAÇÃO",VLOOKUP(B1448,'036-20-Cotação'!$A$9:$G$529,3,0))))</f>
        <v>141.7611</v>
      </c>
      <c r="H1448" s="463">
        <f t="shared" si="243"/>
        <v>94.507872536999997</v>
      </c>
      <c r="J1448" s="201"/>
    </row>
    <row r="1449" spans="1:17" s="87" customFormat="1" ht="25.5">
      <c r="A1449" s="232" t="s">
        <v>4542</v>
      </c>
      <c r="B1449" s="464">
        <v>1416201</v>
      </c>
      <c r="C1449" s="451" t="str">
        <f>'036-20-CCA''s'!$C$150</f>
        <v>CORTE DE BARRAS DE AÇO CA-50 COM MAÇARICO OXIACETILENO</v>
      </c>
      <c r="D1449" s="452" t="str">
        <f>'036-20-CCA''s'!$D$150</f>
        <v>SER.CG</v>
      </c>
      <c r="E1449" s="452" t="str">
        <f>'036-20-CCA''s'!$E$150</f>
        <v>CM2</v>
      </c>
      <c r="F1449" s="462">
        <v>80</v>
      </c>
      <c r="G1449" s="453">
        <f>'036-20-CCA''s'!$H$150</f>
        <v>0.59433177399999992</v>
      </c>
      <c r="H1449" s="463">
        <f t="shared" ref="H1449" si="245">G1449*F1449</f>
        <v>47.546541919999996</v>
      </c>
      <c r="J1449" s="201"/>
    </row>
    <row r="1450" spans="1:17" s="87" customFormat="1" ht="25.5">
      <c r="A1450" s="232" t="s">
        <v>4542</v>
      </c>
      <c r="B1450" s="464" t="s">
        <v>13238</v>
      </c>
      <c r="C1450" s="451" t="str">
        <f>'036-20-CCA''s'!$C$318</f>
        <v>TEMPO FIXO - CAMINHÃO BASCULANTE 6 M3 - CARGA MANUAL E DESCARGA LIVRE</v>
      </c>
      <c r="D1450" s="452" t="str">
        <f>'036-20-CCA''s'!$D$318</f>
        <v>SER.CG</v>
      </c>
      <c r="E1450" s="452" t="str">
        <f>'036-20-CCA''s'!$E$318</f>
        <v>T</v>
      </c>
      <c r="F1450" s="462">
        <v>2.5</v>
      </c>
      <c r="G1450" s="453">
        <f>'036-20-CCA''s'!$H$318</f>
        <v>49.225874769797421</v>
      </c>
      <c r="H1450" s="463">
        <f t="shared" si="243"/>
        <v>123.06468692449356</v>
      </c>
      <c r="J1450" s="201"/>
    </row>
    <row r="1451" spans="1:17" s="87" customFormat="1" ht="12.75">
      <c r="A1451" s="188"/>
      <c r="B1451" s="348" t="s">
        <v>123</v>
      </c>
      <c r="C1451" s="695" t="s">
        <v>13122</v>
      </c>
      <c r="D1451" s="696"/>
      <c r="E1451" s="696"/>
      <c r="F1451" s="696"/>
      <c r="G1451" s="696"/>
      <c r="H1451" s="697"/>
      <c r="J1451" s="201"/>
      <c r="K1451" s="78"/>
      <c r="L1451" s="78"/>
      <c r="M1451" s="78"/>
      <c r="N1451" s="78"/>
      <c r="O1451" s="78"/>
      <c r="P1451" s="78"/>
      <c r="Q1451" s="78"/>
    </row>
    <row r="1452" spans="1:17" s="87" customFormat="1" ht="12.75">
      <c r="A1452" s="188"/>
      <c r="B1452" s="346"/>
      <c r="C1452" s="470"/>
      <c r="D1452" s="470"/>
      <c r="E1452" s="470"/>
      <c r="F1452" s="470"/>
      <c r="G1452" s="470"/>
      <c r="H1452" s="471"/>
      <c r="J1452" s="201"/>
      <c r="K1452" s="78"/>
      <c r="L1452" s="78"/>
      <c r="M1452" s="78"/>
      <c r="N1452" s="78"/>
      <c r="O1452" s="78"/>
      <c r="P1452" s="78"/>
      <c r="Q1452" s="78"/>
    </row>
    <row r="1453" spans="1:17" s="87" customFormat="1" ht="25.5">
      <c r="A1453" s="188"/>
      <c r="B1453" s="80">
        <v>4011479</v>
      </c>
      <c r="C1453" s="81" t="s">
        <v>7743</v>
      </c>
      <c r="D1453" s="82" t="s">
        <v>84</v>
      </c>
      <c r="E1453" s="82" t="s">
        <v>172</v>
      </c>
      <c r="F1453" s="83"/>
      <c r="G1453" s="84"/>
      <c r="H1453" s="85">
        <f>SUM(H1454:H1463)</f>
        <v>35.725255770961262</v>
      </c>
      <c r="J1453" s="201" t="s">
        <v>13123</v>
      </c>
      <c r="K1453" s="78"/>
      <c r="L1453" s="78"/>
      <c r="M1453" s="78"/>
      <c r="N1453" s="78"/>
      <c r="O1453" s="78"/>
      <c r="P1453" s="78"/>
      <c r="Q1453" s="78"/>
    </row>
    <row r="1454" spans="1:17" s="87" customFormat="1" ht="25.5">
      <c r="A1454" s="232" t="s">
        <v>4542</v>
      </c>
      <c r="B1454" s="464" t="s">
        <v>9508</v>
      </c>
      <c r="C1454" s="451" t="str">
        <f>IF(A1454="SERVIÇO",VLOOKUP(B1454,SERVIÇOS!$A$6:$D$7645,2,0),IF(A1454="INSUMO",VLOOKUP(B1454,INSUMOS!$A$6:$D$6961,2,0),IF(A1454="COTAÇÃO",VLOOKUP(B1454,'036-20-Cotação'!$A$9:$G$529,2,0))))</f>
        <v>CAMINHÃO TANQUE COM CAPACIDADE DE 6.000 L - 136 KW</v>
      </c>
      <c r="D1454" s="452" t="str">
        <f>IF(A1454="SERVIÇO",VLOOKUP(B1454,SERVIÇOS!$A$6:$E$7645,5,0),IF(A1454="INSUMO",VLOOKUP(B1454,INSUMOS!$A$6:$E$6961,5,0),IF(A1454="COTAÇÃO",VLOOKUP(B1454,'036-20-Cotação'!$A$9:$H$529,8,0))))</f>
        <v>EQUIP.</v>
      </c>
      <c r="E1454" s="452" t="str">
        <f>IF(A1454="SERVIÇO",VLOOKUP(B1454,SERVIÇOS!$A$6:$D$7645,3,0),IF(A1454="INSUMO",VLOOKUP(B1454,INSUMOS!$A$6:$D$6961,3,0),IF(A1454="COTAÇÃO",VLOOKUP(B1454,'036-20-Cotação'!$A$9:$G$529,4,0))))</f>
        <v>CHP</v>
      </c>
      <c r="F1454" s="462">
        <f>0.57/61.51</f>
        <v>9.2667858884734177E-3</v>
      </c>
      <c r="G1454" s="453">
        <f>IF(A1454="SERVIÇO",VLOOKUP(B1454,SERVIÇOS!$A$6:$D$7645,4,0),IF(A1454="INSUMO",VLOOKUP(B1454,INSUMOS!$A$6:$D$6961,4,0),IF(A1454="COTAÇÃO",VLOOKUP(B1454,'036-20-Cotação'!$A$9:$G$529,3,0))))</f>
        <v>154.3477</v>
      </c>
      <c r="H1454" s="463">
        <f t="shared" ref="H1454:H1463" si="246">G1454*F1454</f>
        <v>1.4303070882783286</v>
      </c>
      <c r="J1454" s="201"/>
    </row>
    <row r="1455" spans="1:17" s="87" customFormat="1" ht="25.5">
      <c r="A1455" s="232" t="s">
        <v>4542</v>
      </c>
      <c r="B1455" s="464" t="s">
        <v>10017</v>
      </c>
      <c r="C1455" s="451" t="str">
        <f>IF(A1455="SERVIÇO",VLOOKUP(B1455,SERVIÇOS!$A$6:$D$7645,2,0),IF(A1455="INSUMO",VLOOKUP(B1455,INSUMOS!$A$6:$D$6961,2,0),IF(A1455="COTAÇÃO",VLOOKUP(B1455,'036-20-Cotação'!$A$9:$G$529,2,0))))</f>
        <v>CAMINHÃO TANQUE COM CAPACIDADE DE 6.000 L - 136 KW</v>
      </c>
      <c r="D1455" s="452" t="str">
        <f>IF(A1455="SERVIÇO",VLOOKUP(B1455,SERVIÇOS!$A$6:$E$7645,5,0),IF(A1455="INSUMO",VLOOKUP(B1455,INSUMOS!$A$6:$E$6961,5,0),IF(A1455="COTAÇÃO",VLOOKUP(B1455,'036-20-Cotação'!$A$9:$H$529,8,0))))</f>
        <v>EQUIP.</v>
      </c>
      <c r="E1455" s="452" t="str">
        <f>IF(A1455="SERVIÇO",VLOOKUP(B1455,SERVIÇOS!$A$6:$D$7645,3,0),IF(A1455="INSUMO",VLOOKUP(B1455,INSUMOS!$A$6:$D$6961,3,0),IF(A1455="COTAÇÃO",VLOOKUP(B1455,'036-20-Cotação'!$A$9:$G$529,4,0))))</f>
        <v>CHI</v>
      </c>
      <c r="F1455" s="462">
        <f>0.43/61.51</f>
        <v>6.990733214111527E-3</v>
      </c>
      <c r="G1455" s="453">
        <f>IF(A1455="SERVIÇO",VLOOKUP(B1455,SERVIÇOS!$A$6:$D$7645,4,0),IF(A1455="INSUMO",VLOOKUP(B1455,INSUMOS!$A$6:$D$6961,4,0),IF(A1455="COTAÇÃO",VLOOKUP(B1455,'036-20-Cotação'!$A$9:$G$529,3,0))))</f>
        <v>41.9666</v>
      </c>
      <c r="H1455" s="463">
        <f t="shared" si="246"/>
        <v>0.29337730450333283</v>
      </c>
      <c r="J1455" s="201"/>
    </row>
    <row r="1456" spans="1:17" s="87" customFormat="1" ht="12.75">
      <c r="A1456" s="232" t="s">
        <v>4542</v>
      </c>
      <c r="B1456" s="464" t="s">
        <v>9227</v>
      </c>
      <c r="C1456" s="451" t="str">
        <f>IF(A1456="SERVIÇO",VLOOKUP(B1456,SERVIÇOS!$A$6:$D$7645,2,0),IF(A1456="INSUMO",VLOOKUP(B1456,INSUMOS!$A$6:$D$6961,2,0),IF(A1456="COTAÇÃO",VLOOKUP(B1456,'036-20-Cotação'!$A$9:$G$529,2,0))))</f>
        <v>FRESADORA A FRIO - 410 KW</v>
      </c>
      <c r="D1456" s="452" t="str">
        <f>IF(A1456="SERVIÇO",VLOOKUP(B1456,SERVIÇOS!$A$6:$E$7645,5,0),IF(A1456="INSUMO",VLOOKUP(B1456,INSUMOS!$A$6:$E$6961,5,0),IF(A1456="COTAÇÃO",VLOOKUP(B1456,'036-20-Cotação'!$A$9:$H$529,8,0))))</f>
        <v>EQUIP.</v>
      </c>
      <c r="E1456" s="452" t="str">
        <f>IF(A1456="SERVIÇO",VLOOKUP(B1456,SERVIÇOS!$A$6:$D$7645,3,0),IF(A1456="INSUMO",VLOOKUP(B1456,INSUMOS!$A$6:$D$6961,3,0),IF(A1456="COTAÇÃO",VLOOKUP(B1456,'036-20-Cotação'!$A$9:$G$529,4,0))))</f>
        <v>CHP</v>
      </c>
      <c r="F1456" s="462">
        <f t="shared" ref="F1456" si="247">1/61.51</f>
        <v>1.6257519102584946E-2</v>
      </c>
      <c r="G1456" s="453">
        <f>IF(A1456="SERVIÇO",VLOOKUP(B1456,SERVIÇOS!$A$6:$D$7645,4,0),IF(A1456="INSUMO",VLOOKUP(B1456,INSUMOS!$A$6:$D$6961,4,0),IF(A1456="COTAÇÃO",VLOOKUP(B1456,'036-20-Cotação'!$A$9:$G$529,3,0))))</f>
        <v>947.37139999999999</v>
      </c>
      <c r="H1456" s="463">
        <f t="shared" si="246"/>
        <v>15.401908632742643</v>
      </c>
      <c r="J1456" s="201"/>
    </row>
    <row r="1457" spans="1:17" s="87" customFormat="1" ht="25.5">
      <c r="A1457" s="232" t="s">
        <v>4542</v>
      </c>
      <c r="B1457" s="464" t="s">
        <v>9240</v>
      </c>
      <c r="C1457" s="451" t="str">
        <f>IF(A1457="SERVIÇO",VLOOKUP(B1457,SERVIÇOS!$A$6:$D$7645,2,0),IF(A1457="INSUMO",VLOOKUP(B1457,INSUMOS!$A$6:$D$6961,2,0),IF(A1457="COTAÇÃO",VLOOKUP(B1457,'036-20-Cotação'!$A$9:$G$529,2,0))))</f>
        <v>MINICARREGADEIRA DE PNEUS COM VASSOURA DE 1,8 M - 42 KW</v>
      </c>
      <c r="D1457" s="452" t="str">
        <f>IF(A1457="SERVIÇO",VLOOKUP(B1457,SERVIÇOS!$A$6:$E$7645,5,0),IF(A1457="INSUMO",VLOOKUP(B1457,INSUMOS!$A$6:$E$6961,5,0),IF(A1457="COTAÇÃO",VLOOKUP(B1457,'036-20-Cotação'!$A$9:$H$529,8,0))))</f>
        <v>EQUIP.</v>
      </c>
      <c r="E1457" s="452" t="str">
        <f>IF(A1457="SERVIÇO",VLOOKUP(B1457,SERVIÇOS!$A$6:$D$7645,3,0),IF(A1457="INSUMO",VLOOKUP(B1457,INSUMOS!$A$6:$D$6961,3,0),IF(A1457="COTAÇÃO",VLOOKUP(B1457,'036-20-Cotação'!$A$9:$G$529,4,0))))</f>
        <v>CHP</v>
      </c>
      <c r="F1457" s="462">
        <f>0.81/61.51*2</f>
        <v>2.6337180946187616E-2</v>
      </c>
      <c r="G1457" s="453">
        <f>IF(A1457="SERVIÇO",VLOOKUP(B1457,SERVIÇOS!$A$6:$D$7645,4,0),IF(A1457="INSUMO",VLOOKUP(B1457,INSUMOS!$A$6:$D$6961,4,0),IF(A1457="COTAÇÃO",VLOOKUP(B1457,'036-20-Cotação'!$A$9:$G$529,3,0))))</f>
        <v>90.594899999999996</v>
      </c>
      <c r="H1457" s="463">
        <f t="shared" si="246"/>
        <v>2.3860142741017722</v>
      </c>
      <c r="J1457" s="201"/>
    </row>
    <row r="1458" spans="1:17" s="87" customFormat="1" ht="25.5">
      <c r="A1458" s="232" t="s">
        <v>4542</v>
      </c>
      <c r="B1458" s="464" t="s">
        <v>9874</v>
      </c>
      <c r="C1458" s="451" t="str">
        <f>IF(A1458="SERVIÇO",VLOOKUP(B1458,SERVIÇOS!$A$6:$D$7645,2,0),IF(A1458="INSUMO",VLOOKUP(B1458,INSUMOS!$A$6:$D$6961,2,0),IF(A1458="COTAÇÃO",VLOOKUP(B1458,'036-20-Cotação'!$A$9:$G$529,2,0))))</f>
        <v>MINICARREGADEIRA DE PNEUS COM VASSOURA DE 1,8 M - 42 KW</v>
      </c>
      <c r="D1458" s="452" t="str">
        <f>IF(A1458="SERVIÇO",VLOOKUP(B1458,SERVIÇOS!$A$6:$E$7645,5,0),IF(A1458="INSUMO",VLOOKUP(B1458,INSUMOS!$A$6:$E$6961,5,0),IF(A1458="COTAÇÃO",VLOOKUP(B1458,'036-20-Cotação'!$A$9:$H$529,8,0))))</f>
        <v>EQUIP.</v>
      </c>
      <c r="E1458" s="452" t="str">
        <f>IF(A1458="SERVIÇO",VLOOKUP(B1458,SERVIÇOS!$A$6:$D$7645,3,0),IF(A1458="INSUMO",VLOOKUP(B1458,INSUMOS!$A$6:$D$6961,3,0),IF(A1458="COTAÇÃO",VLOOKUP(B1458,'036-20-Cotação'!$A$9:$G$529,4,0))))</f>
        <v>CHI</v>
      </c>
      <c r="F1458" s="462">
        <f>0.19/61.51*2</f>
        <v>6.1778572589822793E-3</v>
      </c>
      <c r="G1458" s="453">
        <f>IF(A1458="SERVIÇO",VLOOKUP(B1458,SERVIÇOS!$A$6:$D$7645,4,0),IF(A1458="INSUMO",VLOOKUP(B1458,INSUMOS!$A$6:$D$6961,4,0),IF(A1458="COTAÇÃO",VLOOKUP(B1458,'036-20-Cotação'!$A$9:$G$529,3,0))))</f>
        <v>39.799199999999999</v>
      </c>
      <c r="H1458" s="463">
        <f t="shared" ref="H1458" si="248">G1458*F1458</f>
        <v>0.24587377662168752</v>
      </c>
      <c r="J1458" s="201"/>
    </row>
    <row r="1459" spans="1:17" s="87" customFormat="1" ht="12.75">
      <c r="A1459" s="232" t="s">
        <v>4542</v>
      </c>
      <c r="B1459" s="464" t="s">
        <v>6602</v>
      </c>
      <c r="C1459" s="451" t="str">
        <f>IF(A1459="SERVIÇO",VLOOKUP(B1459,SERVIÇOS!$A$6:$D$7645,2,0),IF(A1459="INSUMO",VLOOKUP(B1459,INSUMOS!$A$6:$D$6961,2,0),IF(A1459="COTAÇÃO",VLOOKUP(B1459,'036-20-Cotação'!$A$9:$G$529,2,0))))</f>
        <v>SERVENTE</v>
      </c>
      <c r="D1459" s="452" t="str">
        <f>IF(A1459="SERVIÇO",VLOOKUP(B1459,SERVIÇOS!$A$6:$E$7645,5,0),IF(A1459="INSUMO",VLOOKUP(B1459,INSUMOS!$A$6:$E$6961,5,0),IF(A1459="COTAÇÃO",VLOOKUP(B1459,'036-20-Cotação'!$A$9:$H$529,8,0))))</f>
        <v>M.O</v>
      </c>
      <c r="E1459" s="452" t="str">
        <f>IF(A1459="SERVIÇO",VLOOKUP(B1459,SERVIÇOS!$A$6:$D$7645,3,0),IF(A1459="INSUMO",VLOOKUP(B1459,INSUMOS!$A$6:$D$6961,3,0),IF(A1459="COTAÇÃO",VLOOKUP(B1459,'036-20-Cotação'!$A$9:$G$529,4,0))))</f>
        <v>H</v>
      </c>
      <c r="F1459" s="462">
        <f>8/61.51</f>
        <v>0.13006015282067956</v>
      </c>
      <c r="G1459" s="453">
        <f>IF(A1459="SERVIÇO",VLOOKUP(B1459,SERVIÇOS!$A$6:$D$7645,4,0),IF(A1459="INSUMO",VLOOKUP(B1459,INSUMOS!$A$6:$D$6961,4,0),IF(A1459="COTAÇÃO",VLOOKUP(B1459,'036-20-Cotação'!$A$9:$G$529,3,0))))</f>
        <v>15.637499999999999</v>
      </c>
      <c r="H1459" s="463">
        <f t="shared" si="246"/>
        <v>2.0338156397333766</v>
      </c>
      <c r="J1459" s="201"/>
    </row>
    <row r="1460" spans="1:17" s="87" customFormat="1" ht="25.5">
      <c r="A1460" s="232" t="s">
        <v>4544</v>
      </c>
      <c r="B1460" s="464" t="s">
        <v>11373</v>
      </c>
      <c r="C1460" s="451" t="str">
        <f>IF(A1460="SERVIÇO",VLOOKUP(B1460,SERVIÇOS!$A$6:$D$7645,2,0),IF(A1460="INSUMO",VLOOKUP(B1460,INSUMOS!$A$6:$D$6961,2,0),IF(A1460="COTAÇÃO",VLOOKUP(B1460,'036-20-Cotação'!$A$9:$G$529,2,0))))</f>
        <v>APOIO DO PORTA BIT PARA FRESADORA DE 410 KW</v>
      </c>
      <c r="D1460" s="452" t="str">
        <f>IF(A1460="SERVIÇO",VLOOKUP(B1460,SERVIÇOS!$A$6:$E$7645,5,0),IF(A1460="INSUMO",VLOOKUP(B1460,INSUMOS!$A$6:$E$6961,5,0),IF(A1460="COTAÇÃO",VLOOKUP(B1460,'036-20-Cotação'!$A$9:$H$529,8,0))))</f>
        <v>MAT.</v>
      </c>
      <c r="E1460" s="452" t="str">
        <f>IF(A1460="SERVIÇO",VLOOKUP(B1460,SERVIÇOS!$A$6:$D$7645,3,0),IF(A1460="INSUMO",VLOOKUP(B1460,INSUMOS!$A$6:$D$6961,3,0),IF(A1460="COTAÇÃO",VLOOKUP(B1460,'036-20-Cotação'!$A$9:$G$529,4,0))))</f>
        <v>UN</v>
      </c>
      <c r="F1460" s="462">
        <v>6.4999999999999997E-4</v>
      </c>
      <c r="G1460" s="453">
        <f>IF(A1460="SERVIÇO",VLOOKUP(B1460,SERVIÇOS!$A$6:$D$7645,4,0),IF(A1460="INSUMO",VLOOKUP(B1460,INSUMOS!$A$6:$D$6961,4,0),IF(A1460="COTAÇÃO",VLOOKUP(B1460,'036-20-Cotação'!$A$9:$G$529,3,0))))</f>
        <v>2309.6597999999999</v>
      </c>
      <c r="H1460" s="463">
        <f t="shared" si="246"/>
        <v>1.5012788699999999</v>
      </c>
      <c r="J1460" s="201"/>
    </row>
    <row r="1461" spans="1:17" s="87" customFormat="1" ht="12.75">
      <c r="A1461" s="232" t="s">
        <v>4544</v>
      </c>
      <c r="B1461" s="464" t="s">
        <v>11339</v>
      </c>
      <c r="C1461" s="451" t="str">
        <f>IF(A1461="SERVIÇO",VLOOKUP(B1461,SERVIÇOS!$A$6:$D$7645,2,0),IF(A1461="INSUMO",VLOOKUP(B1461,INSUMOS!$A$6:$D$6961,2,0),IF(A1461="COTAÇÃO",VLOOKUP(B1461,'036-20-Cotação'!$A$9:$G$529,2,0))))</f>
        <v>BIT PARA FRESADORA DE 410 KW</v>
      </c>
      <c r="D1461" s="452" t="str">
        <f>IF(A1461="SERVIÇO",VLOOKUP(B1461,SERVIÇOS!$A$6:$E$7645,5,0),IF(A1461="INSUMO",VLOOKUP(B1461,INSUMOS!$A$6:$E$6961,5,0),IF(A1461="COTAÇÃO",VLOOKUP(B1461,'036-20-Cotação'!$A$9:$H$529,8,0))))</f>
        <v>MAT.</v>
      </c>
      <c r="E1461" s="452" t="str">
        <f>IF(A1461="SERVIÇO",VLOOKUP(B1461,SERVIÇOS!$A$6:$D$7645,3,0),IF(A1461="INSUMO",VLOOKUP(B1461,INSUMOS!$A$6:$D$6961,3,0),IF(A1461="COTAÇÃO",VLOOKUP(B1461,'036-20-Cotação'!$A$9:$G$529,4,0))))</f>
        <v>UN</v>
      </c>
      <c r="F1461" s="462">
        <v>0.26</v>
      </c>
      <c r="G1461" s="453">
        <f>IF(A1461="SERVIÇO",VLOOKUP(B1461,SERVIÇOS!$A$6:$D$7645,4,0),IF(A1461="INSUMO",VLOOKUP(B1461,INSUMOS!$A$6:$D$6961,4,0),IF(A1461="COTAÇÃO",VLOOKUP(B1461,'036-20-Cotação'!$A$9:$G$529,3,0))))</f>
        <v>31.3202</v>
      </c>
      <c r="H1461" s="463">
        <f t="shared" ref="H1461" si="249">G1461*F1461</f>
        <v>8.1432520000000004</v>
      </c>
      <c r="J1461" s="201"/>
    </row>
    <row r="1462" spans="1:17" s="87" customFormat="1" ht="12.75">
      <c r="A1462" s="232" t="s">
        <v>4544</v>
      </c>
      <c r="B1462" s="464" t="s">
        <v>11341</v>
      </c>
      <c r="C1462" s="451" t="str">
        <f>IF(A1462="SERVIÇO",VLOOKUP(B1462,SERVIÇOS!$A$6:$D$7645,2,0),IF(A1462="INSUMO",VLOOKUP(B1462,INSUMOS!$A$6:$D$6961,2,0),IF(A1462="COTAÇÃO",VLOOKUP(B1462,'036-20-Cotação'!$A$9:$G$529,2,0))))</f>
        <v>PORTA BITS PARA FRESADORA DE 410 KW</v>
      </c>
      <c r="D1462" s="452" t="str">
        <f>IF(A1462="SERVIÇO",VLOOKUP(B1462,SERVIÇOS!$A$6:$E$7645,5,0),IF(A1462="INSUMO",VLOOKUP(B1462,INSUMOS!$A$6:$E$6961,5,0),IF(A1462="COTAÇÃO",VLOOKUP(B1462,'036-20-Cotação'!$A$9:$H$529,8,0))))</f>
        <v>MAT.</v>
      </c>
      <c r="E1462" s="452" t="str">
        <f>IF(A1462="SERVIÇO",VLOOKUP(B1462,SERVIÇOS!$A$6:$D$7645,3,0),IF(A1462="INSUMO",VLOOKUP(B1462,INSUMOS!$A$6:$D$6961,3,0),IF(A1462="COTAÇÃO",VLOOKUP(B1462,'036-20-Cotação'!$A$9:$G$529,4,0))))</f>
        <v>UN</v>
      </c>
      <c r="F1462" s="462">
        <v>2.5999999999999999E-3</v>
      </c>
      <c r="G1462" s="453">
        <f>IF(A1462="SERVIÇO",VLOOKUP(B1462,SERVIÇOS!$A$6:$D$7645,4,0),IF(A1462="INSUMO",VLOOKUP(B1462,INSUMOS!$A$6:$D$6961,4,0),IF(A1462="COTAÇÃO",VLOOKUP(B1462,'036-20-Cotação'!$A$9:$G$529,3,0))))</f>
        <v>337.14519999999999</v>
      </c>
      <c r="H1462" s="463">
        <f t="shared" ref="H1462" si="250">G1462*F1462</f>
        <v>0.87657751999999989</v>
      </c>
      <c r="J1462" s="201"/>
    </row>
    <row r="1463" spans="1:17" s="87" customFormat="1" ht="38.25">
      <c r="A1463" s="232" t="s">
        <v>4542</v>
      </c>
      <c r="B1463" s="464" t="s">
        <v>13401</v>
      </c>
      <c r="C1463" s="451" t="str">
        <f>'036-20-CCA''s'!$C$303</f>
        <v>TEMPO FIXO - CAMINHÃO BASCULANTE 10 M3 - CARGA COM CARREGADEIRA E DESCARGA LIVRE</v>
      </c>
      <c r="D1463" s="452" t="str">
        <f>'036-20-CCA''s'!$D$303</f>
        <v>SER.CG</v>
      </c>
      <c r="E1463" s="452" t="str">
        <f>'036-20-CCA''s'!$E$303</f>
        <v>T</v>
      </c>
      <c r="F1463" s="462">
        <v>2.4</v>
      </c>
      <c r="G1463" s="453">
        <f>'036-20-CCA''s'!$H$303</f>
        <v>1.4220211104083844</v>
      </c>
      <c r="H1463" s="463">
        <f t="shared" si="246"/>
        <v>3.4128506649801227</v>
      </c>
      <c r="J1463" s="201"/>
    </row>
    <row r="1464" spans="1:17" s="87" customFormat="1" ht="12.75">
      <c r="A1464" s="188"/>
      <c r="B1464" s="348" t="s">
        <v>123</v>
      </c>
      <c r="C1464" s="695" t="s">
        <v>13124</v>
      </c>
      <c r="D1464" s="696"/>
      <c r="E1464" s="696"/>
      <c r="F1464" s="696"/>
      <c r="G1464" s="696"/>
      <c r="H1464" s="697"/>
      <c r="J1464" s="201"/>
      <c r="K1464" s="78"/>
      <c r="L1464" s="78"/>
      <c r="M1464" s="78"/>
      <c r="N1464" s="78"/>
      <c r="O1464" s="78"/>
      <c r="P1464" s="78"/>
      <c r="Q1464" s="78"/>
    </row>
    <row r="1465" spans="1:17" s="87" customFormat="1" ht="12.75">
      <c r="A1465" s="188"/>
      <c r="B1465" s="346"/>
      <c r="C1465" s="470"/>
      <c r="D1465" s="470"/>
      <c r="E1465" s="470"/>
      <c r="F1465" s="470"/>
      <c r="G1465" s="470"/>
      <c r="H1465" s="471"/>
      <c r="J1465" s="201"/>
      <c r="K1465" s="78"/>
      <c r="L1465" s="78"/>
      <c r="M1465" s="78"/>
      <c r="N1465" s="78"/>
      <c r="O1465" s="78"/>
      <c r="P1465" s="78"/>
      <c r="Q1465" s="78"/>
    </row>
    <row r="1466" spans="1:17" s="87" customFormat="1" ht="76.5">
      <c r="A1466" s="188"/>
      <c r="B1466" s="80">
        <v>5914354</v>
      </c>
      <c r="C1466" s="81" t="s">
        <v>7860</v>
      </c>
      <c r="D1466" s="82" t="s">
        <v>84</v>
      </c>
      <c r="E1466" s="82" t="s">
        <v>3495</v>
      </c>
      <c r="F1466" s="83"/>
      <c r="G1466" s="84"/>
      <c r="H1466" s="85">
        <f>SUM(H1467:H1468)</f>
        <v>0.99624261686746973</v>
      </c>
      <c r="J1466" s="201" t="s">
        <v>13126</v>
      </c>
      <c r="K1466" s="78"/>
      <c r="L1466" s="78"/>
      <c r="M1466" s="78"/>
      <c r="N1466" s="78"/>
      <c r="O1466" s="78"/>
      <c r="P1466" s="78"/>
      <c r="Q1466" s="78"/>
    </row>
    <row r="1467" spans="1:17" s="87" customFormat="1" ht="25.5">
      <c r="A1467" s="232" t="s">
        <v>4542</v>
      </c>
      <c r="B1467" s="464" t="s">
        <v>9488</v>
      </c>
      <c r="C1467" s="451" t="str">
        <f>IF(A1467="SERVIÇO",VLOOKUP(B1467,SERVIÇOS!$A$6:$D$7645,2,0),IF(A1467="INSUMO",VLOOKUP(B1467,INSUMOS!$A$6:$D$6961,2,0),IF(A1467="COTAÇÃO",VLOOKUP(B1467,'036-20-Cotação'!$A$9:$G$529,2,0))))</f>
        <v>CAMINHÃO BASCULANTE COM CAPACIDADE DE 10 M³ - 188 KW</v>
      </c>
      <c r="D1467" s="452" t="str">
        <f>IF(A1467="SERVIÇO",VLOOKUP(B1467,SERVIÇOS!$A$6:$E$7645,5,0),IF(A1467="INSUMO",VLOOKUP(B1467,INSUMOS!$A$6:$E$6961,5,0),IF(A1467="COTAÇÃO",VLOOKUP(B1467,'036-20-Cotação'!$A$9:$H$529,8,0))))</f>
        <v>EQUIP.</v>
      </c>
      <c r="E1467" s="452" t="str">
        <f>IF(A1467="SERVIÇO",VLOOKUP(B1467,SERVIÇOS!$A$6:$D$7645,3,0),IF(A1467="INSUMO",VLOOKUP(B1467,INSUMOS!$A$6:$D$6961,3,0),IF(A1467="COTAÇÃO",VLOOKUP(B1467,'036-20-Cotação'!$A$9:$G$529,4,0))))</f>
        <v>CHP</v>
      </c>
      <c r="F1467" s="462">
        <f>0.82/415*3</f>
        <v>5.9277108433734935E-3</v>
      </c>
      <c r="G1467" s="453">
        <f>IF(A1467="SERVIÇO",VLOOKUP(B1467,SERVIÇOS!$A$6:$D$7645,4,0),IF(A1467="INSUMO",VLOOKUP(B1467,INSUMOS!$A$6:$D$6961,4,0),IF(A1467="COTAÇÃO",VLOOKUP(B1467,'036-20-Cotação'!$A$9:$G$529,3,0))))</f>
        <v>158.65469999999999</v>
      </c>
      <c r="H1467" s="463">
        <f t="shared" ref="H1467" si="251">G1467*F1467</f>
        <v>0.94045918554216856</v>
      </c>
      <c r="J1467" s="201"/>
    </row>
    <row r="1468" spans="1:17" s="87" customFormat="1" ht="25.5">
      <c r="A1468" s="232" t="s">
        <v>4542</v>
      </c>
      <c r="B1468" s="464" t="s">
        <v>10007</v>
      </c>
      <c r="C1468" s="451" t="str">
        <f>IF(A1468="SERVIÇO",VLOOKUP(B1468,SERVIÇOS!$A$6:$D$7645,2,0),IF(A1468="INSUMO",VLOOKUP(B1468,INSUMOS!$A$6:$D$6961,2,0),IF(A1468="COTAÇÃO",VLOOKUP(B1468,'036-20-Cotação'!$A$9:$G$529,2,0))))</f>
        <v>CAMINHÃO BASCULANTE COM CAPACIDADE DE 10 M³ - 188 KW</v>
      </c>
      <c r="D1468" s="452" t="str">
        <f>IF(A1468="SERVIÇO",VLOOKUP(B1468,SERVIÇOS!$A$6:$E$7645,5,0),IF(A1468="INSUMO",VLOOKUP(B1468,INSUMOS!$A$6:$E$6961,5,0),IF(A1468="COTAÇÃO",VLOOKUP(B1468,'036-20-Cotação'!$A$9:$H$529,8,0))))</f>
        <v>EQUIP.</v>
      </c>
      <c r="E1468" s="452" t="str">
        <f>IF(A1468="SERVIÇO",VLOOKUP(B1468,SERVIÇOS!$A$6:$D$7645,3,0),IF(A1468="INSUMO",VLOOKUP(B1468,INSUMOS!$A$6:$D$6961,3,0),IF(A1468="COTAÇÃO",VLOOKUP(B1468,'036-20-Cotação'!$A$9:$G$529,4,0))))</f>
        <v>CHI</v>
      </c>
      <c r="F1468" s="462">
        <f>0.18/415*3</f>
        <v>1.3012048192771084E-3</v>
      </c>
      <c r="G1468" s="453">
        <f>IF(A1468="SERVIÇO",VLOOKUP(B1468,SERVIÇOS!$A$6:$D$7645,4,0),IF(A1468="INSUMO",VLOOKUP(B1468,INSUMOS!$A$6:$D$6961,4,0),IF(A1468="COTAÇÃO",VLOOKUP(B1468,'036-20-Cotação'!$A$9:$G$529,3,0))))</f>
        <v>42.870600000000003</v>
      </c>
      <c r="H1468" s="463">
        <f t="shared" ref="H1468" si="252">G1468*F1468</f>
        <v>5.5783431325301211E-2</v>
      </c>
      <c r="J1468" s="201"/>
    </row>
    <row r="1469" spans="1:17" s="87" customFormat="1" ht="12.75">
      <c r="A1469" s="188"/>
      <c r="B1469" s="348" t="s">
        <v>123</v>
      </c>
      <c r="C1469" s="695" t="s">
        <v>13125</v>
      </c>
      <c r="D1469" s="696"/>
      <c r="E1469" s="696"/>
      <c r="F1469" s="696"/>
      <c r="G1469" s="696"/>
      <c r="H1469" s="697"/>
      <c r="J1469" s="201"/>
      <c r="K1469" s="78"/>
      <c r="L1469" s="78"/>
      <c r="M1469" s="78"/>
      <c r="N1469" s="78"/>
      <c r="O1469" s="78"/>
      <c r="P1469" s="78"/>
      <c r="Q1469" s="78"/>
    </row>
    <row r="1470" spans="1:17" s="87" customFormat="1" ht="12.75">
      <c r="A1470" s="188"/>
      <c r="B1470" s="346"/>
      <c r="C1470" s="470"/>
      <c r="D1470" s="470"/>
      <c r="E1470" s="470"/>
      <c r="F1470" s="470"/>
      <c r="G1470" s="470"/>
      <c r="H1470" s="471"/>
      <c r="J1470" s="201"/>
      <c r="K1470" s="78"/>
      <c r="L1470" s="78"/>
      <c r="M1470" s="78"/>
      <c r="N1470" s="78"/>
      <c r="O1470" s="78"/>
      <c r="P1470" s="78"/>
      <c r="Q1470" s="78"/>
    </row>
    <row r="1471" spans="1:17" s="87" customFormat="1" ht="25.5">
      <c r="A1471" s="188"/>
      <c r="B1471" s="80">
        <v>5915321</v>
      </c>
      <c r="C1471" s="81" t="s">
        <v>6679</v>
      </c>
      <c r="D1471" s="82" t="s">
        <v>84</v>
      </c>
      <c r="E1471" s="82" t="s">
        <v>6668</v>
      </c>
      <c r="F1471" s="83"/>
      <c r="G1471" s="84"/>
      <c r="H1471" s="85">
        <f>SUM(H1472:H1472)</f>
        <v>0.29145487429914996</v>
      </c>
      <c r="J1471" s="201" t="s">
        <v>13127</v>
      </c>
      <c r="K1471" s="78"/>
      <c r="L1471" s="78"/>
      <c r="M1471" s="78"/>
      <c r="N1471" s="78"/>
      <c r="O1471" s="78"/>
      <c r="P1471" s="78"/>
      <c r="Q1471" s="78"/>
    </row>
    <row r="1472" spans="1:17" s="87" customFormat="1" ht="25.5">
      <c r="A1472" s="232" t="s">
        <v>4542</v>
      </c>
      <c r="B1472" s="464" t="s">
        <v>9539</v>
      </c>
      <c r="C1472" s="451" t="str">
        <f>IF(A1472="SERVIÇO",VLOOKUP(B1472,SERVIÇOS!$A$6:$D$7645,2,0),IF(A1472="INSUMO",VLOOKUP(B1472,INSUMOS!$A$6:$D$6961,2,0),IF(A1472="COTAÇÃO",VLOOKUP(B1472,'036-20-Cotação'!$A$9:$G$529,2,0))))</f>
        <v>CAMINHÃO BASCULANTE COM CAPACIDADE DE 14 M³ - 188 KW</v>
      </c>
      <c r="D1472" s="452" t="str">
        <f>IF(A1472="SERVIÇO",VLOOKUP(B1472,SERVIÇOS!$A$6:$E$7645,5,0),IF(A1472="INSUMO",VLOOKUP(B1472,INSUMOS!$A$6:$E$6961,5,0),IF(A1472="COTAÇÃO",VLOOKUP(B1472,'036-20-Cotação'!$A$9:$H$529,8,0))))</f>
        <v>EQUIP.</v>
      </c>
      <c r="E1472" s="452" t="str">
        <f>IF(A1472="SERVIÇO",VLOOKUP(B1472,SERVIÇOS!$A$6:$D$7645,3,0),IF(A1472="INSUMO",VLOOKUP(B1472,INSUMOS!$A$6:$D$6961,3,0),IF(A1472="COTAÇÃO",VLOOKUP(B1472,'036-20-Cotação'!$A$9:$G$529,4,0))))</f>
        <v>CHP</v>
      </c>
      <c r="F1472" s="462">
        <f>1/552.9</f>
        <v>1.8086453246518358E-3</v>
      </c>
      <c r="G1472" s="453">
        <f>IF(A1472="SERVIÇO",VLOOKUP(B1472,SERVIÇOS!$A$6:$D$7645,4,0),IF(A1472="INSUMO",VLOOKUP(B1472,INSUMOS!$A$6:$D$6961,4,0),IF(A1472="COTAÇÃO",VLOOKUP(B1472,'036-20-Cotação'!$A$9:$G$529,3,0))))</f>
        <v>161.1454</v>
      </c>
      <c r="H1472" s="463">
        <f t="shared" ref="H1472" si="253">G1472*F1472</f>
        <v>0.29145487429914996</v>
      </c>
      <c r="J1472" s="201"/>
    </row>
    <row r="1473" spans="1:17" s="87" customFormat="1" ht="12.75">
      <c r="A1473" s="188"/>
      <c r="B1473" s="348" t="s">
        <v>123</v>
      </c>
      <c r="C1473" s="695" t="s">
        <v>13128</v>
      </c>
      <c r="D1473" s="696"/>
      <c r="E1473" s="696"/>
      <c r="F1473" s="696"/>
      <c r="G1473" s="696"/>
      <c r="H1473" s="697"/>
      <c r="J1473" s="201"/>
      <c r="K1473" s="78"/>
      <c r="L1473" s="78"/>
      <c r="M1473" s="78"/>
      <c r="N1473" s="78"/>
      <c r="O1473" s="78"/>
      <c r="P1473" s="78"/>
      <c r="Q1473" s="78"/>
    </row>
    <row r="1474" spans="1:17" s="87" customFormat="1" ht="12.75">
      <c r="A1474" s="188"/>
      <c r="B1474" s="346"/>
      <c r="C1474" s="476"/>
      <c r="D1474" s="476"/>
      <c r="E1474" s="476"/>
      <c r="F1474" s="476"/>
      <c r="G1474" s="476"/>
      <c r="H1474" s="477"/>
      <c r="J1474" s="201"/>
      <c r="K1474" s="78"/>
      <c r="L1474" s="78"/>
      <c r="M1474" s="78"/>
      <c r="N1474" s="78"/>
      <c r="O1474" s="78"/>
      <c r="P1474" s="78"/>
      <c r="Q1474" s="78"/>
    </row>
    <row r="1475" spans="1:17" s="87" customFormat="1" ht="51">
      <c r="A1475" s="188"/>
      <c r="B1475" s="80">
        <v>5502951</v>
      </c>
      <c r="C1475" s="81" t="s">
        <v>7906</v>
      </c>
      <c r="D1475" s="82" t="s">
        <v>84</v>
      </c>
      <c r="E1475" s="82" t="s">
        <v>172</v>
      </c>
      <c r="F1475" s="83"/>
      <c r="G1475" s="84"/>
      <c r="H1475" s="85">
        <f>SUM(H1476:H1480)</f>
        <v>9.7511468489347681</v>
      </c>
      <c r="J1475" s="201" t="s">
        <v>13129</v>
      </c>
      <c r="K1475" s="78"/>
      <c r="L1475" s="78"/>
      <c r="M1475" s="78"/>
      <c r="N1475" s="78"/>
      <c r="O1475" s="78"/>
      <c r="P1475" s="78"/>
      <c r="Q1475" s="78"/>
    </row>
    <row r="1476" spans="1:17" s="87" customFormat="1" ht="38.25">
      <c r="A1476" s="232" t="s">
        <v>4542</v>
      </c>
      <c r="B1476" s="464" t="s">
        <v>9483</v>
      </c>
      <c r="C1476" s="451" t="str">
        <f>IF(A1476="SERVIÇO",VLOOKUP(B1476,SERVIÇOS!$A$6:$D$7645,2,0),IF(A1476="INSUMO",VLOOKUP(B1476,INSUMOS!$A$6:$D$6961,2,0),IF(A1476="COTAÇÃO",VLOOKUP(B1476,'036-20-Cotação'!$A$9:$G$529,2,0))))</f>
        <v>CAMINHÃO BASCULANTE COM CAÇAMBA ESTANQUE COM CAPACIDADE DE 14 M³ - 188 KW</v>
      </c>
      <c r="D1476" s="452" t="str">
        <f>IF(A1476="SERVIÇO",VLOOKUP(B1476,SERVIÇOS!$A$6:$E$7645,5,0),IF(A1476="INSUMO",VLOOKUP(B1476,INSUMOS!$A$6:$E$6961,5,0),IF(A1476="COTAÇÃO",VLOOKUP(B1476,'036-20-Cotação'!$A$9:$H$529,8,0))))</f>
        <v>EQUIP.</v>
      </c>
      <c r="E1476" s="452" t="str">
        <f>IF(A1476="SERVIÇO",VLOOKUP(B1476,SERVIÇOS!$A$6:$D$7645,3,0),IF(A1476="INSUMO",VLOOKUP(B1476,INSUMOS!$A$6:$D$6961,3,0),IF(A1476="COTAÇÃO",VLOOKUP(B1476,'036-20-Cotação'!$A$9:$G$529,4,0))))</f>
        <v>CHP</v>
      </c>
      <c r="F1476" s="462">
        <f>0.7/45.53*2</f>
        <v>3.0748956731825167E-2</v>
      </c>
      <c r="G1476" s="453">
        <f>IF(A1476="SERVIÇO",VLOOKUP(B1476,SERVIÇOS!$A$6:$D$7645,4,0),IF(A1476="INSUMO",VLOOKUP(B1476,INSUMOS!$A$6:$D$6961,4,0),IF(A1476="COTAÇÃO",VLOOKUP(B1476,'036-20-Cotação'!$A$9:$G$529,3,0))))</f>
        <v>161.1454</v>
      </c>
      <c r="H1476" s="463">
        <f t="shared" ref="H1476:H1479" si="254">G1476*F1476</f>
        <v>4.9550529321326593</v>
      </c>
      <c r="J1476" s="201"/>
    </row>
    <row r="1477" spans="1:17" s="87" customFormat="1" ht="38.25">
      <c r="A1477" s="232" t="s">
        <v>4542</v>
      </c>
      <c r="B1477" s="464" t="s">
        <v>10004</v>
      </c>
      <c r="C1477" s="451" t="str">
        <f>IF(A1477="SERVIÇO",VLOOKUP(B1477,SERVIÇOS!$A$6:$D$7645,2,0),IF(A1477="INSUMO",VLOOKUP(B1477,INSUMOS!$A$6:$D$6961,2,0),IF(A1477="COTAÇÃO",VLOOKUP(B1477,'036-20-Cotação'!$A$9:$G$529,2,0))))</f>
        <v>CAMINHÃO BASCULANTE COM CAÇAMBA ESTANQUE COM CAPACIDADE DE 14 M³ - 188 KW</v>
      </c>
      <c r="D1477" s="452" t="str">
        <f>IF(A1477="SERVIÇO",VLOOKUP(B1477,SERVIÇOS!$A$6:$E$7645,5,0),IF(A1477="INSUMO",VLOOKUP(B1477,INSUMOS!$A$6:$E$6961,5,0),IF(A1477="COTAÇÃO",VLOOKUP(B1477,'036-20-Cotação'!$A$9:$H$529,8,0))))</f>
        <v>EQUIP.</v>
      </c>
      <c r="E1477" s="452" t="str">
        <f>IF(A1477="SERVIÇO",VLOOKUP(B1477,SERVIÇOS!$A$6:$D$7645,3,0),IF(A1477="INSUMO",VLOOKUP(B1477,INSUMOS!$A$6:$D$6961,3,0),IF(A1477="COTAÇÃO",VLOOKUP(B1477,'036-20-Cotação'!$A$9:$G$529,4,0))))</f>
        <v>CHI</v>
      </c>
      <c r="F1477" s="462">
        <f>0.3/45.53*2</f>
        <v>1.3178124313639359E-2</v>
      </c>
      <c r="G1477" s="453">
        <f>IF(A1477="SERVIÇO",VLOOKUP(B1477,SERVIÇOS!$A$6:$D$7645,4,0),IF(A1477="INSUMO",VLOOKUP(B1477,INSUMOS!$A$6:$D$6961,4,0),IF(A1477="COTAÇÃO",VLOOKUP(B1477,'036-20-Cotação'!$A$9:$G$529,3,0))))</f>
        <v>44.940199999999997</v>
      </c>
      <c r="H1477" s="463">
        <f t="shared" si="254"/>
        <v>0.59222754227981544</v>
      </c>
      <c r="J1477" s="201"/>
    </row>
    <row r="1478" spans="1:17" s="87" customFormat="1" ht="25.5">
      <c r="A1478" s="232" t="s">
        <v>4542</v>
      </c>
      <c r="B1478" s="464" t="s">
        <v>9079</v>
      </c>
      <c r="C1478" s="451" t="str">
        <f>IF(A1478="SERVIÇO",VLOOKUP(B1478,SERVIÇOS!$A$6:$D$7645,2,0),IF(A1478="INSUMO",VLOOKUP(B1478,INSUMOS!$A$6:$D$6961,2,0),IF(A1478="COTAÇÃO",VLOOKUP(B1478,'036-20-Cotação'!$A$9:$G$529,2,0))))</f>
        <v>ESCAVADEIRA HIDRÁULICA DE LONGO ALCANCE SOBRE ESTEIRAS - 103 KW</v>
      </c>
      <c r="D1478" s="452" t="str">
        <f>IF(A1478="SERVIÇO",VLOOKUP(B1478,SERVIÇOS!$A$6:$E$7645,5,0),IF(A1478="INSUMO",VLOOKUP(B1478,INSUMOS!$A$6:$E$6961,5,0),IF(A1478="COTAÇÃO",VLOOKUP(B1478,'036-20-Cotação'!$A$9:$H$529,8,0))))</f>
        <v>EQUIP.</v>
      </c>
      <c r="E1478" s="452" t="str">
        <f>IF(A1478="SERVIÇO",VLOOKUP(B1478,SERVIÇOS!$A$6:$D$7645,3,0),IF(A1478="INSUMO",VLOOKUP(B1478,INSUMOS!$A$6:$D$6961,3,0),IF(A1478="COTAÇÃO",VLOOKUP(B1478,'036-20-Cotação'!$A$9:$G$529,4,0))))</f>
        <v>CHP</v>
      </c>
      <c r="F1478" s="462">
        <f>1/45.53</f>
        <v>2.1963540522732264E-2</v>
      </c>
      <c r="G1478" s="453">
        <f>IF(A1478="SERVIÇO",VLOOKUP(B1478,SERVIÇOS!$A$6:$D$7645,4,0),IF(A1478="INSUMO",VLOOKUP(B1478,INSUMOS!$A$6:$D$6961,4,0),IF(A1478="COTAÇÃO",VLOOKUP(B1478,'036-20-Cotação'!$A$9:$G$529,3,0))))</f>
        <v>166.03749999999999</v>
      </c>
      <c r="H1478" s="463">
        <f t="shared" si="254"/>
        <v>3.6467713595431581</v>
      </c>
      <c r="J1478" s="201"/>
    </row>
    <row r="1479" spans="1:17" s="87" customFormat="1" ht="12.75">
      <c r="A1479" s="232" t="s">
        <v>4542</v>
      </c>
      <c r="B1479" s="464" t="s">
        <v>6602</v>
      </c>
      <c r="C1479" s="451" t="str">
        <f>IF(A1479="SERVIÇO",VLOOKUP(B1479,SERVIÇOS!$A$6:$D$7645,2,0),IF(A1479="INSUMO",VLOOKUP(B1479,INSUMOS!$A$6:$D$6961,2,0),IF(A1479="COTAÇÃO",VLOOKUP(B1479,'036-20-Cotação'!$A$9:$G$529,2,0))))</f>
        <v>SERVENTE</v>
      </c>
      <c r="D1479" s="452" t="str">
        <f>IF(A1479="SERVIÇO",VLOOKUP(B1479,SERVIÇOS!$A$6:$E$7645,5,0),IF(A1479="INSUMO",VLOOKUP(B1479,INSUMOS!$A$6:$E$6961,5,0),IF(A1479="COTAÇÃO",VLOOKUP(B1479,'036-20-Cotação'!$A$9:$H$529,8,0))))</f>
        <v>M.O</v>
      </c>
      <c r="E1479" s="452" t="str">
        <f>IF(A1479="SERVIÇO",VLOOKUP(B1479,SERVIÇOS!$A$6:$D$7645,3,0),IF(A1479="INSUMO",VLOOKUP(B1479,INSUMOS!$A$6:$D$6961,3,0),IF(A1479="COTAÇÃO",VLOOKUP(B1479,'036-20-Cotação'!$A$9:$G$529,4,0))))</f>
        <v>H</v>
      </c>
      <c r="F1479" s="462">
        <f>1/45.53</f>
        <v>2.1963540522732264E-2</v>
      </c>
      <c r="G1479" s="453">
        <f>IF(A1479="SERVIÇO",VLOOKUP(B1479,SERVIÇOS!$A$6:$D$7645,4,0),IF(A1479="INSUMO",VLOOKUP(B1479,INSUMOS!$A$6:$D$6961,4,0),IF(A1479="COTAÇÃO",VLOOKUP(B1479,'036-20-Cotação'!$A$9:$G$529,3,0))))</f>
        <v>15.637499999999999</v>
      </c>
      <c r="H1479" s="463">
        <f t="shared" si="254"/>
        <v>0.34345486492422578</v>
      </c>
      <c r="J1479" s="201"/>
    </row>
    <row r="1480" spans="1:17" s="87" customFormat="1" ht="12.75">
      <c r="A1480" s="232" t="s">
        <v>4542</v>
      </c>
      <c r="B1480" s="464" t="s">
        <v>13130</v>
      </c>
      <c r="C1480" s="451" t="s">
        <v>13131</v>
      </c>
      <c r="D1480" s="452"/>
      <c r="E1480" s="452"/>
      <c r="F1480" s="462">
        <v>2.24E-2</v>
      </c>
      <c r="G1480" s="453">
        <f>SUM(H1476:H1479)</f>
        <v>9.5375066988798594</v>
      </c>
      <c r="H1480" s="463">
        <f t="shared" ref="H1480" si="255">G1480*F1480</f>
        <v>0.21364015005490886</v>
      </c>
      <c r="J1480" s="201"/>
    </row>
    <row r="1481" spans="1:17" s="87" customFormat="1" ht="12.75">
      <c r="A1481" s="188"/>
      <c r="B1481" s="348" t="s">
        <v>123</v>
      </c>
      <c r="C1481" s="695" t="s">
        <v>13132</v>
      </c>
      <c r="D1481" s="696"/>
      <c r="E1481" s="696"/>
      <c r="F1481" s="696"/>
      <c r="G1481" s="696"/>
      <c r="H1481" s="697"/>
      <c r="J1481" s="201"/>
      <c r="K1481" s="78"/>
      <c r="L1481" s="78"/>
      <c r="M1481" s="78"/>
      <c r="N1481" s="78"/>
      <c r="O1481" s="78"/>
      <c r="P1481" s="78"/>
      <c r="Q1481" s="78"/>
    </row>
    <row r="1482" spans="1:17" s="87" customFormat="1" ht="12.75">
      <c r="A1482" s="188"/>
      <c r="B1482" s="346"/>
      <c r="C1482" s="476"/>
      <c r="D1482" s="476"/>
      <c r="E1482" s="476"/>
      <c r="F1482" s="476"/>
      <c r="G1482" s="476"/>
      <c r="H1482" s="477"/>
      <c r="J1482" s="201"/>
      <c r="K1482" s="78"/>
      <c r="L1482" s="78"/>
      <c r="M1482" s="78"/>
      <c r="N1482" s="78"/>
      <c r="O1482" s="78"/>
      <c r="P1482" s="78"/>
      <c r="Q1482" s="78"/>
    </row>
    <row r="1483" spans="1:17" s="87" customFormat="1" ht="38.25">
      <c r="A1483" s="188"/>
      <c r="B1483" s="80">
        <v>5915373</v>
      </c>
      <c r="C1483" s="81" t="s">
        <v>7762</v>
      </c>
      <c r="D1483" s="82" t="s">
        <v>84</v>
      </c>
      <c r="E1483" s="82" t="s">
        <v>3495</v>
      </c>
      <c r="F1483" s="83"/>
      <c r="G1483" s="84"/>
      <c r="H1483" s="85">
        <f>SUM(H1484:H1485)</f>
        <v>9.3722463139635721</v>
      </c>
      <c r="J1483" s="201" t="s">
        <v>13133</v>
      </c>
      <c r="K1483" s="78"/>
      <c r="L1483" s="78"/>
      <c r="M1483" s="78"/>
      <c r="N1483" s="78"/>
      <c r="O1483" s="78"/>
      <c r="P1483" s="78"/>
      <c r="Q1483" s="78"/>
    </row>
    <row r="1484" spans="1:17" s="87" customFormat="1" ht="25.5">
      <c r="A1484" s="232" t="s">
        <v>4542</v>
      </c>
      <c r="B1484" s="464" t="s">
        <v>9562</v>
      </c>
      <c r="C1484" s="451" t="str">
        <f>IF(A1484="SERVIÇO",VLOOKUP(B1484,SERVIÇOS!$A$6:$D$7645,2,0),IF(A1484="INSUMO",VLOOKUP(B1484,INSUMOS!$A$6:$D$6961,2,0),IF(A1484="COTAÇÃO",VLOOKUP(B1484,'036-20-Cotação'!$A$9:$G$529,2,0))))</f>
        <v>CAMINHÃO CARROCERIA COM GUINDAUTO COM CAPACIDADE DE 20 T.M - 136 KW</v>
      </c>
      <c r="D1484" s="452" t="str">
        <f>IF(A1484="SERVIÇO",VLOOKUP(B1484,SERVIÇOS!$A$6:$E$7645,5,0),IF(A1484="INSUMO",VLOOKUP(B1484,INSUMOS!$A$6:$E$6961,5,0),IF(A1484="COTAÇÃO",VLOOKUP(B1484,'036-20-Cotação'!$A$9:$H$529,8,0))))</f>
        <v>EQUIP.</v>
      </c>
      <c r="E1484" s="452" t="str">
        <f>IF(A1484="SERVIÇO",VLOOKUP(B1484,SERVIÇOS!$A$6:$D$7645,3,0),IF(A1484="INSUMO",VLOOKUP(B1484,INSUMOS!$A$6:$D$6961,3,0),IF(A1484="COTAÇÃO",VLOOKUP(B1484,'036-20-Cotação'!$A$9:$G$529,4,0))))</f>
        <v>CHP</v>
      </c>
      <c r="F1484" s="462">
        <f>1/23.06</f>
        <v>4.3365134431916738E-2</v>
      </c>
      <c r="G1484" s="453">
        <f>IF(A1484="SERVIÇO",VLOOKUP(B1484,SERVIÇOS!$A$6:$D$7645,4,0),IF(A1484="INSUMO",VLOOKUP(B1484,INSUMOS!$A$6:$D$6961,4,0),IF(A1484="COTAÇÃO",VLOOKUP(B1484,'036-20-Cotação'!$A$9:$G$529,3,0))))</f>
        <v>184.84899999999999</v>
      </c>
      <c r="H1484" s="463">
        <f t="shared" ref="H1484:H1485" si="256">G1484*F1484</f>
        <v>8.0160017346053767</v>
      </c>
      <c r="J1484" s="201"/>
    </row>
    <row r="1485" spans="1:17" s="87" customFormat="1" ht="12.75">
      <c r="A1485" s="232" t="s">
        <v>4542</v>
      </c>
      <c r="B1485" s="464" t="s">
        <v>6602</v>
      </c>
      <c r="C1485" s="451" t="str">
        <f>IF(A1485="SERVIÇO",VLOOKUP(B1485,SERVIÇOS!$A$6:$D$7645,2,0),IF(A1485="INSUMO",VLOOKUP(B1485,INSUMOS!$A$6:$D$6961,2,0),IF(A1485="COTAÇÃO",VLOOKUP(B1485,'036-20-Cotação'!$A$9:$G$529,2,0))))</f>
        <v>SERVENTE</v>
      </c>
      <c r="D1485" s="452" t="str">
        <f>IF(A1485="SERVIÇO",VLOOKUP(B1485,SERVIÇOS!$A$6:$E$7645,5,0),IF(A1485="INSUMO",VLOOKUP(B1485,INSUMOS!$A$6:$E$6961,5,0),IF(A1485="COTAÇÃO",VLOOKUP(B1485,'036-20-Cotação'!$A$9:$H$529,8,0))))</f>
        <v>M.O</v>
      </c>
      <c r="E1485" s="452" t="str">
        <f>IF(A1485="SERVIÇO",VLOOKUP(B1485,SERVIÇOS!$A$6:$D$7645,3,0),IF(A1485="INSUMO",VLOOKUP(B1485,INSUMOS!$A$6:$D$6961,3,0),IF(A1485="COTAÇÃO",VLOOKUP(B1485,'036-20-Cotação'!$A$9:$G$529,4,0))))</f>
        <v>H</v>
      </c>
      <c r="F1485" s="462">
        <f>2/23.06</f>
        <v>8.6730268863833476E-2</v>
      </c>
      <c r="G1485" s="453">
        <f>IF(A1485="SERVIÇO",VLOOKUP(B1485,SERVIÇOS!$A$6:$D$7645,4,0),IF(A1485="INSUMO",VLOOKUP(B1485,INSUMOS!$A$6:$D$6961,4,0),IF(A1485="COTAÇÃO",VLOOKUP(B1485,'036-20-Cotação'!$A$9:$G$529,3,0))))</f>
        <v>15.637499999999999</v>
      </c>
      <c r="H1485" s="463">
        <f t="shared" si="256"/>
        <v>1.3562445793581959</v>
      </c>
      <c r="J1485" s="201"/>
    </row>
    <row r="1486" spans="1:17" s="87" customFormat="1" ht="12.75">
      <c r="A1486" s="188"/>
      <c r="B1486" s="348" t="s">
        <v>123</v>
      </c>
      <c r="C1486" s="695" t="s">
        <v>13134</v>
      </c>
      <c r="D1486" s="696"/>
      <c r="E1486" s="696"/>
      <c r="F1486" s="696"/>
      <c r="G1486" s="696"/>
      <c r="H1486" s="697"/>
      <c r="J1486" s="201"/>
      <c r="K1486" s="78"/>
      <c r="L1486" s="78"/>
      <c r="M1486" s="78"/>
      <c r="N1486" s="78"/>
      <c r="O1486" s="78"/>
      <c r="P1486" s="78"/>
      <c r="Q1486" s="78"/>
    </row>
    <row r="1487" spans="1:17" s="87" customFormat="1" ht="12.75">
      <c r="A1487" s="188"/>
      <c r="B1487" s="346"/>
      <c r="C1487" s="476"/>
      <c r="D1487" s="476"/>
      <c r="E1487" s="476"/>
      <c r="F1487" s="476"/>
      <c r="G1487" s="476"/>
      <c r="H1487" s="477"/>
      <c r="J1487" s="201"/>
      <c r="K1487" s="78"/>
      <c r="L1487" s="78"/>
      <c r="M1487" s="78"/>
      <c r="N1487" s="78"/>
      <c r="O1487" s="78"/>
      <c r="P1487" s="78"/>
      <c r="Q1487" s="78"/>
    </row>
    <row r="1488" spans="1:17" s="87" customFormat="1" ht="25.5">
      <c r="A1488" s="188"/>
      <c r="B1488" s="80">
        <v>5914434</v>
      </c>
      <c r="C1488" s="81" t="s">
        <v>7763</v>
      </c>
      <c r="D1488" s="82" t="s">
        <v>84</v>
      </c>
      <c r="E1488" s="82" t="s">
        <v>6668</v>
      </c>
      <c r="F1488" s="83"/>
      <c r="G1488" s="84"/>
      <c r="H1488" s="85">
        <f>SUM(H1489:H1489)</f>
        <v>0.48409103078982602</v>
      </c>
      <c r="J1488" s="201" t="s">
        <v>13136</v>
      </c>
      <c r="K1488" s="78"/>
      <c r="L1488" s="78"/>
      <c r="M1488" s="78"/>
      <c r="N1488" s="78"/>
      <c r="O1488" s="78"/>
      <c r="P1488" s="78"/>
      <c r="Q1488" s="78"/>
    </row>
    <row r="1489" spans="1:17" s="87" customFormat="1" ht="25.5">
      <c r="A1489" s="232" t="s">
        <v>4542</v>
      </c>
      <c r="B1489" s="464" t="s">
        <v>9465</v>
      </c>
      <c r="C1489" s="451" t="str">
        <f>IF(A1489="SERVIÇO",VLOOKUP(B1489,SERVIÇOS!$A$6:$D$7645,2,0),IF(A1489="INSUMO",VLOOKUP(B1489,INSUMOS!$A$6:$D$6961,2,0),IF(A1489="COTAÇÃO",VLOOKUP(B1489,'036-20-Cotação'!$A$9:$G$529,2,0))))</f>
        <v>CAMINHÃO CARROCERIA COM CAPACIDADE DE 9 T - 136 KW</v>
      </c>
      <c r="D1489" s="452" t="str">
        <f>IF(A1489="SERVIÇO",VLOOKUP(B1489,SERVIÇOS!$A$6:$E$7645,5,0),IF(A1489="INSUMO",VLOOKUP(B1489,INSUMOS!$A$6:$E$6961,5,0),IF(A1489="COTAÇÃO",VLOOKUP(B1489,'036-20-Cotação'!$A$9:$H$529,8,0))))</f>
        <v>EQUIP.</v>
      </c>
      <c r="E1489" s="452" t="str">
        <f>IF(A1489="SERVIÇO",VLOOKUP(B1489,SERVIÇOS!$A$6:$D$7645,3,0),IF(A1489="INSUMO",VLOOKUP(B1489,INSUMOS!$A$6:$D$6961,3,0),IF(A1489="COTAÇÃO",VLOOKUP(B1489,'036-20-Cotação'!$A$9:$G$529,4,0))))</f>
        <v>CHP</v>
      </c>
      <c r="F1489" s="462">
        <f>1/224.1</f>
        <v>4.4622936189201252E-3</v>
      </c>
      <c r="G1489" s="453">
        <f>IF(A1489="SERVIÇO",VLOOKUP(B1489,SERVIÇOS!$A$6:$D$7645,4,0),IF(A1489="INSUMO",VLOOKUP(B1489,INSUMOS!$A$6:$D$6961,4,0),IF(A1489="COTAÇÃO",VLOOKUP(B1489,'036-20-Cotação'!$A$9:$G$529,3,0))))</f>
        <v>108.48480000000001</v>
      </c>
      <c r="H1489" s="463">
        <f t="shared" ref="H1489" si="257">G1489*F1489</f>
        <v>0.48409103078982602</v>
      </c>
      <c r="J1489" s="201"/>
    </row>
    <row r="1490" spans="1:17" s="87" customFormat="1" ht="12.75">
      <c r="A1490" s="188"/>
      <c r="B1490" s="348" t="s">
        <v>123</v>
      </c>
      <c r="C1490" s="695" t="s">
        <v>13135</v>
      </c>
      <c r="D1490" s="696"/>
      <c r="E1490" s="696"/>
      <c r="F1490" s="696"/>
      <c r="G1490" s="696"/>
      <c r="H1490" s="697"/>
      <c r="J1490" s="201"/>
      <c r="K1490" s="78"/>
      <c r="L1490" s="78"/>
      <c r="M1490" s="78"/>
      <c r="N1490" s="78"/>
      <c r="O1490" s="78"/>
      <c r="P1490" s="78"/>
      <c r="Q1490" s="78"/>
    </row>
    <row r="1491" spans="1:17" s="87" customFormat="1" ht="12.75">
      <c r="A1491" s="188"/>
      <c r="B1491" s="346"/>
      <c r="C1491" s="476"/>
      <c r="D1491" s="476"/>
      <c r="E1491" s="476"/>
      <c r="F1491" s="476"/>
      <c r="G1491" s="476"/>
      <c r="H1491" s="477"/>
      <c r="J1491" s="201"/>
      <c r="K1491" s="78"/>
      <c r="L1491" s="78"/>
      <c r="M1491" s="78"/>
      <c r="N1491" s="78"/>
      <c r="O1491" s="78"/>
      <c r="P1491" s="78"/>
      <c r="Q1491" s="78"/>
    </row>
    <row r="1492" spans="1:17" s="87" customFormat="1" ht="25.5">
      <c r="A1492" s="188"/>
      <c r="B1492" s="80">
        <v>4915639</v>
      </c>
      <c r="C1492" s="81" t="s">
        <v>8309</v>
      </c>
      <c r="D1492" s="82" t="s">
        <v>84</v>
      </c>
      <c r="E1492" s="82" t="s">
        <v>150</v>
      </c>
      <c r="F1492" s="83"/>
      <c r="G1492" s="84"/>
      <c r="H1492" s="85">
        <f>SUM(H1493:H1493)</f>
        <v>3.1274999999999999</v>
      </c>
      <c r="J1492" s="201" t="s">
        <v>13137</v>
      </c>
      <c r="K1492" s="78"/>
      <c r="L1492" s="78"/>
      <c r="M1492" s="78"/>
      <c r="N1492" s="78"/>
      <c r="O1492" s="78"/>
      <c r="P1492" s="78"/>
      <c r="Q1492" s="78"/>
    </row>
    <row r="1493" spans="1:17" s="87" customFormat="1" ht="12.75">
      <c r="A1493" s="232" t="s">
        <v>4542</v>
      </c>
      <c r="B1493" s="464" t="s">
        <v>6602</v>
      </c>
      <c r="C1493" s="451" t="str">
        <f>IF(A1493="SERVIÇO",VLOOKUP(B1493,SERVIÇOS!$A$6:$D$7645,2,0),IF(A1493="INSUMO",VLOOKUP(B1493,INSUMOS!$A$6:$D$6961,2,0),IF(A1493="COTAÇÃO",VLOOKUP(B1493,'036-20-Cotação'!$A$9:$G$529,2,0))))</f>
        <v>SERVENTE</v>
      </c>
      <c r="D1493" s="452" t="str">
        <f>IF(A1493="SERVIÇO",VLOOKUP(B1493,SERVIÇOS!$A$6:$E$7645,5,0),IF(A1493="INSUMO",VLOOKUP(B1493,INSUMOS!$A$6:$E$6961,5,0),IF(A1493="COTAÇÃO",VLOOKUP(B1493,'036-20-Cotação'!$A$9:$H$529,8,0))))</f>
        <v>M.O</v>
      </c>
      <c r="E1493" s="452" t="str">
        <f>IF(A1493="SERVIÇO",VLOOKUP(B1493,SERVIÇOS!$A$6:$D$7645,3,0),IF(A1493="INSUMO",VLOOKUP(B1493,INSUMOS!$A$6:$D$6961,3,0),IF(A1493="COTAÇÃO",VLOOKUP(B1493,'036-20-Cotação'!$A$9:$G$529,4,0))))</f>
        <v>H</v>
      </c>
      <c r="F1493" s="462">
        <f>1/5</f>
        <v>0.2</v>
      </c>
      <c r="G1493" s="453">
        <f>IF(A1493="SERVIÇO",VLOOKUP(B1493,SERVIÇOS!$A$6:$D$7645,4,0),IF(A1493="INSUMO",VLOOKUP(B1493,INSUMOS!$A$6:$D$6961,4,0),IF(A1493="COTAÇÃO",VLOOKUP(B1493,'036-20-Cotação'!$A$9:$G$529,3,0))))</f>
        <v>15.637499999999999</v>
      </c>
      <c r="H1493" s="463">
        <f t="shared" ref="H1493" si="258">G1493*F1493</f>
        <v>3.1274999999999999</v>
      </c>
      <c r="J1493" s="201"/>
    </row>
    <row r="1494" spans="1:17" s="87" customFormat="1" ht="12.75">
      <c r="A1494" s="188"/>
      <c r="B1494" s="348" t="s">
        <v>123</v>
      </c>
      <c r="C1494" s="695" t="s">
        <v>13138</v>
      </c>
      <c r="D1494" s="696"/>
      <c r="E1494" s="696"/>
      <c r="F1494" s="696"/>
      <c r="G1494" s="696"/>
      <c r="H1494" s="697"/>
      <c r="J1494" s="201"/>
      <c r="K1494" s="78"/>
      <c r="L1494" s="78"/>
      <c r="M1494" s="78"/>
      <c r="N1494" s="78"/>
      <c r="O1494" s="78"/>
      <c r="P1494" s="78"/>
      <c r="Q1494" s="78"/>
    </row>
    <row r="1495" spans="1:17" s="87" customFormat="1" ht="12.75">
      <c r="A1495" s="188"/>
      <c r="B1495" s="346"/>
      <c r="C1495" s="476"/>
      <c r="D1495" s="476"/>
      <c r="E1495" s="476"/>
      <c r="F1495" s="476"/>
      <c r="G1495" s="476"/>
      <c r="H1495" s="477"/>
      <c r="J1495" s="201"/>
      <c r="K1495" s="78"/>
      <c r="L1495" s="78"/>
      <c r="M1495" s="78"/>
      <c r="N1495" s="78"/>
      <c r="O1495" s="78"/>
      <c r="P1495" s="78"/>
      <c r="Q1495" s="78"/>
    </row>
    <row r="1496" spans="1:17" s="87" customFormat="1" ht="12.75">
      <c r="A1496" s="188"/>
      <c r="B1496" s="80">
        <v>3806413</v>
      </c>
      <c r="C1496" s="81" t="s">
        <v>7746</v>
      </c>
      <c r="D1496" s="82" t="s">
        <v>84</v>
      </c>
      <c r="E1496" s="82" t="s">
        <v>150</v>
      </c>
      <c r="F1496" s="83"/>
      <c r="G1496" s="84"/>
      <c r="H1496" s="85">
        <f>SUM(H1497:H1499)</f>
        <v>9.1967760617760614</v>
      </c>
      <c r="J1496" s="201" t="s">
        <v>13140</v>
      </c>
      <c r="K1496" s="78"/>
      <c r="L1496" s="78"/>
      <c r="M1496" s="78"/>
      <c r="N1496" s="78"/>
      <c r="O1496" s="78"/>
      <c r="P1496" s="78"/>
      <c r="Q1496" s="78"/>
    </row>
    <row r="1497" spans="1:17" s="87" customFormat="1" ht="12.75">
      <c r="A1497" s="232" t="s">
        <v>4542</v>
      </c>
      <c r="B1497" s="464" t="s">
        <v>9006</v>
      </c>
      <c r="C1497" s="451" t="str">
        <f>IF(A1497="SERVIÇO",VLOOKUP(B1497,SERVIÇOS!$A$6:$D$7645,2,0),IF(A1497="INSUMO",VLOOKUP(B1497,INSUMOS!$A$6:$D$6961,2,0),IF(A1497="COTAÇÃO",VLOOKUP(B1497,'036-20-Cotação'!$A$9:$G$529,2,0))))</f>
        <v>GRUPO GERADOR - 2,5/3 KVA</v>
      </c>
      <c r="D1497" s="452" t="str">
        <f>IF(A1497="SERVIÇO",VLOOKUP(B1497,SERVIÇOS!$A$6:$E$7645,5,0),IF(A1497="INSUMO",VLOOKUP(B1497,INSUMOS!$A$6:$E$6961,5,0),IF(A1497="COTAÇÃO",VLOOKUP(B1497,'036-20-Cotação'!$A$9:$H$529,8,0))))</f>
        <v>EQUIP.</v>
      </c>
      <c r="E1497" s="452" t="str">
        <f>IF(A1497="SERVIÇO",VLOOKUP(B1497,SERVIÇOS!$A$6:$D$7645,3,0),IF(A1497="INSUMO",VLOOKUP(B1497,INSUMOS!$A$6:$D$6961,3,0),IF(A1497="COTAÇÃO",VLOOKUP(B1497,'036-20-Cotação'!$A$9:$G$529,4,0))))</f>
        <v>CHP</v>
      </c>
      <c r="F1497" s="462">
        <f>1/2.59</f>
        <v>0.38610038610038611</v>
      </c>
      <c r="G1497" s="453">
        <f>IF(A1497="SERVIÇO",VLOOKUP(B1497,SERVIÇOS!$A$6:$D$7645,4,0),IF(A1497="INSUMO",VLOOKUP(B1497,INSUMOS!$A$6:$D$6961,4,0),IF(A1497="COTAÇÃO",VLOOKUP(B1497,'036-20-Cotação'!$A$9:$G$529,3,0))))</f>
        <v>2.9165999999999999</v>
      </c>
      <c r="H1497" s="463">
        <f t="shared" ref="H1497:H1499" si="259">G1497*F1497</f>
        <v>1.126100386100386</v>
      </c>
      <c r="J1497" s="201"/>
    </row>
    <row r="1498" spans="1:17" s="87" customFormat="1" ht="25.5">
      <c r="A1498" s="232" t="s">
        <v>4542</v>
      </c>
      <c r="B1498" s="464" t="s">
        <v>9221</v>
      </c>
      <c r="C1498" s="451" t="str">
        <f>IF(A1498="SERVIÇO",VLOOKUP(B1498,SERVIÇOS!$A$6:$D$7645,2,0),IF(A1498="INSUMO",VLOOKUP(B1498,INSUMOS!$A$6:$D$6961,2,0),IF(A1498="COTAÇÃO",VLOOKUP(B1498,'036-20-Cotação'!$A$9:$G$529,2,0))))</f>
        <v>MARTELETE PERFURADOR/ROMPEDOR ELÉTRICO - 1,5 KW</v>
      </c>
      <c r="D1498" s="452" t="str">
        <f>IF(A1498="SERVIÇO",VLOOKUP(B1498,SERVIÇOS!$A$6:$E$7645,5,0),IF(A1498="INSUMO",VLOOKUP(B1498,INSUMOS!$A$6:$E$6961,5,0),IF(A1498="COTAÇÃO",VLOOKUP(B1498,'036-20-Cotação'!$A$9:$H$529,8,0))))</f>
        <v>EQUIP.</v>
      </c>
      <c r="E1498" s="452" t="str">
        <f>IF(A1498="SERVIÇO",VLOOKUP(B1498,SERVIÇOS!$A$6:$D$7645,3,0),IF(A1498="INSUMO",VLOOKUP(B1498,INSUMOS!$A$6:$D$6961,3,0),IF(A1498="COTAÇÃO",VLOOKUP(B1498,'036-20-Cotação'!$A$9:$G$529,4,0))))</f>
        <v>CHP</v>
      </c>
      <c r="F1498" s="462">
        <f t="shared" ref="F1498" si="260">1/2.59</f>
        <v>0.38610038610038611</v>
      </c>
      <c r="G1498" s="453">
        <f>IF(A1498="SERVIÇO",VLOOKUP(B1498,SERVIÇOS!$A$6:$D$7645,4,0),IF(A1498="INSUMO",VLOOKUP(B1498,INSUMOS!$A$6:$D$6961,4,0),IF(A1498="COTAÇÃO",VLOOKUP(B1498,'036-20-Cotação'!$A$9:$G$529,3,0))))</f>
        <v>0.57430000000000003</v>
      </c>
      <c r="H1498" s="463">
        <f t="shared" si="259"/>
        <v>0.22173745173745174</v>
      </c>
      <c r="J1498" s="201"/>
    </row>
    <row r="1499" spans="1:17" s="87" customFormat="1" ht="12.75">
      <c r="A1499" s="232" t="s">
        <v>4542</v>
      </c>
      <c r="B1499" s="464" t="s">
        <v>6602</v>
      </c>
      <c r="C1499" s="451" t="str">
        <f>IF(A1499="SERVIÇO",VLOOKUP(B1499,SERVIÇOS!$A$6:$D$7645,2,0),IF(A1499="INSUMO",VLOOKUP(B1499,INSUMOS!$A$6:$D$6961,2,0),IF(A1499="COTAÇÃO",VLOOKUP(B1499,'036-20-Cotação'!$A$9:$G$529,2,0))))</f>
        <v>SERVENTE</v>
      </c>
      <c r="D1499" s="452" t="str">
        <f>IF(A1499="SERVIÇO",VLOOKUP(B1499,SERVIÇOS!$A$6:$E$7645,5,0),IF(A1499="INSUMO",VLOOKUP(B1499,INSUMOS!$A$6:$E$6961,5,0),IF(A1499="COTAÇÃO",VLOOKUP(B1499,'036-20-Cotação'!$A$9:$H$529,8,0))))</f>
        <v>M.O</v>
      </c>
      <c r="E1499" s="452" t="str">
        <f>IF(A1499="SERVIÇO",VLOOKUP(B1499,SERVIÇOS!$A$6:$D$7645,3,0),IF(A1499="INSUMO",VLOOKUP(B1499,INSUMOS!$A$6:$D$6961,3,0),IF(A1499="COTAÇÃO",VLOOKUP(B1499,'036-20-Cotação'!$A$9:$G$529,4,0))))</f>
        <v>H</v>
      </c>
      <c r="F1499" s="462">
        <f>1.3/2.59</f>
        <v>0.50193050193050193</v>
      </c>
      <c r="G1499" s="453">
        <f>IF(A1499="SERVIÇO",VLOOKUP(B1499,SERVIÇOS!$A$6:$D$7645,4,0),IF(A1499="INSUMO",VLOOKUP(B1499,INSUMOS!$A$6:$D$6961,4,0),IF(A1499="COTAÇÃO",VLOOKUP(B1499,'036-20-Cotação'!$A$9:$G$529,3,0))))</f>
        <v>15.637499999999999</v>
      </c>
      <c r="H1499" s="463">
        <f t="shared" si="259"/>
        <v>7.8489382239382239</v>
      </c>
      <c r="J1499" s="201"/>
    </row>
    <row r="1500" spans="1:17" s="87" customFormat="1" ht="12.75">
      <c r="A1500" s="188"/>
      <c r="B1500" s="348" t="s">
        <v>123</v>
      </c>
      <c r="C1500" s="695" t="s">
        <v>13141</v>
      </c>
      <c r="D1500" s="696"/>
      <c r="E1500" s="696"/>
      <c r="F1500" s="696"/>
      <c r="G1500" s="696"/>
      <c r="H1500" s="697"/>
      <c r="J1500" s="201"/>
      <c r="K1500" s="78"/>
      <c r="L1500" s="78"/>
      <c r="M1500" s="78"/>
      <c r="N1500" s="78"/>
      <c r="O1500" s="78"/>
      <c r="P1500" s="78"/>
      <c r="Q1500" s="78"/>
    </row>
    <row r="1501" spans="1:17" s="87" customFormat="1" ht="12.75">
      <c r="A1501" s="188"/>
      <c r="B1501" s="346"/>
      <c r="C1501" s="476"/>
      <c r="D1501" s="476"/>
      <c r="E1501" s="476"/>
      <c r="F1501" s="476"/>
      <c r="G1501" s="476"/>
      <c r="H1501" s="477"/>
      <c r="J1501" s="201"/>
      <c r="K1501" s="78"/>
      <c r="L1501" s="78"/>
      <c r="M1501" s="78"/>
      <c r="N1501" s="78"/>
      <c r="O1501" s="78"/>
      <c r="P1501" s="78"/>
      <c r="Q1501" s="78"/>
    </row>
    <row r="1502" spans="1:17" s="87" customFormat="1" ht="25.5">
      <c r="A1502" s="188"/>
      <c r="B1502" s="80" t="s">
        <v>13509</v>
      </c>
      <c r="C1502" s="81" t="s">
        <v>7747</v>
      </c>
      <c r="D1502" s="82" t="s">
        <v>84</v>
      </c>
      <c r="E1502" s="82" t="s">
        <v>150</v>
      </c>
      <c r="F1502" s="83"/>
      <c r="G1502" s="84"/>
      <c r="H1502" s="85">
        <f>SUM(H1503:H1506)</f>
        <v>2.7163414430424733</v>
      </c>
      <c r="J1502" s="201" t="s">
        <v>13142</v>
      </c>
      <c r="K1502" s="78"/>
      <c r="L1502" s="78"/>
      <c r="M1502" s="78"/>
      <c r="N1502" s="78"/>
      <c r="O1502" s="78"/>
      <c r="P1502" s="78"/>
      <c r="Q1502" s="78"/>
    </row>
    <row r="1503" spans="1:17" s="87" customFormat="1" ht="25.5">
      <c r="A1503" s="232" t="s">
        <v>4542</v>
      </c>
      <c r="B1503" s="464" t="s">
        <v>9479</v>
      </c>
      <c r="C1503" s="451" t="str">
        <f>IF(A1503="SERVIÇO",VLOOKUP(B1503,SERVIÇOS!$A$6:$D$7645,2,0),IF(A1503="INSUMO",VLOOKUP(B1503,INSUMOS!$A$6:$D$6961,2,0),IF(A1503="COTAÇÃO",VLOOKUP(B1503,'036-20-Cotação'!$A$9:$G$529,2,0))))</f>
        <v>CAMINHÃO TANQUE COM CAPACIDADE DE 10.000 L - 188 KW</v>
      </c>
      <c r="D1503" s="452" t="str">
        <f>IF(A1503="SERVIÇO",VLOOKUP(B1503,SERVIÇOS!$A$6:$E$7645,5,0),IF(A1503="INSUMO",VLOOKUP(B1503,INSUMOS!$A$6:$E$6961,5,0),IF(A1503="COTAÇÃO",VLOOKUP(B1503,'036-20-Cotação'!$A$9:$H$529,8,0))))</f>
        <v>EQUIP.</v>
      </c>
      <c r="E1503" s="452" t="str">
        <f>IF(A1503="SERVIÇO",VLOOKUP(B1503,SERVIÇOS!$A$6:$D$7645,3,0),IF(A1503="INSUMO",VLOOKUP(B1503,INSUMOS!$A$6:$D$6961,3,0),IF(A1503="COTAÇÃO",VLOOKUP(B1503,'036-20-Cotação'!$A$9:$G$529,4,0))))</f>
        <v>CHP</v>
      </c>
      <c r="F1503" s="462">
        <f>0.41/56.27</f>
        <v>7.2862982050826367E-3</v>
      </c>
      <c r="G1503" s="453">
        <f>IF(A1503="SERVIÇO",VLOOKUP(B1503,SERVIÇOS!$A$6:$D$7645,4,0),IF(A1503="INSUMO",VLOOKUP(B1503,INSUMOS!$A$6:$D$6961,4,0),IF(A1503="COTAÇÃO",VLOOKUP(B1503,'036-20-Cotação'!$A$9:$G$529,3,0))))</f>
        <v>200.50309999999999</v>
      </c>
      <c r="H1503" s="463">
        <f t="shared" ref="H1503:H1506" si="261">G1503*F1503</f>
        <v>1.4609253776435043</v>
      </c>
      <c r="J1503" s="201"/>
    </row>
    <row r="1504" spans="1:17" s="87" customFormat="1" ht="25.5">
      <c r="A1504" s="232" t="s">
        <v>4542</v>
      </c>
      <c r="B1504" s="464" t="s">
        <v>10001</v>
      </c>
      <c r="C1504" s="451" t="str">
        <f>IF(A1504="SERVIÇO",VLOOKUP(B1504,SERVIÇOS!$A$6:$D$7645,2,0),IF(A1504="INSUMO",VLOOKUP(B1504,INSUMOS!$A$6:$D$6961,2,0),IF(A1504="COTAÇÃO",VLOOKUP(B1504,'036-20-Cotação'!$A$9:$G$529,2,0))))</f>
        <v>CAMINHÃO TANQUE COM CAPACIDADE DE 10.000 L - 188 KW</v>
      </c>
      <c r="D1504" s="452" t="str">
        <f>IF(A1504="SERVIÇO",VLOOKUP(B1504,SERVIÇOS!$A$6:$E$7645,5,0),IF(A1504="INSUMO",VLOOKUP(B1504,INSUMOS!$A$6:$E$6961,5,0),IF(A1504="COTAÇÃO",VLOOKUP(B1504,'036-20-Cotação'!$A$9:$H$529,8,0))))</f>
        <v>EQUIP.</v>
      </c>
      <c r="E1504" s="452" t="str">
        <f>IF(A1504="SERVIÇO",VLOOKUP(B1504,SERVIÇOS!$A$6:$D$7645,3,0),IF(A1504="INSUMO",VLOOKUP(B1504,INSUMOS!$A$6:$D$6961,3,0),IF(A1504="COTAÇÃO",VLOOKUP(B1504,'036-20-Cotação'!$A$9:$G$529,4,0))))</f>
        <v>CHI</v>
      </c>
      <c r="F1504" s="462">
        <f>0.59/56.27</f>
        <v>1.0485160831704282E-2</v>
      </c>
      <c r="G1504" s="453">
        <f>IF(A1504="SERVIÇO",VLOOKUP(B1504,SERVIÇOS!$A$6:$D$7645,4,0),IF(A1504="INSUMO",VLOOKUP(B1504,INSUMOS!$A$6:$D$6961,4,0),IF(A1504="COTAÇÃO",VLOOKUP(B1504,'036-20-Cotação'!$A$9:$G$529,3,0))))</f>
        <v>47.441800000000001</v>
      </c>
      <c r="H1504" s="463">
        <f t="shared" si="261"/>
        <v>0.49743490314554822</v>
      </c>
      <c r="J1504" s="201"/>
    </row>
    <row r="1505" spans="1:17" s="87" customFormat="1" ht="12.75">
      <c r="A1505" s="232" t="s">
        <v>4542</v>
      </c>
      <c r="B1505" s="464" t="s">
        <v>8770</v>
      </c>
      <c r="C1505" s="451" t="str">
        <f>IF(A1505="SERVIÇO",VLOOKUP(B1505,SERVIÇOS!$A$6:$D$7645,2,0),IF(A1505="INSUMO",VLOOKUP(B1505,INSUMOS!$A$6:$D$6961,2,0),IF(A1505="COTAÇÃO",VLOOKUP(B1505,'036-20-Cotação'!$A$9:$G$529,2,0))))</f>
        <v>LAVADORA PROFISSIONAL - 5,2 KW</v>
      </c>
      <c r="D1505" s="452" t="str">
        <f>IF(A1505="SERVIÇO",VLOOKUP(B1505,SERVIÇOS!$A$6:$E$7645,5,0),IF(A1505="INSUMO",VLOOKUP(B1505,INSUMOS!$A$6:$E$6961,5,0),IF(A1505="COTAÇÃO",VLOOKUP(B1505,'036-20-Cotação'!$A$9:$H$529,8,0))))</f>
        <v>EQUIP.</v>
      </c>
      <c r="E1505" s="452" t="str">
        <f>IF(A1505="SERVIÇO",VLOOKUP(B1505,SERVIÇOS!$A$6:$D$7645,3,0),IF(A1505="INSUMO",VLOOKUP(B1505,INSUMOS!$A$6:$D$6961,3,0),IF(A1505="COTAÇÃO",VLOOKUP(B1505,'036-20-Cotação'!$A$9:$G$529,4,0))))</f>
        <v>CHP</v>
      </c>
      <c r="F1505" s="462">
        <f>1/56.27</f>
        <v>1.7771459036786921E-2</v>
      </c>
      <c r="G1505" s="453">
        <f>IF(A1505="SERVIÇO",VLOOKUP(B1505,SERVIÇOS!$A$6:$D$7645,4,0),IF(A1505="INSUMO",VLOOKUP(B1505,INSUMOS!$A$6:$D$6961,4,0),IF(A1505="COTAÇÃO",VLOOKUP(B1505,'036-20-Cotação'!$A$9:$G$529,3,0))))</f>
        <v>27.014099999999999</v>
      </c>
      <c r="H1505" s="463">
        <f t="shared" ref="H1505" si="262">G1505*F1505</f>
        <v>0.48007997156566551</v>
      </c>
      <c r="J1505" s="201"/>
    </row>
    <row r="1506" spans="1:17" s="87" customFormat="1" ht="12.75">
      <c r="A1506" s="232" t="s">
        <v>4542</v>
      </c>
      <c r="B1506" s="464" t="s">
        <v>6602</v>
      </c>
      <c r="C1506" s="451" t="str">
        <f>IF(A1506="SERVIÇO",VLOOKUP(B1506,SERVIÇOS!$A$6:$D$7645,2,0),IF(A1506="INSUMO",VLOOKUP(B1506,INSUMOS!$A$6:$D$6961,2,0),IF(A1506="COTAÇÃO",VLOOKUP(B1506,'036-20-Cotação'!$A$9:$G$529,2,0))))</f>
        <v>SERVENTE</v>
      </c>
      <c r="D1506" s="452" t="str">
        <f>IF(A1506="SERVIÇO",VLOOKUP(B1506,SERVIÇOS!$A$6:$E$7645,5,0),IF(A1506="INSUMO",VLOOKUP(B1506,INSUMOS!$A$6:$E$6961,5,0),IF(A1506="COTAÇÃO",VLOOKUP(B1506,'036-20-Cotação'!$A$9:$H$529,8,0))))</f>
        <v>M.O</v>
      </c>
      <c r="E1506" s="452" t="str">
        <f>IF(A1506="SERVIÇO",VLOOKUP(B1506,SERVIÇOS!$A$6:$D$7645,3,0),IF(A1506="INSUMO",VLOOKUP(B1506,INSUMOS!$A$6:$D$6961,3,0),IF(A1506="COTAÇÃO",VLOOKUP(B1506,'036-20-Cotação'!$A$9:$G$529,4,0))))</f>
        <v>H</v>
      </c>
      <c r="F1506" s="462">
        <f>1/56.27</f>
        <v>1.7771459036786921E-2</v>
      </c>
      <c r="G1506" s="453">
        <f>IF(A1506="SERVIÇO",VLOOKUP(B1506,SERVIÇOS!$A$6:$D$7645,4,0),IF(A1506="INSUMO",VLOOKUP(B1506,INSUMOS!$A$6:$D$6961,4,0),IF(A1506="COTAÇÃO",VLOOKUP(B1506,'036-20-Cotação'!$A$9:$G$529,3,0))))</f>
        <v>15.637499999999999</v>
      </c>
      <c r="H1506" s="463">
        <f t="shared" si="261"/>
        <v>0.27790119068775548</v>
      </c>
      <c r="J1506" s="201"/>
    </row>
    <row r="1507" spans="1:17" s="87" customFormat="1" ht="12.75">
      <c r="A1507" s="188"/>
      <c r="B1507" s="348" t="s">
        <v>123</v>
      </c>
      <c r="C1507" s="695" t="s">
        <v>13143</v>
      </c>
      <c r="D1507" s="696"/>
      <c r="E1507" s="696"/>
      <c r="F1507" s="696"/>
      <c r="G1507" s="696"/>
      <c r="H1507" s="697"/>
      <c r="J1507" s="201"/>
      <c r="K1507" s="78"/>
      <c r="L1507" s="78"/>
      <c r="M1507" s="78"/>
      <c r="N1507" s="78"/>
      <c r="O1507" s="78"/>
      <c r="P1507" s="78"/>
      <c r="Q1507" s="78"/>
    </row>
    <row r="1508" spans="1:17" s="87" customFormat="1" ht="12.75">
      <c r="A1508" s="188"/>
      <c r="B1508" s="346"/>
      <c r="C1508" s="476"/>
      <c r="D1508" s="476"/>
      <c r="E1508" s="476"/>
      <c r="F1508" s="476"/>
      <c r="G1508" s="476"/>
      <c r="H1508" s="477"/>
      <c r="J1508" s="201"/>
      <c r="K1508" s="78"/>
      <c r="L1508" s="78"/>
      <c r="M1508" s="78"/>
      <c r="N1508" s="78"/>
      <c r="O1508" s="78"/>
      <c r="P1508" s="78"/>
      <c r="Q1508" s="78"/>
    </row>
    <row r="1509" spans="1:17" s="87" customFormat="1" ht="25.5">
      <c r="A1509" s="188"/>
      <c r="B1509" s="80">
        <v>1408021</v>
      </c>
      <c r="C1509" s="81" t="s">
        <v>7752</v>
      </c>
      <c r="D1509" s="82" t="s">
        <v>84</v>
      </c>
      <c r="E1509" s="82" t="s">
        <v>5</v>
      </c>
      <c r="F1509" s="83"/>
      <c r="G1509" s="84"/>
      <c r="H1509" s="85">
        <f>SUM(H1510:H1513)</f>
        <v>105.29396497991968</v>
      </c>
      <c r="J1509" s="201" t="s">
        <v>13144</v>
      </c>
      <c r="K1509" s="78"/>
      <c r="L1509" s="78"/>
      <c r="M1509" s="78"/>
      <c r="N1509" s="78"/>
      <c r="O1509" s="78"/>
      <c r="P1509" s="78"/>
      <c r="Q1509" s="78"/>
    </row>
    <row r="1510" spans="1:17" s="87" customFormat="1" ht="12.75">
      <c r="A1510" s="232" t="s">
        <v>4542</v>
      </c>
      <c r="B1510" s="464" t="s">
        <v>9006</v>
      </c>
      <c r="C1510" s="451" t="str">
        <f>IF(A1510="SERVIÇO",VLOOKUP(B1510,SERVIÇOS!$A$6:$D$7645,2,0),IF(A1510="INSUMO",VLOOKUP(B1510,INSUMOS!$A$6:$D$6961,2,0),IF(A1510="COTAÇÃO",VLOOKUP(B1510,'036-20-Cotação'!$A$9:$G$529,2,0))))</f>
        <v>GRUPO GERADOR - 2,5/3 KVA</v>
      </c>
      <c r="D1510" s="452" t="str">
        <f>IF(A1510="SERVIÇO",VLOOKUP(B1510,SERVIÇOS!$A$6:$E$7645,5,0),IF(A1510="INSUMO",VLOOKUP(B1510,INSUMOS!$A$6:$E$6961,5,0),IF(A1510="COTAÇÃO",VLOOKUP(B1510,'036-20-Cotação'!$A$9:$H$529,8,0))))</f>
        <v>EQUIP.</v>
      </c>
      <c r="E1510" s="452" t="str">
        <f>IF(A1510="SERVIÇO",VLOOKUP(B1510,SERVIÇOS!$A$6:$D$7645,3,0),IF(A1510="INSUMO",VLOOKUP(B1510,INSUMOS!$A$6:$D$6961,3,0),IF(A1510="COTAÇÃO",VLOOKUP(B1510,'036-20-Cotação'!$A$9:$G$529,4,0))))</f>
        <v>CHP</v>
      </c>
      <c r="F1510" s="462">
        <f>1/2.49</f>
        <v>0.40160642570281119</v>
      </c>
      <c r="G1510" s="453">
        <f>IF(A1510="SERVIÇO",VLOOKUP(B1510,SERVIÇOS!$A$6:$D$7645,4,0),IF(A1510="INSUMO",VLOOKUP(B1510,INSUMOS!$A$6:$D$6961,4,0),IF(A1510="COTAÇÃO",VLOOKUP(B1510,'036-20-Cotação'!$A$9:$G$529,3,0))))</f>
        <v>2.9165999999999999</v>
      </c>
      <c r="H1510" s="463">
        <f t="shared" ref="H1510:H1513" si="263">G1510*F1510</f>
        <v>1.171325301204819</v>
      </c>
      <c r="J1510" s="201"/>
    </row>
    <row r="1511" spans="1:17" s="87" customFormat="1" ht="25.5">
      <c r="A1511" s="232" t="s">
        <v>4542</v>
      </c>
      <c r="B1511" s="464" t="s">
        <v>9322</v>
      </c>
      <c r="C1511" s="451" t="str">
        <f>IF(A1511="SERVIÇO",VLOOKUP(B1511,SERVIÇOS!$A$6:$D$7645,2,0),IF(A1511="INSUMO",VLOOKUP(B1511,INSUMOS!$A$6:$D$6961,2,0),IF(A1511="COTAÇÃO",VLOOKUP(B1511,'036-20-Cotação'!$A$9:$G$529,2,0))))</f>
        <v>PERFURATRIZ MANUAL PARA COROA DIAMANTADA - 1,6 KW</v>
      </c>
      <c r="D1511" s="452" t="str">
        <f>IF(A1511="SERVIÇO",VLOOKUP(B1511,SERVIÇOS!$A$6:$E$7645,5,0),IF(A1511="INSUMO",VLOOKUP(B1511,INSUMOS!$A$6:$E$6961,5,0),IF(A1511="COTAÇÃO",VLOOKUP(B1511,'036-20-Cotação'!$A$9:$H$529,8,0))))</f>
        <v>EQUIP.</v>
      </c>
      <c r="E1511" s="452" t="str">
        <f>IF(A1511="SERVIÇO",VLOOKUP(B1511,SERVIÇOS!$A$6:$D$7645,3,0),IF(A1511="INSUMO",VLOOKUP(B1511,INSUMOS!$A$6:$D$6961,3,0),IF(A1511="COTAÇÃO",VLOOKUP(B1511,'036-20-Cotação'!$A$9:$G$529,4,0))))</f>
        <v>CHP</v>
      </c>
      <c r="F1511" s="462">
        <f t="shared" ref="F1511:F1512" si="264">1/2.49</f>
        <v>0.40160642570281119</v>
      </c>
      <c r="G1511" s="453">
        <f>IF(A1511="SERVIÇO",VLOOKUP(B1511,SERVIÇOS!$A$6:$D$7645,4,0),IF(A1511="INSUMO",VLOOKUP(B1511,INSUMOS!$A$6:$D$6961,4,0),IF(A1511="COTAÇÃO",VLOOKUP(B1511,'036-20-Cotação'!$A$9:$G$529,3,0))))</f>
        <v>1.6429</v>
      </c>
      <c r="H1511" s="463">
        <f t="shared" si="263"/>
        <v>0.65979919678714849</v>
      </c>
      <c r="J1511" s="201"/>
    </row>
    <row r="1512" spans="1:17" s="87" customFormat="1" ht="12.75">
      <c r="A1512" s="232" t="s">
        <v>4542</v>
      </c>
      <c r="B1512" s="464" t="s">
        <v>6602</v>
      </c>
      <c r="C1512" s="451" t="str">
        <f>IF(A1512="SERVIÇO",VLOOKUP(B1512,SERVIÇOS!$A$6:$D$7645,2,0),IF(A1512="INSUMO",VLOOKUP(B1512,INSUMOS!$A$6:$D$6961,2,0),IF(A1512="COTAÇÃO",VLOOKUP(B1512,'036-20-Cotação'!$A$9:$G$529,2,0))))</f>
        <v>SERVENTE</v>
      </c>
      <c r="D1512" s="452" t="str">
        <f>IF(A1512="SERVIÇO",VLOOKUP(B1512,SERVIÇOS!$A$6:$E$7645,5,0),IF(A1512="INSUMO",VLOOKUP(B1512,INSUMOS!$A$6:$E$6961,5,0),IF(A1512="COTAÇÃO",VLOOKUP(B1512,'036-20-Cotação'!$A$9:$H$529,8,0))))</f>
        <v>M.O</v>
      </c>
      <c r="E1512" s="452" t="str">
        <f>IF(A1512="SERVIÇO",VLOOKUP(B1512,SERVIÇOS!$A$6:$D$7645,3,0),IF(A1512="INSUMO",VLOOKUP(B1512,INSUMOS!$A$6:$D$6961,3,0),IF(A1512="COTAÇÃO",VLOOKUP(B1512,'036-20-Cotação'!$A$9:$G$529,4,0))))</f>
        <v>H</v>
      </c>
      <c r="F1512" s="462">
        <f t="shared" si="264"/>
        <v>0.40160642570281119</v>
      </c>
      <c r="G1512" s="453">
        <f>IF(A1512="SERVIÇO",VLOOKUP(B1512,SERVIÇOS!$A$6:$D$7645,4,0),IF(A1512="INSUMO",VLOOKUP(B1512,INSUMOS!$A$6:$D$6961,4,0),IF(A1512="COTAÇÃO",VLOOKUP(B1512,'036-20-Cotação'!$A$9:$G$529,3,0))))</f>
        <v>15.637499999999999</v>
      </c>
      <c r="H1512" s="463">
        <f t="shared" si="263"/>
        <v>6.2801204819277094</v>
      </c>
      <c r="J1512" s="201"/>
    </row>
    <row r="1513" spans="1:17" s="87" customFormat="1" ht="12.75">
      <c r="A1513" s="232" t="s">
        <v>4544</v>
      </c>
      <c r="B1513" s="464" t="s">
        <v>10852</v>
      </c>
      <c r="C1513" s="451" t="str">
        <f>IF(A1513="SERVIÇO",VLOOKUP(B1513,SERVIÇOS!$A$6:$D$7645,2,0),IF(A1513="INSUMO",VLOOKUP(B1513,INSUMOS!$A$6:$D$6961,2,0),IF(A1513="COTAÇÃO",VLOOKUP(B1513,'036-20-Cotação'!$A$9:$G$529,2,0))))</f>
        <v>COROA DIAMANTADA - D = 16 MM</v>
      </c>
      <c r="D1513" s="452" t="str">
        <f>IF(A1513="SERVIÇO",VLOOKUP(B1513,SERVIÇOS!$A$6:$E$7645,5,0),IF(A1513="INSUMO",VLOOKUP(B1513,INSUMOS!$A$6:$E$6961,5,0),IF(A1513="COTAÇÃO",VLOOKUP(B1513,'036-20-Cotação'!$A$9:$H$529,8,0))))</f>
        <v>MAT.</v>
      </c>
      <c r="E1513" s="452" t="str">
        <f>IF(A1513="SERVIÇO",VLOOKUP(B1513,SERVIÇOS!$A$6:$D$7645,3,0),IF(A1513="INSUMO",VLOOKUP(B1513,INSUMOS!$A$6:$D$6961,3,0),IF(A1513="COTAÇÃO",VLOOKUP(B1513,'036-20-Cotação'!$A$9:$G$529,4,0))))</f>
        <v>UN</v>
      </c>
      <c r="F1513" s="462">
        <v>0.2</v>
      </c>
      <c r="G1513" s="453">
        <f>IF(A1513="SERVIÇO",VLOOKUP(B1513,SERVIÇOS!$A$6:$D$7645,4,0),IF(A1513="INSUMO",VLOOKUP(B1513,INSUMOS!$A$6:$D$6961,4,0),IF(A1513="COTAÇÃO",VLOOKUP(B1513,'036-20-Cotação'!$A$9:$G$529,3,0))))</f>
        <v>485.91359999999997</v>
      </c>
      <c r="H1513" s="463">
        <f t="shared" si="263"/>
        <v>97.182720000000003</v>
      </c>
      <c r="J1513" s="201"/>
    </row>
    <row r="1514" spans="1:17" s="87" customFormat="1" ht="12.75">
      <c r="A1514" s="188"/>
      <c r="B1514" s="348" t="s">
        <v>123</v>
      </c>
      <c r="C1514" s="695" t="s">
        <v>13145</v>
      </c>
      <c r="D1514" s="696"/>
      <c r="E1514" s="696"/>
      <c r="F1514" s="696"/>
      <c r="G1514" s="696"/>
      <c r="H1514" s="697"/>
      <c r="J1514" s="201"/>
      <c r="K1514" s="78"/>
      <c r="L1514" s="78"/>
      <c r="M1514" s="78"/>
      <c r="N1514" s="78"/>
      <c r="O1514" s="78"/>
      <c r="P1514" s="78"/>
      <c r="Q1514" s="78"/>
    </row>
    <row r="1515" spans="1:17" s="87" customFormat="1" ht="12.75">
      <c r="A1515" s="188"/>
      <c r="B1515" s="346"/>
      <c r="C1515" s="476"/>
      <c r="D1515" s="476"/>
      <c r="E1515" s="476"/>
      <c r="F1515" s="476"/>
      <c r="G1515" s="476"/>
      <c r="H1515" s="477"/>
      <c r="J1515" s="201"/>
      <c r="K1515" s="78"/>
      <c r="L1515" s="78"/>
      <c r="M1515" s="78"/>
      <c r="N1515" s="78"/>
      <c r="O1515" s="78"/>
      <c r="P1515" s="78"/>
      <c r="Q1515" s="78"/>
    </row>
    <row r="1516" spans="1:17" s="87" customFormat="1" ht="25.5">
      <c r="A1516" s="188"/>
      <c r="B1516" s="80">
        <v>1408143</v>
      </c>
      <c r="C1516" s="81" t="s">
        <v>8509</v>
      </c>
      <c r="D1516" s="82" t="s">
        <v>84</v>
      </c>
      <c r="E1516" s="82" t="s">
        <v>5</v>
      </c>
      <c r="F1516" s="83"/>
      <c r="G1516" s="84"/>
      <c r="H1516" s="85">
        <f>SUM(H1517:H1520)</f>
        <v>171.280993557047</v>
      </c>
      <c r="J1516" s="201" t="s">
        <v>13146</v>
      </c>
      <c r="K1516" s="78"/>
      <c r="L1516" s="78"/>
      <c r="M1516" s="78"/>
      <c r="N1516" s="78"/>
      <c r="O1516" s="78"/>
      <c r="P1516" s="78"/>
      <c r="Q1516" s="78"/>
    </row>
    <row r="1517" spans="1:17" s="87" customFormat="1" ht="12.75">
      <c r="A1517" s="232" t="s">
        <v>4542</v>
      </c>
      <c r="B1517" s="464" t="s">
        <v>9006</v>
      </c>
      <c r="C1517" s="451" t="str">
        <f>IF(A1517="SERVIÇO",VLOOKUP(B1517,SERVIÇOS!$A$6:$D$7645,2,0),IF(A1517="INSUMO",VLOOKUP(B1517,INSUMOS!$A$6:$D$6961,2,0),IF(A1517="COTAÇÃO",VLOOKUP(B1517,'036-20-Cotação'!$A$9:$G$529,2,0))))</f>
        <v>GRUPO GERADOR - 2,5/3 KVA</v>
      </c>
      <c r="D1517" s="452" t="str">
        <f>IF(A1517="SERVIÇO",VLOOKUP(B1517,SERVIÇOS!$A$6:$E$7645,5,0),IF(A1517="INSUMO",VLOOKUP(B1517,INSUMOS!$A$6:$E$6961,5,0),IF(A1517="COTAÇÃO",VLOOKUP(B1517,'036-20-Cotação'!$A$9:$H$529,8,0))))</f>
        <v>EQUIP.</v>
      </c>
      <c r="E1517" s="452" t="str">
        <f>IF(A1517="SERVIÇO",VLOOKUP(B1517,SERVIÇOS!$A$6:$D$7645,3,0),IF(A1517="INSUMO",VLOOKUP(B1517,INSUMOS!$A$6:$D$6961,3,0),IF(A1517="COTAÇÃO",VLOOKUP(B1517,'036-20-Cotação'!$A$9:$G$529,4,0))))</f>
        <v>CHP</v>
      </c>
      <c r="F1517" s="462">
        <f>1/1.49</f>
        <v>0.67114093959731547</v>
      </c>
      <c r="G1517" s="453">
        <f>IF(A1517="SERVIÇO",VLOOKUP(B1517,SERVIÇOS!$A$6:$D$7645,4,0),IF(A1517="INSUMO",VLOOKUP(B1517,INSUMOS!$A$6:$D$6961,4,0),IF(A1517="COTAÇÃO",VLOOKUP(B1517,'036-20-Cotação'!$A$9:$G$529,3,0))))</f>
        <v>2.9165999999999999</v>
      </c>
      <c r="H1517" s="463">
        <f t="shared" ref="H1517:H1520" si="265">G1517*F1517</f>
        <v>1.9574496644295303</v>
      </c>
      <c r="J1517" s="201"/>
    </row>
    <row r="1518" spans="1:17" s="87" customFormat="1" ht="25.5">
      <c r="A1518" s="232" t="s">
        <v>4542</v>
      </c>
      <c r="B1518" s="464" t="s">
        <v>9322</v>
      </c>
      <c r="C1518" s="451" t="str">
        <f>IF(A1518="SERVIÇO",VLOOKUP(B1518,SERVIÇOS!$A$6:$D$7645,2,0),IF(A1518="INSUMO",VLOOKUP(B1518,INSUMOS!$A$6:$D$6961,2,0),IF(A1518="COTAÇÃO",VLOOKUP(B1518,'036-20-Cotação'!$A$9:$G$529,2,0))))</f>
        <v>PERFURATRIZ MANUAL PARA COROA DIAMANTADA - 1,6 KW</v>
      </c>
      <c r="D1518" s="452" t="str">
        <f>IF(A1518="SERVIÇO",VLOOKUP(B1518,SERVIÇOS!$A$6:$E$7645,5,0),IF(A1518="INSUMO",VLOOKUP(B1518,INSUMOS!$A$6:$E$6961,5,0),IF(A1518="COTAÇÃO",VLOOKUP(B1518,'036-20-Cotação'!$A$9:$H$529,8,0))))</f>
        <v>EQUIP.</v>
      </c>
      <c r="E1518" s="452" t="str">
        <f>IF(A1518="SERVIÇO",VLOOKUP(B1518,SERVIÇOS!$A$6:$D$7645,3,0),IF(A1518="INSUMO",VLOOKUP(B1518,INSUMOS!$A$6:$D$6961,3,0),IF(A1518="COTAÇÃO",VLOOKUP(B1518,'036-20-Cotação'!$A$9:$G$529,4,0))))</f>
        <v>CHP</v>
      </c>
      <c r="F1518" s="462">
        <f t="shared" ref="F1518:F1519" si="266">1/1.49</f>
        <v>0.67114093959731547</v>
      </c>
      <c r="G1518" s="453">
        <f>IF(A1518="SERVIÇO",VLOOKUP(B1518,SERVIÇOS!$A$6:$D$7645,4,0),IF(A1518="INSUMO",VLOOKUP(B1518,INSUMOS!$A$6:$D$6961,4,0),IF(A1518="COTAÇÃO",VLOOKUP(B1518,'036-20-Cotação'!$A$9:$G$529,3,0))))</f>
        <v>1.6429</v>
      </c>
      <c r="H1518" s="463">
        <f t="shared" si="265"/>
        <v>1.1026174496644296</v>
      </c>
      <c r="J1518" s="201"/>
    </row>
    <row r="1519" spans="1:17" s="87" customFormat="1" ht="12.75">
      <c r="A1519" s="232" t="s">
        <v>4542</v>
      </c>
      <c r="B1519" s="464" t="s">
        <v>6602</v>
      </c>
      <c r="C1519" s="451" t="str">
        <f>IF(A1519="SERVIÇO",VLOOKUP(B1519,SERVIÇOS!$A$6:$D$7645,2,0),IF(A1519="INSUMO",VLOOKUP(B1519,INSUMOS!$A$6:$D$6961,2,0),IF(A1519="COTAÇÃO",VLOOKUP(B1519,'036-20-Cotação'!$A$9:$G$529,2,0))))</f>
        <v>SERVENTE</v>
      </c>
      <c r="D1519" s="452" t="str">
        <f>IF(A1519="SERVIÇO",VLOOKUP(B1519,SERVIÇOS!$A$6:$E$7645,5,0),IF(A1519="INSUMO",VLOOKUP(B1519,INSUMOS!$A$6:$E$6961,5,0),IF(A1519="COTAÇÃO",VLOOKUP(B1519,'036-20-Cotação'!$A$9:$H$529,8,0))))</f>
        <v>M.O</v>
      </c>
      <c r="E1519" s="452" t="str">
        <f>IF(A1519="SERVIÇO",VLOOKUP(B1519,SERVIÇOS!$A$6:$D$7645,3,0),IF(A1519="INSUMO",VLOOKUP(B1519,INSUMOS!$A$6:$D$6961,3,0),IF(A1519="COTAÇÃO",VLOOKUP(B1519,'036-20-Cotação'!$A$9:$G$529,4,0))))</f>
        <v>H</v>
      </c>
      <c r="F1519" s="462">
        <f t="shared" si="266"/>
        <v>0.67114093959731547</v>
      </c>
      <c r="G1519" s="453">
        <f>IF(A1519="SERVIÇO",VLOOKUP(B1519,SERVIÇOS!$A$6:$D$7645,4,0),IF(A1519="INSUMO",VLOOKUP(B1519,INSUMOS!$A$6:$D$6961,4,0),IF(A1519="COTAÇÃO",VLOOKUP(B1519,'036-20-Cotação'!$A$9:$G$529,3,0))))</f>
        <v>15.637499999999999</v>
      </c>
      <c r="H1519" s="463">
        <f t="shared" si="265"/>
        <v>10.49496644295302</v>
      </c>
      <c r="J1519" s="201"/>
    </row>
    <row r="1520" spans="1:17" s="87" customFormat="1" ht="12.75">
      <c r="A1520" s="232" t="s">
        <v>4544</v>
      </c>
      <c r="B1520" s="464" t="s">
        <v>11026</v>
      </c>
      <c r="C1520" s="451" t="str">
        <f>IF(A1520="SERVIÇO",VLOOKUP(B1520,SERVIÇOS!$A$6:$D$7645,2,0),IF(A1520="INSUMO",VLOOKUP(B1520,INSUMOS!$A$6:$D$6961,2,0),IF(A1520="COTAÇÃO",VLOOKUP(B1520,'036-20-Cotação'!$A$9:$G$529,2,0))))</f>
        <v>COROA DIAMANTADA - D = 38 MM</v>
      </c>
      <c r="D1520" s="452" t="str">
        <f>IF(A1520="SERVIÇO",VLOOKUP(B1520,SERVIÇOS!$A$6:$E$7645,5,0),IF(A1520="INSUMO",VLOOKUP(B1520,INSUMOS!$A$6:$E$6961,5,0),IF(A1520="COTAÇÃO",VLOOKUP(B1520,'036-20-Cotação'!$A$9:$H$529,8,0))))</f>
        <v>MAT.</v>
      </c>
      <c r="E1520" s="452" t="str">
        <f>IF(A1520="SERVIÇO",VLOOKUP(B1520,SERVIÇOS!$A$6:$D$7645,3,0),IF(A1520="INSUMO",VLOOKUP(B1520,INSUMOS!$A$6:$D$6961,3,0),IF(A1520="COTAÇÃO",VLOOKUP(B1520,'036-20-Cotação'!$A$9:$G$529,4,0))))</f>
        <v>UN</v>
      </c>
      <c r="F1520" s="462">
        <v>0.2</v>
      </c>
      <c r="G1520" s="453">
        <f>IF(A1520="SERVIÇO",VLOOKUP(B1520,SERVIÇOS!$A$6:$D$7645,4,0),IF(A1520="INSUMO",VLOOKUP(B1520,INSUMOS!$A$6:$D$6961,4,0),IF(A1520="COTAÇÃO",VLOOKUP(B1520,'036-20-Cotação'!$A$9:$G$529,3,0))))</f>
        <v>788.62980000000005</v>
      </c>
      <c r="H1520" s="463">
        <f t="shared" si="265"/>
        <v>157.72596000000001</v>
      </c>
      <c r="J1520" s="201"/>
    </row>
    <row r="1521" spans="1:17" s="87" customFormat="1" ht="12.75">
      <c r="A1521" s="188"/>
      <c r="B1521" s="348" t="s">
        <v>123</v>
      </c>
      <c r="C1521" s="695" t="s">
        <v>13145</v>
      </c>
      <c r="D1521" s="696"/>
      <c r="E1521" s="696"/>
      <c r="F1521" s="696"/>
      <c r="G1521" s="696"/>
      <c r="H1521" s="697"/>
      <c r="J1521" s="201"/>
      <c r="K1521" s="78"/>
      <c r="L1521" s="78"/>
      <c r="M1521" s="78"/>
      <c r="N1521" s="78"/>
      <c r="O1521" s="78"/>
      <c r="P1521" s="78"/>
      <c r="Q1521" s="78"/>
    </row>
    <row r="1522" spans="1:17" s="87" customFormat="1" ht="12.75">
      <c r="A1522" s="188"/>
      <c r="B1522" s="346"/>
      <c r="C1522" s="476"/>
      <c r="D1522" s="476"/>
      <c r="E1522" s="476"/>
      <c r="F1522" s="476"/>
      <c r="G1522" s="476"/>
      <c r="H1522" s="477"/>
      <c r="J1522" s="201"/>
      <c r="K1522" s="78"/>
      <c r="L1522" s="78"/>
      <c r="M1522" s="78"/>
      <c r="N1522" s="78"/>
      <c r="O1522" s="78"/>
      <c r="P1522" s="78"/>
      <c r="Q1522" s="78"/>
    </row>
    <row r="1523" spans="1:17" s="87" customFormat="1" ht="25.5">
      <c r="A1523" s="188"/>
      <c r="B1523" s="80">
        <v>2407972</v>
      </c>
      <c r="C1523" s="81" t="s">
        <v>7756</v>
      </c>
      <c r="D1523" s="82" t="s">
        <v>84</v>
      </c>
      <c r="E1523" s="82" t="s">
        <v>89</v>
      </c>
      <c r="F1523" s="83"/>
      <c r="G1523" s="84"/>
      <c r="H1523" s="85">
        <f>SUM(H1524:H1527)</f>
        <v>46.139945562080534</v>
      </c>
      <c r="J1523" s="201" t="s">
        <v>7928</v>
      </c>
      <c r="K1523" s="78"/>
      <c r="L1523" s="78"/>
      <c r="M1523" s="78"/>
      <c r="N1523" s="78"/>
      <c r="O1523" s="78"/>
      <c r="P1523" s="78"/>
      <c r="Q1523" s="78"/>
    </row>
    <row r="1524" spans="1:17" s="87" customFormat="1" ht="12.75">
      <c r="A1524" s="232" t="s">
        <v>4542</v>
      </c>
      <c r="B1524" s="464" t="s">
        <v>6614</v>
      </c>
      <c r="C1524" s="451" t="str">
        <f>IF(A1524="SERVIÇO",VLOOKUP(B1524,SERVIÇOS!$A$6:$D$7645,2,0),IF(A1524="INSUMO",VLOOKUP(B1524,INSUMOS!$A$6:$D$6961,2,0),IF(A1524="COTAÇÃO",VLOOKUP(B1524,'036-20-Cotação'!$A$9:$G$529,2,0))))</f>
        <v>PEDREIRO</v>
      </c>
      <c r="D1524" s="452" t="str">
        <f>IF(A1524="SERVIÇO",VLOOKUP(B1524,SERVIÇOS!$A$6:$E$7645,5,0),IF(A1524="INSUMO",VLOOKUP(B1524,INSUMOS!$A$6:$E$6961,5,0),IF(A1524="COTAÇÃO",VLOOKUP(B1524,'036-20-Cotação'!$A$9:$H$529,8,0))))</f>
        <v>M.O</v>
      </c>
      <c r="E1524" s="452" t="str">
        <f>IF(A1524="SERVIÇO",VLOOKUP(B1524,SERVIÇOS!$A$6:$D$7645,3,0),IF(A1524="INSUMO",VLOOKUP(B1524,INSUMOS!$A$6:$D$6961,3,0),IF(A1524="COTAÇÃO",VLOOKUP(B1524,'036-20-Cotação'!$A$9:$G$529,4,0))))</f>
        <v>H</v>
      </c>
      <c r="F1524" s="462">
        <f>1/5</f>
        <v>0.2</v>
      </c>
      <c r="G1524" s="453">
        <f>IF(A1524="SERVIÇO",VLOOKUP(B1524,SERVIÇOS!$A$6:$D$7645,4,0),IF(A1524="INSUMO",VLOOKUP(B1524,INSUMOS!$A$6:$D$6961,4,0),IF(A1524="COTAÇÃO",VLOOKUP(B1524,'036-20-Cotação'!$A$9:$G$529,3,0))))</f>
        <v>21.647600000000001</v>
      </c>
      <c r="H1524" s="463">
        <f t="shared" ref="H1524:H1527" si="267">G1524*F1524</f>
        <v>4.3295200000000005</v>
      </c>
      <c r="J1524" s="201"/>
    </row>
    <row r="1525" spans="1:17" s="87" customFormat="1" ht="12.75">
      <c r="A1525" s="232" t="s">
        <v>4542</v>
      </c>
      <c r="B1525" s="464" t="s">
        <v>6602</v>
      </c>
      <c r="C1525" s="451" t="str">
        <f>IF(A1525="SERVIÇO",VLOOKUP(B1525,SERVIÇOS!$A$6:$D$7645,2,0),IF(A1525="INSUMO",VLOOKUP(B1525,INSUMOS!$A$6:$D$6961,2,0),IF(A1525="COTAÇÃO",VLOOKUP(B1525,'036-20-Cotação'!$A$9:$G$529,2,0))))</f>
        <v>SERVENTE</v>
      </c>
      <c r="D1525" s="452" t="str">
        <f>IF(A1525="SERVIÇO",VLOOKUP(B1525,SERVIÇOS!$A$6:$E$7645,5,0),IF(A1525="INSUMO",VLOOKUP(B1525,INSUMOS!$A$6:$E$6961,5,0),IF(A1525="COTAÇÃO",VLOOKUP(B1525,'036-20-Cotação'!$A$9:$H$529,8,0))))</f>
        <v>M.O</v>
      </c>
      <c r="E1525" s="452" t="str">
        <f>IF(A1525="SERVIÇO",VLOOKUP(B1525,SERVIÇOS!$A$6:$D$7645,3,0),IF(A1525="INSUMO",VLOOKUP(B1525,INSUMOS!$A$6:$D$6961,3,0),IF(A1525="COTAÇÃO",VLOOKUP(B1525,'036-20-Cotação'!$A$9:$G$529,4,0))))</f>
        <v>H</v>
      </c>
      <c r="F1525" s="462">
        <f>1/5</f>
        <v>0.2</v>
      </c>
      <c r="G1525" s="453">
        <f>IF(A1525="SERVIÇO",VLOOKUP(B1525,SERVIÇOS!$A$6:$D$7645,4,0),IF(A1525="INSUMO",VLOOKUP(B1525,INSUMOS!$A$6:$D$6961,4,0),IF(A1525="COTAÇÃO",VLOOKUP(B1525,'036-20-Cotação'!$A$9:$G$529,3,0))))</f>
        <v>15.637499999999999</v>
      </c>
      <c r="H1525" s="463">
        <f t="shared" si="267"/>
        <v>3.1274999999999999</v>
      </c>
      <c r="J1525" s="201"/>
    </row>
    <row r="1526" spans="1:17" s="87" customFormat="1" ht="25.5">
      <c r="A1526" s="232" t="s">
        <v>4544</v>
      </c>
      <c r="B1526" s="464" t="s">
        <v>7351</v>
      </c>
      <c r="C1526" s="451" t="str">
        <f>IF(A1526="SERVIÇO",VLOOKUP(B1526,SERVIÇOS!$A$6:$D$7645,2,0),IF(A1526="INSUMO",VLOOKUP(B1526,INSUMOS!$A$6:$D$6961,2,0),IF(A1526="COTAÇÃO",VLOOKUP(B1526,'036-20-Cotação'!$A$9:$G$529,2,0))))</f>
        <v>ADESIVO ESTRUTURAL À BASE DE RESINA EPÓXI</v>
      </c>
      <c r="D1526" s="452" t="str">
        <f>IF(A1526="SERVIÇO",VLOOKUP(B1526,SERVIÇOS!$A$6:$E$7645,5,0),IF(A1526="INSUMO",VLOOKUP(B1526,INSUMOS!$A$6:$E$6961,5,0),IF(A1526="COTAÇÃO",VLOOKUP(B1526,'036-20-Cotação'!$A$9:$H$529,8,0))))</f>
        <v>MAT.</v>
      </c>
      <c r="E1526" s="452" t="str">
        <f>IF(A1526="SERVIÇO",VLOOKUP(B1526,SERVIÇOS!$A$6:$D$7645,3,0),IF(A1526="INSUMO",VLOOKUP(B1526,INSUMOS!$A$6:$D$6961,3,0),IF(A1526="COTAÇÃO",VLOOKUP(B1526,'036-20-Cotação'!$A$9:$G$529,4,0))))</f>
        <v>KG</v>
      </c>
      <c r="F1526" s="462">
        <v>1</v>
      </c>
      <c r="G1526" s="453">
        <f>IF(A1526="SERVIÇO",VLOOKUP(B1526,SERVIÇOS!$A$6:$D$7645,4,0),IF(A1526="INSUMO",VLOOKUP(B1526,INSUMOS!$A$6:$D$6961,4,0),IF(A1526="COTAÇÃO",VLOOKUP(B1526,'036-20-Cotação'!$A$9:$G$529,3,0))))</f>
        <v>38.661999999999999</v>
      </c>
      <c r="H1526" s="463">
        <f t="shared" si="267"/>
        <v>38.661999999999999</v>
      </c>
      <c r="J1526" s="201"/>
    </row>
    <row r="1527" spans="1:17" s="87" customFormat="1" ht="25.5">
      <c r="A1527" s="232" t="s">
        <v>4542</v>
      </c>
      <c r="B1527" s="464" t="s">
        <v>13206</v>
      </c>
      <c r="C1527" s="451" t="str">
        <f>'036-20-CCA''s'!$C$281</f>
        <v>TEMPO FIXO - CAMINHÃO CARROCERIA 15 T - CARGA E DESCARGA MANUAIS</v>
      </c>
      <c r="D1527" s="452" t="str">
        <f>'036-20-CCA''s'!$D$281</f>
        <v>SER.CG</v>
      </c>
      <c r="E1527" s="452" t="str">
        <f>'036-20-CCA''s'!$E$281</f>
        <v>T</v>
      </c>
      <c r="F1527" s="462">
        <v>1E-3</v>
      </c>
      <c r="G1527" s="453">
        <f>'036-20-CCA''s'!$H$281</f>
        <v>20.925562080536913</v>
      </c>
      <c r="H1527" s="463">
        <f t="shared" si="267"/>
        <v>2.0925562080536912E-2</v>
      </c>
      <c r="J1527" s="201"/>
    </row>
    <row r="1528" spans="1:17" s="87" customFormat="1" ht="12.75">
      <c r="A1528" s="188"/>
      <c r="B1528" s="348" t="s">
        <v>123</v>
      </c>
      <c r="C1528" s="695" t="s">
        <v>8034</v>
      </c>
      <c r="D1528" s="696"/>
      <c r="E1528" s="696"/>
      <c r="F1528" s="696"/>
      <c r="G1528" s="696"/>
      <c r="H1528" s="697"/>
      <c r="J1528" s="201"/>
      <c r="K1528" s="78"/>
      <c r="L1528" s="78"/>
      <c r="M1528" s="78"/>
      <c r="N1528" s="78"/>
      <c r="O1528" s="78"/>
      <c r="P1528" s="78"/>
      <c r="Q1528" s="78"/>
    </row>
    <row r="1529" spans="1:17" s="87" customFormat="1" ht="12.75">
      <c r="A1529" s="188"/>
      <c r="B1529" s="346"/>
      <c r="C1529" s="476"/>
      <c r="D1529" s="476"/>
      <c r="E1529" s="476"/>
      <c r="F1529" s="476"/>
      <c r="G1529" s="476"/>
      <c r="H1529" s="477"/>
      <c r="J1529" s="201"/>
      <c r="K1529" s="78"/>
      <c r="L1529" s="78"/>
      <c r="M1529" s="78"/>
      <c r="N1529" s="78"/>
      <c r="O1529" s="78"/>
      <c r="P1529" s="78"/>
      <c r="Q1529" s="78"/>
    </row>
    <row r="1530" spans="1:17" s="87" customFormat="1" ht="25.5">
      <c r="A1530" s="188"/>
      <c r="B1530" s="80">
        <v>407819</v>
      </c>
      <c r="C1530" s="81" t="s">
        <v>6619</v>
      </c>
      <c r="D1530" s="82" t="s">
        <v>84</v>
      </c>
      <c r="E1530" s="82" t="s">
        <v>89</v>
      </c>
      <c r="F1530" s="83"/>
      <c r="G1530" s="84"/>
      <c r="H1530" s="85">
        <f>SUM(H1531:H1535)</f>
        <v>7.4312236295302023</v>
      </c>
      <c r="J1530" s="201" t="s">
        <v>13148</v>
      </c>
      <c r="K1530" s="78"/>
      <c r="L1530" s="78"/>
      <c r="M1530" s="78"/>
      <c r="N1530" s="78"/>
      <c r="O1530" s="78"/>
      <c r="P1530" s="78"/>
      <c r="Q1530" s="78"/>
    </row>
    <row r="1531" spans="1:17" s="87" customFormat="1" ht="12.75">
      <c r="A1531" s="232" t="s">
        <v>4542</v>
      </c>
      <c r="B1531" s="464" t="s">
        <v>6825</v>
      </c>
      <c r="C1531" s="451" t="str">
        <f>IF(A1531="SERVIÇO",VLOOKUP(B1531,SERVIÇOS!$A$6:$D$7645,2,0),IF(A1531="INSUMO",VLOOKUP(B1531,INSUMOS!$A$6:$D$6961,2,0),IF(A1531="COTAÇÃO",VLOOKUP(B1531,'036-20-Cotação'!$A$9:$G$529,2,0))))</f>
        <v>AJUDANTE</v>
      </c>
      <c r="D1531" s="452" t="str">
        <f>IF(A1531="SERVIÇO",VLOOKUP(B1531,SERVIÇOS!$A$6:$E$7645,5,0),IF(A1531="INSUMO",VLOOKUP(B1531,INSUMOS!$A$6:$E$6961,5,0),IF(A1531="COTAÇÃO",VLOOKUP(B1531,'036-20-Cotação'!$A$9:$H$529,8,0))))</f>
        <v>M.O</v>
      </c>
      <c r="E1531" s="452" t="str">
        <f>IF(A1531="SERVIÇO",VLOOKUP(B1531,SERVIÇOS!$A$6:$D$7645,3,0),IF(A1531="INSUMO",VLOOKUP(B1531,INSUMOS!$A$6:$D$6961,3,0),IF(A1531="COTAÇÃO",VLOOKUP(B1531,'036-20-Cotação'!$A$9:$G$529,4,0))))</f>
        <v>H</v>
      </c>
      <c r="F1531" s="462">
        <v>0.09</v>
      </c>
      <c r="G1531" s="453">
        <f>IF(A1531="SERVIÇO",VLOOKUP(B1531,SERVIÇOS!$A$6:$D$7645,4,0),IF(A1531="INSUMO",VLOOKUP(B1531,INSUMOS!$A$6:$D$6961,4,0),IF(A1531="COTAÇÃO",VLOOKUP(B1531,'036-20-Cotação'!$A$9:$G$529,3,0))))</f>
        <v>17.9801</v>
      </c>
      <c r="H1531" s="463">
        <f t="shared" ref="H1531:H1535" si="268">G1531*F1531</f>
        <v>1.618209</v>
      </c>
      <c r="J1531" s="201"/>
    </row>
    <row r="1532" spans="1:17" s="87" customFormat="1" ht="12.75">
      <c r="A1532" s="232" t="s">
        <v>4542</v>
      </c>
      <c r="B1532" s="464" t="s">
        <v>7390</v>
      </c>
      <c r="C1532" s="451" t="str">
        <f>IF(A1532="SERVIÇO",VLOOKUP(B1532,SERVIÇOS!$A$6:$D$7645,2,0),IF(A1532="INSUMO",VLOOKUP(B1532,INSUMOS!$A$6:$D$6961,2,0),IF(A1532="COTAÇÃO",VLOOKUP(B1532,'036-20-Cotação'!$A$9:$G$529,2,0))))</f>
        <v>ARMADOR</v>
      </c>
      <c r="D1532" s="452" t="str">
        <f>IF(A1532="SERVIÇO",VLOOKUP(B1532,SERVIÇOS!$A$6:$E$7645,5,0),IF(A1532="INSUMO",VLOOKUP(B1532,INSUMOS!$A$6:$E$6961,5,0),IF(A1532="COTAÇÃO",VLOOKUP(B1532,'036-20-Cotação'!$A$9:$H$529,8,0))))</f>
        <v>M.O</v>
      </c>
      <c r="E1532" s="452" t="str">
        <f>IF(A1532="SERVIÇO",VLOOKUP(B1532,SERVIÇOS!$A$6:$D$7645,3,0),IF(A1532="INSUMO",VLOOKUP(B1532,INSUMOS!$A$6:$D$6961,3,0),IF(A1532="COTAÇÃO",VLOOKUP(B1532,'036-20-Cotação'!$A$9:$G$529,4,0))))</f>
        <v>H</v>
      </c>
      <c r="F1532" s="462">
        <v>0.09</v>
      </c>
      <c r="G1532" s="453">
        <f>IF(A1532="SERVIÇO",VLOOKUP(B1532,SERVIÇOS!$A$6:$D$7645,4,0),IF(A1532="INSUMO",VLOOKUP(B1532,INSUMOS!$A$6:$D$6961,4,0),IF(A1532="COTAÇÃO",VLOOKUP(B1532,'036-20-Cotação'!$A$9:$G$529,3,0))))</f>
        <v>21.6645</v>
      </c>
      <c r="H1532" s="463">
        <f t="shared" si="268"/>
        <v>1.949805</v>
      </c>
      <c r="J1532" s="201"/>
    </row>
    <row r="1533" spans="1:17" s="87" customFormat="1" ht="12.75">
      <c r="A1533" s="232" t="s">
        <v>4544</v>
      </c>
      <c r="B1533" s="464" t="s">
        <v>10073</v>
      </c>
      <c r="C1533" s="451" t="str">
        <f>IF(A1533="SERVIÇO",VLOOKUP(B1533,SERVIÇOS!$A$6:$D$7645,2,0),IF(A1533="INSUMO",VLOOKUP(B1533,INSUMOS!$A$6:$D$6961,2,0),IF(A1533="COTAÇÃO",VLOOKUP(B1533,'036-20-Cotação'!$A$9:$G$529,2,0))))</f>
        <v>AÇO CA 50</v>
      </c>
      <c r="D1533" s="452" t="str">
        <f>IF(A1533="SERVIÇO",VLOOKUP(B1533,SERVIÇOS!$A$6:$E$7645,5,0),IF(A1533="INSUMO",VLOOKUP(B1533,INSUMOS!$A$6:$E$6961,5,0),IF(A1533="COTAÇÃO",VLOOKUP(B1533,'036-20-Cotação'!$A$9:$H$529,8,0))))</f>
        <v>MAT.</v>
      </c>
      <c r="E1533" s="452" t="str">
        <f>IF(A1533="SERVIÇO",VLOOKUP(B1533,SERVIÇOS!$A$6:$D$7645,3,0),IF(A1533="INSUMO",VLOOKUP(B1533,INSUMOS!$A$6:$D$6961,3,0),IF(A1533="COTAÇÃO",VLOOKUP(B1533,'036-20-Cotação'!$A$9:$G$529,4,0))))</f>
        <v>KG</v>
      </c>
      <c r="F1533" s="462">
        <v>1.1000000000000001</v>
      </c>
      <c r="G1533" s="453">
        <f>IF(A1533="SERVIÇO",VLOOKUP(B1533,SERVIÇOS!$A$6:$D$7645,4,0),IF(A1533="INSUMO",VLOOKUP(B1533,INSUMOS!$A$6:$D$6961,4,0),IF(A1533="COTAÇÃO",VLOOKUP(B1533,'036-20-Cotação'!$A$9:$G$529,3,0))))</f>
        <v>3.4388000000000001</v>
      </c>
      <c r="H1533" s="463">
        <f t="shared" si="268"/>
        <v>3.7826800000000005</v>
      </c>
      <c r="J1533" s="201"/>
    </row>
    <row r="1534" spans="1:17" s="87" customFormat="1" ht="12.75">
      <c r="A1534" s="232" t="s">
        <v>4544</v>
      </c>
      <c r="B1534" s="464" t="s">
        <v>10182</v>
      </c>
      <c r="C1534" s="451" t="str">
        <f>IF(A1534="SERVIÇO",VLOOKUP(B1534,SERVIÇOS!$A$6:$D$7645,2,0),IF(A1534="INSUMO",VLOOKUP(B1534,INSUMOS!$A$6:$D$6961,2,0),IF(A1534="COTAÇÃO",VLOOKUP(B1534,'036-20-Cotação'!$A$9:$G$529,2,0))))</f>
        <v>ARAME RECOZIDO 18 BWG</v>
      </c>
      <c r="D1534" s="452" t="str">
        <f>IF(A1534="SERVIÇO",VLOOKUP(B1534,SERVIÇOS!$A$6:$E$7645,5,0),IF(A1534="INSUMO",VLOOKUP(B1534,INSUMOS!$A$6:$E$6961,5,0),IF(A1534="COTAÇÃO",VLOOKUP(B1534,'036-20-Cotação'!$A$9:$H$529,8,0))))</f>
        <v>MAT.</v>
      </c>
      <c r="E1534" s="452" t="str">
        <f>IF(A1534="SERVIÇO",VLOOKUP(B1534,SERVIÇOS!$A$6:$D$7645,3,0),IF(A1534="INSUMO",VLOOKUP(B1534,INSUMOS!$A$6:$D$6961,3,0),IF(A1534="COTAÇÃO",VLOOKUP(B1534,'036-20-Cotação'!$A$9:$G$529,4,0))))</f>
        <v>KG</v>
      </c>
      <c r="F1534" s="462">
        <v>1.4999999999999999E-2</v>
      </c>
      <c r="G1534" s="453">
        <f>IF(A1534="SERVIÇO",VLOOKUP(B1534,SERVIÇOS!$A$6:$D$7645,4,0),IF(A1534="INSUMO",VLOOKUP(B1534,INSUMOS!$A$6:$D$6961,4,0),IF(A1534="COTAÇÃO",VLOOKUP(B1534,'036-20-Cotação'!$A$9:$G$529,3,0))))</f>
        <v>3.8062</v>
      </c>
      <c r="H1534" s="463">
        <f t="shared" si="268"/>
        <v>5.7092999999999998E-2</v>
      </c>
      <c r="J1534" s="201"/>
    </row>
    <row r="1535" spans="1:17" s="87" customFormat="1" ht="25.5">
      <c r="A1535" s="232" t="s">
        <v>4542</v>
      </c>
      <c r="B1535" s="464" t="s">
        <v>13206</v>
      </c>
      <c r="C1535" s="451" t="str">
        <f>'036-20-CCA''s'!$C$281</f>
        <v>TEMPO FIXO - CAMINHÃO CARROCERIA 15 T - CARGA E DESCARGA MANUAIS</v>
      </c>
      <c r="D1535" s="452" t="str">
        <f>'036-20-CCA''s'!$D$281</f>
        <v>SER.CG</v>
      </c>
      <c r="E1535" s="452" t="str">
        <f>'036-20-CCA''s'!$E$281</f>
        <v>T</v>
      </c>
      <c r="F1535" s="462">
        <v>1.1199999999999999E-3</v>
      </c>
      <c r="G1535" s="453">
        <f>'036-20-CCA''s'!$H$281</f>
        <v>20.925562080536913</v>
      </c>
      <c r="H1535" s="463">
        <f t="shared" si="268"/>
        <v>2.3436629530201342E-2</v>
      </c>
      <c r="J1535" s="201"/>
    </row>
    <row r="1536" spans="1:17" s="87" customFormat="1" ht="12.75">
      <c r="A1536" s="188"/>
      <c r="B1536" s="348" t="s">
        <v>123</v>
      </c>
      <c r="C1536" s="695" t="s">
        <v>13147</v>
      </c>
      <c r="D1536" s="696"/>
      <c r="E1536" s="696"/>
      <c r="F1536" s="696"/>
      <c r="G1536" s="696"/>
      <c r="H1536" s="697"/>
      <c r="J1536" s="201"/>
      <c r="K1536" s="78"/>
      <c r="L1536" s="78"/>
      <c r="M1536" s="78"/>
      <c r="N1536" s="78"/>
      <c r="O1536" s="78"/>
      <c r="P1536" s="78"/>
      <c r="Q1536" s="78"/>
    </row>
    <row r="1537" spans="1:17" s="87" customFormat="1" ht="12.75">
      <c r="A1537" s="188"/>
      <c r="B1537" s="346"/>
      <c r="C1537" s="476"/>
      <c r="D1537" s="476"/>
      <c r="E1537" s="476"/>
      <c r="F1537" s="476"/>
      <c r="G1537" s="476"/>
      <c r="H1537" s="477"/>
      <c r="J1537" s="201"/>
      <c r="K1537" s="78"/>
      <c r="L1537" s="78"/>
      <c r="M1537" s="78"/>
      <c r="N1537" s="78"/>
      <c r="O1537" s="78"/>
      <c r="P1537" s="78"/>
      <c r="Q1537" s="78"/>
    </row>
    <row r="1538" spans="1:17" s="87" customFormat="1" ht="38.25">
      <c r="A1538" s="188"/>
      <c r="B1538" s="80">
        <v>3108005</v>
      </c>
      <c r="C1538" s="81" t="s">
        <v>7750</v>
      </c>
      <c r="D1538" s="82" t="s">
        <v>84</v>
      </c>
      <c r="E1538" s="82" t="s">
        <v>150</v>
      </c>
      <c r="F1538" s="83"/>
      <c r="G1538" s="84"/>
      <c r="H1538" s="85">
        <f>SUM(H1539:H1550)</f>
        <v>63.424334960312088</v>
      </c>
      <c r="J1538" s="201" t="s">
        <v>13150</v>
      </c>
      <c r="K1538" s="78"/>
      <c r="L1538" s="78"/>
      <c r="M1538" s="78"/>
      <c r="N1538" s="78"/>
      <c r="O1538" s="78"/>
      <c r="P1538" s="78"/>
      <c r="Q1538" s="78"/>
    </row>
    <row r="1539" spans="1:17" s="87" customFormat="1" ht="12.75">
      <c r="A1539" s="232" t="s">
        <v>4542</v>
      </c>
      <c r="B1539" s="464" t="s">
        <v>8833</v>
      </c>
      <c r="C1539" s="451" t="str">
        <f>IF(A1539="SERVIÇO",VLOOKUP(B1539,SERVIÇOS!$A$6:$D$7645,2,0),IF(A1539="INSUMO",VLOOKUP(B1539,INSUMOS!$A$6:$D$6961,2,0),IF(A1539="COTAÇÃO",VLOOKUP(B1539,'036-20-Cotação'!$A$9:$G$529,2,0))))</f>
        <v>GRUPO GERADOR - 13/14 KVA</v>
      </c>
      <c r="D1539" s="452" t="str">
        <f>IF(A1539="SERVIÇO",VLOOKUP(B1539,SERVIÇOS!$A$6:$E$7645,5,0),IF(A1539="INSUMO",VLOOKUP(B1539,INSUMOS!$A$6:$E$6961,5,0),IF(A1539="COTAÇÃO",VLOOKUP(B1539,'036-20-Cotação'!$A$9:$H$529,8,0))))</f>
        <v>EQUIP.</v>
      </c>
      <c r="E1539" s="452" t="str">
        <f>IF(A1539="SERVIÇO",VLOOKUP(B1539,SERVIÇOS!$A$6:$D$7645,3,0),IF(A1539="INSUMO",VLOOKUP(B1539,INSUMOS!$A$6:$D$6961,3,0),IF(A1539="COTAÇÃO",VLOOKUP(B1539,'036-20-Cotação'!$A$9:$G$529,4,0))))</f>
        <v>CHP</v>
      </c>
      <c r="F1539" s="462">
        <v>0.12048</v>
      </c>
      <c r="G1539" s="453">
        <f>IF(A1539="SERVIÇO",VLOOKUP(B1539,SERVIÇOS!$A$6:$D$7645,4,0),IF(A1539="INSUMO",VLOOKUP(B1539,INSUMOS!$A$6:$D$6961,4,0),IF(A1539="COTAÇÃO",VLOOKUP(B1539,'036-20-Cotação'!$A$9:$G$529,3,0))))</f>
        <v>9.6905000000000001</v>
      </c>
      <c r="H1539" s="463">
        <f t="shared" ref="H1539:H1544" si="269">G1539*F1539</f>
        <v>1.16751144</v>
      </c>
      <c r="J1539" s="201"/>
    </row>
    <row r="1540" spans="1:17" s="87" customFormat="1" ht="25.5">
      <c r="A1540" s="232" t="s">
        <v>4542</v>
      </c>
      <c r="B1540" s="464" t="s">
        <v>9027</v>
      </c>
      <c r="C1540" s="451" t="str">
        <f>IF(A1540="SERVIÇO",VLOOKUP(B1540,SERVIÇOS!$A$6:$D$7645,2,0),IF(A1540="INSUMO",VLOOKUP(B1540,INSUMOS!$A$6:$D$6961,2,0),IF(A1540="COTAÇÃO",VLOOKUP(B1540,'036-20-Cotação'!$A$9:$G$529,2,0))))</f>
        <v>SERRA CIRCULAR COM BANCADA - D = 30 CM - 4 KW</v>
      </c>
      <c r="D1540" s="452" t="str">
        <f>IF(A1540="SERVIÇO",VLOOKUP(B1540,SERVIÇOS!$A$6:$E$7645,5,0),IF(A1540="INSUMO",VLOOKUP(B1540,INSUMOS!$A$6:$E$6961,5,0),IF(A1540="COTAÇÃO",VLOOKUP(B1540,'036-20-Cotação'!$A$9:$H$529,8,0))))</f>
        <v>EQUIP.</v>
      </c>
      <c r="E1540" s="452" t="str">
        <f>IF(A1540="SERVIÇO",VLOOKUP(B1540,SERVIÇOS!$A$6:$D$7645,3,0),IF(A1540="INSUMO",VLOOKUP(B1540,INSUMOS!$A$6:$D$6961,3,0),IF(A1540="COTAÇÃO",VLOOKUP(B1540,'036-20-Cotação'!$A$9:$G$529,4,0))))</f>
        <v>CHP</v>
      </c>
      <c r="F1540" s="462">
        <v>0.12048</v>
      </c>
      <c r="G1540" s="453">
        <f>IF(A1540="SERVIÇO",VLOOKUP(B1540,SERVIÇOS!$A$6:$D$7645,4,0),IF(A1540="INSUMO",VLOOKUP(B1540,INSUMOS!$A$6:$D$6961,4,0),IF(A1540="COTAÇÃO",VLOOKUP(B1540,'036-20-Cotação'!$A$9:$G$529,3,0))))</f>
        <v>19.2926</v>
      </c>
      <c r="H1540" s="463">
        <f t="shared" si="269"/>
        <v>2.3243724480000001</v>
      </c>
      <c r="J1540" s="201"/>
    </row>
    <row r="1541" spans="1:17" s="87" customFormat="1" ht="12.75">
      <c r="A1541" s="232" t="s">
        <v>4542</v>
      </c>
      <c r="B1541" s="464" t="s">
        <v>6825</v>
      </c>
      <c r="C1541" s="451" t="str">
        <f>IF(A1541="SERVIÇO",VLOOKUP(B1541,SERVIÇOS!$A$6:$D$7645,2,0),IF(A1541="INSUMO",VLOOKUP(B1541,INSUMOS!$A$6:$D$6961,2,0),IF(A1541="COTAÇÃO",VLOOKUP(B1541,'036-20-Cotação'!$A$9:$G$529,2,0))))</f>
        <v>AJUDANTE</v>
      </c>
      <c r="D1541" s="452" t="str">
        <f>IF(A1541="SERVIÇO",VLOOKUP(B1541,SERVIÇOS!$A$6:$E$7645,5,0),IF(A1541="INSUMO",VLOOKUP(B1541,INSUMOS!$A$6:$E$6961,5,0),IF(A1541="COTAÇÃO",VLOOKUP(B1541,'036-20-Cotação'!$A$9:$H$529,8,0))))</f>
        <v>M.O</v>
      </c>
      <c r="E1541" s="452" t="str">
        <f>IF(A1541="SERVIÇO",VLOOKUP(B1541,SERVIÇOS!$A$6:$D$7645,3,0),IF(A1541="INSUMO",VLOOKUP(B1541,INSUMOS!$A$6:$D$6961,3,0),IF(A1541="COTAÇÃO",VLOOKUP(B1541,'036-20-Cotação'!$A$9:$G$529,4,0))))</f>
        <v>H</v>
      </c>
      <c r="F1541" s="462">
        <v>0.7</v>
      </c>
      <c r="G1541" s="453">
        <f>IF(A1541="SERVIÇO",VLOOKUP(B1541,SERVIÇOS!$A$6:$D$7645,4,0),IF(A1541="INSUMO",VLOOKUP(B1541,INSUMOS!$A$6:$D$6961,4,0),IF(A1541="COTAÇÃO",VLOOKUP(B1541,'036-20-Cotação'!$A$9:$G$529,3,0))))</f>
        <v>17.9801</v>
      </c>
      <c r="H1541" s="463">
        <f t="shared" si="269"/>
        <v>12.586069999999999</v>
      </c>
      <c r="J1541" s="201"/>
    </row>
    <row r="1542" spans="1:17" s="87" customFormat="1" ht="12.75">
      <c r="A1542" s="232" t="s">
        <v>4542</v>
      </c>
      <c r="B1542" s="464" t="s">
        <v>6613</v>
      </c>
      <c r="C1542" s="451" t="str">
        <f>IF(A1542="SERVIÇO",VLOOKUP(B1542,SERVIÇOS!$A$6:$D$7645,2,0),IF(A1542="INSUMO",VLOOKUP(B1542,INSUMOS!$A$6:$D$6961,2,0),IF(A1542="COTAÇÃO",VLOOKUP(B1542,'036-20-Cotação'!$A$9:$G$529,2,0))))</f>
        <v>CARPINTEIRO</v>
      </c>
      <c r="D1542" s="452" t="str">
        <f>IF(A1542="SERVIÇO",VLOOKUP(B1542,SERVIÇOS!$A$6:$E$7645,5,0),IF(A1542="INSUMO",VLOOKUP(B1542,INSUMOS!$A$6:$E$6961,5,0),IF(A1542="COTAÇÃO",VLOOKUP(B1542,'036-20-Cotação'!$A$9:$H$529,8,0))))</f>
        <v>M.O</v>
      </c>
      <c r="E1542" s="452" t="str">
        <f>IF(A1542="SERVIÇO",VLOOKUP(B1542,SERVIÇOS!$A$6:$D$7645,3,0),IF(A1542="INSUMO",VLOOKUP(B1542,INSUMOS!$A$6:$D$6961,3,0),IF(A1542="COTAÇÃO",VLOOKUP(B1542,'036-20-Cotação'!$A$9:$G$529,4,0))))</f>
        <v>H</v>
      </c>
      <c r="F1542" s="462">
        <v>0.7</v>
      </c>
      <c r="G1542" s="453">
        <f>IF(A1542="SERVIÇO",VLOOKUP(B1542,SERVIÇOS!$A$6:$D$7645,4,0),IF(A1542="INSUMO",VLOOKUP(B1542,INSUMOS!$A$6:$D$6961,4,0),IF(A1542="COTAÇÃO",VLOOKUP(B1542,'036-20-Cotação'!$A$9:$G$529,3,0))))</f>
        <v>21.710999999999999</v>
      </c>
      <c r="H1542" s="463">
        <f t="shared" si="269"/>
        <v>15.197699999999998</v>
      </c>
      <c r="J1542" s="201"/>
    </row>
    <row r="1543" spans="1:17" s="87" customFormat="1" ht="12.75">
      <c r="A1543" s="232" t="s">
        <v>4544</v>
      </c>
      <c r="B1543" s="464" t="s">
        <v>6870</v>
      </c>
      <c r="C1543" s="451" t="str">
        <f>IF(A1543="SERVIÇO",VLOOKUP(B1543,SERVIÇOS!$A$6:$D$7645,2,0),IF(A1543="INSUMO",VLOOKUP(B1543,INSUMOS!$A$6:$D$6961,2,0),IF(A1543="COTAÇÃO",VLOOKUP(B1543,'036-20-Cotação'!$A$9:$G$529,2,0))))</f>
        <v>CAIBRO DE PINHO DE 7,5 X 7,5 CM</v>
      </c>
      <c r="D1543" s="452" t="str">
        <f>IF(A1543="SERVIÇO",VLOOKUP(B1543,SERVIÇOS!$A$6:$E$7645,5,0),IF(A1543="INSUMO",VLOOKUP(B1543,INSUMOS!$A$6:$E$6961,5,0),IF(A1543="COTAÇÃO",VLOOKUP(B1543,'036-20-Cotação'!$A$9:$H$529,8,0))))</f>
        <v>MAT.</v>
      </c>
      <c r="E1543" s="452" t="str">
        <f>IF(A1543="SERVIÇO",VLOOKUP(B1543,SERVIÇOS!$A$6:$D$7645,3,0),IF(A1543="INSUMO",VLOOKUP(B1543,INSUMOS!$A$6:$D$6961,3,0),IF(A1543="COTAÇÃO",VLOOKUP(B1543,'036-20-Cotação'!$A$9:$G$529,4,0))))</f>
        <v>M</v>
      </c>
      <c r="F1543" s="462">
        <v>0.44917000000000001</v>
      </c>
      <c r="G1543" s="453">
        <f>IF(A1543="SERVIÇO",VLOOKUP(B1543,SERVIÇOS!$A$6:$D$7645,4,0),IF(A1543="INSUMO",VLOOKUP(B1543,INSUMOS!$A$6:$D$6961,4,0),IF(A1543="COTAÇÃO",VLOOKUP(B1543,'036-20-Cotação'!$A$9:$G$529,3,0))))</f>
        <v>26.3032</v>
      </c>
      <c r="H1543" s="463">
        <f t="shared" si="269"/>
        <v>11.814608344</v>
      </c>
      <c r="J1543" s="201"/>
    </row>
    <row r="1544" spans="1:17" s="87" customFormat="1" ht="12.75">
      <c r="A1544" s="232" t="s">
        <v>4544</v>
      </c>
      <c r="B1544" s="464" t="s">
        <v>10477</v>
      </c>
      <c r="C1544" s="451" t="str">
        <f>IF(A1544="SERVIÇO",VLOOKUP(B1544,SERVIÇOS!$A$6:$D$7645,2,0),IF(A1544="INSUMO",VLOOKUP(B1544,INSUMOS!$A$6:$D$6961,2,0),IF(A1544="COTAÇÃO",VLOOKUP(B1544,'036-20-Cotação'!$A$9:$G$529,2,0))))</f>
        <v>COMPENSADO RESINADO DE 14 MM</v>
      </c>
      <c r="D1544" s="452" t="str">
        <f>IF(A1544="SERVIÇO",VLOOKUP(B1544,SERVIÇOS!$A$6:$E$7645,5,0),IF(A1544="INSUMO",VLOOKUP(B1544,INSUMOS!$A$6:$E$6961,5,0),IF(A1544="COTAÇÃO",VLOOKUP(B1544,'036-20-Cotação'!$A$9:$H$529,8,0))))</f>
        <v>MAT.</v>
      </c>
      <c r="E1544" s="452" t="str">
        <f>IF(A1544="SERVIÇO",VLOOKUP(B1544,SERVIÇOS!$A$6:$D$7645,3,0),IF(A1544="INSUMO",VLOOKUP(B1544,INSUMOS!$A$6:$D$6961,3,0),IF(A1544="COTAÇÃO",VLOOKUP(B1544,'036-20-Cotação'!$A$9:$G$529,4,0))))</f>
        <v>M²</v>
      </c>
      <c r="F1544" s="462">
        <v>0.40425</v>
      </c>
      <c r="G1544" s="453">
        <f>IF(A1544="SERVIÇO",VLOOKUP(B1544,SERVIÇOS!$A$6:$D$7645,4,0),IF(A1544="INSUMO",VLOOKUP(B1544,INSUMOS!$A$6:$D$6961,4,0),IF(A1544="COTAÇÃO",VLOOKUP(B1544,'036-20-Cotação'!$A$9:$G$529,3,0))))</f>
        <v>23.744700000000002</v>
      </c>
      <c r="H1544" s="463">
        <f t="shared" si="269"/>
        <v>9.5987949750000006</v>
      </c>
      <c r="J1544" s="201"/>
    </row>
    <row r="1545" spans="1:17" s="87" customFormat="1" ht="12.75">
      <c r="A1545" s="232" t="s">
        <v>4544</v>
      </c>
      <c r="B1545" s="464" t="s">
        <v>10525</v>
      </c>
      <c r="C1545" s="451" t="str">
        <f>IF(A1545="SERVIÇO",VLOOKUP(B1545,SERVIÇOS!$A$6:$D$7645,2,0),IF(A1545="INSUMO",VLOOKUP(B1545,INSUMOS!$A$6:$D$6961,2,0),IF(A1545="COTAÇÃO",VLOOKUP(B1545,'036-20-Cotação'!$A$9:$G$529,2,0))))</f>
        <v>DESMOLDANTE PARA FORMAS</v>
      </c>
      <c r="D1545" s="452" t="str">
        <f>IF(A1545="SERVIÇO",VLOOKUP(B1545,SERVIÇOS!$A$6:$E$7645,5,0),IF(A1545="INSUMO",VLOOKUP(B1545,INSUMOS!$A$6:$E$6961,5,0),IF(A1545="COTAÇÃO",VLOOKUP(B1545,'036-20-Cotação'!$A$9:$H$529,8,0))))</f>
        <v>MAT.</v>
      </c>
      <c r="E1545" s="452" t="str">
        <f>IF(A1545="SERVIÇO",VLOOKUP(B1545,SERVIÇOS!$A$6:$D$7645,3,0),IF(A1545="INSUMO",VLOOKUP(B1545,INSUMOS!$A$6:$D$6961,3,0),IF(A1545="COTAÇÃO",VLOOKUP(B1545,'036-20-Cotação'!$A$9:$G$529,4,0))))</f>
        <v>L</v>
      </c>
      <c r="F1545" s="462">
        <v>1.8519999999999998E-2</v>
      </c>
      <c r="G1545" s="453">
        <f>IF(A1545="SERVIÇO",VLOOKUP(B1545,SERVIÇOS!$A$6:$D$7645,4,0),IF(A1545="INSUMO",VLOOKUP(B1545,INSUMOS!$A$6:$D$6961,4,0),IF(A1545="COTAÇÃO",VLOOKUP(B1545,'036-20-Cotação'!$A$9:$G$529,3,0))))</f>
        <v>8.7956000000000003</v>
      </c>
      <c r="H1545" s="463">
        <f t="shared" ref="H1545:H1550" si="270">G1545*F1545</f>
        <v>0.16289451199999999</v>
      </c>
      <c r="J1545" s="201"/>
    </row>
    <row r="1546" spans="1:17" s="87" customFormat="1" ht="12.75">
      <c r="A1546" s="232" t="s">
        <v>4544</v>
      </c>
      <c r="B1546" s="464" t="s">
        <v>6827</v>
      </c>
      <c r="C1546" s="451" t="str">
        <f>IF(A1546="SERVIÇO",VLOOKUP(B1546,SERVIÇOS!$A$6:$D$7645,2,0),IF(A1546="INSUMO",VLOOKUP(B1546,INSUMOS!$A$6:$D$6961,2,0),IF(A1546="COTAÇÃO",VLOOKUP(B1546,'036-20-Cotação'!$A$9:$G$529,2,0))))</f>
        <v>PEÇA DE MADEIRA DE 2,5 X 7,5 CM</v>
      </c>
      <c r="D1546" s="452" t="str">
        <f>IF(A1546="SERVIÇO",VLOOKUP(B1546,SERVIÇOS!$A$6:$E$7645,5,0),IF(A1546="INSUMO",VLOOKUP(B1546,INSUMOS!$A$6:$E$6961,5,0),IF(A1546="COTAÇÃO",VLOOKUP(B1546,'036-20-Cotação'!$A$9:$H$529,8,0))))</f>
        <v>MAT.</v>
      </c>
      <c r="E1546" s="452" t="str">
        <f>IF(A1546="SERVIÇO",VLOOKUP(B1546,SERVIÇOS!$A$6:$D$7645,3,0),IF(A1546="INSUMO",VLOOKUP(B1546,INSUMOS!$A$6:$D$6961,3,0),IF(A1546="COTAÇÃO",VLOOKUP(B1546,'036-20-Cotação'!$A$9:$G$529,4,0))))</f>
        <v>M</v>
      </c>
      <c r="F1546" s="462">
        <v>1.2985</v>
      </c>
      <c r="G1546" s="453">
        <f>IF(A1546="SERVIÇO",VLOOKUP(B1546,SERVIÇOS!$A$6:$D$7645,4,0),IF(A1546="INSUMO",VLOOKUP(B1546,INSUMOS!$A$6:$D$6961,4,0),IF(A1546="COTAÇÃO",VLOOKUP(B1546,'036-20-Cotação'!$A$9:$G$529,3,0))))</f>
        <v>3.3033999999999999</v>
      </c>
      <c r="H1546" s="463">
        <f t="shared" si="270"/>
        <v>4.2894648999999996</v>
      </c>
      <c r="J1546" s="201"/>
    </row>
    <row r="1547" spans="1:17" s="87" customFormat="1" ht="12.75">
      <c r="A1547" s="232" t="s">
        <v>4544</v>
      </c>
      <c r="B1547" s="464" t="s">
        <v>6829</v>
      </c>
      <c r="C1547" s="451" t="str">
        <f>IF(A1547="SERVIÇO",VLOOKUP(B1547,SERVIÇOS!$A$6:$D$7645,2,0),IF(A1547="INSUMO",VLOOKUP(B1547,INSUMOS!$A$6:$D$6961,2,0),IF(A1547="COTAÇÃO",VLOOKUP(B1547,'036-20-Cotação'!$A$9:$G$529,2,0))))</f>
        <v>PREGO DE FERRO</v>
      </c>
      <c r="D1547" s="452" t="str">
        <f>IF(A1547="SERVIÇO",VLOOKUP(B1547,SERVIÇOS!$A$6:$E$7645,5,0),IF(A1547="INSUMO",VLOOKUP(B1547,INSUMOS!$A$6:$E$6961,5,0),IF(A1547="COTAÇÃO",VLOOKUP(B1547,'036-20-Cotação'!$A$9:$H$529,8,0))))</f>
        <v>MAT.</v>
      </c>
      <c r="E1547" s="452" t="str">
        <f>IF(A1547="SERVIÇO",VLOOKUP(B1547,SERVIÇOS!$A$6:$D$7645,3,0),IF(A1547="INSUMO",VLOOKUP(B1547,INSUMOS!$A$6:$D$6961,3,0),IF(A1547="COTAÇÃO",VLOOKUP(B1547,'036-20-Cotação'!$A$9:$G$529,4,0))))</f>
        <v>KG</v>
      </c>
      <c r="F1547" s="462">
        <v>0.14585999999999999</v>
      </c>
      <c r="G1547" s="453">
        <f>IF(A1547="SERVIÇO",VLOOKUP(B1547,SERVIÇOS!$A$6:$D$7645,4,0),IF(A1547="INSUMO",VLOOKUP(B1547,INSUMOS!$A$6:$D$6961,4,0),IF(A1547="COTAÇÃO",VLOOKUP(B1547,'036-20-Cotação'!$A$9:$G$529,3,0))))</f>
        <v>9.5221</v>
      </c>
      <c r="H1547" s="463">
        <f t="shared" si="270"/>
        <v>1.3888935059999998</v>
      </c>
      <c r="J1547" s="201"/>
    </row>
    <row r="1548" spans="1:17" s="87" customFormat="1" ht="12.75">
      <c r="A1548" s="232" t="s">
        <v>4544</v>
      </c>
      <c r="B1548" s="464" t="s">
        <v>10426</v>
      </c>
      <c r="C1548" s="451" t="str">
        <f>IF(A1548="SERVIÇO",VLOOKUP(B1548,SERVIÇOS!$A$6:$D$7645,2,0),IF(A1548="INSUMO",VLOOKUP(B1548,INSUMOS!$A$6:$D$6961,2,0),IF(A1548="COTAÇÃO",VLOOKUP(B1548,'036-20-Cotação'!$A$9:$G$529,2,0))))</f>
        <v>TÁBUA DE 2,5 X 10 CM</v>
      </c>
      <c r="D1548" s="452" t="str">
        <f>IF(A1548="SERVIÇO",VLOOKUP(B1548,SERVIÇOS!$A$6:$E$7645,5,0),IF(A1548="INSUMO",VLOOKUP(B1548,INSUMOS!$A$6:$E$6961,5,0),IF(A1548="COTAÇÃO",VLOOKUP(B1548,'036-20-Cotação'!$A$9:$H$529,8,0))))</f>
        <v>MAT.</v>
      </c>
      <c r="E1548" s="452" t="str">
        <f>IF(A1548="SERVIÇO",VLOOKUP(B1548,SERVIÇOS!$A$6:$D$7645,3,0),IF(A1548="INSUMO",VLOOKUP(B1548,INSUMOS!$A$6:$D$6961,3,0),IF(A1548="COTAÇÃO",VLOOKUP(B1548,'036-20-Cotação'!$A$9:$G$529,4,0))))</f>
        <v>M</v>
      </c>
      <c r="F1548" s="462">
        <v>1.1186</v>
      </c>
      <c r="G1548" s="453">
        <f>IF(A1548="SERVIÇO",VLOOKUP(B1548,SERVIÇOS!$A$6:$D$7645,4,0),IF(A1548="INSUMO",VLOOKUP(B1548,INSUMOS!$A$6:$D$6961,4,0),IF(A1548="COTAÇÃO",VLOOKUP(B1548,'036-20-Cotação'!$A$9:$G$529,3,0))))</f>
        <v>2.3744999999999998</v>
      </c>
      <c r="H1548" s="463">
        <f t="shared" si="270"/>
        <v>2.6561157</v>
      </c>
      <c r="J1548" s="201"/>
    </row>
    <row r="1549" spans="1:17" s="87" customFormat="1" ht="12.75">
      <c r="A1549" s="232" t="s">
        <v>4544</v>
      </c>
      <c r="B1549" s="464" t="s">
        <v>6871</v>
      </c>
      <c r="C1549" s="451" t="str">
        <f>IF(A1549="SERVIÇO",VLOOKUP(B1549,SERVIÇOS!$A$6:$D$7645,2,0),IF(A1549="INSUMO",VLOOKUP(B1549,INSUMOS!$A$6:$D$6961,2,0),IF(A1549="COTAÇÃO",VLOOKUP(B1549,'036-20-Cotação'!$A$9:$G$529,2,0))))</f>
        <v>TÁBUA DE 2,5 X 30 CM</v>
      </c>
      <c r="D1549" s="452" t="str">
        <f>IF(A1549="SERVIÇO",VLOOKUP(B1549,SERVIÇOS!$A$6:$E$7645,5,0),IF(A1549="INSUMO",VLOOKUP(B1549,INSUMOS!$A$6:$E$6961,5,0),IF(A1549="COTAÇÃO",VLOOKUP(B1549,'036-20-Cotação'!$A$9:$H$529,8,0))))</f>
        <v>MAT.</v>
      </c>
      <c r="E1549" s="452" t="str">
        <f>IF(A1549="SERVIÇO",VLOOKUP(B1549,SERVIÇOS!$A$6:$D$7645,3,0),IF(A1549="INSUMO",VLOOKUP(B1549,INSUMOS!$A$6:$D$6961,3,0),IF(A1549="COTAÇÃO",VLOOKUP(B1549,'036-20-Cotação'!$A$9:$G$529,4,0))))</f>
        <v>M</v>
      </c>
      <c r="F1549" s="462">
        <v>0.19763</v>
      </c>
      <c r="G1549" s="453">
        <f>IF(A1549="SERVIÇO",VLOOKUP(B1549,SERVIÇOS!$A$6:$D$7645,4,0),IF(A1549="INSUMO",VLOOKUP(B1549,INSUMOS!$A$6:$D$6961,4,0),IF(A1549="COTAÇÃO",VLOOKUP(B1549,'036-20-Cotação'!$A$9:$G$529,3,0))))</f>
        <v>9.7302</v>
      </c>
      <c r="H1549" s="463">
        <f t="shared" si="270"/>
        <v>1.9229794259999999</v>
      </c>
      <c r="J1549" s="201"/>
    </row>
    <row r="1550" spans="1:17" s="87" customFormat="1" ht="25.5">
      <c r="A1550" s="232" t="s">
        <v>4542</v>
      </c>
      <c r="B1550" s="464" t="s">
        <v>13206</v>
      </c>
      <c r="C1550" s="451" t="str">
        <f>'036-20-CCA''s'!$C$281</f>
        <v>TEMPO FIXO - CAMINHÃO CARROCERIA 15 T - CARGA E DESCARGA MANUAIS</v>
      </c>
      <c r="D1550" s="452" t="str">
        <f>'036-20-CCA''s'!$D$281</f>
        <v>SER.CG</v>
      </c>
      <c r="E1550" s="452" t="str">
        <f>'036-20-CCA''s'!$E$281</f>
        <v>T</v>
      </c>
      <c r="F1550" s="462">
        <v>1.5049999999999999E-2</v>
      </c>
      <c r="G1550" s="453">
        <f>'036-20-CCA''s'!$H$281</f>
        <v>20.925562080536913</v>
      </c>
      <c r="H1550" s="463">
        <f t="shared" si="270"/>
        <v>0.31492970931208053</v>
      </c>
      <c r="J1550" s="201"/>
    </row>
    <row r="1551" spans="1:17" s="87" customFormat="1" ht="12.75">
      <c r="A1551" s="188"/>
      <c r="B1551" s="348" t="s">
        <v>123</v>
      </c>
      <c r="C1551" s="695" t="s">
        <v>13149</v>
      </c>
      <c r="D1551" s="696"/>
      <c r="E1551" s="696"/>
      <c r="F1551" s="696"/>
      <c r="G1551" s="696"/>
      <c r="H1551" s="697"/>
      <c r="J1551" s="201"/>
      <c r="K1551" s="78"/>
      <c r="L1551" s="78"/>
      <c r="M1551" s="78"/>
      <c r="N1551" s="78"/>
      <c r="O1551" s="78"/>
      <c r="P1551" s="78"/>
      <c r="Q1551" s="78"/>
    </row>
    <row r="1552" spans="1:17" s="87" customFormat="1" ht="12.75">
      <c r="A1552" s="188"/>
      <c r="B1552" s="346"/>
      <c r="C1552" s="476"/>
      <c r="D1552" s="476"/>
      <c r="E1552" s="476"/>
      <c r="F1552" s="476"/>
      <c r="G1552" s="476"/>
      <c r="H1552" s="477"/>
      <c r="J1552" s="201"/>
      <c r="K1552" s="78"/>
      <c r="L1552" s="78"/>
      <c r="M1552" s="78"/>
      <c r="N1552" s="78"/>
      <c r="O1552" s="78"/>
      <c r="P1552" s="78"/>
      <c r="Q1552" s="78"/>
    </row>
    <row r="1553" spans="1:17" s="87" customFormat="1" ht="38.25">
      <c r="A1553" s="188"/>
      <c r="B1553" s="80">
        <v>1106128</v>
      </c>
      <c r="C1553" s="81" t="s">
        <v>7751</v>
      </c>
      <c r="D1553" s="82" t="s">
        <v>84</v>
      </c>
      <c r="E1553" s="82" t="s">
        <v>172</v>
      </c>
      <c r="F1553" s="83"/>
      <c r="G1553" s="84"/>
      <c r="H1553" s="85">
        <f>SUM(H1554:H1556)</f>
        <v>7.4705060240963856</v>
      </c>
      <c r="J1553" s="201" t="s">
        <v>7982</v>
      </c>
      <c r="K1553" s="78"/>
      <c r="L1553" s="78"/>
      <c r="M1553" s="78"/>
      <c r="N1553" s="78"/>
      <c r="O1553" s="78"/>
      <c r="P1553" s="78"/>
      <c r="Q1553" s="78"/>
    </row>
    <row r="1554" spans="1:17" s="87" customFormat="1" ht="25.5">
      <c r="A1554" s="232" t="s">
        <v>4542</v>
      </c>
      <c r="B1554" s="464" t="s">
        <v>8869</v>
      </c>
      <c r="C1554" s="451" t="str">
        <f>IF(A1554="SERVIÇO",VLOOKUP(B1554,SERVIÇOS!$A$6:$D$7645,2,0),IF(A1554="INSUMO",VLOOKUP(B1554,INSUMOS!$A$6:$D$6961,2,0),IF(A1554="COTAÇÃO",VLOOKUP(B1554,'036-20-Cotação'!$A$9:$G$529,2,0))))</f>
        <v>BOMBA DE CONCRETO REBOCÁVEL COM CAPACIDADE DE 41 M³/H - 74 KW</v>
      </c>
      <c r="D1554" s="452" t="str">
        <f>IF(A1554="SERVIÇO",VLOOKUP(B1554,SERVIÇOS!$A$6:$E$7645,5,0),IF(A1554="INSUMO",VLOOKUP(B1554,INSUMOS!$A$6:$E$6961,5,0),IF(A1554="COTAÇÃO",VLOOKUP(B1554,'036-20-Cotação'!$A$9:$H$529,8,0))))</f>
        <v>EQUIP.</v>
      </c>
      <c r="E1554" s="452" t="str">
        <f>IF(A1554="SERVIÇO",VLOOKUP(B1554,SERVIÇOS!$A$6:$D$7645,3,0),IF(A1554="INSUMO",VLOOKUP(B1554,INSUMOS!$A$6:$D$6961,3,0),IF(A1554="COTAÇÃO",VLOOKUP(B1554,'036-20-Cotação'!$A$9:$G$529,4,0))))</f>
        <v>CHP</v>
      </c>
      <c r="F1554" s="462">
        <f>1/33.2</f>
        <v>3.012048192771084E-2</v>
      </c>
      <c r="G1554" s="453">
        <f>IF(A1554="SERVIÇO",VLOOKUP(B1554,SERVIÇOS!$A$6:$D$7645,4,0),IF(A1554="INSUMO",VLOOKUP(B1554,INSUMOS!$A$6:$D$6961,4,0),IF(A1554="COTAÇÃO",VLOOKUP(B1554,'036-20-Cotação'!$A$9:$G$529,3,0))))</f>
        <v>116.91070000000001</v>
      </c>
      <c r="H1554" s="463">
        <f t="shared" ref="H1554:H1556" si="271">G1554*F1554</f>
        <v>3.5214066265060238</v>
      </c>
      <c r="J1554" s="201"/>
    </row>
    <row r="1555" spans="1:17" s="87" customFormat="1" ht="12.75">
      <c r="A1555" s="232" t="s">
        <v>4542</v>
      </c>
      <c r="B1555" s="464" t="s">
        <v>6614</v>
      </c>
      <c r="C1555" s="451" t="str">
        <f>IF(A1555="SERVIÇO",VLOOKUP(B1555,SERVIÇOS!$A$6:$D$7645,2,0),IF(A1555="INSUMO",VLOOKUP(B1555,INSUMOS!$A$6:$D$6961,2,0),IF(A1555="COTAÇÃO",VLOOKUP(B1555,'036-20-Cotação'!$A$9:$G$529,2,0))))</f>
        <v>PEDREIRO</v>
      </c>
      <c r="D1555" s="452" t="str">
        <f>IF(A1555="SERVIÇO",VLOOKUP(B1555,SERVIÇOS!$A$6:$E$7645,5,0),IF(A1555="INSUMO",VLOOKUP(B1555,INSUMOS!$A$6:$E$6961,5,0),IF(A1555="COTAÇÃO",VLOOKUP(B1555,'036-20-Cotação'!$A$9:$H$529,8,0))))</f>
        <v>M.O</v>
      </c>
      <c r="E1555" s="452" t="str">
        <f>IF(A1555="SERVIÇO",VLOOKUP(B1555,SERVIÇOS!$A$6:$D$7645,3,0),IF(A1555="INSUMO",VLOOKUP(B1555,INSUMOS!$A$6:$D$6961,3,0),IF(A1555="COTAÇÃO",VLOOKUP(B1555,'036-20-Cotação'!$A$9:$G$529,4,0))))</f>
        <v>H</v>
      </c>
      <c r="F1555" s="462">
        <f>1/33.2</f>
        <v>3.012048192771084E-2</v>
      </c>
      <c r="G1555" s="453">
        <f>IF(A1555="SERVIÇO",VLOOKUP(B1555,SERVIÇOS!$A$6:$D$7645,4,0),IF(A1555="INSUMO",VLOOKUP(B1555,INSUMOS!$A$6:$D$6961,4,0),IF(A1555="COTAÇÃO",VLOOKUP(B1555,'036-20-Cotação'!$A$9:$G$529,3,0))))</f>
        <v>21.647600000000001</v>
      </c>
      <c r="H1555" s="463">
        <f t="shared" si="271"/>
        <v>0.65203614457831316</v>
      </c>
      <c r="J1555" s="201"/>
    </row>
    <row r="1556" spans="1:17" s="87" customFormat="1" ht="12.75">
      <c r="A1556" s="232" t="s">
        <v>4542</v>
      </c>
      <c r="B1556" s="464" t="s">
        <v>6602</v>
      </c>
      <c r="C1556" s="451" t="str">
        <f>IF(A1556="SERVIÇO",VLOOKUP(B1556,SERVIÇOS!$A$6:$D$7645,2,0),IF(A1556="INSUMO",VLOOKUP(B1556,INSUMOS!$A$6:$D$6961,2,0),IF(A1556="COTAÇÃO",VLOOKUP(B1556,'036-20-Cotação'!$A$9:$G$529,2,0))))</f>
        <v>SERVENTE</v>
      </c>
      <c r="D1556" s="452" t="str">
        <f>IF(A1556="SERVIÇO",VLOOKUP(B1556,SERVIÇOS!$A$6:$E$7645,5,0),IF(A1556="INSUMO",VLOOKUP(B1556,INSUMOS!$A$6:$E$6961,5,0),IF(A1556="COTAÇÃO",VLOOKUP(B1556,'036-20-Cotação'!$A$9:$H$529,8,0))))</f>
        <v>M.O</v>
      </c>
      <c r="E1556" s="452" t="str">
        <f>IF(A1556="SERVIÇO",VLOOKUP(B1556,SERVIÇOS!$A$6:$D$7645,3,0),IF(A1556="INSUMO",VLOOKUP(B1556,INSUMOS!$A$6:$D$6961,3,0),IF(A1556="COTAÇÃO",VLOOKUP(B1556,'036-20-Cotação'!$A$9:$G$529,4,0))))</f>
        <v>H</v>
      </c>
      <c r="F1556" s="462">
        <f>7/33.2</f>
        <v>0.21084337349397589</v>
      </c>
      <c r="G1556" s="453">
        <f>IF(A1556="SERVIÇO",VLOOKUP(B1556,SERVIÇOS!$A$6:$D$7645,4,0),IF(A1556="INSUMO",VLOOKUP(B1556,INSUMOS!$A$6:$D$6961,4,0),IF(A1556="COTAÇÃO",VLOOKUP(B1556,'036-20-Cotação'!$A$9:$G$529,3,0))))</f>
        <v>15.637499999999999</v>
      </c>
      <c r="H1556" s="463">
        <f t="shared" si="271"/>
        <v>3.2970632530120478</v>
      </c>
      <c r="J1556" s="201"/>
    </row>
    <row r="1557" spans="1:17" s="87" customFormat="1" ht="12.75">
      <c r="A1557" s="188"/>
      <c r="B1557" s="348" t="s">
        <v>123</v>
      </c>
      <c r="C1557" s="695" t="s">
        <v>13151</v>
      </c>
      <c r="D1557" s="696"/>
      <c r="E1557" s="696"/>
      <c r="F1557" s="696"/>
      <c r="G1557" s="696"/>
      <c r="H1557" s="697"/>
      <c r="J1557" s="201"/>
      <c r="K1557" s="78"/>
      <c r="L1557" s="78"/>
      <c r="M1557" s="78"/>
      <c r="N1557" s="78"/>
      <c r="O1557" s="78"/>
      <c r="P1557" s="78"/>
      <c r="Q1557" s="78"/>
    </row>
    <row r="1558" spans="1:17" s="87" customFormat="1" ht="12.75">
      <c r="A1558" s="188"/>
      <c r="B1558" s="346"/>
      <c r="C1558" s="476"/>
      <c r="D1558" s="476"/>
      <c r="E1558" s="476"/>
      <c r="F1558" s="476"/>
      <c r="G1558" s="476"/>
      <c r="H1558" s="477"/>
      <c r="J1558" s="201"/>
      <c r="K1558" s="78"/>
      <c r="L1558" s="78"/>
      <c r="M1558" s="78"/>
      <c r="N1558" s="78"/>
      <c r="O1558" s="78"/>
      <c r="P1558" s="78"/>
      <c r="Q1558" s="78"/>
    </row>
    <row r="1559" spans="1:17" s="87" customFormat="1" ht="25.5">
      <c r="A1559" s="188"/>
      <c r="B1559" s="80">
        <v>5914479</v>
      </c>
      <c r="C1559" s="81" t="s">
        <v>13466</v>
      </c>
      <c r="D1559" s="82" t="s">
        <v>84</v>
      </c>
      <c r="E1559" s="82" t="s">
        <v>6668</v>
      </c>
      <c r="F1559" s="83"/>
      <c r="G1559" s="84"/>
      <c r="H1559" s="85">
        <f>SUM(H1560:H1560)</f>
        <v>0.41662034805890225</v>
      </c>
      <c r="J1559" s="201" t="s">
        <v>13465</v>
      </c>
      <c r="K1559" s="78"/>
      <c r="L1559" s="78"/>
      <c r="M1559" s="78"/>
      <c r="N1559" s="78"/>
      <c r="O1559" s="78"/>
      <c r="P1559" s="78"/>
      <c r="Q1559" s="78"/>
    </row>
    <row r="1560" spans="1:17" s="87" customFormat="1" ht="25.5">
      <c r="A1560" s="232" t="s">
        <v>4542</v>
      </c>
      <c r="B1560" s="464" t="s">
        <v>9492</v>
      </c>
      <c r="C1560" s="451" t="str">
        <f>IF(A1560="SERVIÇO",VLOOKUP(B1560,SERVIÇOS!$A$6:$D$7645,2,0),IF(A1560="INSUMO",VLOOKUP(B1560,INSUMOS!$A$6:$D$6961,2,0),IF(A1560="COTAÇÃO",VLOOKUP(B1560,'036-20-Cotação'!$A$9:$G$529,2,0))))</f>
        <v>CAMINHÃO CARROCERIA COM CAPACIDADE DE 15 T - 188 KW</v>
      </c>
      <c r="D1560" s="452" t="str">
        <f>IF(A1560="SERVIÇO",VLOOKUP(B1560,SERVIÇOS!$A$6:$E$7645,5,0),IF(A1560="INSUMO",VLOOKUP(B1560,INSUMOS!$A$6:$E$6961,5,0),IF(A1560="COTAÇÃO",VLOOKUP(B1560,'036-20-Cotação'!$A$9:$H$529,8,0))))</f>
        <v>EQUIP.</v>
      </c>
      <c r="E1560" s="452" t="str">
        <f>IF(A1560="SERVIÇO",VLOOKUP(B1560,SERVIÇOS!$A$6:$D$7645,3,0),IF(A1560="INSUMO",VLOOKUP(B1560,INSUMOS!$A$6:$D$6961,3,0),IF(A1560="COTAÇÃO",VLOOKUP(B1560,'036-20-Cotação'!$A$9:$G$529,4,0))))</f>
        <v>CHP</v>
      </c>
      <c r="F1560" s="462">
        <f>1/373.5</f>
        <v>2.6773761713520749E-3</v>
      </c>
      <c r="G1560" s="453">
        <f>IF(A1560="SERVIÇO",VLOOKUP(B1560,SERVIÇOS!$A$6:$D$7645,4,0),IF(A1560="INSUMO",VLOOKUP(B1560,INSUMOS!$A$6:$D$6961,4,0),IF(A1560="COTAÇÃO",VLOOKUP(B1560,'036-20-Cotação'!$A$9:$G$529,3,0))))</f>
        <v>155.60769999999999</v>
      </c>
      <c r="H1560" s="463">
        <f t="shared" ref="H1560" si="272">G1560*F1560</f>
        <v>0.41662034805890225</v>
      </c>
      <c r="J1560" s="201"/>
    </row>
    <row r="1561" spans="1:17" s="87" customFormat="1" ht="12.75">
      <c r="A1561" s="188"/>
      <c r="B1561" s="348" t="s">
        <v>123</v>
      </c>
      <c r="C1561" s="695" t="s">
        <v>13464</v>
      </c>
      <c r="D1561" s="696"/>
      <c r="E1561" s="696"/>
      <c r="F1561" s="696"/>
      <c r="G1561" s="696"/>
      <c r="H1561" s="697"/>
      <c r="J1561" s="201"/>
      <c r="K1561" s="78"/>
      <c r="L1561" s="78"/>
      <c r="M1561" s="78"/>
      <c r="N1561" s="78"/>
      <c r="O1561" s="78"/>
      <c r="P1561" s="78"/>
      <c r="Q1561" s="78"/>
    </row>
    <row r="1562" spans="1:17" s="87" customFormat="1" ht="12.75">
      <c r="A1562" s="188"/>
      <c r="B1562" s="346"/>
      <c r="C1562" s="526"/>
      <c r="D1562" s="526"/>
      <c r="E1562" s="526"/>
      <c r="F1562" s="526"/>
      <c r="G1562" s="526"/>
      <c r="H1562" s="527"/>
      <c r="J1562" s="201"/>
      <c r="K1562" s="78"/>
      <c r="L1562" s="78"/>
      <c r="M1562" s="78"/>
      <c r="N1562" s="78"/>
      <c r="O1562" s="78"/>
      <c r="P1562" s="78"/>
      <c r="Q1562" s="78"/>
    </row>
    <row r="1563" spans="1:17" s="87" customFormat="1" ht="25.5">
      <c r="A1563" s="188"/>
      <c r="B1563" s="80">
        <v>5914640</v>
      </c>
      <c r="C1563" s="81" t="s">
        <v>8210</v>
      </c>
      <c r="D1563" s="82" t="s">
        <v>84</v>
      </c>
      <c r="E1563" s="82" t="s">
        <v>6668</v>
      </c>
      <c r="F1563" s="83"/>
      <c r="G1563" s="84"/>
      <c r="H1563" s="85">
        <f>SUM(H1564:H1564)</f>
        <v>0.31865663998274985</v>
      </c>
      <c r="J1563" s="201" t="s">
        <v>13152</v>
      </c>
      <c r="K1563" s="78"/>
      <c r="L1563" s="78"/>
      <c r="M1563" s="78"/>
      <c r="N1563" s="78"/>
      <c r="O1563" s="78"/>
      <c r="P1563" s="78"/>
      <c r="Q1563" s="78"/>
    </row>
    <row r="1564" spans="1:17" s="87" customFormat="1" ht="25.5">
      <c r="A1564" s="232" t="s">
        <v>4542</v>
      </c>
      <c r="B1564" s="464" t="s">
        <v>9534</v>
      </c>
      <c r="C1564" s="451" t="str">
        <f>IF(A1564="SERVIÇO",VLOOKUP(B1564,SERVIÇOS!$A$6:$D$7645,2,0),IF(A1564="INSUMO",VLOOKUP(B1564,INSUMOS!$A$6:$D$6961,2,0),IF(A1564="COTAÇÃO",VLOOKUP(B1564,'036-20-Cotação'!$A$9:$G$529,2,0))))</f>
        <v>CAVALO MECÂNICO COM SEMIRREBOQUE COM CAPACIDADE DE 30 T - 265 KW</v>
      </c>
      <c r="D1564" s="452" t="str">
        <f>IF(A1564="SERVIÇO",VLOOKUP(B1564,SERVIÇOS!$A$6:$E$7645,5,0),IF(A1564="INSUMO",VLOOKUP(B1564,INSUMOS!$A$6:$E$6961,5,0),IF(A1564="COTAÇÃO",VLOOKUP(B1564,'036-20-Cotação'!$A$9:$H$529,8,0))))</f>
        <v>EQUIP.</v>
      </c>
      <c r="E1564" s="452" t="str">
        <f>IF(A1564="SERVIÇO",VLOOKUP(B1564,SERVIÇOS!$A$6:$D$7645,3,0),IF(A1564="INSUMO",VLOOKUP(B1564,INSUMOS!$A$6:$D$6961,3,0),IF(A1564="COTAÇÃO",VLOOKUP(B1564,'036-20-Cotação'!$A$9:$G$529,4,0))))</f>
        <v>CHP</v>
      </c>
      <c r="F1564" s="462">
        <f>1/742.02</f>
        <v>1.3476725694725211E-3</v>
      </c>
      <c r="G1564" s="453">
        <f>IF(A1564="SERVIÇO",VLOOKUP(B1564,SERVIÇOS!$A$6:$D$7645,4,0),IF(A1564="INSUMO",VLOOKUP(B1564,INSUMOS!$A$6:$D$6961,4,0),IF(A1564="COTAÇÃO",VLOOKUP(B1564,'036-20-Cotação'!$A$9:$G$529,3,0))))</f>
        <v>236.4496</v>
      </c>
      <c r="H1564" s="463">
        <f t="shared" ref="H1564" si="273">G1564*F1564</f>
        <v>0.31865663998274985</v>
      </c>
      <c r="J1564" s="201"/>
    </row>
    <row r="1565" spans="1:17" s="87" customFormat="1" ht="12.75">
      <c r="A1565" s="188"/>
      <c r="B1565" s="348" t="s">
        <v>123</v>
      </c>
      <c r="C1565" s="695" t="s">
        <v>13153</v>
      </c>
      <c r="D1565" s="696"/>
      <c r="E1565" s="696"/>
      <c r="F1565" s="696"/>
      <c r="G1565" s="696"/>
      <c r="H1565" s="697"/>
      <c r="J1565" s="201"/>
      <c r="K1565" s="78"/>
      <c r="L1565" s="78"/>
      <c r="M1565" s="78"/>
      <c r="N1565" s="78"/>
      <c r="O1565" s="78"/>
      <c r="P1565" s="78"/>
      <c r="Q1565" s="78"/>
    </row>
    <row r="1566" spans="1:17" s="87" customFormat="1" ht="12.75">
      <c r="A1566" s="188"/>
      <c r="B1566" s="346"/>
      <c r="C1566" s="476"/>
      <c r="D1566" s="476"/>
      <c r="E1566" s="476"/>
      <c r="F1566" s="476"/>
      <c r="G1566" s="476"/>
      <c r="H1566" s="477"/>
      <c r="J1566" s="201"/>
      <c r="K1566" s="78"/>
      <c r="L1566" s="78"/>
      <c r="M1566" s="78"/>
      <c r="N1566" s="78"/>
      <c r="O1566" s="78"/>
      <c r="P1566" s="78"/>
      <c r="Q1566" s="78"/>
    </row>
    <row r="1567" spans="1:17" s="87" customFormat="1" ht="12.75">
      <c r="A1567" s="188"/>
      <c r="B1567" s="80" t="s">
        <v>13373</v>
      </c>
      <c r="C1567" s="81" t="s">
        <v>6665</v>
      </c>
      <c r="D1567" s="82" t="s">
        <v>201</v>
      </c>
      <c r="E1567" s="82" t="s">
        <v>172</v>
      </c>
      <c r="F1567" s="83"/>
      <c r="G1567" s="84"/>
      <c r="H1567" s="85">
        <f>SUM(H1568:H1572)</f>
        <v>483.26430692449355</v>
      </c>
      <c r="J1567" s="201" t="s">
        <v>13158</v>
      </c>
      <c r="K1567" s="78"/>
      <c r="L1567" s="78"/>
      <c r="M1567" s="78"/>
      <c r="N1567" s="78"/>
      <c r="O1567" s="78"/>
      <c r="P1567" s="78"/>
      <c r="Q1567" s="78"/>
    </row>
    <row r="1568" spans="1:17" s="87" customFormat="1" ht="25.5">
      <c r="A1568" s="232" t="s">
        <v>4542</v>
      </c>
      <c r="B1568" s="464" t="s">
        <v>8841</v>
      </c>
      <c r="C1568" s="451" t="str">
        <f>IF(A1568="SERVIÇO",VLOOKUP(B1568,SERVIÇOS!$A$6:$D$7645,2,0),IF(A1568="INSUMO",VLOOKUP(B1568,INSUMOS!$A$6:$D$6961,2,0),IF(A1568="COTAÇÃO",VLOOKUP(B1568,'036-20-Cotação'!$A$9:$G$529,2,0))))</f>
        <v>TRANSPORTADOR MANUAL CARRINHO DE MÃO COM CAPACIDADE DE 80 L</v>
      </c>
      <c r="D1568" s="452" t="str">
        <f>IF(A1568="SERVIÇO",VLOOKUP(B1568,SERVIÇOS!$A$6:$E$7645,5,0),IF(A1568="INSUMO",VLOOKUP(B1568,INSUMOS!$A$6:$E$6961,5,0),IF(A1568="COTAÇÃO",VLOOKUP(B1568,'036-20-Cotação'!$A$9:$H$529,8,0))))</f>
        <v>EQUIP.</v>
      </c>
      <c r="E1568" s="452" t="str">
        <f>IF(A1568="SERVIÇO",VLOOKUP(B1568,SERVIÇOS!$A$6:$D$7645,3,0),IF(A1568="INSUMO",VLOOKUP(B1568,INSUMOS!$A$6:$D$6961,3,0),IF(A1568="COTAÇÃO",VLOOKUP(B1568,'036-20-Cotação'!$A$9:$G$529,4,0))))</f>
        <v>CHP</v>
      </c>
      <c r="F1568" s="462">
        <f>0.03/0.05</f>
        <v>0.6</v>
      </c>
      <c r="G1568" s="453">
        <f>IF(A1568="SERVIÇO",VLOOKUP(B1568,SERVIÇOS!$A$6:$D$7645,4,0),IF(A1568="INSUMO",VLOOKUP(B1568,INSUMOS!$A$6:$D$6961,4,0),IF(A1568="COTAÇÃO",VLOOKUP(B1568,'036-20-Cotação'!$A$9:$G$529,3,0))))</f>
        <v>0.3054</v>
      </c>
      <c r="H1568" s="463">
        <f t="shared" ref="H1568:H1572" si="274">G1568*F1568</f>
        <v>0.18323999999999999</v>
      </c>
      <c r="J1568" s="201"/>
    </row>
    <row r="1569" spans="1:17" s="87" customFormat="1" ht="25.5">
      <c r="A1569" s="232" t="s">
        <v>4542</v>
      </c>
      <c r="B1569" s="464" t="s">
        <v>9665</v>
      </c>
      <c r="C1569" s="451" t="str">
        <f>IF(A1569="SERVIÇO",VLOOKUP(B1569,SERVIÇOS!$A$6:$D$7645,2,0),IF(A1569="INSUMO",VLOOKUP(B1569,INSUMOS!$A$6:$D$6961,2,0),IF(A1569="COTAÇÃO",VLOOKUP(B1569,'036-20-Cotação'!$A$9:$G$529,2,0))))</f>
        <v>TRANSPORTADOR MANUAL CARRINHO DE MÃO COM CAPACIDADE DE 80 L</v>
      </c>
      <c r="D1569" s="452" t="str">
        <f>IF(A1569="SERVIÇO",VLOOKUP(B1569,SERVIÇOS!$A$6:$E$7645,5,0),IF(A1569="INSUMO",VLOOKUP(B1569,INSUMOS!$A$6:$E$6961,5,0),IF(A1569="COTAÇÃO",VLOOKUP(B1569,'036-20-Cotação'!$A$9:$H$529,8,0))))</f>
        <v>EQUIP.</v>
      </c>
      <c r="E1569" s="452" t="str">
        <f>IF(A1569="SERVIÇO",VLOOKUP(B1569,SERVIÇOS!$A$6:$D$7645,3,0),IF(A1569="INSUMO",VLOOKUP(B1569,INSUMOS!$A$6:$D$6961,3,0),IF(A1569="COTAÇÃO",VLOOKUP(B1569,'036-20-Cotação'!$A$9:$G$529,4,0))))</f>
        <v>CHI</v>
      </c>
      <c r="F1569" s="462">
        <f>0.97/0.05</f>
        <v>19.399999999999999</v>
      </c>
      <c r="G1569" s="453">
        <f>IF(A1569="SERVIÇO",VLOOKUP(B1569,SERVIÇOS!$A$6:$D$7645,4,0),IF(A1569="INSUMO",VLOOKUP(B1569,INSUMOS!$A$6:$D$6961,4,0),IF(A1569="COTAÇÃO",VLOOKUP(B1569,'036-20-Cotação'!$A$9:$G$529,3,0))))</f>
        <v>0.20469999999999999</v>
      </c>
      <c r="H1569" s="463">
        <f t="shared" si="274"/>
        <v>3.9711799999999995</v>
      </c>
      <c r="J1569" s="201"/>
    </row>
    <row r="1570" spans="1:17" s="87" customFormat="1" ht="12.75">
      <c r="A1570" s="232" t="s">
        <v>4542</v>
      </c>
      <c r="B1570" s="464" t="s">
        <v>6614</v>
      </c>
      <c r="C1570" s="451" t="str">
        <f>IF(A1570="SERVIÇO",VLOOKUP(B1570,SERVIÇOS!$A$6:$D$7645,2,0),IF(A1570="INSUMO",VLOOKUP(B1570,INSUMOS!$A$6:$D$6961,2,0),IF(A1570="COTAÇÃO",VLOOKUP(B1570,'036-20-Cotação'!$A$9:$G$529,2,0))))</f>
        <v>PEDREIRO</v>
      </c>
      <c r="D1570" s="452" t="str">
        <f>IF(A1570="SERVIÇO",VLOOKUP(B1570,SERVIÇOS!$A$6:$E$7645,5,0),IF(A1570="INSUMO",VLOOKUP(B1570,INSUMOS!$A$6:$E$6961,5,0),IF(A1570="COTAÇÃO",VLOOKUP(B1570,'036-20-Cotação'!$A$9:$H$529,8,0))))</f>
        <v>M.O</v>
      </c>
      <c r="E1570" s="452" t="str">
        <f>IF(A1570="SERVIÇO",VLOOKUP(B1570,SERVIÇOS!$A$6:$D$7645,3,0),IF(A1570="INSUMO",VLOOKUP(B1570,INSUMOS!$A$6:$D$6961,3,0),IF(A1570="COTAÇÃO",VLOOKUP(B1570,'036-20-Cotação'!$A$9:$G$529,4,0))))</f>
        <v>H</v>
      </c>
      <c r="F1570" s="462">
        <f>0.1/0.05</f>
        <v>2</v>
      </c>
      <c r="G1570" s="453">
        <f>IF(A1570="SERVIÇO",VLOOKUP(B1570,SERVIÇOS!$A$6:$D$7645,4,0),IF(A1570="INSUMO",VLOOKUP(B1570,INSUMOS!$A$6:$D$6961,4,0),IF(A1570="COTAÇÃO",VLOOKUP(B1570,'036-20-Cotação'!$A$9:$G$529,3,0))))</f>
        <v>21.647600000000001</v>
      </c>
      <c r="H1570" s="463">
        <f t="shared" si="274"/>
        <v>43.295200000000001</v>
      </c>
      <c r="J1570" s="201"/>
    </row>
    <row r="1571" spans="1:17" s="87" customFormat="1" ht="12.75">
      <c r="A1571" s="232" t="s">
        <v>4542</v>
      </c>
      <c r="B1571" s="464" t="s">
        <v>6602</v>
      </c>
      <c r="C1571" s="451" t="str">
        <f>IF(A1571="SERVIÇO",VLOOKUP(B1571,SERVIÇOS!$A$6:$D$7645,2,0),IF(A1571="INSUMO",VLOOKUP(B1571,INSUMOS!$A$6:$D$6961,2,0),IF(A1571="COTAÇÃO",VLOOKUP(B1571,'036-20-Cotação'!$A$9:$G$529,2,0))))</f>
        <v>SERVENTE</v>
      </c>
      <c r="D1571" s="452" t="str">
        <f>IF(A1571="SERVIÇO",VLOOKUP(B1571,SERVIÇOS!$A$6:$E$7645,5,0),IF(A1571="INSUMO",VLOOKUP(B1571,INSUMOS!$A$6:$E$6961,5,0),IF(A1571="COTAÇÃO",VLOOKUP(B1571,'036-20-Cotação'!$A$9:$H$529,8,0))))</f>
        <v>M.O</v>
      </c>
      <c r="E1571" s="452" t="str">
        <f>IF(A1571="SERVIÇO",VLOOKUP(B1571,SERVIÇOS!$A$6:$D$7645,3,0),IF(A1571="INSUMO",VLOOKUP(B1571,INSUMOS!$A$6:$D$6961,3,0),IF(A1571="COTAÇÃO",VLOOKUP(B1571,'036-20-Cotação'!$A$9:$G$529,4,0))))</f>
        <v>H</v>
      </c>
      <c r="F1571" s="462">
        <f>1/0.05</f>
        <v>20</v>
      </c>
      <c r="G1571" s="453">
        <f>IF(A1571="SERVIÇO",VLOOKUP(B1571,SERVIÇOS!$A$6:$D$7645,4,0),IF(A1571="INSUMO",VLOOKUP(B1571,INSUMOS!$A$6:$D$6961,4,0),IF(A1571="COTAÇÃO",VLOOKUP(B1571,'036-20-Cotação'!$A$9:$G$529,3,0))))</f>
        <v>15.637499999999999</v>
      </c>
      <c r="H1571" s="463">
        <f t="shared" si="274"/>
        <v>312.75</v>
      </c>
      <c r="J1571" s="201"/>
    </row>
    <row r="1572" spans="1:17" s="87" customFormat="1" ht="25.5">
      <c r="A1572" s="232" t="s">
        <v>4542</v>
      </c>
      <c r="B1572" s="464" t="s">
        <v>13238</v>
      </c>
      <c r="C1572" s="451" t="str">
        <f>'036-20-CCA''s'!$C$318</f>
        <v>TEMPO FIXO - CAMINHÃO BASCULANTE 6 M3 - CARGA MANUAL E DESCARGA LIVRE</v>
      </c>
      <c r="D1572" s="452" t="str">
        <f>'036-20-CCA''s'!$D$318</f>
        <v>SER.CG</v>
      </c>
      <c r="E1572" s="452" t="str">
        <f>'036-20-CCA''s'!$E$318</f>
        <v>T</v>
      </c>
      <c r="F1572" s="462">
        <v>2.5</v>
      </c>
      <c r="G1572" s="453">
        <f>'036-20-CCA''s'!$H$318</f>
        <v>49.225874769797421</v>
      </c>
      <c r="H1572" s="463">
        <f t="shared" si="274"/>
        <v>123.06468692449356</v>
      </c>
      <c r="J1572" s="201"/>
    </row>
    <row r="1573" spans="1:17" s="87" customFormat="1" ht="12.75">
      <c r="A1573" s="188"/>
      <c r="B1573" s="348" t="s">
        <v>123</v>
      </c>
      <c r="C1573" s="695" t="s">
        <v>13159</v>
      </c>
      <c r="D1573" s="696"/>
      <c r="E1573" s="696"/>
      <c r="F1573" s="696"/>
      <c r="G1573" s="696"/>
      <c r="H1573" s="697"/>
      <c r="J1573" s="201"/>
      <c r="K1573" s="78"/>
      <c r="L1573" s="78"/>
      <c r="M1573" s="78"/>
      <c r="N1573" s="78"/>
      <c r="O1573" s="78"/>
      <c r="P1573" s="78"/>
      <c r="Q1573" s="78"/>
    </row>
    <row r="1574" spans="1:17" s="87" customFormat="1" ht="12.75">
      <c r="A1574" s="188"/>
      <c r="B1574" s="346"/>
      <c r="C1574" s="486"/>
      <c r="D1574" s="486"/>
      <c r="E1574" s="486"/>
      <c r="F1574" s="486"/>
      <c r="G1574" s="486"/>
      <c r="H1574" s="487"/>
      <c r="J1574" s="201"/>
      <c r="K1574" s="78"/>
      <c r="L1574" s="78"/>
      <c r="M1574" s="78"/>
      <c r="N1574" s="78"/>
      <c r="O1574" s="78"/>
      <c r="P1574" s="78"/>
      <c r="Q1574" s="78"/>
    </row>
    <row r="1575" spans="1:17" s="87" customFormat="1" ht="25.5">
      <c r="A1575" s="188"/>
      <c r="B1575" s="80">
        <v>1600447</v>
      </c>
      <c r="C1575" s="81" t="s">
        <v>6666</v>
      </c>
      <c r="D1575" s="82" t="s">
        <v>201</v>
      </c>
      <c r="E1575" s="82" t="s">
        <v>172</v>
      </c>
      <c r="F1575" s="83"/>
      <c r="G1575" s="84"/>
      <c r="H1575" s="85">
        <f>SUM(H1576:H1580)</f>
        <v>315.91331156872593</v>
      </c>
      <c r="J1575" s="201" t="s">
        <v>13374</v>
      </c>
      <c r="K1575" s="78"/>
      <c r="L1575" s="78"/>
      <c r="M1575" s="78"/>
      <c r="N1575" s="78"/>
      <c r="O1575" s="78"/>
      <c r="P1575" s="78"/>
      <c r="Q1575" s="78"/>
    </row>
    <row r="1576" spans="1:17" s="87" customFormat="1" ht="25.5">
      <c r="A1576" s="232" t="s">
        <v>4542</v>
      </c>
      <c r="B1576" s="464" t="s">
        <v>8841</v>
      </c>
      <c r="C1576" s="451" t="str">
        <f>IF(A1576="SERVIÇO",VLOOKUP(B1576,SERVIÇOS!$A$6:$D$7645,2,0),IF(A1576="INSUMO",VLOOKUP(B1576,INSUMOS!$A$6:$D$6961,2,0),IF(A1576="COTAÇÃO",VLOOKUP(B1576,'036-20-Cotação'!$A$9:$G$529,2,0))))</f>
        <v>TRANSPORTADOR MANUAL CARRINHO DE MÃO COM CAPACIDADE DE 80 L</v>
      </c>
      <c r="D1576" s="452" t="str">
        <f>IF(A1576="SERVIÇO",VLOOKUP(B1576,SERVIÇOS!$A$6:$E$7645,5,0),IF(A1576="INSUMO",VLOOKUP(B1576,INSUMOS!$A$6:$E$6961,5,0),IF(A1576="COTAÇÃO",VLOOKUP(B1576,'036-20-Cotação'!$A$9:$H$529,8,0))))</f>
        <v>EQUIP.</v>
      </c>
      <c r="E1576" s="452" t="str">
        <f>IF(A1576="SERVIÇO",VLOOKUP(B1576,SERVIÇOS!$A$6:$D$7645,3,0),IF(A1576="INSUMO",VLOOKUP(B1576,INSUMOS!$A$6:$D$6961,3,0),IF(A1576="COTAÇÃO",VLOOKUP(B1576,'036-20-Cotação'!$A$9:$G$529,4,0))))</f>
        <v>CHP</v>
      </c>
      <c r="F1576" s="462">
        <f>0.06/0.09108</f>
        <v>0.65876152832674573</v>
      </c>
      <c r="G1576" s="453">
        <f>IF(A1576="SERVIÇO",VLOOKUP(B1576,SERVIÇOS!$A$6:$D$7645,4,0),IF(A1576="INSUMO",VLOOKUP(B1576,INSUMOS!$A$6:$D$6961,4,0),IF(A1576="COTAÇÃO",VLOOKUP(B1576,'036-20-Cotação'!$A$9:$G$529,3,0))))</f>
        <v>0.3054</v>
      </c>
      <c r="H1576" s="463">
        <f t="shared" ref="H1576:H1580" si="275">G1576*F1576</f>
        <v>0.20118577075098815</v>
      </c>
      <c r="J1576" s="201"/>
    </row>
    <row r="1577" spans="1:17" s="87" customFormat="1" ht="25.5">
      <c r="A1577" s="232" t="s">
        <v>4542</v>
      </c>
      <c r="B1577" s="464" t="s">
        <v>9665</v>
      </c>
      <c r="C1577" s="451" t="str">
        <f>IF(A1577="SERVIÇO",VLOOKUP(B1577,SERVIÇOS!$A$6:$D$7645,2,0),IF(A1577="INSUMO",VLOOKUP(B1577,INSUMOS!$A$6:$D$6961,2,0),IF(A1577="COTAÇÃO",VLOOKUP(B1577,'036-20-Cotação'!$A$9:$G$529,2,0))))</f>
        <v>TRANSPORTADOR MANUAL CARRINHO DE MÃO COM CAPACIDADE DE 80 L</v>
      </c>
      <c r="D1577" s="452" t="str">
        <f>IF(A1577="SERVIÇO",VLOOKUP(B1577,SERVIÇOS!$A$6:$E$7645,5,0),IF(A1577="INSUMO",VLOOKUP(B1577,INSUMOS!$A$6:$E$6961,5,0),IF(A1577="COTAÇÃO",VLOOKUP(B1577,'036-20-Cotação'!$A$9:$H$529,8,0))))</f>
        <v>EQUIP.</v>
      </c>
      <c r="E1577" s="452" t="str">
        <f>IF(A1577="SERVIÇO",VLOOKUP(B1577,SERVIÇOS!$A$6:$D$7645,3,0),IF(A1577="INSUMO",VLOOKUP(B1577,INSUMOS!$A$6:$D$6961,3,0),IF(A1577="COTAÇÃO",VLOOKUP(B1577,'036-20-Cotação'!$A$9:$G$529,4,0))))</f>
        <v>CHI</v>
      </c>
      <c r="F1577" s="462">
        <f>0.94/0.09108</f>
        <v>10.320597277119017</v>
      </c>
      <c r="G1577" s="453">
        <f>IF(A1577="SERVIÇO",VLOOKUP(B1577,SERVIÇOS!$A$6:$D$7645,4,0),IF(A1577="INSUMO",VLOOKUP(B1577,INSUMOS!$A$6:$D$6961,4,0),IF(A1577="COTAÇÃO",VLOOKUP(B1577,'036-20-Cotação'!$A$9:$G$529,3,0))))</f>
        <v>0.20469999999999999</v>
      </c>
      <c r="H1577" s="463">
        <f t="shared" si="275"/>
        <v>2.1126262626262626</v>
      </c>
      <c r="J1577" s="201"/>
    </row>
    <row r="1578" spans="1:17" s="87" customFormat="1" ht="12.75">
      <c r="A1578" s="232" t="s">
        <v>4542</v>
      </c>
      <c r="B1578" s="464" t="s">
        <v>6614</v>
      </c>
      <c r="C1578" s="451" t="str">
        <f>IF(A1578="SERVIÇO",VLOOKUP(B1578,SERVIÇOS!$A$6:$D$7645,2,0),IF(A1578="INSUMO",VLOOKUP(B1578,INSUMOS!$A$6:$D$6961,2,0),IF(A1578="COTAÇÃO",VLOOKUP(B1578,'036-20-Cotação'!$A$9:$G$529,2,0))))</f>
        <v>PEDREIRO</v>
      </c>
      <c r="D1578" s="452" t="str">
        <f>IF(A1578="SERVIÇO",VLOOKUP(B1578,SERVIÇOS!$A$6:$E$7645,5,0),IF(A1578="INSUMO",VLOOKUP(B1578,INSUMOS!$A$6:$E$6961,5,0),IF(A1578="COTAÇÃO",VLOOKUP(B1578,'036-20-Cotação'!$A$9:$H$529,8,0))))</f>
        <v>M.O</v>
      </c>
      <c r="E1578" s="452" t="str">
        <f>IF(A1578="SERVIÇO",VLOOKUP(B1578,SERVIÇOS!$A$6:$D$7645,3,0),IF(A1578="INSUMO",VLOOKUP(B1578,INSUMOS!$A$6:$D$6961,3,0),IF(A1578="COTAÇÃO",VLOOKUP(B1578,'036-20-Cotação'!$A$9:$G$529,4,0))))</f>
        <v>H</v>
      </c>
      <c r="F1578" s="462">
        <f>0.1/0.09108</f>
        <v>1.0979358805445762</v>
      </c>
      <c r="G1578" s="453">
        <f>IF(A1578="SERVIÇO",VLOOKUP(B1578,SERVIÇOS!$A$6:$D$7645,4,0),IF(A1578="INSUMO",VLOOKUP(B1578,INSUMOS!$A$6:$D$6961,4,0),IF(A1578="COTAÇÃO",VLOOKUP(B1578,'036-20-Cotação'!$A$9:$G$529,3,0))))</f>
        <v>21.647600000000001</v>
      </c>
      <c r="H1578" s="463">
        <f t="shared" si="275"/>
        <v>23.767676767676768</v>
      </c>
      <c r="J1578" s="201"/>
    </row>
    <row r="1579" spans="1:17" s="87" customFormat="1" ht="12.75">
      <c r="A1579" s="232" t="s">
        <v>4542</v>
      </c>
      <c r="B1579" s="464" t="s">
        <v>6602</v>
      </c>
      <c r="C1579" s="451" t="str">
        <f>IF(A1579="SERVIÇO",VLOOKUP(B1579,SERVIÇOS!$A$6:$D$7645,2,0),IF(A1579="INSUMO",VLOOKUP(B1579,INSUMOS!$A$6:$D$6961,2,0),IF(A1579="COTAÇÃO",VLOOKUP(B1579,'036-20-Cotação'!$A$9:$G$529,2,0))))</f>
        <v>SERVENTE</v>
      </c>
      <c r="D1579" s="452" t="str">
        <f>IF(A1579="SERVIÇO",VLOOKUP(B1579,SERVIÇOS!$A$6:$E$7645,5,0),IF(A1579="INSUMO",VLOOKUP(B1579,INSUMOS!$A$6:$E$6961,5,0),IF(A1579="COTAÇÃO",VLOOKUP(B1579,'036-20-Cotação'!$A$9:$H$529,8,0))))</f>
        <v>M.O</v>
      </c>
      <c r="E1579" s="452" t="str">
        <f>IF(A1579="SERVIÇO",VLOOKUP(B1579,SERVIÇOS!$A$6:$D$7645,3,0),IF(A1579="INSUMO",VLOOKUP(B1579,INSUMOS!$A$6:$D$6961,3,0),IF(A1579="COTAÇÃO",VLOOKUP(B1579,'036-20-Cotação'!$A$9:$G$529,4,0))))</f>
        <v>H</v>
      </c>
      <c r="F1579" s="462">
        <f>1/0.09108</f>
        <v>10.979358805445763</v>
      </c>
      <c r="G1579" s="453">
        <f>IF(A1579="SERVIÇO",VLOOKUP(B1579,SERVIÇOS!$A$6:$D$7645,4,0),IF(A1579="INSUMO",VLOOKUP(B1579,INSUMOS!$A$6:$D$6961,4,0),IF(A1579="COTAÇÃO",VLOOKUP(B1579,'036-20-Cotação'!$A$9:$G$529,3,0))))</f>
        <v>15.637499999999999</v>
      </c>
      <c r="H1579" s="463">
        <f t="shared" si="275"/>
        <v>171.68972332015812</v>
      </c>
      <c r="J1579" s="201"/>
    </row>
    <row r="1580" spans="1:17" s="87" customFormat="1" ht="25.5">
      <c r="A1580" s="232" t="s">
        <v>4542</v>
      </c>
      <c r="B1580" s="464" t="s">
        <v>13238</v>
      </c>
      <c r="C1580" s="451" t="str">
        <f>'036-20-CCA''s'!$C$318</f>
        <v>TEMPO FIXO - CAMINHÃO BASCULANTE 6 M3 - CARGA MANUAL E DESCARGA LIVRE</v>
      </c>
      <c r="D1580" s="452" t="str">
        <f>'036-20-CCA''s'!$D$318</f>
        <v>SER.CG</v>
      </c>
      <c r="E1580" s="452" t="str">
        <f>'036-20-CCA''s'!$E$318</f>
        <v>T</v>
      </c>
      <c r="F1580" s="462">
        <v>2.4</v>
      </c>
      <c r="G1580" s="453">
        <f>'036-20-CCA''s'!$H$318</f>
        <v>49.225874769797421</v>
      </c>
      <c r="H1580" s="463">
        <f t="shared" si="275"/>
        <v>118.1420994475138</v>
      </c>
      <c r="J1580" s="201"/>
    </row>
    <row r="1581" spans="1:17" s="87" customFormat="1" ht="12.75">
      <c r="A1581" s="188"/>
      <c r="B1581" s="348" t="s">
        <v>123</v>
      </c>
      <c r="C1581" s="695" t="s">
        <v>13375</v>
      </c>
      <c r="D1581" s="696"/>
      <c r="E1581" s="696"/>
      <c r="F1581" s="696"/>
      <c r="G1581" s="696"/>
      <c r="H1581" s="697"/>
      <c r="J1581" s="201"/>
      <c r="K1581" s="78"/>
      <c r="L1581" s="78"/>
      <c r="M1581" s="78"/>
      <c r="N1581" s="78"/>
      <c r="O1581" s="78"/>
      <c r="P1581" s="78"/>
      <c r="Q1581" s="78"/>
    </row>
    <row r="1582" spans="1:17" s="87" customFormat="1" ht="12.75">
      <c r="A1582" s="188"/>
      <c r="B1582" s="346"/>
      <c r="C1582" s="486"/>
      <c r="D1582" s="486"/>
      <c r="E1582" s="486"/>
      <c r="F1582" s="486"/>
      <c r="G1582" s="486"/>
      <c r="H1582" s="487"/>
      <c r="J1582" s="201"/>
      <c r="K1582" s="78"/>
      <c r="L1582" s="78"/>
      <c r="M1582" s="78"/>
      <c r="N1582" s="78"/>
      <c r="O1582" s="78"/>
      <c r="P1582" s="78"/>
      <c r="Q1582" s="78"/>
    </row>
    <row r="1583" spans="1:17" s="87" customFormat="1" ht="38.25">
      <c r="A1583" s="188"/>
      <c r="B1583" s="80">
        <v>1600895</v>
      </c>
      <c r="C1583" s="81" t="s">
        <v>6680</v>
      </c>
      <c r="D1583" s="82" t="s">
        <v>201</v>
      </c>
      <c r="E1583" s="82" t="s">
        <v>150</v>
      </c>
      <c r="F1583" s="83"/>
      <c r="G1583" s="84"/>
      <c r="H1583" s="85">
        <f>SUM(H1584:H1586)</f>
        <v>10.590859999999999</v>
      </c>
      <c r="J1583" s="201" t="s">
        <v>13376</v>
      </c>
      <c r="K1583" s="78"/>
      <c r="L1583" s="78"/>
      <c r="M1583" s="78"/>
      <c r="N1583" s="78"/>
      <c r="O1583" s="78"/>
      <c r="P1583" s="78"/>
      <c r="Q1583" s="78"/>
    </row>
    <row r="1584" spans="1:17" s="87" customFormat="1" ht="12.75">
      <c r="A1584" s="232" t="s">
        <v>4542</v>
      </c>
      <c r="B1584" s="464" t="s">
        <v>6613</v>
      </c>
      <c r="C1584" s="451" t="str">
        <f>IF(A1584="SERVIÇO",VLOOKUP(B1584,SERVIÇOS!$A$6:$D$7645,2,0),IF(A1584="INSUMO",VLOOKUP(B1584,INSUMOS!$A$6:$D$6961,2,0),IF(A1584="COTAÇÃO",VLOOKUP(B1584,'036-20-Cotação'!$A$9:$G$529,2,0))))</f>
        <v>CARPINTEIRO</v>
      </c>
      <c r="D1584" s="452" t="str">
        <f>IF(A1584="SERVIÇO",VLOOKUP(B1584,SERVIÇOS!$A$6:$E$7645,5,0),IF(A1584="INSUMO",VLOOKUP(B1584,INSUMOS!$A$6:$E$6961,5,0),IF(A1584="COTAÇÃO",VLOOKUP(B1584,'036-20-Cotação'!$A$9:$H$529,8,0))))</f>
        <v>M.O</v>
      </c>
      <c r="E1584" s="452" t="str">
        <f>IF(A1584="SERVIÇO",VLOOKUP(B1584,SERVIÇOS!$A$6:$D$7645,3,0),IF(A1584="INSUMO",VLOOKUP(B1584,INSUMOS!$A$6:$D$6961,3,0),IF(A1584="COTAÇÃO",VLOOKUP(B1584,'036-20-Cotação'!$A$9:$G$529,4,0))))</f>
        <v>H</v>
      </c>
      <c r="F1584" s="462">
        <f>1/10</f>
        <v>0.1</v>
      </c>
      <c r="G1584" s="453">
        <f>IF(A1584="SERVIÇO",VLOOKUP(B1584,SERVIÇOS!$A$6:$D$7645,4,0),IF(A1584="INSUMO",VLOOKUP(B1584,INSUMOS!$A$6:$D$6961,4,0),IF(A1584="COTAÇÃO",VLOOKUP(B1584,'036-20-Cotação'!$A$9:$G$529,3,0))))</f>
        <v>21.710999999999999</v>
      </c>
      <c r="H1584" s="463">
        <f t="shared" ref="H1584:H1586" si="276">G1584*F1584</f>
        <v>2.1711</v>
      </c>
      <c r="J1584" s="201"/>
    </row>
    <row r="1585" spans="1:17" s="87" customFormat="1" ht="12.75">
      <c r="A1585" s="232" t="s">
        <v>4542</v>
      </c>
      <c r="B1585" s="464" t="s">
        <v>6614</v>
      </c>
      <c r="C1585" s="451" t="str">
        <f>IF(A1585="SERVIÇO",VLOOKUP(B1585,SERVIÇOS!$A$6:$D$7645,2,0),IF(A1585="INSUMO",VLOOKUP(B1585,INSUMOS!$A$6:$D$6961,2,0),IF(A1585="COTAÇÃO",VLOOKUP(B1585,'036-20-Cotação'!$A$9:$G$529,2,0))))</f>
        <v>PEDREIRO</v>
      </c>
      <c r="D1585" s="452" t="str">
        <f>IF(A1585="SERVIÇO",VLOOKUP(B1585,SERVIÇOS!$A$6:$E$7645,5,0),IF(A1585="INSUMO",VLOOKUP(B1585,INSUMOS!$A$6:$E$6961,5,0),IF(A1585="COTAÇÃO",VLOOKUP(B1585,'036-20-Cotação'!$A$9:$H$529,8,0))))</f>
        <v>M.O</v>
      </c>
      <c r="E1585" s="452" t="str">
        <f>IF(A1585="SERVIÇO",VLOOKUP(B1585,SERVIÇOS!$A$6:$D$7645,3,0),IF(A1585="INSUMO",VLOOKUP(B1585,INSUMOS!$A$6:$D$6961,3,0),IF(A1585="COTAÇÃO",VLOOKUP(B1585,'036-20-Cotação'!$A$9:$G$529,4,0))))</f>
        <v>H</v>
      </c>
      <c r="F1585" s="462">
        <f>1/10</f>
        <v>0.1</v>
      </c>
      <c r="G1585" s="453">
        <f>IF(A1585="SERVIÇO",VLOOKUP(B1585,SERVIÇOS!$A$6:$D$7645,4,0),IF(A1585="INSUMO",VLOOKUP(B1585,INSUMOS!$A$6:$D$6961,4,0),IF(A1585="COTAÇÃO",VLOOKUP(B1585,'036-20-Cotação'!$A$9:$G$529,3,0))))</f>
        <v>21.647600000000001</v>
      </c>
      <c r="H1585" s="463">
        <f t="shared" si="276"/>
        <v>2.1647600000000002</v>
      </c>
      <c r="J1585" s="201"/>
    </row>
    <row r="1586" spans="1:17" s="87" customFormat="1" ht="12.75">
      <c r="A1586" s="232" t="s">
        <v>4542</v>
      </c>
      <c r="B1586" s="464" t="s">
        <v>6602</v>
      </c>
      <c r="C1586" s="451" t="str">
        <f>IF(A1586="SERVIÇO",VLOOKUP(B1586,SERVIÇOS!$A$6:$D$7645,2,0),IF(A1586="INSUMO",VLOOKUP(B1586,INSUMOS!$A$6:$D$6961,2,0),IF(A1586="COTAÇÃO",VLOOKUP(B1586,'036-20-Cotação'!$A$9:$G$529,2,0))))</f>
        <v>SERVENTE</v>
      </c>
      <c r="D1586" s="452" t="str">
        <f>IF(A1586="SERVIÇO",VLOOKUP(B1586,SERVIÇOS!$A$6:$E$7645,5,0),IF(A1586="INSUMO",VLOOKUP(B1586,INSUMOS!$A$6:$E$6961,5,0),IF(A1586="COTAÇÃO",VLOOKUP(B1586,'036-20-Cotação'!$A$9:$H$529,8,0))))</f>
        <v>M.O</v>
      </c>
      <c r="E1586" s="452" t="str">
        <f>IF(A1586="SERVIÇO",VLOOKUP(B1586,SERVIÇOS!$A$6:$D$7645,3,0),IF(A1586="INSUMO",VLOOKUP(B1586,INSUMOS!$A$6:$D$6961,3,0),IF(A1586="COTAÇÃO",VLOOKUP(B1586,'036-20-Cotação'!$A$9:$G$529,4,0))))</f>
        <v>H</v>
      </c>
      <c r="F1586" s="462">
        <f>4/10</f>
        <v>0.4</v>
      </c>
      <c r="G1586" s="453">
        <f>IF(A1586="SERVIÇO",VLOOKUP(B1586,SERVIÇOS!$A$6:$D$7645,4,0),IF(A1586="INSUMO",VLOOKUP(B1586,INSUMOS!$A$6:$D$6961,4,0),IF(A1586="COTAÇÃO",VLOOKUP(B1586,'036-20-Cotação'!$A$9:$G$529,3,0))))</f>
        <v>15.637499999999999</v>
      </c>
      <c r="H1586" s="463">
        <f t="shared" si="276"/>
        <v>6.2549999999999999</v>
      </c>
      <c r="J1586" s="201"/>
    </row>
    <row r="1587" spans="1:17" s="87" customFormat="1" ht="12.75">
      <c r="A1587" s="188"/>
      <c r="B1587" s="348" t="s">
        <v>123</v>
      </c>
      <c r="C1587" s="695" t="s">
        <v>13377</v>
      </c>
      <c r="D1587" s="696"/>
      <c r="E1587" s="696"/>
      <c r="F1587" s="696"/>
      <c r="G1587" s="696"/>
      <c r="H1587" s="697"/>
      <c r="J1587" s="201"/>
      <c r="K1587" s="78"/>
      <c r="L1587" s="78"/>
      <c r="M1587" s="78"/>
      <c r="N1587" s="78"/>
      <c r="O1587" s="78"/>
      <c r="P1587" s="78"/>
      <c r="Q1587" s="78"/>
    </row>
    <row r="1588" spans="1:17" s="87" customFormat="1" ht="12.75">
      <c r="A1588" s="188"/>
      <c r="B1588" s="346"/>
      <c r="C1588" s="476"/>
      <c r="D1588" s="476"/>
      <c r="E1588" s="476"/>
      <c r="F1588" s="476"/>
      <c r="G1588" s="476"/>
      <c r="H1588" s="477"/>
      <c r="J1588" s="201"/>
      <c r="K1588" s="78"/>
      <c r="L1588" s="78"/>
      <c r="M1588" s="78"/>
      <c r="N1588" s="78"/>
      <c r="O1588" s="78"/>
      <c r="P1588" s="78"/>
      <c r="Q1588" s="78"/>
    </row>
    <row r="1589" spans="1:17" s="87" customFormat="1" ht="51">
      <c r="A1589" s="188"/>
      <c r="B1589" s="80">
        <v>3806419</v>
      </c>
      <c r="C1589" s="81" t="s">
        <v>8433</v>
      </c>
      <c r="D1589" s="82" t="s">
        <v>201</v>
      </c>
      <c r="E1589" s="82" t="s">
        <v>90</v>
      </c>
      <c r="F1589" s="83"/>
      <c r="G1589" s="84"/>
      <c r="H1589" s="85">
        <f>SUM(H1590:H1591)</f>
        <v>84.936874999999986</v>
      </c>
      <c r="J1589" s="201" t="s">
        <v>13163</v>
      </c>
      <c r="K1589" s="78"/>
      <c r="L1589" s="78"/>
      <c r="M1589" s="78"/>
      <c r="N1589" s="78"/>
      <c r="O1589" s="78"/>
      <c r="P1589" s="78"/>
      <c r="Q1589" s="78"/>
    </row>
    <row r="1590" spans="1:17" s="87" customFormat="1" ht="38.25">
      <c r="A1590" s="232" t="s">
        <v>4542</v>
      </c>
      <c r="B1590" s="464" t="s">
        <v>8801</v>
      </c>
      <c r="C1590" s="451" t="str">
        <f>IF(A1590="SERVIÇO",VLOOKUP(B1590,SERVIÇOS!$A$6:$D$7645,2,0),IF(A1590="INSUMO",VLOOKUP(B1590,INSUMOS!$A$6:$D$6961,2,0),IF(A1590="COTAÇÃO",VLOOKUP(B1590,'036-20-Cotação'!$A$9:$G$529,2,0))))</f>
        <v>CONJUNTO BOMBA E MACACO HIDRÁULICO PARA ELEVAÇÃO COM CAPACIDADE DE 1.960 KN</v>
      </c>
      <c r="D1590" s="452" t="str">
        <f>IF(A1590="SERVIÇO",VLOOKUP(B1590,SERVIÇOS!$A$6:$E$7645,5,0),IF(A1590="INSUMO",VLOOKUP(B1590,INSUMOS!$A$6:$E$6961,5,0),IF(A1590="COTAÇÃO",VLOOKUP(B1590,'036-20-Cotação'!$A$9:$H$529,8,0))))</f>
        <v>EQUIP.</v>
      </c>
      <c r="E1590" s="452" t="str">
        <f>IF(A1590="SERVIÇO",VLOOKUP(B1590,SERVIÇOS!$A$6:$D$7645,3,0),IF(A1590="INSUMO",VLOOKUP(B1590,INSUMOS!$A$6:$D$6961,3,0),IF(A1590="COTAÇÃO",VLOOKUP(B1590,'036-20-Cotação'!$A$9:$G$529,4,0))))</f>
        <v>CHP</v>
      </c>
      <c r="F1590" s="462">
        <f>1/1.12</f>
        <v>0.89285714285714279</v>
      </c>
      <c r="G1590" s="453">
        <f>IF(A1590="SERVIÇO",VLOOKUP(B1590,SERVIÇOS!$A$6:$D$7645,4,0),IF(A1590="INSUMO",VLOOKUP(B1590,INSUMOS!$A$6:$D$6961,4,0),IF(A1590="COTAÇÃO",VLOOKUP(B1590,'036-20-Cotação'!$A$9:$G$529,3,0))))</f>
        <v>52.5197</v>
      </c>
      <c r="H1590" s="463">
        <f t="shared" ref="H1590:H1591" si="277">G1590*F1590</f>
        <v>46.89258928571428</v>
      </c>
      <c r="J1590" s="201"/>
    </row>
    <row r="1591" spans="1:17" s="87" customFormat="1" ht="12.75">
      <c r="A1591" s="232" t="s">
        <v>4542</v>
      </c>
      <c r="B1591" s="464" t="s">
        <v>8579</v>
      </c>
      <c r="C1591" s="451" t="str">
        <f>IF(A1591="SERVIÇO",VLOOKUP(B1591,SERVIÇOS!$A$6:$D$7645,2,0),IF(A1591="INSUMO",VLOOKUP(B1591,INSUMOS!$A$6:$D$6961,2,0),IF(A1591="COTAÇÃO",VLOOKUP(B1591,'036-20-Cotação'!$A$9:$G$529,2,0))))</f>
        <v>AJUDANTE ESPECIALIZADO</v>
      </c>
      <c r="D1591" s="452" t="str">
        <f>IF(A1591="SERVIÇO",VLOOKUP(B1591,SERVIÇOS!$A$6:$E$7645,5,0),IF(A1591="INSUMO",VLOOKUP(B1591,INSUMOS!$A$6:$E$6961,5,0),IF(A1591="COTAÇÃO",VLOOKUP(B1591,'036-20-Cotação'!$A$9:$H$529,8,0))))</f>
        <v>M.O</v>
      </c>
      <c r="E1591" s="452" t="str">
        <f>IF(A1591="SERVIÇO",VLOOKUP(B1591,SERVIÇOS!$A$6:$D$7645,3,0),IF(A1591="INSUMO",VLOOKUP(B1591,INSUMOS!$A$6:$D$6961,3,0),IF(A1591="COTAÇÃO",VLOOKUP(B1591,'036-20-Cotação'!$A$9:$G$529,4,0))))</f>
        <v>H</v>
      </c>
      <c r="F1591" s="462">
        <f>2/1.12</f>
        <v>1.7857142857142856</v>
      </c>
      <c r="G1591" s="453">
        <f>IF(A1591="SERVIÇO",VLOOKUP(B1591,SERVIÇOS!$A$6:$D$7645,4,0),IF(A1591="INSUMO",VLOOKUP(B1591,INSUMOS!$A$6:$D$6961,4,0),IF(A1591="COTAÇÃO",VLOOKUP(B1591,'036-20-Cotação'!$A$9:$G$529,3,0))))</f>
        <v>21.3048</v>
      </c>
      <c r="H1591" s="463">
        <f t="shared" si="277"/>
        <v>38.044285714285714</v>
      </c>
      <c r="J1591" s="201"/>
    </row>
    <row r="1592" spans="1:17" s="87" customFormat="1" ht="12.75">
      <c r="A1592" s="188"/>
      <c r="B1592" s="348" t="s">
        <v>123</v>
      </c>
      <c r="C1592" s="695" t="s">
        <v>13162</v>
      </c>
      <c r="D1592" s="696"/>
      <c r="E1592" s="696"/>
      <c r="F1592" s="696"/>
      <c r="G1592" s="696"/>
      <c r="H1592" s="697"/>
      <c r="J1592" s="201"/>
      <c r="K1592" s="78"/>
      <c r="L1592" s="78"/>
      <c r="M1592" s="78"/>
      <c r="N1592" s="78"/>
      <c r="O1592" s="78"/>
      <c r="P1592" s="78"/>
      <c r="Q1592" s="78"/>
    </row>
    <row r="1593" spans="1:17" s="87" customFormat="1" ht="12.75">
      <c r="A1593" s="188"/>
      <c r="B1593" s="346"/>
      <c r="C1593" s="486"/>
      <c r="D1593" s="486"/>
      <c r="E1593" s="486"/>
      <c r="F1593" s="486"/>
      <c r="G1593" s="486"/>
      <c r="H1593" s="487"/>
      <c r="J1593" s="201"/>
      <c r="K1593" s="78"/>
      <c r="L1593" s="78"/>
      <c r="M1593" s="78"/>
      <c r="N1593" s="78"/>
      <c r="O1593" s="78"/>
      <c r="P1593" s="78"/>
      <c r="Q1593" s="78"/>
    </row>
    <row r="1594" spans="1:17" s="87" customFormat="1" ht="63.75">
      <c r="A1594" s="188"/>
      <c r="B1594" s="80">
        <v>5915459</v>
      </c>
      <c r="C1594" s="81" t="s">
        <v>7744</v>
      </c>
      <c r="D1594" s="82" t="s">
        <v>201</v>
      </c>
      <c r="E1594" s="82" t="s">
        <v>3495</v>
      </c>
      <c r="F1594" s="83"/>
      <c r="G1594" s="84"/>
      <c r="H1594" s="85">
        <f>SUM(H1595:H1597)</f>
        <v>3.1350291994750652</v>
      </c>
      <c r="J1594" s="201" t="s">
        <v>13378</v>
      </c>
      <c r="K1594" s="78"/>
      <c r="L1594" s="78"/>
      <c r="M1594" s="78"/>
      <c r="N1594" s="78"/>
      <c r="O1594" s="78"/>
      <c r="P1594" s="78"/>
      <c r="Q1594" s="78"/>
    </row>
    <row r="1595" spans="1:17" s="87" customFormat="1" ht="25.5">
      <c r="A1595" s="232" t="s">
        <v>4542</v>
      </c>
      <c r="B1595" s="464" t="s">
        <v>9460</v>
      </c>
      <c r="C1595" s="451" t="str">
        <f>IF(A1595="SERVIÇO",VLOOKUP(B1595,SERVIÇOS!$A$6:$D$7645,2,0),IF(A1595="INSUMO",VLOOKUP(B1595,INSUMOS!$A$6:$D$6961,2,0),IF(A1595="COTAÇÃO",VLOOKUP(B1595,'036-20-Cotação'!$A$9:$G$529,2,0))))</f>
        <v>CAMINHÃO BASCULANTE COM CAPACIDADE DE 6 M³ - 136 KW</v>
      </c>
      <c r="D1595" s="452" t="str">
        <f>IF(A1595="SERVIÇO",VLOOKUP(B1595,SERVIÇOS!$A$6:$E$7645,5,0),IF(A1595="INSUMO",VLOOKUP(B1595,INSUMOS!$A$6:$E$6961,5,0),IF(A1595="COTAÇÃO",VLOOKUP(B1595,'036-20-Cotação'!$A$9:$H$529,8,0))))</f>
        <v>EQUIP.</v>
      </c>
      <c r="E1595" s="452" t="str">
        <f>IF(A1595="SERVIÇO",VLOOKUP(B1595,SERVIÇOS!$A$6:$D$7645,3,0),IF(A1595="INSUMO",VLOOKUP(B1595,INSUMOS!$A$6:$D$6961,3,0),IF(A1595="COTAÇÃO",VLOOKUP(B1595,'036-20-Cotação'!$A$9:$G$529,4,0))))</f>
        <v>CHP</v>
      </c>
      <c r="F1595" s="462">
        <f>0.9/60.96</f>
        <v>1.4763779527559055E-2</v>
      </c>
      <c r="G1595" s="453">
        <f>IF(A1595="SERVIÇO",VLOOKUP(B1595,SERVIÇOS!$A$6:$D$7645,4,0),IF(A1595="INSUMO",VLOOKUP(B1595,INSUMOS!$A$6:$D$6961,4,0),IF(A1595="COTAÇÃO",VLOOKUP(B1595,'036-20-Cotação'!$A$9:$G$529,3,0))))</f>
        <v>110.92149999999999</v>
      </c>
      <c r="H1595" s="463">
        <f t="shared" ref="H1595:H1597" si="278">G1595*F1595</f>
        <v>1.6376205708661415</v>
      </c>
      <c r="J1595" s="201"/>
    </row>
    <row r="1596" spans="1:17" s="87" customFormat="1" ht="25.5">
      <c r="A1596" s="232" t="s">
        <v>4542</v>
      </c>
      <c r="B1596" s="464" t="s">
        <v>9990</v>
      </c>
      <c r="C1596" s="451" t="str">
        <f>IF(A1596="SERVIÇO",VLOOKUP(B1596,SERVIÇOS!$A$6:$D$7645,2,0),IF(A1596="INSUMO",VLOOKUP(B1596,INSUMOS!$A$6:$D$6961,2,0),IF(A1596="COTAÇÃO",VLOOKUP(B1596,'036-20-Cotação'!$A$9:$G$529,2,0))))</f>
        <v>CAMINHÃO BASCULANTE COM CAPACIDADE DE 6 M³ - 136 KW</v>
      </c>
      <c r="D1596" s="452" t="str">
        <f>IF(A1596="SERVIÇO",VLOOKUP(B1596,SERVIÇOS!$A$6:$E$7645,5,0),IF(A1596="INSUMO",VLOOKUP(B1596,INSUMOS!$A$6:$E$6961,5,0),IF(A1596="COTAÇÃO",VLOOKUP(B1596,'036-20-Cotação'!$A$9:$H$529,8,0))))</f>
        <v>EQUIP.</v>
      </c>
      <c r="E1596" s="452" t="str">
        <f>IF(A1596="SERVIÇO",VLOOKUP(B1596,SERVIÇOS!$A$6:$D$7645,3,0),IF(A1596="INSUMO",VLOOKUP(B1596,INSUMOS!$A$6:$D$6961,3,0),IF(A1596="COTAÇÃO",VLOOKUP(B1596,'036-20-Cotação'!$A$9:$G$529,4,0))))</f>
        <v>CHI</v>
      </c>
      <c r="F1596" s="462">
        <f>0.1/60.96</f>
        <v>1.6404199475065617E-3</v>
      </c>
      <c r="G1596" s="453">
        <f>IF(A1596="SERVIÇO",VLOOKUP(B1596,SERVIÇOS!$A$6:$D$7645,4,0),IF(A1596="INSUMO",VLOOKUP(B1596,INSUMOS!$A$6:$D$6961,4,0),IF(A1596="COTAÇÃO",VLOOKUP(B1596,'036-20-Cotação'!$A$9:$G$529,3,0))))</f>
        <v>41.301299999999998</v>
      </c>
      <c r="H1596" s="463">
        <f t="shared" ref="H1596" si="279">G1596*F1596</f>
        <v>6.7751476377952757E-2</v>
      </c>
      <c r="J1596" s="201"/>
    </row>
    <row r="1597" spans="1:17" s="87" customFormat="1" ht="12.75">
      <c r="A1597" s="232" t="s">
        <v>4542</v>
      </c>
      <c r="B1597" s="464" t="s">
        <v>8886</v>
      </c>
      <c r="C1597" s="451" t="str">
        <f>IF(A1597="SERVIÇO",VLOOKUP(B1597,SERVIÇOS!$A$6:$D$7645,2,0),IF(A1597="INSUMO",VLOOKUP(B1597,INSUMOS!$A$6:$D$6961,2,0),IF(A1597="COTAÇÃO",VLOOKUP(B1597,'036-20-Cotação'!$A$9:$G$529,2,0))))</f>
        <v>MINICARREGADEIRA DE PNEUS - 42 KW</v>
      </c>
      <c r="D1597" s="452" t="str">
        <f>IF(A1597="SERVIÇO",VLOOKUP(B1597,SERVIÇOS!$A$6:$E$7645,5,0),IF(A1597="INSUMO",VLOOKUP(B1597,INSUMOS!$A$6:$E$6961,5,0),IF(A1597="COTAÇÃO",VLOOKUP(B1597,'036-20-Cotação'!$A$9:$H$529,8,0))))</f>
        <v>EQUIP.</v>
      </c>
      <c r="E1597" s="452" t="str">
        <f>IF(A1597="SERVIÇO",VLOOKUP(B1597,SERVIÇOS!$A$6:$D$7645,3,0),IF(A1597="INSUMO",VLOOKUP(B1597,INSUMOS!$A$6:$D$6961,3,0),IF(A1597="COTAÇÃO",VLOOKUP(B1597,'036-20-Cotação'!$A$9:$G$529,4,0))))</f>
        <v>CHP</v>
      </c>
      <c r="F1597" s="462">
        <f>1/60.96</f>
        <v>1.6404199475065617E-2</v>
      </c>
      <c r="G1597" s="453">
        <f>IF(A1597="SERVIÇO",VLOOKUP(B1597,SERVIÇOS!$A$6:$D$7645,4,0),IF(A1597="INSUMO",VLOOKUP(B1597,INSUMOS!$A$6:$D$6961,4,0),IF(A1597="COTAÇÃO",VLOOKUP(B1597,'036-20-Cotação'!$A$9:$G$529,3,0))))</f>
        <v>87.151899999999998</v>
      </c>
      <c r="H1597" s="463">
        <f t="shared" si="278"/>
        <v>1.4296571522309711</v>
      </c>
      <c r="J1597" s="201"/>
    </row>
    <row r="1598" spans="1:17" s="87" customFormat="1" ht="12.75">
      <c r="A1598" s="188"/>
      <c r="B1598" s="348" t="s">
        <v>123</v>
      </c>
      <c r="C1598" s="695" t="s">
        <v>13379</v>
      </c>
      <c r="D1598" s="696"/>
      <c r="E1598" s="696"/>
      <c r="F1598" s="696"/>
      <c r="G1598" s="696"/>
      <c r="H1598" s="697"/>
      <c r="J1598" s="201"/>
      <c r="K1598" s="78"/>
      <c r="L1598" s="78"/>
      <c r="M1598" s="78"/>
      <c r="N1598" s="78"/>
      <c r="O1598" s="78"/>
      <c r="P1598" s="78"/>
      <c r="Q1598" s="78"/>
    </row>
    <row r="1599" spans="1:17" s="87" customFormat="1" ht="12.75">
      <c r="A1599" s="188"/>
      <c r="B1599" s="346"/>
      <c r="C1599" s="478"/>
      <c r="D1599" s="478"/>
      <c r="E1599" s="478"/>
      <c r="F1599" s="478"/>
      <c r="G1599" s="478"/>
      <c r="H1599" s="479"/>
      <c r="J1599" s="201"/>
      <c r="K1599" s="78"/>
      <c r="L1599" s="78"/>
      <c r="M1599" s="78"/>
      <c r="N1599" s="78"/>
      <c r="O1599" s="78"/>
      <c r="P1599" s="78"/>
      <c r="Q1599" s="78"/>
    </row>
    <row r="1600" spans="1:17" s="87" customFormat="1" ht="25.5">
      <c r="A1600" s="188"/>
      <c r="B1600" s="80">
        <v>2408070</v>
      </c>
      <c r="C1600" s="81" t="s">
        <v>8432</v>
      </c>
      <c r="D1600" s="82" t="s">
        <v>84</v>
      </c>
      <c r="E1600" s="82" t="s">
        <v>150</v>
      </c>
      <c r="F1600" s="83"/>
      <c r="G1600" s="84"/>
      <c r="H1600" s="85">
        <f>SUM(H1601:H1609)</f>
        <v>13.551773260592439</v>
      </c>
      <c r="J1600" s="201" t="s">
        <v>13166</v>
      </c>
      <c r="K1600" s="78"/>
      <c r="L1600" s="78"/>
      <c r="M1600" s="78"/>
      <c r="N1600" s="78"/>
      <c r="O1600" s="78"/>
      <c r="P1600" s="78"/>
      <c r="Q1600" s="78"/>
    </row>
    <row r="1601" spans="1:17" s="87" customFormat="1" ht="38.25">
      <c r="A1601" s="232" t="s">
        <v>4542</v>
      </c>
      <c r="B1601" s="464" t="s">
        <v>9180</v>
      </c>
      <c r="C1601" s="451" t="str">
        <f>IF(A1601="SERVIÇO",VLOOKUP(B1601,SERVIÇOS!$A$6:$D$7645,2,0),IF(A1601="INSUMO",VLOOKUP(B1601,INSUMOS!$A$6:$D$6961,2,0),IF(A1601="COTAÇÃO",VLOOKUP(B1601,'036-20-Cotação'!$A$9:$G$529,2,0))))</f>
        <v>EQUIPAMENTO DE PINTURA A AR COMPRIMIDO DE PISTOLA COM CANECA COM CAPACIDADE DE 1.000 ML E COMPRESSOR DE 1,5 KW</v>
      </c>
      <c r="D1601" s="452" t="str">
        <f>IF(A1601="SERVIÇO",VLOOKUP(B1601,SERVIÇOS!$A$6:$E$7645,5,0),IF(A1601="INSUMO",VLOOKUP(B1601,INSUMOS!$A$6:$E$6961,5,0),IF(A1601="COTAÇÃO",VLOOKUP(B1601,'036-20-Cotação'!$A$9:$H$529,8,0))))</f>
        <v>EQUIP.</v>
      </c>
      <c r="E1601" s="452" t="str">
        <f>IF(A1601="SERVIÇO",VLOOKUP(B1601,SERVIÇOS!$A$6:$D$7645,3,0),IF(A1601="INSUMO",VLOOKUP(B1601,INSUMOS!$A$6:$D$6961,3,0),IF(A1601="COTAÇÃO",VLOOKUP(B1601,'036-20-Cotação'!$A$9:$G$529,4,0))))</f>
        <v>CHP</v>
      </c>
      <c r="F1601" s="462">
        <f>1/22.98</f>
        <v>4.3516100957354219E-2</v>
      </c>
      <c r="G1601" s="453">
        <f>IF(A1601="SERVIÇO",VLOOKUP(B1601,SERVIÇOS!$A$6:$D$7645,4,0),IF(A1601="INSUMO",VLOOKUP(B1601,INSUMOS!$A$6:$D$6961,4,0),IF(A1601="COTAÇÃO",VLOOKUP(B1601,'036-20-Cotação'!$A$9:$G$529,3,0))))</f>
        <v>0.39410000000000001</v>
      </c>
      <c r="H1601" s="463">
        <f t="shared" ref="H1601:H1609" si="280">G1601*F1601</f>
        <v>1.7149695387293298E-2</v>
      </c>
      <c r="J1601" s="201"/>
    </row>
    <row r="1602" spans="1:17" s="87" customFormat="1" ht="12.75">
      <c r="A1602" s="232" t="s">
        <v>4542</v>
      </c>
      <c r="B1602" s="464" t="s">
        <v>9006</v>
      </c>
      <c r="C1602" s="451" t="str">
        <f>IF(A1602="SERVIÇO",VLOOKUP(B1602,SERVIÇOS!$A$6:$D$7645,2,0),IF(A1602="INSUMO",VLOOKUP(B1602,INSUMOS!$A$6:$D$6961,2,0),IF(A1602="COTAÇÃO",VLOOKUP(B1602,'036-20-Cotação'!$A$9:$G$529,2,0))))</f>
        <v>GRUPO GERADOR - 2,5/3 KVA</v>
      </c>
      <c r="D1602" s="452" t="str">
        <f>IF(A1602="SERVIÇO",VLOOKUP(B1602,SERVIÇOS!$A$6:$E$7645,5,0),IF(A1602="INSUMO",VLOOKUP(B1602,INSUMOS!$A$6:$E$6961,5,0),IF(A1602="COTAÇÃO",VLOOKUP(B1602,'036-20-Cotação'!$A$9:$H$529,8,0))))</f>
        <v>EQUIP.</v>
      </c>
      <c r="E1602" s="452" t="str">
        <f>IF(A1602="SERVIÇO",VLOOKUP(B1602,SERVIÇOS!$A$6:$D$7645,3,0),IF(A1602="INSUMO",VLOOKUP(B1602,INSUMOS!$A$6:$D$6961,3,0),IF(A1602="COTAÇÃO",VLOOKUP(B1602,'036-20-Cotação'!$A$9:$G$529,4,0))))</f>
        <v>CHP</v>
      </c>
      <c r="F1602" s="462">
        <f t="shared" ref="F1602:F1604" si="281">1/22.98</f>
        <v>4.3516100957354219E-2</v>
      </c>
      <c r="G1602" s="453">
        <f>IF(A1602="SERVIÇO",VLOOKUP(B1602,SERVIÇOS!$A$6:$D$7645,4,0),IF(A1602="INSUMO",VLOOKUP(B1602,INSUMOS!$A$6:$D$6961,4,0),IF(A1602="COTAÇÃO",VLOOKUP(B1602,'036-20-Cotação'!$A$9:$G$529,3,0))))</f>
        <v>2.9165999999999999</v>
      </c>
      <c r="H1602" s="463">
        <f t="shared" si="280"/>
        <v>0.12691906005221931</v>
      </c>
      <c r="J1602" s="201"/>
    </row>
    <row r="1603" spans="1:17" s="87" customFormat="1" ht="12.75">
      <c r="A1603" s="232" t="s">
        <v>4542</v>
      </c>
      <c r="B1603" s="464" t="s">
        <v>6825</v>
      </c>
      <c r="C1603" s="451" t="str">
        <f>IF(A1603="SERVIÇO",VLOOKUP(B1603,SERVIÇOS!$A$6:$D$7645,2,0),IF(A1603="INSUMO",VLOOKUP(B1603,INSUMOS!$A$6:$D$6961,2,0),IF(A1603="COTAÇÃO",VLOOKUP(B1603,'036-20-Cotação'!$A$9:$G$529,2,0))))</f>
        <v>AJUDANTE</v>
      </c>
      <c r="D1603" s="452" t="str">
        <f>IF(A1603="SERVIÇO",VLOOKUP(B1603,SERVIÇOS!$A$6:$E$7645,5,0),IF(A1603="INSUMO",VLOOKUP(B1603,INSUMOS!$A$6:$E$6961,5,0),IF(A1603="COTAÇÃO",VLOOKUP(B1603,'036-20-Cotação'!$A$9:$H$529,8,0))))</f>
        <v>M.O</v>
      </c>
      <c r="E1603" s="452" t="str">
        <f>IF(A1603="SERVIÇO",VLOOKUP(B1603,SERVIÇOS!$A$6:$D$7645,3,0),IF(A1603="INSUMO",VLOOKUP(B1603,INSUMOS!$A$6:$D$6961,3,0),IF(A1603="COTAÇÃO",VLOOKUP(B1603,'036-20-Cotação'!$A$9:$G$529,4,0))))</f>
        <v>H</v>
      </c>
      <c r="F1603" s="462">
        <f>2/22.98</f>
        <v>8.7032201914708437E-2</v>
      </c>
      <c r="G1603" s="453">
        <f>IF(A1603="SERVIÇO",VLOOKUP(B1603,SERVIÇOS!$A$6:$D$7645,4,0),IF(A1603="INSUMO",VLOOKUP(B1603,INSUMOS!$A$6:$D$6961,4,0),IF(A1603="COTAÇÃO",VLOOKUP(B1603,'036-20-Cotação'!$A$9:$G$529,3,0))))</f>
        <v>17.9801</v>
      </c>
      <c r="H1603" s="463">
        <f t="shared" si="280"/>
        <v>1.5648476936466491</v>
      </c>
      <c r="J1603" s="201"/>
    </row>
    <row r="1604" spans="1:17" s="87" customFormat="1" ht="12.75">
      <c r="A1604" s="232" t="s">
        <v>4542</v>
      </c>
      <c r="B1604" s="464" t="s">
        <v>7527</v>
      </c>
      <c r="C1604" s="451" t="str">
        <f>IF(A1604="SERVIÇO",VLOOKUP(B1604,SERVIÇOS!$A$6:$D$7645,2,0),IF(A1604="INSUMO",VLOOKUP(B1604,INSUMOS!$A$6:$D$6961,2,0),IF(A1604="COTAÇÃO",VLOOKUP(B1604,'036-20-Cotação'!$A$9:$G$529,2,0))))</f>
        <v>PINTOR</v>
      </c>
      <c r="D1604" s="452" t="str">
        <f>IF(A1604="SERVIÇO",VLOOKUP(B1604,SERVIÇOS!$A$6:$E$7645,5,0),IF(A1604="INSUMO",VLOOKUP(B1604,INSUMOS!$A$6:$E$6961,5,0),IF(A1604="COTAÇÃO",VLOOKUP(B1604,'036-20-Cotação'!$A$9:$H$529,8,0))))</f>
        <v>M.O</v>
      </c>
      <c r="E1604" s="452" t="str">
        <f>IF(A1604="SERVIÇO",VLOOKUP(B1604,SERVIÇOS!$A$6:$D$7645,3,0),IF(A1604="INSUMO",VLOOKUP(B1604,INSUMOS!$A$6:$D$6961,3,0),IF(A1604="COTAÇÃO",VLOOKUP(B1604,'036-20-Cotação'!$A$9:$G$529,4,0))))</f>
        <v>H</v>
      </c>
      <c r="F1604" s="462">
        <f t="shared" si="281"/>
        <v>4.3516100957354219E-2</v>
      </c>
      <c r="G1604" s="453">
        <f>IF(A1604="SERVIÇO",VLOOKUP(B1604,SERVIÇOS!$A$6:$D$7645,4,0),IF(A1604="INSUMO",VLOOKUP(B1604,INSUMOS!$A$6:$D$6961,4,0),IF(A1604="COTAÇÃO",VLOOKUP(B1604,'036-20-Cotação'!$A$9:$G$529,3,0))))</f>
        <v>21.705200000000001</v>
      </c>
      <c r="H1604" s="463">
        <f t="shared" si="280"/>
        <v>0.94452567449956482</v>
      </c>
      <c r="J1604" s="201"/>
    </row>
    <row r="1605" spans="1:17" s="87" customFormat="1" ht="12.75">
      <c r="A1605" s="232" t="s">
        <v>4544</v>
      </c>
      <c r="B1605" s="464" t="s">
        <v>10557</v>
      </c>
      <c r="C1605" s="451" t="str">
        <f>IF(A1605="SERVIÇO",VLOOKUP(B1605,SERVIÇOS!$A$6:$D$7645,2,0),IF(A1605="INSUMO",VLOOKUP(B1605,INSUMOS!$A$6:$D$6961,2,0),IF(A1605="COTAÇÃO",VLOOKUP(B1605,'036-20-Cotação'!$A$9:$G$529,2,0))))</f>
        <v>DILUENTE EPÓXI</v>
      </c>
      <c r="D1605" s="452" t="str">
        <f>IF(A1605="SERVIÇO",VLOOKUP(B1605,SERVIÇOS!$A$6:$E$7645,5,0),IF(A1605="INSUMO",VLOOKUP(B1605,INSUMOS!$A$6:$E$6961,5,0),IF(A1605="COTAÇÃO",VLOOKUP(B1605,'036-20-Cotação'!$A$9:$H$529,8,0))))</f>
        <v>MAT.</v>
      </c>
      <c r="E1605" s="452" t="str">
        <f>IF(A1605="SERVIÇO",VLOOKUP(B1605,SERVIÇOS!$A$6:$D$7645,3,0),IF(A1605="INSUMO",VLOOKUP(B1605,INSUMOS!$A$6:$D$6961,3,0),IF(A1605="COTAÇÃO",VLOOKUP(B1605,'036-20-Cotação'!$A$9:$G$529,4,0))))</f>
        <v>L</v>
      </c>
      <c r="F1605" s="462">
        <v>2.8799999999999999E-2</v>
      </c>
      <c r="G1605" s="453">
        <f>IF(A1605="SERVIÇO",VLOOKUP(B1605,SERVIÇOS!$A$6:$D$7645,4,0),IF(A1605="INSUMO",VLOOKUP(B1605,INSUMOS!$A$6:$D$6961,4,0),IF(A1605="COTAÇÃO",VLOOKUP(B1605,'036-20-Cotação'!$A$9:$G$529,3,0))))</f>
        <v>28.466000000000001</v>
      </c>
      <c r="H1605" s="463">
        <f t="shared" si="280"/>
        <v>0.81982080000000002</v>
      </c>
      <c r="J1605" s="201"/>
    </row>
    <row r="1606" spans="1:17" s="87" customFormat="1" ht="12.75">
      <c r="A1606" s="232" t="s">
        <v>4544</v>
      </c>
      <c r="B1606" s="464" t="s">
        <v>7528</v>
      </c>
      <c r="C1606" s="451" t="str">
        <f>IF(A1606="SERVIÇO",VLOOKUP(B1606,SERVIÇOS!$A$6:$D$7645,2,0),IF(A1606="INSUMO",VLOOKUP(B1606,INSUMOS!$A$6:$D$6961,2,0),IF(A1606="COTAÇÃO",VLOOKUP(B1606,'036-20-Cotação'!$A$9:$G$529,2,0))))</f>
        <v>LIXA PARA FERRO</v>
      </c>
      <c r="D1606" s="452" t="str">
        <f>IF(A1606="SERVIÇO",VLOOKUP(B1606,SERVIÇOS!$A$6:$E$7645,5,0),IF(A1606="INSUMO",VLOOKUP(B1606,INSUMOS!$A$6:$E$6961,5,0),IF(A1606="COTAÇÃO",VLOOKUP(B1606,'036-20-Cotação'!$A$9:$H$529,8,0))))</f>
        <v>MAT.</v>
      </c>
      <c r="E1606" s="452" t="str">
        <f>IF(A1606="SERVIÇO",VLOOKUP(B1606,SERVIÇOS!$A$6:$D$7645,3,0),IF(A1606="INSUMO",VLOOKUP(B1606,INSUMOS!$A$6:$D$6961,3,0),IF(A1606="COTAÇÃO",VLOOKUP(B1606,'036-20-Cotação'!$A$9:$G$529,4,0))))</f>
        <v>UN</v>
      </c>
      <c r="F1606" s="462">
        <v>0.3</v>
      </c>
      <c r="G1606" s="453">
        <f>IF(A1606="SERVIÇO",VLOOKUP(B1606,SERVIÇOS!$A$6:$D$7645,4,0),IF(A1606="INSUMO",VLOOKUP(B1606,INSUMOS!$A$6:$D$6961,4,0),IF(A1606="COTAÇÃO",VLOOKUP(B1606,'036-20-Cotação'!$A$9:$G$529,3,0))))</f>
        <v>3.3073999999999999</v>
      </c>
      <c r="H1606" s="463">
        <f t="shared" si="280"/>
        <v>0.99221999999999988</v>
      </c>
      <c r="J1606" s="201"/>
    </row>
    <row r="1607" spans="1:17" s="87" customFormat="1" ht="12.75">
      <c r="A1607" s="232" t="s">
        <v>4544</v>
      </c>
      <c r="B1607" s="464" t="s">
        <v>11058</v>
      </c>
      <c r="C1607" s="451" t="str">
        <f>IF(A1607="SERVIÇO",VLOOKUP(B1607,SERVIÇOS!$A$6:$D$7645,2,0),IF(A1607="INSUMO",VLOOKUP(B1607,INSUMOS!$A$6:$D$6961,2,0),IF(A1607="COTAÇÃO",VLOOKUP(B1607,'036-20-Cotação'!$A$9:$G$529,2,0))))</f>
        <v>TINTA EPÓXI</v>
      </c>
      <c r="D1607" s="452" t="str">
        <f>IF(A1607="SERVIÇO",VLOOKUP(B1607,SERVIÇOS!$A$6:$E$7645,5,0),IF(A1607="INSUMO",VLOOKUP(B1607,INSUMOS!$A$6:$E$6961,5,0),IF(A1607="COTAÇÃO",VLOOKUP(B1607,'036-20-Cotação'!$A$9:$H$529,8,0))))</f>
        <v>MAT.</v>
      </c>
      <c r="E1607" s="452" t="str">
        <f>IF(A1607="SERVIÇO",VLOOKUP(B1607,SERVIÇOS!$A$6:$D$7645,3,0),IF(A1607="INSUMO",VLOOKUP(B1607,INSUMOS!$A$6:$D$6961,3,0),IF(A1607="COTAÇÃO",VLOOKUP(B1607,'036-20-Cotação'!$A$9:$G$529,4,0))))</f>
        <v>L</v>
      </c>
      <c r="F1607" s="462">
        <v>0.14399999999999999</v>
      </c>
      <c r="G1607" s="453">
        <f>IF(A1607="SERVIÇO",VLOOKUP(B1607,SERVIÇOS!$A$6:$D$7645,4,0),IF(A1607="INSUMO",VLOOKUP(B1607,INSUMOS!$A$6:$D$6961,4,0),IF(A1607="COTAÇÃO",VLOOKUP(B1607,'036-20-Cotação'!$A$9:$G$529,3,0))))</f>
        <v>44.248600000000003</v>
      </c>
      <c r="H1607" s="463">
        <f t="shared" si="280"/>
        <v>6.3717984000000003</v>
      </c>
      <c r="J1607" s="201"/>
    </row>
    <row r="1608" spans="1:17" s="87" customFormat="1" ht="12.75">
      <c r="A1608" s="232" t="s">
        <v>4544</v>
      </c>
      <c r="B1608" s="464" t="s">
        <v>10559</v>
      </c>
      <c r="C1608" s="451" t="str">
        <f>IF(A1608="SERVIÇO",VLOOKUP(B1608,SERVIÇOS!$A$6:$D$7645,2,0),IF(A1608="INSUMO",VLOOKUP(B1608,INSUMOS!$A$6:$D$6961,2,0),IF(A1608="COTAÇÃO",VLOOKUP(B1608,'036-20-Cotação'!$A$9:$G$529,2,0))))</f>
        <v>TINTA EPÓXI PARA FUNDO BRANCO</v>
      </c>
      <c r="D1608" s="452" t="str">
        <f>IF(A1608="SERVIÇO",VLOOKUP(B1608,SERVIÇOS!$A$6:$E$7645,5,0),IF(A1608="INSUMO",VLOOKUP(B1608,INSUMOS!$A$6:$E$6961,5,0),IF(A1608="COTAÇÃO",VLOOKUP(B1608,'036-20-Cotação'!$A$9:$H$529,8,0))))</f>
        <v>MAT.</v>
      </c>
      <c r="E1608" s="452" t="str">
        <f>IF(A1608="SERVIÇO",VLOOKUP(B1608,SERVIÇOS!$A$6:$D$7645,3,0),IF(A1608="INSUMO",VLOOKUP(B1608,INSUMOS!$A$6:$D$6961,3,0),IF(A1608="COTAÇÃO",VLOOKUP(B1608,'036-20-Cotação'!$A$9:$G$529,4,0))))</f>
        <v>L</v>
      </c>
      <c r="F1608" s="462">
        <v>6.6669999999999993E-2</v>
      </c>
      <c r="G1608" s="453">
        <f>IF(A1608="SERVIÇO",VLOOKUP(B1608,SERVIÇOS!$A$6:$D$7645,4,0),IF(A1608="INSUMO",VLOOKUP(B1608,INSUMOS!$A$6:$D$6961,4,0),IF(A1608="COTAÇÃO",VLOOKUP(B1608,'036-20-Cotação'!$A$9:$G$529,3,0))))</f>
        <v>40.533299999999997</v>
      </c>
      <c r="H1608" s="463">
        <f t="shared" si="280"/>
        <v>2.7023551109999997</v>
      </c>
      <c r="J1608" s="201"/>
    </row>
    <row r="1609" spans="1:17" s="87" customFormat="1" ht="25.5">
      <c r="A1609" s="232" t="s">
        <v>4542</v>
      </c>
      <c r="B1609" s="464" t="s">
        <v>13206</v>
      </c>
      <c r="C1609" s="451" t="str">
        <f>'036-20-CCA''s'!$C$281</f>
        <v>TEMPO FIXO - CAMINHÃO CARROCERIA 15 T - CARGA E DESCARGA MANUAIS</v>
      </c>
      <c r="D1609" s="452" t="str">
        <f>'036-20-CCA''s'!$D$281</f>
        <v>SER.CG</v>
      </c>
      <c r="E1609" s="452" t="str">
        <f>'036-20-CCA''s'!$E$281</f>
        <v>T</v>
      </c>
      <c r="F1609" s="462">
        <v>5.8E-4</v>
      </c>
      <c r="G1609" s="453">
        <f>'036-20-CCA''s'!$H$281</f>
        <v>20.925562080536913</v>
      </c>
      <c r="H1609" s="463">
        <f t="shared" si="280"/>
        <v>1.2136826006711409E-2</v>
      </c>
      <c r="J1609" s="201"/>
    </row>
    <row r="1610" spans="1:17" s="87" customFormat="1" ht="12.75">
      <c r="A1610" s="188"/>
      <c r="B1610" s="348" t="s">
        <v>123</v>
      </c>
      <c r="C1610" s="695" t="s">
        <v>13167</v>
      </c>
      <c r="D1610" s="696"/>
      <c r="E1610" s="696"/>
      <c r="F1610" s="696"/>
      <c r="G1610" s="696"/>
      <c r="H1610" s="697"/>
      <c r="J1610" s="201"/>
      <c r="K1610" s="78"/>
      <c r="L1610" s="78"/>
      <c r="M1610" s="78"/>
      <c r="N1610" s="78"/>
      <c r="O1610" s="78"/>
      <c r="P1610" s="78"/>
      <c r="Q1610" s="78"/>
    </row>
    <row r="1611" spans="1:17" s="87" customFormat="1" ht="12.75">
      <c r="A1611" s="188"/>
      <c r="B1611" s="346"/>
      <c r="C1611" s="478"/>
      <c r="D1611" s="478"/>
      <c r="E1611" s="478"/>
      <c r="F1611" s="478"/>
      <c r="G1611" s="478"/>
      <c r="H1611" s="479"/>
      <c r="J1611" s="201"/>
      <c r="K1611" s="78"/>
      <c r="L1611" s="78"/>
      <c r="M1611" s="78"/>
      <c r="N1611" s="78"/>
      <c r="O1611" s="78"/>
      <c r="P1611" s="78"/>
      <c r="Q1611" s="78"/>
    </row>
    <row r="1612" spans="1:17" s="87" customFormat="1" ht="38.25">
      <c r="A1612" s="188"/>
      <c r="B1612" s="80">
        <v>4011415</v>
      </c>
      <c r="C1612" s="81" t="s">
        <v>7778</v>
      </c>
      <c r="D1612" s="82" t="s">
        <v>84</v>
      </c>
      <c r="E1612" s="82" t="s">
        <v>3495</v>
      </c>
      <c r="F1612" s="83"/>
      <c r="G1612" s="84"/>
      <c r="H1612" s="85">
        <f>SUM(H1613:H1626)</f>
        <v>121.10972317720001</v>
      </c>
      <c r="J1612" s="201" t="s">
        <v>13176</v>
      </c>
      <c r="K1612" s="78"/>
      <c r="L1612" s="78"/>
      <c r="M1612" s="78"/>
      <c r="N1612" s="78"/>
      <c r="O1612" s="78"/>
      <c r="P1612" s="78"/>
      <c r="Q1612" s="78"/>
    </row>
    <row r="1613" spans="1:17" s="87" customFormat="1" ht="25.5">
      <c r="A1613" s="232" t="s">
        <v>4542</v>
      </c>
      <c r="B1613" s="464" t="s">
        <v>9325</v>
      </c>
      <c r="C1613" s="451" t="str">
        <f>IF(A1613="SERVIÇO",VLOOKUP(B1613,SERVIÇOS!$A$6:$D$7645,2,0),IF(A1613="INSUMO",VLOOKUP(B1613,INSUMOS!$A$6:$D$6961,2,0),IF(A1613="COTAÇÃO",VLOOKUP(B1613,'036-20-Cotação'!$A$9:$G$529,2,0))))</f>
        <v>ROLO COMPACTADOR DE PNEUS AUTOPROPELIDO DE 27 T - 85 KW</v>
      </c>
      <c r="D1613" s="452" t="str">
        <f>IF(A1613="SERVIÇO",VLOOKUP(B1613,SERVIÇOS!$A$6:$E$7645,5,0),IF(A1613="INSUMO",VLOOKUP(B1613,INSUMOS!$A$6:$E$6961,5,0),IF(A1613="COTAÇÃO",VLOOKUP(B1613,'036-20-Cotação'!$A$9:$H$529,8,0))))</f>
        <v>EQUIP.</v>
      </c>
      <c r="E1613" s="452" t="str">
        <f>IF(A1613="SERVIÇO",VLOOKUP(B1613,SERVIÇOS!$A$6:$D$7645,3,0),IF(A1613="INSUMO",VLOOKUP(B1613,INSUMOS!$A$6:$D$6961,3,0),IF(A1613="COTAÇÃO",VLOOKUP(B1613,'036-20-Cotação'!$A$9:$G$529,4,0))))</f>
        <v>CHP</v>
      </c>
      <c r="F1613" s="462">
        <f>0.59/83</f>
        <v>7.1084337349397583E-3</v>
      </c>
      <c r="G1613" s="453">
        <f>IF(A1613="SERVIÇO",VLOOKUP(B1613,SERVIÇOS!$A$6:$D$7645,4,0),IF(A1613="INSUMO",VLOOKUP(B1613,INSUMOS!$A$6:$D$6961,4,0),IF(A1613="COTAÇÃO",VLOOKUP(B1613,'036-20-Cotação'!$A$9:$G$529,3,0))))</f>
        <v>130.7509</v>
      </c>
      <c r="H1613" s="463">
        <f t="shared" ref="H1613:H1626" si="282">G1613*F1613</f>
        <v>0.92943410843373486</v>
      </c>
      <c r="J1613" s="201"/>
    </row>
    <row r="1614" spans="1:17" s="87" customFormat="1" ht="25.5">
      <c r="A1614" s="232" t="s">
        <v>4542</v>
      </c>
      <c r="B1614" s="464" t="s">
        <v>9920</v>
      </c>
      <c r="C1614" s="451" t="str">
        <f>IF(A1614="SERVIÇO",VLOOKUP(B1614,SERVIÇOS!$A$6:$D$7645,2,0),IF(A1614="INSUMO",VLOOKUP(B1614,INSUMOS!$A$6:$D$6961,2,0),IF(A1614="COTAÇÃO",VLOOKUP(B1614,'036-20-Cotação'!$A$9:$G$529,2,0))))</f>
        <v>ROLO COMPACTADOR DE PNEUS AUTOPROPELIDO DE 27 T - 85 KW</v>
      </c>
      <c r="D1614" s="452" t="str">
        <f>IF(A1614="SERVIÇO",VLOOKUP(B1614,SERVIÇOS!$A$6:$E$7645,5,0),IF(A1614="INSUMO",VLOOKUP(B1614,INSUMOS!$A$6:$E$6961,5,0),IF(A1614="COTAÇÃO",VLOOKUP(B1614,'036-20-Cotação'!$A$9:$H$529,8,0))))</f>
        <v>EQUIP.</v>
      </c>
      <c r="E1614" s="452" t="str">
        <f>IF(A1614="SERVIÇO",VLOOKUP(B1614,SERVIÇOS!$A$6:$D$7645,3,0),IF(A1614="INSUMO",VLOOKUP(B1614,INSUMOS!$A$6:$D$6961,3,0),IF(A1614="COTAÇÃO",VLOOKUP(B1614,'036-20-Cotação'!$A$9:$G$529,4,0))))</f>
        <v>CHI</v>
      </c>
      <c r="F1614" s="462">
        <f>0.41/83</f>
        <v>4.9397590361445779E-3</v>
      </c>
      <c r="G1614" s="453">
        <f>IF(A1614="SERVIÇO",VLOOKUP(B1614,SERVIÇOS!$A$6:$D$7645,4,0),IF(A1614="INSUMO",VLOOKUP(B1614,INSUMOS!$A$6:$D$6961,4,0),IF(A1614="COTAÇÃO",VLOOKUP(B1614,'036-20-Cotação'!$A$9:$G$529,3,0))))</f>
        <v>59.563800000000001</v>
      </c>
      <c r="H1614" s="463">
        <f t="shared" ref="H1614" si="283">G1614*F1614</f>
        <v>0.29423081927710842</v>
      </c>
      <c r="J1614" s="201"/>
    </row>
    <row r="1615" spans="1:17" s="87" customFormat="1" ht="25.5">
      <c r="A1615" s="232" t="s">
        <v>4542</v>
      </c>
      <c r="B1615" s="464" t="s">
        <v>9023</v>
      </c>
      <c r="C1615" s="451" t="str">
        <f>IF(A1615="SERVIÇO",VLOOKUP(B1615,SERVIÇOS!$A$6:$D$7645,2,0),IF(A1615="INSUMO",VLOOKUP(B1615,INSUMOS!$A$6:$D$6961,2,0),IF(A1615="COTAÇÃO",VLOOKUP(B1615,'036-20-Cotação'!$A$9:$G$529,2,0))))</f>
        <v>ROLO COMPACTADOR LISO AUTOPROPELIDO VIBRATÓRIO DE 11 T - 97 KW</v>
      </c>
      <c r="D1615" s="452" t="str">
        <f>IF(A1615="SERVIÇO",VLOOKUP(B1615,SERVIÇOS!$A$6:$E$7645,5,0),IF(A1615="INSUMO",VLOOKUP(B1615,INSUMOS!$A$6:$E$6961,5,0),IF(A1615="COTAÇÃO",VLOOKUP(B1615,'036-20-Cotação'!$A$9:$H$529,8,0))))</f>
        <v>EQUIP.</v>
      </c>
      <c r="E1615" s="452" t="str">
        <f>IF(A1615="SERVIÇO",VLOOKUP(B1615,SERVIÇOS!$A$6:$D$7645,3,0),IF(A1615="INSUMO",VLOOKUP(B1615,INSUMOS!$A$6:$D$6961,3,0),IF(A1615="COTAÇÃO",VLOOKUP(B1615,'036-20-Cotação'!$A$9:$G$529,4,0))))</f>
        <v>CHP</v>
      </c>
      <c r="F1615" s="462">
        <f>0.51/83</f>
        <v>6.1445783132530124E-3</v>
      </c>
      <c r="G1615" s="453">
        <f>IF(A1615="SERVIÇO",VLOOKUP(B1615,SERVIÇOS!$A$6:$D$7645,4,0),IF(A1615="INSUMO",VLOOKUP(B1615,INSUMOS!$A$6:$D$6961,4,0),IF(A1615="COTAÇÃO",VLOOKUP(B1615,'036-20-Cotação'!$A$9:$G$529,3,0))))</f>
        <v>134.5857</v>
      </c>
      <c r="H1615" s="463">
        <f t="shared" si="282"/>
        <v>0.82697237349397601</v>
      </c>
      <c r="J1615" s="201"/>
    </row>
    <row r="1616" spans="1:17" s="87" customFormat="1" ht="25.5">
      <c r="A1616" s="232" t="s">
        <v>4542</v>
      </c>
      <c r="B1616" s="464" t="s">
        <v>9758</v>
      </c>
      <c r="C1616" s="451" t="str">
        <f>IF(A1616="SERVIÇO",VLOOKUP(B1616,SERVIÇOS!$A$6:$D$7645,2,0),IF(A1616="INSUMO",VLOOKUP(B1616,INSUMOS!$A$6:$D$6961,2,0),IF(A1616="COTAÇÃO",VLOOKUP(B1616,'036-20-Cotação'!$A$9:$G$529,2,0))))</f>
        <v>ROLO COMPACTADOR LISO AUTOPROPELIDO VIBRATÓRIO DE 11 T - 97 KW</v>
      </c>
      <c r="D1616" s="452" t="str">
        <f>IF(A1616="SERVIÇO",VLOOKUP(B1616,SERVIÇOS!$A$6:$E$7645,5,0),IF(A1616="INSUMO",VLOOKUP(B1616,INSUMOS!$A$6:$E$6961,5,0),IF(A1616="COTAÇÃO",VLOOKUP(B1616,'036-20-Cotação'!$A$9:$H$529,8,0))))</f>
        <v>EQUIP.</v>
      </c>
      <c r="E1616" s="452" t="str">
        <f>IF(A1616="SERVIÇO",VLOOKUP(B1616,SERVIÇOS!$A$6:$D$7645,3,0),IF(A1616="INSUMO",VLOOKUP(B1616,INSUMOS!$A$6:$D$6961,3,0),IF(A1616="COTAÇÃO",VLOOKUP(B1616,'036-20-Cotação'!$A$9:$G$529,4,0))))</f>
        <v>CHI</v>
      </c>
      <c r="F1616" s="462">
        <f>0.49/83</f>
        <v>5.9036144578313255E-3</v>
      </c>
      <c r="G1616" s="453">
        <f>IF(A1616="SERVIÇO",VLOOKUP(B1616,SERVIÇOS!$A$6:$D$7645,4,0),IF(A1616="INSUMO",VLOOKUP(B1616,INSUMOS!$A$6:$D$6961,4,0),IF(A1616="COTAÇÃO",VLOOKUP(B1616,'036-20-Cotação'!$A$9:$G$529,3,0))))</f>
        <v>53.485100000000003</v>
      </c>
      <c r="H1616" s="463">
        <f t="shared" ref="H1616" si="284">G1616*F1616</f>
        <v>0.31575540963855425</v>
      </c>
      <c r="J1616" s="201"/>
    </row>
    <row r="1617" spans="1:17" s="87" customFormat="1" ht="12.75">
      <c r="A1617" s="232" t="s">
        <v>4542</v>
      </c>
      <c r="B1617" s="464" t="s">
        <v>9081</v>
      </c>
      <c r="C1617" s="451" t="str">
        <f>IF(A1617="SERVIÇO",VLOOKUP(B1617,SERVIÇOS!$A$6:$D$7645,2,0),IF(A1617="INSUMO",VLOOKUP(B1617,INSUMOS!$A$6:$D$6961,2,0),IF(A1617="COTAÇÃO",VLOOKUP(B1617,'036-20-Cotação'!$A$9:$G$529,2,0))))</f>
        <v>TRATOR AGRÍCOLA - 77 KW</v>
      </c>
      <c r="D1617" s="452" t="str">
        <f>IF(A1617="SERVIÇO",VLOOKUP(B1617,SERVIÇOS!$A$6:$E$7645,5,0),IF(A1617="INSUMO",VLOOKUP(B1617,INSUMOS!$A$6:$E$6961,5,0),IF(A1617="COTAÇÃO",VLOOKUP(B1617,'036-20-Cotação'!$A$9:$H$529,8,0))))</f>
        <v>EQUIP.</v>
      </c>
      <c r="E1617" s="452" t="str">
        <f>IF(A1617="SERVIÇO",VLOOKUP(B1617,SERVIÇOS!$A$6:$D$7645,3,0),IF(A1617="INSUMO",VLOOKUP(B1617,INSUMOS!$A$6:$D$6961,3,0),IF(A1617="COTAÇÃO",VLOOKUP(B1617,'036-20-Cotação'!$A$9:$G$529,4,0))))</f>
        <v>CHP</v>
      </c>
      <c r="F1617" s="462">
        <f>0.28/83</f>
        <v>3.3734939759036148E-3</v>
      </c>
      <c r="G1617" s="453">
        <f>IF(A1617="SERVIÇO",VLOOKUP(B1617,SERVIÇOS!$A$6:$D$7645,4,0),IF(A1617="INSUMO",VLOOKUP(B1617,INSUMOS!$A$6:$D$6961,4,0),IF(A1617="COTAÇÃO",VLOOKUP(B1617,'036-20-Cotação'!$A$9:$G$529,3,0))))</f>
        <v>124.90219999999999</v>
      </c>
      <c r="H1617" s="463">
        <f t="shared" si="282"/>
        <v>0.42135681927710844</v>
      </c>
      <c r="J1617" s="201"/>
    </row>
    <row r="1618" spans="1:17" s="87" customFormat="1" ht="12.75">
      <c r="A1618" s="232" t="s">
        <v>4542</v>
      </c>
      <c r="B1618" s="464" t="s">
        <v>9788</v>
      </c>
      <c r="C1618" s="451" t="str">
        <f>IF(A1618="SERVIÇO",VLOOKUP(B1618,SERVIÇOS!$A$6:$D$7645,2,0),IF(A1618="INSUMO",VLOOKUP(B1618,INSUMOS!$A$6:$D$6961,2,0),IF(A1618="COTAÇÃO",VLOOKUP(B1618,'036-20-Cotação'!$A$9:$G$529,2,0))))</f>
        <v>TRATOR AGRÍCOLA - 77 KW</v>
      </c>
      <c r="D1618" s="452" t="str">
        <f>IF(A1618="SERVIÇO",VLOOKUP(B1618,SERVIÇOS!$A$6:$E$7645,5,0),IF(A1618="INSUMO",VLOOKUP(B1618,INSUMOS!$A$6:$E$6961,5,0),IF(A1618="COTAÇÃO",VLOOKUP(B1618,'036-20-Cotação'!$A$9:$H$529,8,0))))</f>
        <v>EQUIP.</v>
      </c>
      <c r="E1618" s="452" t="str">
        <f>IF(A1618="SERVIÇO",VLOOKUP(B1618,SERVIÇOS!$A$6:$D$7645,3,0),IF(A1618="INSUMO",VLOOKUP(B1618,INSUMOS!$A$6:$D$6961,3,0),IF(A1618="COTAÇÃO",VLOOKUP(B1618,'036-20-Cotação'!$A$9:$G$529,4,0))))</f>
        <v>CHI</v>
      </c>
      <c r="F1618" s="462">
        <f>0.72/83</f>
        <v>8.6746987951807231E-3</v>
      </c>
      <c r="G1618" s="453">
        <f>IF(A1618="SERVIÇO",VLOOKUP(B1618,SERVIÇOS!$A$6:$D$7645,4,0),IF(A1618="INSUMO",VLOOKUP(B1618,INSUMOS!$A$6:$D$6961,4,0),IF(A1618="COTAÇÃO",VLOOKUP(B1618,'036-20-Cotação'!$A$9:$G$529,3,0))))</f>
        <v>29.842199999999998</v>
      </c>
      <c r="H1618" s="463">
        <f t="shared" ref="H1618" si="285">G1618*F1618</f>
        <v>0.25887209638554215</v>
      </c>
      <c r="J1618" s="201"/>
    </row>
    <row r="1619" spans="1:17" s="87" customFormat="1" ht="12.75">
      <c r="A1619" s="232" t="s">
        <v>4542</v>
      </c>
      <c r="B1619" s="464" t="s">
        <v>9040</v>
      </c>
      <c r="C1619" s="451" t="str">
        <f>IF(A1619="SERVIÇO",VLOOKUP(B1619,SERVIÇOS!$A$6:$D$7645,2,0),IF(A1619="INSUMO",VLOOKUP(B1619,INSUMOS!$A$6:$D$6961,2,0),IF(A1619="COTAÇÃO",VLOOKUP(B1619,'036-20-Cotação'!$A$9:$G$529,2,0))))</f>
        <v>VASSOURA MECÂNICA REBOCÁVEL</v>
      </c>
      <c r="D1619" s="452" t="str">
        <f>IF(A1619="SERVIÇO",VLOOKUP(B1619,SERVIÇOS!$A$6:$E$7645,5,0),IF(A1619="INSUMO",VLOOKUP(B1619,INSUMOS!$A$6:$E$6961,5,0),IF(A1619="COTAÇÃO",VLOOKUP(B1619,'036-20-Cotação'!$A$9:$H$529,8,0))))</f>
        <v>EQUIP.</v>
      </c>
      <c r="E1619" s="452" t="str">
        <f>IF(A1619="SERVIÇO",VLOOKUP(B1619,SERVIÇOS!$A$6:$D$7645,3,0),IF(A1619="INSUMO",VLOOKUP(B1619,INSUMOS!$A$6:$D$6961,3,0),IF(A1619="COTAÇÃO",VLOOKUP(B1619,'036-20-Cotação'!$A$9:$G$529,4,0))))</f>
        <v>CHP</v>
      </c>
      <c r="F1619" s="462">
        <f>0.28/83</f>
        <v>3.3734939759036148E-3</v>
      </c>
      <c r="G1619" s="453">
        <f>IF(A1619="SERVIÇO",VLOOKUP(B1619,SERVIÇOS!$A$6:$D$7645,4,0),IF(A1619="INSUMO",VLOOKUP(B1619,INSUMOS!$A$6:$D$6961,4,0),IF(A1619="COTAÇÃO",VLOOKUP(B1619,'036-20-Cotação'!$A$9:$G$529,3,0))))</f>
        <v>5.7942</v>
      </c>
      <c r="H1619" s="463">
        <f t="shared" si="282"/>
        <v>1.9546698795180725E-2</v>
      </c>
      <c r="J1619" s="201"/>
    </row>
    <row r="1620" spans="1:17" s="87" customFormat="1" ht="12.75">
      <c r="A1620" s="232" t="s">
        <v>4542</v>
      </c>
      <c r="B1620" s="464" t="s">
        <v>9767</v>
      </c>
      <c r="C1620" s="451" t="str">
        <f>IF(A1620="SERVIÇO",VLOOKUP(B1620,SERVIÇOS!$A$6:$D$7645,2,0),IF(A1620="INSUMO",VLOOKUP(B1620,INSUMOS!$A$6:$D$6961,2,0),IF(A1620="COTAÇÃO",VLOOKUP(B1620,'036-20-Cotação'!$A$9:$G$529,2,0))))</f>
        <v>VASSOURA MECÂNICA REBOCÁVEL</v>
      </c>
      <c r="D1620" s="452" t="str">
        <f>IF(A1620="SERVIÇO",VLOOKUP(B1620,SERVIÇOS!$A$6:$E$7645,5,0),IF(A1620="INSUMO",VLOOKUP(B1620,INSUMOS!$A$6:$E$6961,5,0),IF(A1620="COTAÇÃO",VLOOKUP(B1620,'036-20-Cotação'!$A$9:$H$529,8,0))))</f>
        <v>EQUIP.</v>
      </c>
      <c r="E1620" s="452" t="str">
        <f>IF(A1620="SERVIÇO",VLOOKUP(B1620,SERVIÇOS!$A$6:$D$7645,3,0),IF(A1620="INSUMO",VLOOKUP(B1620,INSUMOS!$A$6:$D$6961,3,0),IF(A1620="COTAÇÃO",VLOOKUP(B1620,'036-20-Cotação'!$A$9:$G$529,4,0))))</f>
        <v>CHI</v>
      </c>
      <c r="F1620" s="462">
        <f>0.72/83</f>
        <v>8.6746987951807231E-3</v>
      </c>
      <c r="G1620" s="453">
        <f>IF(A1620="SERVIÇO",VLOOKUP(B1620,SERVIÇOS!$A$6:$D$7645,4,0),IF(A1620="INSUMO",VLOOKUP(B1620,INSUMOS!$A$6:$D$6961,4,0),IF(A1620="COTAÇÃO",VLOOKUP(B1620,'036-20-Cotação'!$A$9:$G$529,3,0))))</f>
        <v>3.5472999999999999</v>
      </c>
      <c r="H1620" s="463">
        <f t="shared" ref="H1620" si="286">G1620*F1620</f>
        <v>3.077175903614458E-2</v>
      </c>
      <c r="J1620" s="201"/>
    </row>
    <row r="1621" spans="1:17" s="87" customFormat="1" ht="25.5">
      <c r="A1621" s="232" t="s">
        <v>4542</v>
      </c>
      <c r="B1621" s="464" t="s">
        <v>9042</v>
      </c>
      <c r="C1621" s="451" t="str">
        <f>IF(A1621="SERVIÇO",VLOOKUP(B1621,SERVIÇOS!$A$6:$D$7645,2,0),IF(A1621="INSUMO",VLOOKUP(B1621,INSUMOS!$A$6:$D$6961,2,0),IF(A1621="COTAÇÃO",VLOOKUP(B1621,'036-20-Cotação'!$A$9:$G$529,2,0))))</f>
        <v>VIBROACABADORA DE ASFALTO SOBRE ESTEIRAS - 82 KW</v>
      </c>
      <c r="D1621" s="452" t="str">
        <f>IF(A1621="SERVIÇO",VLOOKUP(B1621,SERVIÇOS!$A$6:$E$7645,5,0),IF(A1621="INSUMO",VLOOKUP(B1621,INSUMOS!$A$6:$E$6961,5,0),IF(A1621="COTAÇÃO",VLOOKUP(B1621,'036-20-Cotação'!$A$9:$H$529,8,0))))</f>
        <v>EQUIP.</v>
      </c>
      <c r="E1621" s="452" t="str">
        <f>IF(A1621="SERVIÇO",VLOOKUP(B1621,SERVIÇOS!$A$6:$D$7645,3,0),IF(A1621="INSUMO",VLOOKUP(B1621,INSUMOS!$A$6:$D$6961,3,0),IF(A1621="COTAÇÃO",VLOOKUP(B1621,'036-20-Cotação'!$A$9:$G$529,4,0))))</f>
        <v>CHP</v>
      </c>
      <c r="F1621" s="462">
        <f>0.89/83</f>
        <v>1.0722891566265061E-2</v>
      </c>
      <c r="G1621" s="453">
        <f>IF(A1621="SERVIÇO",VLOOKUP(B1621,SERVIÇOS!$A$6:$D$7645,4,0),IF(A1621="INSUMO",VLOOKUP(B1621,INSUMOS!$A$6:$D$6961,4,0),IF(A1621="COTAÇÃO",VLOOKUP(B1621,'036-20-Cotação'!$A$9:$G$529,3,0))))</f>
        <v>171.51179999999999</v>
      </c>
      <c r="H1621" s="463">
        <f t="shared" ref="H1621:H1624" si="287">G1621*F1621</f>
        <v>1.8391024337349398</v>
      </c>
      <c r="J1621" s="201"/>
    </row>
    <row r="1622" spans="1:17" s="87" customFormat="1" ht="25.5">
      <c r="A1622" s="232" t="s">
        <v>4542</v>
      </c>
      <c r="B1622" s="464" t="s">
        <v>9768</v>
      </c>
      <c r="C1622" s="451" t="str">
        <f>IF(A1622="SERVIÇO",VLOOKUP(B1622,SERVIÇOS!$A$6:$D$7645,2,0),IF(A1622="INSUMO",VLOOKUP(B1622,INSUMOS!$A$6:$D$6961,2,0),IF(A1622="COTAÇÃO",VLOOKUP(B1622,'036-20-Cotação'!$A$9:$G$529,2,0))))</f>
        <v>VIBROACABADORA DE ASFALTO SOBRE ESTEIRAS - 82 KW</v>
      </c>
      <c r="D1622" s="452" t="str">
        <f>IF(A1622="SERVIÇO",VLOOKUP(B1622,SERVIÇOS!$A$6:$E$7645,5,0),IF(A1622="INSUMO",VLOOKUP(B1622,INSUMOS!$A$6:$E$6961,5,0),IF(A1622="COTAÇÃO",VLOOKUP(B1622,'036-20-Cotação'!$A$9:$H$529,8,0))))</f>
        <v>EQUIP.</v>
      </c>
      <c r="E1622" s="452" t="str">
        <f>IF(A1622="SERVIÇO",VLOOKUP(B1622,SERVIÇOS!$A$6:$D$7645,3,0),IF(A1622="INSUMO",VLOOKUP(B1622,INSUMOS!$A$6:$D$6961,3,0),IF(A1622="COTAÇÃO",VLOOKUP(B1622,'036-20-Cotação'!$A$9:$G$529,4,0))))</f>
        <v>CHI</v>
      </c>
      <c r="F1622" s="462">
        <f>0.11/83</f>
        <v>1.3253012048192771E-3</v>
      </c>
      <c r="G1622" s="453">
        <f>IF(A1622="SERVIÇO",VLOOKUP(B1622,SERVIÇOS!$A$6:$D$7645,4,0),IF(A1622="INSUMO",VLOOKUP(B1622,INSUMOS!$A$6:$D$6961,4,0),IF(A1622="COTAÇÃO",VLOOKUP(B1622,'036-20-Cotação'!$A$9:$G$529,3,0))))</f>
        <v>72.645600000000002</v>
      </c>
      <c r="H1622" s="463">
        <f t="shared" ref="H1622" si="288">G1622*F1622</f>
        <v>9.6277301204819282E-2</v>
      </c>
      <c r="J1622" s="201"/>
    </row>
    <row r="1623" spans="1:17" s="87" customFormat="1" ht="12.75">
      <c r="A1623" s="232" t="s">
        <v>4542</v>
      </c>
      <c r="B1623" s="464" t="s">
        <v>6602</v>
      </c>
      <c r="C1623" s="451" t="str">
        <f>IF(A1623="SERVIÇO",VLOOKUP(B1623,SERVIÇOS!$A$6:$D$7645,2,0),IF(A1623="INSUMO",VLOOKUP(B1623,INSUMOS!$A$6:$D$6961,2,0),IF(A1623="COTAÇÃO",VLOOKUP(B1623,'036-20-Cotação'!$A$9:$G$529,2,0))))</f>
        <v>SERVENTE</v>
      </c>
      <c r="D1623" s="452" t="str">
        <f>IF(A1623="SERVIÇO",VLOOKUP(B1623,SERVIÇOS!$A$6:$E$7645,5,0),IF(A1623="INSUMO",VLOOKUP(B1623,INSUMOS!$A$6:$E$6961,5,0),IF(A1623="COTAÇÃO",VLOOKUP(B1623,'036-20-Cotação'!$A$9:$H$529,8,0))))</f>
        <v>M.O</v>
      </c>
      <c r="E1623" s="452" t="str">
        <f>IF(A1623="SERVIÇO",VLOOKUP(B1623,SERVIÇOS!$A$6:$D$7645,3,0),IF(A1623="INSUMO",VLOOKUP(B1623,INSUMOS!$A$6:$D$6961,3,0),IF(A1623="COTAÇÃO",VLOOKUP(B1623,'036-20-Cotação'!$A$9:$G$529,4,0))))</f>
        <v>H</v>
      </c>
      <c r="F1623" s="462">
        <f>8/83</f>
        <v>9.6385542168674704E-2</v>
      </c>
      <c r="G1623" s="453">
        <f>IF(A1623="SERVIÇO",VLOOKUP(B1623,SERVIÇOS!$A$6:$D$7645,4,0),IF(A1623="INSUMO",VLOOKUP(B1623,INSUMOS!$A$6:$D$6961,4,0),IF(A1623="COTAÇÃO",VLOOKUP(B1623,'036-20-Cotação'!$A$9:$G$529,3,0))))</f>
        <v>15.637499999999999</v>
      </c>
      <c r="H1623" s="463">
        <f t="shared" si="287"/>
        <v>1.5072289156626506</v>
      </c>
      <c r="J1623" s="201"/>
    </row>
    <row r="1624" spans="1:17" s="87" customFormat="1" ht="12.75">
      <c r="A1624" s="232" t="s">
        <v>4542</v>
      </c>
      <c r="B1624" s="464" t="s">
        <v>13130</v>
      </c>
      <c r="C1624" s="451" t="s">
        <v>13131</v>
      </c>
      <c r="D1624" s="452"/>
      <c r="E1624" s="452"/>
      <c r="F1624" s="462">
        <v>3.7299999999999998E-3</v>
      </c>
      <c r="G1624" s="453">
        <f>SUM(H1613:H1623)</f>
        <v>6.5395487349397587</v>
      </c>
      <c r="H1624" s="463">
        <f t="shared" si="287"/>
        <v>2.4392516781325299E-2</v>
      </c>
      <c r="J1624" s="201"/>
    </row>
    <row r="1625" spans="1:17" s="87" customFormat="1" ht="38.25">
      <c r="A1625" s="232" t="s">
        <v>4542</v>
      </c>
      <c r="B1625" s="464">
        <v>6416258</v>
      </c>
      <c r="C1625" s="451" t="str">
        <f>'036-20-CCA''s'!$C$261</f>
        <v>USINAGEM DE MICRO PRÉ-MISTURADO A QUENTE COM ASFALTO POLIMÉRO - BRITA COMERCIAL</v>
      </c>
      <c r="D1625" s="452" t="str">
        <f>'036-20-CCA''s'!$D$261</f>
        <v>SER.CG</v>
      </c>
      <c r="E1625" s="452" t="str">
        <f>'036-20-CCA''s'!$E$261</f>
        <v>T</v>
      </c>
      <c r="F1625" s="462">
        <v>1</v>
      </c>
      <c r="G1625" s="453">
        <f>'036-20-CCA''s'!$H$261</f>
        <v>107.84836491343073</v>
      </c>
      <c r="H1625" s="463">
        <f t="shared" si="282"/>
        <v>107.84836491343073</v>
      </c>
      <c r="J1625" s="201"/>
    </row>
    <row r="1626" spans="1:17" s="87" customFormat="1" ht="38.25">
      <c r="A1626" s="232" t="s">
        <v>4542</v>
      </c>
      <c r="B1626" s="464" t="s">
        <v>13262</v>
      </c>
      <c r="C1626" s="451" t="str">
        <f>'036-20-CCA''s'!$C$323</f>
        <v>TEMPO FIXO - CAMINHÃO BASCULANTE 10 M3 - CARGA CARGA DE ASFALTO E DESCARGA EM VIBROACABADORA</v>
      </c>
      <c r="D1626" s="452" t="str">
        <f>'036-20-CCA''s'!$D$323</f>
        <v>SER.CG</v>
      </c>
      <c r="E1626" s="452" t="str">
        <f>'036-20-CCA''s'!$E$323</f>
        <v>T</v>
      </c>
      <c r="F1626" s="462">
        <v>1</v>
      </c>
      <c r="G1626" s="453">
        <f>'036-20-CCA''s'!$H$323</f>
        <v>6.6974170120481924</v>
      </c>
      <c r="H1626" s="463">
        <f t="shared" si="282"/>
        <v>6.6974170120481924</v>
      </c>
      <c r="J1626" s="201"/>
    </row>
    <row r="1627" spans="1:17" s="87" customFormat="1" ht="12.75">
      <c r="A1627" s="188"/>
      <c r="B1627" s="348" t="s">
        <v>123</v>
      </c>
      <c r="C1627" s="695" t="s">
        <v>13340</v>
      </c>
      <c r="D1627" s="696"/>
      <c r="E1627" s="696"/>
      <c r="F1627" s="696"/>
      <c r="G1627" s="696"/>
      <c r="H1627" s="697"/>
      <c r="J1627" s="201"/>
      <c r="K1627" s="78"/>
      <c r="L1627" s="78"/>
      <c r="M1627" s="78"/>
      <c r="N1627" s="78"/>
      <c r="O1627" s="78"/>
      <c r="P1627" s="78"/>
      <c r="Q1627" s="78"/>
    </row>
    <row r="1628" spans="1:17" s="87" customFormat="1" ht="12.75">
      <c r="A1628" s="188"/>
      <c r="B1628" s="346"/>
      <c r="C1628" s="478"/>
      <c r="D1628" s="478"/>
      <c r="E1628" s="478"/>
      <c r="F1628" s="478"/>
      <c r="G1628" s="478"/>
      <c r="H1628" s="479"/>
      <c r="J1628" s="201"/>
      <c r="K1628" s="78"/>
      <c r="L1628" s="78"/>
      <c r="M1628" s="78"/>
      <c r="N1628" s="78"/>
      <c r="O1628" s="78"/>
      <c r="P1628" s="78"/>
      <c r="Q1628" s="78"/>
    </row>
    <row r="1629" spans="1:17" s="87" customFormat="1" ht="25.5">
      <c r="A1629" s="188"/>
      <c r="B1629" s="80">
        <v>5914613</v>
      </c>
      <c r="C1629" s="81" t="s">
        <v>7779</v>
      </c>
      <c r="D1629" s="82" t="s">
        <v>84</v>
      </c>
      <c r="E1629" s="82" t="s">
        <v>6668</v>
      </c>
      <c r="F1629" s="83"/>
      <c r="G1629" s="84"/>
      <c r="H1629" s="85">
        <f>SUM(H1630:H1630)</f>
        <v>0.55812416331994652</v>
      </c>
      <c r="J1629" s="201" t="s">
        <v>13184</v>
      </c>
      <c r="K1629" s="78"/>
      <c r="L1629" s="78"/>
      <c r="M1629" s="78"/>
      <c r="N1629" s="78"/>
      <c r="O1629" s="78"/>
      <c r="P1629" s="78"/>
      <c r="Q1629" s="78"/>
    </row>
    <row r="1630" spans="1:17" s="87" customFormat="1" ht="25.5">
      <c r="A1630" s="232" t="s">
        <v>4542</v>
      </c>
      <c r="B1630" s="464" t="s">
        <v>9473</v>
      </c>
      <c r="C1630" s="451" t="str">
        <f>IF(A1630="SERVIÇO",VLOOKUP(B1630,SERVIÇOS!$A$6:$D$7645,2,0),IF(A1630="INSUMO",VLOOKUP(B1630,INSUMOS!$A$6:$D$6961,2,0),IF(A1630="COTAÇÃO",VLOOKUP(B1630,'036-20-Cotação'!$A$9:$G$529,2,0))))</f>
        <v>CAMINHÃO COM CAÇAMBA TÉRMICA COM CAPACIDADE DE 6 M³ - 188 KW</v>
      </c>
      <c r="D1630" s="452" t="str">
        <f>IF(A1630="SERVIÇO",VLOOKUP(B1630,SERVIÇOS!$A$6:$E$7645,5,0),IF(A1630="INSUMO",VLOOKUP(B1630,INSUMOS!$A$6:$E$6961,5,0),IF(A1630="COTAÇÃO",VLOOKUP(B1630,'036-20-Cotação'!$A$9:$H$529,8,0))))</f>
        <v>EQUIP.</v>
      </c>
      <c r="E1630" s="452" t="str">
        <f>IF(A1630="SERVIÇO",VLOOKUP(B1630,SERVIÇOS!$A$6:$D$7645,3,0),IF(A1630="INSUMO",VLOOKUP(B1630,INSUMOS!$A$6:$D$6961,3,0),IF(A1630="COTAÇÃO",VLOOKUP(B1630,'036-20-Cotação'!$A$9:$G$529,4,0))))</f>
        <v>CHP</v>
      </c>
      <c r="F1630" s="462">
        <f>1/298.8</f>
        <v>3.3467202141900937E-3</v>
      </c>
      <c r="G1630" s="453">
        <f>IF(A1630="SERVIÇO",VLOOKUP(B1630,SERVIÇOS!$A$6:$D$7645,4,0),IF(A1630="INSUMO",VLOOKUP(B1630,INSUMOS!$A$6:$D$6961,4,0),IF(A1630="COTAÇÃO",VLOOKUP(B1630,'036-20-Cotação'!$A$9:$G$529,3,0))))</f>
        <v>166.76750000000001</v>
      </c>
      <c r="H1630" s="463">
        <f t="shared" ref="H1630" si="289">G1630*F1630</f>
        <v>0.55812416331994652</v>
      </c>
      <c r="J1630" s="201"/>
    </row>
    <row r="1631" spans="1:17" s="87" customFormat="1" ht="12.75">
      <c r="A1631" s="188"/>
      <c r="B1631" s="348" t="s">
        <v>123</v>
      </c>
      <c r="C1631" s="695" t="s">
        <v>13183</v>
      </c>
      <c r="D1631" s="696"/>
      <c r="E1631" s="696"/>
      <c r="F1631" s="696"/>
      <c r="G1631" s="696"/>
      <c r="H1631" s="697"/>
      <c r="J1631" s="201"/>
      <c r="K1631" s="78"/>
      <c r="L1631" s="78"/>
      <c r="M1631" s="78"/>
      <c r="N1631" s="78"/>
      <c r="O1631" s="78"/>
      <c r="P1631" s="78"/>
      <c r="Q1631" s="78"/>
    </row>
    <row r="1632" spans="1:17" s="87" customFormat="1" ht="12.75">
      <c r="A1632" s="188"/>
      <c r="B1632" s="346"/>
      <c r="C1632" s="478"/>
      <c r="D1632" s="478"/>
      <c r="E1632" s="478"/>
      <c r="F1632" s="478"/>
      <c r="G1632" s="478"/>
      <c r="H1632" s="479"/>
      <c r="J1632" s="201"/>
      <c r="K1632" s="78"/>
      <c r="L1632" s="78"/>
      <c r="M1632" s="78"/>
      <c r="N1632" s="78"/>
      <c r="O1632" s="78"/>
      <c r="P1632" s="78"/>
      <c r="Q1632" s="78"/>
    </row>
    <row r="1633" spans="1:17" s="87" customFormat="1" ht="25.5">
      <c r="A1633" s="188"/>
      <c r="B1633" s="80">
        <v>4011354</v>
      </c>
      <c r="C1633" s="81" t="s">
        <v>7780</v>
      </c>
      <c r="D1633" s="82" t="s">
        <v>84</v>
      </c>
      <c r="E1633" s="82" t="s">
        <v>150</v>
      </c>
      <c r="F1633" s="83"/>
      <c r="G1633" s="84"/>
      <c r="H1633" s="85">
        <f>SUM(H1634:H1641)</f>
        <v>0.20350842756425999</v>
      </c>
      <c r="J1633" s="201" t="s">
        <v>13186</v>
      </c>
      <c r="K1633" s="78"/>
      <c r="L1633" s="78"/>
      <c r="M1633" s="78"/>
      <c r="N1633" s="78"/>
      <c r="O1633" s="78"/>
      <c r="P1633" s="78"/>
      <c r="Q1633" s="78"/>
    </row>
    <row r="1634" spans="1:17" s="87" customFormat="1" ht="25.5">
      <c r="A1634" s="232" t="s">
        <v>4542</v>
      </c>
      <c r="B1634" s="464" t="s">
        <v>9470</v>
      </c>
      <c r="C1634" s="451" t="str">
        <f>IF(A1634="SERVIÇO",VLOOKUP(B1634,SERVIÇOS!$A$6:$D$7645,2,0),IF(A1634="INSUMO",VLOOKUP(B1634,INSUMOS!$A$6:$D$6961,2,0),IF(A1634="COTAÇÃO",VLOOKUP(B1634,'036-20-Cotação'!$A$9:$G$529,2,0))))</f>
        <v>CAMINHÃO TANQUE DISTRIBUIDOR DE ASFALTO COM CAPACIDADE DE 6.000 L - 7 KW/136 KW</v>
      </c>
      <c r="D1634" s="452" t="str">
        <f>IF(A1634="SERVIÇO",VLOOKUP(B1634,SERVIÇOS!$A$6:$E$7645,5,0),IF(A1634="INSUMO",VLOOKUP(B1634,INSUMOS!$A$6:$E$6961,5,0),IF(A1634="COTAÇÃO",VLOOKUP(B1634,'036-20-Cotação'!$A$9:$H$529,8,0))))</f>
        <v>EQUIP.</v>
      </c>
      <c r="E1634" s="452" t="str">
        <f>IF(A1634="SERVIÇO",VLOOKUP(B1634,SERVIÇOS!$A$6:$D$7645,3,0),IF(A1634="INSUMO",VLOOKUP(B1634,INSUMOS!$A$6:$D$6961,3,0),IF(A1634="COTAÇÃO",VLOOKUP(B1634,'036-20-Cotação'!$A$9:$G$529,4,0))))</f>
        <v>CHP</v>
      </c>
      <c r="F1634" s="462">
        <f>1/1500</f>
        <v>6.6666666666666664E-4</v>
      </c>
      <c r="G1634" s="453">
        <f>IF(A1634="SERVIÇO",VLOOKUP(B1634,SERVIÇOS!$A$6:$D$7645,4,0),IF(A1634="INSUMO",VLOOKUP(B1634,INSUMOS!$A$6:$D$6961,4,0),IF(A1634="COTAÇÃO",VLOOKUP(B1634,'036-20-Cotação'!$A$9:$G$529,3,0))))</f>
        <v>162.8415</v>
      </c>
      <c r="H1634" s="463">
        <f t="shared" ref="H1634:H1641" si="290">G1634*F1634</f>
        <v>0.10856099999999999</v>
      </c>
      <c r="J1634" s="201"/>
    </row>
    <row r="1635" spans="1:17" s="87" customFormat="1" ht="25.5">
      <c r="A1635" s="232" t="s">
        <v>4542</v>
      </c>
      <c r="B1635" s="464" t="s">
        <v>9055</v>
      </c>
      <c r="C1635" s="451" t="str">
        <f>IF(A1635="SERVIÇO",VLOOKUP(B1635,SERVIÇOS!$A$6:$D$7645,2,0),IF(A1635="INSUMO",VLOOKUP(B1635,INSUMOS!$A$6:$D$6961,2,0),IF(A1635="COTAÇÃO",VLOOKUP(B1635,'036-20-Cotação'!$A$9:$G$529,2,0))))</f>
        <v>TANQUE DE ESTOCAGEM DE ASFALTO COM CAPACIDADE DE 30.000 L</v>
      </c>
      <c r="D1635" s="452" t="str">
        <f>IF(A1635="SERVIÇO",VLOOKUP(B1635,SERVIÇOS!$A$6:$E$7645,5,0),IF(A1635="INSUMO",VLOOKUP(B1635,INSUMOS!$A$6:$E$6961,5,0),IF(A1635="COTAÇÃO",VLOOKUP(B1635,'036-20-Cotação'!$A$9:$H$529,8,0))))</f>
        <v>EQUIP.</v>
      </c>
      <c r="E1635" s="452" t="str">
        <f>IF(A1635="SERVIÇO",VLOOKUP(B1635,SERVIÇOS!$A$6:$D$7645,3,0),IF(A1635="INSUMO",VLOOKUP(B1635,INSUMOS!$A$6:$D$6961,3,0),IF(A1635="COTAÇÃO",VLOOKUP(B1635,'036-20-Cotação'!$A$9:$G$529,4,0))))</f>
        <v>CHP</v>
      </c>
      <c r="F1635" s="462">
        <f>1/1500*2</f>
        <v>1.3333333333333333E-3</v>
      </c>
      <c r="G1635" s="453">
        <f>IF(A1635="SERVIÇO",VLOOKUP(B1635,SERVIÇOS!$A$6:$D$7645,4,0),IF(A1635="INSUMO",VLOOKUP(B1635,INSUMOS!$A$6:$D$6961,4,0),IF(A1635="COTAÇÃO",VLOOKUP(B1635,'036-20-Cotação'!$A$9:$G$529,3,0))))</f>
        <v>15.444000000000001</v>
      </c>
      <c r="H1635" s="463">
        <f t="shared" si="290"/>
        <v>2.0591999999999999E-2</v>
      </c>
      <c r="J1635" s="201"/>
    </row>
    <row r="1636" spans="1:17" s="87" customFormat="1" ht="12.75">
      <c r="A1636" s="232" t="s">
        <v>4542</v>
      </c>
      <c r="B1636" s="464" t="s">
        <v>9081</v>
      </c>
      <c r="C1636" s="451" t="str">
        <f>IF(A1636="SERVIÇO",VLOOKUP(B1636,SERVIÇOS!$A$6:$D$7645,2,0),IF(A1636="INSUMO",VLOOKUP(B1636,INSUMOS!$A$6:$D$6961,2,0),IF(A1636="COTAÇÃO",VLOOKUP(B1636,'036-20-Cotação'!$A$9:$G$529,2,0))))</f>
        <v>TRATOR AGRÍCOLA - 77 KW</v>
      </c>
      <c r="D1636" s="452" t="str">
        <f>IF(A1636="SERVIÇO",VLOOKUP(B1636,SERVIÇOS!$A$6:$E$7645,5,0),IF(A1636="INSUMO",VLOOKUP(B1636,INSUMOS!$A$6:$E$6961,5,0),IF(A1636="COTAÇÃO",VLOOKUP(B1636,'036-20-Cotação'!$A$9:$H$529,8,0))))</f>
        <v>EQUIP.</v>
      </c>
      <c r="E1636" s="452" t="str">
        <f>IF(A1636="SERVIÇO",VLOOKUP(B1636,SERVIÇOS!$A$6:$D$7645,3,0),IF(A1636="INSUMO",VLOOKUP(B1636,INSUMOS!$A$6:$D$6961,3,0),IF(A1636="COTAÇÃO",VLOOKUP(B1636,'036-20-Cotação'!$A$9:$G$529,4,0))))</f>
        <v>CHP</v>
      </c>
      <c r="F1636" s="462">
        <f>0.47/1500</f>
        <v>3.1333333333333332E-4</v>
      </c>
      <c r="G1636" s="453">
        <f>IF(A1636="SERVIÇO",VLOOKUP(B1636,SERVIÇOS!$A$6:$D$7645,4,0),IF(A1636="INSUMO",VLOOKUP(B1636,INSUMOS!$A$6:$D$6961,4,0),IF(A1636="COTAÇÃO",VLOOKUP(B1636,'036-20-Cotação'!$A$9:$G$529,3,0))))</f>
        <v>124.90219999999999</v>
      </c>
      <c r="H1636" s="463">
        <f t="shared" si="290"/>
        <v>3.9136022666666666E-2</v>
      </c>
      <c r="J1636" s="201"/>
    </row>
    <row r="1637" spans="1:17" s="87" customFormat="1" ht="12.75">
      <c r="A1637" s="232" t="s">
        <v>4542</v>
      </c>
      <c r="B1637" s="464" t="s">
        <v>9788</v>
      </c>
      <c r="C1637" s="451" t="str">
        <f>IF(A1637="SERVIÇO",VLOOKUP(B1637,SERVIÇOS!$A$6:$D$7645,2,0),IF(A1637="INSUMO",VLOOKUP(B1637,INSUMOS!$A$6:$D$6961,2,0),IF(A1637="COTAÇÃO",VLOOKUP(B1637,'036-20-Cotação'!$A$9:$G$529,2,0))))</f>
        <v>TRATOR AGRÍCOLA - 77 KW</v>
      </c>
      <c r="D1637" s="452" t="str">
        <f>IF(A1637="SERVIÇO",VLOOKUP(B1637,SERVIÇOS!$A$6:$E$7645,5,0),IF(A1637="INSUMO",VLOOKUP(B1637,INSUMOS!$A$6:$E$6961,5,0),IF(A1637="COTAÇÃO",VLOOKUP(B1637,'036-20-Cotação'!$A$9:$H$529,8,0))))</f>
        <v>EQUIP.</v>
      </c>
      <c r="E1637" s="452" t="str">
        <f>IF(A1637="SERVIÇO",VLOOKUP(B1637,SERVIÇOS!$A$6:$D$7645,3,0),IF(A1637="INSUMO",VLOOKUP(B1637,INSUMOS!$A$6:$D$6961,3,0),IF(A1637="COTAÇÃO",VLOOKUP(B1637,'036-20-Cotação'!$A$9:$G$529,4,0))))</f>
        <v>CHI</v>
      </c>
      <c r="F1637" s="462">
        <f>0.53/1500</f>
        <v>3.5333333333333337E-4</v>
      </c>
      <c r="G1637" s="453">
        <f>IF(A1637="SERVIÇO",VLOOKUP(B1637,SERVIÇOS!$A$6:$D$7645,4,0),IF(A1637="INSUMO",VLOOKUP(B1637,INSUMOS!$A$6:$D$6961,4,0),IF(A1637="COTAÇÃO",VLOOKUP(B1637,'036-20-Cotação'!$A$9:$G$529,3,0))))</f>
        <v>29.842199999999998</v>
      </c>
      <c r="H1637" s="463">
        <f t="shared" ref="H1637" si="291">G1637*F1637</f>
        <v>1.0544244000000001E-2</v>
      </c>
      <c r="J1637" s="201"/>
    </row>
    <row r="1638" spans="1:17" s="87" customFormat="1" ht="12.75">
      <c r="A1638" s="232" t="s">
        <v>4542</v>
      </c>
      <c r="B1638" s="464" t="s">
        <v>9040</v>
      </c>
      <c r="C1638" s="451" t="str">
        <f>IF(A1638="SERVIÇO",VLOOKUP(B1638,SERVIÇOS!$A$6:$D$7645,2,0),IF(A1638="INSUMO",VLOOKUP(B1638,INSUMOS!$A$6:$D$6961,2,0),IF(A1638="COTAÇÃO",VLOOKUP(B1638,'036-20-Cotação'!$A$9:$G$529,2,0))))</f>
        <v>VASSOURA MECÂNICA REBOCÁVEL</v>
      </c>
      <c r="D1638" s="452" t="str">
        <f>IF(A1638="SERVIÇO",VLOOKUP(B1638,SERVIÇOS!$A$6:$E$7645,5,0),IF(A1638="INSUMO",VLOOKUP(B1638,INSUMOS!$A$6:$E$6961,5,0),IF(A1638="COTAÇÃO",VLOOKUP(B1638,'036-20-Cotação'!$A$9:$H$529,8,0))))</f>
        <v>EQUIP.</v>
      </c>
      <c r="E1638" s="452" t="str">
        <f>IF(A1638="SERVIÇO",VLOOKUP(B1638,SERVIÇOS!$A$6:$D$7645,3,0),IF(A1638="INSUMO",VLOOKUP(B1638,INSUMOS!$A$6:$D$6961,3,0),IF(A1638="COTAÇÃO",VLOOKUP(B1638,'036-20-Cotação'!$A$9:$G$529,4,0))))</f>
        <v>CHP</v>
      </c>
      <c r="F1638" s="462">
        <f>0.47/1500</f>
        <v>3.1333333333333332E-4</v>
      </c>
      <c r="G1638" s="453">
        <f>IF(A1638="SERVIÇO",VLOOKUP(B1638,SERVIÇOS!$A$6:$D$7645,4,0),IF(A1638="INSUMO",VLOOKUP(B1638,INSUMOS!$A$6:$D$6961,4,0),IF(A1638="COTAÇÃO",VLOOKUP(B1638,'036-20-Cotação'!$A$9:$G$529,3,0))))</f>
        <v>5.7942</v>
      </c>
      <c r="H1638" s="463">
        <f t="shared" si="290"/>
        <v>1.8155159999999999E-3</v>
      </c>
      <c r="J1638" s="201"/>
    </row>
    <row r="1639" spans="1:17" s="87" customFormat="1" ht="12.75">
      <c r="A1639" s="232" t="s">
        <v>4542</v>
      </c>
      <c r="B1639" s="464" t="s">
        <v>9767</v>
      </c>
      <c r="C1639" s="451" t="str">
        <f>IF(A1639="SERVIÇO",VLOOKUP(B1639,SERVIÇOS!$A$6:$D$7645,2,0),IF(A1639="INSUMO",VLOOKUP(B1639,INSUMOS!$A$6:$D$6961,2,0),IF(A1639="COTAÇÃO",VLOOKUP(B1639,'036-20-Cotação'!$A$9:$G$529,2,0))))</f>
        <v>VASSOURA MECÂNICA REBOCÁVEL</v>
      </c>
      <c r="D1639" s="452" t="str">
        <f>IF(A1639="SERVIÇO",VLOOKUP(B1639,SERVIÇOS!$A$6:$E$7645,5,0),IF(A1639="INSUMO",VLOOKUP(B1639,INSUMOS!$A$6:$E$6961,5,0),IF(A1639="COTAÇÃO",VLOOKUP(B1639,'036-20-Cotação'!$A$9:$H$529,8,0))))</f>
        <v>EQUIP.</v>
      </c>
      <c r="E1639" s="452" t="str">
        <f>IF(A1639="SERVIÇO",VLOOKUP(B1639,SERVIÇOS!$A$6:$D$7645,3,0),IF(A1639="INSUMO",VLOOKUP(B1639,INSUMOS!$A$6:$D$6961,3,0),IF(A1639="COTAÇÃO",VLOOKUP(B1639,'036-20-Cotação'!$A$9:$G$529,4,0))))</f>
        <v>CHI</v>
      </c>
      <c r="F1639" s="462">
        <f>0.53/1500</f>
        <v>3.5333333333333337E-4</v>
      </c>
      <c r="G1639" s="453">
        <f>IF(A1639="SERVIÇO",VLOOKUP(B1639,SERVIÇOS!$A$6:$D$7645,4,0),IF(A1639="INSUMO",VLOOKUP(B1639,INSUMOS!$A$6:$D$6961,4,0),IF(A1639="COTAÇÃO",VLOOKUP(B1639,'036-20-Cotação'!$A$9:$G$529,3,0))))</f>
        <v>3.5472999999999999</v>
      </c>
      <c r="H1639" s="463">
        <f t="shared" ref="H1639" si="292">G1639*F1639</f>
        <v>1.2533793333333334E-3</v>
      </c>
      <c r="J1639" s="201"/>
    </row>
    <row r="1640" spans="1:17" s="87" customFormat="1" ht="12.75">
      <c r="A1640" s="232" t="s">
        <v>4542</v>
      </c>
      <c r="B1640" s="464" t="s">
        <v>6602</v>
      </c>
      <c r="C1640" s="451" t="str">
        <f>IF(A1640="SERVIÇO",VLOOKUP(B1640,SERVIÇOS!$A$6:$D$7645,2,0),IF(A1640="INSUMO",VLOOKUP(B1640,INSUMOS!$A$6:$D$6961,2,0),IF(A1640="COTAÇÃO",VLOOKUP(B1640,'036-20-Cotação'!$A$9:$G$529,2,0))))</f>
        <v>SERVENTE</v>
      </c>
      <c r="D1640" s="452" t="str">
        <f>IF(A1640="SERVIÇO",VLOOKUP(B1640,SERVIÇOS!$A$6:$E$7645,5,0),IF(A1640="INSUMO",VLOOKUP(B1640,INSUMOS!$A$6:$E$6961,5,0),IF(A1640="COTAÇÃO",VLOOKUP(B1640,'036-20-Cotação'!$A$9:$H$529,8,0))))</f>
        <v>M.O</v>
      </c>
      <c r="E1640" s="452" t="str">
        <f>IF(A1640="SERVIÇO",VLOOKUP(B1640,SERVIÇOS!$A$6:$D$7645,3,0),IF(A1640="INSUMO",VLOOKUP(B1640,INSUMOS!$A$6:$D$6961,3,0),IF(A1640="COTAÇÃO",VLOOKUP(B1640,'036-20-Cotação'!$A$9:$G$529,4,0))))</f>
        <v>H</v>
      </c>
      <c r="F1640" s="462">
        <f>2/1500</f>
        <v>1.3333333333333333E-3</v>
      </c>
      <c r="G1640" s="453">
        <f>IF(A1640="SERVIÇO",VLOOKUP(B1640,SERVIÇOS!$A$6:$D$7645,4,0),IF(A1640="INSUMO",VLOOKUP(B1640,INSUMOS!$A$6:$D$6961,4,0),IF(A1640="COTAÇÃO",VLOOKUP(B1640,'036-20-Cotação'!$A$9:$G$529,3,0))))</f>
        <v>15.637499999999999</v>
      </c>
      <c r="H1640" s="463">
        <f t="shared" si="290"/>
        <v>2.0849999999999997E-2</v>
      </c>
      <c r="J1640" s="201"/>
    </row>
    <row r="1641" spans="1:17" s="87" customFormat="1" ht="12.75">
      <c r="A1641" s="232" t="s">
        <v>4542</v>
      </c>
      <c r="B1641" s="464" t="s">
        <v>13130</v>
      </c>
      <c r="C1641" s="451" t="s">
        <v>13131</v>
      </c>
      <c r="D1641" s="452"/>
      <c r="E1641" s="452"/>
      <c r="F1641" s="462">
        <v>3.7299999999999998E-3</v>
      </c>
      <c r="G1641" s="453">
        <f>SUM(H1634:H1640)</f>
        <v>0.20275216199999999</v>
      </c>
      <c r="H1641" s="463">
        <f t="shared" si="290"/>
        <v>7.5626556425999994E-4</v>
      </c>
      <c r="J1641" s="201"/>
    </row>
    <row r="1642" spans="1:17" s="87" customFormat="1" ht="12.75">
      <c r="A1642" s="188"/>
      <c r="B1642" s="348" t="s">
        <v>123</v>
      </c>
      <c r="C1642" s="695" t="s">
        <v>13185</v>
      </c>
      <c r="D1642" s="696"/>
      <c r="E1642" s="696"/>
      <c r="F1642" s="696"/>
      <c r="G1642" s="696"/>
      <c r="H1642" s="697"/>
      <c r="J1642" s="201"/>
      <c r="K1642" s="78"/>
      <c r="L1642" s="78"/>
      <c r="M1642" s="78"/>
      <c r="N1642" s="78"/>
      <c r="O1642" s="78"/>
      <c r="P1642" s="78"/>
      <c r="Q1642" s="78"/>
    </row>
    <row r="1643" spans="1:17" s="87" customFormat="1" ht="12.75">
      <c r="A1643" s="188"/>
      <c r="B1643" s="346"/>
      <c r="C1643" s="478"/>
      <c r="D1643" s="478"/>
      <c r="E1643" s="478"/>
      <c r="F1643" s="478"/>
      <c r="G1643" s="478"/>
      <c r="H1643" s="479"/>
      <c r="J1643" s="201"/>
      <c r="K1643" s="78"/>
      <c r="L1643" s="78"/>
      <c r="M1643" s="78"/>
      <c r="N1643" s="78"/>
      <c r="O1643" s="78"/>
      <c r="P1643" s="78"/>
      <c r="Q1643" s="78"/>
    </row>
    <row r="1644" spans="1:17" s="87" customFormat="1" ht="25.5">
      <c r="A1644" s="188"/>
      <c r="B1644" s="80">
        <v>5213400</v>
      </c>
      <c r="C1644" s="81" t="s">
        <v>6597</v>
      </c>
      <c r="D1644" s="82" t="s">
        <v>84</v>
      </c>
      <c r="E1644" s="82" t="s">
        <v>150</v>
      </c>
      <c r="F1644" s="83"/>
      <c r="G1644" s="84"/>
      <c r="H1644" s="85">
        <f>SUM(H1645:H1655)</f>
        <v>17.489104809715336</v>
      </c>
      <c r="J1644" s="201" t="s">
        <v>13187</v>
      </c>
      <c r="K1644" s="78"/>
      <c r="L1644" s="78"/>
      <c r="M1644" s="78"/>
      <c r="N1644" s="78"/>
      <c r="O1644" s="78"/>
      <c r="P1644" s="78"/>
      <c r="Q1644" s="78"/>
    </row>
    <row r="1645" spans="1:17" s="87" customFormat="1" ht="25.5">
      <c r="A1645" s="232" t="s">
        <v>4542</v>
      </c>
      <c r="B1645" s="464" t="s">
        <v>9567</v>
      </c>
      <c r="C1645" s="451" t="str">
        <f>IF(A1645="SERVIÇO",VLOOKUP(B1645,SERVIÇOS!$A$6:$D$7645,2,0),IF(A1645="INSUMO",VLOOKUP(B1645,INSUMOS!$A$6:$D$6961,2,0),IF(A1645="COTAÇÃO",VLOOKUP(B1645,'036-20-Cotação'!$A$9:$G$529,2,0))))</f>
        <v>CAMINHÃO CARROCERIA COM CAPACIDADE DE 5 T - 115 KW</v>
      </c>
      <c r="D1645" s="452" t="str">
        <f>IF(A1645="SERVIÇO",VLOOKUP(B1645,SERVIÇOS!$A$6:$E$7645,5,0),IF(A1645="INSUMO",VLOOKUP(B1645,INSUMOS!$A$6:$E$6961,5,0),IF(A1645="COTAÇÃO",VLOOKUP(B1645,'036-20-Cotação'!$A$9:$H$529,8,0))))</f>
        <v>EQUIP.</v>
      </c>
      <c r="E1645" s="452" t="str">
        <f>IF(A1645="SERVIÇO",VLOOKUP(B1645,SERVIÇOS!$A$6:$D$7645,3,0),IF(A1645="INSUMO",VLOOKUP(B1645,INSUMOS!$A$6:$D$6961,3,0),IF(A1645="COTAÇÃO",VLOOKUP(B1645,'036-20-Cotação'!$A$9:$G$529,4,0))))</f>
        <v>CHP</v>
      </c>
      <c r="F1645" s="462">
        <f>0.5/177</f>
        <v>2.8248587570621469E-3</v>
      </c>
      <c r="G1645" s="453">
        <f>IF(A1645="SERVIÇO",VLOOKUP(B1645,SERVIÇOS!$A$6:$D$7645,4,0),IF(A1645="INSUMO",VLOOKUP(B1645,INSUMOS!$A$6:$D$6961,4,0),IF(A1645="COTAÇÃO",VLOOKUP(B1645,'036-20-Cotação'!$A$9:$G$529,3,0))))</f>
        <v>87.3249</v>
      </c>
      <c r="H1645" s="463">
        <f t="shared" ref="H1645:H1655" si="293">G1645*F1645</f>
        <v>0.24668050847457626</v>
      </c>
      <c r="J1645" s="201"/>
    </row>
    <row r="1646" spans="1:17" s="87" customFormat="1" ht="25.5">
      <c r="A1646" s="232" t="s">
        <v>4542</v>
      </c>
      <c r="B1646" s="464" t="s">
        <v>10052</v>
      </c>
      <c r="C1646" s="451" t="str">
        <f>IF(A1646="SERVIÇO",VLOOKUP(B1646,SERVIÇOS!$A$6:$D$7645,2,0),IF(A1646="INSUMO",VLOOKUP(B1646,INSUMOS!$A$6:$D$6961,2,0),IF(A1646="COTAÇÃO",VLOOKUP(B1646,'036-20-Cotação'!$A$9:$G$529,2,0))))</f>
        <v>CAMINHÃO CARROCERIA COM CAPACIDADE DE 5 T - 115 KW</v>
      </c>
      <c r="D1646" s="452" t="str">
        <f>IF(A1646="SERVIÇO",VLOOKUP(B1646,SERVIÇOS!$A$6:$E$7645,5,0),IF(A1646="INSUMO",VLOOKUP(B1646,INSUMOS!$A$6:$E$6961,5,0),IF(A1646="COTAÇÃO",VLOOKUP(B1646,'036-20-Cotação'!$A$9:$H$529,8,0))))</f>
        <v>EQUIP.</v>
      </c>
      <c r="E1646" s="452" t="str">
        <f>IF(A1646="SERVIÇO",VLOOKUP(B1646,SERVIÇOS!$A$6:$D$7645,3,0),IF(A1646="INSUMO",VLOOKUP(B1646,INSUMOS!$A$6:$D$6961,3,0),IF(A1646="COTAÇÃO",VLOOKUP(B1646,'036-20-Cotação'!$A$9:$G$529,4,0))))</f>
        <v>CHI</v>
      </c>
      <c r="F1646" s="462">
        <f>0.5/177</f>
        <v>2.8248587570621469E-3</v>
      </c>
      <c r="G1646" s="453">
        <f>IF(A1646="SERVIÇO",VLOOKUP(B1646,SERVIÇOS!$A$6:$D$7645,4,0),IF(A1646="INSUMO",VLOOKUP(B1646,INSUMOS!$A$6:$D$6961,4,0),IF(A1646="COTAÇÃO",VLOOKUP(B1646,'036-20-Cotação'!$A$9:$G$529,3,0))))</f>
        <v>33.813400000000001</v>
      </c>
      <c r="H1646" s="463">
        <f t="shared" ref="H1646" si="294">G1646*F1646</f>
        <v>9.5518079096045205E-2</v>
      </c>
      <c r="J1646" s="201"/>
    </row>
    <row r="1647" spans="1:17" s="87" customFormat="1" ht="25.5">
      <c r="A1647" s="232" t="s">
        <v>4542</v>
      </c>
      <c r="B1647" s="464" t="s">
        <v>9512</v>
      </c>
      <c r="C1647" s="451" t="str">
        <f>IF(A1647="SERVIÇO",VLOOKUP(B1647,SERVIÇOS!$A$6:$D$7645,2,0),IF(A1647="INSUMO",VLOOKUP(B1647,INSUMOS!$A$6:$D$6961,2,0),IF(A1647="COTAÇÃO",VLOOKUP(B1647,'036-20-Cotação'!$A$9:$G$529,2,0))))</f>
        <v>CAMINHÃO DEMARCADOR DE FAIXAS COM SISTEMA DE PINTURA A FRIO - 28 KW/115 KW</v>
      </c>
      <c r="D1647" s="452" t="str">
        <f>IF(A1647="SERVIÇO",VLOOKUP(B1647,SERVIÇOS!$A$6:$E$7645,5,0),IF(A1647="INSUMO",VLOOKUP(B1647,INSUMOS!$A$6:$E$6961,5,0),IF(A1647="COTAÇÃO",VLOOKUP(B1647,'036-20-Cotação'!$A$9:$H$529,8,0))))</f>
        <v>EQUIP.</v>
      </c>
      <c r="E1647" s="452" t="str">
        <f>IF(A1647="SERVIÇO",VLOOKUP(B1647,SERVIÇOS!$A$6:$D$7645,3,0),IF(A1647="INSUMO",VLOOKUP(B1647,INSUMOS!$A$6:$D$6961,3,0),IF(A1647="COTAÇÃO",VLOOKUP(B1647,'036-20-Cotação'!$A$9:$G$529,4,0))))</f>
        <v>CHP</v>
      </c>
      <c r="F1647" s="462">
        <f>1/177</f>
        <v>5.6497175141242938E-3</v>
      </c>
      <c r="G1647" s="453">
        <f>IF(A1647="SERVIÇO",VLOOKUP(B1647,SERVIÇOS!$A$6:$D$7645,4,0),IF(A1647="INSUMO",VLOOKUP(B1647,INSUMOS!$A$6:$D$6961,4,0),IF(A1647="COTAÇÃO",VLOOKUP(B1647,'036-20-Cotação'!$A$9:$G$529,3,0))))</f>
        <v>258.40800000000002</v>
      </c>
      <c r="H1647" s="463">
        <f t="shared" si="293"/>
        <v>1.4599322033898305</v>
      </c>
      <c r="J1647" s="201"/>
    </row>
    <row r="1648" spans="1:17" s="87" customFormat="1" ht="12.75">
      <c r="A1648" s="232" t="s">
        <v>4542</v>
      </c>
      <c r="B1648" s="464" t="s">
        <v>8619</v>
      </c>
      <c r="C1648" s="451" t="str">
        <f>IF(A1648="SERVIÇO",VLOOKUP(B1648,SERVIÇOS!$A$6:$D$7645,2,0),IF(A1648="INSUMO",VLOOKUP(B1648,INSUMOS!$A$6:$D$6961,2,0),IF(A1648="COTAÇÃO",VLOOKUP(B1648,'036-20-Cotação'!$A$9:$G$529,2,0))))</f>
        <v>PRÉ-MARCADOR</v>
      </c>
      <c r="D1648" s="452" t="str">
        <f>IF(A1648="SERVIÇO",VLOOKUP(B1648,SERVIÇOS!$A$6:$E$7645,5,0),IF(A1648="INSUMO",VLOOKUP(B1648,INSUMOS!$A$6:$E$6961,5,0),IF(A1648="COTAÇÃO",VLOOKUP(B1648,'036-20-Cotação'!$A$9:$H$529,8,0))))</f>
        <v>M.O</v>
      </c>
      <c r="E1648" s="452" t="str">
        <f>IF(A1648="SERVIÇO",VLOOKUP(B1648,SERVIÇOS!$A$6:$D$7645,3,0),IF(A1648="INSUMO",VLOOKUP(B1648,INSUMOS!$A$6:$D$6961,3,0),IF(A1648="COTAÇÃO",VLOOKUP(B1648,'036-20-Cotação'!$A$9:$G$529,4,0))))</f>
        <v>H</v>
      </c>
      <c r="F1648" s="462">
        <f>1/177</f>
        <v>5.6497175141242938E-3</v>
      </c>
      <c r="G1648" s="453">
        <f>IF(A1648="SERVIÇO",VLOOKUP(B1648,SERVIÇOS!$A$6:$D$7645,4,0),IF(A1648="INSUMO",VLOOKUP(B1648,INSUMOS!$A$6:$D$6961,4,0),IF(A1648="COTAÇÃO",VLOOKUP(B1648,'036-20-Cotação'!$A$9:$G$529,3,0))))</f>
        <v>17.8307</v>
      </c>
      <c r="H1648" s="463">
        <f t="shared" si="293"/>
        <v>0.10073841807909605</v>
      </c>
      <c r="J1648" s="201"/>
    </row>
    <row r="1649" spans="1:17" s="87" customFormat="1" ht="12.75">
      <c r="A1649" s="232" t="s">
        <v>4542</v>
      </c>
      <c r="B1649" s="464" t="s">
        <v>6602</v>
      </c>
      <c r="C1649" s="451" t="str">
        <f>IF(A1649="SERVIÇO",VLOOKUP(B1649,SERVIÇOS!$A$6:$D$7645,2,0),IF(A1649="INSUMO",VLOOKUP(B1649,INSUMOS!$A$6:$D$6961,2,0),IF(A1649="COTAÇÃO",VLOOKUP(B1649,'036-20-Cotação'!$A$9:$G$529,2,0))))</f>
        <v>SERVENTE</v>
      </c>
      <c r="D1649" s="452" t="str">
        <f>IF(A1649="SERVIÇO",VLOOKUP(B1649,SERVIÇOS!$A$6:$E$7645,5,0),IF(A1649="INSUMO",VLOOKUP(B1649,INSUMOS!$A$6:$E$6961,5,0),IF(A1649="COTAÇÃO",VLOOKUP(B1649,'036-20-Cotação'!$A$9:$H$529,8,0))))</f>
        <v>M.O</v>
      </c>
      <c r="E1649" s="452" t="str">
        <f>IF(A1649="SERVIÇO",VLOOKUP(B1649,SERVIÇOS!$A$6:$D$7645,3,0),IF(A1649="INSUMO",VLOOKUP(B1649,INSUMOS!$A$6:$D$6961,3,0),IF(A1649="COTAÇÃO",VLOOKUP(B1649,'036-20-Cotação'!$A$9:$G$529,4,0))))</f>
        <v>H</v>
      </c>
      <c r="F1649" s="462">
        <f>5/177</f>
        <v>2.8248587570621469E-2</v>
      </c>
      <c r="G1649" s="453">
        <f>IF(A1649="SERVIÇO",VLOOKUP(B1649,SERVIÇOS!$A$6:$D$7645,4,0),IF(A1649="INSUMO",VLOOKUP(B1649,INSUMOS!$A$6:$D$6961,4,0),IF(A1649="COTAÇÃO",VLOOKUP(B1649,'036-20-Cotação'!$A$9:$G$529,3,0))))</f>
        <v>15.637499999999999</v>
      </c>
      <c r="H1649" s="463">
        <f t="shared" si="293"/>
        <v>0.44173728813559321</v>
      </c>
      <c r="J1649" s="201"/>
    </row>
    <row r="1650" spans="1:17" s="87" customFormat="1" ht="12.75">
      <c r="A1650" s="232" t="s">
        <v>4544</v>
      </c>
      <c r="B1650" s="464" t="s">
        <v>11455</v>
      </c>
      <c r="C1650" s="451" t="str">
        <f>IF(A1650="SERVIÇO",VLOOKUP(B1650,SERVIÇOS!$A$6:$D$7645,2,0),IF(A1650="INSUMO",VLOOKUP(B1650,INSUMOS!$A$6:$D$6961,2,0),IF(A1650="COTAÇÃO",VLOOKUP(B1650,'036-20-Cotação'!$A$9:$G$529,2,0))))</f>
        <v>MICROESFERAS DE VIDRO REFLETIVA TIPO I-B</v>
      </c>
      <c r="D1650" s="452" t="str">
        <f>IF(A1650="SERVIÇO",VLOOKUP(B1650,SERVIÇOS!$A$6:$E$7645,5,0),IF(A1650="INSUMO",VLOOKUP(B1650,INSUMOS!$A$6:$E$6961,5,0),IF(A1650="COTAÇÃO",VLOOKUP(B1650,'036-20-Cotação'!$A$9:$H$529,8,0))))</f>
        <v>MAT.</v>
      </c>
      <c r="E1650" s="452" t="str">
        <f>IF(A1650="SERVIÇO",VLOOKUP(B1650,SERVIÇOS!$A$6:$D$7645,3,0),IF(A1650="INSUMO",VLOOKUP(B1650,INSUMOS!$A$6:$D$6961,3,0),IF(A1650="COTAÇÃO",VLOOKUP(B1650,'036-20-Cotação'!$A$9:$G$529,4,0))))</f>
        <v>KG</v>
      </c>
      <c r="F1650" s="462">
        <v>0.1</v>
      </c>
      <c r="G1650" s="453">
        <f>IF(A1650="SERVIÇO",VLOOKUP(B1650,SERVIÇOS!$A$6:$D$7645,4,0),IF(A1650="INSUMO",VLOOKUP(B1650,INSUMOS!$A$6:$D$6961,4,0),IF(A1650="COTAÇÃO",VLOOKUP(B1650,'036-20-Cotação'!$A$9:$G$529,3,0))))</f>
        <v>5.7911000000000001</v>
      </c>
      <c r="H1650" s="463">
        <f t="shared" si="293"/>
        <v>0.57911000000000001</v>
      </c>
      <c r="J1650" s="201"/>
    </row>
    <row r="1651" spans="1:17" s="87" customFormat="1" ht="12.75">
      <c r="A1651" s="232" t="s">
        <v>4544</v>
      </c>
      <c r="B1651" s="464" t="s">
        <v>11457</v>
      </c>
      <c r="C1651" s="451" t="str">
        <f>IF(A1651="SERVIÇO",VLOOKUP(B1651,SERVIÇOS!$A$6:$D$7645,2,0),IF(A1651="INSUMO",VLOOKUP(B1651,INSUMOS!$A$6:$D$6961,2,0),IF(A1651="COTAÇÃO",VLOOKUP(B1651,'036-20-Cotação'!$A$9:$G$529,2,0))))</f>
        <v>MICROESFERAS DE VIDRO REFLETIVA TIPO II-A</v>
      </c>
      <c r="D1651" s="452" t="str">
        <f>IF(A1651="SERVIÇO",VLOOKUP(B1651,SERVIÇOS!$A$6:$E$7645,5,0),IF(A1651="INSUMO",VLOOKUP(B1651,INSUMOS!$A$6:$E$6961,5,0),IF(A1651="COTAÇÃO",VLOOKUP(B1651,'036-20-Cotação'!$A$9:$H$529,8,0))))</f>
        <v>MAT.</v>
      </c>
      <c r="E1651" s="452" t="str">
        <f>IF(A1651="SERVIÇO",VLOOKUP(B1651,SERVIÇOS!$A$6:$D$7645,3,0),IF(A1651="INSUMO",VLOOKUP(B1651,INSUMOS!$A$6:$D$6961,3,0),IF(A1651="COTAÇÃO",VLOOKUP(B1651,'036-20-Cotação'!$A$9:$G$529,4,0))))</f>
        <v>KG</v>
      </c>
      <c r="F1651" s="462">
        <v>0.25</v>
      </c>
      <c r="G1651" s="453">
        <f>IF(A1651="SERVIÇO",VLOOKUP(B1651,SERVIÇOS!$A$6:$D$7645,4,0),IF(A1651="INSUMO",VLOOKUP(B1651,INSUMOS!$A$6:$D$6961,4,0),IF(A1651="COTAÇÃO",VLOOKUP(B1651,'036-20-Cotação'!$A$9:$G$529,3,0))))</f>
        <v>5.7794999999999996</v>
      </c>
      <c r="H1651" s="463">
        <f t="shared" si="293"/>
        <v>1.4448749999999999</v>
      </c>
      <c r="J1651" s="201"/>
    </row>
    <row r="1652" spans="1:17" s="87" customFormat="1" ht="25.5">
      <c r="A1652" s="232" t="s">
        <v>4544</v>
      </c>
      <c r="B1652" s="464" t="s">
        <v>11449</v>
      </c>
      <c r="C1652" s="451" t="str">
        <f>IF(A1652="SERVIÇO",VLOOKUP(B1652,SERVIÇOS!$A$6:$D$7645,2,0),IF(A1652="INSUMO",VLOOKUP(B1652,INSUMOS!$A$6:$D$6961,2,0),IF(A1652="COTAÇÃO",VLOOKUP(B1652,'036-20-Cotação'!$A$9:$G$529,2,0))))</f>
        <v>SOLVENTE PARA TINTA À BASE DE RESINA ACRÍLICA</v>
      </c>
      <c r="D1652" s="452" t="str">
        <f>IF(A1652="SERVIÇO",VLOOKUP(B1652,SERVIÇOS!$A$6:$E$7645,5,0),IF(A1652="INSUMO",VLOOKUP(B1652,INSUMOS!$A$6:$E$6961,5,0),IF(A1652="COTAÇÃO",VLOOKUP(B1652,'036-20-Cotação'!$A$9:$H$529,8,0))))</f>
        <v>MAT.</v>
      </c>
      <c r="E1652" s="452" t="str">
        <f>IF(A1652="SERVIÇO",VLOOKUP(B1652,SERVIÇOS!$A$6:$D$7645,3,0),IF(A1652="INSUMO",VLOOKUP(B1652,INSUMOS!$A$6:$D$6961,3,0),IF(A1652="COTAÇÃO",VLOOKUP(B1652,'036-20-Cotação'!$A$9:$G$529,4,0))))</f>
        <v>L</v>
      </c>
      <c r="F1652" s="462">
        <v>0.02</v>
      </c>
      <c r="G1652" s="453">
        <f>IF(A1652="SERVIÇO",VLOOKUP(B1652,SERVIÇOS!$A$6:$D$7645,4,0),IF(A1652="INSUMO",VLOOKUP(B1652,INSUMOS!$A$6:$D$6961,4,0),IF(A1652="COTAÇÃO",VLOOKUP(B1652,'036-20-Cotação'!$A$9:$G$529,3,0))))</f>
        <v>11.6463</v>
      </c>
      <c r="H1652" s="463">
        <f t="shared" si="293"/>
        <v>0.23292599999999999</v>
      </c>
      <c r="J1652" s="201"/>
    </row>
    <row r="1653" spans="1:17" s="87" customFormat="1" ht="12.75">
      <c r="A1653" s="232" t="s">
        <v>4544</v>
      </c>
      <c r="B1653" s="464" t="s">
        <v>11467</v>
      </c>
      <c r="C1653" s="451" t="str">
        <f>IF(A1653="SERVIÇO",VLOOKUP(B1653,SERVIÇOS!$A$6:$D$7645,2,0),IF(A1653="INSUMO",VLOOKUP(B1653,INSUMOS!$A$6:$D$6961,2,0),IF(A1653="COTAÇÃO",VLOOKUP(B1653,'036-20-Cotação'!$A$9:$G$529,2,0))))</f>
        <v>TINTA PARA PRÉ-MARCAÇÃO</v>
      </c>
      <c r="D1653" s="452" t="str">
        <f>IF(A1653="SERVIÇO",VLOOKUP(B1653,SERVIÇOS!$A$6:$E$7645,5,0),IF(A1653="INSUMO",VLOOKUP(B1653,INSUMOS!$A$6:$E$6961,5,0),IF(A1653="COTAÇÃO",VLOOKUP(B1653,'036-20-Cotação'!$A$9:$H$529,8,0))))</f>
        <v>MAT.</v>
      </c>
      <c r="E1653" s="452" t="str">
        <f>IF(A1653="SERVIÇO",VLOOKUP(B1653,SERVIÇOS!$A$6:$D$7645,3,0),IF(A1653="INSUMO",VLOOKUP(B1653,INSUMOS!$A$6:$D$6961,3,0),IF(A1653="COTAÇÃO",VLOOKUP(B1653,'036-20-Cotação'!$A$9:$G$529,4,0))))</f>
        <v>L</v>
      </c>
      <c r="F1653" s="462">
        <v>0.03</v>
      </c>
      <c r="G1653" s="453">
        <f>IF(A1653="SERVIÇO",VLOOKUP(B1653,SERVIÇOS!$A$6:$D$7645,4,0),IF(A1653="INSUMO",VLOOKUP(B1653,INSUMOS!$A$6:$D$6961,4,0),IF(A1653="COTAÇÃO",VLOOKUP(B1653,'036-20-Cotação'!$A$9:$G$529,3,0))))</f>
        <v>16.442699999999999</v>
      </c>
      <c r="H1653" s="463">
        <f t="shared" si="293"/>
        <v>0.49328099999999991</v>
      </c>
      <c r="J1653" s="201"/>
    </row>
    <row r="1654" spans="1:17" s="87" customFormat="1" ht="12.75">
      <c r="A1654" s="232" t="s">
        <v>4544</v>
      </c>
      <c r="B1654" s="464" t="s">
        <v>11435</v>
      </c>
      <c r="C1654" s="451" t="str">
        <f>IF(A1654="SERVIÇO",VLOOKUP(B1654,SERVIÇOS!$A$6:$D$7645,2,0),IF(A1654="INSUMO",VLOOKUP(B1654,INSUMOS!$A$6:$D$6961,2,0),IF(A1654="COTAÇÃO",VLOOKUP(B1654,'036-20-Cotação'!$A$9:$G$529,2,0))))</f>
        <v>TINTA REFLETIVA ACRÍLICA</v>
      </c>
      <c r="D1654" s="452" t="str">
        <f>IF(A1654="SERVIÇO",VLOOKUP(B1654,SERVIÇOS!$A$6:$E$7645,5,0),IF(A1654="INSUMO",VLOOKUP(B1654,INSUMOS!$A$6:$E$6961,5,0),IF(A1654="COTAÇÃO",VLOOKUP(B1654,'036-20-Cotação'!$A$9:$H$529,8,0))))</f>
        <v>MAT.</v>
      </c>
      <c r="E1654" s="452" t="str">
        <f>IF(A1654="SERVIÇO",VLOOKUP(B1654,SERVIÇOS!$A$6:$D$7645,3,0),IF(A1654="INSUMO",VLOOKUP(B1654,INSUMOS!$A$6:$D$6961,3,0),IF(A1654="COTAÇÃO",VLOOKUP(B1654,'036-20-Cotação'!$A$9:$G$529,4,0))))</f>
        <v>L</v>
      </c>
      <c r="F1654" s="462">
        <v>0.4</v>
      </c>
      <c r="G1654" s="453">
        <f>IF(A1654="SERVIÇO",VLOOKUP(B1654,SERVIÇOS!$A$6:$D$7645,4,0),IF(A1654="INSUMO",VLOOKUP(B1654,INSUMOS!$A$6:$D$6961,4,0),IF(A1654="COTAÇÃO",VLOOKUP(B1654,'036-20-Cotação'!$A$9:$G$529,3,0))))</f>
        <v>30.943999999999999</v>
      </c>
      <c r="H1654" s="463">
        <f t="shared" si="293"/>
        <v>12.377600000000001</v>
      </c>
      <c r="J1654" s="201"/>
    </row>
    <row r="1655" spans="1:17" s="87" customFormat="1" ht="25.5">
      <c r="A1655" s="232" t="s">
        <v>4542</v>
      </c>
      <c r="B1655" s="531" t="s">
        <v>13205</v>
      </c>
      <c r="C1655" s="451" t="str">
        <f>'036-20-CCA''s'!$C$276</f>
        <v>TEMPO FIXO - CAMINHÃO CARROCERIA 5 T - CARGA E DESCARGA MANUAIS</v>
      </c>
      <c r="D1655" s="452" t="str">
        <f>'036-20-CCA''s'!$D$276</f>
        <v>SER.CG</v>
      </c>
      <c r="E1655" s="452" t="str">
        <f>'036-20-CCA''s'!$E$276</f>
        <v>T</v>
      </c>
      <c r="F1655" s="462">
        <v>1.0399999999999999E-3</v>
      </c>
      <c r="G1655" s="453">
        <f>'036-20-CCA''s'!$H$276</f>
        <v>16.063762057877813</v>
      </c>
      <c r="H1655" s="463">
        <f t="shared" si="293"/>
        <v>1.6706312540192926E-2</v>
      </c>
      <c r="J1655" s="201"/>
    </row>
    <row r="1656" spans="1:17" s="87" customFormat="1" ht="12.75">
      <c r="A1656" s="188"/>
      <c r="B1656" s="348" t="s">
        <v>123</v>
      </c>
      <c r="C1656" s="695" t="s">
        <v>13265</v>
      </c>
      <c r="D1656" s="696"/>
      <c r="E1656" s="696"/>
      <c r="F1656" s="696"/>
      <c r="G1656" s="696"/>
      <c r="H1656" s="697"/>
      <c r="J1656" s="201"/>
      <c r="K1656" s="78"/>
      <c r="L1656" s="78"/>
      <c r="M1656" s="78"/>
      <c r="N1656" s="78"/>
      <c r="O1656" s="78"/>
      <c r="P1656" s="78"/>
      <c r="Q1656" s="78"/>
    </row>
    <row r="1657" spans="1:17" s="87" customFormat="1" ht="12.75">
      <c r="A1657" s="188"/>
      <c r="B1657" s="346"/>
      <c r="C1657" s="484"/>
      <c r="D1657" s="484"/>
      <c r="E1657" s="484"/>
      <c r="F1657" s="484"/>
      <c r="G1657" s="484"/>
      <c r="H1657" s="485"/>
      <c r="J1657" s="201"/>
      <c r="K1657" s="78"/>
      <c r="L1657" s="78"/>
      <c r="M1657" s="78"/>
      <c r="N1657" s="78"/>
      <c r="O1657" s="78"/>
      <c r="P1657" s="78"/>
      <c r="Q1657" s="78"/>
    </row>
    <row r="1658" spans="1:17" s="87" customFormat="1" ht="38.25">
      <c r="A1658" s="188"/>
      <c r="B1658" s="80">
        <v>5213441</v>
      </c>
      <c r="C1658" s="81" t="s">
        <v>7782</v>
      </c>
      <c r="D1658" s="82" t="s">
        <v>84</v>
      </c>
      <c r="E1658" s="82" t="s">
        <v>90</v>
      </c>
      <c r="F1658" s="83"/>
      <c r="G1658" s="84"/>
      <c r="H1658" s="85">
        <f>SUM(H1659:H1664)</f>
        <v>232.76881662170868</v>
      </c>
      <c r="J1658" s="201" t="s">
        <v>13266</v>
      </c>
      <c r="K1658" s="78"/>
      <c r="L1658" s="78"/>
      <c r="M1658" s="78"/>
      <c r="N1658" s="78"/>
      <c r="O1658" s="78"/>
      <c r="P1658" s="78"/>
      <c r="Q1658" s="78"/>
    </row>
    <row r="1659" spans="1:17" s="87" customFormat="1" ht="25.5">
      <c r="A1659" s="232" t="s">
        <v>4542</v>
      </c>
      <c r="B1659" s="464" t="s">
        <v>9567</v>
      </c>
      <c r="C1659" s="451" t="str">
        <f>IF(A1659="SERVIÇO",VLOOKUP(B1659,SERVIÇOS!$A$6:$D$7645,2,0),IF(A1659="INSUMO",VLOOKUP(B1659,INSUMOS!$A$6:$D$6961,2,0),IF(A1659="COTAÇÃO",VLOOKUP(B1659,'036-20-Cotação'!$A$9:$G$529,2,0))))</f>
        <v>CAMINHÃO CARROCERIA COM CAPACIDADE DE 5 T - 115 KW</v>
      </c>
      <c r="D1659" s="452" t="str">
        <f>IF(A1659="SERVIÇO",VLOOKUP(B1659,SERVIÇOS!$A$6:$E$7645,5,0),IF(A1659="INSUMO",VLOOKUP(B1659,INSUMOS!$A$6:$E$6961,5,0),IF(A1659="COTAÇÃO",VLOOKUP(B1659,'036-20-Cotação'!$A$9:$H$529,8,0))))</f>
        <v>EQUIP.</v>
      </c>
      <c r="E1659" s="452" t="str">
        <f>IF(A1659="SERVIÇO",VLOOKUP(B1659,SERVIÇOS!$A$6:$D$7645,3,0),IF(A1659="INSUMO",VLOOKUP(B1659,INSUMOS!$A$6:$D$6961,3,0),IF(A1659="COTAÇÃO",VLOOKUP(B1659,'036-20-Cotação'!$A$9:$G$529,4,0))))</f>
        <v>CHP</v>
      </c>
      <c r="F1659" s="462">
        <f>0.3/3</f>
        <v>9.9999999999999992E-2</v>
      </c>
      <c r="G1659" s="453">
        <f>IF(A1659="SERVIÇO",VLOOKUP(B1659,SERVIÇOS!$A$6:$D$7645,4,0),IF(A1659="INSUMO",VLOOKUP(B1659,INSUMOS!$A$6:$D$6961,4,0),IF(A1659="COTAÇÃO",VLOOKUP(B1659,'036-20-Cotação'!$A$9:$G$529,3,0))))</f>
        <v>87.3249</v>
      </c>
      <c r="H1659" s="463">
        <f t="shared" ref="H1659:H1664" si="295">G1659*F1659</f>
        <v>8.7324899999999985</v>
      </c>
      <c r="J1659" s="201"/>
    </row>
    <row r="1660" spans="1:17" s="87" customFormat="1" ht="25.5">
      <c r="A1660" s="232" t="s">
        <v>4542</v>
      </c>
      <c r="B1660" s="464" t="s">
        <v>10052</v>
      </c>
      <c r="C1660" s="451" t="str">
        <f>IF(A1660="SERVIÇO",VLOOKUP(B1660,SERVIÇOS!$A$6:$D$7645,2,0),IF(A1660="INSUMO",VLOOKUP(B1660,INSUMOS!$A$6:$D$6961,2,0),IF(A1660="COTAÇÃO",VLOOKUP(B1660,'036-20-Cotação'!$A$9:$G$529,2,0))))</f>
        <v>CAMINHÃO CARROCERIA COM CAPACIDADE DE 5 T - 115 KW</v>
      </c>
      <c r="D1660" s="452" t="str">
        <f>IF(A1660="SERVIÇO",VLOOKUP(B1660,SERVIÇOS!$A$6:$E$7645,5,0),IF(A1660="INSUMO",VLOOKUP(B1660,INSUMOS!$A$6:$E$6961,5,0),IF(A1660="COTAÇÃO",VLOOKUP(B1660,'036-20-Cotação'!$A$9:$H$529,8,0))))</f>
        <v>EQUIP.</v>
      </c>
      <c r="E1660" s="452" t="str">
        <f>IF(A1660="SERVIÇO",VLOOKUP(B1660,SERVIÇOS!$A$6:$D$7645,3,0),IF(A1660="INSUMO",VLOOKUP(B1660,INSUMOS!$A$6:$D$6961,3,0),IF(A1660="COTAÇÃO",VLOOKUP(B1660,'036-20-Cotação'!$A$9:$G$529,4,0))))</f>
        <v>CHI</v>
      </c>
      <c r="F1660" s="462">
        <f>0.7/3</f>
        <v>0.23333333333333331</v>
      </c>
      <c r="G1660" s="453">
        <f>IF(A1660="SERVIÇO",VLOOKUP(B1660,SERVIÇOS!$A$6:$D$7645,4,0),IF(A1660="INSUMO",VLOOKUP(B1660,INSUMOS!$A$6:$D$6961,4,0),IF(A1660="COTAÇÃO",VLOOKUP(B1660,'036-20-Cotação'!$A$9:$G$529,3,0))))</f>
        <v>33.813400000000001</v>
      </c>
      <c r="H1660" s="463">
        <f t="shared" si="295"/>
        <v>7.8897933333333325</v>
      </c>
      <c r="J1660" s="201"/>
    </row>
    <row r="1661" spans="1:17" s="87" customFormat="1" ht="12.75">
      <c r="A1661" s="232" t="s">
        <v>4542</v>
      </c>
      <c r="B1661" s="464" t="s">
        <v>6601</v>
      </c>
      <c r="C1661" s="451" t="str">
        <f>IF(A1661="SERVIÇO",VLOOKUP(B1661,SERVIÇOS!$A$6:$D$7645,2,0),IF(A1661="INSUMO",VLOOKUP(B1661,INSUMOS!$A$6:$D$6961,2,0),IF(A1661="COTAÇÃO",VLOOKUP(B1661,'036-20-Cotação'!$A$9:$G$529,2,0))))</f>
        <v>MONTADOR</v>
      </c>
      <c r="D1661" s="452" t="str">
        <f>IF(A1661="SERVIÇO",VLOOKUP(B1661,SERVIÇOS!$A$6:$E$7645,5,0),IF(A1661="INSUMO",VLOOKUP(B1661,INSUMOS!$A$6:$E$6961,5,0),IF(A1661="COTAÇÃO",VLOOKUP(B1661,'036-20-Cotação'!$A$9:$H$529,8,0))))</f>
        <v>M.O</v>
      </c>
      <c r="E1661" s="452" t="str">
        <f>IF(A1661="SERVIÇO",VLOOKUP(B1661,SERVIÇOS!$A$6:$D$7645,3,0),IF(A1661="INSUMO",VLOOKUP(B1661,INSUMOS!$A$6:$D$6961,3,0),IF(A1661="COTAÇÃO",VLOOKUP(B1661,'036-20-Cotação'!$A$9:$G$529,4,0))))</f>
        <v>H</v>
      </c>
      <c r="F1661" s="462">
        <f>1/3</f>
        <v>0.33333333333333331</v>
      </c>
      <c r="G1661" s="453">
        <f>IF(A1661="SERVIÇO",VLOOKUP(B1661,SERVIÇOS!$A$6:$D$7645,4,0),IF(A1661="INSUMO",VLOOKUP(B1661,INSUMOS!$A$6:$D$6961,4,0),IF(A1661="COTAÇÃO",VLOOKUP(B1661,'036-20-Cotação'!$A$9:$G$529,3,0))))</f>
        <v>23.4679</v>
      </c>
      <c r="H1661" s="463">
        <f t="shared" si="295"/>
        <v>7.8226333333333331</v>
      </c>
      <c r="J1661" s="201"/>
    </row>
    <row r="1662" spans="1:17" s="87" customFormat="1" ht="12.75">
      <c r="A1662" s="232" t="s">
        <v>4542</v>
      </c>
      <c r="B1662" s="464" t="s">
        <v>6602</v>
      </c>
      <c r="C1662" s="451" t="str">
        <f>IF(A1662="SERVIÇO",VLOOKUP(B1662,SERVIÇOS!$A$6:$D$7645,2,0),IF(A1662="INSUMO",VLOOKUP(B1662,INSUMOS!$A$6:$D$6961,2,0),IF(A1662="COTAÇÃO",VLOOKUP(B1662,'036-20-Cotação'!$A$9:$G$529,2,0))))</f>
        <v>SERVENTE</v>
      </c>
      <c r="D1662" s="452" t="str">
        <f>IF(A1662="SERVIÇO",VLOOKUP(B1662,SERVIÇOS!$A$6:$E$7645,5,0),IF(A1662="INSUMO",VLOOKUP(B1662,INSUMOS!$A$6:$E$6961,5,0),IF(A1662="COTAÇÃO",VLOOKUP(B1662,'036-20-Cotação'!$A$9:$H$529,8,0))))</f>
        <v>M.O</v>
      </c>
      <c r="E1662" s="452" t="str">
        <f>IF(A1662="SERVIÇO",VLOOKUP(B1662,SERVIÇOS!$A$6:$D$7645,3,0),IF(A1662="INSUMO",VLOOKUP(B1662,INSUMOS!$A$6:$D$6961,3,0),IF(A1662="COTAÇÃO",VLOOKUP(B1662,'036-20-Cotação'!$A$9:$G$529,4,0))))</f>
        <v>H</v>
      </c>
      <c r="F1662" s="462">
        <f>2/3</f>
        <v>0.66666666666666663</v>
      </c>
      <c r="G1662" s="453">
        <f>IF(A1662="SERVIÇO",VLOOKUP(B1662,SERVIÇOS!$A$6:$D$7645,4,0),IF(A1662="INSUMO",VLOOKUP(B1662,INSUMOS!$A$6:$D$6961,4,0),IF(A1662="COTAÇÃO",VLOOKUP(B1662,'036-20-Cotação'!$A$9:$G$529,3,0))))</f>
        <v>15.637499999999999</v>
      </c>
      <c r="H1662" s="463">
        <f t="shared" si="295"/>
        <v>10.424999999999999</v>
      </c>
      <c r="J1662" s="201"/>
    </row>
    <row r="1663" spans="1:17" s="87" customFormat="1" ht="38.25">
      <c r="A1663" s="232" t="s">
        <v>4544</v>
      </c>
      <c r="B1663" s="464">
        <v>5213414</v>
      </c>
      <c r="C1663" s="451" t="str">
        <f>'036-20-CCA''s'!$C$328</f>
        <v>CONFECÇÃO DE PLACA EM AÇO Nº 16 GALVANIZADO, COM PELÍCULA RETRORREFLETIVA TIPO I + SI</v>
      </c>
      <c r="D1663" s="452" t="str">
        <f>'036-20-CCA''s'!$D$328</f>
        <v>SER.CG</v>
      </c>
      <c r="E1663" s="452" t="str">
        <f>'036-20-CCA''s'!$E$328</f>
        <v>M2</v>
      </c>
      <c r="F1663" s="462">
        <v>0.50265000000000004</v>
      </c>
      <c r="G1663" s="453">
        <f>'036-20-CCA''s'!$H$328</f>
        <v>393.49797008279313</v>
      </c>
      <c r="H1663" s="463">
        <f t="shared" si="295"/>
        <v>197.79175466211598</v>
      </c>
      <c r="J1663" s="201"/>
    </row>
    <row r="1664" spans="1:17" s="87" customFormat="1" ht="25.5">
      <c r="A1664" s="232" t="s">
        <v>4542</v>
      </c>
      <c r="B1664" s="531" t="s">
        <v>13205</v>
      </c>
      <c r="C1664" s="451" t="str">
        <f>'036-20-CCA''s'!$C$276</f>
        <v>TEMPO FIXO - CAMINHÃO CARROCERIA 5 T - CARGA E DESCARGA MANUAIS</v>
      </c>
      <c r="D1664" s="452" t="str">
        <f>'036-20-CCA''s'!$D$276</f>
        <v>SER.CG</v>
      </c>
      <c r="E1664" s="452" t="str">
        <f>'036-20-CCA''s'!$E$276</f>
        <v>T</v>
      </c>
      <c r="F1664" s="462">
        <v>6.6699999999999997E-3</v>
      </c>
      <c r="G1664" s="453">
        <f>'036-20-CCA''s'!$H$276</f>
        <v>16.063762057877813</v>
      </c>
      <c r="H1664" s="463">
        <f t="shared" si="295"/>
        <v>0.10714529292604501</v>
      </c>
      <c r="J1664" s="201"/>
    </row>
    <row r="1665" spans="1:17" s="87" customFormat="1" ht="12.75">
      <c r="A1665" s="188"/>
      <c r="B1665" s="348" t="s">
        <v>123</v>
      </c>
      <c r="C1665" s="695" t="s">
        <v>13267</v>
      </c>
      <c r="D1665" s="696"/>
      <c r="E1665" s="696"/>
      <c r="F1665" s="696"/>
      <c r="G1665" s="696"/>
      <c r="H1665" s="697"/>
      <c r="J1665" s="201"/>
      <c r="K1665" s="78"/>
      <c r="L1665" s="78"/>
      <c r="M1665" s="78"/>
      <c r="N1665" s="78"/>
      <c r="O1665" s="78"/>
      <c r="P1665" s="78"/>
      <c r="Q1665" s="78"/>
    </row>
    <row r="1666" spans="1:17" s="87" customFormat="1" ht="12.75">
      <c r="A1666" s="188"/>
      <c r="B1666" s="346"/>
      <c r="C1666" s="484"/>
      <c r="D1666" s="484"/>
      <c r="E1666" s="484"/>
      <c r="F1666" s="484"/>
      <c r="G1666" s="484"/>
      <c r="H1666" s="485"/>
      <c r="J1666" s="201"/>
      <c r="K1666" s="78"/>
      <c r="L1666" s="78"/>
      <c r="M1666" s="78"/>
      <c r="N1666" s="78"/>
      <c r="O1666" s="78"/>
      <c r="P1666" s="78"/>
      <c r="Q1666" s="78"/>
    </row>
    <row r="1667" spans="1:17" s="87" customFormat="1" ht="25.5">
      <c r="A1667" s="188"/>
      <c r="B1667" s="80">
        <v>5213359</v>
      </c>
      <c r="C1667" s="81" t="s">
        <v>7781</v>
      </c>
      <c r="D1667" s="82" t="s">
        <v>84</v>
      </c>
      <c r="E1667" s="82" t="s">
        <v>90</v>
      </c>
      <c r="F1667" s="83"/>
      <c r="G1667" s="84"/>
      <c r="H1667" s="85">
        <f>SUM(H1668:H1675)</f>
        <v>14.663153949334497</v>
      </c>
      <c r="J1667" s="201" t="s">
        <v>13272</v>
      </c>
      <c r="K1667" s="78"/>
      <c r="L1667" s="78"/>
      <c r="M1667" s="78"/>
      <c r="N1667" s="78"/>
      <c r="O1667" s="78"/>
      <c r="P1667" s="78"/>
      <c r="Q1667" s="78"/>
    </row>
    <row r="1668" spans="1:17" s="87" customFormat="1" ht="25.5">
      <c r="A1668" s="232" t="s">
        <v>4542</v>
      </c>
      <c r="B1668" s="464" t="s">
        <v>9567</v>
      </c>
      <c r="C1668" s="451" t="str">
        <f>IF(A1668="SERVIÇO",VLOOKUP(B1668,SERVIÇOS!$A$6:$D$7645,2,0),IF(A1668="INSUMO",VLOOKUP(B1668,INSUMOS!$A$6:$D$6961,2,0),IF(A1668="COTAÇÃO",VLOOKUP(B1668,'036-20-Cotação'!$A$9:$G$529,2,0))))</f>
        <v>CAMINHÃO CARROCERIA COM CAPACIDADE DE 5 T - 115 KW</v>
      </c>
      <c r="D1668" s="452" t="str">
        <f>IF(A1668="SERVIÇO",VLOOKUP(B1668,SERVIÇOS!$A$6:$E$7645,5,0),IF(A1668="INSUMO",VLOOKUP(B1668,INSUMOS!$A$6:$E$6961,5,0),IF(A1668="COTAÇÃO",VLOOKUP(B1668,'036-20-Cotação'!$A$9:$H$529,8,0))))</f>
        <v>EQUIP.</v>
      </c>
      <c r="E1668" s="452" t="str">
        <f>IF(A1668="SERVIÇO",VLOOKUP(B1668,SERVIÇOS!$A$6:$D$7645,3,0),IF(A1668="INSUMO",VLOOKUP(B1668,INSUMOS!$A$6:$D$6961,3,0),IF(A1668="COTAÇÃO",VLOOKUP(B1668,'036-20-Cotação'!$A$9:$G$529,4,0))))</f>
        <v>CHP</v>
      </c>
      <c r="F1668" s="462">
        <f>1/80.32</f>
        <v>1.2450199203187252E-2</v>
      </c>
      <c r="G1668" s="453">
        <f>IF(A1668="SERVIÇO",VLOOKUP(B1668,SERVIÇOS!$A$6:$D$7645,4,0),IF(A1668="INSUMO",VLOOKUP(B1668,INSUMOS!$A$6:$D$6961,4,0),IF(A1668="COTAÇÃO",VLOOKUP(B1668,'036-20-Cotação'!$A$9:$G$529,3,0))))</f>
        <v>87.3249</v>
      </c>
      <c r="H1668" s="463">
        <f t="shared" ref="H1668:H1675" si="296">G1668*F1668</f>
        <v>1.0872124003984065</v>
      </c>
      <c r="J1668" s="201"/>
    </row>
    <row r="1669" spans="1:17" s="87" customFormat="1" ht="12.75">
      <c r="A1669" s="232" t="s">
        <v>4542</v>
      </c>
      <c r="B1669" s="464" t="s">
        <v>9006</v>
      </c>
      <c r="C1669" s="451" t="str">
        <f>IF(A1669="SERVIÇO",VLOOKUP(B1669,SERVIÇOS!$A$6:$D$7645,2,0),IF(A1669="INSUMO",VLOOKUP(B1669,INSUMOS!$A$6:$D$6961,2,0),IF(A1669="COTAÇÃO",VLOOKUP(B1669,'036-20-Cotação'!$A$9:$G$529,2,0))))</f>
        <v>GRUPO GERADOR - 2,5/3 KVA</v>
      </c>
      <c r="D1669" s="452" t="str">
        <f>IF(A1669="SERVIÇO",VLOOKUP(B1669,SERVIÇOS!$A$6:$E$7645,5,0),IF(A1669="INSUMO",VLOOKUP(B1669,INSUMOS!$A$6:$E$6961,5,0),IF(A1669="COTAÇÃO",VLOOKUP(B1669,'036-20-Cotação'!$A$9:$H$529,8,0))))</f>
        <v>EQUIP.</v>
      </c>
      <c r="E1669" s="452" t="str">
        <f>IF(A1669="SERVIÇO",VLOOKUP(B1669,SERVIÇOS!$A$6:$D$7645,3,0),IF(A1669="INSUMO",VLOOKUP(B1669,INSUMOS!$A$6:$D$6961,3,0),IF(A1669="COTAÇÃO",VLOOKUP(B1669,'036-20-Cotação'!$A$9:$G$529,4,0))))</f>
        <v>CHP</v>
      </c>
      <c r="F1669" s="462">
        <f t="shared" ref="F1669:F1670" si="297">1/80.32</f>
        <v>1.2450199203187252E-2</v>
      </c>
      <c r="G1669" s="453">
        <f>IF(A1669="SERVIÇO",VLOOKUP(B1669,SERVIÇOS!$A$6:$D$7645,4,0),IF(A1669="INSUMO",VLOOKUP(B1669,INSUMOS!$A$6:$D$6961,4,0),IF(A1669="COTAÇÃO",VLOOKUP(B1669,'036-20-Cotação'!$A$9:$G$529,3,0))))</f>
        <v>2.9165999999999999</v>
      </c>
      <c r="H1669" s="463">
        <f t="shared" si="296"/>
        <v>3.6312250996015941E-2</v>
      </c>
      <c r="J1669" s="201"/>
    </row>
    <row r="1670" spans="1:17" s="87" customFormat="1" ht="25.5">
      <c r="A1670" s="232" t="s">
        <v>4542</v>
      </c>
      <c r="B1670" s="464" t="s">
        <v>9221</v>
      </c>
      <c r="C1670" s="451" t="str">
        <f>IF(A1670="SERVIÇO",VLOOKUP(B1670,SERVIÇOS!$A$6:$D$7645,2,0),IF(A1670="INSUMO",VLOOKUP(B1670,INSUMOS!$A$6:$D$6961,2,0),IF(A1670="COTAÇÃO",VLOOKUP(B1670,'036-20-Cotação'!$A$9:$G$529,2,0))))</f>
        <v>MARTELETE PERFURADOR/ROMPEDOR ELÉTRICO - 1,5 KW</v>
      </c>
      <c r="D1670" s="452" t="str">
        <f>IF(A1670="SERVIÇO",VLOOKUP(B1670,SERVIÇOS!$A$6:$E$7645,5,0),IF(A1670="INSUMO",VLOOKUP(B1670,INSUMOS!$A$6:$E$6961,5,0),IF(A1670="COTAÇÃO",VLOOKUP(B1670,'036-20-Cotação'!$A$9:$H$529,8,0))))</f>
        <v>EQUIP.</v>
      </c>
      <c r="E1670" s="452" t="str">
        <f>IF(A1670="SERVIÇO",VLOOKUP(B1670,SERVIÇOS!$A$6:$D$7645,3,0),IF(A1670="INSUMO",VLOOKUP(B1670,INSUMOS!$A$6:$D$6961,3,0),IF(A1670="COTAÇÃO",VLOOKUP(B1670,'036-20-Cotação'!$A$9:$G$529,4,0))))</f>
        <v>CHP</v>
      </c>
      <c r="F1670" s="462">
        <f t="shared" si="297"/>
        <v>1.2450199203187252E-2</v>
      </c>
      <c r="G1670" s="453">
        <f>IF(A1670="SERVIÇO",VLOOKUP(B1670,SERVIÇOS!$A$6:$D$7645,4,0),IF(A1670="INSUMO",VLOOKUP(B1670,INSUMOS!$A$6:$D$6961,4,0),IF(A1670="COTAÇÃO",VLOOKUP(B1670,'036-20-Cotação'!$A$9:$G$529,3,0))))</f>
        <v>0.57430000000000003</v>
      </c>
      <c r="H1670" s="463">
        <f t="shared" si="296"/>
        <v>7.1501494023904393E-3</v>
      </c>
      <c r="J1670" s="201"/>
    </row>
    <row r="1671" spans="1:17" s="87" customFormat="1" ht="12.75">
      <c r="A1671" s="232" t="s">
        <v>4542</v>
      </c>
      <c r="B1671" s="464" t="s">
        <v>6601</v>
      </c>
      <c r="C1671" s="451" t="str">
        <f>IF(A1671="SERVIÇO",VLOOKUP(B1671,SERVIÇOS!$A$6:$D$7645,2,0),IF(A1671="INSUMO",VLOOKUP(B1671,INSUMOS!$A$6:$D$6961,2,0),IF(A1671="COTAÇÃO",VLOOKUP(B1671,'036-20-Cotação'!$A$9:$G$529,2,0))))</f>
        <v>MONTADOR</v>
      </c>
      <c r="D1671" s="452" t="str">
        <f>IF(A1671="SERVIÇO",VLOOKUP(B1671,SERVIÇOS!$A$6:$E$7645,5,0),IF(A1671="INSUMO",VLOOKUP(B1671,INSUMOS!$A$6:$E$6961,5,0),IF(A1671="COTAÇÃO",VLOOKUP(B1671,'036-20-Cotação'!$A$9:$H$529,8,0))))</f>
        <v>M.O</v>
      </c>
      <c r="E1671" s="452" t="str">
        <f>IF(A1671="SERVIÇO",VLOOKUP(B1671,SERVIÇOS!$A$6:$D$7645,3,0),IF(A1671="INSUMO",VLOOKUP(B1671,INSUMOS!$A$6:$D$6961,3,0),IF(A1671="COTAÇÃO",VLOOKUP(B1671,'036-20-Cotação'!$A$9:$G$529,4,0))))</f>
        <v>H</v>
      </c>
      <c r="F1671" s="462">
        <f>2/80.32</f>
        <v>2.4900398406374504E-2</v>
      </c>
      <c r="G1671" s="453">
        <f>IF(A1671="SERVIÇO",VLOOKUP(B1671,SERVIÇOS!$A$6:$D$7645,4,0),IF(A1671="INSUMO",VLOOKUP(B1671,INSUMOS!$A$6:$D$6961,4,0),IF(A1671="COTAÇÃO",VLOOKUP(B1671,'036-20-Cotação'!$A$9:$G$529,3,0))))</f>
        <v>23.4679</v>
      </c>
      <c r="H1671" s="463">
        <f t="shared" si="296"/>
        <v>0.58436005976095629</v>
      </c>
      <c r="J1671" s="201"/>
    </row>
    <row r="1672" spans="1:17" s="87" customFormat="1" ht="12.75">
      <c r="A1672" s="232" t="s">
        <v>4542</v>
      </c>
      <c r="B1672" s="464" t="s">
        <v>6602</v>
      </c>
      <c r="C1672" s="451" t="str">
        <f>IF(A1672="SERVIÇO",VLOOKUP(B1672,SERVIÇOS!$A$6:$D$7645,2,0),IF(A1672="INSUMO",VLOOKUP(B1672,INSUMOS!$A$6:$D$6961,2,0),IF(A1672="COTAÇÃO",VLOOKUP(B1672,'036-20-Cotação'!$A$9:$G$529,2,0))))</f>
        <v>SERVENTE</v>
      </c>
      <c r="D1672" s="452" t="str">
        <f>IF(A1672="SERVIÇO",VLOOKUP(B1672,SERVIÇOS!$A$6:$E$7645,5,0),IF(A1672="INSUMO",VLOOKUP(B1672,INSUMOS!$A$6:$E$6961,5,0),IF(A1672="COTAÇÃO",VLOOKUP(B1672,'036-20-Cotação'!$A$9:$H$529,8,0))))</f>
        <v>M.O</v>
      </c>
      <c r="E1672" s="452" t="str">
        <f>IF(A1672="SERVIÇO",VLOOKUP(B1672,SERVIÇOS!$A$6:$D$7645,3,0),IF(A1672="INSUMO",VLOOKUP(B1672,INSUMOS!$A$6:$D$6961,3,0),IF(A1672="COTAÇÃO",VLOOKUP(B1672,'036-20-Cotação'!$A$9:$G$529,4,0))))</f>
        <v>H</v>
      </c>
      <c r="F1672" s="462">
        <f>4/80.32</f>
        <v>4.9800796812749008E-2</v>
      </c>
      <c r="G1672" s="453">
        <f>IF(A1672="SERVIÇO",VLOOKUP(B1672,SERVIÇOS!$A$6:$D$7645,4,0),IF(A1672="INSUMO",VLOOKUP(B1672,INSUMOS!$A$6:$D$6961,4,0),IF(A1672="COTAÇÃO",VLOOKUP(B1672,'036-20-Cotação'!$A$9:$G$529,3,0))))</f>
        <v>15.637499999999999</v>
      </c>
      <c r="H1672" s="463">
        <f t="shared" si="296"/>
        <v>0.77875996015936255</v>
      </c>
      <c r="J1672" s="201"/>
    </row>
    <row r="1673" spans="1:17" s="87" customFormat="1" ht="12.75">
      <c r="A1673" s="232" t="s">
        <v>4544</v>
      </c>
      <c r="B1673" s="464" t="s">
        <v>11463</v>
      </c>
      <c r="C1673" s="451" t="str">
        <f>IF(A1673="SERVIÇO",VLOOKUP(B1673,SERVIÇOS!$A$6:$D$7645,2,0),IF(A1673="INSUMO",VLOOKUP(B1673,INSUMOS!$A$6:$D$6961,2,0),IF(A1673="COTAÇÃO",VLOOKUP(B1673,'036-20-Cotação'!$A$9:$G$529,2,0))))</f>
        <v>COLA POLIÉSTER</v>
      </c>
      <c r="D1673" s="452" t="str">
        <f>IF(A1673="SERVIÇO",VLOOKUP(B1673,SERVIÇOS!$A$6:$E$7645,5,0),IF(A1673="INSUMO",VLOOKUP(B1673,INSUMOS!$A$6:$E$6961,5,0),IF(A1673="COTAÇÃO",VLOOKUP(B1673,'036-20-Cotação'!$A$9:$H$529,8,0))))</f>
        <v>MAT.</v>
      </c>
      <c r="E1673" s="452" t="str">
        <f>IF(A1673="SERVIÇO",VLOOKUP(B1673,SERVIÇOS!$A$6:$D$7645,3,0),IF(A1673="INSUMO",VLOOKUP(B1673,INSUMOS!$A$6:$D$6961,3,0),IF(A1673="COTAÇÃO",VLOOKUP(B1673,'036-20-Cotação'!$A$9:$G$529,4,0))))</f>
        <v>KG</v>
      </c>
      <c r="F1673" s="462">
        <v>0.08</v>
      </c>
      <c r="G1673" s="453">
        <f>IF(A1673="SERVIÇO",VLOOKUP(B1673,SERVIÇOS!$A$6:$D$7645,4,0),IF(A1673="INSUMO",VLOOKUP(B1673,INSUMOS!$A$6:$D$6961,4,0),IF(A1673="COTAÇÃO",VLOOKUP(B1673,'036-20-Cotação'!$A$9:$G$529,3,0))))</f>
        <v>20.713000000000001</v>
      </c>
      <c r="H1673" s="463">
        <f t="shared" si="296"/>
        <v>1.6570400000000001</v>
      </c>
      <c r="J1673" s="201"/>
    </row>
    <row r="1674" spans="1:17" s="87" customFormat="1" ht="12.75">
      <c r="A1674" s="232" t="s">
        <v>4544</v>
      </c>
      <c r="B1674" s="464" t="s">
        <v>11531</v>
      </c>
      <c r="C1674" s="451" t="str">
        <f>IF(A1674="SERVIÇO",VLOOKUP(B1674,SERVIÇOS!$A$6:$D$7645,2,0),IF(A1674="INSUMO",VLOOKUP(B1674,INSUMOS!$A$6:$D$6961,2,0),IF(A1674="COTAÇÃO",VLOOKUP(B1674,'036-20-Cotação'!$A$9:$G$529,2,0))))</f>
        <v>TACHA REFLETIVA MONODIRECIONAL</v>
      </c>
      <c r="D1674" s="452" t="str">
        <f>IF(A1674="SERVIÇO",VLOOKUP(B1674,SERVIÇOS!$A$6:$E$7645,5,0),IF(A1674="INSUMO",VLOOKUP(B1674,INSUMOS!$A$6:$E$6961,5,0),IF(A1674="COTAÇÃO",VLOOKUP(B1674,'036-20-Cotação'!$A$9:$H$529,8,0))))</f>
        <v>MAT.</v>
      </c>
      <c r="E1674" s="452" t="str">
        <f>IF(A1674="SERVIÇO",VLOOKUP(B1674,SERVIÇOS!$A$6:$D$7645,3,0),IF(A1674="INSUMO",VLOOKUP(B1674,INSUMOS!$A$6:$D$6961,3,0),IF(A1674="COTAÇÃO",VLOOKUP(B1674,'036-20-Cotação'!$A$9:$G$529,4,0))))</f>
        <v>UN</v>
      </c>
      <c r="F1674" s="462">
        <v>1</v>
      </c>
      <c r="G1674" s="453">
        <f>IF(A1674="SERVIÇO",VLOOKUP(B1674,SERVIÇOS!$A$6:$D$7645,4,0),IF(A1674="INSUMO",VLOOKUP(B1674,INSUMOS!$A$6:$D$6961,4,0),IF(A1674="COTAÇÃO",VLOOKUP(B1674,'036-20-Cotação'!$A$9:$G$529,3,0))))</f>
        <v>10.5075</v>
      </c>
      <c r="H1674" s="463">
        <f t="shared" si="296"/>
        <v>10.5075</v>
      </c>
      <c r="J1674" s="201"/>
    </row>
    <row r="1675" spans="1:17" s="87" customFormat="1" ht="25.5">
      <c r="A1675" s="232" t="s">
        <v>4542</v>
      </c>
      <c r="B1675" s="531" t="s">
        <v>13205</v>
      </c>
      <c r="C1675" s="451" t="str">
        <f>'036-20-CCA''s'!$C$276</f>
        <v>TEMPO FIXO - CAMINHÃO CARROCERIA 5 T - CARGA E DESCARGA MANUAIS</v>
      </c>
      <c r="D1675" s="452" t="str">
        <f>'036-20-CCA''s'!$D$276</f>
        <v>SER.CG</v>
      </c>
      <c r="E1675" s="452" t="str">
        <f>'036-20-CCA''s'!$E$276</f>
        <v>T</v>
      </c>
      <c r="F1675" s="462">
        <v>2.9999999999999997E-4</v>
      </c>
      <c r="G1675" s="453">
        <f>'036-20-CCA''s'!$H$276</f>
        <v>16.063762057877813</v>
      </c>
      <c r="H1675" s="463">
        <f t="shared" si="296"/>
        <v>4.8191286173633434E-3</v>
      </c>
      <c r="J1675" s="201"/>
    </row>
    <row r="1676" spans="1:17" s="87" customFormat="1" ht="12.75">
      <c r="A1676" s="188"/>
      <c r="B1676" s="348" t="s">
        <v>123</v>
      </c>
      <c r="C1676" s="695" t="s">
        <v>13273</v>
      </c>
      <c r="D1676" s="696"/>
      <c r="E1676" s="696"/>
      <c r="F1676" s="696"/>
      <c r="G1676" s="696"/>
      <c r="H1676" s="697"/>
      <c r="J1676" s="201"/>
      <c r="K1676" s="78"/>
      <c r="L1676" s="78"/>
      <c r="M1676" s="78"/>
      <c r="N1676" s="78"/>
      <c r="O1676" s="78"/>
      <c r="P1676" s="78"/>
      <c r="Q1676" s="78"/>
    </row>
    <row r="1677" spans="1:17" s="87" customFormat="1" ht="12.75">
      <c r="A1677" s="188"/>
      <c r="B1677" s="346"/>
      <c r="C1677" s="484"/>
      <c r="D1677" s="484"/>
      <c r="E1677" s="484"/>
      <c r="F1677" s="484"/>
      <c r="G1677" s="484"/>
      <c r="H1677" s="485"/>
      <c r="J1677" s="201"/>
      <c r="K1677" s="78"/>
      <c r="L1677" s="78"/>
      <c r="M1677" s="78"/>
      <c r="N1677" s="78"/>
      <c r="O1677" s="78"/>
      <c r="P1677" s="78"/>
      <c r="Q1677" s="78"/>
    </row>
    <row r="1678" spans="1:17" s="87" customFormat="1" ht="38.25">
      <c r="A1678" s="188"/>
      <c r="B1678" s="80">
        <v>5213450</v>
      </c>
      <c r="C1678" s="81" t="s">
        <v>7783</v>
      </c>
      <c r="D1678" s="82" t="s">
        <v>84</v>
      </c>
      <c r="E1678" s="82" t="s">
        <v>90</v>
      </c>
      <c r="F1678" s="83"/>
      <c r="G1678" s="84"/>
      <c r="H1678" s="85">
        <f>SUM(H1679:H1684)</f>
        <v>205.3508393240497</v>
      </c>
      <c r="J1678" s="201" t="s">
        <v>13266</v>
      </c>
      <c r="K1678" s="78"/>
      <c r="L1678" s="78"/>
      <c r="M1678" s="78"/>
      <c r="N1678" s="78"/>
      <c r="O1678" s="78"/>
      <c r="P1678" s="78"/>
      <c r="Q1678" s="78"/>
    </row>
    <row r="1679" spans="1:17" s="87" customFormat="1" ht="25.5">
      <c r="A1679" s="232" t="s">
        <v>4542</v>
      </c>
      <c r="B1679" s="464" t="s">
        <v>9567</v>
      </c>
      <c r="C1679" s="451" t="str">
        <f>IF(A1679="SERVIÇO",VLOOKUP(B1679,SERVIÇOS!$A$6:$D$7645,2,0),IF(A1679="INSUMO",VLOOKUP(B1679,INSUMOS!$A$6:$D$6961,2,0),IF(A1679="COTAÇÃO",VLOOKUP(B1679,'036-20-Cotação'!$A$9:$G$529,2,0))))</f>
        <v>CAMINHÃO CARROCERIA COM CAPACIDADE DE 5 T - 115 KW</v>
      </c>
      <c r="D1679" s="452" t="str">
        <f>IF(A1679="SERVIÇO",VLOOKUP(B1679,SERVIÇOS!$A$6:$E$7645,5,0),IF(A1679="INSUMO",VLOOKUP(B1679,INSUMOS!$A$6:$E$6961,5,0),IF(A1679="COTAÇÃO",VLOOKUP(B1679,'036-20-Cotação'!$A$9:$H$529,8,0))))</f>
        <v>EQUIP.</v>
      </c>
      <c r="E1679" s="452" t="str">
        <f>IF(A1679="SERVIÇO",VLOOKUP(B1679,SERVIÇOS!$A$6:$D$7645,3,0),IF(A1679="INSUMO",VLOOKUP(B1679,INSUMOS!$A$6:$D$6961,3,0),IF(A1679="COTAÇÃO",VLOOKUP(B1679,'036-20-Cotação'!$A$9:$G$529,4,0))))</f>
        <v>CHP</v>
      </c>
      <c r="F1679" s="462">
        <f>0.3/3</f>
        <v>9.9999999999999992E-2</v>
      </c>
      <c r="G1679" s="453">
        <f>IF(A1679="SERVIÇO",VLOOKUP(B1679,SERVIÇOS!$A$6:$D$7645,4,0),IF(A1679="INSUMO",VLOOKUP(B1679,INSUMOS!$A$6:$D$6961,4,0),IF(A1679="COTAÇÃO",VLOOKUP(B1679,'036-20-Cotação'!$A$9:$G$529,3,0))))</f>
        <v>87.3249</v>
      </c>
      <c r="H1679" s="463">
        <f t="shared" ref="H1679:H1684" si="298">G1679*F1679</f>
        <v>8.7324899999999985</v>
      </c>
      <c r="J1679" s="201"/>
    </row>
    <row r="1680" spans="1:17" s="87" customFormat="1" ht="25.5">
      <c r="A1680" s="232" t="s">
        <v>4542</v>
      </c>
      <c r="B1680" s="464" t="s">
        <v>10052</v>
      </c>
      <c r="C1680" s="451" t="str">
        <f>IF(A1680="SERVIÇO",VLOOKUP(B1680,SERVIÇOS!$A$6:$D$7645,2,0),IF(A1680="INSUMO",VLOOKUP(B1680,INSUMOS!$A$6:$D$6961,2,0),IF(A1680="COTAÇÃO",VLOOKUP(B1680,'036-20-Cotação'!$A$9:$G$529,2,0))))</f>
        <v>CAMINHÃO CARROCERIA COM CAPACIDADE DE 5 T - 115 KW</v>
      </c>
      <c r="D1680" s="452" t="str">
        <f>IF(A1680="SERVIÇO",VLOOKUP(B1680,SERVIÇOS!$A$6:$E$7645,5,0),IF(A1680="INSUMO",VLOOKUP(B1680,INSUMOS!$A$6:$E$6961,5,0),IF(A1680="COTAÇÃO",VLOOKUP(B1680,'036-20-Cotação'!$A$9:$H$529,8,0))))</f>
        <v>EQUIP.</v>
      </c>
      <c r="E1680" s="452" t="str">
        <f>IF(A1680="SERVIÇO",VLOOKUP(B1680,SERVIÇOS!$A$6:$D$7645,3,0),IF(A1680="INSUMO",VLOOKUP(B1680,INSUMOS!$A$6:$D$6961,3,0),IF(A1680="COTAÇÃO",VLOOKUP(B1680,'036-20-Cotação'!$A$9:$G$529,4,0))))</f>
        <v>CHI</v>
      </c>
      <c r="F1680" s="462">
        <f>0.7/3</f>
        <v>0.23333333333333331</v>
      </c>
      <c r="G1680" s="453">
        <f>IF(A1680="SERVIÇO",VLOOKUP(B1680,SERVIÇOS!$A$6:$D$7645,4,0),IF(A1680="INSUMO",VLOOKUP(B1680,INSUMOS!$A$6:$D$6961,4,0),IF(A1680="COTAÇÃO",VLOOKUP(B1680,'036-20-Cotação'!$A$9:$G$529,3,0))))</f>
        <v>33.813400000000001</v>
      </c>
      <c r="H1680" s="463">
        <f t="shared" si="298"/>
        <v>7.8897933333333325</v>
      </c>
      <c r="J1680" s="201"/>
    </row>
    <row r="1681" spans="1:17" s="87" customFormat="1" ht="12.75">
      <c r="A1681" s="232" t="s">
        <v>4542</v>
      </c>
      <c r="B1681" s="464" t="s">
        <v>6601</v>
      </c>
      <c r="C1681" s="451" t="str">
        <f>IF(A1681="SERVIÇO",VLOOKUP(B1681,SERVIÇOS!$A$6:$D$7645,2,0),IF(A1681="INSUMO",VLOOKUP(B1681,INSUMOS!$A$6:$D$6961,2,0),IF(A1681="COTAÇÃO",VLOOKUP(B1681,'036-20-Cotação'!$A$9:$G$529,2,0))))</f>
        <v>MONTADOR</v>
      </c>
      <c r="D1681" s="452" t="str">
        <f>IF(A1681="SERVIÇO",VLOOKUP(B1681,SERVIÇOS!$A$6:$E$7645,5,0),IF(A1681="INSUMO",VLOOKUP(B1681,INSUMOS!$A$6:$E$6961,5,0),IF(A1681="COTAÇÃO",VLOOKUP(B1681,'036-20-Cotação'!$A$9:$H$529,8,0))))</f>
        <v>M.O</v>
      </c>
      <c r="E1681" s="452" t="str">
        <f>IF(A1681="SERVIÇO",VLOOKUP(B1681,SERVIÇOS!$A$6:$D$7645,3,0),IF(A1681="INSUMO",VLOOKUP(B1681,INSUMOS!$A$6:$D$6961,3,0),IF(A1681="COTAÇÃO",VLOOKUP(B1681,'036-20-Cotação'!$A$9:$G$529,4,0))))</f>
        <v>H</v>
      </c>
      <c r="F1681" s="462">
        <f>1/3</f>
        <v>0.33333333333333331</v>
      </c>
      <c r="G1681" s="453">
        <f>IF(A1681="SERVIÇO",VLOOKUP(B1681,SERVIÇOS!$A$6:$D$7645,4,0),IF(A1681="INSUMO",VLOOKUP(B1681,INSUMOS!$A$6:$D$6961,4,0),IF(A1681="COTAÇÃO",VLOOKUP(B1681,'036-20-Cotação'!$A$9:$G$529,3,0))))</f>
        <v>23.4679</v>
      </c>
      <c r="H1681" s="463">
        <f t="shared" si="298"/>
        <v>7.8226333333333331</v>
      </c>
      <c r="J1681" s="201"/>
    </row>
    <row r="1682" spans="1:17" s="87" customFormat="1" ht="12.75">
      <c r="A1682" s="232" t="s">
        <v>4542</v>
      </c>
      <c r="B1682" s="464" t="s">
        <v>6602</v>
      </c>
      <c r="C1682" s="451" t="str">
        <f>IF(A1682="SERVIÇO",VLOOKUP(B1682,SERVIÇOS!$A$6:$D$7645,2,0),IF(A1682="INSUMO",VLOOKUP(B1682,INSUMOS!$A$6:$D$6961,2,0),IF(A1682="COTAÇÃO",VLOOKUP(B1682,'036-20-Cotação'!$A$9:$G$529,2,0))))</f>
        <v>SERVENTE</v>
      </c>
      <c r="D1682" s="452" t="str">
        <f>IF(A1682="SERVIÇO",VLOOKUP(B1682,SERVIÇOS!$A$6:$E$7645,5,0),IF(A1682="INSUMO",VLOOKUP(B1682,INSUMOS!$A$6:$E$6961,5,0),IF(A1682="COTAÇÃO",VLOOKUP(B1682,'036-20-Cotação'!$A$9:$H$529,8,0))))</f>
        <v>M.O</v>
      </c>
      <c r="E1682" s="452" t="str">
        <f>IF(A1682="SERVIÇO",VLOOKUP(B1682,SERVIÇOS!$A$6:$D$7645,3,0),IF(A1682="INSUMO",VLOOKUP(B1682,INSUMOS!$A$6:$D$6961,3,0),IF(A1682="COTAÇÃO",VLOOKUP(B1682,'036-20-Cotação'!$A$9:$G$529,4,0))))</f>
        <v>H</v>
      </c>
      <c r="F1682" s="462">
        <f>2/3</f>
        <v>0.66666666666666663</v>
      </c>
      <c r="G1682" s="453">
        <f>IF(A1682="SERVIÇO",VLOOKUP(B1682,SERVIÇOS!$A$6:$D$7645,4,0),IF(A1682="INSUMO",VLOOKUP(B1682,INSUMOS!$A$6:$D$6961,4,0),IF(A1682="COTAÇÃO",VLOOKUP(B1682,'036-20-Cotação'!$A$9:$G$529,3,0))))</f>
        <v>15.637499999999999</v>
      </c>
      <c r="H1682" s="463">
        <f t="shared" si="298"/>
        <v>10.424999999999999</v>
      </c>
      <c r="J1682" s="201"/>
    </row>
    <row r="1683" spans="1:17" s="87" customFormat="1" ht="38.25">
      <c r="A1683" s="232" t="s">
        <v>4542</v>
      </c>
      <c r="B1683" s="464">
        <v>5213414</v>
      </c>
      <c r="C1683" s="451" t="str">
        <f>'036-20-CCA''s'!$C$328</f>
        <v>CONFECÇÃO DE PLACA EM AÇO Nº 16 GALVANIZADO, COM PELÍCULA RETRORREFLETIVA TIPO I + SI</v>
      </c>
      <c r="D1683" s="452" t="str">
        <f>'036-20-CCA''s'!$D$328</f>
        <v>SER.CG</v>
      </c>
      <c r="E1683" s="452" t="str">
        <f>'036-20-CCA''s'!$E$328</f>
        <v>M2</v>
      </c>
      <c r="F1683" s="462">
        <v>0.43301000000000001</v>
      </c>
      <c r="G1683" s="453">
        <f>'036-20-CCA''s'!$H$328</f>
        <v>393.49797008279313</v>
      </c>
      <c r="H1683" s="463">
        <f t="shared" si="298"/>
        <v>170.38855602555026</v>
      </c>
      <c r="J1683" s="201"/>
    </row>
    <row r="1684" spans="1:17" s="87" customFormat="1" ht="25.5">
      <c r="A1684" s="232" t="s">
        <v>4542</v>
      </c>
      <c r="B1684" s="531" t="s">
        <v>13205</v>
      </c>
      <c r="C1684" s="451" t="str">
        <f>'036-20-CCA''s'!$C$276</f>
        <v>TEMPO FIXO - CAMINHÃO CARROCERIA 5 T - CARGA E DESCARGA MANUAIS</v>
      </c>
      <c r="D1684" s="452" t="str">
        <f>'036-20-CCA''s'!$D$276</f>
        <v>SER.CG</v>
      </c>
      <c r="E1684" s="452" t="str">
        <f>'036-20-CCA''s'!$E$276</f>
        <v>T</v>
      </c>
      <c r="F1684" s="462">
        <v>5.7499999999999999E-3</v>
      </c>
      <c r="G1684" s="453">
        <f>'036-20-CCA''s'!$H$276</f>
        <v>16.063762057877813</v>
      </c>
      <c r="H1684" s="463">
        <f t="shared" si="298"/>
        <v>9.2366631832797419E-2</v>
      </c>
      <c r="J1684" s="201"/>
    </row>
    <row r="1685" spans="1:17" s="87" customFormat="1" ht="12.75">
      <c r="A1685" s="188"/>
      <c r="B1685" s="348" t="s">
        <v>123</v>
      </c>
      <c r="C1685" s="695" t="s">
        <v>13276</v>
      </c>
      <c r="D1685" s="696"/>
      <c r="E1685" s="696"/>
      <c r="F1685" s="696"/>
      <c r="G1685" s="696"/>
      <c r="H1685" s="697"/>
      <c r="J1685" s="201"/>
      <c r="K1685" s="78"/>
      <c r="L1685" s="78"/>
      <c r="M1685" s="78"/>
      <c r="N1685" s="78"/>
      <c r="O1685" s="78"/>
      <c r="P1685" s="78"/>
      <c r="Q1685" s="78"/>
    </row>
    <row r="1686" spans="1:17" s="87" customFormat="1" ht="12.75">
      <c r="A1686" s="188"/>
      <c r="B1686" s="346"/>
      <c r="C1686" s="484"/>
      <c r="D1686" s="484"/>
      <c r="E1686" s="484"/>
      <c r="F1686" s="484"/>
      <c r="G1686" s="484"/>
      <c r="H1686" s="485"/>
      <c r="J1686" s="201"/>
      <c r="K1686" s="78"/>
      <c r="L1686" s="78"/>
      <c r="M1686" s="78"/>
      <c r="N1686" s="78"/>
      <c r="O1686" s="78"/>
      <c r="P1686" s="78"/>
      <c r="Q1686" s="78"/>
    </row>
    <row r="1687" spans="1:17" s="87" customFormat="1" ht="38.25">
      <c r="A1687" s="188"/>
      <c r="B1687" s="80">
        <v>5213833</v>
      </c>
      <c r="C1687" s="81" t="s">
        <v>13282</v>
      </c>
      <c r="D1687" s="82" t="s">
        <v>84</v>
      </c>
      <c r="E1687" s="82" t="s">
        <v>90</v>
      </c>
      <c r="F1687" s="83"/>
      <c r="G1687" s="84"/>
      <c r="H1687" s="85">
        <f>SUM(H1688:H1693)</f>
        <v>103.7000343383089</v>
      </c>
      <c r="J1687" s="201" t="s">
        <v>13277</v>
      </c>
      <c r="K1687" s="78"/>
      <c r="L1687" s="78"/>
      <c r="M1687" s="78"/>
      <c r="N1687" s="78"/>
      <c r="O1687" s="78"/>
      <c r="P1687" s="78"/>
      <c r="Q1687" s="78"/>
    </row>
    <row r="1688" spans="1:17" s="87" customFormat="1" ht="25.5">
      <c r="A1688" s="232" t="s">
        <v>4542</v>
      </c>
      <c r="B1688" s="464" t="s">
        <v>9465</v>
      </c>
      <c r="C1688" s="451" t="str">
        <f>IF(A1688="SERVIÇO",VLOOKUP(B1688,SERVIÇOS!$A$6:$D$7645,2,0),IF(A1688="INSUMO",VLOOKUP(B1688,INSUMOS!$A$6:$D$6961,2,0),IF(A1688="COTAÇÃO",VLOOKUP(B1688,'036-20-Cotação'!$A$9:$G$529,2,0))))</f>
        <v>CAMINHÃO CARROCERIA COM CAPACIDADE DE 9 T - 136 KW</v>
      </c>
      <c r="D1688" s="452" t="str">
        <f>IF(A1688="SERVIÇO",VLOOKUP(B1688,SERVIÇOS!$A$6:$E$7645,5,0),IF(A1688="INSUMO",VLOOKUP(B1688,INSUMOS!$A$6:$E$6961,5,0),IF(A1688="COTAÇÃO",VLOOKUP(B1688,'036-20-Cotação'!$A$9:$H$529,8,0))))</f>
        <v>EQUIP.</v>
      </c>
      <c r="E1688" s="452" t="str">
        <f>IF(A1688="SERVIÇO",VLOOKUP(B1688,SERVIÇOS!$A$6:$D$7645,3,0),IF(A1688="INSUMO",VLOOKUP(B1688,INSUMOS!$A$6:$D$6961,3,0),IF(A1688="COTAÇÃO",VLOOKUP(B1688,'036-20-Cotação'!$A$9:$G$529,4,0))))</f>
        <v>CHP</v>
      </c>
      <c r="F1688" s="462">
        <f>1/10</f>
        <v>0.1</v>
      </c>
      <c r="G1688" s="453">
        <f>IF(A1688="SERVIÇO",VLOOKUP(B1688,SERVIÇOS!$A$6:$D$7645,4,0),IF(A1688="INSUMO",VLOOKUP(B1688,INSUMOS!$A$6:$D$6961,4,0),IF(A1688="COTAÇÃO",VLOOKUP(B1688,'036-20-Cotação'!$A$9:$G$529,3,0))))</f>
        <v>108.48480000000001</v>
      </c>
      <c r="H1688" s="463">
        <f t="shared" ref="H1688:H1693" si="299">G1688*F1688</f>
        <v>10.848480000000002</v>
      </c>
      <c r="J1688" s="201"/>
    </row>
    <row r="1689" spans="1:17" s="87" customFormat="1" ht="25.5">
      <c r="A1689" s="232" t="s">
        <v>4542</v>
      </c>
      <c r="B1689" s="464" t="s">
        <v>9508</v>
      </c>
      <c r="C1689" s="451" t="str">
        <f>IF(A1689="SERVIÇO",VLOOKUP(B1689,SERVIÇOS!$A$6:$D$7645,2,0),IF(A1689="INSUMO",VLOOKUP(B1689,INSUMOS!$A$6:$D$6961,2,0),IF(A1689="COTAÇÃO",VLOOKUP(B1689,'036-20-Cotação'!$A$9:$G$529,2,0))))</f>
        <v>CAMINHÃO TANQUE COM CAPACIDADE DE 6.000 L - 136 KW</v>
      </c>
      <c r="D1689" s="452" t="str">
        <f>IF(A1689="SERVIÇO",VLOOKUP(B1689,SERVIÇOS!$A$6:$E$7645,5,0),IF(A1689="INSUMO",VLOOKUP(B1689,INSUMOS!$A$6:$E$6961,5,0),IF(A1689="COTAÇÃO",VLOOKUP(B1689,'036-20-Cotação'!$A$9:$H$529,8,0))))</f>
        <v>EQUIP.</v>
      </c>
      <c r="E1689" s="452" t="str">
        <f>IF(A1689="SERVIÇO",VLOOKUP(B1689,SERVIÇOS!$A$6:$D$7645,3,0),IF(A1689="INSUMO",VLOOKUP(B1689,INSUMOS!$A$6:$D$6961,3,0),IF(A1689="COTAÇÃO",VLOOKUP(B1689,'036-20-Cotação'!$A$9:$G$529,4,0))))</f>
        <v>CHP</v>
      </c>
      <c r="F1689" s="462">
        <f>0.09/10</f>
        <v>8.9999999999999993E-3</v>
      </c>
      <c r="G1689" s="453">
        <f>IF(A1689="SERVIÇO",VLOOKUP(B1689,SERVIÇOS!$A$6:$D$7645,4,0),IF(A1689="INSUMO",VLOOKUP(B1689,INSUMOS!$A$6:$D$6961,4,0),IF(A1689="COTAÇÃO",VLOOKUP(B1689,'036-20-Cotação'!$A$9:$G$529,3,0))))</f>
        <v>154.3477</v>
      </c>
      <c r="H1689" s="463">
        <f t="shared" si="299"/>
        <v>1.3891293</v>
      </c>
      <c r="J1689" s="201"/>
    </row>
    <row r="1690" spans="1:17" s="87" customFormat="1" ht="25.5">
      <c r="A1690" s="232" t="s">
        <v>4542</v>
      </c>
      <c r="B1690" s="464" t="s">
        <v>10017</v>
      </c>
      <c r="C1690" s="451" t="str">
        <f>IF(A1690="SERVIÇO",VLOOKUP(B1690,SERVIÇOS!$A$6:$D$7645,2,0),IF(A1690="INSUMO",VLOOKUP(B1690,INSUMOS!$A$6:$D$6961,2,0),IF(A1690="COTAÇÃO",VLOOKUP(B1690,'036-20-Cotação'!$A$9:$G$529,2,0))))</f>
        <v>CAMINHÃO TANQUE COM CAPACIDADE DE 6.000 L - 136 KW</v>
      </c>
      <c r="D1690" s="452" t="str">
        <f>IF(A1690="SERVIÇO",VLOOKUP(B1690,SERVIÇOS!$A$6:$E$7645,5,0),IF(A1690="INSUMO",VLOOKUP(B1690,INSUMOS!$A$6:$E$6961,5,0),IF(A1690="COTAÇÃO",VLOOKUP(B1690,'036-20-Cotação'!$A$9:$H$529,8,0))))</f>
        <v>EQUIP.</v>
      </c>
      <c r="E1690" s="452" t="str">
        <f>IF(A1690="SERVIÇO",VLOOKUP(B1690,SERVIÇOS!$A$6:$D$7645,3,0),IF(A1690="INSUMO",VLOOKUP(B1690,INSUMOS!$A$6:$D$6961,3,0),IF(A1690="COTAÇÃO",VLOOKUP(B1690,'036-20-Cotação'!$A$9:$G$529,4,0))))</f>
        <v>CHI</v>
      </c>
      <c r="F1690" s="462">
        <f>0.91/10</f>
        <v>9.0999999999999998E-2</v>
      </c>
      <c r="G1690" s="453">
        <f>IF(A1690="SERVIÇO",VLOOKUP(B1690,SERVIÇOS!$A$6:$D$7645,4,0),IF(A1690="INSUMO",VLOOKUP(B1690,INSUMOS!$A$6:$D$6961,4,0),IF(A1690="COTAÇÃO",VLOOKUP(B1690,'036-20-Cotação'!$A$9:$G$529,3,0))))</f>
        <v>41.9666</v>
      </c>
      <c r="H1690" s="463">
        <f t="shared" ref="H1690" si="300">G1690*F1690</f>
        <v>3.8189606</v>
      </c>
      <c r="J1690" s="201"/>
    </row>
    <row r="1691" spans="1:17" s="87" customFormat="1" ht="12.75">
      <c r="A1691" s="232" t="s">
        <v>4542</v>
      </c>
      <c r="B1691" s="464" t="s">
        <v>6602</v>
      </c>
      <c r="C1691" s="451" t="str">
        <f>IF(A1691="SERVIÇO",VLOOKUP(B1691,SERVIÇOS!$A$6:$D$7645,2,0),IF(A1691="INSUMO",VLOOKUP(B1691,INSUMOS!$A$6:$D$6961,2,0),IF(A1691="COTAÇÃO",VLOOKUP(B1691,'036-20-Cotação'!$A$9:$G$529,2,0))))</f>
        <v>SERVENTE</v>
      </c>
      <c r="D1691" s="452" t="str">
        <f>IF(A1691="SERVIÇO",VLOOKUP(B1691,SERVIÇOS!$A$6:$E$7645,5,0),IF(A1691="INSUMO",VLOOKUP(B1691,INSUMOS!$A$6:$E$6961,5,0),IF(A1691="COTAÇÃO",VLOOKUP(B1691,'036-20-Cotação'!$A$9:$H$529,8,0))))</f>
        <v>M.O</v>
      </c>
      <c r="E1691" s="452" t="str">
        <f>IF(A1691="SERVIÇO",VLOOKUP(B1691,SERVIÇOS!$A$6:$D$7645,3,0),IF(A1691="INSUMO",VLOOKUP(B1691,INSUMOS!$A$6:$D$6961,3,0),IF(A1691="COTAÇÃO",VLOOKUP(B1691,'036-20-Cotação'!$A$9:$G$529,4,0))))</f>
        <v>H</v>
      </c>
      <c r="F1691" s="462">
        <f>2/10</f>
        <v>0.2</v>
      </c>
      <c r="G1691" s="453">
        <f>IF(A1691="SERVIÇO",VLOOKUP(B1691,SERVIÇOS!$A$6:$D$7645,4,0),IF(A1691="INSUMO",VLOOKUP(B1691,INSUMOS!$A$6:$D$6961,4,0),IF(A1691="COTAÇÃO",VLOOKUP(B1691,'036-20-Cotação'!$A$9:$G$529,3,0))))</f>
        <v>15.637499999999999</v>
      </c>
      <c r="H1691" s="463">
        <f t="shared" si="299"/>
        <v>3.1274999999999999</v>
      </c>
      <c r="J1691" s="201"/>
    </row>
    <row r="1692" spans="1:17" s="87" customFormat="1" ht="38.25">
      <c r="A1692" s="232" t="s">
        <v>4544</v>
      </c>
      <c r="B1692" s="464" t="s">
        <v>10124</v>
      </c>
      <c r="C1692" s="451" t="str">
        <f>IF(A1692="SERVIÇO",VLOOKUP(B1692,SERVIÇOS!$A$6:$D$7645,2,0),IF(A1692="INSUMO",VLOOKUP(B1692,INSUMOS!$A$6:$D$6961,2,0),IF(A1692="COTAÇÃO",VLOOKUP(B1692,'036-20-Cotação'!$A$9:$G$529,2,0))))</f>
        <v>BARREIRA PLÁSTICA MONOBLOCO PARA CANALIZAÇÃO DE TRÂNSITO DE 101 X 50 X 55 CM</v>
      </c>
      <c r="D1692" s="452" t="str">
        <f>IF(A1692="SERVIÇO",VLOOKUP(B1692,SERVIÇOS!$A$6:$E$7645,5,0),IF(A1692="INSUMO",VLOOKUP(B1692,INSUMOS!$A$6:$E$6961,5,0),IF(A1692="COTAÇÃO",VLOOKUP(B1692,'036-20-Cotação'!$A$9:$H$529,8,0))))</f>
        <v>MAT.</v>
      </c>
      <c r="E1692" s="452" t="str">
        <f>IF(A1692="SERVIÇO",VLOOKUP(B1692,SERVIÇOS!$A$6:$D$7645,3,0),IF(A1692="INSUMO",VLOOKUP(B1692,INSUMOS!$A$6:$D$6961,3,0),IF(A1692="COTAÇÃO",VLOOKUP(B1692,'036-20-Cotação'!$A$9:$G$529,4,0))))</f>
        <v>UN</v>
      </c>
      <c r="F1692" s="462">
        <v>0.1</v>
      </c>
      <c r="G1692" s="453">
        <f>IF(A1692="SERVIÇO",VLOOKUP(B1692,SERVIÇOS!$A$6:$D$7645,4,0),IF(A1692="INSUMO",VLOOKUP(B1692,INSUMOS!$A$6:$D$6961,4,0),IF(A1692="COTAÇÃO",VLOOKUP(B1692,'036-20-Cotação'!$A$9:$G$529,3,0))))</f>
        <v>845.02</v>
      </c>
      <c r="H1692" s="463">
        <f t="shared" si="299"/>
        <v>84.50200000000001</v>
      </c>
      <c r="J1692" s="201"/>
    </row>
    <row r="1693" spans="1:17" s="87" customFormat="1" ht="25.5">
      <c r="A1693" s="232" t="s">
        <v>4542</v>
      </c>
      <c r="B1693" s="464" t="s">
        <v>13278</v>
      </c>
      <c r="C1693" s="451" t="str">
        <f>'036-20-CCA''s'!$C$372</f>
        <v>TEMPO FIXO - CAMINHÃO CARROCERIA 9 T - CARGA MONOBRA E DESCARGA MANUAL</v>
      </c>
      <c r="D1693" s="452" t="str">
        <f>'036-20-CCA''s'!$D$372</f>
        <v>SER.CG</v>
      </c>
      <c r="E1693" s="452" t="str">
        <f>'036-20-CCA''s'!$E$372</f>
        <v>T</v>
      </c>
      <c r="F1693" s="462">
        <v>8.0000000000000004E-4</v>
      </c>
      <c r="G1693" s="453">
        <f>'036-20-CCA''s'!$H$372</f>
        <v>17.455547886108718</v>
      </c>
      <c r="H1693" s="463">
        <f t="shared" si="299"/>
        <v>1.3964438308886976E-2</v>
      </c>
      <c r="J1693" s="201"/>
    </row>
    <row r="1694" spans="1:17" s="87" customFormat="1" ht="12.75">
      <c r="A1694" s="188"/>
      <c r="B1694" s="348" t="s">
        <v>123</v>
      </c>
      <c r="C1694" s="695" t="s">
        <v>13281</v>
      </c>
      <c r="D1694" s="696"/>
      <c r="E1694" s="696"/>
      <c r="F1694" s="696"/>
      <c r="G1694" s="696"/>
      <c r="H1694" s="697"/>
      <c r="J1694" s="201"/>
      <c r="K1694" s="78"/>
      <c r="L1694" s="78"/>
      <c r="M1694" s="78"/>
      <c r="N1694" s="78"/>
      <c r="O1694" s="78"/>
      <c r="P1694" s="78"/>
      <c r="Q1694" s="78"/>
    </row>
    <row r="1695" spans="1:17" s="78" customFormat="1" ht="12.75">
      <c r="A1695" s="188"/>
      <c r="B1695" s="346"/>
      <c r="C1695" s="347"/>
      <c r="D1695" s="347"/>
      <c r="E1695" s="347"/>
      <c r="F1695" s="347"/>
      <c r="G1695" s="347"/>
      <c r="H1695" s="347"/>
      <c r="J1695" s="79"/>
      <c r="K1695" s="87"/>
      <c r="L1695" s="87"/>
      <c r="M1695" s="87"/>
      <c r="N1695" s="87"/>
      <c r="O1695" s="87"/>
      <c r="P1695" s="87"/>
      <c r="Q1695" s="87"/>
    </row>
    <row r="1696" spans="1:17" s="78" customFormat="1" ht="12.75">
      <c r="A1696" s="188"/>
      <c r="B1696" s="80">
        <v>4915672</v>
      </c>
      <c r="C1696" s="81" t="s">
        <v>7784</v>
      </c>
      <c r="D1696" s="82" t="s">
        <v>84</v>
      </c>
      <c r="E1696" s="82" t="s">
        <v>5</v>
      </c>
      <c r="F1696" s="83"/>
      <c r="G1696" s="84"/>
      <c r="H1696" s="85">
        <f>SUM(H1697:H1697)</f>
        <v>3.1274999999999999</v>
      </c>
      <c r="J1696" s="201" t="s">
        <v>13284</v>
      </c>
      <c r="K1696" s="87"/>
      <c r="L1696" s="87"/>
      <c r="M1696" s="87"/>
      <c r="N1696" s="87"/>
      <c r="O1696" s="87"/>
      <c r="P1696" s="87"/>
      <c r="Q1696" s="87"/>
    </row>
    <row r="1697" spans="1:17" s="87" customFormat="1" ht="12.75">
      <c r="A1697" s="232" t="s">
        <v>4542</v>
      </c>
      <c r="B1697" s="464" t="s">
        <v>6602</v>
      </c>
      <c r="C1697" s="451" t="str">
        <f>IF(A1697="SERVIÇO",VLOOKUP(B1697,SERVIÇOS!$A$6:$D$7645,2,0),IF(A1697="INSUMO",VLOOKUP(B1697,INSUMOS!$A$6:$D$6961,2,0),IF(A1697="COTAÇÃO",VLOOKUP(B1697,'036-20-Cotação'!$A$9:$G$529,2,0))))</f>
        <v>SERVENTE</v>
      </c>
      <c r="D1697" s="452" t="str">
        <f>IF(A1697="SERVIÇO",VLOOKUP(B1697,SERVIÇOS!$A$6:$E$7645,5,0),IF(A1697="INSUMO",VLOOKUP(B1697,INSUMOS!$A$6:$E$6961,5,0),IF(A1697="COTAÇÃO",VLOOKUP(B1697,'036-20-Cotação'!$A$9:$H$529,8,0))))</f>
        <v>M.O</v>
      </c>
      <c r="E1697" s="452" t="str">
        <f>IF(A1697="SERVIÇO",VLOOKUP(B1697,SERVIÇOS!$A$6:$D$7645,3,0),IF(A1697="INSUMO",VLOOKUP(B1697,INSUMOS!$A$6:$D$6961,3,0),IF(A1697="COTAÇÃO",VLOOKUP(B1697,'036-20-Cotação'!$A$9:$G$529,4,0))))</f>
        <v>H</v>
      </c>
      <c r="F1697" s="462">
        <f>4/20</f>
        <v>0.2</v>
      </c>
      <c r="G1697" s="453">
        <f>IF(A1697="SERVIÇO",VLOOKUP(B1697,SERVIÇOS!$A$6:$D$7645,4,0),IF(A1697="INSUMO",VLOOKUP(B1697,INSUMOS!$A$6:$D$6961,4,0),IF(A1697="COTAÇÃO",VLOOKUP(B1697,'036-20-Cotação'!$A$9:$G$529,3,0))))</f>
        <v>15.637499999999999</v>
      </c>
      <c r="H1697" s="463">
        <f t="shared" ref="H1697" si="301">G1697*F1697</f>
        <v>3.1274999999999999</v>
      </c>
      <c r="J1697" s="201"/>
    </row>
    <row r="1698" spans="1:17" s="87" customFormat="1" ht="12.75">
      <c r="A1698" s="188"/>
      <c r="B1698" s="348" t="s">
        <v>123</v>
      </c>
      <c r="C1698" s="695" t="s">
        <v>13283</v>
      </c>
      <c r="D1698" s="696"/>
      <c r="E1698" s="696"/>
      <c r="F1698" s="696"/>
      <c r="G1698" s="696"/>
      <c r="H1698" s="697"/>
      <c r="J1698" s="201"/>
    </row>
    <row r="1699" spans="1:17" s="87" customFormat="1" ht="12.75">
      <c r="A1699" s="188"/>
      <c r="B1699" s="346"/>
      <c r="C1699" s="484"/>
      <c r="D1699" s="484"/>
      <c r="E1699" s="484"/>
      <c r="F1699" s="484"/>
      <c r="G1699" s="484"/>
      <c r="H1699" s="485"/>
      <c r="J1699" s="201"/>
      <c r="K1699" s="78"/>
      <c r="L1699" s="78"/>
      <c r="M1699" s="78"/>
      <c r="N1699" s="78"/>
      <c r="O1699" s="78"/>
      <c r="P1699" s="78"/>
      <c r="Q1699" s="78"/>
    </row>
    <row r="1700" spans="1:17" s="78" customFormat="1" ht="12.75">
      <c r="A1700" s="188"/>
      <c r="B1700" s="80">
        <v>919210</v>
      </c>
      <c r="C1700" s="81" t="s">
        <v>6416</v>
      </c>
      <c r="D1700" s="82" t="s">
        <v>84</v>
      </c>
      <c r="E1700" s="82" t="s">
        <v>90</v>
      </c>
      <c r="F1700" s="83"/>
      <c r="G1700" s="84"/>
      <c r="H1700" s="85">
        <f>SUM(H1701:H1706)</f>
        <v>15738.202263675117</v>
      </c>
      <c r="J1700" s="201"/>
      <c r="K1700" s="87"/>
      <c r="L1700" s="87"/>
      <c r="M1700" s="87"/>
      <c r="N1700" s="87"/>
      <c r="O1700" s="87"/>
      <c r="P1700" s="87"/>
      <c r="Q1700" s="87"/>
    </row>
    <row r="1701" spans="1:17" s="87" customFormat="1" ht="38.25">
      <c r="A1701" s="232" t="s">
        <v>4542</v>
      </c>
      <c r="B1701" s="464">
        <v>1106057</v>
      </c>
      <c r="C1701" s="451" t="str">
        <f>'036-20-CCA''s'!$C$377</f>
        <v>CONCRETO MAGRO - CONFECÇÃO EM BETONEIRA E LANÇAMENTO MANUAL - AREIA E BRITA COMERCIAIS</v>
      </c>
      <c r="D1701" s="452" t="str">
        <f>'036-20-CCA''s'!$D$377</f>
        <v>SER.CG</v>
      </c>
      <c r="E1701" s="452" t="str">
        <f>'036-20-CCA''s'!$E$377</f>
        <v>M3</v>
      </c>
      <c r="F1701" s="462">
        <v>26.193280000000001</v>
      </c>
      <c r="G1701" s="453">
        <f>'036-20-CCA''s'!$H$377</f>
        <v>316.12348536110147</v>
      </c>
      <c r="H1701" s="463">
        <f t="shared" ref="H1701:H1705" si="302">G1701*F1701</f>
        <v>8280.310966639232</v>
      </c>
      <c r="J1701" s="201"/>
    </row>
    <row r="1702" spans="1:17" s="87" customFormat="1" ht="51">
      <c r="A1702" s="232" t="s">
        <v>4542</v>
      </c>
      <c r="B1702" s="464">
        <v>1619003</v>
      </c>
      <c r="C1702" s="451" t="str">
        <f>'036-20-CCA''s'!$C$392</f>
        <v>DEMOLIÇÃO MECÂNICA DE CONCRETO ARMADO, COM ESCAVADEIRA HIDRÁULICA COM MARTELO HIDRÁULICO - SEM REAPROVEITAMENTO</v>
      </c>
      <c r="D1702" s="452" t="str">
        <f>'036-20-CCA''s'!$D$392</f>
        <v>SER.CG</v>
      </c>
      <c r="E1702" s="452" t="str">
        <f>'036-20-CCA''s'!$E$392</f>
        <v>M3</v>
      </c>
      <c r="F1702" s="462">
        <v>26.193280000000001</v>
      </c>
      <c r="G1702" s="453">
        <f>'036-20-CCA''s'!$H$392</f>
        <v>85.160509559862462</v>
      </c>
      <c r="H1702" s="463">
        <f t="shared" si="302"/>
        <v>2230.6330718441545</v>
      </c>
      <c r="J1702" s="201"/>
    </row>
    <row r="1703" spans="1:17" s="87" customFormat="1" ht="25.5">
      <c r="A1703" s="232" t="s">
        <v>4542</v>
      </c>
      <c r="B1703" s="464">
        <v>4805751</v>
      </c>
      <c r="C1703" s="451" t="str">
        <f>'036-20-CCA''s'!$C$404</f>
        <v>ESCAVAÇÃO MANUAL EM MATERIAL DE 1ª CATEGORIA NA PROFUNDIDADE ATÉ 2M</v>
      </c>
      <c r="D1703" s="452" t="str">
        <f>'036-20-CCA''s'!$D$404</f>
        <v>SER.CG</v>
      </c>
      <c r="E1703" s="452" t="str">
        <f>'036-20-CCA''s'!$E$404</f>
        <v>M3</v>
      </c>
      <c r="F1703" s="462">
        <v>7.5271100000000004</v>
      </c>
      <c r="G1703" s="453">
        <f>'036-20-CCA''s'!$H$404</f>
        <v>39.969450000000002</v>
      </c>
      <c r="H1703" s="463">
        <f t="shared" si="302"/>
        <v>300.8544467895</v>
      </c>
      <c r="J1703" s="201"/>
    </row>
    <row r="1704" spans="1:17" s="87" customFormat="1" ht="38.25">
      <c r="A1704" s="232" t="s">
        <v>4542</v>
      </c>
      <c r="B1704" s="464">
        <v>3107997</v>
      </c>
      <c r="C1704" s="451" t="str">
        <f>'036-20-CCA''s'!$C$409</f>
        <v>FORMAS DE COMPENSADO RESINADO 10 MM - USO GERAL - UTILIZAÇÃO DE 3 VEZES - CONFECÇÃO, ENTALAÇÃO E RETIRADA</v>
      </c>
      <c r="D1704" s="452" t="str">
        <f>'036-20-CCA''s'!$D$409</f>
        <v>SER.CG</v>
      </c>
      <c r="E1704" s="452" t="str">
        <f>'036-20-CCA''s'!$E$409</f>
        <v>M2</v>
      </c>
      <c r="F1704" s="462">
        <v>56.017800000000001</v>
      </c>
      <c r="G1704" s="453">
        <f>'036-20-CCA''s'!$H$409</f>
        <v>61.214332088580534</v>
      </c>
      <c r="H1704" s="463">
        <f t="shared" si="302"/>
        <v>3429.0922120716868</v>
      </c>
      <c r="J1704" s="201"/>
    </row>
    <row r="1705" spans="1:17" s="87" customFormat="1" ht="25.5">
      <c r="A1705" s="232" t="s">
        <v>4542</v>
      </c>
      <c r="B1705" s="464">
        <v>4915671</v>
      </c>
      <c r="C1705" s="451" t="str">
        <f>'036-20-CCA''s'!$C$424</f>
        <v>REATERRO E COMPACTAÇÃO COM SOQUETE VIBRATÓRIO</v>
      </c>
      <c r="D1705" s="452" t="str">
        <f>'036-20-CCA''s'!$D$424</f>
        <v>SER.CG</v>
      </c>
      <c r="E1705" s="452" t="str">
        <f>'036-20-CCA''s'!$E$424</f>
        <v>M3</v>
      </c>
      <c r="F1705" s="462">
        <v>4.8544999999999998</v>
      </c>
      <c r="G1705" s="453">
        <f>'036-20-CCA''s'!$H$424</f>
        <v>13.712206405693951</v>
      </c>
      <c r="H1705" s="463">
        <f t="shared" si="302"/>
        <v>66.565905996441288</v>
      </c>
      <c r="J1705" s="201"/>
    </row>
    <row r="1706" spans="1:17" s="87" customFormat="1" ht="38.25">
      <c r="A1706" s="232" t="s">
        <v>4542</v>
      </c>
      <c r="B1706" s="464" t="s">
        <v>13305</v>
      </c>
      <c r="C1706" s="451" t="str">
        <f>IF(A1706="SERVIÇO",VLOOKUP(B1706,SERVIÇOS!$A$6:$D$7645,2,0),IF(A1706="INSUMO",VLOOKUP(B1706,INSUMOS!$A$6:$D$6961,2,0),IF(A1706="COTAÇÃO",VLOOKUP(B1706,'036-20-Cotação'!$A$9:$G$529,2,0))))</f>
        <v>INSTALAÇÕES HIDRÁULICAS, HIDRO-SANITÁRIAS,PLUVIAIS, ELÉTRICAS E TELEFÔNICAS (10%)</v>
      </c>
      <c r="D1706" s="452" t="str">
        <f>IF(A1706="SERVIÇO",VLOOKUP(B1706,SERVIÇOS!$A$6:$E$7645,5,0),IF(A1706="INSUMO",VLOOKUP(B1706,INSUMOS!$A$6:$E$6961,5,0),IF(A1706="COTAÇÃO",VLOOKUP(B1706,'036-20-Cotação'!$A$9:$H$529,8,0))))</f>
        <v>SER.CG</v>
      </c>
      <c r="E1706" s="452" t="str">
        <f>IF(A1706="SERVIÇO",VLOOKUP(B1706,SERVIÇOS!$A$6:$D$7645,3,0),IF(A1706="INSUMO",VLOOKUP(B1706,INSUMOS!$A$6:$D$6961,3,0),IF(A1706="COTAÇÃO",VLOOKUP(B1706,'036-20-Cotação'!$A$9:$G$529,4,0))))</f>
        <v>%</v>
      </c>
      <c r="F1706" s="462">
        <v>1</v>
      </c>
      <c r="G1706" s="453">
        <f>SUM(H1701:H1705)*0.1</f>
        <v>1430.7456603341016</v>
      </c>
      <c r="H1706" s="463">
        <f>G1706*F1706</f>
        <v>1430.7456603341016</v>
      </c>
      <c r="J1706" s="201"/>
    </row>
    <row r="1707" spans="1:17" s="87" customFormat="1" ht="12.75">
      <c r="A1707" s="188"/>
      <c r="B1707" s="348" t="s">
        <v>123</v>
      </c>
      <c r="C1707" s="695" t="s">
        <v>13286</v>
      </c>
      <c r="D1707" s="696"/>
      <c r="E1707" s="696"/>
      <c r="F1707" s="696"/>
      <c r="G1707" s="696"/>
      <c r="H1707" s="697"/>
      <c r="J1707" s="201"/>
      <c r="K1707" s="78"/>
      <c r="L1707" s="78"/>
      <c r="M1707" s="78"/>
      <c r="N1707" s="78"/>
      <c r="O1707" s="78"/>
      <c r="P1707" s="78"/>
      <c r="Q1707" s="78"/>
    </row>
    <row r="1708" spans="1:17" s="87" customFormat="1" ht="12.75">
      <c r="A1708" s="188"/>
      <c r="B1708" s="346"/>
      <c r="C1708" s="484"/>
      <c r="D1708" s="484"/>
      <c r="E1708" s="484"/>
      <c r="F1708" s="484"/>
      <c r="G1708" s="484"/>
      <c r="H1708" s="485"/>
      <c r="J1708" s="201"/>
      <c r="K1708" s="78"/>
      <c r="L1708" s="78"/>
      <c r="M1708" s="78"/>
      <c r="N1708" s="78"/>
      <c r="O1708" s="78"/>
      <c r="P1708" s="78"/>
      <c r="Q1708" s="78"/>
    </row>
    <row r="1709" spans="1:17" s="87" customFormat="1" ht="51">
      <c r="A1709" s="188"/>
      <c r="B1709" s="80">
        <v>5501700</v>
      </c>
      <c r="C1709" s="81" t="s">
        <v>6549</v>
      </c>
      <c r="D1709" s="82" t="s">
        <v>84</v>
      </c>
      <c r="E1709" s="82" t="s">
        <v>150</v>
      </c>
      <c r="F1709" s="83"/>
      <c r="G1709" s="84"/>
      <c r="H1709" s="85">
        <f>SUM(H1710:H1712)</f>
        <v>0.36745057415870386</v>
      </c>
      <c r="J1709" s="201" t="s">
        <v>13306</v>
      </c>
      <c r="K1709" s="78"/>
      <c r="L1709" s="78"/>
      <c r="M1709" s="78"/>
      <c r="N1709" s="78"/>
      <c r="O1709" s="78"/>
      <c r="P1709" s="78"/>
      <c r="Q1709" s="78"/>
    </row>
    <row r="1710" spans="1:17" s="87" customFormat="1" ht="12.75">
      <c r="A1710" s="232" t="s">
        <v>4542</v>
      </c>
      <c r="B1710" s="464" t="s">
        <v>9039</v>
      </c>
      <c r="C1710" s="451" t="str">
        <f>IF(A1710="SERVIÇO",VLOOKUP(B1710,SERVIÇOS!$A$6:$D$7645,2,0),IF(A1710="INSUMO",VLOOKUP(B1710,INSUMOS!$A$6:$D$6961,2,0),IF(A1710="COTAÇÃO",VLOOKUP(B1710,'036-20-Cotação'!$A$9:$G$529,2,0))))</f>
        <v>TRATOR DE ESTEIRAS COM LÂMINA - 259 KW</v>
      </c>
      <c r="D1710" s="452" t="str">
        <f>IF(A1710="SERVIÇO",VLOOKUP(B1710,SERVIÇOS!$A$6:$E$7645,5,0),IF(A1710="INSUMO",VLOOKUP(B1710,INSUMOS!$A$6:$E$6961,5,0),IF(A1710="COTAÇÃO",VLOOKUP(B1710,'036-20-Cotação'!$A$9:$H$529,8,0))))</f>
        <v>EQUIP.</v>
      </c>
      <c r="E1710" s="452" t="str">
        <f>IF(A1710="SERVIÇO",VLOOKUP(B1710,SERVIÇOS!$A$6:$D$7645,3,0),IF(A1710="INSUMO",VLOOKUP(B1710,INSUMOS!$A$6:$D$6961,3,0),IF(A1710="COTAÇÃO",VLOOKUP(B1710,'036-20-Cotação'!$A$9:$G$529,4,0))))</f>
        <v>CHP</v>
      </c>
      <c r="F1710" s="462">
        <f>1/1155.36</f>
        <v>8.6553108987674841E-4</v>
      </c>
      <c r="G1710" s="453">
        <f>IF(A1710="SERVIÇO",VLOOKUP(B1710,SERVIÇOS!$A$6:$D$7645,4,0),IF(A1710="INSUMO",VLOOKUP(B1710,INSUMOS!$A$6:$D$6961,4,0),IF(A1710="COTAÇÃO",VLOOKUP(B1710,'036-20-Cotação'!$A$9:$G$529,3,0))))</f>
        <v>383.96140000000003</v>
      </c>
      <c r="H1710" s="463">
        <f t="shared" ref="H1710:H1712" si="303">G1710*F1710</f>
        <v>0.33233052901260218</v>
      </c>
      <c r="J1710" s="201"/>
    </row>
    <row r="1711" spans="1:17" s="87" customFormat="1" ht="12.75">
      <c r="A1711" s="232" t="s">
        <v>4542</v>
      </c>
      <c r="B1711" s="464" t="s">
        <v>6602</v>
      </c>
      <c r="C1711" s="451" t="str">
        <f>IF(A1711="SERVIÇO",VLOOKUP(B1711,SERVIÇOS!$A$6:$D$7645,2,0),IF(A1711="INSUMO",VLOOKUP(B1711,INSUMOS!$A$6:$D$6961,2,0),IF(A1711="COTAÇÃO",VLOOKUP(B1711,'036-20-Cotação'!$A$9:$G$529,2,0))))</f>
        <v>SERVENTE</v>
      </c>
      <c r="D1711" s="452" t="str">
        <f>IF(A1711="SERVIÇO",VLOOKUP(B1711,SERVIÇOS!$A$6:$E$7645,5,0),IF(A1711="INSUMO",VLOOKUP(B1711,INSUMOS!$A$6:$E$6961,5,0),IF(A1711="COTAÇÃO",VLOOKUP(B1711,'036-20-Cotação'!$A$9:$H$529,8,0))))</f>
        <v>M.O</v>
      </c>
      <c r="E1711" s="452" t="str">
        <f>IF(A1711="SERVIÇO",VLOOKUP(B1711,SERVIÇOS!$A$6:$D$7645,3,0),IF(A1711="INSUMO",VLOOKUP(B1711,INSUMOS!$A$6:$D$6961,3,0),IF(A1711="COTAÇÃO",VLOOKUP(B1711,'036-20-Cotação'!$A$9:$G$529,4,0))))</f>
        <v>H</v>
      </c>
      <c r="F1711" s="462">
        <f>2/1155.36</f>
        <v>1.7310621797534968E-3</v>
      </c>
      <c r="G1711" s="453">
        <f>IF(A1711="SERVIÇO",VLOOKUP(B1711,SERVIÇOS!$A$6:$D$7645,4,0),IF(A1711="INSUMO",VLOOKUP(B1711,INSUMOS!$A$6:$D$6961,4,0),IF(A1711="COTAÇÃO",VLOOKUP(B1711,'036-20-Cotação'!$A$9:$G$529,3,0))))</f>
        <v>15.637499999999999</v>
      </c>
      <c r="H1711" s="463">
        <f t="shared" si="303"/>
        <v>2.7069484835895306E-2</v>
      </c>
      <c r="J1711" s="201"/>
    </row>
    <row r="1712" spans="1:17" s="87" customFormat="1" ht="12.75">
      <c r="A1712" s="232" t="s">
        <v>4542</v>
      </c>
      <c r="B1712" s="464" t="s">
        <v>13130</v>
      </c>
      <c r="C1712" s="451" t="s">
        <v>13131</v>
      </c>
      <c r="D1712" s="452"/>
      <c r="E1712" s="452"/>
      <c r="F1712" s="462">
        <v>2.24E-2</v>
      </c>
      <c r="G1712" s="453">
        <f>SUM(H1710:H1711)</f>
        <v>0.35940001384849751</v>
      </c>
      <c r="H1712" s="463">
        <f t="shared" si="303"/>
        <v>8.050560310206345E-3</v>
      </c>
      <c r="J1712" s="201"/>
    </row>
    <row r="1713" spans="1:17" s="87" customFormat="1" ht="12.75">
      <c r="A1713" s="188"/>
      <c r="B1713" s="348" t="s">
        <v>123</v>
      </c>
      <c r="C1713" s="695" t="s">
        <v>13307</v>
      </c>
      <c r="D1713" s="696"/>
      <c r="E1713" s="696"/>
      <c r="F1713" s="696"/>
      <c r="G1713" s="696"/>
      <c r="H1713" s="697"/>
      <c r="J1713" s="201"/>
      <c r="K1713" s="78"/>
      <c r="L1713" s="78"/>
      <c r="M1713" s="78"/>
      <c r="N1713" s="78"/>
      <c r="O1713" s="78"/>
      <c r="P1713" s="78"/>
      <c r="Q1713" s="78"/>
    </row>
    <row r="1714" spans="1:17" s="87" customFormat="1" ht="12.75">
      <c r="A1714" s="188"/>
      <c r="B1714" s="346"/>
      <c r="C1714" s="484"/>
      <c r="D1714" s="484"/>
      <c r="E1714" s="484"/>
      <c r="F1714" s="484"/>
      <c r="G1714" s="484"/>
      <c r="H1714" s="485"/>
      <c r="J1714" s="201"/>
      <c r="K1714" s="78"/>
      <c r="L1714" s="78"/>
      <c r="M1714" s="78"/>
      <c r="N1714" s="78"/>
      <c r="O1714" s="78"/>
      <c r="P1714" s="78"/>
      <c r="Q1714" s="78"/>
    </row>
    <row r="1715" spans="1:17" s="87" customFormat="1" ht="63.75">
      <c r="A1715" s="188"/>
      <c r="B1715" s="80">
        <v>5502110</v>
      </c>
      <c r="C1715" s="81" t="s">
        <v>6550</v>
      </c>
      <c r="D1715" s="82" t="s">
        <v>84</v>
      </c>
      <c r="E1715" s="82" t="s">
        <v>172</v>
      </c>
      <c r="F1715" s="83"/>
      <c r="G1715" s="84"/>
      <c r="H1715" s="85">
        <f>SUM(H1716:H1720)</f>
        <v>3.5883361223150949</v>
      </c>
      <c r="J1715" s="201" t="s">
        <v>13308</v>
      </c>
      <c r="K1715" s="78"/>
      <c r="L1715" s="78"/>
      <c r="M1715" s="78"/>
      <c r="N1715" s="78"/>
      <c r="O1715" s="78"/>
      <c r="P1715" s="78"/>
      <c r="Q1715" s="78"/>
    </row>
    <row r="1716" spans="1:17" s="87" customFormat="1" ht="25.5">
      <c r="A1716" s="232" t="s">
        <v>4542</v>
      </c>
      <c r="B1716" s="464" t="s">
        <v>9539</v>
      </c>
      <c r="C1716" s="451" t="str">
        <f>IF(A1716="SERVIÇO",VLOOKUP(B1716,SERVIÇOS!$A$6:$D$7645,2,0),IF(A1716="INSUMO",VLOOKUP(B1716,INSUMOS!$A$6:$D$6961,2,0),IF(A1716="COTAÇÃO",VLOOKUP(B1716,'036-20-Cotação'!$A$9:$G$529,2,0))))</f>
        <v>CAMINHÃO BASCULANTE COM CAPACIDADE DE 14 M³ - 188 KW</v>
      </c>
      <c r="D1716" s="452" t="str">
        <f>IF(A1716="SERVIÇO",VLOOKUP(B1716,SERVIÇOS!$A$6:$E$7645,5,0),IF(A1716="INSUMO",VLOOKUP(B1716,INSUMOS!$A$6:$E$6961,5,0),IF(A1716="COTAÇÃO",VLOOKUP(B1716,'036-20-Cotação'!$A$9:$H$529,8,0))))</f>
        <v>EQUIP.</v>
      </c>
      <c r="E1716" s="452" t="str">
        <f>IF(A1716="SERVIÇO",VLOOKUP(B1716,SERVIÇOS!$A$6:$D$7645,3,0),IF(A1716="INSUMO",VLOOKUP(B1716,INSUMOS!$A$6:$D$6961,3,0),IF(A1716="COTAÇÃO",VLOOKUP(B1716,'036-20-Cotação'!$A$9:$G$529,4,0))))</f>
        <v>CHP</v>
      </c>
      <c r="F1716" s="462">
        <f>0.85/221.33*4</f>
        <v>1.5361677133691772E-2</v>
      </c>
      <c r="G1716" s="453">
        <f>IF(A1716="SERVIÇO",VLOOKUP(B1716,SERVIÇOS!$A$6:$D$7645,4,0),IF(A1716="INSUMO",VLOOKUP(B1716,INSUMOS!$A$6:$D$6961,4,0),IF(A1716="COTAÇÃO",VLOOKUP(B1716,'036-20-Cotação'!$A$9:$G$529,3,0))))</f>
        <v>161.1454</v>
      </c>
      <c r="H1716" s="463">
        <f t="shared" ref="H1716" si="304">G1716*F1716</f>
        <v>2.475463606379614</v>
      </c>
      <c r="J1716" s="201"/>
    </row>
    <row r="1717" spans="1:17" s="87" customFormat="1" ht="25.5">
      <c r="A1717" s="232" t="s">
        <v>4542</v>
      </c>
      <c r="B1717" s="464" t="s">
        <v>10035</v>
      </c>
      <c r="C1717" s="451" t="str">
        <f>IF(A1717="SERVIÇO",VLOOKUP(B1717,SERVIÇOS!$A$6:$D$7645,2,0),IF(A1717="INSUMO",VLOOKUP(B1717,INSUMOS!$A$6:$D$6961,2,0),IF(A1717="COTAÇÃO",VLOOKUP(B1717,'036-20-Cotação'!$A$9:$G$529,2,0))))</f>
        <v>CAMINHÃO BASCULANTE COM CAPACIDADE DE 14 M³ - 188 KW</v>
      </c>
      <c r="D1717" s="452" t="str">
        <f>IF(A1717="SERVIÇO",VLOOKUP(B1717,SERVIÇOS!$A$6:$E$7645,5,0),IF(A1717="INSUMO",VLOOKUP(B1717,INSUMOS!$A$6:$E$6961,5,0),IF(A1717="COTAÇÃO",VLOOKUP(B1717,'036-20-Cotação'!$A$9:$H$529,8,0))))</f>
        <v>EQUIP.</v>
      </c>
      <c r="E1717" s="452" t="str">
        <f>IF(A1717="SERVIÇO",VLOOKUP(B1717,SERVIÇOS!$A$6:$D$7645,3,0),IF(A1717="INSUMO",VLOOKUP(B1717,INSUMOS!$A$6:$D$6961,3,0),IF(A1717="COTAÇÃO",VLOOKUP(B1717,'036-20-Cotação'!$A$9:$G$529,4,0))))</f>
        <v>CHI</v>
      </c>
      <c r="F1717" s="462">
        <f>0.15/221.33*4</f>
        <v>2.7108842000632535E-3</v>
      </c>
      <c r="G1717" s="453">
        <f>IF(A1717="SERVIÇO",VLOOKUP(B1717,SERVIÇOS!$A$6:$D$7645,4,0),IF(A1717="INSUMO",VLOOKUP(B1717,INSUMOS!$A$6:$D$6961,4,0),IF(A1717="COTAÇÃO",VLOOKUP(B1717,'036-20-Cotação'!$A$9:$G$529,3,0))))</f>
        <v>44.940199999999997</v>
      </c>
      <c r="H1717" s="463">
        <f t="shared" ref="H1717" si="305">G1717*F1717</f>
        <v>0.12182767812768262</v>
      </c>
      <c r="J1717" s="201"/>
    </row>
    <row r="1718" spans="1:17" s="87" customFormat="1" ht="38.25">
      <c r="A1718" s="232" t="s">
        <v>4542</v>
      </c>
      <c r="B1718" s="464" t="s">
        <v>8996</v>
      </c>
      <c r="C1718" s="451" t="str">
        <f>IF(A1718="SERVIÇO",VLOOKUP(B1718,SERVIÇOS!$A$6:$D$7645,2,0),IF(A1718="INSUMO",VLOOKUP(B1718,INSUMOS!$A$6:$D$6961,2,0),IF(A1718="COTAÇÃO",VLOOKUP(B1718,'036-20-Cotação'!$A$9:$G$529,2,0))))</f>
        <v>ESCAVADEIRA HIDRÁULICA SOBRE ESTEIRA COM CAÇAMBA COM CAPACIDADE DE 1,5 M³ - 110 KW</v>
      </c>
      <c r="D1718" s="452" t="str">
        <f>IF(A1718="SERVIÇO",VLOOKUP(B1718,SERVIÇOS!$A$6:$E$7645,5,0),IF(A1718="INSUMO",VLOOKUP(B1718,INSUMOS!$A$6:$E$6961,5,0),IF(A1718="COTAÇÃO",VLOOKUP(B1718,'036-20-Cotação'!$A$9:$H$529,8,0))))</f>
        <v>EQUIP.</v>
      </c>
      <c r="E1718" s="452" t="str">
        <f>IF(A1718="SERVIÇO",VLOOKUP(B1718,SERVIÇOS!$A$6:$D$7645,3,0),IF(A1718="INSUMO",VLOOKUP(B1718,INSUMOS!$A$6:$D$6961,3,0),IF(A1718="COTAÇÃO",VLOOKUP(B1718,'036-20-Cotação'!$A$9:$G$529,4,0))))</f>
        <v>CHP</v>
      </c>
      <c r="F1718" s="462">
        <f>1/221.33</f>
        <v>4.5181403334387561E-3</v>
      </c>
      <c r="G1718" s="453">
        <f>IF(A1718="SERVIÇO",VLOOKUP(B1718,SERVIÇOS!$A$6:$D$7645,4,0),IF(A1718="INSUMO",VLOOKUP(B1718,INSUMOS!$A$6:$D$6961,4,0),IF(A1718="COTAÇÃO",VLOOKUP(B1718,'036-20-Cotação'!$A$9:$G$529,3,0))))</f>
        <v>186.31</v>
      </c>
      <c r="H1718" s="463">
        <f t="shared" ref="H1718" si="306">G1718*F1718</f>
        <v>0.84177472552297461</v>
      </c>
      <c r="J1718" s="201"/>
    </row>
    <row r="1719" spans="1:17" s="87" customFormat="1" ht="12.75">
      <c r="A1719" s="232" t="s">
        <v>4542</v>
      </c>
      <c r="B1719" s="464" t="s">
        <v>6602</v>
      </c>
      <c r="C1719" s="451" t="str">
        <f>IF(A1719="SERVIÇO",VLOOKUP(B1719,SERVIÇOS!$A$6:$D$7645,2,0),IF(A1719="INSUMO",VLOOKUP(B1719,INSUMOS!$A$6:$D$6961,2,0),IF(A1719="COTAÇÃO",VLOOKUP(B1719,'036-20-Cotação'!$A$9:$G$529,2,0))))</f>
        <v>SERVENTE</v>
      </c>
      <c r="D1719" s="452" t="str">
        <f>IF(A1719="SERVIÇO",VLOOKUP(B1719,SERVIÇOS!$A$6:$E$7645,5,0),IF(A1719="INSUMO",VLOOKUP(B1719,INSUMOS!$A$6:$E$6961,5,0),IF(A1719="COTAÇÃO",VLOOKUP(B1719,'036-20-Cotação'!$A$9:$H$529,8,0))))</f>
        <v>M.O</v>
      </c>
      <c r="E1719" s="452" t="str">
        <f>IF(A1719="SERVIÇO",VLOOKUP(B1719,SERVIÇOS!$A$6:$D$7645,3,0),IF(A1719="INSUMO",VLOOKUP(B1719,INSUMOS!$A$6:$D$6961,3,0),IF(A1719="COTAÇÃO",VLOOKUP(B1719,'036-20-Cotação'!$A$9:$G$529,4,0))))</f>
        <v>H</v>
      </c>
      <c r="F1719" s="462">
        <f>1/221.33</f>
        <v>4.5181403334387561E-3</v>
      </c>
      <c r="G1719" s="453">
        <f>IF(A1719="SERVIÇO",VLOOKUP(B1719,SERVIÇOS!$A$6:$D$7645,4,0),IF(A1719="INSUMO",VLOOKUP(B1719,INSUMOS!$A$6:$D$6961,4,0),IF(A1719="COTAÇÃO",VLOOKUP(B1719,'036-20-Cotação'!$A$9:$G$529,3,0))))</f>
        <v>15.637499999999999</v>
      </c>
      <c r="H1719" s="463">
        <f t="shared" ref="H1719:H1720" si="307">G1719*F1719</f>
        <v>7.0652419464148547E-2</v>
      </c>
      <c r="J1719" s="201"/>
    </row>
    <row r="1720" spans="1:17" s="87" customFormat="1" ht="12.75">
      <c r="A1720" s="232" t="s">
        <v>4542</v>
      </c>
      <c r="B1720" s="464" t="s">
        <v>13130</v>
      </c>
      <c r="C1720" s="451" t="s">
        <v>13131</v>
      </c>
      <c r="D1720" s="452"/>
      <c r="E1720" s="452"/>
      <c r="F1720" s="462">
        <v>2.24E-2</v>
      </c>
      <c r="G1720" s="453">
        <f>SUM(H1716:H1719)</f>
        <v>3.5097184294944199</v>
      </c>
      <c r="H1720" s="463">
        <f t="shared" si="307"/>
        <v>7.8617692820675003E-2</v>
      </c>
      <c r="J1720" s="201"/>
    </row>
    <row r="1721" spans="1:17" s="87" customFormat="1" ht="12.75">
      <c r="A1721" s="188"/>
      <c r="B1721" s="348" t="s">
        <v>123</v>
      </c>
      <c r="C1721" s="695" t="s">
        <v>13309</v>
      </c>
      <c r="D1721" s="696"/>
      <c r="E1721" s="696"/>
      <c r="F1721" s="696"/>
      <c r="G1721" s="696"/>
      <c r="H1721" s="697"/>
      <c r="J1721" s="201"/>
      <c r="K1721" s="78"/>
      <c r="L1721" s="78"/>
      <c r="M1721" s="78"/>
      <c r="N1721" s="78"/>
      <c r="O1721" s="78"/>
      <c r="P1721" s="78"/>
      <c r="Q1721" s="78"/>
    </row>
    <row r="1722" spans="1:17" s="87" customFormat="1" ht="12.75">
      <c r="A1722" s="188"/>
      <c r="B1722" s="346"/>
      <c r="C1722" s="484"/>
      <c r="D1722" s="484"/>
      <c r="E1722" s="484"/>
      <c r="F1722" s="484"/>
      <c r="G1722" s="484"/>
      <c r="H1722" s="485"/>
      <c r="J1722" s="201"/>
      <c r="K1722" s="78"/>
      <c r="L1722" s="78"/>
      <c r="M1722" s="78"/>
      <c r="N1722" s="78"/>
      <c r="O1722" s="78"/>
      <c r="P1722" s="78"/>
      <c r="Q1722" s="78"/>
    </row>
    <row r="1723" spans="1:17" s="87" customFormat="1" ht="12.75">
      <c r="A1723" s="188"/>
      <c r="B1723" s="80">
        <v>4011209</v>
      </c>
      <c r="C1723" s="81" t="s">
        <v>6551</v>
      </c>
      <c r="D1723" s="82" t="s">
        <v>84</v>
      </c>
      <c r="E1723" s="82" t="s">
        <v>150</v>
      </c>
      <c r="F1723" s="83"/>
      <c r="G1723" s="84"/>
      <c r="H1723" s="85">
        <f>SUM(H1724:H1736)</f>
        <v>0.7584802254706301</v>
      </c>
      <c r="J1723" s="201" t="s">
        <v>13310</v>
      </c>
      <c r="K1723" s="78"/>
      <c r="L1723" s="78"/>
      <c r="M1723" s="78"/>
      <c r="N1723" s="78"/>
      <c r="O1723" s="78"/>
      <c r="P1723" s="78"/>
      <c r="Q1723" s="78"/>
    </row>
    <row r="1724" spans="1:17" s="87" customFormat="1" ht="25.5">
      <c r="A1724" s="232" t="s">
        <v>4542</v>
      </c>
      <c r="B1724" s="464" t="s">
        <v>9479</v>
      </c>
      <c r="C1724" s="451" t="str">
        <f>IF(A1724="SERVIÇO",VLOOKUP(B1724,SERVIÇOS!$A$6:$D$7645,2,0),IF(A1724="INSUMO",VLOOKUP(B1724,INSUMOS!$A$6:$D$6961,2,0),IF(A1724="COTAÇÃO",VLOOKUP(B1724,'036-20-Cotação'!$A$9:$G$529,2,0))))</f>
        <v>CAMINHÃO TANQUE COM CAPACIDADE DE 10.000 L - 188 KW</v>
      </c>
      <c r="D1724" s="452" t="str">
        <f>IF(A1724="SERVIÇO",VLOOKUP(B1724,SERVIÇOS!$A$6:$E$7645,5,0),IF(A1724="INSUMO",VLOOKUP(B1724,INSUMOS!$A$6:$E$6961,5,0),IF(A1724="COTAÇÃO",VLOOKUP(B1724,'036-20-Cotação'!$A$9:$H$529,8,0))))</f>
        <v>EQUIP.</v>
      </c>
      <c r="E1724" s="452" t="str">
        <f>IF(A1724="SERVIÇO",VLOOKUP(B1724,SERVIÇOS!$A$6:$D$7645,3,0),IF(A1724="INSUMO",VLOOKUP(B1724,INSUMOS!$A$6:$D$6961,3,0),IF(A1724="COTAÇÃO",VLOOKUP(B1724,'036-20-Cotação'!$A$9:$G$529,4,0))))</f>
        <v>CHP</v>
      </c>
      <c r="F1724" s="462">
        <f>0.76/841</f>
        <v>9.0368608799048752E-4</v>
      </c>
      <c r="G1724" s="453">
        <f>IF(A1724="SERVIÇO",VLOOKUP(B1724,SERVIÇOS!$A$6:$D$7645,4,0),IF(A1724="INSUMO",VLOOKUP(B1724,INSUMOS!$A$6:$D$6961,4,0),IF(A1724="COTAÇÃO",VLOOKUP(B1724,'036-20-Cotação'!$A$9:$G$529,3,0))))</f>
        <v>200.50309999999999</v>
      </c>
      <c r="H1724" s="463">
        <f t="shared" ref="H1724:H1736" si="308">G1724*F1724</f>
        <v>0.18119186206896551</v>
      </c>
      <c r="J1724" s="201"/>
    </row>
    <row r="1725" spans="1:17" s="87" customFormat="1" ht="25.5">
      <c r="A1725" s="232" t="s">
        <v>4542</v>
      </c>
      <c r="B1725" s="464" t="s">
        <v>10001</v>
      </c>
      <c r="C1725" s="451" t="str">
        <f>IF(A1725="SERVIÇO",VLOOKUP(B1725,SERVIÇOS!$A$6:$D$7645,2,0),IF(A1725="INSUMO",VLOOKUP(B1725,INSUMOS!$A$6:$D$6961,2,0),IF(A1725="COTAÇÃO",VLOOKUP(B1725,'036-20-Cotação'!$A$9:$G$529,2,0))))</f>
        <v>CAMINHÃO TANQUE COM CAPACIDADE DE 10.000 L - 188 KW</v>
      </c>
      <c r="D1725" s="452" t="str">
        <f>IF(A1725="SERVIÇO",VLOOKUP(B1725,SERVIÇOS!$A$6:$E$7645,5,0),IF(A1725="INSUMO",VLOOKUP(B1725,INSUMOS!$A$6:$E$6961,5,0),IF(A1725="COTAÇÃO",VLOOKUP(B1725,'036-20-Cotação'!$A$9:$H$529,8,0))))</f>
        <v>EQUIP.</v>
      </c>
      <c r="E1725" s="452" t="str">
        <f>IF(A1725="SERVIÇO",VLOOKUP(B1725,SERVIÇOS!$A$6:$D$7645,3,0),IF(A1725="INSUMO",VLOOKUP(B1725,INSUMOS!$A$6:$D$6961,3,0),IF(A1725="COTAÇÃO",VLOOKUP(B1725,'036-20-Cotação'!$A$9:$G$529,4,0))))</f>
        <v>CHI</v>
      </c>
      <c r="F1725" s="462">
        <f>0.24/841</f>
        <v>2.8537455410225922E-4</v>
      </c>
      <c r="G1725" s="453">
        <f>IF(A1725="SERVIÇO",VLOOKUP(B1725,SERVIÇOS!$A$6:$D$7645,4,0),IF(A1725="INSUMO",VLOOKUP(B1725,INSUMOS!$A$6:$D$6961,4,0),IF(A1725="COTAÇÃO",VLOOKUP(B1725,'036-20-Cotação'!$A$9:$G$529,3,0))))</f>
        <v>47.441800000000001</v>
      </c>
      <c r="H1725" s="463">
        <f t="shared" ref="H1725" si="309">G1725*F1725</f>
        <v>1.3538682520808561E-2</v>
      </c>
      <c r="J1725" s="201"/>
    </row>
    <row r="1726" spans="1:17" s="87" customFormat="1" ht="12.75">
      <c r="A1726" s="232" t="s">
        <v>4542</v>
      </c>
      <c r="B1726" s="464" t="s">
        <v>9002</v>
      </c>
      <c r="C1726" s="451" t="str">
        <f>IF(A1726="SERVIÇO",VLOOKUP(B1726,SERVIÇOS!$A$6:$D$7645,2,0),IF(A1726="INSUMO",VLOOKUP(B1726,INSUMOS!$A$6:$D$6961,2,0),IF(A1726="COTAÇÃO",VLOOKUP(B1726,'036-20-Cotação'!$A$9:$G$529,2,0))))</f>
        <v>GRADE DE 24 DISCOS REBOCÁVEL DE 24"</v>
      </c>
      <c r="D1726" s="452" t="str">
        <f>IF(A1726="SERVIÇO",VLOOKUP(B1726,SERVIÇOS!$A$6:$E$7645,5,0),IF(A1726="INSUMO",VLOOKUP(B1726,INSUMOS!$A$6:$E$6961,5,0),IF(A1726="COTAÇÃO",VLOOKUP(B1726,'036-20-Cotação'!$A$9:$H$529,8,0))))</f>
        <v>EQUIP.</v>
      </c>
      <c r="E1726" s="452" t="str">
        <f>IF(A1726="SERVIÇO",VLOOKUP(B1726,SERVIÇOS!$A$6:$D$7645,3,0),IF(A1726="INSUMO",VLOOKUP(B1726,INSUMOS!$A$6:$D$6961,3,0),IF(A1726="COTAÇÃO",VLOOKUP(B1726,'036-20-Cotação'!$A$9:$G$529,4,0))))</f>
        <v>CHP</v>
      </c>
      <c r="F1726" s="462">
        <f>0.52/841</f>
        <v>6.183115338882283E-4</v>
      </c>
      <c r="G1726" s="453">
        <f>IF(A1726="SERVIÇO",VLOOKUP(B1726,SERVIÇOS!$A$6:$D$7645,4,0),IF(A1726="INSUMO",VLOOKUP(B1726,INSUMOS!$A$6:$D$6961,4,0),IF(A1726="COTAÇÃO",VLOOKUP(B1726,'036-20-Cotação'!$A$9:$G$529,3,0))))</f>
        <v>2.1743000000000001</v>
      </c>
      <c r="H1726" s="463">
        <f t="shared" si="308"/>
        <v>1.344394768133175E-3</v>
      </c>
      <c r="J1726" s="201"/>
    </row>
    <row r="1727" spans="1:17" s="87" customFormat="1" ht="12.75">
      <c r="A1727" s="232" t="s">
        <v>4542</v>
      </c>
      <c r="B1727" s="464" t="s">
        <v>9747</v>
      </c>
      <c r="C1727" s="451" t="str">
        <f>IF(A1727="SERVIÇO",VLOOKUP(B1727,SERVIÇOS!$A$6:$D$7645,2,0),IF(A1727="INSUMO",VLOOKUP(B1727,INSUMOS!$A$6:$D$6961,2,0),IF(A1727="COTAÇÃO",VLOOKUP(B1727,'036-20-Cotação'!$A$9:$G$529,2,0))))</f>
        <v>GRADE DE 24 DISCOS REBOCÁVEL DE 24"</v>
      </c>
      <c r="D1727" s="452" t="str">
        <f>IF(A1727="SERVIÇO",VLOOKUP(B1727,SERVIÇOS!$A$6:$E$7645,5,0),IF(A1727="INSUMO",VLOOKUP(B1727,INSUMOS!$A$6:$E$6961,5,0),IF(A1727="COTAÇÃO",VLOOKUP(B1727,'036-20-Cotação'!$A$9:$H$529,8,0))))</f>
        <v>EQUIP.</v>
      </c>
      <c r="E1727" s="452" t="str">
        <f>IF(A1727="SERVIÇO",VLOOKUP(B1727,SERVIÇOS!$A$6:$D$7645,3,0),IF(A1727="INSUMO",VLOOKUP(B1727,INSUMOS!$A$6:$D$6961,3,0),IF(A1727="COTAÇÃO",VLOOKUP(B1727,'036-20-Cotação'!$A$9:$G$529,4,0))))</f>
        <v>CHI</v>
      </c>
      <c r="F1727" s="462">
        <f>0.48/841</f>
        <v>5.7074910820451843E-4</v>
      </c>
      <c r="G1727" s="453">
        <f>IF(A1727="SERVIÇO",VLOOKUP(B1727,SERVIÇOS!$A$6:$D$7645,4,0),IF(A1727="INSUMO",VLOOKUP(B1727,INSUMOS!$A$6:$D$6961,4,0),IF(A1727="COTAÇÃO",VLOOKUP(B1727,'036-20-Cotação'!$A$9:$G$529,3,0))))</f>
        <v>1.4312</v>
      </c>
      <c r="H1727" s="463">
        <f t="shared" ref="H1727" si="310">G1727*F1727</f>
        <v>8.1685612366230677E-4</v>
      </c>
      <c r="J1727" s="201"/>
    </row>
    <row r="1728" spans="1:17" s="87" customFormat="1" ht="12.75">
      <c r="A1728" s="232" t="s">
        <v>4542</v>
      </c>
      <c r="B1728" s="464" t="s">
        <v>9011</v>
      </c>
      <c r="C1728" s="451" t="str">
        <f>IF(A1728="SERVIÇO",VLOOKUP(B1728,SERVIÇOS!$A$6:$D$7645,2,0),IF(A1728="INSUMO",VLOOKUP(B1728,INSUMOS!$A$6:$D$6961,2,0),IF(A1728="COTAÇÃO",VLOOKUP(B1728,'036-20-Cotação'!$A$9:$G$529,2,0))))</f>
        <v>MOTONIVELADORA - 93 KW</v>
      </c>
      <c r="D1728" s="452" t="str">
        <f>IF(A1728="SERVIÇO",VLOOKUP(B1728,SERVIÇOS!$A$6:$E$7645,5,0),IF(A1728="INSUMO",VLOOKUP(B1728,INSUMOS!$A$6:$E$6961,5,0),IF(A1728="COTAÇÃO",VLOOKUP(B1728,'036-20-Cotação'!$A$9:$H$529,8,0))))</f>
        <v>EQUIP.</v>
      </c>
      <c r="E1728" s="452" t="str">
        <f>IF(A1728="SERVIÇO",VLOOKUP(B1728,SERVIÇOS!$A$6:$D$7645,3,0),IF(A1728="INSUMO",VLOOKUP(B1728,INSUMOS!$A$6:$D$6961,3,0),IF(A1728="COTAÇÃO",VLOOKUP(B1728,'036-20-Cotação'!$A$9:$G$529,4,0))))</f>
        <v>CHP</v>
      </c>
      <c r="F1728" s="462">
        <f>0.55/841</f>
        <v>6.5398335315101073E-4</v>
      </c>
      <c r="G1728" s="453">
        <f>IF(A1728="SERVIÇO",VLOOKUP(B1728,SERVIÇOS!$A$6:$D$7645,4,0),IF(A1728="INSUMO",VLOOKUP(B1728,INSUMOS!$A$6:$D$6961,4,0),IF(A1728="COTAÇÃO",VLOOKUP(B1728,'036-20-Cotação'!$A$9:$G$529,3,0))))</f>
        <v>168.8065</v>
      </c>
      <c r="H1728" s="463">
        <f t="shared" si="308"/>
        <v>0.11039664090368609</v>
      </c>
      <c r="J1728" s="201"/>
    </row>
    <row r="1729" spans="1:17" s="87" customFormat="1" ht="12.75">
      <c r="A1729" s="232" t="s">
        <v>4542</v>
      </c>
      <c r="B1729" s="464" t="s">
        <v>9752</v>
      </c>
      <c r="C1729" s="451" t="str">
        <f>IF(A1729="SERVIÇO",VLOOKUP(B1729,SERVIÇOS!$A$6:$D$7645,2,0),IF(A1729="INSUMO",VLOOKUP(B1729,INSUMOS!$A$6:$D$6961,2,0),IF(A1729="COTAÇÃO",VLOOKUP(B1729,'036-20-Cotação'!$A$9:$G$529,2,0))))</f>
        <v>MOTONIVELADORA - 93 KW</v>
      </c>
      <c r="D1729" s="452" t="str">
        <f>IF(A1729="SERVIÇO",VLOOKUP(B1729,SERVIÇOS!$A$6:$E$7645,5,0),IF(A1729="INSUMO",VLOOKUP(B1729,INSUMOS!$A$6:$E$6961,5,0),IF(A1729="COTAÇÃO",VLOOKUP(B1729,'036-20-Cotação'!$A$9:$H$529,8,0))))</f>
        <v>EQUIP.</v>
      </c>
      <c r="E1729" s="452" t="str">
        <f>IF(A1729="SERVIÇO",VLOOKUP(B1729,SERVIÇOS!$A$6:$D$7645,3,0),IF(A1729="INSUMO",VLOOKUP(B1729,INSUMOS!$A$6:$D$6961,3,0),IF(A1729="COTAÇÃO",VLOOKUP(B1729,'036-20-Cotação'!$A$9:$G$529,4,0))))</f>
        <v>CHI</v>
      </c>
      <c r="F1729" s="462">
        <f>0.45/841</f>
        <v>5.35077288941736E-4</v>
      </c>
      <c r="G1729" s="453">
        <f>IF(A1729="SERVIÇO",VLOOKUP(B1729,SERVIÇOS!$A$6:$D$7645,4,0),IF(A1729="INSUMO",VLOOKUP(B1729,INSUMOS!$A$6:$D$6961,4,0),IF(A1729="COTAÇÃO",VLOOKUP(B1729,'036-20-Cotação'!$A$9:$G$529,3,0))))</f>
        <v>68.476399999999998</v>
      </c>
      <c r="H1729" s="463">
        <f t="shared" ref="H1729" si="311">G1729*F1729</f>
        <v>3.6640166468489888E-2</v>
      </c>
      <c r="J1729" s="201"/>
    </row>
    <row r="1730" spans="1:17" s="87" customFormat="1" ht="25.5">
      <c r="A1730" s="232" t="s">
        <v>4542</v>
      </c>
      <c r="B1730" s="464" t="s">
        <v>9325</v>
      </c>
      <c r="C1730" s="451" t="str">
        <f>IF(A1730="SERVIÇO",VLOOKUP(B1730,SERVIÇOS!$A$6:$D$7645,2,0),IF(A1730="INSUMO",VLOOKUP(B1730,INSUMOS!$A$6:$D$6961,2,0),IF(A1730="COTAÇÃO",VLOOKUP(B1730,'036-20-Cotação'!$A$9:$G$529,2,0))))</f>
        <v>ROLO COMPACTADOR DE PNEUS AUTOPROPELIDO DE 27 T - 85 KW</v>
      </c>
      <c r="D1730" s="452" t="str">
        <f>IF(A1730="SERVIÇO",VLOOKUP(B1730,SERVIÇOS!$A$6:$E$7645,5,0),IF(A1730="INSUMO",VLOOKUP(B1730,INSUMOS!$A$6:$E$6961,5,0),IF(A1730="COTAÇÃO",VLOOKUP(B1730,'036-20-Cotação'!$A$9:$H$529,8,0))))</f>
        <v>EQUIP.</v>
      </c>
      <c r="E1730" s="452" t="str">
        <f>IF(A1730="SERVIÇO",VLOOKUP(B1730,SERVIÇOS!$A$6:$D$7645,3,0),IF(A1730="INSUMO",VLOOKUP(B1730,INSUMOS!$A$6:$D$6961,3,0),IF(A1730="COTAÇÃO",VLOOKUP(B1730,'036-20-Cotação'!$A$9:$G$529,4,0))))</f>
        <v>CHP</v>
      </c>
      <c r="F1730" s="462">
        <f>0.72/841</f>
        <v>8.5612366230677765E-4</v>
      </c>
      <c r="G1730" s="453">
        <f>IF(A1730="SERVIÇO",VLOOKUP(B1730,SERVIÇOS!$A$6:$D$7645,4,0),IF(A1730="INSUMO",VLOOKUP(B1730,INSUMOS!$A$6:$D$6961,4,0),IF(A1730="COTAÇÃO",VLOOKUP(B1730,'036-20-Cotação'!$A$9:$G$529,3,0))))</f>
        <v>130.7509</v>
      </c>
      <c r="H1730" s="463">
        <f t="shared" ref="H1730:H1733" si="312">G1730*F1730</f>
        <v>0.11193893935790726</v>
      </c>
      <c r="J1730" s="201"/>
    </row>
    <row r="1731" spans="1:17" s="87" customFormat="1" ht="25.5">
      <c r="A1731" s="232" t="s">
        <v>4542</v>
      </c>
      <c r="B1731" s="464" t="s">
        <v>9920</v>
      </c>
      <c r="C1731" s="451" t="str">
        <f>IF(A1731="SERVIÇO",VLOOKUP(B1731,SERVIÇOS!$A$6:$D$7645,2,0),IF(A1731="INSUMO",VLOOKUP(B1731,INSUMOS!$A$6:$D$6961,2,0),IF(A1731="COTAÇÃO",VLOOKUP(B1731,'036-20-Cotação'!$A$9:$G$529,2,0))))</f>
        <v>ROLO COMPACTADOR DE PNEUS AUTOPROPELIDO DE 27 T - 85 KW</v>
      </c>
      <c r="D1731" s="452" t="str">
        <f>IF(A1731="SERVIÇO",VLOOKUP(B1731,SERVIÇOS!$A$6:$E$7645,5,0),IF(A1731="INSUMO",VLOOKUP(B1731,INSUMOS!$A$6:$E$6961,5,0),IF(A1731="COTAÇÃO",VLOOKUP(B1731,'036-20-Cotação'!$A$9:$H$529,8,0))))</f>
        <v>EQUIP.</v>
      </c>
      <c r="E1731" s="452" t="str">
        <f>IF(A1731="SERVIÇO",VLOOKUP(B1731,SERVIÇOS!$A$6:$D$7645,3,0),IF(A1731="INSUMO",VLOOKUP(B1731,INSUMOS!$A$6:$D$6961,3,0),IF(A1731="COTAÇÃO",VLOOKUP(B1731,'036-20-Cotação'!$A$9:$G$529,4,0))))</f>
        <v>CHI</v>
      </c>
      <c r="F1731" s="462">
        <f>0.28/841</f>
        <v>3.3293697978596914E-4</v>
      </c>
      <c r="G1731" s="453">
        <f>IF(A1731="SERVIÇO",VLOOKUP(B1731,SERVIÇOS!$A$6:$D$7645,4,0),IF(A1731="INSUMO",VLOOKUP(B1731,INSUMOS!$A$6:$D$6961,4,0),IF(A1731="COTAÇÃO",VLOOKUP(B1731,'036-20-Cotação'!$A$9:$G$529,3,0))))</f>
        <v>59.563800000000001</v>
      </c>
      <c r="H1731" s="463">
        <f t="shared" ref="H1731" si="313">G1731*F1731</f>
        <v>1.983099167657551E-2</v>
      </c>
      <c r="J1731" s="201"/>
    </row>
    <row r="1732" spans="1:17" s="87" customFormat="1" ht="38.25">
      <c r="A1732" s="232" t="s">
        <v>4542</v>
      </c>
      <c r="B1732" s="464" t="s">
        <v>9232</v>
      </c>
      <c r="C1732" s="451" t="str">
        <f>IF(A1732="SERVIÇO",VLOOKUP(B1732,SERVIÇOS!$A$6:$D$7645,2,0),IF(A1732="INSUMO",VLOOKUP(B1732,INSUMOS!$A$6:$D$6961,2,0),IF(A1732="COTAÇÃO",VLOOKUP(B1732,'036-20-Cotação'!$A$9:$G$529,2,0))))</f>
        <v>ROLO COMPACTADOR PÉ DE CARNEIRO VIBRATÓRIO AUTOPROPELIDO DE 11,6 T - 82 KW</v>
      </c>
      <c r="D1732" s="452" t="str">
        <f>IF(A1732="SERVIÇO",VLOOKUP(B1732,SERVIÇOS!$A$6:$E$7645,5,0),IF(A1732="INSUMO",VLOOKUP(B1732,INSUMOS!$A$6:$E$6961,5,0),IF(A1732="COTAÇÃO",VLOOKUP(B1732,'036-20-Cotação'!$A$9:$H$529,8,0))))</f>
        <v>EQUIP.</v>
      </c>
      <c r="E1732" s="452" t="str">
        <f>IF(A1732="SERVIÇO",VLOOKUP(B1732,SERVIÇOS!$A$6:$D$7645,3,0),IF(A1732="INSUMO",VLOOKUP(B1732,INSUMOS!$A$6:$D$6961,3,0),IF(A1732="COTAÇÃO",VLOOKUP(B1732,'036-20-Cotação'!$A$9:$G$529,4,0))))</f>
        <v>CHP</v>
      </c>
      <c r="F1732" s="462">
        <f>1/841</f>
        <v>1.1890606420927466E-3</v>
      </c>
      <c r="G1732" s="453">
        <f>IF(A1732="SERVIÇO",VLOOKUP(B1732,SERVIÇOS!$A$6:$D$7645,4,0),IF(A1732="INSUMO",VLOOKUP(B1732,INSUMOS!$A$6:$D$6961,4,0),IF(A1732="COTAÇÃO",VLOOKUP(B1732,'036-20-Cotação'!$A$9:$G$529,3,0))))</f>
        <v>128.93299999999999</v>
      </c>
      <c r="H1732" s="463">
        <f t="shared" si="312"/>
        <v>0.15330915576694409</v>
      </c>
      <c r="J1732" s="201"/>
    </row>
    <row r="1733" spans="1:17" s="87" customFormat="1" ht="12.75">
      <c r="A1733" s="232" t="s">
        <v>4542</v>
      </c>
      <c r="B1733" s="464" t="s">
        <v>9081</v>
      </c>
      <c r="C1733" s="451" t="str">
        <f>IF(A1733="SERVIÇO",VLOOKUP(B1733,SERVIÇOS!$A$6:$D$7645,2,0),IF(A1733="INSUMO",VLOOKUP(B1733,INSUMOS!$A$6:$D$6961,2,0),IF(A1733="COTAÇÃO",VLOOKUP(B1733,'036-20-Cotação'!$A$9:$G$529,2,0))))</f>
        <v>TRATOR AGRÍCOLA - 77 KW</v>
      </c>
      <c r="D1733" s="452" t="str">
        <f>IF(A1733="SERVIÇO",VLOOKUP(B1733,SERVIÇOS!$A$6:$E$7645,5,0),IF(A1733="INSUMO",VLOOKUP(B1733,INSUMOS!$A$6:$E$6961,5,0),IF(A1733="COTAÇÃO",VLOOKUP(B1733,'036-20-Cotação'!$A$9:$H$529,8,0))))</f>
        <v>EQUIP.</v>
      </c>
      <c r="E1733" s="452" t="str">
        <f>IF(A1733="SERVIÇO",VLOOKUP(B1733,SERVIÇOS!$A$6:$D$7645,3,0),IF(A1733="INSUMO",VLOOKUP(B1733,INSUMOS!$A$6:$D$6961,3,0),IF(A1733="COTAÇÃO",VLOOKUP(B1733,'036-20-Cotação'!$A$9:$G$529,4,0))))</f>
        <v>CHP</v>
      </c>
      <c r="F1733" s="462">
        <f>0.52/841</f>
        <v>6.183115338882283E-4</v>
      </c>
      <c r="G1733" s="453">
        <f>IF(A1733="SERVIÇO",VLOOKUP(B1733,SERVIÇOS!$A$6:$D$7645,4,0),IF(A1733="INSUMO",VLOOKUP(B1733,INSUMOS!$A$6:$D$6961,4,0),IF(A1733="COTAÇÃO",VLOOKUP(B1733,'036-20-Cotação'!$A$9:$G$529,3,0))))</f>
        <v>124.90219999999999</v>
      </c>
      <c r="H1733" s="463">
        <f t="shared" si="312"/>
        <v>7.7228470868014265E-2</v>
      </c>
      <c r="J1733" s="201"/>
    </row>
    <row r="1734" spans="1:17" s="87" customFormat="1" ht="12.75">
      <c r="A1734" s="232" t="s">
        <v>4542</v>
      </c>
      <c r="B1734" s="464" t="s">
        <v>9788</v>
      </c>
      <c r="C1734" s="451" t="str">
        <f>IF(A1734="SERVIÇO",VLOOKUP(B1734,SERVIÇOS!$A$6:$D$7645,2,0),IF(A1734="INSUMO",VLOOKUP(B1734,INSUMOS!$A$6:$D$6961,2,0),IF(A1734="COTAÇÃO",VLOOKUP(B1734,'036-20-Cotação'!$A$9:$G$529,2,0))))</f>
        <v>TRATOR AGRÍCOLA - 77 KW</v>
      </c>
      <c r="D1734" s="452" t="str">
        <f>IF(A1734="SERVIÇO",VLOOKUP(B1734,SERVIÇOS!$A$6:$E$7645,5,0),IF(A1734="INSUMO",VLOOKUP(B1734,INSUMOS!$A$6:$E$6961,5,0),IF(A1734="COTAÇÃO",VLOOKUP(B1734,'036-20-Cotação'!$A$9:$H$529,8,0))))</f>
        <v>EQUIP.</v>
      </c>
      <c r="E1734" s="452" t="str">
        <f>IF(A1734="SERVIÇO",VLOOKUP(B1734,SERVIÇOS!$A$6:$D$7645,3,0),IF(A1734="INSUMO",VLOOKUP(B1734,INSUMOS!$A$6:$D$6961,3,0),IF(A1734="COTAÇÃO",VLOOKUP(B1734,'036-20-Cotação'!$A$9:$G$529,4,0))))</f>
        <v>CHI</v>
      </c>
      <c r="F1734" s="462">
        <f>0.48/841</f>
        <v>5.7074910820451843E-4</v>
      </c>
      <c r="G1734" s="453">
        <f>IF(A1734="SERVIÇO",VLOOKUP(B1734,SERVIÇOS!$A$6:$D$7645,4,0),IF(A1734="INSUMO",VLOOKUP(B1734,INSUMOS!$A$6:$D$6961,4,0),IF(A1734="COTAÇÃO",VLOOKUP(B1734,'036-20-Cotação'!$A$9:$G$529,3,0))))</f>
        <v>29.842199999999998</v>
      </c>
      <c r="H1734" s="463">
        <f t="shared" ref="H1734" si="314">G1734*F1734</f>
        <v>1.7032409036860877E-2</v>
      </c>
      <c r="J1734" s="201"/>
    </row>
    <row r="1735" spans="1:17" s="87" customFormat="1" ht="12.75">
      <c r="A1735" s="232" t="s">
        <v>4542</v>
      </c>
      <c r="B1735" s="464" t="s">
        <v>6602</v>
      </c>
      <c r="C1735" s="451" t="str">
        <f>IF(A1735="SERVIÇO",VLOOKUP(B1735,SERVIÇOS!$A$6:$D$7645,2,0),IF(A1735="INSUMO",VLOOKUP(B1735,INSUMOS!$A$6:$D$6961,2,0),IF(A1735="COTAÇÃO",VLOOKUP(B1735,'036-20-Cotação'!$A$9:$G$529,2,0))))</f>
        <v>SERVENTE</v>
      </c>
      <c r="D1735" s="452" t="str">
        <f>IF(A1735="SERVIÇO",VLOOKUP(B1735,SERVIÇOS!$A$6:$E$7645,5,0),IF(A1735="INSUMO",VLOOKUP(B1735,INSUMOS!$A$6:$E$6961,5,0),IF(A1735="COTAÇÃO",VLOOKUP(B1735,'036-20-Cotação'!$A$9:$H$529,8,0))))</f>
        <v>M.O</v>
      </c>
      <c r="E1735" s="452" t="str">
        <f>IF(A1735="SERVIÇO",VLOOKUP(B1735,SERVIÇOS!$A$6:$D$7645,3,0),IF(A1735="INSUMO",VLOOKUP(B1735,INSUMOS!$A$6:$D$6961,3,0),IF(A1735="COTAÇÃO",VLOOKUP(B1735,'036-20-Cotação'!$A$9:$G$529,4,0))))</f>
        <v>H</v>
      </c>
      <c r="F1735" s="462">
        <f>1/841</f>
        <v>1.1890606420927466E-3</v>
      </c>
      <c r="G1735" s="453">
        <f>IF(A1735="SERVIÇO",VLOOKUP(B1735,SERVIÇOS!$A$6:$D$7645,4,0),IF(A1735="INSUMO",VLOOKUP(B1735,INSUMOS!$A$6:$D$6961,4,0),IF(A1735="COTAÇÃO",VLOOKUP(B1735,'036-20-Cotação'!$A$9:$G$529,3,0))))</f>
        <v>15.637499999999999</v>
      </c>
      <c r="H1735" s="463">
        <f t="shared" si="308"/>
        <v>1.8593935790725324E-2</v>
      </c>
      <c r="J1735" s="201"/>
    </row>
    <row r="1736" spans="1:17" s="87" customFormat="1" ht="12.75">
      <c r="A1736" s="232" t="s">
        <v>4542</v>
      </c>
      <c r="B1736" s="464" t="s">
        <v>13130</v>
      </c>
      <c r="C1736" s="451" t="s">
        <v>13131</v>
      </c>
      <c r="D1736" s="452"/>
      <c r="E1736" s="452"/>
      <c r="F1736" s="462">
        <v>2.24E-2</v>
      </c>
      <c r="G1736" s="453">
        <f>SUM(H1724:H1735)</f>
        <v>0.74186250535077281</v>
      </c>
      <c r="H1736" s="463">
        <f t="shared" si="308"/>
        <v>1.6617720119857311E-2</v>
      </c>
      <c r="J1736" s="201"/>
    </row>
    <row r="1737" spans="1:17" s="87" customFormat="1" ht="12.75">
      <c r="A1737" s="188"/>
      <c r="B1737" s="348" t="s">
        <v>123</v>
      </c>
      <c r="C1737" s="695" t="s">
        <v>13311</v>
      </c>
      <c r="D1737" s="696"/>
      <c r="E1737" s="696"/>
      <c r="F1737" s="696"/>
      <c r="G1737" s="696"/>
      <c r="H1737" s="697"/>
      <c r="J1737" s="201"/>
      <c r="K1737" s="78"/>
      <c r="L1737" s="78"/>
      <c r="M1737" s="78"/>
      <c r="N1737" s="78"/>
      <c r="O1737" s="78"/>
      <c r="P1737" s="78"/>
      <c r="Q1737" s="78"/>
    </row>
    <row r="1738" spans="1:17" s="87" customFormat="1" ht="12.75">
      <c r="A1738" s="188"/>
      <c r="B1738" s="346"/>
      <c r="C1738" s="484"/>
      <c r="D1738" s="484"/>
      <c r="E1738" s="484"/>
      <c r="F1738" s="484"/>
      <c r="G1738" s="484"/>
      <c r="H1738" s="485"/>
      <c r="J1738" s="201"/>
      <c r="K1738" s="78"/>
      <c r="L1738" s="78"/>
      <c r="M1738" s="78"/>
      <c r="N1738" s="78"/>
      <c r="O1738" s="78"/>
      <c r="P1738" s="78"/>
      <c r="Q1738" s="78"/>
    </row>
    <row r="1739" spans="1:17" s="87" customFormat="1" ht="25.5">
      <c r="A1739" s="188"/>
      <c r="B1739" s="80">
        <v>903845</v>
      </c>
      <c r="C1739" s="81" t="s">
        <v>6552</v>
      </c>
      <c r="D1739" s="82" t="s">
        <v>84</v>
      </c>
      <c r="E1739" s="82" t="s">
        <v>172</v>
      </c>
      <c r="F1739" s="83"/>
      <c r="G1739" s="84"/>
      <c r="H1739" s="85">
        <f>SUM(H1740:H1743)</f>
        <v>94.182909849157895</v>
      </c>
      <c r="J1739" s="201" t="s">
        <v>13312</v>
      </c>
      <c r="K1739" s="78"/>
      <c r="L1739" s="78"/>
      <c r="M1739" s="78"/>
      <c r="N1739" s="78"/>
      <c r="O1739" s="78"/>
      <c r="P1739" s="78"/>
      <c r="Q1739" s="78"/>
    </row>
    <row r="1740" spans="1:17" s="87" customFormat="1" ht="12.75">
      <c r="A1740" s="232" t="s">
        <v>4542</v>
      </c>
      <c r="B1740" s="464" t="s">
        <v>9011</v>
      </c>
      <c r="C1740" s="451" t="str">
        <f>IF(A1740="SERVIÇO",VLOOKUP(B1740,SERVIÇOS!$A$6:$D$7645,2,0),IF(A1740="INSUMO",VLOOKUP(B1740,INSUMOS!$A$6:$D$6961,2,0),IF(A1740="COTAÇÃO",VLOOKUP(B1740,'036-20-Cotação'!$A$9:$G$529,2,0))))</f>
        <v>MOTONIVELADORA - 93 KW</v>
      </c>
      <c r="D1740" s="452" t="str">
        <f>IF(A1740="SERVIÇO",VLOOKUP(B1740,SERVIÇOS!$A$6:$E$7645,5,0),IF(A1740="INSUMO",VLOOKUP(B1740,INSUMOS!$A$6:$E$6961,5,0),IF(A1740="COTAÇÃO",VLOOKUP(B1740,'036-20-Cotação'!$A$9:$H$529,8,0))))</f>
        <v>EQUIP.</v>
      </c>
      <c r="E1740" s="452" t="str">
        <f>IF(A1740="SERVIÇO",VLOOKUP(B1740,SERVIÇOS!$A$6:$D$7645,3,0),IF(A1740="INSUMO",VLOOKUP(B1740,INSUMOS!$A$6:$D$6961,3,0),IF(A1740="COTAÇÃO",VLOOKUP(B1740,'036-20-Cotação'!$A$9:$G$529,4,0))))</f>
        <v>CHP</v>
      </c>
      <c r="F1740" s="462">
        <f>1/223.74</f>
        <v>4.4694734960221685E-3</v>
      </c>
      <c r="G1740" s="453">
        <f>IF(A1740="SERVIÇO",VLOOKUP(B1740,SERVIÇOS!$A$6:$D$7645,4,0),IF(A1740="INSUMO",VLOOKUP(B1740,INSUMOS!$A$6:$D$6961,4,0),IF(A1740="COTAÇÃO",VLOOKUP(B1740,'036-20-Cotação'!$A$9:$G$529,3,0))))</f>
        <v>168.8065</v>
      </c>
      <c r="H1740" s="463">
        <f t="shared" ref="H1740:H1743" si="315">G1740*F1740</f>
        <v>0.75447617770626618</v>
      </c>
      <c r="J1740" s="201"/>
    </row>
    <row r="1741" spans="1:17" s="87" customFormat="1" ht="12.75">
      <c r="A1741" s="232" t="s">
        <v>4542</v>
      </c>
      <c r="B1741" s="464" t="s">
        <v>6602</v>
      </c>
      <c r="C1741" s="451" t="str">
        <f>IF(A1741="SERVIÇO",VLOOKUP(B1741,SERVIÇOS!$A$6:$D$7645,2,0),IF(A1741="INSUMO",VLOOKUP(B1741,INSUMOS!$A$6:$D$6961,2,0),IF(A1741="COTAÇÃO",VLOOKUP(B1741,'036-20-Cotação'!$A$9:$G$529,2,0))))</f>
        <v>SERVENTE</v>
      </c>
      <c r="D1741" s="452" t="str">
        <f>IF(A1741="SERVIÇO",VLOOKUP(B1741,SERVIÇOS!$A$6:$E$7645,5,0),IF(A1741="INSUMO",VLOOKUP(B1741,INSUMOS!$A$6:$E$6961,5,0),IF(A1741="COTAÇÃO",VLOOKUP(B1741,'036-20-Cotação'!$A$9:$H$529,8,0))))</f>
        <v>M.O</v>
      </c>
      <c r="E1741" s="452" t="str">
        <f>IF(A1741="SERVIÇO",VLOOKUP(B1741,SERVIÇOS!$A$6:$D$7645,3,0),IF(A1741="INSUMO",VLOOKUP(B1741,INSUMOS!$A$6:$D$6961,3,0),IF(A1741="COTAÇÃO",VLOOKUP(B1741,'036-20-Cotação'!$A$9:$G$529,4,0))))</f>
        <v>H</v>
      </c>
      <c r="F1741" s="462">
        <f>1/223.74</f>
        <v>4.4694734960221685E-3</v>
      </c>
      <c r="G1741" s="453">
        <f>IF(A1741="SERVIÇO",VLOOKUP(B1741,SERVIÇOS!$A$6:$D$7645,4,0),IF(A1741="INSUMO",VLOOKUP(B1741,INSUMOS!$A$6:$D$6961,4,0),IF(A1741="COTAÇÃO",VLOOKUP(B1741,'036-20-Cotação'!$A$9:$G$529,3,0))))</f>
        <v>15.637499999999999</v>
      </c>
      <c r="H1741" s="463">
        <f t="shared" si="315"/>
        <v>6.9891391794046659E-2</v>
      </c>
      <c r="J1741" s="201"/>
    </row>
    <row r="1742" spans="1:17" s="87" customFormat="1" ht="12.75">
      <c r="A1742" s="232" t="s">
        <v>4544</v>
      </c>
      <c r="B1742" s="464" t="s">
        <v>10352</v>
      </c>
      <c r="C1742" s="451" t="str">
        <f>IF(A1742="SERVIÇO",VLOOKUP(B1742,SERVIÇOS!$A$6:$D$7645,2,0),IF(A1742="INSUMO",VLOOKUP(B1742,INSUMOS!$A$6:$D$6961,2,0),IF(A1742="COTAÇÃO",VLOOKUP(B1742,'036-20-Cotação'!$A$9:$G$529,2,0))))</f>
        <v>BRITA 2</v>
      </c>
      <c r="D1742" s="452" t="str">
        <f>IF(A1742="SERVIÇO",VLOOKUP(B1742,SERVIÇOS!$A$6:$E$7645,5,0),IF(A1742="INSUMO",VLOOKUP(B1742,INSUMOS!$A$6:$E$6961,5,0),IF(A1742="COTAÇÃO",VLOOKUP(B1742,'036-20-Cotação'!$A$9:$H$529,8,0))))</f>
        <v>MAT.</v>
      </c>
      <c r="E1742" s="452" t="str">
        <f>IF(A1742="SERVIÇO",VLOOKUP(B1742,SERVIÇOS!$A$6:$D$7645,3,0),IF(A1742="INSUMO",VLOOKUP(B1742,INSUMOS!$A$6:$D$6961,3,0),IF(A1742="COTAÇÃO",VLOOKUP(B1742,'036-20-Cotação'!$A$9:$G$529,4,0))))</f>
        <v>M³</v>
      </c>
      <c r="F1742" s="462">
        <v>1.05</v>
      </c>
      <c r="G1742" s="453">
        <f>IF(A1742="SERVIÇO",VLOOKUP(B1742,SERVIÇOS!$A$6:$D$7645,4,0),IF(A1742="INSUMO",VLOOKUP(B1742,INSUMOS!$A$6:$D$6961,4,0),IF(A1742="COTAÇÃO",VLOOKUP(B1742,'036-20-Cotação'!$A$9:$G$529,3,0))))</f>
        <v>87.512100000000004</v>
      </c>
      <c r="H1742" s="463">
        <f t="shared" si="315"/>
        <v>91.887705000000011</v>
      </c>
      <c r="J1742" s="201"/>
    </row>
    <row r="1743" spans="1:17" s="87" customFormat="1" ht="25.5">
      <c r="A1743" s="232" t="s">
        <v>4542</v>
      </c>
      <c r="B1743" s="464" t="s">
        <v>13226</v>
      </c>
      <c r="C1743" s="451" t="str">
        <f>'036-20-CCA''s'!$C$298</f>
        <v>TEMPO FIXO - CAMINHÃO BASCULANTE 10 M3 - CARGA MONOBRA E DESCARGA</v>
      </c>
      <c r="D1743" s="452" t="str">
        <f>'036-20-CCA''s'!$D$298</f>
        <v>SER.CG</v>
      </c>
      <c r="E1743" s="452" t="str">
        <f>'036-20-CCA''s'!$E$298</f>
        <v>T</v>
      </c>
      <c r="F1743" s="462">
        <v>1.575</v>
      </c>
      <c r="G1743" s="453">
        <f>'036-20-CCA''s'!$H$298</f>
        <v>0.93386493946512461</v>
      </c>
      <c r="H1743" s="463">
        <f t="shared" si="315"/>
        <v>1.4708372796575713</v>
      </c>
      <c r="J1743" s="201"/>
    </row>
    <row r="1744" spans="1:17" s="87" customFormat="1" ht="12.75">
      <c r="A1744" s="188"/>
      <c r="B1744" s="348" t="s">
        <v>123</v>
      </c>
      <c r="C1744" s="695" t="s">
        <v>13313</v>
      </c>
      <c r="D1744" s="696"/>
      <c r="E1744" s="696"/>
      <c r="F1744" s="696"/>
      <c r="G1744" s="696"/>
      <c r="H1744" s="697"/>
      <c r="J1744" s="201"/>
      <c r="K1744" s="78"/>
      <c r="L1744" s="78"/>
      <c r="M1744" s="78"/>
      <c r="N1744" s="78"/>
      <c r="O1744" s="78"/>
      <c r="P1744" s="78"/>
      <c r="Q1744" s="78"/>
    </row>
    <row r="1745" spans="1:17" s="87" customFormat="1" ht="12.75">
      <c r="A1745" s="188"/>
      <c r="B1745" s="346"/>
      <c r="C1745" s="484"/>
      <c r="D1745" s="484"/>
      <c r="E1745" s="484"/>
      <c r="F1745" s="484"/>
      <c r="G1745" s="484"/>
      <c r="H1745" s="485"/>
      <c r="J1745" s="201"/>
      <c r="K1745" s="78"/>
      <c r="L1745" s="78"/>
      <c r="M1745" s="78"/>
      <c r="N1745" s="78"/>
      <c r="O1745" s="78"/>
      <c r="P1745" s="78"/>
      <c r="Q1745" s="78"/>
    </row>
    <row r="1746" spans="1:17" s="87" customFormat="1" ht="38.25">
      <c r="A1746" s="188"/>
      <c r="B1746" s="80">
        <v>2003949</v>
      </c>
      <c r="C1746" s="81" t="s">
        <v>6553</v>
      </c>
      <c r="D1746" s="82" t="s">
        <v>84</v>
      </c>
      <c r="E1746" s="82" t="s">
        <v>150</v>
      </c>
      <c r="F1746" s="83"/>
      <c r="G1746" s="84"/>
      <c r="H1746" s="85">
        <f>SUM(H1747:H1753)</f>
        <v>10.856565612476629</v>
      </c>
      <c r="J1746" s="201" t="s">
        <v>13314</v>
      </c>
      <c r="K1746" s="78"/>
      <c r="L1746" s="78"/>
      <c r="M1746" s="78"/>
      <c r="N1746" s="78"/>
      <c r="O1746" s="78"/>
      <c r="P1746" s="78"/>
      <c r="Q1746" s="78"/>
    </row>
    <row r="1747" spans="1:17" s="87" customFormat="1" ht="25.5">
      <c r="A1747" s="232" t="s">
        <v>4542</v>
      </c>
      <c r="B1747" s="464" t="s">
        <v>8892</v>
      </c>
      <c r="C1747" s="451" t="str">
        <f>IF(A1747="SERVIÇO",VLOOKUP(B1747,SERVIÇOS!$A$6:$D$7645,2,0),IF(A1747="INSUMO",VLOOKUP(B1747,INSUMOS!$A$6:$D$6961,2,0),IF(A1747="COTAÇÃO",VLOOKUP(B1747,'036-20-Cotação'!$A$9:$G$529,2,0))))</f>
        <v>EXTRUSORA PARA MEIO-FIO DE CONCRETO - 10,44 KW</v>
      </c>
      <c r="D1747" s="452" t="str">
        <f>IF(A1747="SERVIÇO",VLOOKUP(B1747,SERVIÇOS!$A$6:$E$7645,5,0),IF(A1747="INSUMO",VLOOKUP(B1747,INSUMOS!$A$6:$E$6961,5,0),IF(A1747="COTAÇÃO",VLOOKUP(B1747,'036-20-Cotação'!$A$9:$H$529,8,0))))</f>
        <v>EQUIP.</v>
      </c>
      <c r="E1747" s="452" t="str">
        <f>IF(A1747="SERVIÇO",VLOOKUP(B1747,SERVIÇOS!$A$6:$D$7645,3,0),IF(A1747="INSUMO",VLOOKUP(B1747,INSUMOS!$A$6:$D$6961,3,0),IF(A1747="COTAÇÃO",VLOOKUP(B1747,'036-20-Cotação'!$A$9:$G$529,4,0))))</f>
        <v>CHP</v>
      </c>
      <c r="F1747" s="462">
        <f>1/137.72</f>
        <v>7.2611094975312228E-3</v>
      </c>
      <c r="G1747" s="453">
        <f>IF(A1747="SERVIÇO",VLOOKUP(B1747,SERVIÇOS!$A$6:$D$7645,4,0),IF(A1747="INSUMO",VLOOKUP(B1747,INSUMOS!$A$6:$D$6961,4,0),IF(A1747="COTAÇÃO",VLOOKUP(B1747,'036-20-Cotação'!$A$9:$G$529,3,0))))</f>
        <v>29.706299999999999</v>
      </c>
      <c r="H1747" s="463">
        <f t="shared" ref="H1747:H1753" si="316">G1747*F1747</f>
        <v>0.21570069706651177</v>
      </c>
      <c r="J1747" s="201"/>
    </row>
    <row r="1748" spans="1:17" s="87" customFormat="1" ht="12.75">
      <c r="A1748" s="232" t="s">
        <v>4542</v>
      </c>
      <c r="B1748" s="464" t="s">
        <v>6614</v>
      </c>
      <c r="C1748" s="451" t="str">
        <f>IF(A1748="SERVIÇO",VLOOKUP(B1748,SERVIÇOS!$A$6:$D$7645,2,0),IF(A1748="INSUMO",VLOOKUP(B1748,INSUMOS!$A$6:$D$6961,2,0),IF(A1748="COTAÇÃO",VLOOKUP(B1748,'036-20-Cotação'!$A$9:$G$529,2,0))))</f>
        <v>PEDREIRO</v>
      </c>
      <c r="D1748" s="452" t="str">
        <f>IF(A1748="SERVIÇO",VLOOKUP(B1748,SERVIÇOS!$A$6:$E$7645,5,0),IF(A1748="INSUMO",VLOOKUP(B1748,INSUMOS!$A$6:$E$6961,5,0),IF(A1748="COTAÇÃO",VLOOKUP(B1748,'036-20-Cotação'!$A$9:$H$529,8,0))))</f>
        <v>M.O</v>
      </c>
      <c r="E1748" s="452" t="str">
        <f>IF(A1748="SERVIÇO",VLOOKUP(B1748,SERVIÇOS!$A$6:$D$7645,3,0),IF(A1748="INSUMO",VLOOKUP(B1748,INSUMOS!$A$6:$D$6961,3,0),IF(A1748="COTAÇÃO",VLOOKUP(B1748,'036-20-Cotação'!$A$9:$G$529,4,0))))</f>
        <v>H</v>
      </c>
      <c r="F1748" s="462">
        <f t="shared" ref="F1748" si="317">1/137.72</f>
        <v>7.2611094975312228E-3</v>
      </c>
      <c r="G1748" s="453">
        <f>IF(A1748="SERVIÇO",VLOOKUP(B1748,SERVIÇOS!$A$6:$D$7645,4,0),IF(A1748="INSUMO",VLOOKUP(B1748,INSUMOS!$A$6:$D$6961,4,0),IF(A1748="COTAÇÃO",VLOOKUP(B1748,'036-20-Cotação'!$A$9:$G$529,3,0))))</f>
        <v>21.647600000000001</v>
      </c>
      <c r="H1748" s="463">
        <f t="shared" si="316"/>
        <v>0.15718559395875689</v>
      </c>
      <c r="J1748" s="201"/>
    </row>
    <row r="1749" spans="1:17" s="87" customFormat="1" ht="12.75">
      <c r="A1749" s="232" t="s">
        <v>4542</v>
      </c>
      <c r="B1749" s="464" t="s">
        <v>6602</v>
      </c>
      <c r="C1749" s="451" t="str">
        <f>IF(A1749="SERVIÇO",VLOOKUP(B1749,SERVIÇOS!$A$6:$D$7645,2,0),IF(A1749="INSUMO",VLOOKUP(B1749,INSUMOS!$A$6:$D$6961,2,0),IF(A1749="COTAÇÃO",VLOOKUP(B1749,'036-20-Cotação'!$A$9:$G$529,2,0))))</f>
        <v>SERVENTE</v>
      </c>
      <c r="D1749" s="452" t="str">
        <f>IF(A1749="SERVIÇO",VLOOKUP(B1749,SERVIÇOS!$A$6:$E$7645,5,0),IF(A1749="INSUMO",VLOOKUP(B1749,INSUMOS!$A$6:$E$6961,5,0),IF(A1749="COTAÇÃO",VLOOKUP(B1749,'036-20-Cotação'!$A$9:$H$529,8,0))))</f>
        <v>M.O</v>
      </c>
      <c r="E1749" s="452" t="str">
        <f>IF(A1749="SERVIÇO",VLOOKUP(B1749,SERVIÇOS!$A$6:$D$7645,3,0),IF(A1749="INSUMO",VLOOKUP(B1749,INSUMOS!$A$6:$D$6961,3,0),IF(A1749="COTAÇÃO",VLOOKUP(B1749,'036-20-Cotação'!$A$9:$G$529,4,0))))</f>
        <v>H</v>
      </c>
      <c r="F1749" s="462">
        <f>2/137.72</f>
        <v>1.4522218995062446E-2</v>
      </c>
      <c r="G1749" s="453">
        <f>IF(A1749="SERVIÇO",VLOOKUP(B1749,SERVIÇOS!$A$6:$D$7645,4,0),IF(A1749="INSUMO",VLOOKUP(B1749,INSUMOS!$A$6:$D$6961,4,0),IF(A1749="COTAÇÃO",VLOOKUP(B1749,'036-20-Cotação'!$A$9:$G$529,3,0))))</f>
        <v>15.637499999999999</v>
      </c>
      <c r="H1749" s="463">
        <f t="shared" si="316"/>
        <v>0.22709119953528897</v>
      </c>
      <c r="J1749" s="201"/>
    </row>
    <row r="1750" spans="1:17" s="87" customFormat="1" ht="38.25">
      <c r="A1750" s="232" t="s">
        <v>4542</v>
      </c>
      <c r="B1750" s="464">
        <v>1107928</v>
      </c>
      <c r="C1750" s="451" t="str">
        <f>'036-20-CCA''s'!$C$429</f>
        <v>CONCRETO FCK = 20 MPA - CONFECÇÃO EM CENTRAL DOSADORA DE 30 M3/H - AREIA E BRITA COMERCIAIS</v>
      </c>
      <c r="D1750" s="452" t="str">
        <f>'036-20-CCA''s'!$D$429</f>
        <v>SER.CG</v>
      </c>
      <c r="E1750" s="452" t="str">
        <f>'036-20-CCA''s'!$E$429</f>
        <v>M3</v>
      </c>
      <c r="F1750" s="462">
        <v>2.2499999999999999E-2</v>
      </c>
      <c r="G1750" s="453">
        <f>'036-20-CCA''s'!$H$429</f>
        <v>297.5288260326144</v>
      </c>
      <c r="H1750" s="463">
        <f t="shared" si="316"/>
        <v>6.6943985857338237</v>
      </c>
      <c r="J1750" s="201"/>
    </row>
    <row r="1751" spans="1:17" s="87" customFormat="1" ht="38.25">
      <c r="A1751" s="232" t="s">
        <v>4542</v>
      </c>
      <c r="B1751" s="464">
        <v>2003842</v>
      </c>
      <c r="C1751" s="451" t="str">
        <f>'036-20-CCA''s'!$C$446</f>
        <v>ENCHIMENTO DE JUNTA DE CONCRETO COM ARGAMASSA ASFÁLTICA DE DENSIDADE 1.700 KG/M3 - ESPESSURA 1 CM</v>
      </c>
      <c r="D1751" s="452" t="str">
        <f>'036-20-CCA''s'!$D$446</f>
        <v>SER.CG</v>
      </c>
      <c r="E1751" s="452" t="str">
        <f>'036-20-CCA''s'!$E$446</f>
        <v>M3</v>
      </c>
      <c r="F1751" s="462">
        <v>3.1899999999999998E-2</v>
      </c>
      <c r="G1751" s="453">
        <f>'036-20-CCA''s'!$H$446</f>
        <v>45.872825562080536</v>
      </c>
      <c r="H1751" s="463">
        <f t="shared" si="316"/>
        <v>1.463343135430369</v>
      </c>
      <c r="J1751" s="201"/>
    </row>
    <row r="1752" spans="1:17" s="87" customFormat="1" ht="25.5">
      <c r="A1752" s="232" t="s">
        <v>4542</v>
      </c>
      <c r="B1752" s="464">
        <v>4805751</v>
      </c>
      <c r="C1752" s="451" t="str">
        <f>'036-20-CCA''s'!$C$404</f>
        <v>ESCAVAÇÃO MANUAL EM MATERIAL DE 1ª CATEGORIA NA PROFUNDIDADE ATÉ 2M</v>
      </c>
      <c r="D1752" s="452" t="str">
        <f>'036-20-CCA''s'!$D$404</f>
        <v>SER.CG</v>
      </c>
      <c r="E1752" s="452" t="str">
        <f>'036-20-CCA''s'!$E$404</f>
        <v>M3</v>
      </c>
      <c r="F1752" s="462">
        <v>1.7999999999999999E-2</v>
      </c>
      <c r="G1752" s="453">
        <f>'036-20-CCA''s'!$H$404</f>
        <v>39.969450000000002</v>
      </c>
      <c r="H1752" s="463">
        <f t="shared" si="316"/>
        <v>0.71945009999999998</v>
      </c>
      <c r="J1752" s="201"/>
    </row>
    <row r="1753" spans="1:17" s="87" customFormat="1" ht="38.25">
      <c r="A1753" s="232" t="s">
        <v>4542</v>
      </c>
      <c r="B1753" s="464" t="s">
        <v>13321</v>
      </c>
      <c r="C1753" s="451" t="str">
        <f>'036-20-CCA''s'!$C$452</f>
        <v>TEMPO FIXO - CAMINHÃO BASCULANTE 6 M3 - CARGA COM CARREGADEIRA E DESCARGA LIVRE</v>
      </c>
      <c r="D1753" s="452" t="str">
        <f>'036-20-CCA''s'!$D$452</f>
        <v>SER.CG</v>
      </c>
      <c r="E1753" s="452" t="str">
        <f>'036-20-CCA''s'!$E$452</f>
        <v>T</v>
      </c>
      <c r="F1753" s="462">
        <v>5.3999999999999999E-2</v>
      </c>
      <c r="G1753" s="453">
        <f>'036-20-CCA''s'!$H$452</f>
        <v>25.544375939849623</v>
      </c>
      <c r="H1753" s="463">
        <f t="shared" si="316"/>
        <v>1.3793963007518797</v>
      </c>
      <c r="J1753" s="201"/>
    </row>
    <row r="1754" spans="1:17" s="87" customFormat="1" ht="12.75">
      <c r="A1754" s="188"/>
      <c r="B1754" s="348" t="s">
        <v>123</v>
      </c>
      <c r="C1754" s="695" t="s">
        <v>13315</v>
      </c>
      <c r="D1754" s="696"/>
      <c r="E1754" s="696"/>
      <c r="F1754" s="696"/>
      <c r="G1754" s="696"/>
      <c r="H1754" s="697"/>
      <c r="J1754" s="201"/>
      <c r="K1754" s="78"/>
      <c r="L1754" s="78"/>
      <c r="M1754" s="78"/>
      <c r="N1754" s="78"/>
      <c r="O1754" s="78"/>
      <c r="P1754" s="78"/>
      <c r="Q1754" s="78"/>
    </row>
    <row r="1755" spans="1:17" s="87" customFormat="1" ht="12.75">
      <c r="A1755" s="188"/>
      <c r="B1755" s="346"/>
      <c r="C1755" s="484"/>
      <c r="D1755" s="484"/>
      <c r="E1755" s="484"/>
      <c r="F1755" s="484"/>
      <c r="G1755" s="484"/>
      <c r="H1755" s="485"/>
      <c r="J1755" s="201"/>
      <c r="K1755" s="78"/>
      <c r="L1755" s="78"/>
      <c r="M1755" s="78"/>
      <c r="N1755" s="78"/>
      <c r="O1755" s="78"/>
      <c r="P1755" s="78"/>
      <c r="Q1755" s="78"/>
    </row>
    <row r="1756" spans="1:17" s="87" customFormat="1" ht="63.75">
      <c r="A1756" s="188"/>
      <c r="B1756" s="80">
        <v>4011529</v>
      </c>
      <c r="C1756" s="81" t="s">
        <v>6554</v>
      </c>
      <c r="D1756" s="82" t="s">
        <v>84</v>
      </c>
      <c r="E1756" s="82" t="s">
        <v>150</v>
      </c>
      <c r="F1756" s="83"/>
      <c r="G1756" s="84"/>
      <c r="H1756" s="85">
        <f>SUM(H1757:H1765)</f>
        <v>111.21663861310391</v>
      </c>
      <c r="J1756" s="201" t="s">
        <v>13324</v>
      </c>
      <c r="K1756" s="78"/>
      <c r="L1756" s="78"/>
      <c r="M1756" s="78"/>
      <c r="N1756" s="78"/>
      <c r="O1756" s="78"/>
      <c r="P1756" s="78"/>
      <c r="Q1756" s="78"/>
    </row>
    <row r="1757" spans="1:17" s="87" customFormat="1" ht="25.5">
      <c r="A1757" s="232" t="s">
        <v>4542</v>
      </c>
      <c r="B1757" s="464" t="s">
        <v>9094</v>
      </c>
      <c r="C1757" s="451" t="str">
        <f>IF(A1757="SERVIÇO",VLOOKUP(B1757,SERVIÇOS!$A$6:$D$7645,2,0),IF(A1757="INSUMO",VLOOKUP(B1757,INSUMOS!$A$6:$D$6961,2,0),IF(A1757="COTAÇÃO",VLOOKUP(B1757,'036-20-Cotação'!$A$9:$G$529,2,0))))</f>
        <v>RÉGUA VIBRATÓRIA TRELIÇADA COM 4 M - 4,1 KW</v>
      </c>
      <c r="D1757" s="452" t="str">
        <f>IF(A1757="SERVIÇO",VLOOKUP(B1757,SERVIÇOS!$A$6:$E$7645,5,0),IF(A1757="INSUMO",VLOOKUP(B1757,INSUMOS!$A$6:$E$6961,5,0),IF(A1757="COTAÇÃO",VLOOKUP(B1757,'036-20-Cotação'!$A$9:$H$529,8,0))))</f>
        <v>EQUIP.</v>
      </c>
      <c r="E1757" s="452" t="str">
        <f>IF(A1757="SERVIÇO",VLOOKUP(B1757,SERVIÇOS!$A$6:$D$7645,3,0),IF(A1757="INSUMO",VLOOKUP(B1757,INSUMOS!$A$6:$D$6961,3,0),IF(A1757="COTAÇÃO",VLOOKUP(B1757,'036-20-Cotação'!$A$9:$G$529,4,0))))</f>
        <v>CHP</v>
      </c>
      <c r="F1757" s="462">
        <f>0.6/124.5</f>
        <v>4.8192771084337345E-3</v>
      </c>
      <c r="G1757" s="453">
        <f>IF(A1757="SERVIÇO",VLOOKUP(B1757,SERVIÇOS!$A$6:$D$7645,4,0),IF(A1757="INSUMO",VLOOKUP(B1757,INSUMOS!$A$6:$D$6961,4,0),IF(A1757="COTAÇÃO",VLOOKUP(B1757,'036-20-Cotação'!$A$9:$G$529,3,0))))</f>
        <v>6.7073</v>
      </c>
      <c r="H1757" s="463">
        <f t="shared" ref="H1757:H1765" si="318">G1757*F1757</f>
        <v>3.2324337349397589E-2</v>
      </c>
      <c r="J1757" s="201"/>
    </row>
    <row r="1758" spans="1:17" s="87" customFormat="1" ht="25.5">
      <c r="A1758" s="232" t="s">
        <v>4542</v>
      </c>
      <c r="B1758" s="464" t="s">
        <v>9795</v>
      </c>
      <c r="C1758" s="451" t="str">
        <f>IF(A1758="SERVIÇO",VLOOKUP(B1758,SERVIÇOS!$A$6:$D$7645,2,0),IF(A1758="INSUMO",VLOOKUP(B1758,INSUMOS!$A$6:$D$6961,2,0),IF(A1758="COTAÇÃO",VLOOKUP(B1758,'036-20-Cotação'!$A$9:$G$529,2,0))))</f>
        <v>RÉGUA VIBRATÓRIA TRELIÇADA COM 4 M - 4,1 KW</v>
      </c>
      <c r="D1758" s="452" t="str">
        <f>IF(A1758="SERVIÇO",VLOOKUP(B1758,SERVIÇOS!$A$6:$E$7645,5,0),IF(A1758="INSUMO",VLOOKUP(B1758,INSUMOS!$A$6:$E$6961,5,0),IF(A1758="COTAÇÃO",VLOOKUP(B1758,'036-20-Cotação'!$A$9:$H$529,8,0))))</f>
        <v>EQUIP.</v>
      </c>
      <c r="E1758" s="452" t="str">
        <f>IF(A1758="SERVIÇO",VLOOKUP(B1758,SERVIÇOS!$A$6:$D$7645,3,0),IF(A1758="INSUMO",VLOOKUP(B1758,INSUMOS!$A$6:$D$6961,3,0),IF(A1758="COTAÇÃO",VLOOKUP(B1758,'036-20-Cotação'!$A$9:$G$529,4,0))))</f>
        <v>CHI</v>
      </c>
      <c r="F1758" s="462">
        <f>0.4/124.5</f>
        <v>3.2128514056224901E-3</v>
      </c>
      <c r="G1758" s="453">
        <f>IF(A1758="SERVIÇO",VLOOKUP(B1758,SERVIÇOS!$A$6:$D$7645,4,0),IF(A1758="INSUMO",VLOOKUP(B1758,INSUMOS!$A$6:$D$6961,4,0),IF(A1758="COTAÇÃO",VLOOKUP(B1758,'036-20-Cotação'!$A$9:$G$529,3,0))))</f>
        <v>0.27339999999999998</v>
      </c>
      <c r="H1758" s="463">
        <f t="shared" ref="H1758" si="319">G1758*F1758</f>
        <v>8.7839357429718868E-4</v>
      </c>
      <c r="J1758" s="201"/>
    </row>
    <row r="1759" spans="1:17" s="87" customFormat="1" ht="12.75">
      <c r="A1759" s="232" t="s">
        <v>4542</v>
      </c>
      <c r="B1759" s="464" t="s">
        <v>6614</v>
      </c>
      <c r="C1759" s="451" t="str">
        <f>IF(A1759="SERVIÇO",VLOOKUP(B1759,SERVIÇOS!$A$6:$D$7645,2,0),IF(A1759="INSUMO",VLOOKUP(B1759,INSUMOS!$A$6:$D$6961,2,0),IF(A1759="COTAÇÃO",VLOOKUP(B1759,'036-20-Cotação'!$A$9:$G$529,2,0))))</f>
        <v>PEDREIRO</v>
      </c>
      <c r="D1759" s="452" t="str">
        <f>IF(A1759="SERVIÇO",VLOOKUP(B1759,SERVIÇOS!$A$6:$E$7645,5,0),IF(A1759="INSUMO",VLOOKUP(B1759,INSUMOS!$A$6:$E$6961,5,0),IF(A1759="COTAÇÃO",VLOOKUP(B1759,'036-20-Cotação'!$A$9:$H$529,8,0))))</f>
        <v>M.O</v>
      </c>
      <c r="E1759" s="452" t="str">
        <f>IF(A1759="SERVIÇO",VLOOKUP(B1759,SERVIÇOS!$A$6:$D$7645,3,0),IF(A1759="INSUMO",VLOOKUP(B1759,INSUMOS!$A$6:$D$6961,3,0),IF(A1759="COTAÇÃO",VLOOKUP(B1759,'036-20-Cotação'!$A$9:$G$529,4,0))))</f>
        <v>H</v>
      </c>
      <c r="F1759" s="462">
        <f>2/124.5</f>
        <v>1.6064257028112448E-2</v>
      </c>
      <c r="G1759" s="453">
        <f>IF(A1759="SERVIÇO",VLOOKUP(B1759,SERVIÇOS!$A$6:$D$7645,4,0),IF(A1759="INSUMO",VLOOKUP(B1759,INSUMOS!$A$6:$D$6961,4,0),IF(A1759="COTAÇÃO",VLOOKUP(B1759,'036-20-Cotação'!$A$9:$G$529,3,0))))</f>
        <v>21.647600000000001</v>
      </c>
      <c r="H1759" s="463">
        <f t="shared" si="318"/>
        <v>0.34775261044176703</v>
      </c>
      <c r="J1759" s="201"/>
    </row>
    <row r="1760" spans="1:17" s="87" customFormat="1" ht="12.75">
      <c r="A1760" s="232" t="s">
        <v>4542</v>
      </c>
      <c r="B1760" s="464" t="s">
        <v>6602</v>
      </c>
      <c r="C1760" s="451" t="str">
        <f>IF(A1760="SERVIÇO",VLOOKUP(B1760,SERVIÇOS!$A$6:$D$7645,2,0),IF(A1760="INSUMO",VLOOKUP(B1760,INSUMOS!$A$6:$D$6961,2,0),IF(A1760="COTAÇÃO",VLOOKUP(B1760,'036-20-Cotação'!$A$9:$G$529,2,0))))</f>
        <v>SERVENTE</v>
      </c>
      <c r="D1760" s="452" t="str">
        <f>IF(A1760="SERVIÇO",VLOOKUP(B1760,SERVIÇOS!$A$6:$E$7645,5,0),IF(A1760="INSUMO",VLOOKUP(B1760,INSUMOS!$A$6:$E$6961,5,0),IF(A1760="COTAÇÃO",VLOOKUP(B1760,'036-20-Cotação'!$A$9:$H$529,8,0))))</f>
        <v>M.O</v>
      </c>
      <c r="E1760" s="452" t="str">
        <f>IF(A1760="SERVIÇO",VLOOKUP(B1760,SERVIÇOS!$A$6:$D$7645,3,0),IF(A1760="INSUMO",VLOOKUP(B1760,INSUMOS!$A$6:$D$6961,3,0),IF(A1760="COTAÇÃO",VLOOKUP(B1760,'036-20-Cotação'!$A$9:$G$529,4,0))))</f>
        <v>H</v>
      </c>
      <c r="F1760" s="462">
        <f>6/124.5</f>
        <v>4.8192771084337352E-2</v>
      </c>
      <c r="G1760" s="453">
        <f>IF(A1760="SERVIÇO",VLOOKUP(B1760,SERVIÇOS!$A$6:$D$7645,4,0),IF(A1760="INSUMO",VLOOKUP(B1760,INSUMOS!$A$6:$D$6961,4,0),IF(A1760="COTAÇÃO",VLOOKUP(B1760,'036-20-Cotação'!$A$9:$G$529,3,0))))</f>
        <v>15.637499999999999</v>
      </c>
      <c r="H1760" s="463">
        <f t="shared" si="318"/>
        <v>0.7536144578313253</v>
      </c>
      <c r="J1760" s="201"/>
    </row>
    <row r="1761" spans="1:17" s="87" customFormat="1" ht="12.75">
      <c r="A1761" s="232" t="s">
        <v>4544</v>
      </c>
      <c r="B1761" s="464" t="s">
        <v>11599</v>
      </c>
      <c r="C1761" s="451" t="str">
        <f>IF(A1761="SERVIÇO",VLOOKUP(B1761,SERVIÇOS!$A$6:$D$7645,2,0),IF(A1761="INSUMO",VLOOKUP(B1761,INSUMOS!$A$6:$D$6961,2,0),IF(A1761="COTAÇÃO",VLOOKUP(B1761,'036-20-Cotação'!$A$9:$G$529,2,0))))</f>
        <v>ADITIVO DE CURA PARA CONCRETO</v>
      </c>
      <c r="D1761" s="452" t="str">
        <f>IF(A1761="SERVIÇO",VLOOKUP(B1761,SERVIÇOS!$A$6:$E$7645,5,0),IF(A1761="INSUMO",VLOOKUP(B1761,INSUMOS!$A$6:$E$6961,5,0),IF(A1761="COTAÇÃO",VLOOKUP(B1761,'036-20-Cotação'!$A$9:$H$529,8,0))))</f>
        <v>MAT.</v>
      </c>
      <c r="E1761" s="452" t="str">
        <f>IF(A1761="SERVIÇO",VLOOKUP(B1761,SERVIÇOS!$A$6:$D$7645,3,0),IF(A1761="INSUMO",VLOOKUP(B1761,INSUMOS!$A$6:$D$6961,3,0),IF(A1761="COTAÇÃO",VLOOKUP(B1761,'036-20-Cotação'!$A$9:$G$529,4,0))))</f>
        <v>KG</v>
      </c>
      <c r="F1761" s="462">
        <v>0.2</v>
      </c>
      <c r="G1761" s="453">
        <f>IF(A1761="SERVIÇO",VLOOKUP(B1761,SERVIÇOS!$A$6:$D$7645,4,0),IF(A1761="INSUMO",VLOOKUP(B1761,INSUMOS!$A$6:$D$6961,4,0),IF(A1761="COTAÇÃO",VLOOKUP(B1761,'036-20-Cotação'!$A$9:$G$529,3,0))))</f>
        <v>8.7047000000000008</v>
      </c>
      <c r="H1761" s="463">
        <f t="shared" si="318"/>
        <v>1.7409400000000002</v>
      </c>
      <c r="J1761" s="201"/>
    </row>
    <row r="1762" spans="1:17" s="87" customFormat="1" ht="38.25">
      <c r="A1762" s="232" t="s">
        <v>4542</v>
      </c>
      <c r="B1762" s="464">
        <v>1107871</v>
      </c>
      <c r="C1762" s="451" t="str">
        <f>'036-20-CCA''s'!$C$461</f>
        <v>CONCRETO FCTM,K = 4,5 MPA - CONFECÇÃO EM CENTRAL DOSADORA DE 30 M3/H - AREIA E BRITA COMERCIAIS</v>
      </c>
      <c r="D1762" s="452" t="str">
        <f>'036-20-CCA''s'!$D$461</f>
        <v>SER.CG</v>
      </c>
      <c r="E1762" s="452" t="str">
        <f>'036-20-CCA''s'!$E$461</f>
        <v>M3</v>
      </c>
      <c r="F1762" s="462">
        <v>0.2</v>
      </c>
      <c r="G1762" s="453">
        <f>'036-20-CCA''s'!$H$461</f>
        <v>355.05096818799757</v>
      </c>
      <c r="H1762" s="463">
        <f t="shared" si="318"/>
        <v>71.010193637599514</v>
      </c>
      <c r="J1762" s="201"/>
    </row>
    <row r="1763" spans="1:17" s="87" customFormat="1" ht="25.5">
      <c r="A1763" s="232" t="s">
        <v>4542</v>
      </c>
      <c r="B1763" s="464">
        <v>408067</v>
      </c>
      <c r="C1763" s="451" t="str">
        <f>'036-20-CCA''s'!$C$477</f>
        <v>TELA DE AÇO ELETROSOLDADA - FORNECIMENTO, PREPARO E COLOCAÇÃO</v>
      </c>
      <c r="D1763" s="452" t="str">
        <f>'036-20-CCA''s'!$D$477</f>
        <v>SER.CG</v>
      </c>
      <c r="E1763" s="452" t="str">
        <f>'036-20-CCA''s'!$E$477</f>
        <v>KG</v>
      </c>
      <c r="F1763" s="462">
        <v>5.37</v>
      </c>
      <c r="G1763" s="453">
        <f>'036-20-CCA''s'!$H$477</f>
        <v>6.0581460958053688</v>
      </c>
      <c r="H1763" s="463">
        <f t="shared" si="318"/>
        <v>32.532244534474827</v>
      </c>
      <c r="J1763" s="201"/>
    </row>
    <row r="1764" spans="1:17" s="87" customFormat="1" ht="25.5">
      <c r="A1764" s="232" t="s">
        <v>4542</v>
      </c>
      <c r="B1764" s="464" t="s">
        <v>13326</v>
      </c>
      <c r="C1764" s="451" t="str">
        <f>'036-20-CCA''s'!$C$456</f>
        <v>TEMPO FIXO - CAMINHÃO BETONEIRA - CARGA, MANOBRA E DESCARGA</v>
      </c>
      <c r="D1764" s="452" t="str">
        <f>'036-20-CCA''s'!$D$456</f>
        <v>SER.CG</v>
      </c>
      <c r="E1764" s="452" t="str">
        <f>'036-20-CCA''s'!$E$456</f>
        <v>T</v>
      </c>
      <c r="F1764" s="462">
        <v>0.48</v>
      </c>
      <c r="G1764" s="453">
        <f>'036-20-CCA''s'!$H$456</f>
        <v>9.7544484605087032</v>
      </c>
      <c r="H1764" s="463">
        <f t="shared" ref="H1764" si="320">G1764*F1764</f>
        <v>4.6821352610441771</v>
      </c>
      <c r="J1764" s="201"/>
    </row>
    <row r="1765" spans="1:17" s="87" customFormat="1" ht="25.5">
      <c r="A1765" s="232" t="s">
        <v>4542</v>
      </c>
      <c r="B1765" s="464" t="s">
        <v>13206</v>
      </c>
      <c r="C1765" s="451" t="str">
        <f>'036-20-CCA''s'!$C$281</f>
        <v>TEMPO FIXO - CAMINHÃO CARROCERIA 15 T - CARGA E DESCARGA MANUAIS</v>
      </c>
      <c r="D1765" s="452" t="str">
        <f>'036-20-CCA''s'!$D$281</f>
        <v>SER.CG</v>
      </c>
      <c r="E1765" s="452" t="str">
        <f>'036-20-CCA''s'!$E$281</f>
        <v>T</v>
      </c>
      <c r="F1765" s="462">
        <f>0.0002+0.00537</f>
        <v>5.5699999999999994E-3</v>
      </c>
      <c r="G1765" s="453">
        <f>'036-20-CCA''s'!$H$281</f>
        <v>20.925562080536913</v>
      </c>
      <c r="H1765" s="463">
        <f t="shared" si="318"/>
        <v>0.1165553807885906</v>
      </c>
      <c r="J1765" s="201"/>
    </row>
    <row r="1766" spans="1:17" s="87" customFormat="1" ht="12.75">
      <c r="A1766" s="188"/>
      <c r="B1766" s="348" t="s">
        <v>123</v>
      </c>
      <c r="C1766" s="695" t="s">
        <v>13325</v>
      </c>
      <c r="D1766" s="696"/>
      <c r="E1766" s="696"/>
      <c r="F1766" s="696"/>
      <c r="G1766" s="696"/>
      <c r="H1766" s="697"/>
      <c r="J1766" s="201"/>
      <c r="K1766" s="78"/>
      <c r="L1766" s="78"/>
      <c r="M1766" s="78"/>
      <c r="N1766" s="78"/>
      <c r="O1766" s="78"/>
      <c r="P1766" s="78"/>
      <c r="Q1766" s="78"/>
    </row>
    <row r="1767" spans="1:17" s="87" customFormat="1" ht="12.75">
      <c r="A1767" s="188"/>
      <c r="B1767" s="346"/>
      <c r="C1767" s="486"/>
      <c r="D1767" s="486"/>
      <c r="E1767" s="486"/>
      <c r="F1767" s="486"/>
      <c r="G1767" s="486"/>
      <c r="H1767" s="487"/>
      <c r="J1767" s="201"/>
      <c r="K1767" s="78"/>
      <c r="L1767" s="78"/>
      <c r="M1767" s="78"/>
      <c r="N1767" s="78"/>
      <c r="O1767" s="78"/>
      <c r="P1767" s="78"/>
      <c r="Q1767" s="78"/>
    </row>
    <row r="1768" spans="1:17" s="87" customFormat="1" ht="25.5">
      <c r="A1768" s="188"/>
      <c r="B1768" s="80">
        <v>4011279</v>
      </c>
      <c r="C1768" s="81" t="s">
        <v>6575</v>
      </c>
      <c r="D1768" s="82" t="s">
        <v>84</v>
      </c>
      <c r="E1768" s="82" t="s">
        <v>172</v>
      </c>
      <c r="F1768" s="83"/>
      <c r="G1768" s="84"/>
      <c r="H1768" s="85">
        <f>SUM(H1769:H1777)</f>
        <v>127.9943693724244</v>
      </c>
      <c r="J1768" s="201" t="s">
        <v>13339</v>
      </c>
      <c r="K1768" s="78"/>
      <c r="L1768" s="78"/>
      <c r="M1768" s="78"/>
      <c r="N1768" s="78"/>
      <c r="O1768" s="78"/>
      <c r="P1768" s="78"/>
      <c r="Q1768" s="78"/>
    </row>
    <row r="1769" spans="1:17" s="87" customFormat="1" ht="25.5">
      <c r="A1769" s="232" t="s">
        <v>4542</v>
      </c>
      <c r="B1769" s="464" t="s">
        <v>8994</v>
      </c>
      <c r="C1769" s="451" t="str">
        <f>IF(A1769="SERVIÇO",VLOOKUP(B1769,SERVIÇOS!$A$6:$D$7645,2,0),IF(A1769="INSUMO",VLOOKUP(B1769,INSUMOS!$A$6:$D$6961,2,0),IF(A1769="COTAÇÃO",VLOOKUP(B1769,'036-20-Cotação'!$A$9:$G$529,2,0))))</f>
        <v>DISTRIBUIDOR DE AGREGADOS AUTOPROPELIDO - 130 KW</v>
      </c>
      <c r="D1769" s="452" t="str">
        <f>IF(A1769="SERVIÇO",VLOOKUP(B1769,SERVIÇOS!$A$6:$E$7645,5,0),IF(A1769="INSUMO",VLOOKUP(B1769,INSUMOS!$A$6:$E$6961,5,0),IF(A1769="COTAÇÃO",VLOOKUP(B1769,'036-20-Cotação'!$A$9:$H$529,8,0))))</f>
        <v>EQUIP.</v>
      </c>
      <c r="E1769" s="452" t="str">
        <f>IF(A1769="SERVIÇO",VLOOKUP(B1769,SERVIÇOS!$A$6:$D$7645,3,0),IF(A1769="INSUMO",VLOOKUP(B1769,INSUMOS!$A$6:$D$6961,3,0),IF(A1769="COTAÇÃO",VLOOKUP(B1769,'036-20-Cotação'!$A$9:$G$529,4,0))))</f>
        <v>CHP</v>
      </c>
      <c r="F1769" s="462">
        <f>1/135.77</f>
        <v>7.365397363187743E-3</v>
      </c>
      <c r="G1769" s="453">
        <f>IF(A1769="SERVIÇO",VLOOKUP(B1769,SERVIÇOS!$A$6:$D$7645,4,0),IF(A1769="INSUMO",VLOOKUP(B1769,INSUMOS!$A$6:$D$6961,4,0),IF(A1769="COTAÇÃO",VLOOKUP(B1769,'036-20-Cotação'!$A$9:$G$529,3,0))))</f>
        <v>173.81970000000001</v>
      </c>
      <c r="H1769" s="463">
        <f t="shared" ref="H1769:H1777" si="321">G1769*F1769</f>
        <v>1.2802511600500845</v>
      </c>
      <c r="J1769" s="201"/>
    </row>
    <row r="1770" spans="1:17" s="87" customFormat="1" ht="25.5">
      <c r="A1770" s="232" t="s">
        <v>4542</v>
      </c>
      <c r="B1770" s="464" t="s">
        <v>9023</v>
      </c>
      <c r="C1770" s="451" t="str">
        <f>IF(A1770="SERVIÇO",VLOOKUP(B1770,SERVIÇOS!$A$6:$D$7645,2,0),IF(A1770="INSUMO",VLOOKUP(B1770,INSUMOS!$A$6:$D$6961,2,0),IF(A1770="COTAÇÃO",VLOOKUP(B1770,'036-20-Cotação'!$A$9:$G$529,2,0))))</f>
        <v>ROLO COMPACTADOR LISO AUTOPROPELIDO VIBRATÓRIO DE 11 T - 97 KW</v>
      </c>
      <c r="D1770" s="452" t="str">
        <f>IF(A1770="SERVIÇO",VLOOKUP(B1770,SERVIÇOS!$A$6:$E$7645,5,0),IF(A1770="INSUMO",VLOOKUP(B1770,INSUMOS!$A$6:$E$6961,5,0),IF(A1770="COTAÇÃO",VLOOKUP(B1770,'036-20-Cotação'!$A$9:$H$529,8,0))))</f>
        <v>EQUIP.</v>
      </c>
      <c r="E1770" s="452" t="str">
        <f>IF(A1770="SERVIÇO",VLOOKUP(B1770,SERVIÇOS!$A$6:$D$7645,3,0),IF(A1770="INSUMO",VLOOKUP(B1770,INSUMOS!$A$6:$D$6961,3,0),IF(A1770="COTAÇÃO",VLOOKUP(B1770,'036-20-Cotação'!$A$9:$G$529,4,0))))</f>
        <v>CHP</v>
      </c>
      <c r="F1770" s="462">
        <f>0.63/135.77</f>
        <v>4.640200338808278E-3</v>
      </c>
      <c r="G1770" s="453">
        <f>IF(A1770="SERVIÇO",VLOOKUP(B1770,SERVIÇOS!$A$6:$D$7645,4,0),IF(A1770="INSUMO",VLOOKUP(B1770,INSUMOS!$A$6:$D$6961,4,0),IF(A1770="COTAÇÃO",VLOOKUP(B1770,'036-20-Cotação'!$A$9:$G$529,3,0))))</f>
        <v>134.5857</v>
      </c>
      <c r="H1770" s="463">
        <f t="shared" si="321"/>
        <v>0.6245046107387493</v>
      </c>
      <c r="J1770" s="201"/>
    </row>
    <row r="1771" spans="1:17" s="87" customFormat="1" ht="25.5">
      <c r="A1771" s="232" t="s">
        <v>4542</v>
      </c>
      <c r="B1771" s="464" t="s">
        <v>9758</v>
      </c>
      <c r="C1771" s="451" t="str">
        <f>IF(A1771="SERVIÇO",VLOOKUP(B1771,SERVIÇOS!$A$6:$D$7645,2,0),IF(A1771="INSUMO",VLOOKUP(B1771,INSUMOS!$A$6:$D$6961,2,0),IF(A1771="COTAÇÃO",VLOOKUP(B1771,'036-20-Cotação'!$A$9:$G$529,2,0))))</f>
        <v>ROLO COMPACTADOR LISO AUTOPROPELIDO VIBRATÓRIO DE 11 T - 97 KW</v>
      </c>
      <c r="D1771" s="452" t="str">
        <f>IF(A1771="SERVIÇO",VLOOKUP(B1771,SERVIÇOS!$A$6:$E$7645,5,0),IF(A1771="INSUMO",VLOOKUP(B1771,INSUMOS!$A$6:$E$6961,5,0),IF(A1771="COTAÇÃO",VLOOKUP(B1771,'036-20-Cotação'!$A$9:$H$529,8,0))))</f>
        <v>EQUIP.</v>
      </c>
      <c r="E1771" s="452" t="str">
        <f>IF(A1771="SERVIÇO",VLOOKUP(B1771,SERVIÇOS!$A$6:$D$7645,3,0),IF(A1771="INSUMO",VLOOKUP(B1771,INSUMOS!$A$6:$D$6961,3,0),IF(A1771="COTAÇÃO",VLOOKUP(B1771,'036-20-Cotação'!$A$9:$G$529,4,0))))</f>
        <v>CHI</v>
      </c>
      <c r="F1771" s="462">
        <f>0.37/135.77</f>
        <v>2.725197024379465E-3</v>
      </c>
      <c r="G1771" s="453">
        <f>IF(A1771="SERVIÇO",VLOOKUP(B1771,SERVIÇOS!$A$6:$D$7645,4,0),IF(A1771="INSUMO",VLOOKUP(B1771,INSUMOS!$A$6:$D$6961,4,0),IF(A1771="COTAÇÃO",VLOOKUP(B1771,'036-20-Cotação'!$A$9:$G$529,3,0))))</f>
        <v>53.485100000000003</v>
      </c>
      <c r="H1771" s="463">
        <f t="shared" ref="H1771" si="322">G1771*F1771</f>
        <v>0.14575743536863814</v>
      </c>
      <c r="J1771" s="201"/>
    </row>
    <row r="1772" spans="1:17" s="87" customFormat="1" ht="12.75">
      <c r="A1772" s="232" t="s">
        <v>4542</v>
      </c>
      <c r="B1772" s="464" t="s">
        <v>6602</v>
      </c>
      <c r="C1772" s="451" t="str">
        <f>IF(A1772="SERVIÇO",VLOOKUP(B1772,SERVIÇOS!$A$6:$D$7645,2,0),IF(A1772="INSUMO",VLOOKUP(B1772,INSUMOS!$A$6:$D$6961,2,0),IF(A1772="COTAÇÃO",VLOOKUP(B1772,'036-20-Cotação'!$A$9:$G$529,2,0))))</f>
        <v>SERVENTE</v>
      </c>
      <c r="D1772" s="452" t="str">
        <f>IF(A1772="SERVIÇO",VLOOKUP(B1772,SERVIÇOS!$A$6:$E$7645,5,0),IF(A1772="INSUMO",VLOOKUP(B1772,INSUMOS!$A$6:$E$6961,5,0),IF(A1772="COTAÇÃO",VLOOKUP(B1772,'036-20-Cotação'!$A$9:$H$529,8,0))))</f>
        <v>M.O</v>
      </c>
      <c r="E1772" s="452" t="str">
        <f>IF(A1772="SERVIÇO",VLOOKUP(B1772,SERVIÇOS!$A$6:$D$7645,3,0),IF(A1772="INSUMO",VLOOKUP(B1772,INSUMOS!$A$6:$D$6961,3,0),IF(A1772="COTAÇÃO",VLOOKUP(B1772,'036-20-Cotação'!$A$9:$G$529,4,0))))</f>
        <v>H</v>
      </c>
      <c r="F1772" s="462">
        <f>2/135.77</f>
        <v>1.4730794726375486E-2</v>
      </c>
      <c r="G1772" s="453">
        <f>IF(A1772="SERVIÇO",VLOOKUP(B1772,SERVIÇOS!$A$6:$D$7645,4,0),IF(A1772="INSUMO",VLOOKUP(B1772,INSUMOS!$A$6:$D$6961,4,0),IF(A1772="COTAÇÃO",VLOOKUP(B1772,'036-20-Cotação'!$A$9:$G$529,3,0))))</f>
        <v>15.637499999999999</v>
      </c>
      <c r="H1772" s="463">
        <f t="shared" si="321"/>
        <v>0.23035280253369664</v>
      </c>
      <c r="J1772" s="201"/>
    </row>
    <row r="1773" spans="1:17" s="87" customFormat="1" ht="12.75">
      <c r="A1773" s="232" t="s">
        <v>4542</v>
      </c>
      <c r="B1773" s="464" t="s">
        <v>13130</v>
      </c>
      <c r="C1773" s="451" t="s">
        <v>13131</v>
      </c>
      <c r="D1773" s="452"/>
      <c r="E1773" s="452"/>
      <c r="F1773" s="462">
        <v>7.4599999999999996E-3</v>
      </c>
      <c r="G1773" s="453">
        <f>SUM(H1769:H1772)</f>
        <v>2.2808660086911687</v>
      </c>
      <c r="H1773" s="463">
        <f t="shared" si="321"/>
        <v>1.7015260424836118E-2</v>
      </c>
      <c r="J1773" s="201"/>
    </row>
    <row r="1774" spans="1:17" s="87" customFormat="1" ht="12.75">
      <c r="A1774" s="232" t="s">
        <v>4544</v>
      </c>
      <c r="B1774" s="464" t="s">
        <v>10624</v>
      </c>
      <c r="C1774" s="451" t="str">
        <f>IF(A1774="SERVIÇO",VLOOKUP(B1774,SERVIÇOS!$A$6:$D$7645,2,0),IF(A1774="INSUMO",VLOOKUP(B1774,INSUMOS!$A$6:$D$6961,2,0),IF(A1774="COTAÇÃO",VLOOKUP(B1774,'036-20-Cotação'!$A$9:$G$529,2,0))))</f>
        <v>BRITA 4 (RACHINHA)</v>
      </c>
      <c r="D1774" s="452" t="str">
        <f>IF(A1774="SERVIÇO",VLOOKUP(B1774,SERVIÇOS!$A$6:$E$7645,5,0),IF(A1774="INSUMO",VLOOKUP(B1774,INSUMOS!$A$6:$E$6961,5,0),IF(A1774="COTAÇÃO",VLOOKUP(B1774,'036-20-Cotação'!$A$9:$H$529,8,0))))</f>
        <v>MAT.</v>
      </c>
      <c r="E1774" s="452" t="str">
        <f>IF(A1774="SERVIÇO",VLOOKUP(B1774,SERVIÇOS!$A$6:$D$7645,3,0),IF(A1774="INSUMO",VLOOKUP(B1774,INSUMOS!$A$6:$D$6961,3,0),IF(A1774="COTAÇÃO",VLOOKUP(B1774,'036-20-Cotação'!$A$9:$G$529,4,0))))</f>
        <v>M³</v>
      </c>
      <c r="F1774" s="462">
        <v>1.1000000000000001</v>
      </c>
      <c r="G1774" s="453">
        <f>IF(A1774="SERVIÇO",VLOOKUP(B1774,SERVIÇOS!$A$6:$D$7645,4,0),IF(A1774="INSUMO",VLOOKUP(B1774,INSUMOS!$A$6:$D$6961,4,0),IF(A1774="COTAÇÃO",VLOOKUP(B1774,'036-20-Cotação'!$A$9:$G$529,3,0))))</f>
        <v>84.151399999999995</v>
      </c>
      <c r="H1774" s="463">
        <f t="shared" si="321"/>
        <v>92.566540000000003</v>
      </c>
      <c r="J1774" s="201"/>
    </row>
    <row r="1775" spans="1:17" s="87" customFormat="1" ht="12.75">
      <c r="A1775" s="232" t="s">
        <v>4544</v>
      </c>
      <c r="B1775" s="464" t="s">
        <v>10788</v>
      </c>
      <c r="C1775" s="451" t="str">
        <f>IF(A1775="SERVIÇO",VLOOKUP(B1775,SERVIÇOS!$A$6:$D$7645,2,0),IF(A1775="INSUMO",VLOOKUP(B1775,INSUMOS!$A$6:$D$6961,2,0),IF(A1775="COTAÇÃO",VLOOKUP(B1775,'036-20-Cotação'!$A$9:$G$529,2,0))))</f>
        <v>PEDRISCO</v>
      </c>
      <c r="D1775" s="452" t="str">
        <f>IF(A1775="SERVIÇO",VLOOKUP(B1775,SERVIÇOS!$A$6:$E$7645,5,0),IF(A1775="INSUMO",VLOOKUP(B1775,INSUMOS!$A$6:$E$6961,5,0),IF(A1775="COTAÇÃO",VLOOKUP(B1775,'036-20-Cotação'!$A$9:$H$529,8,0))))</f>
        <v>MAT.</v>
      </c>
      <c r="E1775" s="452" t="str">
        <f>IF(A1775="SERVIÇO",VLOOKUP(B1775,SERVIÇOS!$A$6:$D$7645,3,0),IF(A1775="INSUMO",VLOOKUP(B1775,INSUMOS!$A$6:$D$6961,3,0),IF(A1775="COTAÇÃO",VLOOKUP(B1775,'036-20-Cotação'!$A$9:$G$529,4,0))))</f>
        <v>M³</v>
      </c>
      <c r="F1775" s="462">
        <v>0.15</v>
      </c>
      <c r="G1775" s="453">
        <f>IF(A1775="SERVIÇO",VLOOKUP(B1775,SERVIÇOS!$A$6:$D$7645,4,0),IF(A1775="INSUMO",VLOOKUP(B1775,INSUMOS!$A$6:$D$6961,4,0),IF(A1775="COTAÇÃO",VLOOKUP(B1775,'036-20-Cotação'!$A$9:$G$529,3,0))))</f>
        <v>124.4337</v>
      </c>
      <c r="H1775" s="463">
        <f t="shared" si="321"/>
        <v>18.665054999999999</v>
      </c>
      <c r="J1775" s="201"/>
    </row>
    <row r="1776" spans="1:17" s="87" customFormat="1" ht="12.75">
      <c r="A1776" s="232" t="s">
        <v>4544</v>
      </c>
      <c r="B1776" s="464" t="s">
        <v>10802</v>
      </c>
      <c r="C1776" s="451" t="str">
        <f>IF(A1776="SERVIÇO",VLOOKUP(B1776,SERVIÇOS!$A$6:$D$7645,2,0),IF(A1776="INSUMO",VLOOKUP(B1776,INSUMOS!$A$6:$D$6961,2,0),IF(A1776="COTAÇÃO",VLOOKUP(B1776,'036-20-Cotação'!$A$9:$G$529,2,0))))</f>
        <v>PÓ DE PEDRA</v>
      </c>
      <c r="D1776" s="452" t="str">
        <f>IF(A1776="SERVIÇO",VLOOKUP(B1776,SERVIÇOS!$A$6:$E$7645,5,0),IF(A1776="INSUMO",VLOOKUP(B1776,INSUMOS!$A$6:$E$6961,5,0),IF(A1776="COTAÇÃO",VLOOKUP(B1776,'036-20-Cotação'!$A$9:$H$529,8,0))))</f>
        <v>MAT.</v>
      </c>
      <c r="E1776" s="452" t="str">
        <f>IF(A1776="SERVIÇO",VLOOKUP(B1776,SERVIÇOS!$A$6:$D$7645,3,0),IF(A1776="INSUMO",VLOOKUP(B1776,INSUMOS!$A$6:$D$6961,3,0),IF(A1776="COTAÇÃO",VLOOKUP(B1776,'036-20-Cotação'!$A$9:$G$529,4,0))))</f>
        <v>M³</v>
      </c>
      <c r="F1776" s="462">
        <v>0.15</v>
      </c>
      <c r="G1776" s="453">
        <f>IF(A1776="SERVIÇO",VLOOKUP(B1776,SERVIÇOS!$A$6:$D$7645,4,0),IF(A1776="INSUMO",VLOOKUP(B1776,INSUMOS!$A$6:$D$6961,4,0),IF(A1776="COTAÇÃO",VLOOKUP(B1776,'036-20-Cotação'!$A$9:$G$529,3,0))))</f>
        <v>77.578500000000005</v>
      </c>
      <c r="H1776" s="463">
        <f t="shared" si="321"/>
        <v>11.636775</v>
      </c>
      <c r="J1776" s="201"/>
    </row>
    <row r="1777" spans="1:17" s="87" customFormat="1" ht="38.25">
      <c r="A1777" s="232" t="s">
        <v>4544</v>
      </c>
      <c r="B1777" s="464" t="s">
        <v>13336</v>
      </c>
      <c r="C1777" s="451" t="str">
        <f>'036-20-CCA''s'!$C$485</f>
        <v>TEMPO FIXO - CAMINHÃO BASCULANTE 10 M3 - CARGA COM CARREGADEIRA (EXCLUSA) E DESCARGA NO DISTRIBUIDOR AUTOPROPELIDO</v>
      </c>
      <c r="D1777" s="452" t="str">
        <f>'036-20-CCA''s'!$D$485</f>
        <v>SER.CG</v>
      </c>
      <c r="E1777" s="452" t="str">
        <f>'036-20-CCA''s'!$E$485</f>
        <v>T</v>
      </c>
      <c r="F1777" s="462">
        <f>1.65+0.225+0.225</f>
        <v>2.1</v>
      </c>
      <c r="G1777" s="453">
        <f>'036-20-CCA''s'!$H$485</f>
        <v>1.3467229063373296</v>
      </c>
      <c r="H1777" s="463">
        <f t="shared" si="321"/>
        <v>2.8281181033083924</v>
      </c>
      <c r="J1777" s="201"/>
    </row>
    <row r="1778" spans="1:17" s="87" customFormat="1" ht="12.75">
      <c r="A1778" s="188"/>
      <c r="B1778" s="348" t="s">
        <v>123</v>
      </c>
      <c r="C1778" s="695" t="s">
        <v>13335</v>
      </c>
      <c r="D1778" s="696"/>
      <c r="E1778" s="696"/>
      <c r="F1778" s="696"/>
      <c r="G1778" s="696"/>
      <c r="H1778" s="697"/>
      <c r="J1778" s="201"/>
      <c r="K1778" s="78"/>
      <c r="L1778" s="78"/>
      <c r="M1778" s="78"/>
      <c r="N1778" s="78"/>
      <c r="O1778" s="78"/>
      <c r="P1778" s="78"/>
      <c r="Q1778" s="78"/>
    </row>
    <row r="1779" spans="1:17" s="87" customFormat="1" ht="12.75">
      <c r="A1779" s="188"/>
      <c r="B1779" s="346"/>
      <c r="C1779" s="486"/>
      <c r="D1779" s="486"/>
      <c r="E1779" s="486"/>
      <c r="F1779" s="486"/>
      <c r="G1779" s="486"/>
      <c r="H1779" s="487"/>
      <c r="J1779" s="201"/>
      <c r="K1779" s="78"/>
      <c r="L1779" s="78"/>
      <c r="M1779" s="78"/>
      <c r="N1779" s="78"/>
      <c r="O1779" s="78"/>
      <c r="P1779" s="78"/>
      <c r="Q1779" s="78"/>
    </row>
    <row r="1780" spans="1:17" s="87" customFormat="1" ht="51">
      <c r="A1780" s="188"/>
      <c r="B1780" s="80">
        <v>3205874</v>
      </c>
      <c r="C1780" s="81" t="s">
        <v>6585</v>
      </c>
      <c r="D1780" s="82" t="s">
        <v>84</v>
      </c>
      <c r="E1780" s="82" t="s">
        <v>150</v>
      </c>
      <c r="F1780" s="83"/>
      <c r="G1780" s="84"/>
      <c r="H1780" s="85">
        <f>SUM(H1781:H1787)</f>
        <v>188.15402832739812</v>
      </c>
      <c r="J1780" s="201" t="s">
        <v>13341</v>
      </c>
      <c r="K1780" s="78"/>
      <c r="L1780" s="78"/>
      <c r="M1780" s="78"/>
      <c r="N1780" s="78"/>
      <c r="O1780" s="78"/>
      <c r="P1780" s="78"/>
      <c r="Q1780" s="78"/>
    </row>
    <row r="1781" spans="1:17" s="87" customFormat="1" ht="12.75">
      <c r="A1781" s="232" t="s">
        <v>4542</v>
      </c>
      <c r="B1781" s="464" t="s">
        <v>9015</v>
      </c>
      <c r="C1781" s="451" t="str">
        <f>IF(A1781="SERVIÇO",VLOOKUP(B1781,SERVIÇOS!$A$6:$D$7645,2,0),IF(A1781="INSUMO",VLOOKUP(B1781,INSUMOS!$A$6:$D$6961,2,0),IF(A1781="COTAÇÃO",VLOOKUP(B1781,'036-20-Cotação'!$A$9:$G$529,2,0))))</f>
        <v>RETROESCAVADEIRA DE PNEUS - 58 KW</v>
      </c>
      <c r="D1781" s="452" t="str">
        <f>IF(A1781="SERVIÇO",VLOOKUP(B1781,SERVIÇOS!$A$6:$E$7645,5,0),IF(A1781="INSUMO",VLOOKUP(B1781,INSUMOS!$A$6:$E$6961,5,0),IF(A1781="COTAÇÃO",VLOOKUP(B1781,'036-20-Cotação'!$A$9:$H$529,8,0))))</f>
        <v>EQUIP.</v>
      </c>
      <c r="E1781" s="452" t="str">
        <f>IF(A1781="SERVIÇO",VLOOKUP(B1781,SERVIÇOS!$A$6:$D$7645,3,0),IF(A1781="INSUMO",VLOOKUP(B1781,INSUMOS!$A$6:$D$6961,3,0),IF(A1781="COTAÇÃO",VLOOKUP(B1781,'036-20-Cotação'!$A$9:$G$529,4,0))))</f>
        <v>CHP</v>
      </c>
      <c r="F1781" s="462">
        <f>1/12.5</f>
        <v>0.08</v>
      </c>
      <c r="G1781" s="453">
        <f>IF(A1781="SERVIÇO",VLOOKUP(B1781,SERVIÇOS!$A$6:$D$7645,4,0),IF(A1781="INSUMO",VLOOKUP(B1781,INSUMOS!$A$6:$D$6961,4,0),IF(A1781="COTAÇÃO",VLOOKUP(B1781,'036-20-Cotação'!$A$9:$G$529,3,0))))</f>
        <v>85.516999999999996</v>
      </c>
      <c r="H1781" s="463">
        <f t="shared" ref="H1781:H1787" si="323">G1781*F1781</f>
        <v>6.8413599999999999</v>
      </c>
      <c r="J1781" s="201"/>
    </row>
    <row r="1782" spans="1:17" s="87" customFormat="1" ht="12.75">
      <c r="A1782" s="232" t="s">
        <v>4542</v>
      </c>
      <c r="B1782" s="464" t="s">
        <v>6614</v>
      </c>
      <c r="C1782" s="451" t="str">
        <f>IF(A1782="SERVIÇO",VLOOKUP(B1782,SERVIÇOS!$A$6:$D$7645,2,0),IF(A1782="INSUMO",VLOOKUP(B1782,INSUMOS!$A$6:$D$6961,2,0),IF(A1782="COTAÇÃO",VLOOKUP(B1782,'036-20-Cotação'!$A$9:$G$529,2,0))))</f>
        <v>PEDREIRO</v>
      </c>
      <c r="D1782" s="452" t="str">
        <f>IF(A1782="SERVIÇO",VLOOKUP(B1782,SERVIÇOS!$A$6:$E$7645,5,0),IF(A1782="INSUMO",VLOOKUP(B1782,INSUMOS!$A$6:$E$6961,5,0),IF(A1782="COTAÇÃO",VLOOKUP(B1782,'036-20-Cotação'!$A$9:$H$529,8,0))))</f>
        <v>M.O</v>
      </c>
      <c r="E1782" s="452" t="str">
        <f>IF(A1782="SERVIÇO",VLOOKUP(B1782,SERVIÇOS!$A$6:$D$7645,3,0),IF(A1782="INSUMO",VLOOKUP(B1782,INSUMOS!$A$6:$D$6961,3,0),IF(A1782="COTAÇÃO",VLOOKUP(B1782,'036-20-Cotação'!$A$9:$G$529,4,0))))</f>
        <v>H</v>
      </c>
      <c r="F1782" s="462">
        <f>4/12.5</f>
        <v>0.32</v>
      </c>
      <c r="G1782" s="453">
        <f>IF(A1782="SERVIÇO",VLOOKUP(B1782,SERVIÇOS!$A$6:$D$7645,4,0),IF(A1782="INSUMO",VLOOKUP(B1782,INSUMOS!$A$6:$D$6961,4,0),IF(A1782="COTAÇÃO",VLOOKUP(B1782,'036-20-Cotação'!$A$9:$G$529,3,0))))</f>
        <v>21.647600000000001</v>
      </c>
      <c r="H1782" s="463">
        <f t="shared" si="323"/>
        <v>6.9272320000000001</v>
      </c>
      <c r="J1782" s="201"/>
    </row>
    <row r="1783" spans="1:17" s="87" customFormat="1" ht="12.75">
      <c r="A1783" s="232" t="s">
        <v>4542</v>
      </c>
      <c r="B1783" s="464" t="s">
        <v>6602</v>
      </c>
      <c r="C1783" s="451" t="str">
        <f>IF(A1783="SERVIÇO",VLOOKUP(B1783,SERVIÇOS!$A$6:$D$7645,2,0),IF(A1783="INSUMO",VLOOKUP(B1783,INSUMOS!$A$6:$D$6961,2,0),IF(A1783="COTAÇÃO",VLOOKUP(B1783,'036-20-Cotação'!$A$9:$G$529,2,0))))</f>
        <v>SERVENTE</v>
      </c>
      <c r="D1783" s="452" t="str">
        <f>IF(A1783="SERVIÇO",VLOOKUP(B1783,SERVIÇOS!$A$6:$E$7645,5,0),IF(A1783="INSUMO",VLOOKUP(B1783,INSUMOS!$A$6:$E$6961,5,0),IF(A1783="COTAÇÃO",VLOOKUP(B1783,'036-20-Cotação'!$A$9:$H$529,8,0))))</f>
        <v>M.O</v>
      </c>
      <c r="E1783" s="452" t="str">
        <f>IF(A1783="SERVIÇO",VLOOKUP(B1783,SERVIÇOS!$A$6:$D$7645,3,0),IF(A1783="INSUMO",VLOOKUP(B1783,INSUMOS!$A$6:$D$6961,3,0),IF(A1783="COTAÇÃO",VLOOKUP(B1783,'036-20-Cotação'!$A$9:$G$529,4,0))))</f>
        <v>H</v>
      </c>
      <c r="F1783" s="462">
        <f>8/12.5</f>
        <v>0.64</v>
      </c>
      <c r="G1783" s="453">
        <f>IF(A1783="SERVIÇO",VLOOKUP(B1783,SERVIÇOS!$A$6:$D$7645,4,0),IF(A1783="INSUMO",VLOOKUP(B1783,INSUMOS!$A$6:$D$6961,4,0),IF(A1783="COTAÇÃO",VLOOKUP(B1783,'036-20-Cotação'!$A$9:$G$529,3,0))))</f>
        <v>15.637499999999999</v>
      </c>
      <c r="H1783" s="463">
        <f t="shared" si="323"/>
        <v>10.007999999999999</v>
      </c>
      <c r="J1783" s="201"/>
    </row>
    <row r="1784" spans="1:17" s="87" customFormat="1" ht="25.5">
      <c r="A1784" s="232" t="s">
        <v>4544</v>
      </c>
      <c r="B1784" s="464" t="s">
        <v>10396</v>
      </c>
      <c r="C1784" s="451" t="str">
        <f>IF(A1784="SERVIÇO",VLOOKUP(B1784,SERVIÇOS!$A$6:$D$7645,2,0),IF(A1784="INSUMO",VLOOKUP(B1784,INSUMOS!$A$6:$D$6961,2,0),IF(A1784="COTAÇÃO",VLOOKUP(B1784,'036-20-Cotação'!$A$9:$G$529,2,0))))</f>
        <v>GABIÃO COLCHÃO ZN/AL + POLÍMERO - E = 0,23 M E D = 2,00 MM</v>
      </c>
      <c r="D1784" s="452" t="str">
        <f>IF(A1784="SERVIÇO",VLOOKUP(B1784,SERVIÇOS!$A$6:$E$7645,5,0),IF(A1784="INSUMO",VLOOKUP(B1784,INSUMOS!$A$6:$E$6961,5,0),IF(A1784="COTAÇÃO",VLOOKUP(B1784,'036-20-Cotação'!$A$9:$H$529,8,0))))</f>
        <v>MAT.</v>
      </c>
      <c r="E1784" s="452" t="str">
        <f>IF(A1784="SERVIÇO",VLOOKUP(B1784,SERVIÇOS!$A$6:$D$7645,3,0),IF(A1784="INSUMO",VLOOKUP(B1784,INSUMOS!$A$6:$D$6961,3,0),IF(A1784="COTAÇÃO",VLOOKUP(B1784,'036-20-Cotação'!$A$9:$G$529,4,0))))</f>
        <v>M²</v>
      </c>
      <c r="F1784" s="462">
        <v>1</v>
      </c>
      <c r="G1784" s="453">
        <f>IF(A1784="SERVIÇO",VLOOKUP(B1784,SERVIÇOS!$A$6:$D$7645,4,0),IF(A1784="INSUMO",VLOOKUP(B1784,INSUMOS!$A$6:$D$6961,4,0),IF(A1784="COTAÇÃO",VLOOKUP(B1784,'036-20-Cotação'!$A$9:$G$529,3,0))))</f>
        <v>142.6302</v>
      </c>
      <c r="H1784" s="463">
        <f t="shared" si="323"/>
        <v>142.6302</v>
      </c>
      <c r="J1784" s="201"/>
    </row>
    <row r="1785" spans="1:17" s="87" customFormat="1" ht="12.75">
      <c r="A1785" s="232" t="s">
        <v>4544</v>
      </c>
      <c r="B1785" s="464" t="s">
        <v>10786</v>
      </c>
      <c r="C1785" s="451" t="str">
        <f>IF(A1785="SERVIÇO",VLOOKUP(B1785,SERVIÇOS!$A$6:$D$7645,2,0),IF(A1785="INSUMO",VLOOKUP(B1785,INSUMOS!$A$6:$D$6961,2,0),IF(A1785="COTAÇÃO",VLOOKUP(B1785,'036-20-Cotação'!$A$9:$G$529,2,0))))</f>
        <v>PEDRA DE MÃO</v>
      </c>
      <c r="D1785" s="452" t="str">
        <f>IF(A1785="SERVIÇO",VLOOKUP(B1785,SERVIÇOS!$A$6:$E$7645,5,0),IF(A1785="INSUMO",VLOOKUP(B1785,INSUMOS!$A$6:$E$6961,5,0),IF(A1785="COTAÇÃO",VLOOKUP(B1785,'036-20-Cotação'!$A$9:$H$529,8,0))))</f>
        <v>MAT.</v>
      </c>
      <c r="E1785" s="452" t="str">
        <f>IF(A1785="SERVIÇO",VLOOKUP(B1785,SERVIÇOS!$A$6:$D$7645,3,0),IF(A1785="INSUMO",VLOOKUP(B1785,INSUMOS!$A$6:$D$6961,3,0),IF(A1785="COTAÇÃO",VLOOKUP(B1785,'036-20-Cotação'!$A$9:$G$529,4,0))))</f>
        <v>M³</v>
      </c>
      <c r="F1785" s="462">
        <v>0.26</v>
      </c>
      <c r="G1785" s="453">
        <f>IF(A1785="SERVIÇO",VLOOKUP(B1785,SERVIÇOS!$A$6:$D$7645,4,0),IF(A1785="INSUMO",VLOOKUP(B1785,INSUMOS!$A$6:$D$6961,4,0),IF(A1785="COTAÇÃO",VLOOKUP(B1785,'036-20-Cotação'!$A$9:$G$529,3,0))))</f>
        <v>81.9559</v>
      </c>
      <c r="H1785" s="463">
        <f t="shared" si="323"/>
        <v>21.308534000000002</v>
      </c>
      <c r="J1785" s="201"/>
    </row>
    <row r="1786" spans="1:17" s="87" customFormat="1" ht="25.5">
      <c r="A1786" s="232" t="s">
        <v>4542</v>
      </c>
      <c r="B1786" s="464" t="s">
        <v>13206</v>
      </c>
      <c r="C1786" s="451" t="str">
        <f>'036-20-CCA''s'!$C$281</f>
        <v>TEMPO FIXO - CAMINHÃO CARROCERIA 15 T - CARGA E DESCARGA MANUAIS</v>
      </c>
      <c r="D1786" s="452" t="str">
        <f>'036-20-CCA''s'!$D$281</f>
        <v>SER.CG</v>
      </c>
      <c r="E1786" s="452" t="str">
        <f>'036-20-CCA''s'!$E$281</f>
        <v>T</v>
      </c>
      <c r="F1786" s="462">
        <v>3.5599999999999998E-3</v>
      </c>
      <c r="G1786" s="453">
        <f>'036-20-CCA''s'!$H$281</f>
        <v>20.925562080536913</v>
      </c>
      <c r="H1786" s="463">
        <f t="shared" si="323"/>
        <v>7.44950010067114E-2</v>
      </c>
      <c r="J1786" s="201"/>
    </row>
    <row r="1787" spans="1:17" s="87" customFormat="1" ht="25.5">
      <c r="A1787" s="232" t="s">
        <v>4542</v>
      </c>
      <c r="B1787" s="464" t="s">
        <v>13226</v>
      </c>
      <c r="C1787" s="451" t="str">
        <f>'036-20-CCA''s'!$C$298</f>
        <v>TEMPO FIXO - CAMINHÃO BASCULANTE 10 M3 - CARGA MONOBRA E DESCARGA</v>
      </c>
      <c r="D1787" s="452" t="str">
        <f>'036-20-CCA''s'!$D$298</f>
        <v>SER.CG</v>
      </c>
      <c r="E1787" s="452" t="str">
        <f>'036-20-CCA''s'!$E$298</f>
        <v>T</v>
      </c>
      <c r="F1787" s="462">
        <v>0.39</v>
      </c>
      <c r="G1787" s="453">
        <f>'036-20-CCA''s'!$H$298</f>
        <v>0.93386493946512461</v>
      </c>
      <c r="H1787" s="463">
        <f t="shared" si="323"/>
        <v>0.36420732639139863</v>
      </c>
      <c r="J1787" s="201"/>
    </row>
    <row r="1788" spans="1:17" s="87" customFormat="1" ht="12.75">
      <c r="A1788" s="188"/>
      <c r="B1788" s="348" t="s">
        <v>123</v>
      </c>
      <c r="C1788" s="695" t="s">
        <v>13342</v>
      </c>
      <c r="D1788" s="696"/>
      <c r="E1788" s="696"/>
      <c r="F1788" s="696"/>
      <c r="G1788" s="696"/>
      <c r="H1788" s="697"/>
      <c r="J1788" s="201"/>
      <c r="K1788" s="78"/>
      <c r="L1788" s="78"/>
      <c r="M1788" s="78"/>
      <c r="N1788" s="78"/>
      <c r="O1788" s="78"/>
      <c r="P1788" s="78"/>
      <c r="Q1788" s="78"/>
    </row>
    <row r="1789" spans="1:17" s="87" customFormat="1" ht="12.75">
      <c r="A1789" s="188"/>
      <c r="B1789" s="346"/>
      <c r="C1789" s="486"/>
      <c r="D1789" s="486"/>
      <c r="E1789" s="486"/>
      <c r="F1789" s="486"/>
      <c r="G1789" s="486"/>
      <c r="H1789" s="487"/>
      <c r="J1789" s="201"/>
      <c r="K1789" s="78"/>
      <c r="L1789" s="78"/>
      <c r="M1789" s="78"/>
      <c r="N1789" s="78"/>
      <c r="O1789" s="78"/>
      <c r="P1789" s="78"/>
      <c r="Q1789" s="78"/>
    </row>
    <row r="1790" spans="1:17" s="87" customFormat="1" ht="38.25">
      <c r="A1790" s="188"/>
      <c r="B1790" s="80">
        <v>3205866</v>
      </c>
      <c r="C1790" s="81" t="s">
        <v>6586</v>
      </c>
      <c r="D1790" s="82" t="s">
        <v>84</v>
      </c>
      <c r="E1790" s="82" t="s">
        <v>172</v>
      </c>
      <c r="F1790" s="83"/>
      <c r="G1790" s="84"/>
      <c r="H1790" s="85">
        <f>SUM(H1791:H1797)</f>
        <v>418.70914428194942</v>
      </c>
      <c r="J1790" s="201" t="s">
        <v>13343</v>
      </c>
      <c r="K1790" s="78"/>
      <c r="L1790" s="78"/>
      <c r="M1790" s="78"/>
      <c r="N1790" s="78"/>
      <c r="O1790" s="78"/>
      <c r="P1790" s="78"/>
      <c r="Q1790" s="78"/>
    </row>
    <row r="1791" spans="1:17" s="87" customFormat="1" ht="12.75">
      <c r="A1791" s="232" t="s">
        <v>4542</v>
      </c>
      <c r="B1791" s="464" t="s">
        <v>9015</v>
      </c>
      <c r="C1791" s="451" t="str">
        <f>IF(A1791="SERVIÇO",VLOOKUP(B1791,SERVIÇOS!$A$6:$D$7645,2,0),IF(A1791="INSUMO",VLOOKUP(B1791,INSUMOS!$A$6:$D$6961,2,0),IF(A1791="COTAÇÃO",VLOOKUP(B1791,'036-20-Cotação'!$A$9:$G$529,2,0))))</f>
        <v>RETROESCAVADEIRA DE PNEUS - 58 KW</v>
      </c>
      <c r="D1791" s="452" t="str">
        <f>IF(A1791="SERVIÇO",VLOOKUP(B1791,SERVIÇOS!$A$6:$E$7645,5,0),IF(A1791="INSUMO",VLOOKUP(B1791,INSUMOS!$A$6:$E$6961,5,0),IF(A1791="COTAÇÃO",VLOOKUP(B1791,'036-20-Cotação'!$A$9:$H$529,8,0))))</f>
        <v>EQUIP.</v>
      </c>
      <c r="E1791" s="452" t="str">
        <f>IF(A1791="SERVIÇO",VLOOKUP(B1791,SERVIÇOS!$A$6:$D$7645,3,0),IF(A1791="INSUMO",VLOOKUP(B1791,INSUMOS!$A$6:$D$6961,3,0),IF(A1791="COTAÇÃO",VLOOKUP(B1791,'036-20-Cotação'!$A$9:$G$529,4,0))))</f>
        <v>CHP</v>
      </c>
      <c r="F1791" s="462">
        <f>1/4.5</f>
        <v>0.22222222222222221</v>
      </c>
      <c r="G1791" s="453">
        <f>IF(A1791="SERVIÇO",VLOOKUP(B1791,SERVIÇOS!$A$6:$D$7645,4,0),IF(A1791="INSUMO",VLOOKUP(B1791,INSUMOS!$A$6:$D$6961,4,0),IF(A1791="COTAÇÃO",VLOOKUP(B1791,'036-20-Cotação'!$A$9:$G$529,3,0))))</f>
        <v>85.516999999999996</v>
      </c>
      <c r="H1791" s="463">
        <f t="shared" ref="H1791:H1797" si="324">G1791*F1791</f>
        <v>19.003777777777774</v>
      </c>
      <c r="J1791" s="201"/>
    </row>
    <row r="1792" spans="1:17" s="87" customFormat="1" ht="12.75">
      <c r="A1792" s="232" t="s">
        <v>4542</v>
      </c>
      <c r="B1792" s="464" t="s">
        <v>6614</v>
      </c>
      <c r="C1792" s="451" t="str">
        <f>IF(A1792="SERVIÇO",VLOOKUP(B1792,SERVIÇOS!$A$6:$D$7645,2,0),IF(A1792="INSUMO",VLOOKUP(B1792,INSUMOS!$A$6:$D$6961,2,0),IF(A1792="COTAÇÃO",VLOOKUP(B1792,'036-20-Cotação'!$A$9:$G$529,2,0))))</f>
        <v>PEDREIRO</v>
      </c>
      <c r="D1792" s="452" t="str">
        <f>IF(A1792="SERVIÇO",VLOOKUP(B1792,SERVIÇOS!$A$6:$E$7645,5,0),IF(A1792="INSUMO",VLOOKUP(B1792,INSUMOS!$A$6:$E$6961,5,0),IF(A1792="COTAÇÃO",VLOOKUP(B1792,'036-20-Cotação'!$A$9:$H$529,8,0))))</f>
        <v>M.O</v>
      </c>
      <c r="E1792" s="452" t="str">
        <f>IF(A1792="SERVIÇO",VLOOKUP(B1792,SERVIÇOS!$A$6:$D$7645,3,0),IF(A1792="INSUMO",VLOOKUP(B1792,INSUMOS!$A$6:$D$6961,3,0),IF(A1792="COTAÇÃO",VLOOKUP(B1792,'036-20-Cotação'!$A$9:$G$529,4,0))))</f>
        <v>H</v>
      </c>
      <c r="F1792" s="462">
        <f>4/4.5</f>
        <v>0.88888888888888884</v>
      </c>
      <c r="G1792" s="453">
        <f>IF(A1792="SERVIÇO",VLOOKUP(B1792,SERVIÇOS!$A$6:$D$7645,4,0),IF(A1792="INSUMO",VLOOKUP(B1792,INSUMOS!$A$6:$D$6961,4,0),IF(A1792="COTAÇÃO",VLOOKUP(B1792,'036-20-Cotação'!$A$9:$G$529,3,0))))</f>
        <v>21.647600000000001</v>
      </c>
      <c r="H1792" s="463">
        <f t="shared" si="324"/>
        <v>19.24231111111111</v>
      </c>
      <c r="J1792" s="201"/>
    </row>
    <row r="1793" spans="1:17" s="87" customFormat="1" ht="12.75">
      <c r="A1793" s="232" t="s">
        <v>4542</v>
      </c>
      <c r="B1793" s="464" t="s">
        <v>6602</v>
      </c>
      <c r="C1793" s="451" t="str">
        <f>IF(A1793="SERVIÇO",VLOOKUP(B1793,SERVIÇOS!$A$6:$D$7645,2,0),IF(A1793="INSUMO",VLOOKUP(B1793,INSUMOS!$A$6:$D$6961,2,0),IF(A1793="COTAÇÃO",VLOOKUP(B1793,'036-20-Cotação'!$A$9:$G$529,2,0))))</f>
        <v>SERVENTE</v>
      </c>
      <c r="D1793" s="452" t="str">
        <f>IF(A1793="SERVIÇO",VLOOKUP(B1793,SERVIÇOS!$A$6:$E$7645,5,0),IF(A1793="INSUMO",VLOOKUP(B1793,INSUMOS!$A$6:$E$6961,5,0),IF(A1793="COTAÇÃO",VLOOKUP(B1793,'036-20-Cotação'!$A$9:$H$529,8,0))))</f>
        <v>M.O</v>
      </c>
      <c r="E1793" s="452" t="str">
        <f>IF(A1793="SERVIÇO",VLOOKUP(B1793,SERVIÇOS!$A$6:$D$7645,3,0),IF(A1793="INSUMO",VLOOKUP(B1793,INSUMOS!$A$6:$D$6961,3,0),IF(A1793="COTAÇÃO",VLOOKUP(B1793,'036-20-Cotação'!$A$9:$G$529,4,0))))</f>
        <v>H</v>
      </c>
      <c r="F1793" s="462">
        <f>8/4.5</f>
        <v>1.7777777777777777</v>
      </c>
      <c r="G1793" s="453">
        <f>IF(A1793="SERVIÇO",VLOOKUP(B1793,SERVIÇOS!$A$6:$D$7645,4,0),IF(A1793="INSUMO",VLOOKUP(B1793,INSUMOS!$A$6:$D$6961,4,0),IF(A1793="COTAÇÃO",VLOOKUP(B1793,'036-20-Cotação'!$A$9:$G$529,3,0))))</f>
        <v>15.637499999999999</v>
      </c>
      <c r="H1793" s="463">
        <f t="shared" si="324"/>
        <v>27.799999999999997</v>
      </c>
      <c r="J1793" s="201"/>
    </row>
    <row r="1794" spans="1:17" s="87" customFormat="1" ht="25.5">
      <c r="A1794" s="232" t="s">
        <v>4544</v>
      </c>
      <c r="B1794" s="464" t="s">
        <v>10392</v>
      </c>
      <c r="C1794" s="451" t="str">
        <f>IF(A1794="SERVIÇO",VLOOKUP(B1794,SERVIÇOS!$A$6:$D$7645,2,0),IF(A1794="INSUMO",VLOOKUP(B1794,INSUMOS!$A$6:$D$6961,2,0),IF(A1794="COTAÇÃO",VLOOKUP(B1794,'036-20-Cotação'!$A$9:$G$529,2,0))))</f>
        <v>GABIÃO CAIXA ZN/AL + POLÍMERO DE 2,0 X 1,0 X 1,00 M</v>
      </c>
      <c r="D1794" s="452" t="str">
        <f>IF(A1794="SERVIÇO",VLOOKUP(B1794,SERVIÇOS!$A$6:$E$7645,5,0),IF(A1794="INSUMO",VLOOKUP(B1794,INSUMOS!$A$6:$E$6961,5,0),IF(A1794="COTAÇÃO",VLOOKUP(B1794,'036-20-Cotação'!$A$9:$H$529,8,0))))</f>
        <v>MAT.</v>
      </c>
      <c r="E1794" s="452" t="str">
        <f>IF(A1794="SERVIÇO",VLOOKUP(B1794,SERVIÇOS!$A$6:$D$7645,3,0),IF(A1794="INSUMO",VLOOKUP(B1794,INSUMOS!$A$6:$D$6961,3,0),IF(A1794="COTAÇÃO",VLOOKUP(B1794,'036-20-Cotação'!$A$9:$G$529,4,0))))</f>
        <v>UN</v>
      </c>
      <c r="F1794" s="462">
        <v>0.5</v>
      </c>
      <c r="G1794" s="453">
        <f>IF(A1794="SERVIÇO",VLOOKUP(B1794,SERVIÇOS!$A$6:$D$7645,4,0),IF(A1794="INSUMO",VLOOKUP(B1794,INSUMOS!$A$6:$D$6961,4,0),IF(A1794="COTAÇÃO",VLOOKUP(B1794,'036-20-Cotação'!$A$9:$G$529,3,0))))</f>
        <v>513.3546</v>
      </c>
      <c r="H1794" s="463">
        <f t="shared" si="324"/>
        <v>256.6773</v>
      </c>
      <c r="J1794" s="201"/>
    </row>
    <row r="1795" spans="1:17" s="87" customFormat="1" ht="12.75">
      <c r="A1795" s="232" t="s">
        <v>4544</v>
      </c>
      <c r="B1795" s="464" t="s">
        <v>10786</v>
      </c>
      <c r="C1795" s="451" t="str">
        <f>IF(A1795="SERVIÇO",VLOOKUP(B1795,SERVIÇOS!$A$6:$D$7645,2,0),IF(A1795="INSUMO",VLOOKUP(B1795,INSUMOS!$A$6:$D$6961,2,0),IF(A1795="COTAÇÃO",VLOOKUP(B1795,'036-20-Cotação'!$A$9:$G$529,2,0))))</f>
        <v>PEDRA DE MÃO</v>
      </c>
      <c r="D1795" s="452" t="str">
        <f>IF(A1795="SERVIÇO",VLOOKUP(B1795,SERVIÇOS!$A$6:$E$7645,5,0),IF(A1795="INSUMO",VLOOKUP(B1795,INSUMOS!$A$6:$E$6961,5,0),IF(A1795="COTAÇÃO",VLOOKUP(B1795,'036-20-Cotação'!$A$9:$H$529,8,0))))</f>
        <v>MAT.</v>
      </c>
      <c r="E1795" s="452" t="str">
        <f>IF(A1795="SERVIÇO",VLOOKUP(B1795,SERVIÇOS!$A$6:$D$7645,3,0),IF(A1795="INSUMO",VLOOKUP(B1795,INSUMOS!$A$6:$D$6961,3,0),IF(A1795="COTAÇÃO",VLOOKUP(B1795,'036-20-Cotação'!$A$9:$G$529,4,0))))</f>
        <v>M³</v>
      </c>
      <c r="F1795" s="462">
        <v>1.1499999999999999</v>
      </c>
      <c r="G1795" s="453">
        <f>IF(A1795="SERVIÇO",VLOOKUP(B1795,SERVIÇOS!$A$6:$D$7645,4,0),IF(A1795="INSUMO",VLOOKUP(B1795,INSUMOS!$A$6:$D$6961,4,0),IF(A1795="COTAÇÃO",VLOOKUP(B1795,'036-20-Cotação'!$A$9:$G$529,3,0))))</f>
        <v>81.9559</v>
      </c>
      <c r="H1795" s="463">
        <f t="shared" si="324"/>
        <v>94.249284999999986</v>
      </c>
      <c r="J1795" s="201"/>
    </row>
    <row r="1796" spans="1:17" s="87" customFormat="1" ht="25.5">
      <c r="A1796" s="232" t="s">
        <v>4542</v>
      </c>
      <c r="B1796" s="464" t="s">
        <v>13206</v>
      </c>
      <c r="C1796" s="451" t="str">
        <f>'036-20-CCA''s'!$C$281</f>
        <v>TEMPO FIXO - CAMINHÃO CARROCERIA 15 T - CARGA E DESCARGA MANUAIS</v>
      </c>
      <c r="D1796" s="452" t="str">
        <f>'036-20-CCA''s'!$D$281</f>
        <v>SER.CG</v>
      </c>
      <c r="E1796" s="452" t="str">
        <f>'036-20-CCA''s'!$E$281</f>
        <v>T</v>
      </c>
      <c r="F1796" s="462">
        <v>6.0000000000000001E-3</v>
      </c>
      <c r="G1796" s="453">
        <f>'036-20-CCA''s'!$H$281</f>
        <v>20.925562080536913</v>
      </c>
      <c r="H1796" s="463">
        <f t="shared" si="324"/>
        <v>0.12555337248322149</v>
      </c>
      <c r="J1796" s="201"/>
    </row>
    <row r="1797" spans="1:17" s="87" customFormat="1" ht="25.5">
      <c r="A1797" s="232" t="s">
        <v>4542</v>
      </c>
      <c r="B1797" s="464" t="s">
        <v>13226</v>
      </c>
      <c r="C1797" s="451" t="str">
        <f>'036-20-CCA''s'!$C$298</f>
        <v>TEMPO FIXO - CAMINHÃO BASCULANTE 10 M3 - CARGA MONOBRA E DESCARGA</v>
      </c>
      <c r="D1797" s="452" t="str">
        <f>'036-20-CCA''s'!$D$298</f>
        <v>SER.CG</v>
      </c>
      <c r="E1797" s="452" t="str">
        <f>'036-20-CCA''s'!$E$298</f>
        <v>T</v>
      </c>
      <c r="F1797" s="462">
        <v>1.7250000000000001</v>
      </c>
      <c r="G1797" s="453">
        <f>'036-20-CCA''s'!$H$298</f>
        <v>0.93386493946512461</v>
      </c>
      <c r="H1797" s="463">
        <f t="shared" si="324"/>
        <v>1.61091702057734</v>
      </c>
      <c r="J1797" s="201"/>
    </row>
    <row r="1798" spans="1:17" s="87" customFormat="1" ht="12.75">
      <c r="A1798" s="188"/>
      <c r="B1798" s="348" t="s">
        <v>123</v>
      </c>
      <c r="C1798" s="695" t="s">
        <v>13344</v>
      </c>
      <c r="D1798" s="696"/>
      <c r="E1798" s="696"/>
      <c r="F1798" s="696"/>
      <c r="G1798" s="696"/>
      <c r="H1798" s="697"/>
      <c r="J1798" s="201"/>
      <c r="K1798" s="78"/>
      <c r="L1798" s="78"/>
      <c r="M1798" s="78"/>
      <c r="N1798" s="78"/>
      <c r="O1798" s="78"/>
      <c r="P1798" s="78"/>
      <c r="Q1798" s="78"/>
    </row>
    <row r="1799" spans="1:17" s="87" customFormat="1" ht="12.75">
      <c r="A1799" s="188"/>
      <c r="B1799" s="346"/>
      <c r="C1799" s="486"/>
      <c r="D1799" s="486"/>
      <c r="E1799" s="486"/>
      <c r="F1799" s="486"/>
      <c r="G1799" s="486"/>
      <c r="H1799" s="487"/>
      <c r="J1799" s="201"/>
      <c r="K1799" s="78"/>
      <c r="L1799" s="78"/>
      <c r="M1799" s="78"/>
      <c r="N1799" s="78"/>
      <c r="O1799" s="78"/>
      <c r="P1799" s="78"/>
      <c r="Q1799" s="78"/>
    </row>
    <row r="1800" spans="1:17" s="87" customFormat="1" ht="25.5">
      <c r="A1800" s="188"/>
      <c r="B1800" s="80">
        <v>2003866</v>
      </c>
      <c r="C1800" s="81" t="s">
        <v>6587</v>
      </c>
      <c r="D1800" s="82" t="s">
        <v>84</v>
      </c>
      <c r="E1800" s="82" t="s">
        <v>150</v>
      </c>
      <c r="F1800" s="83"/>
      <c r="G1800" s="84"/>
      <c r="H1800" s="85">
        <f>SUM(H1801:H1803)</f>
        <v>5.9772256461409397</v>
      </c>
      <c r="J1800" s="201" t="s">
        <v>13345</v>
      </c>
      <c r="K1800" s="78"/>
      <c r="L1800" s="78"/>
      <c r="M1800" s="78"/>
      <c r="N1800" s="78"/>
      <c r="O1800" s="78"/>
      <c r="P1800" s="78"/>
      <c r="Q1800" s="78"/>
    </row>
    <row r="1801" spans="1:17" s="87" customFormat="1" ht="12.75">
      <c r="A1801" s="232" t="s">
        <v>4542</v>
      </c>
      <c r="B1801" s="464" t="s">
        <v>6602</v>
      </c>
      <c r="C1801" s="451" t="str">
        <f>IF(A1801="SERVIÇO",VLOOKUP(B1801,SERVIÇOS!$A$6:$D$7645,2,0),IF(A1801="INSUMO",VLOOKUP(B1801,INSUMOS!$A$6:$D$6961,2,0),IF(A1801="COTAÇÃO",VLOOKUP(B1801,'036-20-Cotação'!$A$9:$G$529,2,0))))</f>
        <v>SERVENTE</v>
      </c>
      <c r="D1801" s="452" t="str">
        <f>IF(A1801="SERVIÇO",VLOOKUP(B1801,SERVIÇOS!$A$6:$E$7645,5,0),IF(A1801="INSUMO",VLOOKUP(B1801,INSUMOS!$A$6:$E$6961,5,0),IF(A1801="COTAÇÃO",VLOOKUP(B1801,'036-20-Cotação'!$A$9:$H$529,8,0))))</f>
        <v>M.O</v>
      </c>
      <c r="E1801" s="452" t="str">
        <f>IF(A1801="SERVIÇO",VLOOKUP(B1801,SERVIÇOS!$A$6:$D$7645,3,0),IF(A1801="INSUMO",VLOOKUP(B1801,INSUMOS!$A$6:$D$6961,3,0),IF(A1801="COTAÇÃO",VLOOKUP(B1801,'036-20-Cotação'!$A$9:$G$529,4,0))))</f>
        <v>H</v>
      </c>
      <c r="F1801" s="462">
        <f>3/180</f>
        <v>1.6666666666666666E-2</v>
      </c>
      <c r="G1801" s="453">
        <f>IF(A1801="SERVIÇO",VLOOKUP(B1801,SERVIÇOS!$A$6:$D$7645,4,0),IF(A1801="INSUMO",VLOOKUP(B1801,INSUMOS!$A$6:$D$6961,4,0),IF(A1801="COTAÇÃO",VLOOKUP(B1801,'036-20-Cotação'!$A$9:$G$529,3,0))))</f>
        <v>15.637499999999999</v>
      </c>
      <c r="H1801" s="463">
        <f t="shared" ref="H1801:H1803" si="325">G1801*F1801</f>
        <v>0.260625</v>
      </c>
      <c r="J1801" s="201"/>
    </row>
    <row r="1802" spans="1:17" s="87" customFormat="1" ht="12.75">
      <c r="A1802" s="232" t="s">
        <v>4544</v>
      </c>
      <c r="B1802" s="464" t="s">
        <v>11481</v>
      </c>
      <c r="C1802" s="451" t="str">
        <f>IF(A1802="SERVIÇO",VLOOKUP(B1802,SERVIÇOS!$A$6:$D$7645,2,0),IF(A1802="INSUMO",VLOOKUP(B1802,INSUMOS!$A$6:$D$6961,2,0),IF(A1802="COTAÇÃO",VLOOKUP(B1802,'036-20-Cotação'!$A$9:$G$529,2,0))))</f>
        <v>GEOTÊXTIL NÃO-TECIDO AGULHADO RT 14</v>
      </c>
      <c r="D1802" s="452" t="str">
        <f>IF(A1802="SERVIÇO",VLOOKUP(B1802,SERVIÇOS!$A$6:$E$7645,5,0),IF(A1802="INSUMO",VLOOKUP(B1802,INSUMOS!$A$6:$E$6961,5,0),IF(A1802="COTAÇÃO",VLOOKUP(B1802,'036-20-Cotação'!$A$9:$H$529,8,0))))</f>
        <v>MAT.</v>
      </c>
      <c r="E1802" s="452" t="str">
        <f>IF(A1802="SERVIÇO",VLOOKUP(B1802,SERVIÇOS!$A$6:$D$7645,3,0),IF(A1802="INSUMO",VLOOKUP(B1802,INSUMOS!$A$6:$D$6961,3,0),IF(A1802="COTAÇÃO",VLOOKUP(B1802,'036-20-Cotação'!$A$9:$G$529,4,0))))</f>
        <v>M²</v>
      </c>
      <c r="F1802" s="462">
        <v>1.05</v>
      </c>
      <c r="G1802" s="453">
        <f>IF(A1802="SERVIÇO",VLOOKUP(B1802,SERVIÇOS!$A$6:$D$7645,4,0),IF(A1802="INSUMO",VLOOKUP(B1802,INSUMOS!$A$6:$D$6961,4,0),IF(A1802="COTAÇÃO",VLOOKUP(B1802,'036-20-Cotação'!$A$9:$G$529,3,0))))</f>
        <v>5.4391999999999996</v>
      </c>
      <c r="H1802" s="463">
        <f t="shared" si="325"/>
        <v>5.7111599999999996</v>
      </c>
      <c r="J1802" s="201"/>
    </row>
    <row r="1803" spans="1:17" s="87" customFormat="1" ht="25.5">
      <c r="A1803" s="232" t="s">
        <v>4542</v>
      </c>
      <c r="B1803" s="464" t="s">
        <v>13206</v>
      </c>
      <c r="C1803" s="451" t="str">
        <f>'036-20-CCA''s'!$C$281</f>
        <v>TEMPO FIXO - CAMINHÃO CARROCERIA 15 T - CARGA E DESCARGA MANUAIS</v>
      </c>
      <c r="D1803" s="452" t="str">
        <f>'036-20-CCA''s'!$D$281</f>
        <v>SER.CG</v>
      </c>
      <c r="E1803" s="452" t="str">
        <f>'036-20-CCA''s'!$E$281</f>
        <v>T</v>
      </c>
      <c r="F1803" s="462">
        <v>2.5999999999999998E-4</v>
      </c>
      <c r="G1803" s="453">
        <f>'036-20-CCA''s'!$H$281</f>
        <v>20.925562080536913</v>
      </c>
      <c r="H1803" s="463">
        <f t="shared" si="325"/>
        <v>5.4406461409395972E-3</v>
      </c>
      <c r="J1803" s="201"/>
    </row>
    <row r="1804" spans="1:17" s="87" customFormat="1" ht="12.75">
      <c r="A1804" s="188"/>
      <c r="B1804" s="348" t="s">
        <v>123</v>
      </c>
      <c r="C1804" s="695" t="s">
        <v>13346</v>
      </c>
      <c r="D1804" s="696"/>
      <c r="E1804" s="696"/>
      <c r="F1804" s="696"/>
      <c r="G1804" s="696"/>
      <c r="H1804" s="697"/>
      <c r="J1804" s="201"/>
      <c r="K1804" s="78"/>
      <c r="L1804" s="78"/>
      <c r="M1804" s="78"/>
      <c r="N1804" s="78"/>
      <c r="O1804" s="78"/>
      <c r="P1804" s="78"/>
      <c r="Q1804" s="78"/>
    </row>
    <row r="1805" spans="1:17" s="87" customFormat="1" ht="12.75">
      <c r="A1805" s="188"/>
      <c r="B1805" s="346"/>
      <c r="C1805" s="486"/>
      <c r="D1805" s="486"/>
      <c r="E1805" s="486"/>
      <c r="F1805" s="486"/>
      <c r="G1805" s="486"/>
      <c r="H1805" s="487"/>
      <c r="J1805" s="201"/>
      <c r="K1805" s="78"/>
      <c r="L1805" s="78"/>
      <c r="M1805" s="78"/>
      <c r="N1805" s="78"/>
      <c r="O1805" s="78"/>
      <c r="P1805" s="78"/>
      <c r="Q1805" s="78"/>
    </row>
    <row r="1806" spans="1:17" s="87" customFormat="1" ht="25.5">
      <c r="A1806" s="188"/>
      <c r="B1806" s="80">
        <v>5502820</v>
      </c>
      <c r="C1806" s="81" t="s">
        <v>6588</v>
      </c>
      <c r="D1806" s="82" t="s">
        <v>84</v>
      </c>
      <c r="E1806" s="82" t="s">
        <v>172</v>
      </c>
      <c r="F1806" s="83"/>
      <c r="G1806" s="84"/>
      <c r="H1806" s="85">
        <f>SUM(H1807:H1809)</f>
        <v>4.0796072918954538</v>
      </c>
      <c r="J1806" s="201" t="s">
        <v>13129</v>
      </c>
      <c r="K1806" s="78"/>
      <c r="L1806" s="78"/>
      <c r="M1806" s="78"/>
      <c r="N1806" s="78"/>
      <c r="O1806" s="78"/>
      <c r="P1806" s="78"/>
      <c r="Q1806" s="78"/>
    </row>
    <row r="1807" spans="1:17" s="87" customFormat="1" ht="25.5">
      <c r="A1807" s="232" t="s">
        <v>4542</v>
      </c>
      <c r="B1807" s="464" t="s">
        <v>9079</v>
      </c>
      <c r="C1807" s="451" t="str">
        <f>IF(A1807="SERVIÇO",VLOOKUP(B1807,SERVIÇOS!$A$6:$D$7645,2,0),IF(A1807="INSUMO",VLOOKUP(B1807,INSUMOS!$A$6:$D$6961,2,0),IF(A1807="COTAÇÃO",VLOOKUP(B1807,'036-20-Cotação'!$A$9:$G$529,2,0))))</f>
        <v>ESCAVADEIRA HIDRÁULICA DE LONGO ALCANCE SOBRE ESTEIRAS - 103 KW</v>
      </c>
      <c r="D1807" s="452" t="str">
        <f>IF(A1807="SERVIÇO",VLOOKUP(B1807,SERVIÇOS!$A$6:$E$7645,5,0),IF(A1807="INSUMO",VLOOKUP(B1807,INSUMOS!$A$6:$E$6961,5,0),IF(A1807="COTAÇÃO",VLOOKUP(B1807,'036-20-Cotação'!$A$9:$H$529,8,0))))</f>
        <v>EQUIP.</v>
      </c>
      <c r="E1807" s="452" t="str">
        <f>IF(A1807="SERVIÇO",VLOOKUP(B1807,SERVIÇOS!$A$6:$D$7645,3,0),IF(A1807="INSUMO",VLOOKUP(B1807,INSUMOS!$A$6:$D$6961,3,0),IF(A1807="COTAÇÃO",VLOOKUP(B1807,'036-20-Cotação'!$A$9:$G$529,4,0))))</f>
        <v>CHP</v>
      </c>
      <c r="F1807" s="462">
        <f>1/45.53</f>
        <v>2.1963540522732264E-2</v>
      </c>
      <c r="G1807" s="453">
        <f>IF(A1807="SERVIÇO",VLOOKUP(B1807,SERVIÇOS!$A$6:$D$7645,4,0),IF(A1807="INSUMO",VLOOKUP(B1807,INSUMOS!$A$6:$D$6961,4,0),IF(A1807="COTAÇÃO",VLOOKUP(B1807,'036-20-Cotação'!$A$9:$G$529,3,0))))</f>
        <v>166.03749999999999</v>
      </c>
      <c r="H1807" s="463">
        <f t="shared" ref="H1807:H1809" si="326">G1807*F1807</f>
        <v>3.6467713595431581</v>
      </c>
      <c r="J1807" s="201"/>
    </row>
    <row r="1808" spans="1:17" s="87" customFormat="1" ht="12.75">
      <c r="A1808" s="232" t="s">
        <v>4542</v>
      </c>
      <c r="B1808" s="464" t="s">
        <v>6602</v>
      </c>
      <c r="C1808" s="451" t="str">
        <f>IF(A1808="SERVIÇO",VLOOKUP(B1808,SERVIÇOS!$A$6:$D$7645,2,0),IF(A1808="INSUMO",VLOOKUP(B1808,INSUMOS!$A$6:$D$6961,2,0),IF(A1808="COTAÇÃO",VLOOKUP(B1808,'036-20-Cotação'!$A$9:$G$529,2,0))))</f>
        <v>SERVENTE</v>
      </c>
      <c r="D1808" s="452" t="str">
        <f>IF(A1808="SERVIÇO",VLOOKUP(B1808,SERVIÇOS!$A$6:$E$7645,5,0),IF(A1808="INSUMO",VLOOKUP(B1808,INSUMOS!$A$6:$E$6961,5,0),IF(A1808="COTAÇÃO",VLOOKUP(B1808,'036-20-Cotação'!$A$9:$H$529,8,0))))</f>
        <v>M.O</v>
      </c>
      <c r="E1808" s="452" t="str">
        <f>IF(A1808="SERVIÇO",VLOOKUP(B1808,SERVIÇOS!$A$6:$D$7645,3,0),IF(A1808="INSUMO",VLOOKUP(B1808,INSUMOS!$A$6:$D$6961,3,0),IF(A1808="COTAÇÃO",VLOOKUP(B1808,'036-20-Cotação'!$A$9:$G$529,4,0))))</f>
        <v>H</v>
      </c>
      <c r="F1808" s="462">
        <f>1/45.53</f>
        <v>2.1963540522732264E-2</v>
      </c>
      <c r="G1808" s="453">
        <f>IF(A1808="SERVIÇO",VLOOKUP(B1808,SERVIÇOS!$A$6:$D$7645,4,0),IF(A1808="INSUMO",VLOOKUP(B1808,INSUMOS!$A$6:$D$6961,4,0),IF(A1808="COTAÇÃO",VLOOKUP(B1808,'036-20-Cotação'!$A$9:$G$529,3,0))))</f>
        <v>15.637499999999999</v>
      </c>
      <c r="H1808" s="463">
        <f t="shared" si="326"/>
        <v>0.34345486492422578</v>
      </c>
      <c r="J1808" s="201"/>
    </row>
    <row r="1809" spans="1:17" s="87" customFormat="1" ht="12.75">
      <c r="A1809" s="232" t="s">
        <v>4542</v>
      </c>
      <c r="B1809" s="464" t="s">
        <v>13130</v>
      </c>
      <c r="C1809" s="451" t="s">
        <v>13131</v>
      </c>
      <c r="D1809" s="452"/>
      <c r="E1809" s="452"/>
      <c r="F1809" s="462">
        <v>2.24E-2</v>
      </c>
      <c r="G1809" s="453">
        <f>SUM(H1807:H1808)</f>
        <v>3.9902262244673841</v>
      </c>
      <c r="H1809" s="463">
        <f t="shared" si="326"/>
        <v>8.9381067428069408E-2</v>
      </c>
      <c r="J1809" s="201"/>
    </row>
    <row r="1810" spans="1:17" s="87" customFormat="1" ht="12.75">
      <c r="A1810" s="188"/>
      <c r="B1810" s="348" t="s">
        <v>123</v>
      </c>
      <c r="C1810" s="695" t="s">
        <v>13347</v>
      </c>
      <c r="D1810" s="696"/>
      <c r="E1810" s="696"/>
      <c r="F1810" s="696"/>
      <c r="G1810" s="696"/>
      <c r="H1810" s="697"/>
      <c r="J1810" s="201"/>
      <c r="K1810" s="78"/>
      <c r="L1810" s="78"/>
      <c r="M1810" s="78"/>
      <c r="N1810" s="78"/>
      <c r="O1810" s="78"/>
      <c r="P1810" s="78"/>
      <c r="Q1810" s="78"/>
    </row>
    <row r="1811" spans="1:17" s="87" customFormat="1" ht="12.75">
      <c r="A1811" s="188"/>
      <c r="B1811" s="346"/>
      <c r="C1811" s="486"/>
      <c r="D1811" s="486"/>
      <c r="E1811" s="486"/>
      <c r="F1811" s="486"/>
      <c r="G1811" s="486"/>
      <c r="H1811" s="487"/>
      <c r="J1811" s="201"/>
      <c r="K1811" s="78"/>
      <c r="L1811" s="78"/>
      <c r="M1811" s="78"/>
      <c r="N1811" s="78"/>
      <c r="O1811" s="78"/>
      <c r="P1811" s="78"/>
      <c r="Q1811" s="78"/>
    </row>
    <row r="1812" spans="1:17" s="87" customFormat="1" ht="38.25">
      <c r="A1812" s="188"/>
      <c r="B1812" s="80">
        <v>5213406</v>
      </c>
      <c r="C1812" s="81" t="s">
        <v>6596</v>
      </c>
      <c r="D1812" s="82" t="s">
        <v>84</v>
      </c>
      <c r="E1812" s="82" t="s">
        <v>150</v>
      </c>
      <c r="F1812" s="83"/>
      <c r="G1812" s="84"/>
      <c r="H1812" s="85">
        <f>SUM(H1813:H1822)</f>
        <v>23.325371701112509</v>
      </c>
      <c r="J1812" s="201" t="s">
        <v>13348</v>
      </c>
      <c r="K1812" s="78"/>
      <c r="L1812" s="78"/>
      <c r="M1812" s="78"/>
      <c r="N1812" s="78"/>
      <c r="O1812" s="78"/>
      <c r="P1812" s="78"/>
      <c r="Q1812" s="78"/>
    </row>
    <row r="1813" spans="1:17" s="87" customFormat="1" ht="25.5">
      <c r="A1813" s="232" t="s">
        <v>4542</v>
      </c>
      <c r="B1813" s="464" t="s">
        <v>9567</v>
      </c>
      <c r="C1813" s="451" t="str">
        <f>IF(A1813="SERVIÇO",VLOOKUP(B1813,SERVIÇOS!$A$6:$D$7645,2,0),IF(A1813="INSUMO",VLOOKUP(B1813,INSUMOS!$A$6:$D$6961,2,0),IF(A1813="COTAÇÃO",VLOOKUP(B1813,'036-20-Cotação'!$A$9:$G$529,2,0))))</f>
        <v>CAMINHÃO CARROCERIA COM CAPACIDADE DE 5 T - 115 KW</v>
      </c>
      <c r="D1813" s="452" t="str">
        <f>IF(A1813="SERVIÇO",VLOOKUP(B1813,SERVIÇOS!$A$6:$E$7645,5,0),IF(A1813="INSUMO",VLOOKUP(B1813,INSUMOS!$A$6:$E$6961,5,0),IF(A1813="COTAÇÃO",VLOOKUP(B1813,'036-20-Cotação'!$A$9:$H$529,8,0))))</f>
        <v>EQUIP.</v>
      </c>
      <c r="E1813" s="452" t="str">
        <f>IF(A1813="SERVIÇO",VLOOKUP(B1813,SERVIÇOS!$A$6:$D$7645,3,0),IF(A1813="INSUMO",VLOOKUP(B1813,INSUMOS!$A$6:$D$6961,3,0),IF(A1813="COTAÇÃO",VLOOKUP(B1813,'036-20-Cotação'!$A$9:$G$529,4,0))))</f>
        <v>CHP</v>
      </c>
      <c r="F1813" s="462">
        <f>0.5/30.18</f>
        <v>1.656726308813784E-2</v>
      </c>
      <c r="G1813" s="453">
        <f>IF(A1813="SERVIÇO",VLOOKUP(B1813,SERVIÇOS!$A$6:$D$7645,4,0),IF(A1813="INSUMO",VLOOKUP(B1813,INSUMOS!$A$6:$D$6961,4,0),IF(A1813="COTAÇÃO",VLOOKUP(B1813,'036-20-Cotação'!$A$9:$G$529,3,0))))</f>
        <v>87.3249</v>
      </c>
      <c r="H1813" s="463">
        <f t="shared" ref="H1813:H1822" si="327">G1813*F1813</f>
        <v>1.4467345924453281</v>
      </c>
      <c r="J1813" s="201"/>
    </row>
    <row r="1814" spans="1:17" s="87" customFormat="1" ht="25.5">
      <c r="A1814" s="232" t="s">
        <v>4542</v>
      </c>
      <c r="B1814" s="464" t="s">
        <v>10052</v>
      </c>
      <c r="C1814" s="451" t="str">
        <f>IF(A1814="SERVIÇO",VLOOKUP(B1814,SERVIÇOS!$A$6:$D$7645,2,0),IF(A1814="INSUMO",VLOOKUP(B1814,INSUMOS!$A$6:$D$6961,2,0),IF(A1814="COTAÇÃO",VLOOKUP(B1814,'036-20-Cotação'!$A$9:$G$529,2,0))))</f>
        <v>CAMINHÃO CARROCERIA COM CAPACIDADE DE 5 T - 115 KW</v>
      </c>
      <c r="D1814" s="452" t="str">
        <f>IF(A1814="SERVIÇO",VLOOKUP(B1814,SERVIÇOS!$A$6:$E$7645,5,0),IF(A1814="INSUMO",VLOOKUP(B1814,INSUMOS!$A$6:$E$6961,5,0),IF(A1814="COTAÇÃO",VLOOKUP(B1814,'036-20-Cotação'!$A$9:$H$529,8,0))))</f>
        <v>EQUIP.</v>
      </c>
      <c r="E1814" s="452" t="str">
        <f>IF(A1814="SERVIÇO",VLOOKUP(B1814,SERVIÇOS!$A$6:$D$7645,3,0),IF(A1814="INSUMO",VLOOKUP(B1814,INSUMOS!$A$6:$D$6961,3,0),IF(A1814="COTAÇÃO",VLOOKUP(B1814,'036-20-Cotação'!$A$9:$G$529,4,0))))</f>
        <v>CHI</v>
      </c>
      <c r="F1814" s="462">
        <f>0.5/30.18</f>
        <v>1.656726308813784E-2</v>
      </c>
      <c r="G1814" s="453">
        <f>IF(A1814="SERVIÇO",VLOOKUP(B1814,SERVIÇOS!$A$6:$D$7645,4,0),IF(A1814="INSUMO",VLOOKUP(B1814,INSUMOS!$A$6:$D$6961,4,0),IF(A1814="COTAÇÃO",VLOOKUP(B1814,'036-20-Cotação'!$A$9:$G$529,3,0))))</f>
        <v>33.813400000000001</v>
      </c>
      <c r="H1814" s="463">
        <f t="shared" si="327"/>
        <v>0.56019549370444</v>
      </c>
      <c r="J1814" s="201"/>
    </row>
    <row r="1815" spans="1:17" s="87" customFormat="1" ht="25.5">
      <c r="A1815" s="232" t="s">
        <v>4542</v>
      </c>
      <c r="B1815" s="464" t="s">
        <v>9512</v>
      </c>
      <c r="C1815" s="451" t="str">
        <f>IF(A1815="SERVIÇO",VLOOKUP(B1815,SERVIÇOS!$A$6:$D$7645,2,0),IF(A1815="INSUMO",VLOOKUP(B1815,INSUMOS!$A$6:$D$6961,2,0),IF(A1815="COTAÇÃO",VLOOKUP(B1815,'036-20-Cotação'!$A$9:$G$529,2,0))))</f>
        <v>CAMINHÃO DEMARCADOR DE FAIXAS COM SISTEMA DE PINTURA A FRIO - 28 KW/115 KW</v>
      </c>
      <c r="D1815" s="452" t="str">
        <f>IF(A1815="SERVIÇO",VLOOKUP(B1815,SERVIÇOS!$A$6:$E$7645,5,0),IF(A1815="INSUMO",VLOOKUP(B1815,INSUMOS!$A$6:$E$6961,5,0),IF(A1815="COTAÇÃO",VLOOKUP(B1815,'036-20-Cotação'!$A$9:$H$529,8,0))))</f>
        <v>EQUIP.</v>
      </c>
      <c r="E1815" s="452" t="str">
        <f>IF(A1815="SERVIÇO",VLOOKUP(B1815,SERVIÇOS!$A$6:$D$7645,3,0),IF(A1815="INSUMO",VLOOKUP(B1815,INSUMOS!$A$6:$D$6961,3,0),IF(A1815="COTAÇÃO",VLOOKUP(B1815,'036-20-Cotação'!$A$9:$G$529,4,0))))</f>
        <v>CHP</v>
      </c>
      <c r="F1815" s="462">
        <f>1/30.18</f>
        <v>3.3134526176275679E-2</v>
      </c>
      <c r="G1815" s="453">
        <f>IF(A1815="SERVIÇO",VLOOKUP(B1815,SERVIÇOS!$A$6:$D$7645,4,0),IF(A1815="INSUMO",VLOOKUP(B1815,INSUMOS!$A$6:$D$6961,4,0),IF(A1815="COTAÇÃO",VLOOKUP(B1815,'036-20-Cotação'!$A$9:$G$529,3,0))))</f>
        <v>258.40800000000002</v>
      </c>
      <c r="H1815" s="463">
        <f t="shared" si="327"/>
        <v>8.5622266401590466</v>
      </c>
      <c r="J1815" s="201"/>
    </row>
    <row r="1816" spans="1:17" s="87" customFormat="1" ht="12.75">
      <c r="A1816" s="232" t="s">
        <v>4542</v>
      </c>
      <c r="B1816" s="464" t="s">
        <v>8619</v>
      </c>
      <c r="C1816" s="451" t="str">
        <f>IF(A1816="SERVIÇO",VLOOKUP(B1816,SERVIÇOS!$A$6:$D$7645,2,0),IF(A1816="INSUMO",VLOOKUP(B1816,INSUMOS!$A$6:$D$6961,2,0),IF(A1816="COTAÇÃO",VLOOKUP(B1816,'036-20-Cotação'!$A$9:$G$529,2,0))))</f>
        <v>PRÉ-MARCADOR</v>
      </c>
      <c r="D1816" s="452" t="str">
        <f>IF(A1816="SERVIÇO",VLOOKUP(B1816,SERVIÇOS!$A$6:$E$7645,5,0),IF(A1816="INSUMO",VLOOKUP(B1816,INSUMOS!$A$6:$E$6961,5,0),IF(A1816="COTAÇÃO",VLOOKUP(B1816,'036-20-Cotação'!$A$9:$H$529,8,0))))</f>
        <v>M.O</v>
      </c>
      <c r="E1816" s="452" t="str">
        <f>IF(A1816="SERVIÇO",VLOOKUP(B1816,SERVIÇOS!$A$6:$D$7645,3,0),IF(A1816="INSUMO",VLOOKUP(B1816,INSUMOS!$A$6:$D$6961,3,0),IF(A1816="COTAÇÃO",VLOOKUP(B1816,'036-20-Cotação'!$A$9:$G$529,4,0))))</f>
        <v>H</v>
      </c>
      <c r="F1816" s="462">
        <f t="shared" ref="F1816" si="328">1/30.18</f>
        <v>3.3134526176275679E-2</v>
      </c>
      <c r="G1816" s="453">
        <f>IF(A1816="SERVIÇO",VLOOKUP(B1816,SERVIÇOS!$A$6:$D$7645,4,0),IF(A1816="INSUMO",VLOOKUP(B1816,INSUMOS!$A$6:$D$6961,4,0),IF(A1816="COTAÇÃO",VLOOKUP(B1816,'036-20-Cotação'!$A$9:$G$529,3,0))))</f>
        <v>17.8307</v>
      </c>
      <c r="H1816" s="463">
        <f t="shared" si="327"/>
        <v>0.59081179589131871</v>
      </c>
      <c r="J1816" s="201"/>
    </row>
    <row r="1817" spans="1:17" s="87" customFormat="1" ht="12.75">
      <c r="A1817" s="232" t="s">
        <v>4542</v>
      </c>
      <c r="B1817" s="464" t="s">
        <v>6602</v>
      </c>
      <c r="C1817" s="451" t="str">
        <f>IF(A1817="SERVIÇO",VLOOKUP(B1817,SERVIÇOS!$A$6:$D$7645,2,0),IF(A1817="INSUMO",VLOOKUP(B1817,INSUMOS!$A$6:$D$6961,2,0),IF(A1817="COTAÇÃO",VLOOKUP(B1817,'036-20-Cotação'!$A$9:$G$529,2,0))))</f>
        <v>SERVENTE</v>
      </c>
      <c r="D1817" s="452" t="str">
        <f>IF(A1817="SERVIÇO",VLOOKUP(B1817,SERVIÇOS!$A$6:$E$7645,5,0),IF(A1817="INSUMO",VLOOKUP(B1817,INSUMOS!$A$6:$E$6961,5,0),IF(A1817="COTAÇÃO",VLOOKUP(B1817,'036-20-Cotação'!$A$9:$H$529,8,0))))</f>
        <v>M.O</v>
      </c>
      <c r="E1817" s="452" t="str">
        <f>IF(A1817="SERVIÇO",VLOOKUP(B1817,SERVIÇOS!$A$6:$D$7645,3,0),IF(A1817="INSUMO",VLOOKUP(B1817,INSUMOS!$A$6:$D$6961,3,0),IF(A1817="COTAÇÃO",VLOOKUP(B1817,'036-20-Cotação'!$A$9:$G$529,4,0))))</f>
        <v>H</v>
      </c>
      <c r="F1817" s="462">
        <f>5/30.18</f>
        <v>0.1656726308813784</v>
      </c>
      <c r="G1817" s="453">
        <f>IF(A1817="SERVIÇO",VLOOKUP(B1817,SERVIÇOS!$A$6:$D$7645,4,0),IF(A1817="INSUMO",VLOOKUP(B1817,INSUMOS!$A$6:$D$6961,4,0),IF(A1817="COTAÇÃO",VLOOKUP(B1817,'036-20-Cotação'!$A$9:$G$529,3,0))))</f>
        <v>15.637499999999999</v>
      </c>
      <c r="H1817" s="463">
        <f t="shared" si="327"/>
        <v>2.5907057654075545</v>
      </c>
      <c r="J1817" s="201"/>
    </row>
    <row r="1818" spans="1:17" s="87" customFormat="1" ht="12.75">
      <c r="A1818" s="232" t="s">
        <v>4544</v>
      </c>
      <c r="B1818" s="464" t="s">
        <v>11455</v>
      </c>
      <c r="C1818" s="451" t="str">
        <f>IF(A1818="SERVIÇO",VLOOKUP(B1818,SERVIÇOS!$A$6:$D$7645,2,0),IF(A1818="INSUMO",VLOOKUP(B1818,INSUMOS!$A$6:$D$6961,2,0),IF(A1818="COTAÇÃO",VLOOKUP(B1818,'036-20-Cotação'!$A$9:$G$529,2,0))))</f>
        <v>MICROESFERAS DE VIDRO REFLETIVA TIPO I-B</v>
      </c>
      <c r="D1818" s="452" t="str">
        <f>IF(A1818="SERVIÇO",VLOOKUP(B1818,SERVIÇOS!$A$6:$E$7645,5,0),IF(A1818="INSUMO",VLOOKUP(B1818,INSUMOS!$A$6:$E$6961,5,0),IF(A1818="COTAÇÃO",VLOOKUP(B1818,'036-20-Cotação'!$A$9:$H$529,8,0))))</f>
        <v>MAT.</v>
      </c>
      <c r="E1818" s="452" t="str">
        <f>IF(A1818="SERVIÇO",VLOOKUP(B1818,SERVIÇOS!$A$6:$D$7645,3,0),IF(A1818="INSUMO",VLOOKUP(B1818,INSUMOS!$A$6:$D$6961,3,0),IF(A1818="COTAÇÃO",VLOOKUP(B1818,'036-20-Cotação'!$A$9:$G$529,4,0))))</f>
        <v>KG</v>
      </c>
      <c r="F1818" s="462">
        <v>0.1</v>
      </c>
      <c r="G1818" s="453">
        <f>IF(A1818="SERVIÇO",VLOOKUP(B1818,SERVIÇOS!$A$6:$D$7645,4,0),IF(A1818="INSUMO",VLOOKUP(B1818,INSUMOS!$A$6:$D$6961,4,0),IF(A1818="COTAÇÃO",VLOOKUP(B1818,'036-20-Cotação'!$A$9:$G$529,3,0))))</f>
        <v>5.7911000000000001</v>
      </c>
      <c r="H1818" s="463">
        <f t="shared" si="327"/>
        <v>0.57911000000000001</v>
      </c>
      <c r="J1818" s="201"/>
    </row>
    <row r="1819" spans="1:17" s="87" customFormat="1" ht="12.75">
      <c r="A1819" s="232" t="s">
        <v>4544</v>
      </c>
      <c r="B1819" s="464" t="s">
        <v>11457</v>
      </c>
      <c r="C1819" s="451" t="str">
        <f>IF(A1819="SERVIÇO",VLOOKUP(B1819,SERVIÇOS!$A$6:$D$7645,2,0),IF(A1819="INSUMO",VLOOKUP(B1819,INSUMOS!$A$6:$D$6961,2,0),IF(A1819="COTAÇÃO",VLOOKUP(B1819,'036-20-Cotação'!$A$9:$G$529,2,0))))</f>
        <v>MICROESFERAS DE VIDRO REFLETIVA TIPO II-A</v>
      </c>
      <c r="D1819" s="452" t="str">
        <f>IF(A1819="SERVIÇO",VLOOKUP(B1819,SERVIÇOS!$A$6:$E$7645,5,0),IF(A1819="INSUMO",VLOOKUP(B1819,INSUMOS!$A$6:$E$6961,5,0),IF(A1819="COTAÇÃO",VLOOKUP(B1819,'036-20-Cotação'!$A$9:$H$529,8,0))))</f>
        <v>MAT.</v>
      </c>
      <c r="E1819" s="452" t="str">
        <f>IF(A1819="SERVIÇO",VLOOKUP(B1819,SERVIÇOS!$A$6:$D$7645,3,0),IF(A1819="INSUMO",VLOOKUP(B1819,INSUMOS!$A$6:$D$6961,3,0),IF(A1819="COTAÇÃO",VLOOKUP(B1819,'036-20-Cotação'!$A$9:$G$529,4,0))))</f>
        <v>KG</v>
      </c>
      <c r="F1819" s="462">
        <v>0.33</v>
      </c>
      <c r="G1819" s="453">
        <f>IF(A1819="SERVIÇO",VLOOKUP(B1819,SERVIÇOS!$A$6:$D$7645,4,0),IF(A1819="INSUMO",VLOOKUP(B1819,INSUMOS!$A$6:$D$6961,4,0),IF(A1819="COTAÇÃO",VLOOKUP(B1819,'036-20-Cotação'!$A$9:$G$529,3,0))))</f>
        <v>5.7794999999999996</v>
      </c>
      <c r="H1819" s="463">
        <f t="shared" si="327"/>
        <v>1.907235</v>
      </c>
      <c r="J1819" s="201"/>
    </row>
    <row r="1820" spans="1:17" s="87" customFormat="1" ht="25.5">
      <c r="A1820" s="232" t="s">
        <v>4544</v>
      </c>
      <c r="B1820" s="464" t="s">
        <v>11453</v>
      </c>
      <c r="C1820" s="451" t="str">
        <f>IF(A1820="SERVIÇO",VLOOKUP(B1820,SERVIÇOS!$A$6:$D$7645,2,0),IF(A1820="INSUMO",VLOOKUP(B1820,INSUMOS!$A$6:$D$6961,2,0),IF(A1820="COTAÇÃO",VLOOKUP(B1820,'036-20-Cotação'!$A$9:$G$529,2,0))))</f>
        <v>TINTA À BASE DE RESINA ACRÍLICA EMULSÃO EM ÁGUA</v>
      </c>
      <c r="D1820" s="452" t="str">
        <f>IF(A1820="SERVIÇO",VLOOKUP(B1820,SERVIÇOS!$A$6:$E$7645,5,0),IF(A1820="INSUMO",VLOOKUP(B1820,INSUMOS!$A$6:$E$6961,5,0),IF(A1820="COTAÇÃO",VLOOKUP(B1820,'036-20-Cotação'!$A$9:$H$529,8,0))))</f>
        <v>MAT.</v>
      </c>
      <c r="E1820" s="452" t="str">
        <f>IF(A1820="SERVIÇO",VLOOKUP(B1820,SERVIÇOS!$A$6:$D$7645,3,0),IF(A1820="INSUMO",VLOOKUP(B1820,INSUMOS!$A$6:$D$6961,3,0),IF(A1820="COTAÇÃO",VLOOKUP(B1820,'036-20-Cotação'!$A$9:$G$529,4,0))))</f>
        <v>L</v>
      </c>
      <c r="F1820" s="462">
        <v>0.4</v>
      </c>
      <c r="G1820" s="453">
        <f>IF(A1820="SERVIÇO",VLOOKUP(B1820,SERVIÇOS!$A$6:$D$7645,4,0),IF(A1820="INSUMO",VLOOKUP(B1820,INSUMOS!$A$6:$D$6961,4,0),IF(A1820="COTAÇÃO",VLOOKUP(B1820,'036-20-Cotação'!$A$9:$G$529,3,0))))</f>
        <v>16.442699999999999</v>
      </c>
      <c r="H1820" s="463">
        <f t="shared" si="327"/>
        <v>6.5770799999999996</v>
      </c>
      <c r="J1820" s="201"/>
    </row>
    <row r="1821" spans="1:17" s="87" customFormat="1" ht="12.75">
      <c r="A1821" s="232" t="s">
        <v>4544</v>
      </c>
      <c r="B1821" s="464" t="s">
        <v>11467</v>
      </c>
      <c r="C1821" s="451" t="str">
        <f>IF(A1821="SERVIÇO",VLOOKUP(B1821,SERVIÇOS!$A$6:$D$7645,2,0),IF(A1821="INSUMO",VLOOKUP(B1821,INSUMOS!$A$6:$D$6961,2,0),IF(A1821="COTAÇÃO",VLOOKUP(B1821,'036-20-Cotação'!$A$9:$G$529,2,0))))</f>
        <v>TINTA PARA PRÉ-MARCAÇÃO</v>
      </c>
      <c r="D1821" s="452" t="str">
        <f>IF(A1821="SERVIÇO",VLOOKUP(B1821,SERVIÇOS!$A$6:$E$7645,5,0),IF(A1821="INSUMO",VLOOKUP(B1821,INSUMOS!$A$6:$E$6961,5,0),IF(A1821="COTAÇÃO",VLOOKUP(B1821,'036-20-Cotação'!$A$9:$H$529,8,0))))</f>
        <v>MAT.</v>
      </c>
      <c r="E1821" s="452" t="str">
        <f>IF(A1821="SERVIÇO",VLOOKUP(B1821,SERVIÇOS!$A$6:$D$7645,3,0),IF(A1821="INSUMO",VLOOKUP(B1821,INSUMOS!$A$6:$D$6961,3,0),IF(A1821="COTAÇÃO",VLOOKUP(B1821,'036-20-Cotação'!$A$9:$G$529,4,0))))</f>
        <v>L</v>
      </c>
      <c r="F1821" s="462">
        <v>0.03</v>
      </c>
      <c r="G1821" s="453">
        <f>IF(A1821="SERVIÇO",VLOOKUP(B1821,SERVIÇOS!$A$6:$D$7645,4,0),IF(A1821="INSUMO",VLOOKUP(B1821,INSUMOS!$A$6:$D$6961,4,0),IF(A1821="COTAÇÃO",VLOOKUP(B1821,'036-20-Cotação'!$A$9:$G$529,3,0))))</f>
        <v>16.442699999999999</v>
      </c>
      <c r="H1821" s="463">
        <f t="shared" si="327"/>
        <v>0.49328099999999991</v>
      </c>
      <c r="J1821" s="201"/>
    </row>
    <row r="1822" spans="1:17" s="87" customFormat="1" ht="25.5">
      <c r="A1822" s="232" t="s">
        <v>4542</v>
      </c>
      <c r="B1822" s="531" t="s">
        <v>13205</v>
      </c>
      <c r="C1822" s="451" t="str">
        <f>'036-20-CCA''s'!$C$276</f>
        <v>TEMPO FIXO - CAMINHÃO CARROCERIA 5 T - CARGA E DESCARGA MANUAIS</v>
      </c>
      <c r="D1822" s="452" t="str">
        <f>'036-20-CCA''s'!$D$276</f>
        <v>SER.CG</v>
      </c>
      <c r="E1822" s="452" t="str">
        <f>'036-20-CCA''s'!$E$276</f>
        <v>T</v>
      </c>
      <c r="F1822" s="462">
        <f>0.0001+0.00033+0.00064+0.00005</f>
        <v>1.1199999999999999E-3</v>
      </c>
      <c r="G1822" s="453">
        <f>'036-20-CCA''s'!$H$276</f>
        <v>16.063762057877813</v>
      </c>
      <c r="H1822" s="463">
        <f t="shared" si="327"/>
        <v>1.799141350482315E-2</v>
      </c>
      <c r="J1822" s="201"/>
    </row>
    <row r="1823" spans="1:17" s="87" customFormat="1" ht="12.75">
      <c r="A1823" s="188"/>
      <c r="B1823" s="348" t="s">
        <v>123</v>
      </c>
      <c r="C1823" s="695" t="s">
        <v>13349</v>
      </c>
      <c r="D1823" s="696"/>
      <c r="E1823" s="696"/>
      <c r="F1823" s="696"/>
      <c r="G1823" s="696"/>
      <c r="H1823" s="697"/>
      <c r="J1823" s="201"/>
      <c r="K1823" s="78"/>
      <c r="L1823" s="78"/>
      <c r="M1823" s="78"/>
      <c r="N1823" s="78"/>
      <c r="O1823" s="78"/>
      <c r="P1823" s="78"/>
      <c r="Q1823" s="78"/>
    </row>
    <row r="1824" spans="1:17" s="87" customFormat="1" ht="12.75">
      <c r="A1824" s="188"/>
      <c r="B1824" s="346"/>
      <c r="C1824" s="486"/>
      <c r="D1824" s="486"/>
      <c r="E1824" s="486"/>
      <c r="F1824" s="486"/>
      <c r="G1824" s="486"/>
      <c r="H1824" s="487"/>
      <c r="J1824" s="201"/>
      <c r="K1824" s="78"/>
      <c r="L1824" s="78"/>
      <c r="M1824" s="78"/>
      <c r="N1824" s="78"/>
      <c r="O1824" s="78"/>
      <c r="P1824" s="78"/>
      <c r="Q1824" s="78"/>
    </row>
    <row r="1825" spans="1:17" s="87" customFormat="1" ht="38.25">
      <c r="A1825" s="188"/>
      <c r="B1825" s="80">
        <v>5216111</v>
      </c>
      <c r="C1825" s="81" t="s">
        <v>6598</v>
      </c>
      <c r="D1825" s="82" t="s">
        <v>84</v>
      </c>
      <c r="E1825" s="82" t="s">
        <v>150</v>
      </c>
      <c r="F1825" s="83"/>
      <c r="G1825" s="84"/>
      <c r="H1825" s="85">
        <f>SUM(H1826:H1835)</f>
        <v>107.77765476643329</v>
      </c>
      <c r="J1825" s="201" t="s">
        <v>13350</v>
      </c>
      <c r="K1825" s="78"/>
      <c r="L1825" s="78"/>
      <c r="M1825" s="78"/>
      <c r="N1825" s="78"/>
      <c r="O1825" s="78"/>
      <c r="P1825" s="78"/>
      <c r="Q1825" s="78"/>
    </row>
    <row r="1826" spans="1:17" s="87" customFormat="1" ht="25.5">
      <c r="A1826" s="232" t="s">
        <v>4542</v>
      </c>
      <c r="B1826" s="464" t="s">
        <v>9567</v>
      </c>
      <c r="C1826" s="451" t="str">
        <f>IF(A1826="SERVIÇO",VLOOKUP(B1826,SERVIÇOS!$A$6:$D$7645,2,0),IF(A1826="INSUMO",VLOOKUP(B1826,INSUMOS!$A$6:$D$6961,2,0),IF(A1826="COTAÇÃO",VLOOKUP(B1826,'036-20-Cotação'!$A$9:$G$529,2,0))))</f>
        <v>CAMINHÃO CARROCERIA COM CAPACIDADE DE 5 T - 115 KW</v>
      </c>
      <c r="D1826" s="452" t="str">
        <f>IF(A1826="SERVIÇO",VLOOKUP(B1826,SERVIÇOS!$A$6:$E$7645,5,0),IF(A1826="INSUMO",VLOOKUP(B1826,INSUMOS!$A$6:$E$6961,5,0),IF(A1826="COTAÇÃO",VLOOKUP(B1826,'036-20-Cotação'!$A$9:$H$529,8,0))))</f>
        <v>EQUIP.</v>
      </c>
      <c r="E1826" s="452" t="str">
        <f>IF(A1826="SERVIÇO",VLOOKUP(B1826,SERVIÇOS!$A$6:$D$7645,3,0),IF(A1826="INSUMO",VLOOKUP(B1826,INSUMOS!$A$6:$D$6961,3,0),IF(A1826="COTAÇÃO",VLOOKUP(B1826,'036-20-Cotação'!$A$9:$G$529,4,0))))</f>
        <v>CHP</v>
      </c>
      <c r="F1826" s="462">
        <f>0.3/4</f>
        <v>7.4999999999999997E-2</v>
      </c>
      <c r="G1826" s="453">
        <f>IF(A1826="SERVIÇO",VLOOKUP(B1826,SERVIÇOS!$A$6:$D$7645,4,0),IF(A1826="INSUMO",VLOOKUP(B1826,INSUMOS!$A$6:$D$6961,4,0),IF(A1826="COTAÇÃO",VLOOKUP(B1826,'036-20-Cotação'!$A$9:$G$529,3,0))))</f>
        <v>87.3249</v>
      </c>
      <c r="H1826" s="463">
        <f t="shared" ref="H1826:H1835" si="329">G1826*F1826</f>
        <v>6.5493674999999998</v>
      </c>
      <c r="J1826" s="201"/>
    </row>
    <row r="1827" spans="1:17" s="87" customFormat="1" ht="25.5">
      <c r="A1827" s="232" t="s">
        <v>4542</v>
      </c>
      <c r="B1827" s="464" t="s">
        <v>10052</v>
      </c>
      <c r="C1827" s="451" t="str">
        <f>IF(A1827="SERVIÇO",VLOOKUP(B1827,SERVIÇOS!$A$6:$D$7645,2,0),IF(A1827="INSUMO",VLOOKUP(B1827,INSUMOS!$A$6:$D$6961,2,0),IF(A1827="COTAÇÃO",VLOOKUP(B1827,'036-20-Cotação'!$A$9:$G$529,2,0))))</f>
        <v>CAMINHÃO CARROCERIA COM CAPACIDADE DE 5 T - 115 KW</v>
      </c>
      <c r="D1827" s="452" t="str">
        <f>IF(A1827="SERVIÇO",VLOOKUP(B1827,SERVIÇOS!$A$6:$E$7645,5,0),IF(A1827="INSUMO",VLOOKUP(B1827,INSUMOS!$A$6:$E$6961,5,0),IF(A1827="COTAÇÃO",VLOOKUP(B1827,'036-20-Cotação'!$A$9:$H$529,8,0))))</f>
        <v>EQUIP.</v>
      </c>
      <c r="E1827" s="452" t="str">
        <f>IF(A1827="SERVIÇO",VLOOKUP(B1827,SERVIÇOS!$A$6:$D$7645,3,0),IF(A1827="INSUMO",VLOOKUP(B1827,INSUMOS!$A$6:$D$6961,3,0),IF(A1827="COTAÇÃO",VLOOKUP(B1827,'036-20-Cotação'!$A$9:$G$529,4,0))))</f>
        <v>CHI</v>
      </c>
      <c r="F1827" s="462">
        <f>0.7/4</f>
        <v>0.17499999999999999</v>
      </c>
      <c r="G1827" s="453">
        <f>IF(A1827="SERVIÇO",VLOOKUP(B1827,SERVIÇOS!$A$6:$D$7645,4,0),IF(A1827="INSUMO",VLOOKUP(B1827,INSUMOS!$A$6:$D$6961,4,0),IF(A1827="COTAÇÃO",VLOOKUP(B1827,'036-20-Cotação'!$A$9:$G$529,3,0))))</f>
        <v>33.813400000000001</v>
      </c>
      <c r="H1827" s="463">
        <f t="shared" si="329"/>
        <v>5.9173450000000001</v>
      </c>
      <c r="J1827" s="201"/>
    </row>
    <row r="1828" spans="1:17" s="87" customFormat="1" ht="12.75">
      <c r="A1828" s="232" t="s">
        <v>4542</v>
      </c>
      <c r="B1828" s="464" t="s">
        <v>6613</v>
      </c>
      <c r="C1828" s="451" t="str">
        <f>IF(A1828="SERVIÇO",VLOOKUP(B1828,SERVIÇOS!$A$6:$D$7645,2,0),IF(A1828="INSUMO",VLOOKUP(B1828,INSUMOS!$A$6:$D$6961,2,0),IF(A1828="COTAÇÃO",VLOOKUP(B1828,'036-20-Cotação'!$A$9:$G$529,2,0))))</f>
        <v>CARPINTEIRO</v>
      </c>
      <c r="D1828" s="452" t="str">
        <f>IF(A1828="SERVIÇO",VLOOKUP(B1828,SERVIÇOS!$A$6:$E$7645,5,0),IF(A1828="INSUMO",VLOOKUP(B1828,INSUMOS!$A$6:$E$6961,5,0),IF(A1828="COTAÇÃO",VLOOKUP(B1828,'036-20-Cotação'!$A$9:$H$529,8,0))))</f>
        <v>M.O</v>
      </c>
      <c r="E1828" s="452" t="str">
        <f>IF(A1828="SERVIÇO",VLOOKUP(B1828,SERVIÇOS!$A$6:$D$7645,3,0),IF(A1828="INSUMO",VLOOKUP(B1828,INSUMOS!$A$6:$D$6961,3,0),IF(A1828="COTAÇÃO",VLOOKUP(B1828,'036-20-Cotação'!$A$9:$G$529,4,0))))</f>
        <v>H</v>
      </c>
      <c r="F1828" s="462">
        <f>1/4</f>
        <v>0.25</v>
      </c>
      <c r="G1828" s="453">
        <f>IF(A1828="SERVIÇO",VLOOKUP(B1828,SERVIÇOS!$A$6:$D$7645,4,0),IF(A1828="INSUMO",VLOOKUP(B1828,INSUMOS!$A$6:$D$6961,4,0),IF(A1828="COTAÇÃO",VLOOKUP(B1828,'036-20-Cotação'!$A$9:$G$529,3,0))))</f>
        <v>21.710999999999999</v>
      </c>
      <c r="H1828" s="463">
        <f t="shared" si="329"/>
        <v>5.4277499999999996</v>
      </c>
      <c r="J1828" s="201"/>
    </row>
    <row r="1829" spans="1:17" s="87" customFormat="1" ht="12.75">
      <c r="A1829" s="232" t="s">
        <v>4542</v>
      </c>
      <c r="B1829" s="464" t="s">
        <v>7527</v>
      </c>
      <c r="C1829" s="451" t="str">
        <f>IF(A1829="SERVIÇO",VLOOKUP(B1829,SERVIÇOS!$A$6:$D$7645,2,0),IF(A1829="INSUMO",VLOOKUP(B1829,INSUMOS!$A$6:$D$6961,2,0),IF(A1829="COTAÇÃO",VLOOKUP(B1829,'036-20-Cotação'!$A$9:$G$529,2,0))))</f>
        <v>PINTOR</v>
      </c>
      <c r="D1829" s="452" t="str">
        <f>IF(A1829="SERVIÇO",VLOOKUP(B1829,SERVIÇOS!$A$6:$E$7645,5,0),IF(A1829="INSUMO",VLOOKUP(B1829,INSUMOS!$A$6:$E$6961,5,0),IF(A1829="COTAÇÃO",VLOOKUP(B1829,'036-20-Cotação'!$A$9:$H$529,8,0))))</f>
        <v>M.O</v>
      </c>
      <c r="E1829" s="452" t="str">
        <f>IF(A1829="SERVIÇO",VLOOKUP(B1829,SERVIÇOS!$A$6:$D$7645,3,0),IF(A1829="INSUMO",VLOOKUP(B1829,INSUMOS!$A$6:$D$6961,3,0),IF(A1829="COTAÇÃO",VLOOKUP(B1829,'036-20-Cotação'!$A$9:$G$529,4,0))))</f>
        <v>H</v>
      </c>
      <c r="F1829" s="462">
        <f>0.5/4</f>
        <v>0.125</v>
      </c>
      <c r="G1829" s="453">
        <f>IF(A1829="SERVIÇO",VLOOKUP(B1829,SERVIÇOS!$A$6:$D$7645,4,0),IF(A1829="INSUMO",VLOOKUP(B1829,INSUMOS!$A$6:$D$6961,4,0),IF(A1829="COTAÇÃO",VLOOKUP(B1829,'036-20-Cotação'!$A$9:$G$529,3,0))))</f>
        <v>21.705200000000001</v>
      </c>
      <c r="H1829" s="463">
        <f t="shared" si="329"/>
        <v>2.7131500000000002</v>
      </c>
      <c r="J1829" s="201"/>
    </row>
    <row r="1830" spans="1:17" s="87" customFormat="1" ht="12.75">
      <c r="A1830" s="232" t="s">
        <v>4542</v>
      </c>
      <c r="B1830" s="464" t="s">
        <v>6602</v>
      </c>
      <c r="C1830" s="451" t="str">
        <f>IF(A1830="SERVIÇO",VLOOKUP(B1830,SERVIÇOS!$A$6:$D$7645,2,0),IF(A1830="INSUMO",VLOOKUP(B1830,INSUMOS!$A$6:$D$6961,2,0),IF(A1830="COTAÇÃO",VLOOKUP(B1830,'036-20-Cotação'!$A$9:$G$529,2,0))))</f>
        <v>SERVENTE</v>
      </c>
      <c r="D1830" s="452" t="str">
        <f>IF(A1830="SERVIÇO",VLOOKUP(B1830,SERVIÇOS!$A$6:$E$7645,5,0),IF(A1830="INSUMO",VLOOKUP(B1830,INSUMOS!$A$6:$E$6961,5,0),IF(A1830="COTAÇÃO",VLOOKUP(B1830,'036-20-Cotação'!$A$9:$H$529,8,0))))</f>
        <v>M.O</v>
      </c>
      <c r="E1830" s="452" t="str">
        <f>IF(A1830="SERVIÇO",VLOOKUP(B1830,SERVIÇOS!$A$6:$D$7645,3,0),IF(A1830="INSUMO",VLOOKUP(B1830,INSUMOS!$A$6:$D$6961,3,0),IF(A1830="COTAÇÃO",VLOOKUP(B1830,'036-20-Cotação'!$A$9:$G$529,4,0))))</f>
        <v>H</v>
      </c>
      <c r="F1830" s="462">
        <f>1/4</f>
        <v>0.25</v>
      </c>
      <c r="G1830" s="453">
        <f>IF(A1830="SERVIÇO",VLOOKUP(B1830,SERVIÇOS!$A$6:$D$7645,4,0),IF(A1830="INSUMO",VLOOKUP(B1830,INSUMOS!$A$6:$D$6961,4,0),IF(A1830="COTAÇÃO",VLOOKUP(B1830,'036-20-Cotação'!$A$9:$G$529,3,0))))</f>
        <v>15.637499999999999</v>
      </c>
      <c r="H1830" s="463">
        <f t="shared" si="329"/>
        <v>3.9093749999999998</v>
      </c>
      <c r="J1830" s="201"/>
    </row>
    <row r="1831" spans="1:17" s="87" customFormat="1" ht="25.5">
      <c r="A1831" s="232" t="s">
        <v>4544</v>
      </c>
      <c r="B1831" s="464" t="s">
        <v>6306</v>
      </c>
      <c r="C1831" s="451" t="str">
        <f>IF(A1831="SERVIÇO",VLOOKUP(B1831,SERVIÇOS!$A$6:$D$7645,2,0),IF(A1831="INSUMO",VLOOKUP(B1831,INSUMOS!$A$6:$D$6961,2,0),IF(A1831="COTAÇÃO",VLOOKUP(B1831,'036-20-Cotação'!$A$9:$G$529,2,0))))</f>
        <v>CONJUNTO DE CANTONEIRAS E PARAFUSOS GALVANIZADOS PARA FIXAÇÃO DE PLACAS</v>
      </c>
      <c r="D1831" s="452" t="str">
        <f>IF(A1831="SERVIÇO",VLOOKUP(B1831,SERVIÇOS!$A$6:$E$7645,5,0),IF(A1831="INSUMO",VLOOKUP(B1831,INSUMOS!$A$6:$E$6961,5,0),IF(A1831="COTAÇÃO",VLOOKUP(B1831,'036-20-Cotação'!$A$9:$H$529,8,0))))</f>
        <v>MAT.</v>
      </c>
      <c r="E1831" s="452" t="str">
        <f>IF(A1831="SERVIÇO",VLOOKUP(B1831,SERVIÇOS!$A$6:$D$7645,3,0),IF(A1831="INSUMO",VLOOKUP(B1831,INSUMOS!$A$6:$D$6961,3,0),IF(A1831="COTAÇÃO",VLOOKUP(B1831,'036-20-Cotação'!$A$9:$G$529,4,0))))</f>
        <v>KG</v>
      </c>
      <c r="F1831" s="462">
        <v>1.0581199999999999</v>
      </c>
      <c r="G1831" s="453">
        <f>IF(A1831="SERVIÇO",VLOOKUP(B1831,SERVIÇOS!$A$6:$D$7645,4,0),IF(A1831="INSUMO",VLOOKUP(B1831,INSUMOS!$A$6:$D$6961,4,0),IF(A1831="COTAÇÃO",VLOOKUP(B1831,'036-20-Cotação'!$A$9:$G$529,3,0))))</f>
        <v>9.5</v>
      </c>
      <c r="H1831" s="463">
        <f t="shared" si="329"/>
        <v>10.05214</v>
      </c>
      <c r="J1831" s="201"/>
    </row>
    <row r="1832" spans="1:17" s="87" customFormat="1" ht="12.75">
      <c r="A1832" s="232" t="s">
        <v>4544</v>
      </c>
      <c r="B1832" s="464" t="s">
        <v>11419</v>
      </c>
      <c r="C1832" s="451" t="str">
        <f>IF(A1832="SERVIÇO",VLOOKUP(B1832,SERVIÇOS!$A$6:$D$7645,2,0),IF(A1832="INSUMO",VLOOKUP(B1832,INSUMOS!$A$6:$D$6961,2,0),IF(A1832="COTAÇÃO",VLOOKUP(B1832,'036-20-Cotação'!$A$9:$G$529,2,0))))</f>
        <v>GASTALHO DE 10 X 2 CM</v>
      </c>
      <c r="D1832" s="452" t="str">
        <f>IF(A1832="SERVIÇO",VLOOKUP(B1832,SERVIÇOS!$A$6:$E$7645,5,0),IF(A1832="INSUMO",VLOOKUP(B1832,INSUMOS!$A$6:$E$6961,5,0),IF(A1832="COTAÇÃO",VLOOKUP(B1832,'036-20-Cotação'!$A$9:$H$529,8,0))))</f>
        <v>MAT.</v>
      </c>
      <c r="E1832" s="452" t="str">
        <f>IF(A1832="SERVIÇO",VLOOKUP(B1832,SERVIÇOS!$A$6:$D$7645,3,0),IF(A1832="INSUMO",VLOOKUP(B1832,INSUMOS!$A$6:$D$6961,3,0),IF(A1832="COTAÇÃO",VLOOKUP(B1832,'036-20-Cotação'!$A$9:$G$529,4,0))))</f>
        <v>M</v>
      </c>
      <c r="F1832" s="462">
        <v>1.4</v>
      </c>
      <c r="G1832" s="453">
        <f>IF(A1832="SERVIÇO",VLOOKUP(B1832,SERVIÇOS!$A$6:$D$7645,4,0),IF(A1832="INSUMO",VLOOKUP(B1832,INSUMOS!$A$6:$D$6961,4,0),IF(A1832="COTAÇÃO",VLOOKUP(B1832,'036-20-Cotação'!$A$9:$G$529,3,0))))</f>
        <v>2.6490999999999998</v>
      </c>
      <c r="H1832" s="463">
        <f t="shared" si="329"/>
        <v>3.7087399999999993</v>
      </c>
      <c r="J1832" s="201"/>
    </row>
    <row r="1833" spans="1:17" s="87" customFormat="1" ht="25.5">
      <c r="A1833" s="232" t="s">
        <v>4544</v>
      </c>
      <c r="B1833" s="464" t="s">
        <v>11118</v>
      </c>
      <c r="C1833" s="451" t="str">
        <f>IF(A1833="SERVIÇO",VLOOKUP(B1833,SERVIÇOS!$A$6:$D$7645,2,0),IF(A1833="INSUMO",VLOOKUP(B1833,INSUMOS!$A$6:$D$6961,2,0),IF(A1833="COTAÇÃO",VLOOKUP(B1833,'036-20-Cotação'!$A$9:$G$529,2,0))))</f>
        <v>SUPORTE EM MADEIRA DE EUCALIPTO TRATADO DE 8 X 8 CM</v>
      </c>
      <c r="D1833" s="452" t="str">
        <f>IF(A1833="SERVIÇO",VLOOKUP(B1833,SERVIÇOS!$A$6:$E$7645,5,0),IF(A1833="INSUMO",VLOOKUP(B1833,INSUMOS!$A$6:$E$6961,5,0),IF(A1833="COTAÇÃO",VLOOKUP(B1833,'036-20-Cotação'!$A$9:$H$529,8,0))))</f>
        <v>MAT.</v>
      </c>
      <c r="E1833" s="452" t="str">
        <f>IF(A1833="SERVIÇO",VLOOKUP(B1833,SERVIÇOS!$A$6:$D$7645,3,0),IF(A1833="INSUMO",VLOOKUP(B1833,INSUMOS!$A$6:$D$6961,3,0),IF(A1833="COTAÇÃO",VLOOKUP(B1833,'036-20-Cotação'!$A$9:$G$529,4,0))))</f>
        <v>M</v>
      </c>
      <c r="F1833" s="462">
        <v>3</v>
      </c>
      <c r="G1833" s="453">
        <f>IF(A1833="SERVIÇO",VLOOKUP(B1833,SERVIÇOS!$A$6:$D$7645,4,0),IF(A1833="INSUMO",VLOOKUP(B1833,INSUMOS!$A$6:$D$6961,4,0),IF(A1833="COTAÇÃO",VLOOKUP(B1833,'036-20-Cotação'!$A$9:$G$529,3,0))))</f>
        <v>12.9358</v>
      </c>
      <c r="H1833" s="463">
        <f t="shared" si="329"/>
        <v>38.807400000000001</v>
      </c>
      <c r="J1833" s="201"/>
    </row>
    <row r="1834" spans="1:17" s="87" customFormat="1" ht="12.75">
      <c r="A1834" s="232" t="s">
        <v>4544</v>
      </c>
      <c r="B1834" s="464" t="s">
        <v>11565</v>
      </c>
      <c r="C1834" s="451" t="str">
        <f>IF(A1834="SERVIÇO",VLOOKUP(B1834,SERVIÇOS!$A$6:$D$7645,2,0),IF(A1834="INSUMO",VLOOKUP(B1834,INSUMOS!$A$6:$D$6961,2,0),IF(A1834="COTAÇÃO",VLOOKUP(B1834,'036-20-Cotação'!$A$9:$G$529,2,0))))</f>
        <v>TINTA ESMALTE SINTÉTICO</v>
      </c>
      <c r="D1834" s="452" t="str">
        <f>IF(A1834="SERVIÇO",VLOOKUP(B1834,SERVIÇOS!$A$6:$E$7645,5,0),IF(A1834="INSUMO",VLOOKUP(B1834,INSUMOS!$A$6:$E$6961,5,0),IF(A1834="COTAÇÃO",VLOOKUP(B1834,'036-20-Cotação'!$A$9:$H$529,8,0))))</f>
        <v>MAT.</v>
      </c>
      <c r="E1834" s="452" t="str">
        <f>IF(A1834="SERVIÇO",VLOOKUP(B1834,SERVIÇOS!$A$6:$D$7645,3,0),IF(A1834="INSUMO",VLOOKUP(B1834,INSUMOS!$A$6:$D$6961,3,0),IF(A1834="COTAÇÃO",VLOOKUP(B1834,'036-20-Cotação'!$A$9:$G$529,4,0))))</f>
        <v>L</v>
      </c>
      <c r="F1834" s="462">
        <v>0.32998</v>
      </c>
      <c r="G1834" s="453">
        <f>IF(A1834="SERVIÇO",VLOOKUP(B1834,SERVIÇOS!$A$6:$D$7645,4,0),IF(A1834="INSUMO",VLOOKUP(B1834,INSUMOS!$A$6:$D$6961,4,0),IF(A1834="COTAÇÃO",VLOOKUP(B1834,'036-20-Cotação'!$A$9:$G$529,3,0))))</f>
        <v>23.171399999999998</v>
      </c>
      <c r="H1834" s="463">
        <f t="shared" si="329"/>
        <v>7.6460985719999996</v>
      </c>
      <c r="J1834" s="201"/>
    </row>
    <row r="1835" spans="1:17" s="87" customFormat="1" ht="51">
      <c r="A1835" s="232" t="s">
        <v>4542</v>
      </c>
      <c r="B1835" s="464">
        <v>1106165</v>
      </c>
      <c r="C1835" s="451" t="str">
        <f>'036-20-CCA''s'!$C$490</f>
        <v>CONCRETO CICLÍPICO FCK = 20 MPA - CONFECÇÃO EM BETONEIRA E LANÇAMENTO MANUAL - AREIA, BRITA E PEDRA DE MÃO COMERCIAIS</v>
      </c>
      <c r="D1835" s="452" t="str">
        <f>'036-20-CCA''s'!$D$490</f>
        <v>SER.CG</v>
      </c>
      <c r="E1835" s="452" t="str">
        <f>'036-20-CCA''s'!$E$490</f>
        <v>M3</v>
      </c>
      <c r="F1835" s="462">
        <v>7.1999999999999995E-2</v>
      </c>
      <c r="G1835" s="453">
        <f>'036-20-CCA''s'!H490</f>
        <v>320.08734297824009</v>
      </c>
      <c r="H1835" s="463">
        <f t="shared" si="329"/>
        <v>23.046288694433283</v>
      </c>
      <c r="J1835" s="201"/>
    </row>
    <row r="1836" spans="1:17" s="87" customFormat="1" ht="12.75">
      <c r="A1836" s="188"/>
      <c r="B1836" s="348" t="s">
        <v>123</v>
      </c>
      <c r="C1836" s="695" t="s">
        <v>13356</v>
      </c>
      <c r="D1836" s="696"/>
      <c r="E1836" s="696"/>
      <c r="F1836" s="696"/>
      <c r="G1836" s="696"/>
      <c r="H1836" s="697"/>
      <c r="J1836" s="201"/>
      <c r="K1836" s="78"/>
      <c r="L1836" s="78"/>
      <c r="M1836" s="78"/>
      <c r="N1836" s="78"/>
      <c r="O1836" s="78"/>
      <c r="P1836" s="78"/>
      <c r="Q1836" s="78"/>
    </row>
    <row r="1837" spans="1:17" s="87" customFormat="1" ht="12.75">
      <c r="A1837" s="188"/>
      <c r="B1837" s="346"/>
      <c r="C1837" s="486"/>
      <c r="D1837" s="486"/>
      <c r="E1837" s="486"/>
      <c r="F1837" s="486"/>
      <c r="G1837" s="486"/>
      <c r="H1837" s="487"/>
      <c r="J1837" s="201"/>
      <c r="K1837" s="78"/>
      <c r="L1837" s="78"/>
      <c r="M1837" s="78"/>
      <c r="N1837" s="78"/>
      <c r="O1837" s="78"/>
      <c r="P1837" s="78"/>
      <c r="Q1837" s="78"/>
    </row>
    <row r="1838" spans="1:17" s="87" customFormat="1" ht="25.5">
      <c r="A1838" s="188"/>
      <c r="B1838" s="80">
        <v>5213835</v>
      </c>
      <c r="C1838" s="81" t="s">
        <v>6656</v>
      </c>
      <c r="D1838" s="82" t="s">
        <v>84</v>
      </c>
      <c r="E1838" s="82" t="s">
        <v>90</v>
      </c>
      <c r="F1838" s="83"/>
      <c r="G1838" s="84"/>
      <c r="H1838" s="85">
        <f>SUM(H1839:H1842)</f>
        <v>12.343777532475885</v>
      </c>
      <c r="J1838" s="201" t="s">
        <v>13360</v>
      </c>
      <c r="K1838" s="78"/>
      <c r="L1838" s="78"/>
      <c r="M1838" s="78"/>
      <c r="N1838" s="78"/>
      <c r="O1838" s="78"/>
      <c r="P1838" s="78"/>
      <c r="Q1838" s="78"/>
    </row>
    <row r="1839" spans="1:17" s="87" customFormat="1" ht="25.5">
      <c r="A1839" s="232" t="s">
        <v>4542</v>
      </c>
      <c r="B1839" s="464" t="s">
        <v>9567</v>
      </c>
      <c r="C1839" s="451" t="str">
        <f>IF(A1839="SERVIÇO",VLOOKUP(B1839,SERVIÇOS!$A$6:$D$7645,2,0),IF(A1839="INSUMO",VLOOKUP(B1839,INSUMOS!$A$6:$D$6961,2,0),IF(A1839="COTAÇÃO",VLOOKUP(B1839,'036-20-Cotação'!$A$9:$G$529,2,0))))</f>
        <v>CAMINHÃO CARROCERIA COM CAPACIDADE DE 5 T - 115 KW</v>
      </c>
      <c r="D1839" s="452" t="str">
        <f>IF(A1839="SERVIÇO",VLOOKUP(B1839,SERVIÇOS!$A$6:$E$7645,5,0),IF(A1839="INSUMO",VLOOKUP(B1839,INSUMOS!$A$6:$E$6961,5,0),IF(A1839="COTAÇÃO",VLOOKUP(B1839,'036-20-Cotação'!$A$9:$H$529,8,0))))</f>
        <v>EQUIP.</v>
      </c>
      <c r="E1839" s="452" t="str">
        <f>IF(A1839="SERVIÇO",VLOOKUP(B1839,SERVIÇOS!$A$6:$D$7645,3,0),IF(A1839="INSUMO",VLOOKUP(B1839,INSUMOS!$A$6:$D$6961,3,0),IF(A1839="COTAÇÃO",VLOOKUP(B1839,'036-20-Cotação'!$A$9:$G$529,4,0))))</f>
        <v>CHP</v>
      </c>
      <c r="F1839" s="462">
        <f>1/50</f>
        <v>0.02</v>
      </c>
      <c r="G1839" s="453">
        <f>IF(A1839="SERVIÇO",VLOOKUP(B1839,SERVIÇOS!$A$6:$D$7645,4,0),IF(A1839="INSUMO",VLOOKUP(B1839,INSUMOS!$A$6:$D$6961,4,0),IF(A1839="COTAÇÃO",VLOOKUP(B1839,'036-20-Cotação'!$A$9:$G$529,3,0))))</f>
        <v>87.3249</v>
      </c>
      <c r="H1839" s="463">
        <f t="shared" ref="H1839:H1842" si="330">G1839*F1839</f>
        <v>1.7464980000000001</v>
      </c>
      <c r="J1839" s="201"/>
    </row>
    <row r="1840" spans="1:17" s="87" customFormat="1" ht="12.75">
      <c r="A1840" s="232" t="s">
        <v>4542</v>
      </c>
      <c r="B1840" s="464" t="s">
        <v>6602</v>
      </c>
      <c r="C1840" s="451" t="str">
        <f>IF(A1840="SERVIÇO",VLOOKUP(B1840,SERVIÇOS!$A$6:$D$7645,2,0),IF(A1840="INSUMO",VLOOKUP(B1840,INSUMOS!$A$6:$D$6961,2,0),IF(A1840="COTAÇÃO",VLOOKUP(B1840,'036-20-Cotação'!$A$9:$G$529,2,0))))</f>
        <v>SERVENTE</v>
      </c>
      <c r="D1840" s="452" t="str">
        <f>IF(A1840="SERVIÇO",VLOOKUP(B1840,SERVIÇOS!$A$6:$E$7645,5,0),IF(A1840="INSUMO",VLOOKUP(B1840,INSUMOS!$A$6:$E$6961,5,0),IF(A1840="COTAÇÃO",VLOOKUP(B1840,'036-20-Cotação'!$A$9:$H$529,8,0))))</f>
        <v>M.O</v>
      </c>
      <c r="E1840" s="452" t="str">
        <f>IF(A1840="SERVIÇO",VLOOKUP(B1840,SERVIÇOS!$A$6:$D$7645,3,0),IF(A1840="INSUMO",VLOOKUP(B1840,INSUMOS!$A$6:$D$6961,3,0),IF(A1840="COTAÇÃO",VLOOKUP(B1840,'036-20-Cotação'!$A$9:$G$529,4,0))))</f>
        <v>H</v>
      </c>
      <c r="F1840" s="462">
        <f>2/50</f>
        <v>0.04</v>
      </c>
      <c r="G1840" s="453">
        <f>IF(A1840="SERVIÇO",VLOOKUP(B1840,SERVIÇOS!$A$6:$D$7645,4,0),IF(A1840="INSUMO",VLOOKUP(B1840,INSUMOS!$A$6:$D$6961,4,0),IF(A1840="COTAÇÃO",VLOOKUP(B1840,'036-20-Cotação'!$A$9:$G$529,3,0))))</f>
        <v>15.637499999999999</v>
      </c>
      <c r="H1840" s="463">
        <f t="shared" si="330"/>
        <v>0.62549999999999994</v>
      </c>
      <c r="J1840" s="201"/>
    </row>
    <row r="1841" spans="1:17" s="87" customFormat="1" ht="12.75">
      <c r="A1841" s="232" t="s">
        <v>4544</v>
      </c>
      <c r="B1841" s="464" t="s">
        <v>6826</v>
      </c>
      <c r="C1841" s="451" t="str">
        <f>IF(A1841="SERVIÇO",VLOOKUP(B1841,SERVIÇOS!$A$6:$D$7645,2,0),IF(A1841="INSUMO",VLOOKUP(B1841,INSUMOS!$A$6:$D$6961,2,0),IF(A1841="COTAÇÃO",VLOOKUP(B1841,'036-20-Cotação'!$A$9:$G$529,2,0))))</f>
        <v>CONE PLÁSTICO DE SINALIZAÇÃO - NBR 15.071</v>
      </c>
      <c r="D1841" s="452" t="str">
        <f>IF(A1841="SERVIÇO",VLOOKUP(B1841,SERVIÇOS!$A$6:$E$7645,5,0),IF(A1841="INSUMO",VLOOKUP(B1841,INSUMOS!$A$6:$E$6961,5,0),IF(A1841="COTAÇÃO",VLOOKUP(B1841,'036-20-Cotação'!$A$9:$H$529,8,0))))</f>
        <v>MAT.</v>
      </c>
      <c r="E1841" s="452" t="str">
        <f>IF(A1841="SERVIÇO",VLOOKUP(B1841,SERVIÇOS!$A$6:$D$7645,3,0),IF(A1841="INSUMO",VLOOKUP(B1841,INSUMOS!$A$6:$D$6961,3,0),IF(A1841="COTAÇÃO",VLOOKUP(B1841,'036-20-Cotação'!$A$9:$G$529,4,0))))</f>
        <v>UN</v>
      </c>
      <c r="F1841" s="462">
        <v>0.2</v>
      </c>
      <c r="G1841" s="453">
        <f>IF(A1841="SERVIÇO",VLOOKUP(B1841,SERVIÇOS!$A$6:$D$7645,4,0),IF(A1841="INSUMO",VLOOKUP(B1841,INSUMOS!$A$6:$D$6961,4,0),IF(A1841="COTAÇÃO",VLOOKUP(B1841,'036-20-Cotação'!$A$9:$G$529,3,0))))</f>
        <v>49.809100000000001</v>
      </c>
      <c r="H1841" s="463">
        <f t="shared" si="330"/>
        <v>9.9618200000000012</v>
      </c>
      <c r="J1841" s="201"/>
    </row>
    <row r="1842" spans="1:17" s="87" customFormat="1" ht="25.5">
      <c r="A1842" s="232" t="s">
        <v>4542</v>
      </c>
      <c r="B1842" s="464" t="s">
        <v>13205</v>
      </c>
      <c r="C1842" s="451" t="str">
        <f>'036-20-CCA''s'!$C$276</f>
        <v>TEMPO FIXO - CAMINHÃO CARROCERIA 5 T - CARGA E DESCARGA MANUAIS</v>
      </c>
      <c r="D1842" s="452" t="str">
        <f>'036-20-CCA''s'!$D$276</f>
        <v>SER.CG</v>
      </c>
      <c r="E1842" s="452" t="str">
        <f>'036-20-CCA''s'!$E$276</f>
        <v>T</v>
      </c>
      <c r="F1842" s="462">
        <v>6.2E-4</v>
      </c>
      <c r="G1842" s="453">
        <f>'036-20-CCA''s'!$H$276</f>
        <v>16.063762057877813</v>
      </c>
      <c r="H1842" s="463">
        <f t="shared" si="330"/>
        <v>9.9595324758842436E-3</v>
      </c>
      <c r="J1842" s="201"/>
    </row>
    <row r="1843" spans="1:17" s="87" customFormat="1" ht="12.75">
      <c r="A1843" s="188"/>
      <c r="B1843" s="348" t="s">
        <v>123</v>
      </c>
      <c r="C1843" s="695" t="s">
        <v>13359</v>
      </c>
      <c r="D1843" s="696"/>
      <c r="E1843" s="696"/>
      <c r="F1843" s="696"/>
      <c r="G1843" s="696"/>
      <c r="H1843" s="697"/>
      <c r="J1843" s="201"/>
      <c r="K1843" s="78"/>
      <c r="L1843" s="78"/>
      <c r="M1843" s="78"/>
      <c r="N1843" s="78"/>
      <c r="O1843" s="78"/>
      <c r="P1843" s="78"/>
      <c r="Q1843" s="78"/>
    </row>
    <row r="1844" spans="1:17" s="87" customFormat="1" ht="12.75">
      <c r="A1844" s="188"/>
      <c r="B1844" s="346"/>
      <c r="C1844" s="486"/>
      <c r="D1844" s="486"/>
      <c r="E1844" s="486"/>
      <c r="F1844" s="486"/>
      <c r="G1844" s="486"/>
      <c r="H1844" s="487"/>
      <c r="J1844" s="201"/>
      <c r="K1844" s="78"/>
      <c r="L1844" s="78"/>
      <c r="M1844" s="78"/>
      <c r="N1844" s="78"/>
      <c r="O1844" s="78"/>
      <c r="P1844" s="78"/>
      <c r="Q1844" s="78"/>
    </row>
    <row r="1845" spans="1:17" s="87" customFormat="1" ht="38.25">
      <c r="A1845" s="188"/>
      <c r="B1845" s="80">
        <v>5213383</v>
      </c>
      <c r="C1845" s="81" t="s">
        <v>6657</v>
      </c>
      <c r="D1845" s="82" t="s">
        <v>84</v>
      </c>
      <c r="E1845" s="82" t="s">
        <v>90</v>
      </c>
      <c r="F1845" s="83"/>
      <c r="G1845" s="84"/>
      <c r="H1845" s="85">
        <f>SUM(H1846:H1848)</f>
        <v>2.0825569128617363</v>
      </c>
      <c r="J1845" s="201" t="s">
        <v>13361</v>
      </c>
      <c r="K1845" s="78"/>
      <c r="L1845" s="78"/>
      <c r="M1845" s="78"/>
      <c r="N1845" s="78"/>
      <c r="O1845" s="78"/>
      <c r="P1845" s="78"/>
      <c r="Q1845" s="78"/>
    </row>
    <row r="1846" spans="1:17" s="87" customFormat="1" ht="12.75">
      <c r="A1846" s="232" t="s">
        <v>4542</v>
      </c>
      <c r="B1846" s="464" t="s">
        <v>6602</v>
      </c>
      <c r="C1846" s="451" t="str">
        <f>IF(A1846="SERVIÇO",VLOOKUP(B1846,SERVIÇOS!$A$6:$D$7645,2,0),IF(A1846="INSUMO",VLOOKUP(B1846,INSUMOS!$A$6:$D$6961,2,0),IF(A1846="COTAÇÃO",VLOOKUP(B1846,'036-20-Cotação'!$A$9:$G$529,2,0))))</f>
        <v>SERVENTE</v>
      </c>
      <c r="D1846" s="452" t="str">
        <f>IF(A1846="SERVIÇO",VLOOKUP(B1846,SERVIÇOS!$A$6:$E$7645,5,0),IF(A1846="INSUMO",VLOOKUP(B1846,INSUMOS!$A$6:$E$6961,5,0),IF(A1846="COTAÇÃO",VLOOKUP(B1846,'036-20-Cotação'!$A$9:$H$529,8,0))))</f>
        <v>M.O</v>
      </c>
      <c r="E1846" s="452" t="str">
        <f>IF(A1846="SERVIÇO",VLOOKUP(B1846,SERVIÇOS!$A$6:$D$7645,3,0),IF(A1846="INSUMO",VLOOKUP(B1846,INSUMOS!$A$6:$D$6961,3,0),IF(A1846="COTAÇÃO",VLOOKUP(B1846,'036-20-Cotação'!$A$9:$G$529,4,0))))</f>
        <v>H</v>
      </c>
      <c r="F1846" s="462">
        <f>1/20</f>
        <v>0.05</v>
      </c>
      <c r="G1846" s="453">
        <f>IF(A1846="SERVIÇO",VLOOKUP(B1846,SERVIÇOS!$A$6:$D$7645,4,0),IF(A1846="INSUMO",VLOOKUP(B1846,INSUMOS!$A$6:$D$6961,4,0),IF(A1846="COTAÇÃO",VLOOKUP(B1846,'036-20-Cotação'!$A$9:$G$529,3,0))))</f>
        <v>15.637499999999999</v>
      </c>
      <c r="H1846" s="463">
        <f t="shared" ref="H1846:H1848" si="331">G1846*F1846</f>
        <v>0.78187499999999999</v>
      </c>
      <c r="J1846" s="201"/>
    </row>
    <row r="1847" spans="1:17" s="87" customFormat="1" ht="25.5">
      <c r="A1847" s="232" t="s">
        <v>4544</v>
      </c>
      <c r="B1847" s="464" t="s">
        <v>10589</v>
      </c>
      <c r="C1847" s="451" t="str">
        <f>IF(A1847="SERVIÇO",VLOOKUP(B1847,SERVIÇOS!$A$6:$D$7645,2,0),IF(A1847="INSUMO",VLOOKUP(B1847,INSUMOS!$A$6:$D$6961,2,0),IF(A1847="COTAÇÃO",VLOOKUP(B1847,'036-20-Cotação'!$A$9:$G$529,2,0))))</f>
        <v>CAVALETE EM POLIETILENO ZEBRADO COM FAIXA REFLETIVA</v>
      </c>
      <c r="D1847" s="452" t="str">
        <f>IF(A1847="SERVIÇO",VLOOKUP(B1847,SERVIÇOS!$A$6:$E$7645,5,0),IF(A1847="INSUMO",VLOOKUP(B1847,INSUMOS!$A$6:$E$6961,5,0),IF(A1847="COTAÇÃO",VLOOKUP(B1847,'036-20-Cotação'!$A$9:$H$529,8,0))))</f>
        <v>MAT.</v>
      </c>
      <c r="E1847" s="452" t="str">
        <f>IF(A1847="SERVIÇO",VLOOKUP(B1847,SERVIÇOS!$A$6:$D$7645,3,0),IF(A1847="INSUMO",VLOOKUP(B1847,INSUMOS!$A$6:$D$6961,3,0),IF(A1847="COTAÇÃO",VLOOKUP(B1847,'036-20-Cotação'!$A$9:$G$529,4,0))))</f>
        <v>UN</v>
      </c>
      <c r="F1847" s="462">
        <v>5.0000000000000001E-3</v>
      </c>
      <c r="G1847" s="453">
        <f>IF(A1847="SERVIÇO",VLOOKUP(B1847,SERVIÇOS!$A$6:$D$7645,4,0),IF(A1847="INSUMO",VLOOKUP(B1847,INSUMOS!$A$6:$D$6961,4,0),IF(A1847="COTAÇÃO",VLOOKUP(B1847,'036-20-Cotação'!$A$9:$G$529,3,0))))</f>
        <v>260.04000000000002</v>
      </c>
      <c r="H1847" s="463">
        <f t="shared" si="331"/>
        <v>1.3002</v>
      </c>
      <c r="J1847" s="201"/>
    </row>
    <row r="1848" spans="1:17" s="87" customFormat="1" ht="25.5">
      <c r="A1848" s="232" t="s">
        <v>4542</v>
      </c>
      <c r="B1848" s="464" t="s">
        <v>13205</v>
      </c>
      <c r="C1848" s="451" t="str">
        <f>'036-20-CCA''s'!$C$276</f>
        <v>TEMPO FIXO - CAMINHÃO CARROCERIA 5 T - CARGA E DESCARGA MANUAIS</v>
      </c>
      <c r="D1848" s="452" t="str">
        <f>'036-20-CCA''s'!$D$276</f>
        <v>SER.CG</v>
      </c>
      <c r="E1848" s="452" t="str">
        <f>'036-20-CCA''s'!$E$276</f>
        <v>T</v>
      </c>
      <c r="F1848" s="462">
        <v>3.0000000000000001E-5</v>
      </c>
      <c r="G1848" s="453">
        <f>'036-20-CCA''s'!$H$276</f>
        <v>16.063762057877813</v>
      </c>
      <c r="H1848" s="463">
        <f t="shared" si="331"/>
        <v>4.8191286173633439E-4</v>
      </c>
      <c r="J1848" s="201"/>
    </row>
    <row r="1849" spans="1:17" s="87" customFormat="1" ht="12.75">
      <c r="A1849" s="188"/>
      <c r="B1849" s="348" t="s">
        <v>123</v>
      </c>
      <c r="C1849" s="695" t="s">
        <v>13362</v>
      </c>
      <c r="D1849" s="696"/>
      <c r="E1849" s="696"/>
      <c r="F1849" s="696"/>
      <c r="G1849" s="696"/>
      <c r="H1849" s="697"/>
      <c r="J1849" s="201"/>
      <c r="K1849" s="78"/>
      <c r="L1849" s="78"/>
      <c r="M1849" s="78"/>
      <c r="N1849" s="78"/>
      <c r="O1849" s="78"/>
      <c r="P1849" s="78"/>
      <c r="Q1849" s="78"/>
    </row>
    <row r="1850" spans="1:17" s="87" customFormat="1" ht="12.75">
      <c r="A1850" s="188"/>
      <c r="B1850" s="346"/>
      <c r="C1850" s="486"/>
      <c r="D1850" s="486"/>
      <c r="E1850" s="486"/>
      <c r="F1850" s="486"/>
      <c r="G1850" s="486"/>
      <c r="H1850" s="487"/>
      <c r="J1850" s="201"/>
      <c r="K1850" s="78"/>
      <c r="L1850" s="78"/>
      <c r="M1850" s="78"/>
      <c r="N1850" s="78"/>
      <c r="O1850" s="78"/>
      <c r="P1850" s="78"/>
      <c r="Q1850" s="78"/>
    </row>
    <row r="1851" spans="1:17" s="87" customFormat="1" ht="38.25">
      <c r="A1851" s="188"/>
      <c r="B1851" s="80">
        <v>5213386</v>
      </c>
      <c r="C1851" s="81" t="s">
        <v>6658</v>
      </c>
      <c r="D1851" s="82" t="s">
        <v>84</v>
      </c>
      <c r="E1851" s="82" t="s">
        <v>90</v>
      </c>
      <c r="F1851" s="83"/>
      <c r="G1851" s="84"/>
      <c r="H1851" s="85">
        <f>SUM(H1852:H1863)</f>
        <v>92.417208433599015</v>
      </c>
      <c r="J1851" s="201" t="s">
        <v>13363</v>
      </c>
      <c r="K1851" s="78"/>
      <c r="L1851" s="78"/>
      <c r="M1851" s="78"/>
      <c r="N1851" s="78"/>
      <c r="O1851" s="78"/>
      <c r="P1851" s="78"/>
      <c r="Q1851" s="78"/>
    </row>
    <row r="1852" spans="1:17" s="87" customFormat="1" ht="12.75">
      <c r="A1852" s="232" t="s">
        <v>4542</v>
      </c>
      <c r="B1852" s="464" t="s">
        <v>6613</v>
      </c>
      <c r="C1852" s="451" t="str">
        <f>IF(A1852="SERVIÇO",VLOOKUP(B1852,SERVIÇOS!$A$6:$D$7645,2,0),IF(A1852="INSUMO",VLOOKUP(B1852,INSUMOS!$A$6:$D$6961,2,0),IF(A1852="COTAÇÃO",VLOOKUP(B1852,'036-20-Cotação'!$A$9:$G$529,2,0))))</f>
        <v>CARPINTEIRO</v>
      </c>
      <c r="D1852" s="452" t="str">
        <f>IF(A1852="SERVIÇO",VLOOKUP(B1852,SERVIÇOS!$A$6:$E$7645,5,0),IF(A1852="INSUMO",VLOOKUP(B1852,INSUMOS!$A$6:$E$6961,5,0),IF(A1852="COTAÇÃO",VLOOKUP(B1852,'036-20-Cotação'!$A$9:$H$529,8,0))))</f>
        <v>M.O</v>
      </c>
      <c r="E1852" s="452" t="str">
        <f>IF(A1852="SERVIÇO",VLOOKUP(B1852,SERVIÇOS!$A$6:$D$7645,3,0),IF(A1852="INSUMO",VLOOKUP(B1852,INSUMOS!$A$6:$D$6961,3,0),IF(A1852="COTAÇÃO",VLOOKUP(B1852,'036-20-Cotação'!$A$9:$G$529,4,0))))</f>
        <v>H</v>
      </c>
      <c r="F1852" s="462">
        <f>1/2.5</f>
        <v>0.4</v>
      </c>
      <c r="G1852" s="453">
        <f>IF(A1852="SERVIÇO",VLOOKUP(B1852,SERVIÇOS!$A$6:$D$7645,4,0),IF(A1852="INSUMO",VLOOKUP(B1852,INSUMOS!$A$6:$D$6961,4,0),IF(A1852="COTAÇÃO",VLOOKUP(B1852,'036-20-Cotação'!$A$9:$G$529,3,0))))</f>
        <v>21.710999999999999</v>
      </c>
      <c r="H1852" s="463">
        <f t="shared" ref="H1852:H1863" si="332">G1852*F1852</f>
        <v>8.6844000000000001</v>
      </c>
      <c r="J1852" s="201"/>
    </row>
    <row r="1853" spans="1:17" s="87" customFormat="1" ht="12.75">
      <c r="A1853" s="232" t="s">
        <v>4542</v>
      </c>
      <c r="B1853" s="464" t="s">
        <v>6601</v>
      </c>
      <c r="C1853" s="451" t="str">
        <f>IF(A1853="SERVIÇO",VLOOKUP(B1853,SERVIÇOS!$A$6:$D$7645,2,0),IF(A1853="INSUMO",VLOOKUP(B1853,INSUMOS!$A$6:$D$6961,2,0),IF(A1853="COTAÇÃO",VLOOKUP(B1853,'036-20-Cotação'!$A$9:$G$529,2,0))))</f>
        <v>MONTADOR</v>
      </c>
      <c r="D1853" s="452" t="str">
        <f>IF(A1853="SERVIÇO",VLOOKUP(B1853,SERVIÇOS!$A$6:$E$7645,5,0),IF(A1853="INSUMO",VLOOKUP(B1853,INSUMOS!$A$6:$E$6961,5,0),IF(A1853="COTAÇÃO",VLOOKUP(B1853,'036-20-Cotação'!$A$9:$H$529,8,0))))</f>
        <v>M.O</v>
      </c>
      <c r="E1853" s="452" t="str">
        <f>IF(A1853="SERVIÇO",VLOOKUP(B1853,SERVIÇOS!$A$6:$D$7645,3,0),IF(A1853="INSUMO",VLOOKUP(B1853,INSUMOS!$A$6:$D$6961,3,0),IF(A1853="COTAÇÃO",VLOOKUP(B1853,'036-20-Cotação'!$A$9:$G$529,4,0))))</f>
        <v>H</v>
      </c>
      <c r="F1853" s="462">
        <f>0.5/2.5</f>
        <v>0.2</v>
      </c>
      <c r="G1853" s="453">
        <f>IF(A1853="SERVIÇO",VLOOKUP(B1853,SERVIÇOS!$A$6:$D$7645,4,0),IF(A1853="INSUMO",VLOOKUP(B1853,INSUMOS!$A$6:$D$6961,4,0),IF(A1853="COTAÇÃO",VLOOKUP(B1853,'036-20-Cotação'!$A$9:$G$529,3,0))))</f>
        <v>23.4679</v>
      </c>
      <c r="H1853" s="463">
        <f t="shared" si="332"/>
        <v>4.6935799999999999</v>
      </c>
      <c r="J1853" s="201"/>
    </row>
    <row r="1854" spans="1:17" s="87" customFormat="1" ht="12.75">
      <c r="A1854" s="232" t="s">
        <v>4542</v>
      </c>
      <c r="B1854" s="464" t="s">
        <v>7527</v>
      </c>
      <c r="C1854" s="451" t="str">
        <f>IF(A1854="SERVIÇO",VLOOKUP(B1854,SERVIÇOS!$A$6:$D$7645,2,0),IF(A1854="INSUMO",VLOOKUP(B1854,INSUMOS!$A$6:$D$6961,2,0),IF(A1854="COTAÇÃO",VLOOKUP(B1854,'036-20-Cotação'!$A$9:$G$529,2,0))))</f>
        <v>PINTOR</v>
      </c>
      <c r="D1854" s="452" t="str">
        <f>IF(A1854="SERVIÇO",VLOOKUP(B1854,SERVIÇOS!$A$6:$E$7645,5,0),IF(A1854="INSUMO",VLOOKUP(B1854,INSUMOS!$A$6:$E$6961,5,0),IF(A1854="COTAÇÃO",VLOOKUP(B1854,'036-20-Cotação'!$A$9:$H$529,8,0))))</f>
        <v>M.O</v>
      </c>
      <c r="E1854" s="452" t="str">
        <f>IF(A1854="SERVIÇO",VLOOKUP(B1854,SERVIÇOS!$A$6:$D$7645,3,0),IF(A1854="INSUMO",VLOOKUP(B1854,INSUMOS!$A$6:$D$6961,3,0),IF(A1854="COTAÇÃO",VLOOKUP(B1854,'036-20-Cotação'!$A$9:$G$529,4,0))))</f>
        <v>H</v>
      </c>
      <c r="F1854" s="462">
        <f>1/2.5</f>
        <v>0.4</v>
      </c>
      <c r="G1854" s="453">
        <f>IF(A1854="SERVIÇO",VLOOKUP(B1854,SERVIÇOS!$A$6:$D$7645,4,0),IF(A1854="INSUMO",VLOOKUP(B1854,INSUMOS!$A$6:$D$6961,4,0),IF(A1854="COTAÇÃO",VLOOKUP(B1854,'036-20-Cotação'!$A$9:$G$529,3,0))))</f>
        <v>21.705200000000001</v>
      </c>
      <c r="H1854" s="463">
        <f t="shared" si="332"/>
        <v>8.6820800000000009</v>
      </c>
      <c r="J1854" s="201"/>
    </row>
    <row r="1855" spans="1:17" s="87" customFormat="1" ht="12.75">
      <c r="A1855" s="232" t="s">
        <v>4542</v>
      </c>
      <c r="B1855" s="464" t="s">
        <v>6602</v>
      </c>
      <c r="C1855" s="451" t="str">
        <f>IF(A1855="SERVIÇO",VLOOKUP(B1855,SERVIÇOS!$A$6:$D$7645,2,0),IF(A1855="INSUMO",VLOOKUP(B1855,INSUMOS!$A$6:$D$6961,2,0),IF(A1855="COTAÇÃO",VLOOKUP(B1855,'036-20-Cotação'!$A$9:$G$529,2,0))))</f>
        <v>SERVENTE</v>
      </c>
      <c r="D1855" s="452" t="str">
        <f>IF(A1855="SERVIÇO",VLOOKUP(B1855,SERVIÇOS!$A$6:$E$7645,5,0),IF(A1855="INSUMO",VLOOKUP(B1855,INSUMOS!$A$6:$E$6961,5,0),IF(A1855="COTAÇÃO",VLOOKUP(B1855,'036-20-Cotação'!$A$9:$H$529,8,0))))</f>
        <v>M.O</v>
      </c>
      <c r="E1855" s="452" t="str">
        <f>IF(A1855="SERVIÇO",VLOOKUP(B1855,SERVIÇOS!$A$6:$D$7645,3,0),IF(A1855="INSUMO",VLOOKUP(B1855,INSUMOS!$A$6:$D$6961,3,0),IF(A1855="COTAÇÃO",VLOOKUP(B1855,'036-20-Cotação'!$A$9:$G$529,4,0))))</f>
        <v>H</v>
      </c>
      <c r="F1855" s="462">
        <f>2/2.5</f>
        <v>0.8</v>
      </c>
      <c r="G1855" s="453">
        <f>IF(A1855="SERVIÇO",VLOOKUP(B1855,SERVIÇOS!$A$6:$D$7645,4,0),IF(A1855="INSUMO",VLOOKUP(B1855,INSUMOS!$A$6:$D$6961,4,0),IF(A1855="COTAÇÃO",VLOOKUP(B1855,'036-20-Cotação'!$A$9:$G$529,3,0))))</f>
        <v>15.637499999999999</v>
      </c>
      <c r="H1855" s="463">
        <f t="shared" si="332"/>
        <v>12.51</v>
      </c>
      <c r="J1855" s="201"/>
    </row>
    <row r="1856" spans="1:17" s="87" customFormat="1" ht="12.75">
      <c r="A1856" s="232" t="s">
        <v>4544</v>
      </c>
      <c r="B1856" s="464" t="s">
        <v>6870</v>
      </c>
      <c r="C1856" s="451" t="str">
        <f>IF(A1856="SERVIÇO",VLOOKUP(B1856,SERVIÇOS!$A$6:$D$7645,2,0),IF(A1856="INSUMO",VLOOKUP(B1856,INSUMOS!$A$6:$D$6961,2,0),IF(A1856="COTAÇÃO",VLOOKUP(B1856,'036-20-Cotação'!$A$9:$G$529,2,0))))</f>
        <v>CAIBRO DE PINHO DE 7,5 X 7,5 CM</v>
      </c>
      <c r="D1856" s="452" t="str">
        <f>IF(A1856="SERVIÇO",VLOOKUP(B1856,SERVIÇOS!$A$6:$E$7645,5,0),IF(A1856="INSUMO",VLOOKUP(B1856,INSUMOS!$A$6:$E$6961,5,0),IF(A1856="COTAÇÃO",VLOOKUP(B1856,'036-20-Cotação'!$A$9:$H$529,8,0))))</f>
        <v>MAT.</v>
      </c>
      <c r="E1856" s="452" t="str">
        <f>IF(A1856="SERVIÇO",VLOOKUP(B1856,SERVIÇOS!$A$6:$D$7645,3,0),IF(A1856="INSUMO",VLOOKUP(B1856,INSUMOS!$A$6:$D$6961,3,0),IF(A1856="COTAÇÃO",VLOOKUP(B1856,'036-20-Cotação'!$A$9:$G$529,4,0))))</f>
        <v>M</v>
      </c>
      <c r="F1856" s="462">
        <v>0.52844000000000002</v>
      </c>
      <c r="G1856" s="453">
        <f>IF(A1856="SERVIÇO",VLOOKUP(B1856,SERVIÇOS!$A$6:$D$7645,4,0),IF(A1856="INSUMO",VLOOKUP(B1856,INSUMOS!$A$6:$D$6961,4,0),IF(A1856="COTAÇÃO",VLOOKUP(B1856,'036-20-Cotação'!$A$9:$G$529,3,0))))</f>
        <v>26.3032</v>
      </c>
      <c r="H1856" s="463">
        <f t="shared" si="332"/>
        <v>13.899663008000001</v>
      </c>
      <c r="J1856" s="201"/>
    </row>
    <row r="1857" spans="1:17" s="87" customFormat="1" ht="12.75">
      <c r="A1857" s="232" t="s">
        <v>4544</v>
      </c>
      <c r="B1857" s="464" t="s">
        <v>12913</v>
      </c>
      <c r="C1857" s="451" t="str">
        <f>IF(A1857="SERVIÇO",VLOOKUP(B1857,SERVIÇOS!$A$6:$D$7645,2,0),IF(A1857="INSUMO",VLOOKUP(B1857,INSUMOS!$A$6:$D$6961,2,0),IF(A1857="COTAÇÃO",VLOOKUP(B1857,'036-20-Cotação'!$A$9:$G$529,2,0))))</f>
        <v>PELÍCULA RETRORREFLETIVA TIPO III + SI</v>
      </c>
      <c r="D1857" s="452" t="str">
        <f>IF(A1857="SERVIÇO",VLOOKUP(B1857,SERVIÇOS!$A$6:$E$7645,5,0),IF(A1857="INSUMO",VLOOKUP(B1857,INSUMOS!$A$6:$E$6961,5,0),IF(A1857="COTAÇÃO",VLOOKUP(B1857,'036-20-Cotação'!$A$9:$H$529,8,0))))</f>
        <v>MAT.</v>
      </c>
      <c r="E1857" s="452" t="str">
        <f>IF(A1857="SERVIÇO",VLOOKUP(B1857,SERVIÇOS!$A$6:$D$7645,3,0),IF(A1857="INSUMO",VLOOKUP(B1857,INSUMOS!$A$6:$D$6961,3,0),IF(A1857="COTAÇÃO",VLOOKUP(B1857,'036-20-Cotação'!$A$9:$G$529,4,0))))</f>
        <v>M²</v>
      </c>
      <c r="F1857" s="462">
        <v>7.1999999999999995E-2</v>
      </c>
      <c r="G1857" s="453">
        <f>IF(A1857="SERVIÇO",VLOOKUP(B1857,SERVIÇOS!$A$6:$D$7645,4,0),IF(A1857="INSUMO",VLOOKUP(B1857,INSUMOS!$A$6:$D$6961,4,0),IF(A1857="COTAÇÃO",VLOOKUP(B1857,'036-20-Cotação'!$A$9:$G$529,3,0))))</f>
        <v>286.9393</v>
      </c>
      <c r="H1857" s="463">
        <f t="shared" si="332"/>
        <v>20.659629599999999</v>
      </c>
      <c r="J1857" s="201"/>
    </row>
    <row r="1858" spans="1:17" s="87" customFormat="1" ht="12.75">
      <c r="A1858" s="232" t="s">
        <v>4544</v>
      </c>
      <c r="B1858" s="464" t="s">
        <v>6829</v>
      </c>
      <c r="C1858" s="451" t="str">
        <f>IF(A1858="SERVIÇO",VLOOKUP(B1858,SERVIÇOS!$A$6:$D$7645,2,0),IF(A1858="INSUMO",VLOOKUP(B1858,INSUMOS!$A$6:$D$6961,2,0),IF(A1858="COTAÇÃO",VLOOKUP(B1858,'036-20-Cotação'!$A$9:$G$529,2,0))))</f>
        <v>PREGO DE FERRO</v>
      </c>
      <c r="D1858" s="452" t="str">
        <f>IF(A1858="SERVIÇO",VLOOKUP(B1858,SERVIÇOS!$A$6:$E$7645,5,0),IF(A1858="INSUMO",VLOOKUP(B1858,INSUMOS!$A$6:$E$6961,5,0),IF(A1858="COTAÇÃO",VLOOKUP(B1858,'036-20-Cotação'!$A$9:$H$529,8,0))))</f>
        <v>MAT.</v>
      </c>
      <c r="E1858" s="452" t="str">
        <f>IF(A1858="SERVIÇO",VLOOKUP(B1858,SERVIÇOS!$A$6:$D$7645,3,0),IF(A1858="INSUMO",VLOOKUP(B1858,INSUMOS!$A$6:$D$6961,3,0),IF(A1858="COTAÇÃO",VLOOKUP(B1858,'036-20-Cotação'!$A$9:$G$529,4,0))))</f>
        <v>KG</v>
      </c>
      <c r="F1858" s="462">
        <v>0.18065000000000001</v>
      </c>
      <c r="G1858" s="453">
        <f>IF(A1858="SERVIÇO",VLOOKUP(B1858,SERVIÇOS!$A$6:$D$7645,4,0),IF(A1858="INSUMO",VLOOKUP(B1858,INSUMOS!$A$6:$D$6961,4,0),IF(A1858="COTAÇÃO",VLOOKUP(B1858,'036-20-Cotação'!$A$9:$G$529,3,0))))</f>
        <v>9.5221</v>
      </c>
      <c r="H1858" s="463">
        <f t="shared" ref="H1858:H1859" si="333">G1858*F1858</f>
        <v>1.720167365</v>
      </c>
      <c r="J1858" s="201"/>
    </row>
    <row r="1859" spans="1:17" s="87" customFormat="1" ht="25.5">
      <c r="A1859" s="232" t="s">
        <v>4544</v>
      </c>
      <c r="B1859" s="464" t="s">
        <v>10928</v>
      </c>
      <c r="C1859" s="451" t="str">
        <f>IF(A1859="SERVIÇO",VLOOKUP(B1859,SERVIÇOS!$A$6:$D$7645,2,0),IF(A1859="INSUMO",VLOOKUP(B1859,INSUMOS!$A$6:$D$6961,2,0),IF(A1859="COTAÇÃO",VLOOKUP(B1859,'036-20-Cotação'!$A$9:$G$529,2,0))))</f>
        <v>SARRAFO EM MADEIRA DE TERCEIRA DE 2,5 X 5 CM</v>
      </c>
      <c r="D1859" s="452" t="str">
        <f>IF(A1859="SERVIÇO",VLOOKUP(B1859,SERVIÇOS!$A$6:$E$7645,5,0),IF(A1859="INSUMO",VLOOKUP(B1859,INSUMOS!$A$6:$E$6961,5,0),IF(A1859="COTAÇÃO",VLOOKUP(B1859,'036-20-Cotação'!$A$9:$H$529,8,0))))</f>
        <v>MAT.</v>
      </c>
      <c r="E1859" s="452" t="str">
        <f>IF(A1859="SERVIÇO",VLOOKUP(B1859,SERVIÇOS!$A$6:$D$7645,3,0),IF(A1859="INSUMO",VLOOKUP(B1859,INSUMOS!$A$6:$D$6961,3,0),IF(A1859="COTAÇÃO",VLOOKUP(B1859,'036-20-Cotação'!$A$9:$G$529,4,0))))</f>
        <v>M</v>
      </c>
      <c r="F1859" s="462">
        <v>0.16</v>
      </c>
      <c r="G1859" s="453">
        <f>IF(A1859="SERVIÇO",VLOOKUP(B1859,SERVIÇOS!$A$6:$D$7645,4,0),IF(A1859="INSUMO",VLOOKUP(B1859,INSUMOS!$A$6:$D$6961,4,0),IF(A1859="COTAÇÃO",VLOOKUP(B1859,'036-20-Cotação'!$A$9:$G$529,3,0))))</f>
        <v>1.5911999999999999</v>
      </c>
      <c r="H1859" s="463">
        <f t="shared" si="333"/>
        <v>0.25459199999999998</v>
      </c>
      <c r="J1859" s="201"/>
    </row>
    <row r="1860" spans="1:17" s="87" customFormat="1" ht="12.75">
      <c r="A1860" s="232" t="s">
        <v>4544</v>
      </c>
      <c r="B1860" s="464" t="s">
        <v>6871</v>
      </c>
      <c r="C1860" s="451" t="str">
        <f>IF(A1860="SERVIÇO",VLOOKUP(B1860,SERVIÇOS!$A$6:$D$7645,2,0),IF(A1860="INSUMO",VLOOKUP(B1860,INSUMOS!$A$6:$D$6961,2,0),IF(A1860="COTAÇÃO",VLOOKUP(B1860,'036-20-Cotação'!$A$9:$G$529,2,0))))</f>
        <v>TÁBUA DE 2,5 X 30 CM</v>
      </c>
      <c r="D1860" s="452" t="str">
        <f>IF(A1860="SERVIÇO",VLOOKUP(B1860,SERVIÇOS!$A$6:$E$7645,5,0),IF(A1860="INSUMO",VLOOKUP(B1860,INSUMOS!$A$6:$E$6961,5,0),IF(A1860="COTAÇÃO",VLOOKUP(B1860,'036-20-Cotação'!$A$9:$H$529,8,0))))</f>
        <v>MAT.</v>
      </c>
      <c r="E1860" s="452" t="str">
        <f>IF(A1860="SERVIÇO",VLOOKUP(B1860,SERVIÇOS!$A$6:$D$7645,3,0),IF(A1860="INSUMO",VLOOKUP(B1860,INSUMOS!$A$6:$D$6961,3,0),IF(A1860="COTAÇÃO",VLOOKUP(B1860,'036-20-Cotação'!$A$9:$G$529,4,0))))</f>
        <v>M</v>
      </c>
      <c r="F1860" s="462">
        <v>0.24</v>
      </c>
      <c r="G1860" s="453">
        <f>IF(A1860="SERVIÇO",VLOOKUP(B1860,SERVIÇOS!$A$6:$D$7645,4,0),IF(A1860="INSUMO",VLOOKUP(B1860,INSUMOS!$A$6:$D$6961,4,0),IF(A1860="COTAÇÃO",VLOOKUP(B1860,'036-20-Cotação'!$A$9:$G$529,3,0))))</f>
        <v>9.7302</v>
      </c>
      <c r="H1860" s="463">
        <f t="shared" si="332"/>
        <v>2.335248</v>
      </c>
      <c r="J1860" s="201"/>
    </row>
    <row r="1861" spans="1:17" s="87" customFormat="1" ht="12.75">
      <c r="A1861" s="232" t="s">
        <v>4544</v>
      </c>
      <c r="B1861" s="464" t="s">
        <v>11565</v>
      </c>
      <c r="C1861" s="451" t="str">
        <f>IF(A1861="SERVIÇO",VLOOKUP(B1861,SERVIÇOS!$A$6:$D$7645,2,0),IF(A1861="INSUMO",VLOOKUP(B1861,INSUMOS!$A$6:$D$6961,2,0),IF(A1861="COTAÇÃO",VLOOKUP(B1861,'036-20-Cotação'!$A$9:$G$529,2,0))))</f>
        <v>TINTA ESMALTE SINTÉTICO</v>
      </c>
      <c r="D1861" s="452" t="str">
        <f>IF(A1861="SERVIÇO",VLOOKUP(B1861,SERVIÇOS!$A$6:$E$7645,5,0),IF(A1861="INSUMO",VLOOKUP(B1861,INSUMOS!$A$6:$E$6961,5,0),IF(A1861="COTAÇÃO",VLOOKUP(B1861,'036-20-Cotação'!$A$9:$H$529,8,0))))</f>
        <v>MAT.</v>
      </c>
      <c r="E1861" s="452" t="str">
        <f>IF(A1861="SERVIÇO",VLOOKUP(B1861,SERVIÇOS!$A$6:$D$7645,3,0),IF(A1861="INSUMO",VLOOKUP(B1861,INSUMOS!$A$6:$D$6961,3,0),IF(A1861="COTAÇÃO",VLOOKUP(B1861,'036-20-Cotação'!$A$9:$G$529,4,0))))</f>
        <v>L</v>
      </c>
      <c r="F1861" s="462">
        <v>0.81359999999999999</v>
      </c>
      <c r="G1861" s="453">
        <f>IF(A1861="SERVIÇO",VLOOKUP(B1861,SERVIÇOS!$A$6:$D$7645,4,0),IF(A1861="INSUMO",VLOOKUP(B1861,INSUMOS!$A$6:$D$6961,4,0),IF(A1861="COTAÇÃO",VLOOKUP(B1861,'036-20-Cotação'!$A$9:$G$529,3,0))))</f>
        <v>23.171399999999998</v>
      </c>
      <c r="H1861" s="463">
        <f t="shared" si="332"/>
        <v>18.852251039999999</v>
      </c>
      <c r="J1861" s="201"/>
    </row>
    <row r="1862" spans="1:17" s="87" customFormat="1" ht="25.5">
      <c r="A1862" s="232" t="s">
        <v>4542</v>
      </c>
      <c r="B1862" s="464" t="s">
        <v>13205</v>
      </c>
      <c r="C1862" s="451" t="str">
        <f>'036-20-CCA''s'!$C$276</f>
        <v>TEMPO FIXO - CAMINHÃO CARROCERIA 5 T - CARGA E DESCARGA MANUAIS</v>
      </c>
      <c r="D1862" s="452" t="str">
        <f>'036-20-CCA''s'!$D$276</f>
        <v>SER.CG</v>
      </c>
      <c r="E1862" s="452" t="str">
        <f>'036-20-CCA''s'!$E$276</f>
        <v>T</v>
      </c>
      <c r="F1862" s="462">
        <f>0.00003+0.00108</f>
        <v>1.1100000000000001E-3</v>
      </c>
      <c r="G1862" s="453">
        <f>'036-20-CCA''s'!$H$276</f>
        <v>16.063762057877813</v>
      </c>
      <c r="H1862" s="463">
        <f t="shared" si="332"/>
        <v>1.7830775884244376E-2</v>
      </c>
      <c r="J1862" s="201"/>
    </row>
    <row r="1863" spans="1:17" s="87" customFormat="1" ht="25.5">
      <c r="A1863" s="232" t="s">
        <v>4542</v>
      </c>
      <c r="B1863" s="464" t="s">
        <v>13206</v>
      </c>
      <c r="C1863" s="451" t="str">
        <f>'036-20-CCA''s'!$C$281</f>
        <v>TEMPO FIXO - CAMINHÃO CARROCERIA 15 T - CARGA E DESCARGA MANUAIS</v>
      </c>
      <c r="D1863" s="452" t="str">
        <f>'036-20-CCA''s'!$D$281</f>
        <v>SER.CG</v>
      </c>
      <c r="E1863" s="452" t="str">
        <f>'036-20-CCA''s'!$E$281</f>
        <v>T</v>
      </c>
      <c r="F1863" s="462">
        <f>0.00297+0.00018+0.0002+0.0018</f>
        <v>5.1500000000000001E-3</v>
      </c>
      <c r="G1863" s="453">
        <f>'036-20-CCA''s'!$H$281</f>
        <v>20.925562080536913</v>
      </c>
      <c r="H1863" s="463">
        <f t="shared" si="332"/>
        <v>0.1077666447147651</v>
      </c>
      <c r="J1863" s="201"/>
    </row>
    <row r="1864" spans="1:17" s="87" customFormat="1" ht="12.75">
      <c r="A1864" s="188"/>
      <c r="B1864" s="348" t="s">
        <v>123</v>
      </c>
      <c r="C1864" s="695" t="s">
        <v>13364</v>
      </c>
      <c r="D1864" s="696"/>
      <c r="E1864" s="696"/>
      <c r="F1864" s="696"/>
      <c r="G1864" s="696"/>
      <c r="H1864" s="697"/>
      <c r="J1864" s="201"/>
      <c r="K1864" s="78"/>
      <c r="L1864" s="78"/>
      <c r="M1864" s="78"/>
      <c r="N1864" s="78"/>
      <c r="O1864" s="78"/>
      <c r="P1864" s="78"/>
      <c r="Q1864" s="78"/>
    </row>
    <row r="1865" spans="1:17" s="87" customFormat="1" ht="12.75">
      <c r="A1865" s="188"/>
      <c r="B1865" s="346"/>
      <c r="C1865" s="486"/>
      <c r="D1865" s="486"/>
      <c r="E1865" s="486"/>
      <c r="F1865" s="486"/>
      <c r="G1865" s="486"/>
      <c r="H1865" s="487"/>
      <c r="J1865" s="201"/>
      <c r="K1865" s="78"/>
      <c r="L1865" s="78"/>
      <c r="M1865" s="78"/>
      <c r="N1865" s="78"/>
      <c r="O1865" s="78"/>
      <c r="P1865" s="78"/>
      <c r="Q1865" s="78"/>
    </row>
    <row r="1866" spans="1:17" s="87" customFormat="1" ht="51">
      <c r="A1866" s="188"/>
      <c r="B1866" s="80">
        <v>5213380</v>
      </c>
      <c r="C1866" s="81" t="s">
        <v>6659</v>
      </c>
      <c r="D1866" s="82" t="s">
        <v>84</v>
      </c>
      <c r="E1866" s="82" t="s">
        <v>90</v>
      </c>
      <c r="F1866" s="83"/>
      <c r="G1866" s="84"/>
      <c r="H1866" s="85">
        <f>SUM(H1867:H1870)</f>
        <v>3.638328912861736</v>
      </c>
      <c r="J1866" s="201" t="s">
        <v>13365</v>
      </c>
      <c r="K1866" s="78"/>
      <c r="L1866" s="78"/>
      <c r="M1866" s="78"/>
      <c r="N1866" s="78"/>
      <c r="O1866" s="78"/>
      <c r="P1866" s="78"/>
      <c r="Q1866" s="78"/>
    </row>
    <row r="1867" spans="1:17" s="87" customFormat="1" ht="12.75">
      <c r="A1867" s="232" t="s">
        <v>4542</v>
      </c>
      <c r="B1867" s="464" t="s">
        <v>6602</v>
      </c>
      <c r="C1867" s="451" t="str">
        <f>IF(A1867="SERVIÇO",VLOOKUP(B1867,SERVIÇOS!$A$6:$D$7645,2,0),IF(A1867="INSUMO",VLOOKUP(B1867,INSUMOS!$A$6:$D$6961,2,0),IF(A1867="COTAÇÃO",VLOOKUP(B1867,'036-20-Cotação'!$A$9:$G$529,2,0))))</f>
        <v>SERVENTE</v>
      </c>
      <c r="D1867" s="452" t="str">
        <f>IF(A1867="SERVIÇO",VLOOKUP(B1867,SERVIÇOS!$A$6:$E$7645,5,0),IF(A1867="INSUMO",VLOOKUP(B1867,INSUMOS!$A$6:$E$6961,5,0),IF(A1867="COTAÇÃO",VLOOKUP(B1867,'036-20-Cotação'!$A$9:$H$529,8,0))))</f>
        <v>M.O</v>
      </c>
      <c r="E1867" s="452" t="str">
        <f>IF(A1867="SERVIÇO",VLOOKUP(B1867,SERVIÇOS!$A$6:$D$7645,3,0),IF(A1867="INSUMO",VLOOKUP(B1867,INSUMOS!$A$6:$D$6961,3,0),IF(A1867="COTAÇÃO",VLOOKUP(B1867,'036-20-Cotação'!$A$9:$G$529,4,0))))</f>
        <v>H</v>
      </c>
      <c r="F1867" s="462">
        <v>0.1</v>
      </c>
      <c r="G1867" s="453">
        <f>IF(A1867="SERVIÇO",VLOOKUP(B1867,SERVIÇOS!$A$6:$D$7645,4,0),IF(A1867="INSUMO",VLOOKUP(B1867,INSUMOS!$A$6:$D$6961,4,0),IF(A1867="COTAÇÃO",VLOOKUP(B1867,'036-20-Cotação'!$A$9:$G$529,3,0))))</f>
        <v>15.637499999999999</v>
      </c>
      <c r="H1867" s="463">
        <f t="shared" ref="H1867:H1870" si="334">G1867*F1867</f>
        <v>1.56375</v>
      </c>
      <c r="J1867" s="201"/>
    </row>
    <row r="1868" spans="1:17" s="87" customFormat="1" ht="25.5">
      <c r="A1868" s="232" t="s">
        <v>4544</v>
      </c>
      <c r="B1868" s="464" t="s">
        <v>10589</v>
      </c>
      <c r="C1868" s="451" t="str">
        <f>IF(A1868="SERVIÇO",VLOOKUP(B1868,SERVIÇOS!$A$6:$D$7645,2,0),IF(A1868="INSUMO",VLOOKUP(B1868,INSUMOS!$A$6:$D$6961,2,0),IF(A1868="COTAÇÃO",VLOOKUP(B1868,'036-20-Cotação'!$A$9:$G$529,2,0))))</f>
        <v>CAVALETE EM POLIETILENO ZEBRADO COM FAIXA REFLETIVA</v>
      </c>
      <c r="D1868" s="452" t="str">
        <f>IF(A1868="SERVIÇO",VLOOKUP(B1868,SERVIÇOS!$A$6:$E$7645,5,0),IF(A1868="INSUMO",VLOOKUP(B1868,INSUMOS!$A$6:$E$6961,5,0),IF(A1868="COTAÇÃO",VLOOKUP(B1868,'036-20-Cotação'!$A$9:$H$529,8,0))))</f>
        <v>MAT.</v>
      </c>
      <c r="E1868" s="452" t="str">
        <f>IF(A1868="SERVIÇO",VLOOKUP(B1868,SERVIÇOS!$A$6:$D$7645,3,0),IF(A1868="INSUMO",VLOOKUP(B1868,INSUMOS!$A$6:$D$6961,3,0),IF(A1868="COTAÇÃO",VLOOKUP(B1868,'036-20-Cotação'!$A$9:$G$529,4,0))))</f>
        <v>UN</v>
      </c>
      <c r="F1868" s="462">
        <v>5.0000000000000001E-3</v>
      </c>
      <c r="G1868" s="453">
        <f>IF(A1868="SERVIÇO",VLOOKUP(B1868,SERVIÇOS!$A$6:$D$7645,4,0),IF(A1868="INSUMO",VLOOKUP(B1868,INSUMOS!$A$6:$D$6961,4,0),IF(A1868="COTAÇÃO",VLOOKUP(B1868,'036-20-Cotação'!$A$9:$G$529,3,0))))</f>
        <v>260.04000000000002</v>
      </c>
      <c r="H1868" s="463">
        <f t="shared" si="334"/>
        <v>1.3002</v>
      </c>
      <c r="J1868" s="201"/>
    </row>
    <row r="1869" spans="1:17" s="87" customFormat="1" ht="12.75">
      <c r="A1869" s="232" t="s">
        <v>4544</v>
      </c>
      <c r="B1869" s="464" t="s">
        <v>10585</v>
      </c>
      <c r="C1869" s="451" t="str">
        <f>IF(A1869="SERVIÇO",VLOOKUP(B1869,SERVIÇOS!$A$6:$D$7645,2,0),IF(A1869="INSUMO",VLOOKUP(B1869,INSUMOS!$A$6:$D$6961,2,0),IF(A1869="COTAÇÃO",VLOOKUP(B1869,'036-20-Cotação'!$A$9:$G$529,2,0))))</f>
        <v>SINALIZADOR A LED COM BATERIA</v>
      </c>
      <c r="D1869" s="452" t="str">
        <f>IF(A1869="SERVIÇO",VLOOKUP(B1869,SERVIÇOS!$A$6:$E$7645,5,0),IF(A1869="INSUMO",VLOOKUP(B1869,INSUMOS!$A$6:$E$6961,5,0),IF(A1869="COTAÇÃO",VLOOKUP(B1869,'036-20-Cotação'!$A$9:$H$529,8,0))))</f>
        <v>MAT.</v>
      </c>
      <c r="E1869" s="452" t="str">
        <f>IF(A1869="SERVIÇO",VLOOKUP(B1869,SERVIÇOS!$A$6:$D$7645,3,0),IF(A1869="INSUMO",VLOOKUP(B1869,INSUMOS!$A$6:$D$6961,3,0),IF(A1869="COTAÇÃO",VLOOKUP(B1869,'036-20-Cotação'!$A$9:$G$529,4,0))))</f>
        <v>UN</v>
      </c>
      <c r="F1869" s="462">
        <v>5.0000000000000001E-3</v>
      </c>
      <c r="G1869" s="453">
        <f>IF(A1869="SERVIÇO",VLOOKUP(B1869,SERVIÇOS!$A$6:$D$7645,4,0),IF(A1869="INSUMO",VLOOKUP(B1869,INSUMOS!$A$6:$D$6961,4,0),IF(A1869="COTAÇÃO",VLOOKUP(B1869,'036-20-Cotação'!$A$9:$G$529,3,0))))</f>
        <v>154.77940000000001</v>
      </c>
      <c r="H1869" s="463">
        <f t="shared" ref="H1869" si="335">G1869*F1869</f>
        <v>0.77389700000000006</v>
      </c>
      <c r="J1869" s="201"/>
    </row>
    <row r="1870" spans="1:17" s="87" customFormat="1" ht="25.5">
      <c r="A1870" s="232" t="s">
        <v>4542</v>
      </c>
      <c r="B1870" s="464" t="s">
        <v>13205</v>
      </c>
      <c r="C1870" s="451" t="str">
        <f>'036-20-CCA''s'!$C$276</f>
        <v>TEMPO FIXO - CAMINHÃO CARROCERIA 5 T - CARGA E DESCARGA MANUAIS</v>
      </c>
      <c r="D1870" s="452" t="str">
        <f>'036-20-CCA''s'!$D$276</f>
        <v>SER.CG</v>
      </c>
      <c r="E1870" s="452" t="str">
        <f>'036-20-CCA''s'!$E$276</f>
        <v>T</v>
      </c>
      <c r="F1870" s="462">
        <v>3.0000000000000001E-5</v>
      </c>
      <c r="G1870" s="453">
        <f>'036-20-CCA''s'!$H$276</f>
        <v>16.063762057877813</v>
      </c>
      <c r="H1870" s="463">
        <f t="shared" si="334"/>
        <v>4.8191286173633439E-4</v>
      </c>
      <c r="J1870" s="201"/>
    </row>
    <row r="1871" spans="1:17" s="87" customFormat="1" ht="12.75">
      <c r="A1871" s="188"/>
      <c r="B1871" s="348" t="s">
        <v>123</v>
      </c>
      <c r="C1871" s="695" t="s">
        <v>13366</v>
      </c>
      <c r="D1871" s="696"/>
      <c r="E1871" s="696"/>
      <c r="F1871" s="696"/>
      <c r="G1871" s="696"/>
      <c r="H1871" s="697"/>
      <c r="J1871" s="201"/>
      <c r="K1871" s="78"/>
      <c r="L1871" s="78"/>
      <c r="M1871" s="78"/>
      <c r="N1871" s="78"/>
      <c r="O1871" s="78"/>
      <c r="P1871" s="78"/>
      <c r="Q1871" s="78"/>
    </row>
    <row r="1872" spans="1:17" s="87" customFormat="1" ht="12.75">
      <c r="A1872" s="188"/>
      <c r="B1872" s="346"/>
      <c r="C1872" s="486"/>
      <c r="D1872" s="486"/>
      <c r="E1872" s="486"/>
      <c r="F1872" s="486"/>
      <c r="G1872" s="486"/>
      <c r="H1872" s="487"/>
      <c r="J1872" s="201"/>
      <c r="K1872" s="78"/>
      <c r="L1872" s="78"/>
      <c r="M1872" s="78"/>
      <c r="N1872" s="78"/>
      <c r="O1872" s="78"/>
      <c r="P1872" s="78"/>
      <c r="Q1872" s="78"/>
    </row>
    <row r="1873" spans="1:17" s="87" customFormat="1" ht="51">
      <c r="A1873" s="188"/>
      <c r="B1873" s="80">
        <v>5213831</v>
      </c>
      <c r="C1873" s="81" t="s">
        <v>6660</v>
      </c>
      <c r="D1873" s="82" t="s">
        <v>84</v>
      </c>
      <c r="E1873" s="82" t="s">
        <v>150</v>
      </c>
      <c r="F1873" s="83"/>
      <c r="G1873" s="84"/>
      <c r="H1873" s="85">
        <f>SUM(H1874:H1880)</f>
        <v>45.795768140006885</v>
      </c>
      <c r="J1873" s="201" t="s">
        <v>13367</v>
      </c>
      <c r="K1873" s="78"/>
      <c r="L1873" s="78"/>
      <c r="M1873" s="78"/>
      <c r="N1873" s="78"/>
      <c r="O1873" s="78"/>
      <c r="P1873" s="78"/>
      <c r="Q1873" s="78"/>
    </row>
    <row r="1874" spans="1:17" s="87" customFormat="1" ht="25.5">
      <c r="A1874" s="232" t="s">
        <v>4542</v>
      </c>
      <c r="B1874" s="464" t="s">
        <v>9567</v>
      </c>
      <c r="C1874" s="451" t="str">
        <f>IF(A1874="SERVIÇO",VLOOKUP(B1874,SERVIÇOS!$A$6:$D$7645,2,0),IF(A1874="INSUMO",VLOOKUP(B1874,INSUMOS!$A$6:$D$6961,2,0),IF(A1874="COTAÇÃO",VLOOKUP(B1874,'036-20-Cotação'!$A$9:$G$529,2,0))))</f>
        <v>CAMINHÃO CARROCERIA COM CAPACIDADE DE 5 T - 115 KW</v>
      </c>
      <c r="D1874" s="452" t="str">
        <f>IF(A1874="SERVIÇO",VLOOKUP(B1874,SERVIÇOS!$A$6:$E$7645,5,0),IF(A1874="INSUMO",VLOOKUP(B1874,INSUMOS!$A$6:$E$6961,5,0),IF(A1874="COTAÇÃO",VLOOKUP(B1874,'036-20-Cotação'!$A$9:$H$529,8,0))))</f>
        <v>EQUIP.</v>
      </c>
      <c r="E1874" s="452" t="str">
        <f>IF(A1874="SERVIÇO",VLOOKUP(B1874,SERVIÇOS!$A$6:$D$7645,3,0),IF(A1874="INSUMO",VLOOKUP(B1874,INSUMOS!$A$6:$D$6961,3,0),IF(A1874="COTAÇÃO",VLOOKUP(B1874,'036-20-Cotação'!$A$9:$G$529,4,0))))</f>
        <v>CHP</v>
      </c>
      <c r="F1874" s="462">
        <f>1/11.62</f>
        <v>8.6058519793459562E-2</v>
      </c>
      <c r="G1874" s="453">
        <f>IF(A1874="SERVIÇO",VLOOKUP(B1874,SERVIÇOS!$A$6:$D$7645,4,0),IF(A1874="INSUMO",VLOOKUP(B1874,INSUMOS!$A$6:$D$6961,4,0),IF(A1874="COTAÇÃO",VLOOKUP(B1874,'036-20-Cotação'!$A$9:$G$529,3,0))))</f>
        <v>87.3249</v>
      </c>
      <c r="H1874" s="463">
        <f t="shared" ref="H1874:H1880" si="336">G1874*F1874</f>
        <v>7.5150516351118766</v>
      </c>
      <c r="J1874" s="201"/>
    </row>
    <row r="1875" spans="1:17" s="87" customFormat="1" ht="25.5">
      <c r="A1875" s="232" t="s">
        <v>4542</v>
      </c>
      <c r="B1875" s="464" t="s">
        <v>9508</v>
      </c>
      <c r="C1875" s="451" t="str">
        <f>IF(A1875="SERVIÇO",VLOOKUP(B1875,SERVIÇOS!$A$6:$D$7645,2,0),IF(A1875="INSUMO",VLOOKUP(B1875,INSUMOS!$A$6:$D$6961,2,0),IF(A1875="COTAÇÃO",VLOOKUP(B1875,'036-20-Cotação'!$A$9:$G$529,2,0))))</f>
        <v>CAMINHÃO TANQUE COM CAPACIDADE DE 6.000 L - 136 KW</v>
      </c>
      <c r="D1875" s="452" t="str">
        <f>IF(A1875="SERVIÇO",VLOOKUP(B1875,SERVIÇOS!$A$6:$E$7645,5,0),IF(A1875="INSUMO",VLOOKUP(B1875,INSUMOS!$A$6:$E$6961,5,0),IF(A1875="COTAÇÃO",VLOOKUP(B1875,'036-20-Cotação'!$A$9:$H$529,8,0))))</f>
        <v>EQUIP.</v>
      </c>
      <c r="E1875" s="452" t="str">
        <f>IF(A1875="SERVIÇO",VLOOKUP(B1875,SERVIÇOS!$A$6:$D$7645,3,0),IF(A1875="INSUMO",VLOOKUP(B1875,INSUMOS!$A$6:$D$6961,3,0),IF(A1875="COTAÇÃO",VLOOKUP(B1875,'036-20-Cotação'!$A$9:$G$529,4,0))))</f>
        <v>CHP</v>
      </c>
      <c r="F1875" s="462">
        <f>0.063/11.62</f>
        <v>5.4216867469879526E-3</v>
      </c>
      <c r="G1875" s="453">
        <f>IF(A1875="SERVIÇO",VLOOKUP(B1875,SERVIÇOS!$A$6:$D$7645,4,0),IF(A1875="INSUMO",VLOOKUP(B1875,INSUMOS!$A$6:$D$6961,4,0),IF(A1875="COTAÇÃO",VLOOKUP(B1875,'036-20-Cotação'!$A$9:$G$529,3,0))))</f>
        <v>154.3477</v>
      </c>
      <c r="H1875" s="463">
        <f t="shared" si="336"/>
        <v>0.83682487951807238</v>
      </c>
      <c r="J1875" s="201"/>
    </row>
    <row r="1876" spans="1:17" s="87" customFormat="1" ht="25.5">
      <c r="A1876" s="232" t="s">
        <v>4542</v>
      </c>
      <c r="B1876" s="464" t="s">
        <v>8992</v>
      </c>
      <c r="C1876" s="451" t="str">
        <f>IF(A1876="SERVIÇO",VLOOKUP(B1876,SERVIÇOS!$A$6:$D$7645,2,0),IF(A1876="INSUMO",VLOOKUP(B1876,INSUMOS!$A$6:$D$6961,2,0),IF(A1876="COTAÇÃO",VLOOKUP(B1876,'036-20-Cotação'!$A$9:$G$529,2,0))))</f>
        <v>COMPRESSOR DE AR PORTÁTIL DE 340 PCM - 81 KW</v>
      </c>
      <c r="D1876" s="452" t="str">
        <f>IF(A1876="SERVIÇO",VLOOKUP(B1876,SERVIÇOS!$A$6:$E$7645,5,0),IF(A1876="INSUMO",VLOOKUP(B1876,INSUMOS!$A$6:$E$6961,5,0),IF(A1876="COTAÇÃO",VLOOKUP(B1876,'036-20-Cotação'!$A$9:$H$529,8,0))))</f>
        <v>EQUIP.</v>
      </c>
      <c r="E1876" s="452" t="str">
        <f>IF(A1876="SERVIÇO",VLOOKUP(B1876,SERVIÇOS!$A$6:$D$7645,3,0),IF(A1876="INSUMO",VLOOKUP(B1876,INSUMOS!$A$6:$D$6961,3,0),IF(A1876="COTAÇÃO",VLOOKUP(B1876,'036-20-Cotação'!$A$9:$G$529,4,0))))</f>
        <v>CHP</v>
      </c>
      <c r="F1876" s="462">
        <f t="shared" ref="F1876:F1878" si="337">1/11.62</f>
        <v>8.6058519793459562E-2</v>
      </c>
      <c r="G1876" s="453">
        <f>IF(A1876="SERVIÇO",VLOOKUP(B1876,SERVIÇOS!$A$6:$D$7645,4,0),IF(A1876="INSUMO",VLOOKUP(B1876,INSUMOS!$A$6:$D$6961,4,0),IF(A1876="COTAÇÃO",VLOOKUP(B1876,'036-20-Cotação'!$A$9:$G$529,3,0))))</f>
        <v>71.0929</v>
      </c>
      <c r="H1876" s="463">
        <f t="shared" si="336"/>
        <v>6.1181497418244417</v>
      </c>
      <c r="J1876" s="201"/>
    </row>
    <row r="1877" spans="1:17" s="87" customFormat="1" ht="12.75">
      <c r="A1877" s="232" t="s">
        <v>4542</v>
      </c>
      <c r="B1877" s="464" t="s">
        <v>9006</v>
      </c>
      <c r="C1877" s="451" t="str">
        <f>IF(A1877="SERVIÇO",VLOOKUP(B1877,SERVIÇOS!$A$6:$D$7645,2,0),IF(A1877="INSUMO",VLOOKUP(B1877,INSUMOS!$A$6:$D$6961,2,0),IF(A1877="COTAÇÃO",VLOOKUP(B1877,'036-20-Cotação'!$A$9:$G$529,2,0))))</f>
        <v>GRUPO GERADOR - 2,5/3 KVA</v>
      </c>
      <c r="D1877" s="452" t="str">
        <f>IF(A1877="SERVIÇO",VLOOKUP(B1877,SERVIÇOS!$A$6:$E$7645,5,0),IF(A1877="INSUMO",VLOOKUP(B1877,INSUMOS!$A$6:$E$6961,5,0),IF(A1877="COTAÇÃO",VLOOKUP(B1877,'036-20-Cotação'!$A$9:$H$529,8,0))))</f>
        <v>EQUIP.</v>
      </c>
      <c r="E1877" s="452" t="str">
        <f>IF(A1877="SERVIÇO",VLOOKUP(B1877,SERVIÇOS!$A$6:$D$7645,3,0),IF(A1877="INSUMO",VLOOKUP(B1877,INSUMOS!$A$6:$D$6961,3,0),IF(A1877="COTAÇÃO",VLOOKUP(B1877,'036-20-Cotação'!$A$9:$G$529,4,0))))</f>
        <v>CHP</v>
      </c>
      <c r="F1877" s="462">
        <f t="shared" si="337"/>
        <v>8.6058519793459562E-2</v>
      </c>
      <c r="G1877" s="453">
        <f>IF(A1877="SERVIÇO",VLOOKUP(B1877,SERVIÇOS!$A$6:$D$7645,4,0),IF(A1877="INSUMO",VLOOKUP(B1877,INSUMOS!$A$6:$D$6961,4,0),IF(A1877="COTAÇÃO",VLOOKUP(B1877,'036-20-Cotação'!$A$9:$G$529,3,0))))</f>
        <v>2.9165999999999999</v>
      </c>
      <c r="H1877" s="463">
        <f t="shared" si="336"/>
        <v>0.25099827882960413</v>
      </c>
      <c r="J1877" s="201"/>
    </row>
    <row r="1878" spans="1:17" s="87" customFormat="1" ht="25.5">
      <c r="A1878" s="232" t="s">
        <v>4542</v>
      </c>
      <c r="B1878" s="464" t="s">
        <v>8904</v>
      </c>
      <c r="C1878" s="451" t="str">
        <f>IF(A1878="SERVIÇO",VLOOKUP(B1878,SERVIÇOS!$A$6:$D$7645,2,0),IF(A1878="INSUMO",VLOOKUP(B1878,INSUMOS!$A$6:$D$6961,2,0),IF(A1878="COTAÇÃO",VLOOKUP(B1878,'036-20-Cotação'!$A$9:$G$529,2,0))))</f>
        <v>JATEADOR ABRASIVO ÚMIDO COM CAPACIDADE DE 200 KG DE ABRASIVO</v>
      </c>
      <c r="D1878" s="452" t="str">
        <f>IF(A1878="SERVIÇO",VLOOKUP(B1878,SERVIÇOS!$A$6:$E$7645,5,0),IF(A1878="INSUMO",VLOOKUP(B1878,INSUMOS!$A$6:$E$6961,5,0),IF(A1878="COTAÇÃO",VLOOKUP(B1878,'036-20-Cotação'!$A$9:$H$529,8,0))))</f>
        <v>EQUIP.</v>
      </c>
      <c r="E1878" s="452" t="str">
        <f>IF(A1878="SERVIÇO",VLOOKUP(B1878,SERVIÇOS!$A$6:$D$7645,3,0),IF(A1878="INSUMO",VLOOKUP(B1878,INSUMOS!$A$6:$D$6961,3,0),IF(A1878="COTAÇÃO",VLOOKUP(B1878,'036-20-Cotação'!$A$9:$G$529,4,0))))</f>
        <v>CHP</v>
      </c>
      <c r="F1878" s="462">
        <f t="shared" si="337"/>
        <v>8.6058519793459562E-2</v>
      </c>
      <c r="G1878" s="453">
        <f>IF(A1878="SERVIÇO",VLOOKUP(B1878,SERVIÇOS!$A$6:$D$7645,4,0),IF(A1878="INSUMO",VLOOKUP(B1878,INSUMOS!$A$6:$D$6961,4,0),IF(A1878="COTAÇÃO",VLOOKUP(B1878,'036-20-Cotação'!$A$9:$G$529,3,0))))</f>
        <v>50.614800000000002</v>
      </c>
      <c r="H1878" s="463">
        <f t="shared" si="336"/>
        <v>4.3558347676419968</v>
      </c>
      <c r="J1878" s="201"/>
    </row>
    <row r="1879" spans="1:17" s="87" customFormat="1" ht="12.75">
      <c r="A1879" s="232" t="s">
        <v>4542</v>
      </c>
      <c r="B1879" s="464" t="s">
        <v>6602</v>
      </c>
      <c r="C1879" s="451" t="str">
        <f>IF(A1879="SERVIÇO",VLOOKUP(B1879,SERVIÇOS!$A$6:$D$7645,2,0),IF(A1879="INSUMO",VLOOKUP(B1879,INSUMOS!$A$6:$D$6961,2,0),IF(A1879="COTAÇÃO",VLOOKUP(B1879,'036-20-Cotação'!$A$9:$G$529,2,0))))</f>
        <v>SERVENTE</v>
      </c>
      <c r="D1879" s="452" t="str">
        <f>IF(A1879="SERVIÇO",VLOOKUP(B1879,SERVIÇOS!$A$6:$E$7645,5,0),IF(A1879="INSUMO",VLOOKUP(B1879,INSUMOS!$A$6:$E$6961,5,0),IF(A1879="COTAÇÃO",VLOOKUP(B1879,'036-20-Cotação'!$A$9:$H$529,8,0))))</f>
        <v>M.O</v>
      </c>
      <c r="E1879" s="452" t="str">
        <f>IF(A1879="SERVIÇO",VLOOKUP(B1879,SERVIÇOS!$A$6:$D$7645,3,0),IF(A1879="INSUMO",VLOOKUP(B1879,INSUMOS!$A$6:$D$6961,3,0),IF(A1879="COTAÇÃO",VLOOKUP(B1879,'036-20-Cotação'!$A$9:$G$529,4,0))))</f>
        <v>H</v>
      </c>
      <c r="F1879" s="462">
        <f>4/11.62</f>
        <v>0.34423407917383825</v>
      </c>
      <c r="G1879" s="453">
        <f>IF(A1879="SERVIÇO",VLOOKUP(B1879,SERVIÇOS!$A$6:$D$7645,4,0),IF(A1879="INSUMO",VLOOKUP(B1879,INSUMOS!$A$6:$D$6961,4,0),IF(A1879="COTAÇÃO",VLOOKUP(B1879,'036-20-Cotação'!$A$9:$G$529,3,0))))</f>
        <v>15.637499999999999</v>
      </c>
      <c r="H1879" s="463">
        <f t="shared" si="336"/>
        <v>5.3829604130808955</v>
      </c>
      <c r="J1879" s="201"/>
    </row>
    <row r="1880" spans="1:17" s="87" customFormat="1" ht="25.5">
      <c r="A1880" s="232" t="s">
        <v>4544</v>
      </c>
      <c r="B1880" s="464" t="s">
        <v>10122</v>
      </c>
      <c r="C1880" s="451" t="str">
        <f>IF(A1880="SERVIÇO",VLOOKUP(B1880,SERVIÇOS!$A$6:$D$7645,2,0),IF(A1880="INSUMO",VLOOKUP(B1880,INSUMOS!$A$6:$D$6961,2,0),IF(A1880="COTAÇÃO",VLOOKUP(B1880,'036-20-Cotação'!$A$9:$G$529,2,0))))</f>
        <v>ABRASIVO DE VIDRO COM GRANULOMETRIA DE 250 A 420 MICRONS</v>
      </c>
      <c r="D1880" s="452" t="str">
        <f>IF(A1880="SERVIÇO",VLOOKUP(B1880,SERVIÇOS!$A$6:$E$7645,5,0),IF(A1880="INSUMO",VLOOKUP(B1880,INSUMOS!$A$6:$E$6961,5,0),IF(A1880="COTAÇÃO",VLOOKUP(B1880,'036-20-Cotação'!$A$9:$H$529,8,0))))</f>
        <v>MAT.</v>
      </c>
      <c r="E1880" s="452" t="str">
        <f>IF(A1880="SERVIÇO",VLOOKUP(B1880,SERVIÇOS!$A$6:$D$7645,3,0),IF(A1880="INSUMO",VLOOKUP(B1880,INSUMOS!$A$6:$D$6961,3,0),IF(A1880="COTAÇÃO",VLOOKUP(B1880,'036-20-Cotação'!$A$9:$G$529,4,0))))</f>
        <v>KG</v>
      </c>
      <c r="F1880" s="462">
        <v>3.72024</v>
      </c>
      <c r="G1880" s="453">
        <f>IF(A1880="SERVIÇO",VLOOKUP(B1880,SERVIÇOS!$A$6:$D$7645,4,0),IF(A1880="INSUMO",VLOOKUP(B1880,INSUMOS!$A$6:$D$6961,4,0),IF(A1880="COTAÇÃO",VLOOKUP(B1880,'036-20-Cotação'!$A$9:$G$529,3,0))))</f>
        <v>5.7351000000000001</v>
      </c>
      <c r="H1880" s="463">
        <f t="shared" si="336"/>
        <v>21.335948424000001</v>
      </c>
      <c r="J1880" s="201"/>
    </row>
    <row r="1881" spans="1:17" s="87" customFormat="1" ht="12.75">
      <c r="A1881" s="188"/>
      <c r="B1881" s="348" t="s">
        <v>123</v>
      </c>
      <c r="C1881" s="695" t="s">
        <v>13368</v>
      </c>
      <c r="D1881" s="696"/>
      <c r="E1881" s="696"/>
      <c r="F1881" s="696"/>
      <c r="G1881" s="696"/>
      <c r="H1881" s="697"/>
      <c r="J1881" s="201"/>
      <c r="K1881" s="78"/>
      <c r="L1881" s="78"/>
      <c r="M1881" s="78"/>
      <c r="N1881" s="78"/>
      <c r="O1881" s="78"/>
      <c r="P1881" s="78"/>
      <c r="Q1881" s="78"/>
    </row>
    <row r="1882" spans="1:17" s="87" customFormat="1" ht="12.75">
      <c r="A1882" s="188"/>
      <c r="B1882" s="346"/>
      <c r="C1882" s="486"/>
      <c r="D1882" s="486"/>
      <c r="E1882" s="486"/>
      <c r="F1882" s="486"/>
      <c r="G1882" s="486"/>
      <c r="H1882" s="487"/>
      <c r="J1882" s="201"/>
      <c r="K1882" s="78"/>
      <c r="L1882" s="78"/>
      <c r="M1882" s="78"/>
      <c r="N1882" s="78"/>
      <c r="O1882" s="78"/>
      <c r="P1882" s="78"/>
      <c r="Q1882" s="78"/>
    </row>
    <row r="1883" spans="1:17" s="87" customFormat="1" ht="12.75">
      <c r="A1883" s="188"/>
      <c r="B1883" s="80">
        <v>5213364</v>
      </c>
      <c r="C1883" s="81" t="s">
        <v>6661</v>
      </c>
      <c r="D1883" s="82" t="s">
        <v>84</v>
      </c>
      <c r="E1883" s="82" t="s">
        <v>150</v>
      </c>
      <c r="F1883" s="83"/>
      <c r="G1883" s="84"/>
      <c r="H1883" s="85">
        <f>SUM(H1884:H1885)</f>
        <v>12.711874999999999</v>
      </c>
      <c r="J1883" s="201" t="s">
        <v>13370</v>
      </c>
      <c r="K1883" s="78"/>
      <c r="L1883" s="78"/>
      <c r="M1883" s="78"/>
      <c r="N1883" s="78"/>
      <c r="O1883" s="78"/>
      <c r="P1883" s="78"/>
      <c r="Q1883" s="78"/>
    </row>
    <row r="1884" spans="1:17" s="87" customFormat="1" ht="25.5">
      <c r="A1884" s="232" t="s">
        <v>4542</v>
      </c>
      <c r="B1884" s="464" t="s">
        <v>9567</v>
      </c>
      <c r="C1884" s="451" t="str">
        <f>IF(A1884="SERVIÇO",VLOOKUP(B1884,SERVIÇOS!$A$6:$D$7645,2,0),IF(A1884="INSUMO",VLOOKUP(B1884,INSUMOS!$A$6:$D$6961,2,0),IF(A1884="COTAÇÃO",VLOOKUP(B1884,'036-20-Cotação'!$A$9:$G$529,2,0))))</f>
        <v>CAMINHÃO CARROCERIA COM CAPACIDADE DE 5 T - 115 KW</v>
      </c>
      <c r="D1884" s="452" t="str">
        <f>IF(A1884="SERVIÇO",VLOOKUP(B1884,SERVIÇOS!$A$6:$E$7645,5,0),IF(A1884="INSUMO",VLOOKUP(B1884,INSUMOS!$A$6:$E$6961,5,0),IF(A1884="COTAÇÃO",VLOOKUP(B1884,'036-20-Cotação'!$A$9:$H$529,8,0))))</f>
        <v>EQUIP.</v>
      </c>
      <c r="E1884" s="452" t="str">
        <f>IF(A1884="SERVIÇO",VLOOKUP(B1884,SERVIÇOS!$A$6:$D$7645,3,0),IF(A1884="INSUMO",VLOOKUP(B1884,INSUMOS!$A$6:$D$6961,3,0),IF(A1884="COTAÇÃO",VLOOKUP(B1884,'036-20-Cotação'!$A$9:$G$529,4,0))))</f>
        <v>CHP</v>
      </c>
      <c r="F1884" s="462">
        <f>1/10.56</f>
        <v>9.4696969696969696E-2</v>
      </c>
      <c r="G1884" s="453">
        <f>IF(A1884="SERVIÇO",VLOOKUP(B1884,SERVIÇOS!$A$6:$D$7645,4,0),IF(A1884="INSUMO",VLOOKUP(B1884,INSUMOS!$A$6:$D$6961,4,0),IF(A1884="COTAÇÃO",VLOOKUP(B1884,'036-20-Cotação'!$A$9:$G$529,3,0))))</f>
        <v>87.3249</v>
      </c>
      <c r="H1884" s="463">
        <f t="shared" ref="H1884:H1885" si="338">G1884*F1884</f>
        <v>8.2694034090909092</v>
      </c>
      <c r="J1884" s="201"/>
    </row>
    <row r="1885" spans="1:17" s="87" customFormat="1" ht="12.75">
      <c r="A1885" s="232" t="s">
        <v>4542</v>
      </c>
      <c r="B1885" s="464" t="s">
        <v>6602</v>
      </c>
      <c r="C1885" s="451" t="str">
        <f>IF(A1885="SERVIÇO",VLOOKUP(B1885,SERVIÇOS!$A$6:$D$7645,2,0),IF(A1885="INSUMO",VLOOKUP(B1885,INSUMOS!$A$6:$D$6961,2,0),IF(A1885="COTAÇÃO",VLOOKUP(B1885,'036-20-Cotação'!$A$9:$G$529,2,0))))</f>
        <v>SERVENTE</v>
      </c>
      <c r="D1885" s="452" t="str">
        <f>IF(A1885="SERVIÇO",VLOOKUP(B1885,SERVIÇOS!$A$6:$E$7645,5,0),IF(A1885="INSUMO",VLOOKUP(B1885,INSUMOS!$A$6:$E$6961,5,0),IF(A1885="COTAÇÃO",VLOOKUP(B1885,'036-20-Cotação'!$A$9:$H$529,8,0))))</f>
        <v>M.O</v>
      </c>
      <c r="E1885" s="452" t="str">
        <f>IF(A1885="SERVIÇO",VLOOKUP(B1885,SERVIÇOS!$A$6:$D$7645,3,0),IF(A1885="INSUMO",VLOOKUP(B1885,INSUMOS!$A$6:$D$6961,3,0),IF(A1885="COTAÇÃO",VLOOKUP(B1885,'036-20-Cotação'!$A$9:$G$529,4,0))))</f>
        <v>H</v>
      </c>
      <c r="F1885" s="462">
        <f>3/10.56</f>
        <v>0.28409090909090906</v>
      </c>
      <c r="G1885" s="453">
        <f>IF(A1885="SERVIÇO",VLOOKUP(B1885,SERVIÇOS!$A$6:$D$7645,4,0),IF(A1885="INSUMO",VLOOKUP(B1885,INSUMOS!$A$6:$D$6961,4,0),IF(A1885="COTAÇÃO",VLOOKUP(B1885,'036-20-Cotação'!$A$9:$G$529,3,0))))</f>
        <v>15.637499999999999</v>
      </c>
      <c r="H1885" s="463">
        <f t="shared" si="338"/>
        <v>4.4424715909090899</v>
      </c>
      <c r="J1885" s="201"/>
    </row>
    <row r="1886" spans="1:17" s="87" customFormat="1" ht="12.75">
      <c r="A1886" s="188"/>
      <c r="B1886" s="348" t="s">
        <v>123</v>
      </c>
      <c r="C1886" s="695" t="s">
        <v>13369</v>
      </c>
      <c r="D1886" s="696"/>
      <c r="E1886" s="696"/>
      <c r="F1886" s="696"/>
      <c r="G1886" s="696"/>
      <c r="H1886" s="697"/>
      <c r="J1886" s="201"/>
      <c r="K1886" s="78"/>
      <c r="L1886" s="78"/>
      <c r="M1886" s="78"/>
      <c r="N1886" s="78"/>
      <c r="O1886" s="78"/>
      <c r="P1886" s="78"/>
      <c r="Q1886" s="78"/>
    </row>
    <row r="1887" spans="1:17" s="87" customFormat="1" ht="12.75">
      <c r="A1887" s="188"/>
      <c r="B1887" s="346"/>
      <c r="C1887" s="486"/>
      <c r="D1887" s="486"/>
      <c r="E1887" s="486"/>
      <c r="F1887" s="486"/>
      <c r="G1887" s="486"/>
      <c r="H1887" s="487"/>
      <c r="J1887" s="201"/>
      <c r="K1887" s="78"/>
      <c r="L1887" s="78"/>
      <c r="M1887" s="78"/>
      <c r="N1887" s="78"/>
      <c r="O1887" s="78"/>
      <c r="P1887" s="78"/>
      <c r="Q1887" s="78"/>
    </row>
    <row r="1888" spans="1:17" s="87" customFormat="1" ht="25.5">
      <c r="A1888" s="188"/>
      <c r="B1888" s="80">
        <v>1600989</v>
      </c>
      <c r="C1888" s="81" t="s">
        <v>6664</v>
      </c>
      <c r="D1888" s="82" t="s">
        <v>84</v>
      </c>
      <c r="E1888" s="82" t="s">
        <v>172</v>
      </c>
      <c r="F1888" s="83"/>
      <c r="G1888" s="84"/>
      <c r="H1888" s="85">
        <f>SUM(H1889:H1895)</f>
        <v>266.5971944475138</v>
      </c>
      <c r="J1888" s="201" t="s">
        <v>13371</v>
      </c>
      <c r="K1888" s="78"/>
      <c r="L1888" s="78"/>
      <c r="M1888" s="78"/>
      <c r="N1888" s="78"/>
      <c r="O1888" s="78"/>
      <c r="P1888" s="78"/>
      <c r="Q1888" s="78"/>
    </row>
    <row r="1889" spans="1:17" s="87" customFormat="1" ht="25.5">
      <c r="A1889" s="232" t="s">
        <v>4542</v>
      </c>
      <c r="B1889" s="464" t="s">
        <v>9182</v>
      </c>
      <c r="C1889" s="451" t="str">
        <f>IF(A1889="SERVIÇO",VLOOKUP(B1889,SERVIÇOS!$A$6:$D$7645,2,0),IF(A1889="INSUMO",VLOOKUP(B1889,INSUMOS!$A$6:$D$6961,2,0),IF(A1889="COTAÇÃO",VLOOKUP(B1889,'036-20-Cotação'!$A$9:$G$529,2,0))))</f>
        <v>COMPRESSOR DE AR PORTÁTIL DE 124 PCM - 27 KW</v>
      </c>
      <c r="D1889" s="452" t="str">
        <f>IF(A1889="SERVIÇO",VLOOKUP(B1889,SERVIÇOS!$A$6:$E$7645,5,0),IF(A1889="INSUMO",VLOOKUP(B1889,INSUMOS!$A$6:$E$6961,5,0),IF(A1889="COTAÇÃO",VLOOKUP(B1889,'036-20-Cotação'!$A$9:$H$529,8,0))))</f>
        <v>EQUIP.</v>
      </c>
      <c r="E1889" s="452" t="str">
        <f>IF(A1889="SERVIÇO",VLOOKUP(B1889,SERVIÇOS!$A$6:$D$7645,3,0),IF(A1889="INSUMO",VLOOKUP(B1889,INSUMOS!$A$6:$D$6961,3,0),IF(A1889="COTAÇÃO",VLOOKUP(B1889,'036-20-Cotação'!$A$9:$G$529,4,0))))</f>
        <v>CHP</v>
      </c>
      <c r="F1889" s="462">
        <f>1/0.6</f>
        <v>1.6666666666666667</v>
      </c>
      <c r="G1889" s="453">
        <f>IF(A1889="SERVIÇO",VLOOKUP(B1889,SERVIÇOS!$A$6:$D$7645,4,0),IF(A1889="INSUMO",VLOOKUP(B1889,INSUMOS!$A$6:$D$6961,4,0),IF(A1889="COTAÇÃO",VLOOKUP(B1889,'036-20-Cotação'!$A$9:$G$529,3,0))))</f>
        <v>26.3127</v>
      </c>
      <c r="H1889" s="463">
        <f t="shared" ref="H1889:H1895" si="339">G1889*F1889</f>
        <v>43.854500000000002</v>
      </c>
      <c r="J1889" s="201"/>
    </row>
    <row r="1890" spans="1:17" s="87" customFormat="1" ht="25.5">
      <c r="A1890" s="232" t="s">
        <v>4542</v>
      </c>
      <c r="B1890" s="464" t="s">
        <v>9017</v>
      </c>
      <c r="C1890" s="451" t="str">
        <f>IF(A1890="SERVIÇO",VLOOKUP(B1890,SERVIÇOS!$A$6:$D$7645,2,0),IF(A1890="INSUMO",VLOOKUP(B1890,INSUMOS!$A$6:$D$6961,2,0),IF(A1890="COTAÇÃO",VLOOKUP(B1890,'036-20-Cotação'!$A$9:$G$529,2,0))))</f>
        <v>MARTELETE PERFURADOR/ROMPEDOR A AR COMPRIMIDO DE 25 KG PARA ROCHA</v>
      </c>
      <c r="D1890" s="452" t="str">
        <f>IF(A1890="SERVIÇO",VLOOKUP(B1890,SERVIÇOS!$A$6:$E$7645,5,0),IF(A1890="INSUMO",VLOOKUP(B1890,INSUMOS!$A$6:$E$6961,5,0),IF(A1890="COTAÇÃO",VLOOKUP(B1890,'036-20-Cotação'!$A$9:$H$529,8,0))))</f>
        <v>EQUIP.</v>
      </c>
      <c r="E1890" s="452" t="str">
        <f>IF(A1890="SERVIÇO",VLOOKUP(B1890,SERVIÇOS!$A$6:$D$7645,3,0),IF(A1890="INSUMO",VLOOKUP(B1890,INSUMOS!$A$6:$D$6961,3,0),IF(A1890="COTAÇÃO",VLOOKUP(B1890,'036-20-Cotação'!$A$9:$G$529,4,0))))</f>
        <v>CHP</v>
      </c>
      <c r="F1890" s="462">
        <f t="shared" ref="F1890" si="340">1/0.6</f>
        <v>1.6666666666666667</v>
      </c>
      <c r="G1890" s="453">
        <f>IF(A1890="SERVIÇO",VLOOKUP(B1890,SERVIÇOS!$A$6:$D$7645,4,0),IF(A1890="INSUMO",VLOOKUP(B1890,INSUMOS!$A$6:$D$6961,4,0),IF(A1890="COTAÇÃO",VLOOKUP(B1890,'036-20-Cotação'!$A$9:$G$529,3,0))))</f>
        <v>21.363900000000001</v>
      </c>
      <c r="H1890" s="463">
        <f t="shared" si="339"/>
        <v>35.606500000000004</v>
      </c>
      <c r="J1890" s="201"/>
    </row>
    <row r="1891" spans="1:17" s="87" customFormat="1" ht="25.5">
      <c r="A1891" s="232" t="s">
        <v>4542</v>
      </c>
      <c r="B1891" s="464" t="s">
        <v>8841</v>
      </c>
      <c r="C1891" s="451" t="str">
        <f>IF(A1891="SERVIÇO",VLOOKUP(B1891,SERVIÇOS!$A$6:$D$7645,2,0),IF(A1891="INSUMO",VLOOKUP(B1891,INSUMOS!$A$6:$D$6961,2,0),IF(A1891="COTAÇÃO",VLOOKUP(B1891,'036-20-Cotação'!$A$9:$G$529,2,0))))</f>
        <v>TRANSPORTADOR MANUAL CARRINHO DE MÃO COM CAPACIDADE DE 80 L</v>
      </c>
      <c r="D1891" s="452" t="str">
        <f>IF(A1891="SERVIÇO",VLOOKUP(B1891,SERVIÇOS!$A$6:$E$7645,5,0),IF(A1891="INSUMO",VLOOKUP(B1891,INSUMOS!$A$6:$E$6961,5,0),IF(A1891="COTAÇÃO",VLOOKUP(B1891,'036-20-Cotação'!$A$9:$H$529,8,0))))</f>
        <v>EQUIP.</v>
      </c>
      <c r="E1891" s="452" t="str">
        <f>IF(A1891="SERVIÇO",VLOOKUP(B1891,SERVIÇOS!$A$6:$D$7645,3,0),IF(A1891="INSUMO",VLOOKUP(B1891,INSUMOS!$A$6:$D$6961,3,0),IF(A1891="COTAÇÃO",VLOOKUP(B1891,'036-20-Cotação'!$A$9:$G$529,4,0))))</f>
        <v>CHP</v>
      </c>
      <c r="F1891" s="462">
        <f>0.37/0.6</f>
        <v>0.6166666666666667</v>
      </c>
      <c r="G1891" s="453">
        <f>IF(A1891="SERVIÇO",VLOOKUP(B1891,SERVIÇOS!$A$6:$D$7645,4,0),IF(A1891="INSUMO",VLOOKUP(B1891,INSUMOS!$A$6:$D$6961,4,0),IF(A1891="COTAÇÃO",VLOOKUP(B1891,'036-20-Cotação'!$A$9:$G$529,3,0))))</f>
        <v>0.3054</v>
      </c>
      <c r="H1891" s="463">
        <f t="shared" si="339"/>
        <v>0.18833000000000003</v>
      </c>
      <c r="J1891" s="201"/>
    </row>
    <row r="1892" spans="1:17" s="87" customFormat="1" ht="25.5">
      <c r="A1892" s="232" t="s">
        <v>4542</v>
      </c>
      <c r="B1892" s="464" t="s">
        <v>9665</v>
      </c>
      <c r="C1892" s="451" t="str">
        <f>IF(A1892="SERVIÇO",VLOOKUP(B1892,SERVIÇOS!$A$6:$D$7645,2,0),IF(A1892="INSUMO",VLOOKUP(B1892,INSUMOS!$A$6:$D$6961,2,0),IF(A1892="COTAÇÃO",VLOOKUP(B1892,'036-20-Cotação'!$A$9:$G$529,2,0))))</f>
        <v>TRANSPORTADOR MANUAL CARRINHO DE MÃO COM CAPACIDADE DE 80 L</v>
      </c>
      <c r="D1892" s="452" t="str">
        <f>IF(A1892="SERVIÇO",VLOOKUP(B1892,SERVIÇOS!$A$6:$E$7645,5,0),IF(A1892="INSUMO",VLOOKUP(B1892,INSUMOS!$A$6:$E$6961,5,0),IF(A1892="COTAÇÃO",VLOOKUP(B1892,'036-20-Cotação'!$A$9:$H$529,8,0))))</f>
        <v>EQUIP.</v>
      </c>
      <c r="E1892" s="452" t="str">
        <f>IF(A1892="SERVIÇO",VLOOKUP(B1892,SERVIÇOS!$A$6:$D$7645,3,0),IF(A1892="INSUMO",VLOOKUP(B1892,INSUMOS!$A$6:$D$6961,3,0),IF(A1892="COTAÇÃO",VLOOKUP(B1892,'036-20-Cotação'!$A$9:$G$529,4,0))))</f>
        <v>CHI</v>
      </c>
      <c r="F1892" s="462">
        <f>0.63/0.6</f>
        <v>1.05</v>
      </c>
      <c r="G1892" s="453">
        <f>IF(A1892="SERVIÇO",VLOOKUP(B1892,SERVIÇOS!$A$6:$D$7645,4,0),IF(A1892="INSUMO",VLOOKUP(B1892,INSUMOS!$A$6:$D$6961,4,0),IF(A1892="COTAÇÃO",VLOOKUP(B1892,'036-20-Cotação'!$A$9:$G$529,3,0))))</f>
        <v>0.20469999999999999</v>
      </c>
      <c r="H1892" s="463">
        <f t="shared" ref="H1892" si="341">G1892*F1892</f>
        <v>0.21493500000000001</v>
      </c>
      <c r="J1892" s="201"/>
    </row>
    <row r="1893" spans="1:17" s="87" customFormat="1" ht="12.75">
      <c r="A1893" s="232" t="s">
        <v>4542</v>
      </c>
      <c r="B1893" s="464" t="s">
        <v>6602</v>
      </c>
      <c r="C1893" s="451" t="str">
        <f>IF(A1893="SERVIÇO",VLOOKUP(B1893,SERVIÇOS!$A$6:$D$7645,2,0),IF(A1893="INSUMO",VLOOKUP(B1893,INSUMOS!$A$6:$D$6961,2,0),IF(A1893="COTAÇÃO",VLOOKUP(B1893,'036-20-Cotação'!$A$9:$G$529,2,0))))</f>
        <v>SERVENTE</v>
      </c>
      <c r="D1893" s="452" t="str">
        <f>IF(A1893="SERVIÇO",VLOOKUP(B1893,SERVIÇOS!$A$6:$E$7645,5,0),IF(A1893="INSUMO",VLOOKUP(B1893,INSUMOS!$A$6:$E$6961,5,0),IF(A1893="COTAÇÃO",VLOOKUP(B1893,'036-20-Cotação'!$A$9:$H$529,8,0))))</f>
        <v>M.O</v>
      </c>
      <c r="E1893" s="452" t="str">
        <f>IF(A1893="SERVIÇO",VLOOKUP(B1893,SERVIÇOS!$A$6:$D$7645,3,0),IF(A1893="INSUMO",VLOOKUP(B1893,INSUMOS!$A$6:$D$6961,3,0),IF(A1893="COTAÇÃO",VLOOKUP(B1893,'036-20-Cotação'!$A$9:$G$529,4,0))))</f>
        <v>H</v>
      </c>
      <c r="F1893" s="462">
        <f>1/0.6</f>
        <v>1.6666666666666667</v>
      </c>
      <c r="G1893" s="453">
        <f>IF(A1893="SERVIÇO",VLOOKUP(B1893,SERVIÇOS!$A$6:$D$7645,4,0),IF(A1893="INSUMO",VLOOKUP(B1893,INSUMOS!$A$6:$D$6961,4,0),IF(A1893="COTAÇÃO",VLOOKUP(B1893,'036-20-Cotação'!$A$9:$G$529,3,0))))</f>
        <v>15.637499999999999</v>
      </c>
      <c r="H1893" s="463">
        <f t="shared" si="339"/>
        <v>26.0625</v>
      </c>
      <c r="J1893" s="201"/>
    </row>
    <row r="1894" spans="1:17" s="87" customFormat="1" ht="12.75">
      <c r="A1894" s="232" t="s">
        <v>4544</v>
      </c>
      <c r="B1894" s="464" t="s">
        <v>10962</v>
      </c>
      <c r="C1894" s="451" t="str">
        <f>IF(A1894="SERVIÇO",VLOOKUP(B1894,SERVIÇOS!$A$6:$D$7645,2,0),IF(A1894="INSUMO",VLOOKUP(B1894,INSUMOS!$A$6:$D$6961,2,0),IF(A1894="COTAÇÃO",VLOOKUP(B1894,'036-20-Cotação'!$A$9:$G$529,2,0))))</f>
        <v>PONTEIRO PARA MARTELETE DE 22 X 1.000 MM</v>
      </c>
      <c r="D1894" s="452" t="str">
        <f>IF(A1894="SERVIÇO",VLOOKUP(B1894,SERVIÇOS!$A$6:$E$7645,5,0),IF(A1894="INSUMO",VLOOKUP(B1894,INSUMOS!$A$6:$E$6961,5,0),IF(A1894="COTAÇÃO",VLOOKUP(B1894,'036-20-Cotação'!$A$9:$H$529,8,0))))</f>
        <v>MAT.</v>
      </c>
      <c r="E1894" s="452" t="str">
        <f>IF(A1894="SERVIÇO",VLOOKUP(B1894,SERVIÇOS!$A$6:$D$7645,3,0),IF(A1894="INSUMO",VLOOKUP(B1894,INSUMOS!$A$6:$D$6961,3,0),IF(A1894="COTAÇÃO",VLOOKUP(B1894,'036-20-Cotação'!$A$9:$G$529,4,0))))</f>
        <v>UN</v>
      </c>
      <c r="F1894" s="462">
        <v>0.3</v>
      </c>
      <c r="G1894" s="453">
        <f>IF(A1894="SERVIÇO",VLOOKUP(B1894,SERVIÇOS!$A$6:$D$7645,4,0),IF(A1894="INSUMO",VLOOKUP(B1894,INSUMOS!$A$6:$D$6961,4,0),IF(A1894="COTAÇÃO",VLOOKUP(B1894,'036-20-Cotação'!$A$9:$G$529,3,0))))</f>
        <v>141.7611</v>
      </c>
      <c r="H1894" s="463">
        <f t="shared" si="339"/>
        <v>42.528329999999997</v>
      </c>
      <c r="J1894" s="201"/>
    </row>
    <row r="1895" spans="1:17" s="87" customFormat="1" ht="25.5">
      <c r="A1895" s="232" t="s">
        <v>4542</v>
      </c>
      <c r="B1895" s="464" t="s">
        <v>13238</v>
      </c>
      <c r="C1895" s="451" t="str">
        <f>'036-20-CCA''s'!$C$318</f>
        <v>TEMPO FIXO - CAMINHÃO BASCULANTE 6 M3 - CARGA MANUAL E DESCARGA LIVRE</v>
      </c>
      <c r="D1895" s="452" t="str">
        <f>'036-20-CCA''s'!$D$318</f>
        <v>SER.CG</v>
      </c>
      <c r="E1895" s="452" t="str">
        <f>'036-20-CCA''s'!$E$318</f>
        <v>T</v>
      </c>
      <c r="F1895" s="462">
        <v>2.4</v>
      </c>
      <c r="G1895" s="453">
        <f>'036-20-CCA''s'!$H$318</f>
        <v>49.225874769797421</v>
      </c>
      <c r="H1895" s="463">
        <f t="shared" si="339"/>
        <v>118.1420994475138</v>
      </c>
      <c r="J1895" s="201"/>
    </row>
    <row r="1896" spans="1:17" s="87" customFormat="1" ht="12.75">
      <c r="A1896" s="188"/>
      <c r="B1896" s="348" t="s">
        <v>123</v>
      </c>
      <c r="C1896" s="695" t="s">
        <v>13372</v>
      </c>
      <c r="D1896" s="696"/>
      <c r="E1896" s="696"/>
      <c r="F1896" s="696"/>
      <c r="G1896" s="696"/>
      <c r="H1896" s="697"/>
      <c r="J1896" s="201"/>
      <c r="K1896" s="78"/>
      <c r="L1896" s="78"/>
      <c r="M1896" s="78"/>
      <c r="N1896" s="78"/>
      <c r="O1896" s="78"/>
      <c r="P1896" s="78"/>
      <c r="Q1896" s="78"/>
    </row>
    <row r="1897" spans="1:17" s="87" customFormat="1" ht="12.75">
      <c r="A1897" s="188"/>
      <c r="B1897" s="346"/>
      <c r="C1897" s="486"/>
      <c r="D1897" s="486"/>
      <c r="E1897" s="486"/>
      <c r="F1897" s="486"/>
      <c r="G1897" s="486"/>
      <c r="H1897" s="487"/>
      <c r="J1897" s="201"/>
      <c r="K1897" s="78"/>
      <c r="L1897" s="78"/>
      <c r="M1897" s="78"/>
      <c r="N1897" s="78"/>
      <c r="O1897" s="78"/>
      <c r="P1897" s="78"/>
      <c r="Q1897" s="78"/>
    </row>
    <row r="1898" spans="1:17" s="87" customFormat="1" ht="25.5">
      <c r="A1898" s="188"/>
      <c r="B1898" s="80">
        <v>5502978</v>
      </c>
      <c r="C1898" s="81" t="s">
        <v>6694</v>
      </c>
      <c r="D1898" s="82" t="s">
        <v>84</v>
      </c>
      <c r="E1898" s="82" t="s">
        <v>172</v>
      </c>
      <c r="F1898" s="83"/>
      <c r="G1898" s="84"/>
      <c r="H1898" s="85">
        <f>SUM(H1899:H1909)</f>
        <v>3.174218461755054</v>
      </c>
      <c r="J1898" s="201" t="s">
        <v>13381</v>
      </c>
      <c r="K1898" s="78"/>
      <c r="L1898" s="78"/>
      <c r="M1898" s="78"/>
      <c r="N1898" s="78"/>
      <c r="O1898" s="78"/>
      <c r="P1898" s="78"/>
      <c r="Q1898" s="78"/>
    </row>
    <row r="1899" spans="1:17" s="87" customFormat="1" ht="25.5">
      <c r="A1899" s="232" t="s">
        <v>4542</v>
      </c>
      <c r="B1899" s="464" t="s">
        <v>9479</v>
      </c>
      <c r="C1899" s="451" t="str">
        <f>IF(A1899="SERVIÇO",VLOOKUP(B1899,SERVIÇOS!$A$6:$D$7645,2,0),IF(A1899="INSUMO",VLOOKUP(B1899,INSUMOS!$A$6:$D$6961,2,0),IF(A1899="COTAÇÃO",VLOOKUP(B1899,'036-20-Cotação'!$A$9:$G$529,2,0))))</f>
        <v>CAMINHÃO TANQUE COM CAPACIDADE DE 10.000 L - 188 KW</v>
      </c>
      <c r="D1899" s="452" t="str">
        <f>IF(A1899="SERVIÇO",VLOOKUP(B1899,SERVIÇOS!$A$6:$E$7645,5,0),IF(A1899="INSUMO",VLOOKUP(B1899,INSUMOS!$A$6:$E$6961,5,0),IF(A1899="COTAÇÃO",VLOOKUP(B1899,'036-20-Cotação'!$A$9:$H$529,8,0))))</f>
        <v>EQUIP.</v>
      </c>
      <c r="E1899" s="452" t="str">
        <f>IF(A1899="SERVIÇO",VLOOKUP(B1899,SERVIÇOS!$A$6:$D$7645,3,0),IF(A1899="INSUMO",VLOOKUP(B1899,INSUMOS!$A$6:$D$6961,3,0),IF(A1899="COTAÇÃO",VLOOKUP(B1899,'036-20-Cotação'!$A$9:$G$529,4,0))))</f>
        <v>CHP</v>
      </c>
      <c r="F1899" s="462">
        <f>0.99/168.2</f>
        <v>5.8858501783590964E-3</v>
      </c>
      <c r="G1899" s="453">
        <f>IF(A1899="SERVIÇO",VLOOKUP(B1899,SERVIÇOS!$A$6:$D$7645,4,0),IF(A1899="INSUMO",VLOOKUP(B1899,INSUMOS!$A$6:$D$6961,4,0),IF(A1899="COTAÇÃO",VLOOKUP(B1899,'036-20-Cotação'!$A$9:$G$529,3,0))))</f>
        <v>200.50309999999999</v>
      </c>
      <c r="H1899" s="463">
        <f t="shared" ref="H1899:H1909" si="342">G1899*F1899</f>
        <v>1.1801312068965517</v>
      </c>
      <c r="J1899" s="201"/>
    </row>
    <row r="1900" spans="1:17" s="87" customFormat="1" ht="25.5">
      <c r="A1900" s="232" t="s">
        <v>4542</v>
      </c>
      <c r="B1900" s="464" t="s">
        <v>10001</v>
      </c>
      <c r="C1900" s="451" t="str">
        <f>IF(A1900="SERVIÇO",VLOOKUP(B1900,SERVIÇOS!$A$6:$D$7645,2,0),IF(A1900="INSUMO",VLOOKUP(B1900,INSUMOS!$A$6:$D$6961,2,0),IF(A1900="COTAÇÃO",VLOOKUP(B1900,'036-20-Cotação'!$A$9:$G$529,2,0))))</f>
        <v>CAMINHÃO TANQUE COM CAPACIDADE DE 10.000 L - 188 KW</v>
      </c>
      <c r="D1900" s="452" t="str">
        <f>IF(A1900="SERVIÇO",VLOOKUP(B1900,SERVIÇOS!$A$6:$E$7645,5,0),IF(A1900="INSUMO",VLOOKUP(B1900,INSUMOS!$A$6:$E$6961,5,0),IF(A1900="COTAÇÃO",VLOOKUP(B1900,'036-20-Cotação'!$A$9:$H$529,8,0))))</f>
        <v>EQUIP.</v>
      </c>
      <c r="E1900" s="452" t="str">
        <f>IF(A1900="SERVIÇO",VLOOKUP(B1900,SERVIÇOS!$A$6:$D$7645,3,0),IF(A1900="INSUMO",VLOOKUP(B1900,INSUMOS!$A$6:$D$6961,3,0),IF(A1900="COTAÇÃO",VLOOKUP(B1900,'036-20-Cotação'!$A$9:$G$529,4,0))))</f>
        <v>CHI</v>
      </c>
      <c r="F1900" s="462">
        <f>0.01/168.2</f>
        <v>5.9453032104637343E-5</v>
      </c>
      <c r="G1900" s="453">
        <f>IF(A1900="SERVIÇO",VLOOKUP(B1900,SERVIÇOS!$A$6:$D$7645,4,0),IF(A1900="INSUMO",VLOOKUP(B1900,INSUMOS!$A$6:$D$6961,4,0),IF(A1900="COTAÇÃO",VLOOKUP(B1900,'036-20-Cotação'!$A$9:$G$529,3,0))))</f>
        <v>47.441800000000001</v>
      </c>
      <c r="H1900" s="463">
        <f t="shared" ref="H1900" si="343">G1900*F1900</f>
        <v>2.8205588585017839E-3</v>
      </c>
      <c r="J1900" s="201"/>
    </row>
    <row r="1901" spans="1:17" s="87" customFormat="1" ht="12.75">
      <c r="A1901" s="232" t="s">
        <v>4542</v>
      </c>
      <c r="B1901" s="464" t="s">
        <v>9002</v>
      </c>
      <c r="C1901" s="451" t="str">
        <f>IF(A1901="SERVIÇO",VLOOKUP(B1901,SERVIÇOS!$A$6:$D$7645,2,0),IF(A1901="INSUMO",VLOOKUP(B1901,INSUMOS!$A$6:$D$6961,2,0),IF(A1901="COTAÇÃO",VLOOKUP(B1901,'036-20-Cotação'!$A$9:$G$529,2,0))))</f>
        <v>GRADE DE 24 DISCOS REBOCÁVEL DE 24"</v>
      </c>
      <c r="D1901" s="452" t="str">
        <f>IF(A1901="SERVIÇO",VLOOKUP(B1901,SERVIÇOS!$A$6:$E$7645,5,0),IF(A1901="INSUMO",VLOOKUP(B1901,INSUMOS!$A$6:$E$6961,5,0),IF(A1901="COTAÇÃO",VLOOKUP(B1901,'036-20-Cotação'!$A$9:$H$529,8,0))))</f>
        <v>EQUIP.</v>
      </c>
      <c r="E1901" s="452" t="str">
        <f>IF(A1901="SERVIÇO",VLOOKUP(B1901,SERVIÇOS!$A$6:$D$7645,3,0),IF(A1901="INSUMO",VLOOKUP(B1901,INSUMOS!$A$6:$D$6961,3,0),IF(A1901="COTAÇÃO",VLOOKUP(B1901,'036-20-Cotação'!$A$9:$G$529,4,0))))</f>
        <v>CHP</v>
      </c>
      <c r="F1901" s="462">
        <f>0.52/168.2</f>
        <v>3.0915576694411418E-3</v>
      </c>
      <c r="G1901" s="453">
        <f>IF(A1901="SERVIÇO",VLOOKUP(B1901,SERVIÇOS!$A$6:$D$7645,4,0),IF(A1901="INSUMO",VLOOKUP(B1901,INSUMOS!$A$6:$D$6961,4,0),IF(A1901="COTAÇÃO",VLOOKUP(B1901,'036-20-Cotação'!$A$9:$G$529,3,0))))</f>
        <v>2.1743000000000001</v>
      </c>
      <c r="H1901" s="463">
        <f t="shared" si="342"/>
        <v>6.7219738406658755E-3</v>
      </c>
      <c r="J1901" s="201"/>
    </row>
    <row r="1902" spans="1:17" s="87" customFormat="1" ht="12.75">
      <c r="A1902" s="232" t="s">
        <v>4542</v>
      </c>
      <c r="B1902" s="464" t="s">
        <v>9747</v>
      </c>
      <c r="C1902" s="451" t="str">
        <f>IF(A1902="SERVIÇO",VLOOKUP(B1902,SERVIÇOS!$A$6:$D$7645,2,0),IF(A1902="INSUMO",VLOOKUP(B1902,INSUMOS!$A$6:$D$6961,2,0),IF(A1902="COTAÇÃO",VLOOKUP(B1902,'036-20-Cotação'!$A$9:$G$529,2,0))))</f>
        <v>GRADE DE 24 DISCOS REBOCÁVEL DE 24"</v>
      </c>
      <c r="D1902" s="452" t="str">
        <f>IF(A1902="SERVIÇO",VLOOKUP(B1902,SERVIÇOS!$A$6:$E$7645,5,0),IF(A1902="INSUMO",VLOOKUP(B1902,INSUMOS!$A$6:$E$6961,5,0),IF(A1902="COTAÇÃO",VLOOKUP(B1902,'036-20-Cotação'!$A$9:$H$529,8,0))))</f>
        <v>EQUIP.</v>
      </c>
      <c r="E1902" s="452" t="str">
        <f>IF(A1902="SERVIÇO",VLOOKUP(B1902,SERVIÇOS!$A$6:$D$7645,3,0),IF(A1902="INSUMO",VLOOKUP(B1902,INSUMOS!$A$6:$D$6961,3,0),IF(A1902="COTAÇÃO",VLOOKUP(B1902,'036-20-Cotação'!$A$9:$G$529,4,0))))</f>
        <v>CHI</v>
      </c>
      <c r="F1902" s="462">
        <f>0.48/168.2</f>
        <v>2.8537455410225922E-3</v>
      </c>
      <c r="G1902" s="453">
        <f>IF(A1902="SERVIÇO",VLOOKUP(B1902,SERVIÇOS!$A$6:$D$7645,4,0),IF(A1902="INSUMO",VLOOKUP(B1902,INSUMOS!$A$6:$D$6961,4,0),IF(A1902="COTAÇÃO",VLOOKUP(B1902,'036-20-Cotação'!$A$9:$G$529,3,0))))</f>
        <v>1.4312</v>
      </c>
      <c r="H1902" s="463">
        <f t="shared" ref="H1902" si="344">G1902*F1902</f>
        <v>4.0842806183115339E-3</v>
      </c>
      <c r="J1902" s="201"/>
    </row>
    <row r="1903" spans="1:17" s="87" customFormat="1" ht="12.75">
      <c r="A1903" s="232" t="s">
        <v>4542</v>
      </c>
      <c r="B1903" s="464" t="s">
        <v>9011</v>
      </c>
      <c r="C1903" s="451" t="str">
        <f>IF(A1903="SERVIÇO",VLOOKUP(B1903,SERVIÇOS!$A$6:$D$7645,2,0),IF(A1903="INSUMO",VLOOKUP(B1903,INSUMOS!$A$6:$D$6961,2,0),IF(A1903="COTAÇÃO",VLOOKUP(B1903,'036-20-Cotação'!$A$9:$G$529,2,0))))</f>
        <v>MOTONIVELADORA - 93 KW</v>
      </c>
      <c r="D1903" s="452" t="str">
        <f>IF(A1903="SERVIÇO",VLOOKUP(B1903,SERVIÇOS!$A$6:$E$7645,5,0),IF(A1903="INSUMO",VLOOKUP(B1903,INSUMOS!$A$6:$E$6961,5,0),IF(A1903="COTAÇÃO",VLOOKUP(B1903,'036-20-Cotação'!$A$9:$H$529,8,0))))</f>
        <v>EQUIP.</v>
      </c>
      <c r="E1903" s="452" t="str">
        <f>IF(A1903="SERVIÇO",VLOOKUP(B1903,SERVIÇOS!$A$6:$D$7645,3,0),IF(A1903="INSUMO",VLOOKUP(B1903,INSUMOS!$A$6:$D$6961,3,0),IF(A1903="COTAÇÃO",VLOOKUP(B1903,'036-20-Cotação'!$A$9:$G$529,4,0))))</f>
        <v>CHP</v>
      </c>
      <c r="F1903" s="462">
        <f>0.29/168.2</f>
        <v>1.7241379310344827E-3</v>
      </c>
      <c r="G1903" s="453">
        <f>IF(A1903="SERVIÇO",VLOOKUP(B1903,SERVIÇOS!$A$6:$D$7645,4,0),IF(A1903="INSUMO",VLOOKUP(B1903,INSUMOS!$A$6:$D$6961,4,0),IF(A1903="COTAÇÃO",VLOOKUP(B1903,'036-20-Cotação'!$A$9:$G$529,3,0))))</f>
        <v>168.8065</v>
      </c>
      <c r="H1903" s="463">
        <f t="shared" si="342"/>
        <v>0.29104568965517241</v>
      </c>
      <c r="J1903" s="201"/>
    </row>
    <row r="1904" spans="1:17" s="87" customFormat="1" ht="12.75">
      <c r="A1904" s="232" t="s">
        <v>4542</v>
      </c>
      <c r="B1904" s="464" t="s">
        <v>9752</v>
      </c>
      <c r="C1904" s="451" t="str">
        <f>IF(A1904="SERVIÇO",VLOOKUP(B1904,SERVIÇOS!$A$6:$D$7645,2,0),IF(A1904="INSUMO",VLOOKUP(B1904,INSUMOS!$A$6:$D$6961,2,0),IF(A1904="COTAÇÃO",VLOOKUP(B1904,'036-20-Cotação'!$A$9:$G$529,2,0))))</f>
        <v>MOTONIVELADORA - 93 KW</v>
      </c>
      <c r="D1904" s="452" t="str">
        <f>IF(A1904="SERVIÇO",VLOOKUP(B1904,SERVIÇOS!$A$6:$E$7645,5,0),IF(A1904="INSUMO",VLOOKUP(B1904,INSUMOS!$A$6:$E$6961,5,0),IF(A1904="COTAÇÃO",VLOOKUP(B1904,'036-20-Cotação'!$A$9:$H$529,8,0))))</f>
        <v>EQUIP.</v>
      </c>
      <c r="E1904" s="452" t="str">
        <f>IF(A1904="SERVIÇO",VLOOKUP(B1904,SERVIÇOS!$A$6:$D$7645,3,0),IF(A1904="INSUMO",VLOOKUP(B1904,INSUMOS!$A$6:$D$6961,3,0),IF(A1904="COTAÇÃO",VLOOKUP(B1904,'036-20-Cotação'!$A$9:$G$529,4,0))))</f>
        <v>CHI</v>
      </c>
      <c r="F1904" s="462">
        <f>0.71/168.2</f>
        <v>4.2211652794292513E-3</v>
      </c>
      <c r="G1904" s="453">
        <f>IF(A1904="SERVIÇO",VLOOKUP(B1904,SERVIÇOS!$A$6:$D$7645,4,0),IF(A1904="INSUMO",VLOOKUP(B1904,INSUMOS!$A$6:$D$6961,4,0),IF(A1904="COTAÇÃO",VLOOKUP(B1904,'036-20-Cotação'!$A$9:$G$529,3,0))))</f>
        <v>68.476399999999998</v>
      </c>
      <c r="H1904" s="463">
        <f t="shared" ref="H1904" si="345">G1904*F1904</f>
        <v>0.28905020214030919</v>
      </c>
      <c r="J1904" s="201"/>
    </row>
    <row r="1905" spans="1:17" s="87" customFormat="1" ht="38.25">
      <c r="A1905" s="232" t="s">
        <v>4542</v>
      </c>
      <c r="B1905" s="464" t="s">
        <v>9232</v>
      </c>
      <c r="C1905" s="451" t="str">
        <f>IF(A1905="SERVIÇO",VLOOKUP(B1905,SERVIÇOS!$A$6:$D$7645,2,0),IF(A1905="INSUMO",VLOOKUP(B1905,INSUMOS!$A$6:$D$6961,2,0),IF(A1905="COTAÇÃO",VLOOKUP(B1905,'036-20-Cotação'!$A$9:$G$529,2,0))))</f>
        <v>ROLO COMPACTADOR PÉ DE CARNEIRO VIBRATÓRIO AUTOPROPELIDO DE 11,6 T - 82 KW</v>
      </c>
      <c r="D1905" s="452" t="str">
        <f>IF(A1905="SERVIÇO",VLOOKUP(B1905,SERVIÇOS!$A$6:$E$7645,5,0),IF(A1905="INSUMO",VLOOKUP(B1905,INSUMOS!$A$6:$E$6961,5,0),IF(A1905="COTAÇÃO",VLOOKUP(B1905,'036-20-Cotação'!$A$9:$H$529,8,0))))</f>
        <v>EQUIP.</v>
      </c>
      <c r="E1905" s="452" t="str">
        <f>IF(A1905="SERVIÇO",VLOOKUP(B1905,SERVIÇOS!$A$6:$D$7645,3,0),IF(A1905="INSUMO",VLOOKUP(B1905,INSUMOS!$A$6:$D$6961,3,0),IF(A1905="COTAÇÃO",VLOOKUP(B1905,'036-20-Cotação'!$A$9:$G$529,4,0))))</f>
        <v>CHP</v>
      </c>
      <c r="F1905" s="462">
        <f t="shared" ref="F1905:F1908" si="346">1/168.2</f>
        <v>5.945303210463734E-3</v>
      </c>
      <c r="G1905" s="453">
        <f>IF(A1905="SERVIÇO",VLOOKUP(B1905,SERVIÇOS!$A$6:$D$7645,4,0),IF(A1905="INSUMO",VLOOKUP(B1905,INSUMOS!$A$6:$D$6961,4,0),IF(A1905="COTAÇÃO",VLOOKUP(B1905,'036-20-Cotação'!$A$9:$G$529,3,0))))</f>
        <v>128.93299999999999</v>
      </c>
      <c r="H1905" s="463">
        <f t="shared" si="342"/>
        <v>0.76654577883472053</v>
      </c>
      <c r="J1905" s="201"/>
    </row>
    <row r="1906" spans="1:17" s="87" customFormat="1" ht="12.75">
      <c r="A1906" s="232" t="s">
        <v>4542</v>
      </c>
      <c r="B1906" s="464" t="s">
        <v>9081</v>
      </c>
      <c r="C1906" s="451" t="str">
        <f>IF(A1906="SERVIÇO",VLOOKUP(B1906,SERVIÇOS!$A$6:$D$7645,2,0),IF(A1906="INSUMO",VLOOKUP(B1906,INSUMOS!$A$6:$D$6961,2,0),IF(A1906="COTAÇÃO",VLOOKUP(B1906,'036-20-Cotação'!$A$9:$G$529,2,0))))</f>
        <v>TRATOR AGRÍCOLA - 77 KW</v>
      </c>
      <c r="D1906" s="452" t="str">
        <f>IF(A1906="SERVIÇO",VLOOKUP(B1906,SERVIÇOS!$A$6:$E$7645,5,0),IF(A1906="INSUMO",VLOOKUP(B1906,INSUMOS!$A$6:$E$6961,5,0),IF(A1906="COTAÇÃO",VLOOKUP(B1906,'036-20-Cotação'!$A$9:$H$529,8,0))))</f>
        <v>EQUIP.</v>
      </c>
      <c r="E1906" s="452" t="str">
        <f>IF(A1906="SERVIÇO",VLOOKUP(B1906,SERVIÇOS!$A$6:$D$7645,3,0),IF(A1906="INSUMO",VLOOKUP(B1906,INSUMOS!$A$6:$D$6961,3,0),IF(A1906="COTAÇÃO",VLOOKUP(B1906,'036-20-Cotação'!$A$9:$G$529,4,0))))</f>
        <v>CHP</v>
      </c>
      <c r="F1906" s="462">
        <f>0.52/168.2</f>
        <v>3.0915576694411418E-3</v>
      </c>
      <c r="G1906" s="453">
        <f>IF(A1906="SERVIÇO",VLOOKUP(B1906,SERVIÇOS!$A$6:$D$7645,4,0),IF(A1906="INSUMO",VLOOKUP(B1906,INSUMOS!$A$6:$D$6961,4,0),IF(A1906="COTAÇÃO",VLOOKUP(B1906,'036-20-Cotação'!$A$9:$G$529,3,0))))</f>
        <v>124.90219999999999</v>
      </c>
      <c r="H1906" s="463">
        <f t="shared" si="342"/>
        <v>0.38614235434007138</v>
      </c>
      <c r="J1906" s="201"/>
    </row>
    <row r="1907" spans="1:17" s="87" customFormat="1" ht="12.75">
      <c r="A1907" s="232" t="s">
        <v>4542</v>
      </c>
      <c r="B1907" s="464" t="s">
        <v>9788</v>
      </c>
      <c r="C1907" s="451" t="str">
        <f>IF(A1907="SERVIÇO",VLOOKUP(B1907,SERVIÇOS!$A$6:$D$7645,2,0),IF(A1907="INSUMO",VLOOKUP(B1907,INSUMOS!$A$6:$D$6961,2,0),IF(A1907="COTAÇÃO",VLOOKUP(B1907,'036-20-Cotação'!$A$9:$G$529,2,0))))</f>
        <v>TRATOR AGRÍCOLA - 77 KW</v>
      </c>
      <c r="D1907" s="452" t="str">
        <f>IF(A1907="SERVIÇO",VLOOKUP(B1907,SERVIÇOS!$A$6:$E$7645,5,0),IF(A1907="INSUMO",VLOOKUP(B1907,INSUMOS!$A$6:$E$6961,5,0),IF(A1907="COTAÇÃO",VLOOKUP(B1907,'036-20-Cotação'!$A$9:$H$529,8,0))))</f>
        <v>EQUIP.</v>
      </c>
      <c r="E1907" s="452" t="str">
        <f>IF(A1907="SERVIÇO",VLOOKUP(B1907,SERVIÇOS!$A$6:$D$7645,3,0),IF(A1907="INSUMO",VLOOKUP(B1907,INSUMOS!$A$6:$D$6961,3,0),IF(A1907="COTAÇÃO",VLOOKUP(B1907,'036-20-Cotação'!$A$9:$G$529,4,0))))</f>
        <v>CHI</v>
      </c>
      <c r="F1907" s="462">
        <f>0.48/168.2</f>
        <v>2.8537455410225922E-3</v>
      </c>
      <c r="G1907" s="453">
        <f>IF(A1907="SERVIÇO",VLOOKUP(B1907,SERVIÇOS!$A$6:$D$7645,4,0),IF(A1907="INSUMO",VLOOKUP(B1907,INSUMOS!$A$6:$D$6961,4,0),IF(A1907="COTAÇÃO",VLOOKUP(B1907,'036-20-Cotação'!$A$9:$G$529,3,0))))</f>
        <v>29.842199999999998</v>
      </c>
      <c r="H1907" s="463">
        <f t="shared" ref="H1907" si="347">G1907*F1907</f>
        <v>8.5162045184304397E-2</v>
      </c>
      <c r="J1907" s="201"/>
    </row>
    <row r="1908" spans="1:17" s="87" customFormat="1" ht="12.75">
      <c r="A1908" s="232" t="s">
        <v>4542</v>
      </c>
      <c r="B1908" s="464" t="s">
        <v>6602</v>
      </c>
      <c r="C1908" s="451" t="str">
        <f>IF(A1908="SERVIÇO",VLOOKUP(B1908,SERVIÇOS!$A$6:$D$7645,2,0),IF(A1908="INSUMO",VLOOKUP(B1908,INSUMOS!$A$6:$D$6961,2,0),IF(A1908="COTAÇÃO",VLOOKUP(B1908,'036-20-Cotação'!$A$9:$G$529,2,0))))</f>
        <v>SERVENTE</v>
      </c>
      <c r="D1908" s="452" t="str">
        <f>IF(A1908="SERVIÇO",VLOOKUP(B1908,SERVIÇOS!$A$6:$E$7645,5,0),IF(A1908="INSUMO",VLOOKUP(B1908,INSUMOS!$A$6:$E$6961,5,0),IF(A1908="COTAÇÃO",VLOOKUP(B1908,'036-20-Cotação'!$A$9:$H$529,8,0))))</f>
        <v>M.O</v>
      </c>
      <c r="E1908" s="452" t="str">
        <f>IF(A1908="SERVIÇO",VLOOKUP(B1908,SERVIÇOS!$A$6:$D$7645,3,0),IF(A1908="INSUMO",VLOOKUP(B1908,INSUMOS!$A$6:$D$6961,3,0),IF(A1908="COTAÇÃO",VLOOKUP(B1908,'036-20-Cotação'!$A$9:$G$529,4,0))))</f>
        <v>H</v>
      </c>
      <c r="F1908" s="462">
        <f t="shared" si="346"/>
        <v>5.945303210463734E-3</v>
      </c>
      <c r="G1908" s="453">
        <f>IF(A1908="SERVIÇO",VLOOKUP(B1908,SERVIÇOS!$A$6:$D$7645,4,0),IF(A1908="INSUMO",VLOOKUP(B1908,INSUMOS!$A$6:$D$6961,4,0),IF(A1908="COTAÇÃO",VLOOKUP(B1908,'036-20-Cotação'!$A$9:$G$529,3,0))))</f>
        <v>15.637499999999999</v>
      </c>
      <c r="H1908" s="463">
        <f t="shared" si="342"/>
        <v>9.2969678953626636E-2</v>
      </c>
      <c r="J1908" s="201"/>
    </row>
    <row r="1909" spans="1:17" s="87" customFormat="1" ht="12.75">
      <c r="A1909" s="232" t="s">
        <v>4542</v>
      </c>
      <c r="B1909" s="464" t="s">
        <v>13130</v>
      </c>
      <c r="C1909" s="451" t="s">
        <v>13131</v>
      </c>
      <c r="D1909" s="452"/>
      <c r="E1909" s="452"/>
      <c r="F1909" s="462">
        <v>2.24E-2</v>
      </c>
      <c r="G1909" s="453">
        <f>SUM(H1899:H1908)</f>
        <v>3.1046737693222357</v>
      </c>
      <c r="H1909" s="463">
        <f t="shared" si="342"/>
        <v>6.9544692432818078E-2</v>
      </c>
      <c r="J1909" s="201"/>
    </row>
    <row r="1910" spans="1:17" s="87" customFormat="1" ht="12.75">
      <c r="A1910" s="188"/>
      <c r="B1910" s="348" t="s">
        <v>123</v>
      </c>
      <c r="C1910" s="695" t="s">
        <v>13380</v>
      </c>
      <c r="D1910" s="696"/>
      <c r="E1910" s="696"/>
      <c r="F1910" s="696"/>
      <c r="G1910" s="696"/>
      <c r="H1910" s="697"/>
      <c r="J1910" s="201"/>
      <c r="K1910" s="78"/>
      <c r="L1910" s="78"/>
      <c r="M1910" s="78"/>
      <c r="N1910" s="78"/>
      <c r="O1910" s="78"/>
      <c r="P1910" s="78"/>
      <c r="Q1910" s="78"/>
    </row>
    <row r="1911" spans="1:17" s="87" customFormat="1" ht="12.75">
      <c r="A1911" s="188"/>
      <c r="B1911" s="346"/>
      <c r="C1911" s="486"/>
      <c r="D1911" s="486"/>
      <c r="E1911" s="486"/>
      <c r="F1911" s="486"/>
      <c r="G1911" s="486"/>
      <c r="H1911" s="487"/>
      <c r="J1911" s="201"/>
      <c r="K1911" s="78"/>
      <c r="L1911" s="78"/>
      <c r="M1911" s="78"/>
      <c r="N1911" s="78"/>
      <c r="O1911" s="78"/>
      <c r="P1911" s="78"/>
      <c r="Q1911" s="78"/>
    </row>
    <row r="1912" spans="1:17" s="87" customFormat="1" ht="12.75">
      <c r="A1912" s="188"/>
      <c r="B1912" s="80">
        <v>4413905</v>
      </c>
      <c r="C1912" s="81" t="s">
        <v>6691</v>
      </c>
      <c r="D1912" s="82" t="s">
        <v>84</v>
      </c>
      <c r="E1912" s="82" t="s">
        <v>150</v>
      </c>
      <c r="F1912" s="83"/>
      <c r="G1912" s="84"/>
      <c r="H1912" s="85">
        <f>SUM(H1913:H1928)</f>
        <v>2.5890839496646723</v>
      </c>
      <c r="J1912" s="201" t="s">
        <v>13382</v>
      </c>
      <c r="K1912" s="78"/>
      <c r="L1912" s="78"/>
      <c r="M1912" s="78"/>
      <c r="N1912" s="78"/>
      <c r="O1912" s="78"/>
      <c r="P1912" s="78"/>
      <c r="Q1912" s="78"/>
    </row>
    <row r="1913" spans="1:17" s="87" customFormat="1" ht="25.5">
      <c r="A1913" s="232" t="s">
        <v>4542</v>
      </c>
      <c r="B1913" s="464" t="s">
        <v>9465</v>
      </c>
      <c r="C1913" s="451" t="str">
        <f>IF(A1913="SERVIÇO",VLOOKUP(B1913,SERVIÇOS!$A$6:$D$7645,2,0),IF(A1913="INSUMO",VLOOKUP(B1913,INSUMOS!$A$6:$D$6961,2,0),IF(A1913="COTAÇÃO",VLOOKUP(B1913,'036-20-Cotação'!$A$9:$G$529,2,0))))</f>
        <v>CAMINHÃO CARROCERIA COM CAPACIDADE DE 9 T - 136 KW</v>
      </c>
      <c r="D1913" s="452" t="str">
        <f>IF(A1913="SERVIÇO",VLOOKUP(B1913,SERVIÇOS!$A$6:$E$7645,5,0),IF(A1913="INSUMO",VLOOKUP(B1913,INSUMOS!$A$6:$E$6961,5,0),IF(A1913="COTAÇÃO",VLOOKUP(B1913,'036-20-Cotação'!$A$9:$H$529,8,0))))</f>
        <v>EQUIP.</v>
      </c>
      <c r="E1913" s="452" t="str">
        <f>IF(A1913="SERVIÇO",VLOOKUP(B1913,SERVIÇOS!$A$6:$D$7645,3,0),IF(A1913="INSUMO",VLOOKUP(B1913,INSUMOS!$A$6:$D$6961,3,0),IF(A1913="COTAÇÃO",VLOOKUP(B1913,'036-20-Cotação'!$A$9:$G$529,4,0))))</f>
        <v>CHP</v>
      </c>
      <c r="F1913" s="462">
        <f>0.5/415</f>
        <v>1.2048192771084338E-3</v>
      </c>
      <c r="G1913" s="453">
        <f>IF(A1913="SERVIÇO",VLOOKUP(B1913,SERVIÇOS!$A$6:$D$7645,4,0),IF(A1913="INSUMO",VLOOKUP(B1913,INSUMOS!$A$6:$D$6961,4,0),IF(A1913="COTAÇÃO",VLOOKUP(B1913,'036-20-Cotação'!$A$9:$G$529,3,0))))</f>
        <v>108.48480000000001</v>
      </c>
      <c r="H1913" s="463">
        <f t="shared" ref="H1913:H1928" si="348">G1913*F1913</f>
        <v>0.13070457831325302</v>
      </c>
      <c r="J1913" s="201"/>
    </row>
    <row r="1914" spans="1:17" s="87" customFormat="1" ht="25.5">
      <c r="A1914" s="232" t="s">
        <v>4542</v>
      </c>
      <c r="B1914" s="464" t="s">
        <v>9993</v>
      </c>
      <c r="C1914" s="451" t="str">
        <f>IF(A1914="SERVIÇO",VLOOKUP(B1914,SERVIÇOS!$A$6:$D$7645,2,0),IF(A1914="INSUMO",VLOOKUP(B1914,INSUMOS!$A$6:$D$6961,2,0),IF(A1914="COTAÇÃO",VLOOKUP(B1914,'036-20-Cotação'!$A$9:$G$529,2,0))))</f>
        <v>CAMINHÃO CARROCERIA COM CAPACIDADE DE 9 T - 136 KW</v>
      </c>
      <c r="D1914" s="452" t="str">
        <f>IF(A1914="SERVIÇO",VLOOKUP(B1914,SERVIÇOS!$A$6:$E$7645,5,0),IF(A1914="INSUMO",VLOOKUP(B1914,INSUMOS!$A$6:$E$6961,5,0),IF(A1914="COTAÇÃO",VLOOKUP(B1914,'036-20-Cotação'!$A$9:$H$529,8,0))))</f>
        <v>EQUIP.</v>
      </c>
      <c r="E1914" s="452" t="str">
        <f>IF(A1914="SERVIÇO",VLOOKUP(B1914,SERVIÇOS!$A$6:$D$7645,3,0),IF(A1914="INSUMO",VLOOKUP(B1914,INSUMOS!$A$6:$D$6961,3,0),IF(A1914="COTAÇÃO",VLOOKUP(B1914,'036-20-Cotação'!$A$9:$G$529,4,0))))</f>
        <v>CHI</v>
      </c>
      <c r="F1914" s="462">
        <f>0.5/415</f>
        <v>1.2048192771084338E-3</v>
      </c>
      <c r="G1914" s="453">
        <f>IF(A1914="SERVIÇO",VLOOKUP(B1914,SERVIÇOS!$A$6:$D$7645,4,0),IF(A1914="INSUMO",VLOOKUP(B1914,INSUMOS!$A$6:$D$6961,4,0),IF(A1914="COTAÇÃO",VLOOKUP(B1914,'036-20-Cotação'!$A$9:$G$529,3,0))))</f>
        <v>40.193800000000003</v>
      </c>
      <c r="H1914" s="463">
        <f t="shared" ref="H1914" si="349">G1914*F1914</f>
        <v>4.8426265060240975E-2</v>
      </c>
      <c r="J1914" s="201"/>
    </row>
    <row r="1915" spans="1:17" s="87" customFormat="1" ht="25.5">
      <c r="A1915" s="232" t="s">
        <v>4542</v>
      </c>
      <c r="B1915" s="464" t="s">
        <v>9597</v>
      </c>
      <c r="C1915" s="451" t="str">
        <f>IF(A1915="SERVIÇO",VLOOKUP(B1915,SERVIÇOS!$A$6:$D$7645,2,0),IF(A1915="INSUMO",VLOOKUP(B1915,INSUMOS!$A$6:$D$6961,2,0),IF(A1915="COTAÇÃO",VLOOKUP(B1915,'036-20-Cotação'!$A$9:$G$529,2,0))))</f>
        <v>CAMINHÃO PARA HIDROSSEMEADURA COM CAPACIDADE DE 7.000 L - 25 KW/136 KW</v>
      </c>
      <c r="D1915" s="452" t="str">
        <f>IF(A1915="SERVIÇO",VLOOKUP(B1915,SERVIÇOS!$A$6:$E$7645,5,0),IF(A1915="INSUMO",VLOOKUP(B1915,INSUMOS!$A$6:$E$6961,5,0),IF(A1915="COTAÇÃO",VLOOKUP(B1915,'036-20-Cotação'!$A$9:$H$529,8,0))))</f>
        <v>EQUIP.</v>
      </c>
      <c r="E1915" s="452" t="str">
        <f>IF(A1915="SERVIÇO",VLOOKUP(B1915,SERVIÇOS!$A$6:$D$7645,3,0),IF(A1915="INSUMO",VLOOKUP(B1915,INSUMOS!$A$6:$D$6961,3,0),IF(A1915="COTAÇÃO",VLOOKUP(B1915,'036-20-Cotação'!$A$9:$G$529,4,0))))</f>
        <v>CHP</v>
      </c>
      <c r="F1915" s="462">
        <f>1/415</f>
        <v>2.4096385542168677E-3</v>
      </c>
      <c r="G1915" s="453">
        <f>IF(A1915="SERVIÇO",VLOOKUP(B1915,SERVIÇOS!$A$6:$D$7645,4,0),IF(A1915="INSUMO",VLOOKUP(B1915,INSUMOS!$A$6:$D$6961,4,0),IF(A1915="COTAÇÃO",VLOOKUP(B1915,'036-20-Cotação'!$A$9:$G$529,3,0))))</f>
        <v>204.52590000000001</v>
      </c>
      <c r="H1915" s="463">
        <f t="shared" si="348"/>
        <v>0.4928334939759037</v>
      </c>
      <c r="J1915" s="201"/>
    </row>
    <row r="1916" spans="1:17" s="87" customFormat="1" ht="12.75">
      <c r="A1916" s="232" t="s">
        <v>4542</v>
      </c>
      <c r="B1916" s="464" t="s">
        <v>6602</v>
      </c>
      <c r="C1916" s="451" t="str">
        <f>IF(A1916="SERVIÇO",VLOOKUP(B1916,SERVIÇOS!$A$6:$D$7645,2,0),IF(A1916="INSUMO",VLOOKUP(B1916,INSUMOS!$A$6:$D$6961,2,0),IF(A1916="COTAÇÃO",VLOOKUP(B1916,'036-20-Cotação'!$A$9:$G$529,2,0))))</f>
        <v>SERVENTE</v>
      </c>
      <c r="D1916" s="452" t="str">
        <f>IF(A1916="SERVIÇO",VLOOKUP(B1916,SERVIÇOS!$A$6:$E$7645,5,0),IF(A1916="INSUMO",VLOOKUP(B1916,INSUMOS!$A$6:$E$6961,5,0),IF(A1916="COTAÇÃO",VLOOKUP(B1916,'036-20-Cotação'!$A$9:$H$529,8,0))))</f>
        <v>M.O</v>
      </c>
      <c r="E1916" s="452" t="str">
        <f>IF(A1916="SERVIÇO",VLOOKUP(B1916,SERVIÇOS!$A$6:$D$7645,3,0),IF(A1916="INSUMO",VLOOKUP(B1916,INSUMOS!$A$6:$D$6961,3,0),IF(A1916="COTAÇÃO",VLOOKUP(B1916,'036-20-Cotação'!$A$9:$G$529,4,0))))</f>
        <v>H</v>
      </c>
      <c r="F1916" s="462">
        <f>8/415</f>
        <v>1.9277108433734941E-2</v>
      </c>
      <c r="G1916" s="453">
        <f>IF(A1916="SERVIÇO",VLOOKUP(B1916,SERVIÇOS!$A$6:$D$7645,4,0),IF(A1916="INSUMO",VLOOKUP(B1916,INSUMOS!$A$6:$D$6961,4,0),IF(A1916="COTAÇÃO",VLOOKUP(B1916,'036-20-Cotação'!$A$9:$G$529,3,0))))</f>
        <v>15.637499999999999</v>
      </c>
      <c r="H1916" s="463">
        <f t="shared" si="348"/>
        <v>0.30144578313253012</v>
      </c>
      <c r="J1916" s="201"/>
    </row>
    <row r="1917" spans="1:17" s="87" customFormat="1" ht="25.5">
      <c r="A1917" s="232" t="s">
        <v>4544</v>
      </c>
      <c r="B1917" s="464" t="s">
        <v>10132</v>
      </c>
      <c r="C1917" s="451" t="str">
        <f>IF(A1917="SERVIÇO",VLOOKUP(B1917,SERVIÇOS!$A$6:$D$7645,2,0),IF(A1917="INSUMO",VLOOKUP(B1917,INSUMOS!$A$6:$D$6961,2,0),IF(A1917="COTAÇÃO",VLOOKUP(B1917,'036-20-Cotação'!$A$9:$G$529,2,0))))</f>
        <v>ADESIVO FIXADOR PARA HIDROSSEMEADURA - GOMA XANTANA</v>
      </c>
      <c r="D1917" s="452" t="str">
        <f>IF(A1917="SERVIÇO",VLOOKUP(B1917,SERVIÇOS!$A$6:$E$7645,5,0),IF(A1917="INSUMO",VLOOKUP(B1917,INSUMOS!$A$6:$E$6961,5,0),IF(A1917="COTAÇÃO",VLOOKUP(B1917,'036-20-Cotação'!$A$9:$H$529,8,0))))</f>
        <v>MAT.</v>
      </c>
      <c r="E1917" s="452" t="str">
        <f>IF(A1917="SERVIÇO",VLOOKUP(B1917,SERVIÇOS!$A$6:$D$7645,3,0),IF(A1917="INSUMO",VLOOKUP(B1917,INSUMOS!$A$6:$D$6961,3,0),IF(A1917="COTAÇÃO",VLOOKUP(B1917,'036-20-Cotação'!$A$9:$G$529,4,0))))</f>
        <v>KG</v>
      </c>
      <c r="F1917" s="462">
        <v>2.8000000000000001E-2</v>
      </c>
      <c r="G1917" s="453">
        <f>IF(A1917="SERVIÇO",VLOOKUP(B1917,SERVIÇOS!$A$6:$D$7645,4,0),IF(A1917="INSUMO",VLOOKUP(B1917,INSUMOS!$A$6:$D$6961,4,0),IF(A1917="COTAÇÃO",VLOOKUP(B1917,'036-20-Cotação'!$A$9:$G$529,3,0))))</f>
        <v>28.3828</v>
      </c>
      <c r="H1917" s="463">
        <f t="shared" si="348"/>
        <v>0.79471840000000005</v>
      </c>
      <c r="J1917" s="201"/>
    </row>
    <row r="1918" spans="1:17" s="87" customFormat="1" ht="12.75">
      <c r="A1918" s="232" t="s">
        <v>4544</v>
      </c>
      <c r="B1918" s="464" t="s">
        <v>10370</v>
      </c>
      <c r="C1918" s="451" t="str">
        <f>IF(A1918="SERVIÇO",VLOOKUP(B1918,SERVIÇOS!$A$6:$D$7645,2,0),IF(A1918="INSUMO",VLOOKUP(B1918,INSUMOS!$A$6:$D$6961,2,0),IF(A1918="COTAÇÃO",VLOOKUP(B1918,'036-20-Cotação'!$A$9:$G$529,2,0))))</f>
        <v>ADUBO FÓSFORO (30%)</v>
      </c>
      <c r="D1918" s="452" t="str">
        <f>IF(A1918="SERVIÇO",VLOOKUP(B1918,SERVIÇOS!$A$6:$E$7645,5,0),IF(A1918="INSUMO",VLOOKUP(B1918,INSUMOS!$A$6:$E$6961,5,0),IF(A1918="COTAÇÃO",VLOOKUP(B1918,'036-20-Cotação'!$A$9:$H$529,8,0))))</f>
        <v>MAT.</v>
      </c>
      <c r="E1918" s="452" t="str">
        <f>IF(A1918="SERVIÇO",VLOOKUP(B1918,SERVIÇOS!$A$6:$D$7645,3,0),IF(A1918="INSUMO",VLOOKUP(B1918,INSUMOS!$A$6:$D$6961,3,0),IF(A1918="COTAÇÃO",VLOOKUP(B1918,'036-20-Cotação'!$A$9:$G$529,4,0))))</f>
        <v>KG</v>
      </c>
      <c r="F1918" s="462">
        <v>5.0000000000000001E-3</v>
      </c>
      <c r="G1918" s="453">
        <f>IF(A1918="SERVIÇO",VLOOKUP(B1918,SERVIÇOS!$A$6:$D$7645,4,0),IF(A1918="INSUMO",VLOOKUP(B1918,INSUMOS!$A$6:$D$6961,4,0),IF(A1918="COTAÇÃO",VLOOKUP(B1918,'036-20-Cotação'!$A$9:$G$529,3,0))))</f>
        <v>1.0813999999999999</v>
      </c>
      <c r="H1918" s="463">
        <f t="shared" si="348"/>
        <v>5.4069999999999995E-3</v>
      </c>
      <c r="J1918" s="201"/>
    </row>
    <row r="1919" spans="1:17" s="87" customFormat="1" ht="12.75">
      <c r="A1919" s="232" t="s">
        <v>4544</v>
      </c>
      <c r="B1919" s="464" t="s">
        <v>10374</v>
      </c>
      <c r="C1919" s="451" t="str">
        <f>IF(A1919="SERVIÇO",VLOOKUP(B1919,SERVIÇOS!$A$6:$D$7645,2,0),IF(A1919="INSUMO",VLOOKUP(B1919,INSUMOS!$A$6:$D$6961,2,0),IF(A1919="COTAÇÃO",VLOOKUP(B1919,'036-20-Cotação'!$A$9:$G$529,2,0))))</f>
        <v>ADUBO NPK</v>
      </c>
      <c r="D1919" s="452" t="str">
        <f>IF(A1919="SERVIÇO",VLOOKUP(B1919,SERVIÇOS!$A$6:$E$7645,5,0),IF(A1919="INSUMO",VLOOKUP(B1919,INSUMOS!$A$6:$E$6961,5,0),IF(A1919="COTAÇÃO",VLOOKUP(B1919,'036-20-Cotação'!$A$9:$H$529,8,0))))</f>
        <v>MAT.</v>
      </c>
      <c r="E1919" s="452" t="str">
        <f>IF(A1919="SERVIÇO",VLOOKUP(B1919,SERVIÇOS!$A$6:$D$7645,3,0),IF(A1919="INSUMO",VLOOKUP(B1919,INSUMOS!$A$6:$D$6961,3,0),IF(A1919="COTAÇÃO",VLOOKUP(B1919,'036-20-Cotação'!$A$9:$G$529,4,0))))</f>
        <v>KG</v>
      </c>
      <c r="F1919" s="462">
        <v>0.02</v>
      </c>
      <c r="G1919" s="453">
        <f>IF(A1919="SERVIÇO",VLOOKUP(B1919,SERVIÇOS!$A$6:$D$7645,4,0),IF(A1919="INSUMO",VLOOKUP(B1919,INSUMOS!$A$6:$D$6961,4,0),IF(A1919="COTAÇÃO",VLOOKUP(B1919,'036-20-Cotação'!$A$9:$G$529,3,0))))</f>
        <v>1.3085</v>
      </c>
      <c r="H1919" s="463">
        <f t="shared" si="348"/>
        <v>2.6169999999999999E-2</v>
      </c>
      <c r="J1919" s="201"/>
    </row>
    <row r="1920" spans="1:17" s="87" customFormat="1" ht="12.75">
      <c r="A1920" s="232" t="s">
        <v>4544</v>
      </c>
      <c r="B1920" s="464" t="s">
        <v>10382</v>
      </c>
      <c r="C1920" s="451" t="str">
        <f>IF(A1920="SERVIÇO",VLOOKUP(B1920,SERVIÇOS!$A$6:$D$7645,2,0),IF(A1920="INSUMO",VLOOKUP(B1920,INSUMOS!$A$6:$D$6961,2,0),IF(A1920="COTAÇÃO",VLOOKUP(B1920,'036-20-Cotação'!$A$9:$G$529,2,0))))</f>
        <v>ADUBO ORGÂNICO</v>
      </c>
      <c r="D1920" s="452" t="str">
        <f>IF(A1920="SERVIÇO",VLOOKUP(B1920,SERVIÇOS!$A$6:$E$7645,5,0),IF(A1920="INSUMO",VLOOKUP(B1920,INSUMOS!$A$6:$E$6961,5,0),IF(A1920="COTAÇÃO",VLOOKUP(B1920,'036-20-Cotação'!$A$9:$H$529,8,0))))</f>
        <v>MAT.</v>
      </c>
      <c r="E1920" s="452" t="str">
        <f>IF(A1920="SERVIÇO",VLOOKUP(B1920,SERVIÇOS!$A$6:$D$7645,3,0),IF(A1920="INSUMO",VLOOKUP(B1920,INSUMOS!$A$6:$D$6961,3,0),IF(A1920="COTAÇÃO",VLOOKUP(B1920,'036-20-Cotação'!$A$9:$G$529,4,0))))</f>
        <v>KG</v>
      </c>
      <c r="F1920" s="462">
        <v>0.2</v>
      </c>
      <c r="G1920" s="453">
        <f>IF(A1920="SERVIÇO",VLOOKUP(B1920,SERVIÇOS!$A$6:$D$7645,4,0),IF(A1920="INSUMO",VLOOKUP(B1920,INSUMOS!$A$6:$D$6961,4,0),IF(A1920="COTAÇÃO",VLOOKUP(B1920,'036-20-Cotação'!$A$9:$G$529,3,0))))</f>
        <v>0.17430000000000001</v>
      </c>
      <c r="H1920" s="463">
        <f t="shared" si="348"/>
        <v>3.4860000000000002E-2</v>
      </c>
      <c r="J1920" s="201"/>
    </row>
    <row r="1921" spans="1:17" s="87" customFormat="1" ht="12.75">
      <c r="A1921" s="232" t="s">
        <v>4544</v>
      </c>
      <c r="B1921" s="464" t="s">
        <v>10372</v>
      </c>
      <c r="C1921" s="451" t="str">
        <f>IF(A1921="SERVIÇO",VLOOKUP(B1921,SERVIÇOS!$A$6:$D$7645,2,0),IF(A1921="INSUMO",VLOOKUP(B1921,INSUMOS!$A$6:$D$6961,2,0),IF(A1921="COTAÇÃO",VLOOKUP(B1921,'036-20-Cotação'!$A$9:$G$529,2,0))))</f>
        <v>ADUBO POTÁSSIO</v>
      </c>
      <c r="D1921" s="452" t="str">
        <f>IF(A1921="SERVIÇO",VLOOKUP(B1921,SERVIÇOS!$A$6:$E$7645,5,0),IF(A1921="INSUMO",VLOOKUP(B1921,INSUMOS!$A$6:$E$6961,5,0),IF(A1921="COTAÇÃO",VLOOKUP(B1921,'036-20-Cotação'!$A$9:$H$529,8,0))))</f>
        <v>MAT.</v>
      </c>
      <c r="E1921" s="452" t="str">
        <f>IF(A1921="SERVIÇO",VLOOKUP(B1921,SERVIÇOS!$A$6:$D$7645,3,0),IF(A1921="INSUMO",VLOOKUP(B1921,INSUMOS!$A$6:$D$6961,3,0),IF(A1921="COTAÇÃO",VLOOKUP(B1921,'036-20-Cotação'!$A$9:$G$529,4,0))))</f>
        <v>KG</v>
      </c>
      <c r="F1921" s="462">
        <v>2.5000000000000001E-2</v>
      </c>
      <c r="G1921" s="453">
        <f>IF(A1921="SERVIÇO",VLOOKUP(B1921,SERVIÇOS!$A$6:$D$7645,4,0),IF(A1921="INSUMO",VLOOKUP(B1921,INSUMOS!$A$6:$D$6961,4,0),IF(A1921="COTAÇÃO",VLOOKUP(B1921,'036-20-Cotação'!$A$9:$G$529,3,0))))</f>
        <v>1.5640000000000001</v>
      </c>
      <c r="H1921" s="463">
        <f t="shared" si="348"/>
        <v>3.9100000000000003E-2</v>
      </c>
      <c r="J1921" s="201"/>
    </row>
    <row r="1922" spans="1:17" s="87" customFormat="1" ht="12.75">
      <c r="A1922" s="232" t="s">
        <v>4544</v>
      </c>
      <c r="B1922" s="464" t="s">
        <v>10368</v>
      </c>
      <c r="C1922" s="451" t="str">
        <f>IF(A1922="SERVIÇO",VLOOKUP(B1922,SERVIÇOS!$A$6:$D$7645,2,0),IF(A1922="INSUMO",VLOOKUP(B1922,INSUMOS!$A$6:$D$6961,2,0),IF(A1922="COTAÇÃO",VLOOKUP(B1922,'036-20-Cotação'!$A$9:$G$529,2,0))))</f>
        <v>ENXOFRE</v>
      </c>
      <c r="D1922" s="452" t="str">
        <f>IF(A1922="SERVIÇO",VLOOKUP(B1922,SERVIÇOS!$A$6:$E$7645,5,0),IF(A1922="INSUMO",VLOOKUP(B1922,INSUMOS!$A$6:$E$6961,5,0),IF(A1922="COTAÇÃO",VLOOKUP(B1922,'036-20-Cotação'!$A$9:$H$529,8,0))))</f>
        <v>MAT.</v>
      </c>
      <c r="E1922" s="452" t="str">
        <f>IF(A1922="SERVIÇO",VLOOKUP(B1922,SERVIÇOS!$A$6:$D$7645,3,0),IF(A1922="INSUMO",VLOOKUP(B1922,INSUMOS!$A$6:$D$6961,3,0),IF(A1922="COTAÇÃO",VLOOKUP(B1922,'036-20-Cotação'!$A$9:$G$529,4,0))))</f>
        <v>KG</v>
      </c>
      <c r="F1922" s="462">
        <v>3.0000000000000001E-3</v>
      </c>
      <c r="G1922" s="453">
        <f>IF(A1922="SERVIÇO",VLOOKUP(B1922,SERVIÇOS!$A$6:$D$7645,4,0),IF(A1922="INSUMO",VLOOKUP(B1922,INSUMOS!$A$6:$D$6961,4,0),IF(A1922="COTAÇÃO",VLOOKUP(B1922,'036-20-Cotação'!$A$9:$G$529,3,0))))</f>
        <v>1.5811999999999999</v>
      </c>
      <c r="H1922" s="463">
        <f t="shared" si="348"/>
        <v>4.7435999999999997E-3</v>
      </c>
      <c r="J1922" s="201"/>
    </row>
    <row r="1923" spans="1:17" s="87" customFormat="1" ht="25.5">
      <c r="A1923" s="232" t="s">
        <v>4544</v>
      </c>
      <c r="B1923" s="464" t="s">
        <v>11174</v>
      </c>
      <c r="C1923" s="451" t="str">
        <f>IF(A1923="SERVIÇO",VLOOKUP(B1923,SERVIÇOS!$A$6:$D$7645,2,0),IF(A1923="INSUMO",VLOOKUP(B1923,INSUMOS!$A$6:$D$6961,2,0),IF(A1923="COTAÇÃO",VLOOKUP(B1923,'036-20-Cotação'!$A$9:$G$529,2,0))))</f>
        <v>MATERIAL FORMADOR DA CAMADA PROTETORA DE HIDROSSEMEADURA</v>
      </c>
      <c r="D1923" s="452" t="str">
        <f>IF(A1923="SERVIÇO",VLOOKUP(B1923,SERVIÇOS!$A$6:$E$7645,5,0),IF(A1923="INSUMO",VLOOKUP(B1923,INSUMOS!$A$6:$E$6961,5,0),IF(A1923="COTAÇÃO",VLOOKUP(B1923,'036-20-Cotação'!$A$9:$H$529,8,0))))</f>
        <v>MAT.</v>
      </c>
      <c r="E1923" s="452" t="str">
        <f>IF(A1923="SERVIÇO",VLOOKUP(B1923,SERVIÇOS!$A$6:$D$7645,3,0),IF(A1923="INSUMO",VLOOKUP(B1923,INSUMOS!$A$6:$D$6961,3,0),IF(A1923="COTAÇÃO",VLOOKUP(B1923,'036-20-Cotação'!$A$9:$G$529,4,0))))</f>
        <v>KG</v>
      </c>
      <c r="F1923" s="462">
        <v>0.3</v>
      </c>
      <c r="G1923" s="453">
        <f>IF(A1923="SERVIÇO",VLOOKUP(B1923,SERVIÇOS!$A$6:$D$7645,4,0),IF(A1923="INSUMO",VLOOKUP(B1923,INSUMOS!$A$6:$D$6961,4,0),IF(A1923="COTAÇÃO",VLOOKUP(B1923,'036-20-Cotação'!$A$9:$G$529,3,0))))</f>
        <v>0.87970000000000004</v>
      </c>
      <c r="H1923" s="463">
        <f t="shared" si="348"/>
        <v>0.26390999999999998</v>
      </c>
      <c r="J1923" s="201"/>
    </row>
    <row r="1924" spans="1:17" s="87" customFormat="1" ht="12.75">
      <c r="A1924" s="232" t="s">
        <v>4544</v>
      </c>
      <c r="B1924" s="464" t="s">
        <v>11172</v>
      </c>
      <c r="C1924" s="451" t="str">
        <f>IF(A1924="SERVIÇO",VLOOKUP(B1924,SERVIÇOS!$A$6:$D$7645,2,0),IF(A1924="INSUMO",VLOOKUP(B1924,INSUMOS!$A$6:$D$6961,2,0),IF(A1924="COTAÇÃO",VLOOKUP(B1924,'036-20-Cotação'!$A$9:$G$529,2,0))))</f>
        <v>PÓ CALCÁRIO</v>
      </c>
      <c r="D1924" s="452" t="str">
        <f>IF(A1924="SERVIÇO",VLOOKUP(B1924,SERVIÇOS!$A$6:$E$7645,5,0),IF(A1924="INSUMO",VLOOKUP(B1924,INSUMOS!$A$6:$E$6961,5,0),IF(A1924="COTAÇÃO",VLOOKUP(B1924,'036-20-Cotação'!$A$9:$H$529,8,0))))</f>
        <v>MAT.</v>
      </c>
      <c r="E1924" s="452" t="str">
        <f>IF(A1924="SERVIÇO",VLOOKUP(B1924,SERVIÇOS!$A$6:$D$7645,3,0),IF(A1924="INSUMO",VLOOKUP(B1924,INSUMOS!$A$6:$D$6961,3,0),IF(A1924="COTAÇÃO",VLOOKUP(B1924,'036-20-Cotação'!$A$9:$G$529,4,0))))</f>
        <v>KG</v>
      </c>
      <c r="F1924" s="462">
        <v>0.125</v>
      </c>
      <c r="G1924" s="453">
        <f>IF(A1924="SERVIÇO",VLOOKUP(B1924,SERVIÇOS!$A$6:$D$7645,4,0),IF(A1924="INSUMO",VLOOKUP(B1924,INSUMOS!$A$6:$D$6961,4,0),IF(A1924="COTAÇÃO",VLOOKUP(B1924,'036-20-Cotação'!$A$9:$G$529,3,0))))</f>
        <v>0.17</v>
      </c>
      <c r="H1924" s="463">
        <f t="shared" ref="H1924" si="350">G1924*F1924</f>
        <v>2.1250000000000002E-2</v>
      </c>
      <c r="J1924" s="201"/>
    </row>
    <row r="1925" spans="1:17" s="87" customFormat="1" ht="12.75">
      <c r="A1925" s="232" t="s">
        <v>4544</v>
      </c>
      <c r="B1925" s="464" t="s">
        <v>10378</v>
      </c>
      <c r="C1925" s="451" t="str">
        <f>IF(A1925="SERVIÇO",VLOOKUP(B1925,SERVIÇOS!$A$6:$D$7645,2,0),IF(A1925="INSUMO",VLOOKUP(B1925,INSUMOS!$A$6:$D$6961,2,0),IF(A1925="COTAÇÃO",VLOOKUP(B1925,'036-20-Cotação'!$A$9:$G$529,2,0))))</f>
        <v>SEMENTES PARA HIDROSSEMEADURA</v>
      </c>
      <c r="D1925" s="452" t="str">
        <f>IF(A1925="SERVIÇO",VLOOKUP(B1925,SERVIÇOS!$A$6:$E$7645,5,0),IF(A1925="INSUMO",VLOOKUP(B1925,INSUMOS!$A$6:$E$6961,5,0),IF(A1925="COTAÇÃO",VLOOKUP(B1925,'036-20-Cotação'!$A$9:$H$529,8,0))))</f>
        <v>MAT.</v>
      </c>
      <c r="E1925" s="452" t="str">
        <f>IF(A1925="SERVIÇO",VLOOKUP(B1925,SERVIÇOS!$A$6:$D$7645,3,0),IF(A1925="INSUMO",VLOOKUP(B1925,INSUMOS!$A$6:$D$6961,3,0),IF(A1925="COTAÇÃO",VLOOKUP(B1925,'036-20-Cotação'!$A$9:$G$529,4,0))))</f>
        <v>KG</v>
      </c>
      <c r="F1925" s="462">
        <v>2.5000000000000001E-2</v>
      </c>
      <c r="G1925" s="453">
        <f>IF(A1925="SERVIÇO",VLOOKUP(B1925,SERVIÇOS!$A$6:$D$7645,4,0),IF(A1925="INSUMO",VLOOKUP(B1925,INSUMOS!$A$6:$D$6961,4,0),IF(A1925="COTAÇÃO",VLOOKUP(B1925,'036-20-Cotação'!$A$9:$G$529,3,0))))</f>
        <v>16.5</v>
      </c>
      <c r="H1925" s="463">
        <f t="shared" si="348"/>
        <v>0.41250000000000003</v>
      </c>
      <c r="J1925" s="201"/>
    </row>
    <row r="1926" spans="1:17" s="87" customFormat="1" ht="25.5">
      <c r="A1926" s="232" t="s">
        <v>4542</v>
      </c>
      <c r="B1926" s="464" t="s">
        <v>13278</v>
      </c>
      <c r="C1926" s="451" t="str">
        <f>'036-20-CCA''s'!$C$372</f>
        <v>TEMPO FIXO - CAMINHÃO CARROCERIA 9 T - CARGA MONOBRA E DESCARGA MANUAL</v>
      </c>
      <c r="D1926" s="452" t="str">
        <f>'036-20-CCA''s'!$D$372</f>
        <v>SER.CG</v>
      </c>
      <c r="E1926" s="452" t="str">
        <f>'036-20-CCA''s'!$E$372</f>
        <v>T</v>
      </c>
      <c r="F1926" s="462">
        <f>0.00003+0.00001+0.00002+0.0002+0.00003+0.0003</f>
        <v>5.9000000000000003E-4</v>
      </c>
      <c r="G1926" s="453">
        <f>'036-20-CCA''s'!$H$372</f>
        <v>17.455547886108718</v>
      </c>
      <c r="H1926" s="463">
        <f t="shared" ref="H1926" si="351">G1926*F1926</f>
        <v>1.0298773252804145E-2</v>
      </c>
      <c r="J1926" s="201"/>
    </row>
    <row r="1927" spans="1:17" s="87" customFormat="1" ht="25.5">
      <c r="A1927" s="232" t="s">
        <v>4542</v>
      </c>
      <c r="B1927" s="464" t="s">
        <v>13205</v>
      </c>
      <c r="C1927" s="451" t="str">
        <f>'036-20-CCA''s'!$C$276</f>
        <v>TEMPO FIXO - CAMINHÃO CARROCERIA 5 T - CARGA E DESCARGA MANUAIS</v>
      </c>
      <c r="D1927" s="452" t="str">
        <f>'036-20-CCA''s'!$D$276</f>
        <v>SER.CG</v>
      </c>
      <c r="E1927" s="452" t="str">
        <f>'036-20-CCA''s'!$E$276</f>
        <v>T</v>
      </c>
      <c r="F1927" s="462">
        <v>1.2999999999999999E-4</v>
      </c>
      <c r="G1927" s="453">
        <f>'036-20-CCA''s'!$H$276</f>
        <v>16.063762057877813</v>
      </c>
      <c r="H1927" s="463">
        <f t="shared" si="348"/>
        <v>2.0882890675241158E-3</v>
      </c>
      <c r="J1927" s="201"/>
    </row>
    <row r="1928" spans="1:17" s="87" customFormat="1" ht="25.5">
      <c r="A1928" s="232" t="s">
        <v>4542</v>
      </c>
      <c r="B1928" s="464" t="s">
        <v>13206</v>
      </c>
      <c r="C1928" s="451" t="str">
        <f>'036-20-CCA''s'!$C$281</f>
        <v>TEMPO FIXO - CAMINHÃO CARROCERIA 15 T - CARGA E DESCARGA MANUAIS</v>
      </c>
      <c r="D1928" s="452" t="str">
        <f>'036-20-CCA''s'!$D$281</f>
        <v>SER.CG</v>
      </c>
      <c r="E1928" s="452" t="str">
        <f>'036-20-CCA''s'!$E$281</f>
        <v>T</v>
      </c>
      <c r="F1928" s="462">
        <v>3.0000000000000001E-5</v>
      </c>
      <c r="G1928" s="453">
        <f>'036-20-CCA''s'!$H$281</f>
        <v>20.925562080536913</v>
      </c>
      <c r="H1928" s="463">
        <f t="shared" si="348"/>
        <v>6.2776686241610737E-4</v>
      </c>
      <c r="J1928" s="201"/>
    </row>
    <row r="1929" spans="1:17" s="87" customFormat="1" ht="12.75">
      <c r="A1929" s="188"/>
      <c r="B1929" s="348" t="s">
        <v>123</v>
      </c>
      <c r="C1929" s="695" t="s">
        <v>13383</v>
      </c>
      <c r="D1929" s="696"/>
      <c r="E1929" s="696"/>
      <c r="F1929" s="696"/>
      <c r="G1929" s="696"/>
      <c r="H1929" s="697"/>
      <c r="J1929" s="201"/>
      <c r="K1929" s="78"/>
      <c r="L1929" s="78"/>
      <c r="M1929" s="78"/>
      <c r="N1929" s="78"/>
      <c r="O1929" s="78"/>
      <c r="P1929" s="78"/>
      <c r="Q1929" s="78"/>
    </row>
    <row r="1930" spans="1:17" s="87" customFormat="1" ht="12.75">
      <c r="A1930" s="188"/>
      <c r="B1930" s="346"/>
      <c r="C1930" s="486"/>
      <c r="D1930" s="486"/>
      <c r="E1930" s="486"/>
      <c r="F1930" s="486"/>
      <c r="G1930" s="486"/>
      <c r="H1930" s="487"/>
      <c r="J1930" s="201"/>
      <c r="K1930" s="78"/>
      <c r="L1930" s="78"/>
      <c r="M1930" s="78"/>
      <c r="N1930" s="78"/>
      <c r="O1930" s="78"/>
      <c r="P1930" s="78"/>
      <c r="Q1930" s="78"/>
    </row>
    <row r="1931" spans="1:17" s="87" customFormat="1" ht="25.5">
      <c r="A1931" s="188"/>
      <c r="B1931" s="80">
        <v>4915684</v>
      </c>
      <c r="C1931" s="81" t="s">
        <v>6692</v>
      </c>
      <c r="D1931" s="82" t="s">
        <v>84</v>
      </c>
      <c r="E1931" s="82" t="s">
        <v>150</v>
      </c>
      <c r="F1931" s="83"/>
      <c r="G1931" s="84"/>
      <c r="H1931" s="85">
        <f>SUM(H1932:H1937)</f>
        <v>8.0011771673311891</v>
      </c>
      <c r="J1931" s="201" t="s">
        <v>13385</v>
      </c>
      <c r="K1931" s="78"/>
      <c r="L1931" s="78"/>
      <c r="M1931" s="78"/>
      <c r="N1931" s="78"/>
      <c r="O1931" s="78"/>
      <c r="P1931" s="78"/>
      <c r="Q1931" s="78"/>
    </row>
    <row r="1932" spans="1:17" s="87" customFormat="1" ht="25.5">
      <c r="A1932" s="232" t="s">
        <v>4542</v>
      </c>
      <c r="B1932" s="464" t="s">
        <v>9508</v>
      </c>
      <c r="C1932" s="451" t="str">
        <f>IF(A1932="SERVIÇO",VLOOKUP(B1932,SERVIÇOS!$A$6:$D$7645,2,0),IF(A1932="INSUMO",VLOOKUP(B1932,INSUMOS!$A$6:$D$6961,2,0),IF(A1932="COTAÇÃO",VLOOKUP(B1932,'036-20-Cotação'!$A$9:$G$529,2,0))))</f>
        <v>CAMINHÃO TANQUE COM CAPACIDADE DE 6.000 L - 136 KW</v>
      </c>
      <c r="D1932" s="452" t="str">
        <f>IF(A1932="SERVIÇO",VLOOKUP(B1932,SERVIÇOS!$A$6:$E$7645,5,0),IF(A1932="INSUMO",VLOOKUP(B1932,INSUMOS!$A$6:$E$6961,5,0),IF(A1932="COTAÇÃO",VLOOKUP(B1932,'036-20-Cotação'!$A$9:$H$529,8,0))))</f>
        <v>EQUIP.</v>
      </c>
      <c r="E1932" s="452" t="str">
        <f>IF(A1932="SERVIÇO",VLOOKUP(B1932,SERVIÇOS!$A$6:$D$7645,3,0),IF(A1932="INSUMO",VLOOKUP(B1932,INSUMOS!$A$6:$D$6961,3,0),IF(A1932="COTAÇÃO",VLOOKUP(B1932,'036-20-Cotação'!$A$9:$G$529,4,0))))</f>
        <v>CHP</v>
      </c>
      <c r="F1932" s="462">
        <f>0.31/25</f>
        <v>1.24E-2</v>
      </c>
      <c r="G1932" s="453">
        <f>IF(A1932="SERVIÇO",VLOOKUP(B1932,SERVIÇOS!$A$6:$D$7645,4,0),IF(A1932="INSUMO",VLOOKUP(B1932,INSUMOS!$A$6:$D$6961,4,0),IF(A1932="COTAÇÃO",VLOOKUP(B1932,'036-20-Cotação'!$A$9:$G$529,3,0))))</f>
        <v>154.3477</v>
      </c>
      <c r="H1932" s="463">
        <f t="shared" ref="H1932:H1937" si="352">G1932*F1932</f>
        <v>1.9139114799999999</v>
      </c>
      <c r="J1932" s="201"/>
    </row>
    <row r="1933" spans="1:17" s="87" customFormat="1" ht="25.5">
      <c r="A1933" s="232" t="s">
        <v>4542</v>
      </c>
      <c r="B1933" s="464" t="s">
        <v>10017</v>
      </c>
      <c r="C1933" s="451" t="str">
        <f>IF(A1933="SERVIÇO",VLOOKUP(B1933,SERVIÇOS!$A$6:$D$7645,2,0),IF(A1933="INSUMO",VLOOKUP(B1933,INSUMOS!$A$6:$D$6961,2,0),IF(A1933="COTAÇÃO",VLOOKUP(B1933,'036-20-Cotação'!$A$9:$G$529,2,0))))</f>
        <v>CAMINHÃO TANQUE COM CAPACIDADE DE 6.000 L - 136 KW</v>
      </c>
      <c r="D1933" s="452" t="str">
        <f>IF(A1933="SERVIÇO",VLOOKUP(B1933,SERVIÇOS!$A$6:$E$7645,5,0),IF(A1933="INSUMO",VLOOKUP(B1933,INSUMOS!$A$6:$E$6961,5,0),IF(A1933="COTAÇÃO",VLOOKUP(B1933,'036-20-Cotação'!$A$9:$H$529,8,0))))</f>
        <v>EQUIP.</v>
      </c>
      <c r="E1933" s="452" t="str">
        <f>IF(A1933="SERVIÇO",VLOOKUP(B1933,SERVIÇOS!$A$6:$D$7645,3,0),IF(A1933="INSUMO",VLOOKUP(B1933,INSUMOS!$A$6:$D$6961,3,0),IF(A1933="COTAÇÃO",VLOOKUP(B1933,'036-20-Cotação'!$A$9:$G$529,4,0))))</f>
        <v>CHI</v>
      </c>
      <c r="F1933" s="462">
        <f>0.69/25</f>
        <v>2.76E-2</v>
      </c>
      <c r="G1933" s="453">
        <f>IF(A1933="SERVIÇO",VLOOKUP(B1933,SERVIÇOS!$A$6:$D$7645,4,0),IF(A1933="INSUMO",VLOOKUP(B1933,INSUMOS!$A$6:$D$6961,4,0),IF(A1933="COTAÇÃO",VLOOKUP(B1933,'036-20-Cotação'!$A$9:$G$529,3,0))))</f>
        <v>41.9666</v>
      </c>
      <c r="H1933" s="463">
        <f t="shared" si="352"/>
        <v>1.1582781600000001</v>
      </c>
      <c r="J1933" s="201"/>
    </row>
    <row r="1934" spans="1:17" s="87" customFormat="1" ht="12.75">
      <c r="A1934" s="232" t="s">
        <v>4542</v>
      </c>
      <c r="B1934" s="464" t="s">
        <v>6602</v>
      </c>
      <c r="C1934" s="451" t="str">
        <f>IF(A1934="SERVIÇO",VLOOKUP(B1934,SERVIÇOS!$A$6:$D$7645,2,0),IF(A1934="INSUMO",VLOOKUP(B1934,INSUMOS!$A$6:$D$6961,2,0),IF(A1934="COTAÇÃO",VLOOKUP(B1934,'036-20-Cotação'!$A$9:$G$529,2,0))))</f>
        <v>SERVENTE</v>
      </c>
      <c r="D1934" s="452" t="str">
        <f>IF(A1934="SERVIÇO",VLOOKUP(B1934,SERVIÇOS!$A$6:$E$7645,5,0),IF(A1934="INSUMO",VLOOKUP(B1934,INSUMOS!$A$6:$E$6961,5,0),IF(A1934="COTAÇÃO",VLOOKUP(B1934,'036-20-Cotação'!$A$9:$H$529,8,0))))</f>
        <v>M.O</v>
      </c>
      <c r="E1934" s="452" t="str">
        <f>IF(A1934="SERVIÇO",VLOOKUP(B1934,SERVIÇOS!$A$6:$D$7645,3,0),IF(A1934="INSUMO",VLOOKUP(B1934,INSUMOS!$A$6:$D$6961,3,0),IF(A1934="COTAÇÃO",VLOOKUP(B1934,'036-20-Cotação'!$A$9:$G$529,4,0))))</f>
        <v>H</v>
      </c>
      <c r="F1934" s="462">
        <f>4/25</f>
        <v>0.16</v>
      </c>
      <c r="G1934" s="453">
        <f>IF(A1934="SERVIÇO",VLOOKUP(B1934,SERVIÇOS!$A$6:$D$7645,4,0),IF(A1934="INSUMO",VLOOKUP(B1934,INSUMOS!$A$6:$D$6961,4,0),IF(A1934="COTAÇÃO",VLOOKUP(B1934,'036-20-Cotação'!$A$9:$G$529,3,0))))</f>
        <v>15.637499999999999</v>
      </c>
      <c r="H1934" s="463">
        <f t="shared" si="352"/>
        <v>2.5019999999999998</v>
      </c>
      <c r="J1934" s="201"/>
    </row>
    <row r="1935" spans="1:17" s="87" customFormat="1" ht="12.75">
      <c r="A1935" s="232" t="s">
        <v>4544</v>
      </c>
      <c r="B1935" s="464" t="s">
        <v>10382</v>
      </c>
      <c r="C1935" s="451" t="str">
        <f>IF(A1935="SERVIÇO",VLOOKUP(B1935,SERVIÇOS!$A$6:$D$7645,2,0),IF(A1935="INSUMO",VLOOKUP(B1935,INSUMOS!$A$6:$D$6961,2,0),IF(A1935="COTAÇÃO",VLOOKUP(B1935,'036-20-Cotação'!$A$9:$G$529,2,0))))</f>
        <v>ADUBO ORGÂNICO</v>
      </c>
      <c r="D1935" s="452" t="str">
        <f>IF(A1935="SERVIÇO",VLOOKUP(B1935,SERVIÇOS!$A$6:$E$7645,5,0),IF(A1935="INSUMO",VLOOKUP(B1935,INSUMOS!$A$6:$E$6961,5,0),IF(A1935="COTAÇÃO",VLOOKUP(B1935,'036-20-Cotação'!$A$9:$H$529,8,0))))</f>
        <v>MAT.</v>
      </c>
      <c r="E1935" s="452" t="str">
        <f>IF(A1935="SERVIÇO",VLOOKUP(B1935,SERVIÇOS!$A$6:$D$7645,3,0),IF(A1935="INSUMO",VLOOKUP(B1935,INSUMOS!$A$6:$D$6961,3,0),IF(A1935="COTAÇÃO",VLOOKUP(B1935,'036-20-Cotação'!$A$9:$G$529,4,0))))</f>
        <v>KG</v>
      </c>
      <c r="F1935" s="462">
        <v>0.03</v>
      </c>
      <c r="G1935" s="453">
        <f>IF(A1935="SERVIÇO",VLOOKUP(B1935,SERVIÇOS!$A$6:$D$7645,4,0),IF(A1935="INSUMO",VLOOKUP(B1935,INSUMOS!$A$6:$D$6961,4,0),IF(A1935="COTAÇÃO",VLOOKUP(B1935,'036-20-Cotação'!$A$9:$G$529,3,0))))</f>
        <v>0.17430000000000001</v>
      </c>
      <c r="H1935" s="463">
        <f t="shared" si="352"/>
        <v>5.2290000000000001E-3</v>
      </c>
      <c r="J1935" s="201"/>
    </row>
    <row r="1936" spans="1:17" s="87" customFormat="1" ht="12.75">
      <c r="A1936" s="232" t="s">
        <v>4542</v>
      </c>
      <c r="B1936" s="464">
        <v>4413995</v>
      </c>
      <c r="C1936" s="451" t="str">
        <f>'036-20-CCA''s'!$C$516</f>
        <v>OBTENÇÃO DE GRAMA PARA PLANTIO</v>
      </c>
      <c r="D1936" s="452" t="str">
        <f>'036-20-CCA''s'!$D$516</f>
        <v>SER.CG</v>
      </c>
      <c r="E1936" s="452" t="str">
        <f>'036-20-CCA''s'!$E$516</f>
        <v>M2</v>
      </c>
      <c r="F1936" s="462">
        <v>1</v>
      </c>
      <c r="G1936" s="453">
        <f>'036-20-CCA''s'!$H$516</f>
        <v>2.052292</v>
      </c>
      <c r="H1936" s="463">
        <f t="shared" si="352"/>
        <v>2.052292</v>
      </c>
      <c r="J1936" s="201"/>
    </row>
    <row r="1937" spans="1:17" s="87" customFormat="1" ht="25.5">
      <c r="A1937" s="232" t="s">
        <v>4542</v>
      </c>
      <c r="B1937" s="464" t="s">
        <v>13205</v>
      </c>
      <c r="C1937" s="451" t="str">
        <f>'036-20-CCA''s'!$C$276</f>
        <v>TEMPO FIXO - CAMINHÃO CARROCERIA 5 T - CARGA E DESCARGA MANUAIS</v>
      </c>
      <c r="D1937" s="452" t="str">
        <f>'036-20-CCA''s'!$D$276</f>
        <v>SER.CG</v>
      </c>
      <c r="E1937" s="452" t="str">
        <f>'036-20-CCA''s'!$E$276</f>
        <v>T</v>
      </c>
      <c r="F1937" s="462">
        <v>2.3E-2</v>
      </c>
      <c r="G1937" s="453">
        <f>'036-20-CCA''s'!$H$276</f>
        <v>16.063762057877813</v>
      </c>
      <c r="H1937" s="463">
        <f t="shared" si="352"/>
        <v>0.36946652733118968</v>
      </c>
      <c r="J1937" s="201"/>
    </row>
    <row r="1938" spans="1:17" s="87" customFormat="1" ht="12.75">
      <c r="A1938" s="188"/>
      <c r="B1938" s="348" t="s">
        <v>123</v>
      </c>
      <c r="C1938" s="695" t="s">
        <v>13384</v>
      </c>
      <c r="D1938" s="696"/>
      <c r="E1938" s="696"/>
      <c r="F1938" s="696"/>
      <c r="G1938" s="696"/>
      <c r="H1938" s="697"/>
      <c r="J1938" s="201"/>
      <c r="K1938" s="78"/>
      <c r="L1938" s="78"/>
      <c r="M1938" s="78"/>
      <c r="N1938" s="78"/>
      <c r="O1938" s="78"/>
      <c r="P1938" s="78"/>
      <c r="Q1938" s="78"/>
    </row>
    <row r="1939" spans="1:17" s="87" customFormat="1" ht="12.75">
      <c r="A1939" s="188"/>
      <c r="B1939" s="346"/>
      <c r="C1939" s="486"/>
      <c r="D1939" s="486"/>
      <c r="E1939" s="486"/>
      <c r="F1939" s="486"/>
      <c r="G1939" s="486"/>
      <c r="H1939" s="487"/>
      <c r="J1939" s="201"/>
      <c r="K1939" s="78"/>
      <c r="L1939" s="78"/>
      <c r="M1939" s="78"/>
      <c r="N1939" s="78"/>
      <c r="O1939" s="78"/>
      <c r="P1939" s="78"/>
      <c r="Q1939" s="78"/>
    </row>
    <row r="1940" spans="1:17" s="87" customFormat="1" ht="25.5">
      <c r="A1940" s="188"/>
      <c r="B1940" s="80">
        <v>4413990</v>
      </c>
      <c r="C1940" s="81" t="s">
        <v>6693</v>
      </c>
      <c r="D1940" s="82" t="s">
        <v>84</v>
      </c>
      <c r="E1940" s="82" t="s">
        <v>150</v>
      </c>
      <c r="F1940" s="83"/>
      <c r="G1940" s="84"/>
      <c r="H1940" s="85">
        <f>SUM(H1941:H1952)</f>
        <v>17.088912301714167</v>
      </c>
      <c r="J1940" s="201" t="s">
        <v>13389</v>
      </c>
      <c r="K1940" s="78"/>
      <c r="L1940" s="78"/>
      <c r="M1940" s="78"/>
      <c r="N1940" s="78"/>
      <c r="O1940" s="78"/>
      <c r="P1940" s="78"/>
      <c r="Q1940" s="78"/>
    </row>
    <row r="1941" spans="1:17" s="87" customFormat="1" ht="25.5">
      <c r="A1941" s="232" t="s">
        <v>4542</v>
      </c>
      <c r="B1941" s="464" t="s">
        <v>9479</v>
      </c>
      <c r="C1941" s="451" t="str">
        <f>IF(A1941="SERVIÇO",VLOOKUP(B1941,SERVIÇOS!$A$6:$D$7645,2,0),IF(A1941="INSUMO",VLOOKUP(B1941,INSUMOS!$A$6:$D$6961,2,0),IF(A1941="COTAÇÃO",VLOOKUP(B1941,'036-20-Cotação'!$A$9:$G$529,2,0))))</f>
        <v>CAMINHÃO TANQUE COM CAPACIDADE DE 10.000 L - 188 KW</v>
      </c>
      <c r="D1941" s="452" t="str">
        <f>IF(A1941="SERVIÇO",VLOOKUP(B1941,SERVIÇOS!$A$6:$E$7645,5,0),IF(A1941="INSUMO",VLOOKUP(B1941,INSUMOS!$A$6:$E$6961,5,0),IF(A1941="COTAÇÃO",VLOOKUP(B1941,'036-20-Cotação'!$A$9:$H$529,8,0))))</f>
        <v>EQUIP.</v>
      </c>
      <c r="E1941" s="452" t="str">
        <f>IF(A1941="SERVIÇO",VLOOKUP(B1941,SERVIÇOS!$A$6:$D$7645,3,0),IF(A1941="INSUMO",VLOOKUP(B1941,INSUMOS!$A$6:$D$6961,3,0),IF(A1941="COTAÇÃO",VLOOKUP(B1941,'036-20-Cotação'!$A$9:$G$529,4,0))))</f>
        <v>CHP</v>
      </c>
      <c r="F1941" s="462">
        <f>0.01205/6</f>
        <v>2.0083333333333333E-3</v>
      </c>
      <c r="G1941" s="453">
        <f>IF(A1941="SERVIÇO",VLOOKUP(B1941,SERVIÇOS!$A$6:$D$7645,4,0),IF(A1941="INSUMO",VLOOKUP(B1941,INSUMOS!$A$6:$D$6961,4,0),IF(A1941="COTAÇÃO",VLOOKUP(B1941,'036-20-Cotação'!$A$9:$G$529,3,0))))</f>
        <v>200.50309999999999</v>
      </c>
      <c r="H1941" s="463">
        <f t="shared" ref="H1941:H1952" si="353">G1941*F1941</f>
        <v>0.40267705916666663</v>
      </c>
      <c r="J1941" s="201"/>
    </row>
    <row r="1942" spans="1:17" s="87" customFormat="1" ht="12.75">
      <c r="A1942" s="232" t="s">
        <v>4542</v>
      </c>
      <c r="B1942" s="464" t="s">
        <v>8587</v>
      </c>
      <c r="C1942" s="451" t="str">
        <f>IF(A1942="SERVIÇO",VLOOKUP(B1942,SERVIÇOS!$A$6:$D$7645,2,0),IF(A1942="INSUMO",VLOOKUP(B1942,INSUMOS!$A$6:$D$6961,2,0),IF(A1942="COTAÇÃO",VLOOKUP(B1942,'036-20-Cotação'!$A$9:$G$529,2,0))))</f>
        <v>JARDINEIRO</v>
      </c>
      <c r="D1942" s="452" t="str">
        <f>IF(A1942="SERVIÇO",VLOOKUP(B1942,SERVIÇOS!$A$6:$E$7645,5,0),IF(A1942="INSUMO",VLOOKUP(B1942,INSUMOS!$A$6:$E$6961,5,0),IF(A1942="COTAÇÃO",VLOOKUP(B1942,'036-20-Cotação'!$A$9:$H$529,8,0))))</f>
        <v>M.O</v>
      </c>
      <c r="E1942" s="452" t="str">
        <f>IF(A1942="SERVIÇO",VLOOKUP(B1942,SERVIÇOS!$A$6:$D$7645,3,0),IF(A1942="INSUMO",VLOOKUP(B1942,INSUMOS!$A$6:$D$6961,3,0),IF(A1942="COTAÇÃO",VLOOKUP(B1942,'036-20-Cotação'!$A$9:$G$529,4,0))))</f>
        <v>H</v>
      </c>
      <c r="F1942" s="462">
        <f>1/6</f>
        <v>0.16666666666666666</v>
      </c>
      <c r="G1942" s="453">
        <f>IF(A1942="SERVIÇO",VLOOKUP(B1942,SERVIÇOS!$A$6:$D$7645,4,0),IF(A1942="INSUMO",VLOOKUP(B1942,INSUMOS!$A$6:$D$6961,4,0),IF(A1942="COTAÇÃO",VLOOKUP(B1942,'036-20-Cotação'!$A$9:$G$529,3,0))))</f>
        <v>19.537199999999999</v>
      </c>
      <c r="H1942" s="463">
        <f t="shared" si="353"/>
        <v>3.2561999999999998</v>
      </c>
      <c r="J1942" s="201"/>
    </row>
    <row r="1943" spans="1:17" s="87" customFormat="1" ht="12.75">
      <c r="A1943" s="232" t="s">
        <v>4544</v>
      </c>
      <c r="B1943" s="464" t="s">
        <v>10374</v>
      </c>
      <c r="C1943" s="451" t="str">
        <f>IF(A1943="SERVIÇO",VLOOKUP(B1943,SERVIÇOS!$A$6:$D$7645,2,0),IF(A1943="INSUMO",VLOOKUP(B1943,INSUMOS!$A$6:$D$6961,2,0),IF(A1943="COTAÇÃO",VLOOKUP(B1943,'036-20-Cotação'!$A$9:$G$529,2,0))))</f>
        <v>ADUBO NPK</v>
      </c>
      <c r="D1943" s="452" t="str">
        <f>IF(A1943="SERVIÇO",VLOOKUP(B1943,SERVIÇOS!$A$6:$E$7645,5,0),IF(A1943="INSUMO",VLOOKUP(B1943,INSUMOS!$A$6:$E$6961,5,0),IF(A1943="COTAÇÃO",VLOOKUP(B1943,'036-20-Cotação'!$A$9:$H$529,8,0))))</f>
        <v>MAT.</v>
      </c>
      <c r="E1943" s="452" t="str">
        <f>IF(A1943="SERVIÇO",VLOOKUP(B1943,SERVIÇOS!$A$6:$D$7645,3,0),IF(A1943="INSUMO",VLOOKUP(B1943,INSUMOS!$A$6:$D$6961,3,0),IF(A1943="COTAÇÃO",VLOOKUP(B1943,'036-20-Cotação'!$A$9:$G$529,4,0))))</f>
        <v>KG</v>
      </c>
      <c r="F1943" s="462">
        <v>0.12</v>
      </c>
      <c r="G1943" s="453">
        <f>IF(A1943="SERVIÇO",VLOOKUP(B1943,SERVIÇOS!$A$6:$D$7645,4,0),IF(A1943="INSUMO",VLOOKUP(B1943,INSUMOS!$A$6:$D$6961,4,0),IF(A1943="COTAÇÃO",VLOOKUP(B1943,'036-20-Cotação'!$A$9:$G$529,3,0))))</f>
        <v>1.3085</v>
      </c>
      <c r="H1943" s="463">
        <f t="shared" si="353"/>
        <v>0.15701999999999999</v>
      </c>
      <c r="J1943" s="201"/>
    </row>
    <row r="1944" spans="1:17" s="87" customFormat="1" ht="12.75">
      <c r="A1944" s="232" t="s">
        <v>4544</v>
      </c>
      <c r="B1944" s="464" t="s">
        <v>10382</v>
      </c>
      <c r="C1944" s="451" t="str">
        <f>IF(A1944="SERVIÇO",VLOOKUP(B1944,SERVIÇOS!$A$6:$D$7645,2,0),IF(A1944="INSUMO",VLOOKUP(B1944,INSUMOS!$A$6:$D$6961,2,0),IF(A1944="COTAÇÃO",VLOOKUP(B1944,'036-20-Cotação'!$A$9:$G$529,2,0))))</f>
        <v>ADUBO ORGÂNICO</v>
      </c>
      <c r="D1944" s="452" t="str">
        <f>IF(A1944="SERVIÇO",VLOOKUP(B1944,SERVIÇOS!$A$6:$E$7645,5,0),IF(A1944="INSUMO",VLOOKUP(B1944,INSUMOS!$A$6:$E$6961,5,0),IF(A1944="COTAÇÃO",VLOOKUP(B1944,'036-20-Cotação'!$A$9:$H$529,8,0))))</f>
        <v>MAT.</v>
      </c>
      <c r="E1944" s="452" t="str">
        <f>IF(A1944="SERVIÇO",VLOOKUP(B1944,SERVIÇOS!$A$6:$D$7645,3,0),IF(A1944="INSUMO",VLOOKUP(B1944,INSUMOS!$A$6:$D$6961,3,0),IF(A1944="COTAÇÃO",VLOOKUP(B1944,'036-20-Cotação'!$A$9:$G$529,4,0))))</f>
        <v>KG</v>
      </c>
      <c r="F1944" s="462">
        <v>1</v>
      </c>
      <c r="G1944" s="453">
        <f>IF(A1944="SERVIÇO",VLOOKUP(B1944,SERVIÇOS!$A$6:$D$7645,4,0),IF(A1944="INSUMO",VLOOKUP(B1944,INSUMOS!$A$6:$D$6961,4,0),IF(A1944="COTAÇÃO",VLOOKUP(B1944,'036-20-Cotação'!$A$9:$G$529,3,0))))</f>
        <v>0.17430000000000001</v>
      </c>
      <c r="H1944" s="463">
        <f t="shared" si="353"/>
        <v>0.17430000000000001</v>
      </c>
      <c r="J1944" s="201"/>
    </row>
    <row r="1945" spans="1:17" s="87" customFormat="1" ht="12.75">
      <c r="A1945" s="232" t="s">
        <v>4544</v>
      </c>
      <c r="B1945" s="464" t="s">
        <v>10368</v>
      </c>
      <c r="C1945" s="451" t="str">
        <f>IF(A1945="SERVIÇO",VLOOKUP(B1945,SERVIÇOS!$A$6:$D$7645,2,0),IF(A1945="INSUMO",VLOOKUP(B1945,INSUMOS!$A$6:$D$6961,2,0),IF(A1945="COTAÇÃO",VLOOKUP(B1945,'036-20-Cotação'!$A$9:$G$529,2,0))))</f>
        <v>ENXOFRE</v>
      </c>
      <c r="D1945" s="452" t="str">
        <f>IF(A1945="SERVIÇO",VLOOKUP(B1945,SERVIÇOS!$A$6:$E$7645,5,0),IF(A1945="INSUMO",VLOOKUP(B1945,INSUMOS!$A$6:$E$6961,5,0),IF(A1945="COTAÇÃO",VLOOKUP(B1945,'036-20-Cotação'!$A$9:$H$529,8,0))))</f>
        <v>MAT.</v>
      </c>
      <c r="E1945" s="452" t="str">
        <f>IF(A1945="SERVIÇO",VLOOKUP(B1945,SERVIÇOS!$A$6:$D$7645,3,0),IF(A1945="INSUMO",VLOOKUP(B1945,INSUMOS!$A$6:$D$6961,3,0),IF(A1945="COTAÇÃO",VLOOKUP(B1945,'036-20-Cotação'!$A$9:$G$529,4,0))))</f>
        <v>KG</v>
      </c>
      <c r="F1945" s="462">
        <v>6.0000000000000001E-3</v>
      </c>
      <c r="G1945" s="453">
        <f>IF(A1945="SERVIÇO",VLOOKUP(B1945,SERVIÇOS!$A$6:$D$7645,4,0),IF(A1945="INSUMO",VLOOKUP(B1945,INSUMOS!$A$6:$D$6961,4,0),IF(A1945="COTAÇÃO",VLOOKUP(B1945,'036-20-Cotação'!$A$9:$G$529,3,0))))</f>
        <v>1.5811999999999999</v>
      </c>
      <c r="H1945" s="463">
        <f t="shared" si="353"/>
        <v>9.4871999999999995E-3</v>
      </c>
      <c r="J1945" s="201"/>
    </row>
    <row r="1946" spans="1:17" s="87" customFormat="1" ht="12.75">
      <c r="A1946" s="232" t="s">
        <v>4544</v>
      </c>
      <c r="B1946" s="464" t="s">
        <v>11206</v>
      </c>
      <c r="C1946" s="451" t="str">
        <f>IF(A1946="SERVIÇO",VLOOKUP(B1946,SERVIÇOS!$A$6:$D$7645,2,0),IF(A1946="INSUMO",VLOOKUP(B1946,INSUMOS!$A$6:$D$6961,2,0),IF(A1946="COTAÇÃO",VLOOKUP(B1946,'036-20-Cotação'!$A$9:$G$529,2,0))))</f>
        <v>ESTACA DE TUTORAMENTO DE 5 X 2 M</v>
      </c>
      <c r="D1946" s="452" t="str">
        <f>IF(A1946="SERVIÇO",VLOOKUP(B1946,SERVIÇOS!$A$6:$E$7645,5,0),IF(A1946="INSUMO",VLOOKUP(B1946,INSUMOS!$A$6:$E$6961,5,0),IF(A1946="COTAÇÃO",VLOOKUP(B1946,'036-20-Cotação'!$A$9:$H$529,8,0))))</f>
        <v>MAT.</v>
      </c>
      <c r="E1946" s="452" t="str">
        <f>IF(A1946="SERVIÇO",VLOOKUP(B1946,SERVIÇOS!$A$6:$D$7645,3,0),IF(A1946="INSUMO",VLOOKUP(B1946,INSUMOS!$A$6:$D$6961,3,0),IF(A1946="COTAÇÃO",VLOOKUP(B1946,'036-20-Cotação'!$A$9:$G$529,4,0))))</f>
        <v>UN</v>
      </c>
      <c r="F1946" s="462">
        <v>0.5</v>
      </c>
      <c r="G1946" s="453">
        <f>IF(A1946="SERVIÇO",VLOOKUP(B1946,SERVIÇOS!$A$6:$D$7645,4,0),IF(A1946="INSUMO",VLOOKUP(B1946,INSUMOS!$A$6:$D$6961,4,0),IF(A1946="COTAÇÃO",VLOOKUP(B1946,'036-20-Cotação'!$A$9:$G$529,3,0))))</f>
        <v>4.9273999999999996</v>
      </c>
      <c r="H1946" s="463">
        <f t="shared" si="353"/>
        <v>2.4636999999999998</v>
      </c>
      <c r="J1946" s="201"/>
    </row>
    <row r="1947" spans="1:17" s="87" customFormat="1" ht="12.75">
      <c r="A1947" s="232" t="s">
        <v>4544</v>
      </c>
      <c r="B1947" s="464" t="s">
        <v>10180</v>
      </c>
      <c r="C1947" s="451" t="str">
        <f>IF(A1947="SERVIÇO",VLOOKUP(B1947,SERVIÇOS!$A$6:$D$7645,2,0),IF(A1947="INSUMO",VLOOKUP(B1947,INSUMOS!$A$6:$D$6961,2,0),IF(A1947="COTAÇÃO",VLOOKUP(B1947,'036-20-Cotação'!$A$9:$G$529,2,0))))</f>
        <v>MUDA ARBUSTIVA DE PORTE DE 50 CM</v>
      </c>
      <c r="D1947" s="452" t="str">
        <f>IF(A1947="SERVIÇO",VLOOKUP(B1947,SERVIÇOS!$A$6:$E$7645,5,0),IF(A1947="INSUMO",VLOOKUP(B1947,INSUMOS!$A$6:$E$6961,5,0),IF(A1947="COTAÇÃO",VLOOKUP(B1947,'036-20-Cotação'!$A$9:$H$529,8,0))))</f>
        <v>MAT.</v>
      </c>
      <c r="E1947" s="452" t="str">
        <f>IF(A1947="SERVIÇO",VLOOKUP(B1947,SERVIÇOS!$A$6:$D$7645,3,0),IF(A1947="INSUMO",VLOOKUP(B1947,INSUMOS!$A$6:$D$6961,3,0),IF(A1947="COTAÇÃO",VLOOKUP(B1947,'036-20-Cotação'!$A$9:$G$529,4,0))))</f>
        <v>UN</v>
      </c>
      <c r="F1947" s="462">
        <v>1</v>
      </c>
      <c r="G1947" s="453">
        <f>IF(A1947="SERVIÇO",VLOOKUP(B1947,SERVIÇOS!$A$6:$D$7645,4,0),IF(A1947="INSUMO",VLOOKUP(B1947,INSUMOS!$A$6:$D$6961,4,0),IF(A1947="COTAÇÃO",VLOOKUP(B1947,'036-20-Cotação'!$A$9:$G$529,3,0))))</f>
        <v>8.2385000000000002</v>
      </c>
      <c r="H1947" s="463">
        <f t="shared" si="353"/>
        <v>8.2385000000000002</v>
      </c>
      <c r="J1947" s="201"/>
    </row>
    <row r="1948" spans="1:17" s="87" customFormat="1" ht="12.75">
      <c r="A1948" s="232" t="s">
        <v>4544</v>
      </c>
      <c r="B1948" s="464" t="s">
        <v>11172</v>
      </c>
      <c r="C1948" s="451" t="str">
        <f>IF(A1948="SERVIÇO",VLOOKUP(B1948,SERVIÇOS!$A$6:$D$7645,2,0),IF(A1948="INSUMO",VLOOKUP(B1948,INSUMOS!$A$6:$D$6961,2,0),IF(A1948="COTAÇÃO",VLOOKUP(B1948,'036-20-Cotação'!$A$9:$G$529,2,0))))</f>
        <v>PÓ CALCÁRIO</v>
      </c>
      <c r="D1948" s="452" t="str">
        <f>IF(A1948="SERVIÇO",VLOOKUP(B1948,SERVIÇOS!$A$6:$E$7645,5,0),IF(A1948="INSUMO",VLOOKUP(B1948,INSUMOS!$A$6:$E$6961,5,0),IF(A1948="COTAÇÃO",VLOOKUP(B1948,'036-20-Cotação'!$A$9:$H$529,8,0))))</f>
        <v>MAT.</v>
      </c>
      <c r="E1948" s="452" t="str">
        <f>IF(A1948="SERVIÇO",VLOOKUP(B1948,SERVIÇOS!$A$6:$D$7645,3,0),IF(A1948="INSUMO",VLOOKUP(B1948,INSUMOS!$A$6:$D$6961,3,0),IF(A1948="COTAÇÃO",VLOOKUP(B1948,'036-20-Cotação'!$A$9:$G$529,4,0))))</f>
        <v>KG</v>
      </c>
      <c r="F1948" s="462">
        <v>0.15</v>
      </c>
      <c r="G1948" s="453">
        <f>IF(A1948="SERVIÇO",VLOOKUP(B1948,SERVIÇOS!$A$6:$D$7645,4,0),IF(A1948="INSUMO",VLOOKUP(B1948,INSUMOS!$A$6:$D$6961,4,0),IF(A1948="COTAÇÃO",VLOOKUP(B1948,'036-20-Cotação'!$A$9:$G$529,3,0))))</f>
        <v>0.17</v>
      </c>
      <c r="H1948" s="463">
        <f t="shared" si="353"/>
        <v>2.5500000000000002E-2</v>
      </c>
      <c r="J1948" s="201"/>
    </row>
    <row r="1949" spans="1:17" s="87" customFormat="1" ht="25.5">
      <c r="A1949" s="232" t="s">
        <v>4542</v>
      </c>
      <c r="B1949" s="464">
        <v>4805750</v>
      </c>
      <c r="C1949" s="464" t="str">
        <f>'036-20-CCA''s'!$C$522</f>
        <v>ESCAVAÇÃO MANUAL EM MATERIAL DE 1ª CATEGORIA</v>
      </c>
      <c r="D1949" s="464" t="str">
        <f>'036-20-CCA''s'!$D$522</f>
        <v>SER.CG</v>
      </c>
      <c r="E1949" s="464" t="str">
        <f>'036-20-CCA''s'!$E$522</f>
        <v>M3</v>
      </c>
      <c r="F1949" s="462">
        <v>6.4000000000000001E-2</v>
      </c>
      <c r="G1949" s="453">
        <f>'036-20-CCA''s'!$H$522</f>
        <v>31.975559999999998</v>
      </c>
      <c r="H1949" s="463">
        <f t="shared" si="353"/>
        <v>2.04643584</v>
      </c>
      <c r="J1949" s="201"/>
    </row>
    <row r="1950" spans="1:17" s="87" customFormat="1" ht="25.5">
      <c r="A1950" s="232" t="s">
        <v>4542</v>
      </c>
      <c r="B1950" s="464" t="s">
        <v>13278</v>
      </c>
      <c r="C1950" s="451" t="str">
        <f>'036-20-CCA''s'!$C$372</f>
        <v>TEMPO FIXO - CAMINHÃO CARROCERIA 9 T - CARGA MONOBRA E DESCARGA MANUAL</v>
      </c>
      <c r="D1950" s="452" t="str">
        <f>'036-20-CCA''s'!$D$372</f>
        <v>SER.CG</v>
      </c>
      <c r="E1950" s="452" t="str">
        <f>'036-20-CCA''s'!$E$372</f>
        <v>T</v>
      </c>
      <c r="F1950" s="462">
        <f>0.00012+0.001+0.00001</f>
        <v>1.1300000000000001E-3</v>
      </c>
      <c r="G1950" s="453">
        <f>'036-20-CCA''s'!$H$372</f>
        <v>17.455547886108718</v>
      </c>
      <c r="H1950" s="463">
        <f t="shared" si="353"/>
        <v>1.9724769111302855E-2</v>
      </c>
      <c r="J1950" s="201"/>
    </row>
    <row r="1951" spans="1:17" s="87" customFormat="1" ht="25.5">
      <c r="A1951" s="232" t="s">
        <v>4542</v>
      </c>
      <c r="B1951" s="464" t="s">
        <v>13205</v>
      </c>
      <c r="C1951" s="451" t="str">
        <f>'036-20-CCA''s'!$C$276</f>
        <v>TEMPO FIXO - CAMINHÃO CARROCERIA 5 T - CARGA E DESCARGA MANUAIS</v>
      </c>
      <c r="D1951" s="452" t="str">
        <f>'036-20-CCA''s'!$D$276</f>
        <v>SER.CG</v>
      </c>
      <c r="E1951" s="452" t="str">
        <f>'036-20-CCA''s'!$E$276</f>
        <v>T</v>
      </c>
      <c r="F1951" s="462">
        <v>1.4999999999999999E-4</v>
      </c>
      <c r="G1951" s="453">
        <f>'036-20-CCA''s'!$H$276</f>
        <v>16.063762057877813</v>
      </c>
      <c r="H1951" s="463">
        <f t="shared" si="353"/>
        <v>2.4095643086816717E-3</v>
      </c>
      <c r="J1951" s="201"/>
    </row>
    <row r="1952" spans="1:17" s="87" customFormat="1" ht="25.5">
      <c r="A1952" s="232" t="s">
        <v>4542</v>
      </c>
      <c r="B1952" s="464" t="s">
        <v>13206</v>
      </c>
      <c r="C1952" s="451" t="str">
        <f>'036-20-CCA''s'!$C$281</f>
        <v>TEMPO FIXO - CAMINHÃO CARROCERIA 15 T - CARGA E DESCARGA MANUAIS</v>
      </c>
      <c r="D1952" s="452" t="str">
        <f>'036-20-CCA''s'!$D$281</f>
        <v>SER.CG</v>
      </c>
      <c r="E1952" s="452" t="str">
        <f>'036-20-CCA''s'!$E$281</f>
        <v>T</v>
      </c>
      <c r="F1952" s="462">
        <f>0.002+0.012</f>
        <v>1.4E-2</v>
      </c>
      <c r="G1952" s="453">
        <f>'036-20-CCA''s'!$H$281</f>
        <v>20.925562080536913</v>
      </c>
      <c r="H1952" s="463">
        <f t="shared" si="353"/>
        <v>0.29295786912751681</v>
      </c>
      <c r="J1952" s="201"/>
    </row>
    <row r="1953" spans="1:18" s="87" customFormat="1" ht="12.75">
      <c r="A1953" s="188"/>
      <c r="B1953" s="348" t="s">
        <v>123</v>
      </c>
      <c r="C1953" s="695" t="s">
        <v>13393</v>
      </c>
      <c r="D1953" s="696"/>
      <c r="E1953" s="696"/>
      <c r="F1953" s="696"/>
      <c r="G1953" s="696"/>
      <c r="H1953" s="697"/>
      <c r="J1953" s="201"/>
      <c r="K1953" s="78"/>
      <c r="L1953" s="78"/>
      <c r="M1953" s="78"/>
      <c r="N1953" s="78"/>
      <c r="O1953" s="78"/>
      <c r="P1953" s="78"/>
      <c r="Q1953" s="78"/>
    </row>
    <row r="1954" spans="1:18" s="87" customFormat="1" ht="12.75">
      <c r="A1954" s="188"/>
      <c r="B1954" s="346"/>
      <c r="C1954" s="470"/>
      <c r="D1954" s="470"/>
      <c r="E1954" s="470"/>
      <c r="F1954" s="470"/>
      <c r="G1954" s="470"/>
      <c r="H1954" s="471"/>
      <c r="J1954" s="201"/>
      <c r="K1954" s="78"/>
      <c r="L1954" s="78"/>
      <c r="M1954" s="78"/>
      <c r="N1954" s="78"/>
      <c r="O1954" s="78"/>
      <c r="P1954" s="78"/>
      <c r="Q1954" s="78"/>
    </row>
    <row r="1955" spans="1:18" s="87" customFormat="1" ht="12.75">
      <c r="A1955" s="188"/>
      <c r="B1955" s="80">
        <v>1600436</v>
      </c>
      <c r="C1955" s="81" t="s">
        <v>8110</v>
      </c>
      <c r="D1955" s="82" t="s">
        <v>84</v>
      </c>
      <c r="E1955" s="82" t="s">
        <v>172</v>
      </c>
      <c r="F1955" s="83"/>
      <c r="G1955" s="84"/>
      <c r="H1955" s="85">
        <f>SUM(H1956:H1960)</f>
        <v>343.29203694751379</v>
      </c>
      <c r="J1955" s="201" t="s">
        <v>13116</v>
      </c>
      <c r="K1955" s="78"/>
      <c r="L1955" s="78"/>
      <c r="M1955" s="78"/>
      <c r="N1955" s="78"/>
      <c r="O1955" s="78"/>
      <c r="P1955" s="78"/>
      <c r="Q1955" s="78"/>
    </row>
    <row r="1956" spans="1:18" s="87" customFormat="1" ht="25.5">
      <c r="A1956" s="232" t="s">
        <v>4542</v>
      </c>
      <c r="B1956" s="464" t="s">
        <v>8841</v>
      </c>
      <c r="C1956" s="451" t="str">
        <f>IF(A1956="SERVIÇO",VLOOKUP(B1956,SERVIÇOS!$A$6:$D$7645,2,0),IF(A1956="INSUMO",VLOOKUP(B1956,INSUMOS!$A$6:$D$6961,2,0),IF(A1956="COTAÇÃO",VLOOKUP(B1956,'036-20-Cotação'!$A$9:$G$529,2,0))))</f>
        <v>TRANSPORTADOR MANUAL CARRINHO DE MÃO COM CAPACIDADE DE 80 L</v>
      </c>
      <c r="D1956" s="452" t="str">
        <f>IF(A1956="SERVIÇO",VLOOKUP(B1956,SERVIÇOS!$A$6:$E$7645,5,0),IF(A1956="INSUMO",VLOOKUP(B1956,INSUMOS!$A$6:$E$6961,5,0),IF(A1956="COTAÇÃO",VLOOKUP(B1956,'036-20-Cotação'!$A$9:$H$529,8,0))))</f>
        <v>EQUIP.</v>
      </c>
      <c r="E1956" s="452" t="str">
        <f>IF(A1956="SERVIÇO",VLOOKUP(B1956,SERVIÇOS!$A$6:$D$7645,3,0),IF(A1956="INSUMO",VLOOKUP(B1956,INSUMOS!$A$6:$D$6961,3,0),IF(A1956="COTAÇÃO",VLOOKUP(B1956,'036-20-Cotação'!$A$9:$G$529,4,0))))</f>
        <v>CHP</v>
      </c>
      <c r="F1956" s="462">
        <f>0.05/0.08</f>
        <v>0.625</v>
      </c>
      <c r="G1956" s="453">
        <f>IF(A1956="SERVIÇO",VLOOKUP(B1956,SERVIÇOS!$A$6:$D$7645,4,0),IF(A1956="INSUMO",VLOOKUP(B1956,INSUMOS!$A$6:$D$6961,4,0),IF(A1956="COTAÇÃO",VLOOKUP(B1956,'036-20-Cotação'!$A$9:$G$529,3,0))))</f>
        <v>0.3054</v>
      </c>
      <c r="H1956" s="463">
        <f t="shared" ref="H1956:H1960" si="354">G1956*F1956</f>
        <v>0.19087500000000002</v>
      </c>
      <c r="J1956" s="201"/>
    </row>
    <row r="1957" spans="1:18" s="87" customFormat="1" ht="25.5">
      <c r="A1957" s="232" t="s">
        <v>4542</v>
      </c>
      <c r="B1957" s="464" t="s">
        <v>9665</v>
      </c>
      <c r="C1957" s="451" t="str">
        <f>IF(A1957="SERVIÇO",VLOOKUP(B1957,SERVIÇOS!$A$6:$D$7645,2,0),IF(A1957="INSUMO",VLOOKUP(B1957,INSUMOS!$A$6:$D$6961,2,0),IF(A1957="COTAÇÃO",VLOOKUP(B1957,'036-20-Cotação'!$A$9:$G$529,2,0))))</f>
        <v>TRANSPORTADOR MANUAL CARRINHO DE MÃO COM CAPACIDADE DE 80 L</v>
      </c>
      <c r="D1957" s="452" t="str">
        <f>IF(A1957="SERVIÇO",VLOOKUP(B1957,SERVIÇOS!$A$6:$E$7645,5,0),IF(A1957="INSUMO",VLOOKUP(B1957,INSUMOS!$A$6:$E$6961,5,0),IF(A1957="COTAÇÃO",VLOOKUP(B1957,'036-20-Cotação'!$A$9:$H$529,8,0))))</f>
        <v>EQUIP.</v>
      </c>
      <c r="E1957" s="452" t="str">
        <f>IF(A1957="SERVIÇO",VLOOKUP(B1957,SERVIÇOS!$A$6:$D$7645,3,0),IF(A1957="INSUMO",VLOOKUP(B1957,INSUMOS!$A$6:$D$6961,3,0),IF(A1957="COTAÇÃO",VLOOKUP(B1957,'036-20-Cotação'!$A$9:$G$529,4,0))))</f>
        <v>CHI</v>
      </c>
      <c r="F1957" s="462">
        <f>0.95/0.08</f>
        <v>11.875</v>
      </c>
      <c r="G1957" s="453">
        <f>IF(A1957="SERVIÇO",VLOOKUP(B1957,SERVIÇOS!$A$6:$D$7645,4,0),IF(A1957="INSUMO",VLOOKUP(B1957,INSUMOS!$A$6:$D$6961,4,0),IF(A1957="COTAÇÃO",VLOOKUP(B1957,'036-20-Cotação'!$A$9:$G$529,3,0))))</f>
        <v>0.20469999999999999</v>
      </c>
      <c r="H1957" s="463">
        <f t="shared" ref="H1957" si="355">G1957*F1957</f>
        <v>2.4308125</v>
      </c>
      <c r="J1957" s="201"/>
    </row>
    <row r="1958" spans="1:18" s="87" customFormat="1" ht="12.75">
      <c r="A1958" s="232" t="s">
        <v>4542</v>
      </c>
      <c r="B1958" s="464" t="s">
        <v>6614</v>
      </c>
      <c r="C1958" s="451" t="str">
        <f>IF(A1958="SERVIÇO",VLOOKUP(B1958,SERVIÇOS!$A$6:$D$7645,2,0),IF(A1958="INSUMO",VLOOKUP(B1958,INSUMOS!$A$6:$D$6961,2,0),IF(A1958="COTAÇÃO",VLOOKUP(B1958,'036-20-Cotação'!$A$9:$G$529,2,0))))</f>
        <v>PEDREIRO</v>
      </c>
      <c r="D1958" s="452" t="str">
        <f>IF(A1958="SERVIÇO",VLOOKUP(B1958,SERVIÇOS!$A$6:$E$7645,5,0),IF(A1958="INSUMO",VLOOKUP(B1958,INSUMOS!$A$6:$E$6961,5,0),IF(A1958="COTAÇÃO",VLOOKUP(B1958,'036-20-Cotação'!$A$9:$H$529,8,0))))</f>
        <v>M.O</v>
      </c>
      <c r="E1958" s="452" t="str">
        <f>IF(A1958="SERVIÇO",VLOOKUP(B1958,SERVIÇOS!$A$6:$D$7645,3,0),IF(A1958="INSUMO",VLOOKUP(B1958,INSUMOS!$A$6:$D$6961,3,0),IF(A1958="COTAÇÃO",VLOOKUP(B1958,'036-20-Cotação'!$A$9:$G$529,4,0))))</f>
        <v>H</v>
      </c>
      <c r="F1958" s="462">
        <f>0.1/0.08</f>
        <v>1.25</v>
      </c>
      <c r="G1958" s="453">
        <f>IF(A1958="SERVIÇO",VLOOKUP(B1958,SERVIÇOS!$A$6:$D$7645,4,0),IF(A1958="INSUMO",VLOOKUP(B1958,INSUMOS!$A$6:$D$6961,4,0),IF(A1958="COTAÇÃO",VLOOKUP(B1958,'036-20-Cotação'!$A$9:$G$529,3,0))))</f>
        <v>21.647600000000001</v>
      </c>
      <c r="H1958" s="463">
        <f t="shared" si="354"/>
        <v>27.0595</v>
      </c>
      <c r="J1958" s="201"/>
    </row>
    <row r="1959" spans="1:18" s="87" customFormat="1" ht="12.75">
      <c r="A1959" s="232" t="s">
        <v>4542</v>
      </c>
      <c r="B1959" s="464" t="s">
        <v>6602</v>
      </c>
      <c r="C1959" s="451" t="str">
        <f>IF(A1959="SERVIÇO",VLOOKUP(B1959,SERVIÇOS!$A$6:$D$7645,2,0),IF(A1959="INSUMO",VLOOKUP(B1959,INSUMOS!$A$6:$D$6961,2,0),IF(A1959="COTAÇÃO",VLOOKUP(B1959,'036-20-Cotação'!$A$9:$G$529,2,0))))</f>
        <v>SERVENTE</v>
      </c>
      <c r="D1959" s="452" t="str">
        <f>IF(A1959="SERVIÇO",VLOOKUP(B1959,SERVIÇOS!$A$6:$E$7645,5,0),IF(A1959="INSUMO",VLOOKUP(B1959,INSUMOS!$A$6:$E$6961,5,0),IF(A1959="COTAÇÃO",VLOOKUP(B1959,'036-20-Cotação'!$A$9:$H$529,8,0))))</f>
        <v>M.O</v>
      </c>
      <c r="E1959" s="452" t="str">
        <f>IF(A1959="SERVIÇO",VLOOKUP(B1959,SERVIÇOS!$A$6:$D$7645,3,0),IF(A1959="INSUMO",VLOOKUP(B1959,INSUMOS!$A$6:$D$6961,3,0),IF(A1959="COTAÇÃO",VLOOKUP(B1959,'036-20-Cotação'!$A$9:$G$529,4,0))))</f>
        <v>H</v>
      </c>
      <c r="F1959" s="462">
        <f>1/0.08</f>
        <v>12.5</v>
      </c>
      <c r="G1959" s="453">
        <f>IF(A1959="SERVIÇO",VLOOKUP(B1959,SERVIÇOS!$A$6:$D$7645,4,0),IF(A1959="INSUMO",VLOOKUP(B1959,INSUMOS!$A$6:$D$6961,4,0),IF(A1959="COTAÇÃO",VLOOKUP(B1959,'036-20-Cotação'!$A$9:$G$529,3,0))))</f>
        <v>15.637499999999999</v>
      </c>
      <c r="H1959" s="463">
        <f t="shared" si="354"/>
        <v>195.46875</v>
      </c>
      <c r="J1959" s="201"/>
    </row>
    <row r="1960" spans="1:18" s="87" customFormat="1" ht="25.5">
      <c r="A1960" s="232" t="s">
        <v>4542</v>
      </c>
      <c r="B1960" s="464" t="s">
        <v>13238</v>
      </c>
      <c r="C1960" s="451" t="str">
        <f>'036-20-CCA''s'!$C$318</f>
        <v>TEMPO FIXO - CAMINHÃO BASCULANTE 6 M3 - CARGA MANUAL E DESCARGA LIVRE</v>
      </c>
      <c r="D1960" s="452" t="str">
        <f>'036-20-CCA''s'!$D$318</f>
        <v>SER.CG</v>
      </c>
      <c r="E1960" s="452" t="str">
        <f>'036-20-CCA''s'!$E$318</f>
        <v>T</v>
      </c>
      <c r="F1960" s="462">
        <v>2.4</v>
      </c>
      <c r="G1960" s="453">
        <f>'036-20-CCA''s'!$H$318</f>
        <v>49.225874769797421</v>
      </c>
      <c r="H1960" s="463">
        <f t="shared" si="354"/>
        <v>118.1420994475138</v>
      </c>
      <c r="J1960" s="201"/>
    </row>
    <row r="1961" spans="1:18" s="87" customFormat="1" ht="12.75">
      <c r="A1961" s="188"/>
      <c r="B1961" s="348" t="s">
        <v>123</v>
      </c>
      <c r="C1961" s="695" t="s">
        <v>13118</v>
      </c>
      <c r="D1961" s="696"/>
      <c r="E1961" s="696"/>
      <c r="F1961" s="696"/>
      <c r="G1961" s="696"/>
      <c r="H1961" s="697"/>
      <c r="J1961" s="201"/>
      <c r="K1961" s="78"/>
      <c r="L1961" s="78"/>
      <c r="M1961" s="78"/>
      <c r="N1961" s="78"/>
      <c r="O1961" s="78"/>
      <c r="P1961" s="78"/>
      <c r="Q1961" s="78"/>
    </row>
    <row r="1962" spans="1:18">
      <c r="J1962" s="58"/>
      <c r="K1962" s="78"/>
      <c r="L1962" s="78"/>
      <c r="M1962" s="78"/>
      <c r="N1962" s="78"/>
      <c r="O1962" s="78"/>
      <c r="P1962" s="87"/>
      <c r="Q1962" s="87"/>
    </row>
    <row r="1963" spans="1:18" ht="48" customHeight="1">
      <c r="A1963" s="54"/>
      <c r="B1963" s="671" t="s">
        <v>13264</v>
      </c>
      <c r="C1963" s="671"/>
      <c r="D1963" s="671"/>
      <c r="E1963" s="671"/>
      <c r="F1963" s="671"/>
      <c r="G1963" s="671"/>
      <c r="H1963" s="671"/>
      <c r="J1963" s="303"/>
      <c r="P1963" s="78"/>
      <c r="Q1963" s="78"/>
      <c r="R1963" s="54"/>
    </row>
    <row r="1964" spans="1:18">
      <c r="J1964" s="54"/>
      <c r="P1964" s="54"/>
      <c r="Q1964" s="54"/>
    </row>
  </sheetData>
  <autoFilter ref="B9:H1969"/>
  <mergeCells count="240">
    <mergeCell ref="C1849:H1849"/>
    <mergeCell ref="C1864:H1864"/>
    <mergeCell ref="C1871:H1871"/>
    <mergeCell ref="C1881:H1881"/>
    <mergeCell ref="C1114:H1114"/>
    <mergeCell ref="C932:H932"/>
    <mergeCell ref="C941:H941"/>
    <mergeCell ref="C1124:H1124"/>
    <mergeCell ref="C1134:H1134"/>
    <mergeCell ref="C945:H945"/>
    <mergeCell ref="C954:H954"/>
    <mergeCell ref="C1014:H1014"/>
    <mergeCell ref="C1010:H1010"/>
    <mergeCell ref="C1019:H1019"/>
    <mergeCell ref="C958:H958"/>
    <mergeCell ref="C1199:H1199"/>
    <mergeCell ref="C1754:H1754"/>
    <mergeCell ref="C1766:H1766"/>
    <mergeCell ref="C1631:H1631"/>
    <mergeCell ref="C1642:H1642"/>
    <mergeCell ref="C1656:H1656"/>
    <mergeCell ref="C1179:H1179"/>
    <mergeCell ref="C1054:H1054"/>
    <mergeCell ref="C967:H967"/>
    <mergeCell ref="C708:H708"/>
    <mergeCell ref="C843:H843"/>
    <mergeCell ref="C856:H856"/>
    <mergeCell ref="C906:H906"/>
    <mergeCell ref="C919:H919"/>
    <mergeCell ref="C928:H928"/>
    <mergeCell ref="C873:H873"/>
    <mergeCell ref="C881:H881"/>
    <mergeCell ref="C890:H890"/>
    <mergeCell ref="C915:H915"/>
    <mergeCell ref="C714:H714"/>
    <mergeCell ref="C720:H720"/>
    <mergeCell ref="C726:H726"/>
    <mergeCell ref="C738:H738"/>
    <mergeCell ref="C837:H837"/>
    <mergeCell ref="C848:H848"/>
    <mergeCell ref="C802:H802"/>
    <mergeCell ref="C746:H746"/>
    <mergeCell ref="C757:H757"/>
    <mergeCell ref="C765:H765"/>
    <mergeCell ref="C776:H776"/>
    <mergeCell ref="C780:H780"/>
    <mergeCell ref="C702:H702"/>
    <mergeCell ref="C1191:H1191"/>
    <mergeCell ref="C1195:H1195"/>
    <mergeCell ref="C1206:H1206"/>
    <mergeCell ref="C997:H997"/>
    <mergeCell ref="C1006:H1006"/>
    <mergeCell ref="C1024:H1024"/>
    <mergeCell ref="C1029:H1029"/>
    <mergeCell ref="C1037:H1037"/>
    <mergeCell ref="C1149:H1149"/>
    <mergeCell ref="C1159:H1159"/>
    <mergeCell ref="C1174:H1174"/>
    <mergeCell ref="C1167:H1167"/>
    <mergeCell ref="C1092:H1092"/>
    <mergeCell ref="C971:H971"/>
    <mergeCell ref="C980:H980"/>
    <mergeCell ref="C984:H984"/>
    <mergeCell ref="C862:H862"/>
    <mergeCell ref="C867:H867"/>
    <mergeCell ref="C1044:H1044"/>
    <mergeCell ref="C1050:H1050"/>
    <mergeCell ref="C1187:H1187"/>
    <mergeCell ref="C1183:H1183"/>
    <mergeCell ref="C993:H993"/>
    <mergeCell ref="C673:H673"/>
    <mergeCell ref="C532:H532"/>
    <mergeCell ref="C540:H540"/>
    <mergeCell ref="C548:H548"/>
    <mergeCell ref="C612:H612"/>
    <mergeCell ref="C556:H556"/>
    <mergeCell ref="C604:H604"/>
    <mergeCell ref="C568:H568"/>
    <mergeCell ref="C560:H560"/>
    <mergeCell ref="C564:H564"/>
    <mergeCell ref="C586:H586"/>
    <mergeCell ref="C661:H661"/>
    <mergeCell ref="L218:L219"/>
    <mergeCell ref="C181:H181"/>
    <mergeCell ref="C507:H507"/>
    <mergeCell ref="C331:H331"/>
    <mergeCell ref="B248:H248"/>
    <mergeCell ref="C279:H279"/>
    <mergeCell ref="C469:H469"/>
    <mergeCell ref="C317:H317"/>
    <mergeCell ref="C287:H287"/>
    <mergeCell ref="C293:H293"/>
    <mergeCell ref="C247:H247"/>
    <mergeCell ref="C488:H488"/>
    <mergeCell ref="C299:H299"/>
    <mergeCell ref="B1:H1"/>
    <mergeCell ref="B2:H2"/>
    <mergeCell ref="B3:H3"/>
    <mergeCell ref="B4:H4"/>
    <mergeCell ref="B5:H5"/>
    <mergeCell ref="B1963:H1963"/>
    <mergeCell ref="C339:H339"/>
    <mergeCell ref="C362:H362"/>
    <mergeCell ref="C368:H368"/>
    <mergeCell ref="C374:H374"/>
    <mergeCell ref="C379:H379"/>
    <mergeCell ref="C385:H385"/>
    <mergeCell ref="C390:H390"/>
    <mergeCell ref="C395:H395"/>
    <mergeCell ref="C416:H416"/>
    <mergeCell ref="C431:H431"/>
    <mergeCell ref="C450:H450"/>
    <mergeCell ref="C306:H306"/>
    <mergeCell ref="C312:H312"/>
    <mergeCell ref="C7:E7"/>
    <mergeCell ref="C210:H210"/>
    <mergeCell ref="C235:H235"/>
    <mergeCell ref="C97:H97"/>
    <mergeCell ref="C636:H636"/>
    <mergeCell ref="C14:H14"/>
    <mergeCell ref="C21:H21"/>
    <mergeCell ref="C28:H28"/>
    <mergeCell ref="C35:H35"/>
    <mergeCell ref="C42:H42"/>
    <mergeCell ref="C49:H49"/>
    <mergeCell ref="C56:H56"/>
    <mergeCell ref="C63:H63"/>
    <mergeCell ref="C70:H70"/>
    <mergeCell ref="C104:H104"/>
    <mergeCell ref="C110:H110"/>
    <mergeCell ref="C622:H622"/>
    <mergeCell ref="C1084:H1084"/>
    <mergeCell ref="C1062:H1062"/>
    <mergeCell ref="C1077:H1077"/>
    <mergeCell ref="C1100:H1100"/>
    <mergeCell ref="C1104:H1104"/>
    <mergeCell ref="C683:H683"/>
    <mergeCell ref="C145:H145"/>
    <mergeCell ref="C528:H528"/>
    <mergeCell ref="C115:H115"/>
    <mergeCell ref="C122:H122"/>
    <mergeCell ref="C129:H129"/>
    <mergeCell ref="C136:H136"/>
    <mergeCell ref="C141:H141"/>
    <mergeCell ref="C152:H152"/>
    <mergeCell ref="C652:H652"/>
    <mergeCell ref="C521:H521"/>
    <mergeCell ref="C628:H628"/>
    <mergeCell ref="C511:H511"/>
    <mergeCell ref="C515:H515"/>
    <mergeCell ref="C689:H689"/>
    <mergeCell ref="C665:H665"/>
    <mergeCell ref="C1428:H1428"/>
    <mergeCell ref="C1481:H1481"/>
    <mergeCell ref="C1565:H1565"/>
    <mergeCell ref="C1256:H1256"/>
    <mergeCell ref="C1353:H1353"/>
    <mergeCell ref="C1327:H1327"/>
    <mergeCell ref="C1340:H1340"/>
    <mergeCell ref="C1268:H1268"/>
    <mergeCell ref="C76:H76"/>
    <mergeCell ref="C83:H83"/>
    <mergeCell ref="C90:H90"/>
    <mergeCell ref="C1141:H1141"/>
    <mergeCell ref="C809:H809"/>
    <mergeCell ref="C813:H813"/>
    <mergeCell ref="C824:H824"/>
    <mergeCell ref="C828:H828"/>
    <mergeCell ref="C832:H832"/>
    <mergeCell ref="C696:H696"/>
    <mergeCell ref="C896:H896"/>
    <mergeCell ref="C902:H902"/>
    <mergeCell ref="C784:H784"/>
    <mergeCell ref="C788:H788"/>
    <mergeCell ref="C792:H792"/>
    <mergeCell ref="C798:H798"/>
    <mergeCell ref="C1288:H1288"/>
    <mergeCell ref="C1210:H1210"/>
    <mergeCell ref="C1228:H1228"/>
    <mergeCell ref="C1358:H1358"/>
    <mergeCell ref="C1404:H1404"/>
    <mergeCell ref="C1301:H1301"/>
    <mergeCell ref="C1275:H1275"/>
    <mergeCell ref="C1222:H1222"/>
    <mergeCell ref="C1314:H1314"/>
    <mergeCell ref="C1382:H1382"/>
    <mergeCell ref="C1386:H1386"/>
    <mergeCell ref="C1391:H1391"/>
    <mergeCell ref="C1238:H1238"/>
    <mergeCell ref="C1244:H1244"/>
    <mergeCell ref="C1250:H1250"/>
    <mergeCell ref="C1218:H1218"/>
    <mergeCell ref="C1486:H1486"/>
    <mergeCell ref="C1610:H1610"/>
    <mergeCell ref="C1910:H1910"/>
    <mergeCell ref="C1778:H1778"/>
    <mergeCell ref="C1788:H1788"/>
    <mergeCell ref="C1798:H1798"/>
    <mergeCell ref="C1804:H1804"/>
    <mergeCell ref="C1810:H1810"/>
    <mergeCell ref="C1823:H1823"/>
    <mergeCell ref="C1836:H1836"/>
    <mergeCell ref="C1886:H1886"/>
    <mergeCell ref="C1896:H1896"/>
    <mergeCell ref="C1713:H1713"/>
    <mergeCell ref="C1721:H1721"/>
    <mergeCell ref="C1737:H1737"/>
    <mergeCell ref="C1744:H1744"/>
    <mergeCell ref="C1627:H1627"/>
    <mergeCell ref="C1592:H1592"/>
    <mergeCell ref="C1561:H1561"/>
    <mergeCell ref="C1573:H1573"/>
    <mergeCell ref="C1598:H1598"/>
    <mergeCell ref="C1581:H1581"/>
    <mergeCell ref="C1587:H1587"/>
    <mergeCell ref="C1843:H1843"/>
    <mergeCell ref="C1961:H1961"/>
    <mergeCell ref="C1451:H1451"/>
    <mergeCell ref="C1464:H1464"/>
    <mergeCell ref="C1469:H1469"/>
    <mergeCell ref="C1473:H1473"/>
    <mergeCell ref="C1490:H1490"/>
    <mergeCell ref="C1494:H1494"/>
    <mergeCell ref="C1500:H1500"/>
    <mergeCell ref="C1507:H1507"/>
    <mergeCell ref="C1514:H1514"/>
    <mergeCell ref="C1521:H1521"/>
    <mergeCell ref="C1528:H1528"/>
    <mergeCell ref="C1536:H1536"/>
    <mergeCell ref="C1551:H1551"/>
    <mergeCell ref="C1557:H1557"/>
    <mergeCell ref="C1665:H1665"/>
    <mergeCell ref="C1676:H1676"/>
    <mergeCell ref="C1685:H1685"/>
    <mergeCell ref="C1694:H1694"/>
    <mergeCell ref="C1698:H1698"/>
    <mergeCell ref="C1707:H1707"/>
    <mergeCell ref="C1929:H1929"/>
    <mergeCell ref="C1938:H1938"/>
    <mergeCell ref="C1953:H1953"/>
  </mergeCells>
  <phoneticPr fontId="75" type="noConversion"/>
  <printOptions horizontalCentered="1"/>
  <pageMargins left="0.78740157480314965" right="0.78740157480314965" top="0.39370078740157483" bottom="0.39370078740157483" header="0.11811023622047245" footer="0.11811023622047245"/>
  <pageSetup paperSize="9" scale="73" orientation="portrait" r:id="rId1"/>
  <headerFooter>
    <oddHeader>&amp;C&amp;F</oddHeader>
    <oddFooter>Página &amp;P de &amp;N</oddFooter>
  </headerFooter>
  <drawing r:id="rId2"/>
  <legacyDrawing r:id="rId3"/>
</worksheet>
</file>

<file path=xl/worksheets/sheet5.xml><?xml version="1.0" encoding="utf-8"?>
<worksheet xmlns="http://schemas.openxmlformats.org/spreadsheetml/2006/main" xmlns:r="http://schemas.openxmlformats.org/officeDocument/2006/relationships">
  <sheetPr>
    <tabColor rgb="FFFF0000"/>
  </sheetPr>
  <dimension ref="A1:V535"/>
  <sheetViews>
    <sheetView showGridLines="0" view="pageBreakPreview" topLeftCell="B1" zoomScaleNormal="100" zoomScaleSheetLayoutView="100" workbookViewId="0">
      <selection sqref="A1:A1048576"/>
    </sheetView>
  </sheetViews>
  <sheetFormatPr defaultColWidth="9.140625" defaultRowHeight="15"/>
  <cols>
    <col min="1" max="1" width="10.140625" style="64" hidden="1" customWidth="1"/>
    <col min="2" max="2" width="12.140625" style="64" customWidth="1"/>
    <col min="3" max="3" width="45.140625" style="64" customWidth="1"/>
    <col min="4" max="4" width="8.140625" style="64" customWidth="1"/>
    <col min="5" max="5" width="7.5703125" style="64" customWidth="1"/>
    <col min="6" max="6" width="14.42578125" style="64" customWidth="1"/>
    <col min="7" max="7" width="10.7109375" style="64" customWidth="1"/>
    <col min="8" max="8" width="16.140625" style="64" customWidth="1"/>
    <col min="9" max="9" width="9.140625" style="64" customWidth="1"/>
    <col min="10" max="10" width="10.85546875" style="64" customWidth="1"/>
    <col min="11" max="11" width="21.28515625" style="64" customWidth="1"/>
    <col min="12" max="12" width="17.140625" style="64" customWidth="1"/>
    <col min="13" max="13" width="13.42578125" style="64" customWidth="1"/>
    <col min="14" max="14" width="9.140625" style="64"/>
    <col min="15" max="15" width="11.85546875" style="64" customWidth="1"/>
    <col min="16" max="16" width="11.5703125" style="64" customWidth="1"/>
    <col min="17" max="17" width="8.28515625" style="64" customWidth="1"/>
    <col min="18" max="16384" width="9.140625" style="64"/>
  </cols>
  <sheetData>
    <row r="1" spans="1:22" s="76" customFormat="1" ht="15.75">
      <c r="B1" s="688"/>
      <c r="C1" s="688"/>
      <c r="D1" s="688"/>
      <c r="E1" s="688"/>
      <c r="F1" s="688"/>
      <c r="G1" s="688"/>
      <c r="H1" s="688"/>
      <c r="I1" s="77"/>
    </row>
    <row r="2" spans="1:22" s="60" customFormat="1" ht="18.75">
      <c r="B2" s="701" t="s">
        <v>5071</v>
      </c>
      <c r="C2" s="701"/>
      <c r="D2" s="701"/>
      <c r="E2" s="701"/>
      <c r="F2" s="701"/>
      <c r="G2" s="701"/>
      <c r="H2" s="701"/>
      <c r="I2" s="202"/>
      <c r="J2" s="202"/>
      <c r="K2" s="202"/>
      <c r="L2" s="58"/>
      <c r="M2" s="58"/>
      <c r="N2" s="58"/>
      <c r="O2" s="58"/>
      <c r="P2" s="58"/>
      <c r="Q2" s="58"/>
      <c r="R2" s="58"/>
      <c r="S2" s="58"/>
      <c r="T2" s="58"/>
      <c r="U2" s="58"/>
      <c r="V2" s="58"/>
    </row>
    <row r="3" spans="1:22" s="60" customFormat="1" ht="18.75">
      <c r="B3" s="701" t="s">
        <v>5072</v>
      </c>
      <c r="C3" s="701"/>
      <c r="D3" s="701"/>
      <c r="E3" s="701"/>
      <c r="F3" s="701"/>
      <c r="G3" s="701"/>
      <c r="H3" s="701"/>
      <c r="I3" s="202"/>
      <c r="J3" s="202"/>
      <c r="K3" s="202"/>
      <c r="L3" s="58"/>
      <c r="M3" s="58"/>
      <c r="N3" s="58"/>
      <c r="O3" s="58"/>
      <c r="P3" s="58"/>
      <c r="Q3" s="58"/>
      <c r="R3" s="58"/>
      <c r="S3" s="58"/>
      <c r="T3" s="58"/>
      <c r="U3" s="58"/>
      <c r="V3" s="58"/>
    </row>
    <row r="4" spans="1:22" s="60" customFormat="1" ht="18.75">
      <c r="B4" s="701" t="s">
        <v>5074</v>
      </c>
      <c r="C4" s="701"/>
      <c r="D4" s="701"/>
      <c r="E4" s="701"/>
      <c r="F4" s="701"/>
      <c r="G4" s="701"/>
      <c r="H4" s="701"/>
      <c r="I4" s="202"/>
      <c r="J4" s="202"/>
      <c r="K4" s="202"/>
      <c r="L4" s="61"/>
      <c r="M4" s="59"/>
      <c r="N4" s="58"/>
      <c r="O4" s="58"/>
      <c r="P4" s="58"/>
      <c r="Q4" s="58"/>
      <c r="R4" s="58"/>
      <c r="S4" s="58"/>
      <c r="T4" s="58"/>
      <c r="U4" s="58"/>
      <c r="V4" s="58"/>
    </row>
    <row r="5" spans="1:22" s="60" customFormat="1" ht="18.75">
      <c r="A5" s="219"/>
      <c r="B5" s="701" t="s">
        <v>6286</v>
      </c>
      <c r="C5" s="701"/>
      <c r="D5" s="701"/>
      <c r="E5" s="701"/>
      <c r="F5" s="701"/>
      <c r="G5" s="701"/>
      <c r="H5" s="701"/>
      <c r="I5" s="202"/>
      <c r="J5" s="202"/>
      <c r="K5" s="202"/>
      <c r="L5" s="58"/>
      <c r="M5" s="59"/>
      <c r="N5" s="58"/>
      <c r="O5" s="58"/>
      <c r="P5" s="58"/>
      <c r="Q5" s="58"/>
      <c r="R5" s="58"/>
      <c r="S5" s="58"/>
      <c r="T5" s="58"/>
      <c r="U5" s="58"/>
      <c r="V5" s="58"/>
    </row>
    <row r="6" spans="1:22" s="48" customFormat="1" ht="24" customHeight="1">
      <c r="A6" s="214"/>
      <c r="B6" s="50" t="s">
        <v>82</v>
      </c>
      <c r="C6" s="62" t="s">
        <v>8521</v>
      </c>
      <c r="D6" s="62"/>
      <c r="E6" s="62"/>
      <c r="G6" s="52" t="s">
        <v>62</v>
      </c>
      <c r="H6" s="63">
        <f>'036-20-CAPA'!C19</f>
        <v>44370</v>
      </c>
      <c r="I6" s="52"/>
      <c r="L6" s="46"/>
      <c r="M6" s="46"/>
      <c r="N6" s="46"/>
      <c r="O6" s="46"/>
      <c r="P6" s="46"/>
      <c r="Q6" s="46"/>
      <c r="R6" s="46"/>
      <c r="S6" s="46"/>
    </row>
    <row r="7" spans="1:22" s="48" customFormat="1" ht="41.25" customHeight="1">
      <c r="A7" s="214"/>
      <c r="B7" s="50" t="s">
        <v>13</v>
      </c>
      <c r="C7" s="693" t="s">
        <v>8375</v>
      </c>
      <c r="D7" s="693"/>
      <c r="E7" s="693"/>
      <c r="F7" s="693"/>
      <c r="G7" s="50" t="s">
        <v>16</v>
      </c>
      <c r="H7" s="133" t="s">
        <v>8374</v>
      </c>
      <c r="I7" s="50"/>
      <c r="L7" s="46"/>
      <c r="M7" s="46"/>
      <c r="N7" s="46"/>
      <c r="O7" s="46"/>
      <c r="P7" s="46"/>
      <c r="Q7" s="46"/>
      <c r="R7" s="46"/>
      <c r="S7" s="46"/>
    </row>
    <row r="8" spans="1:22" s="48" customFormat="1" ht="28.5" customHeight="1">
      <c r="A8" s="214"/>
      <c r="B8" s="50" t="s">
        <v>83</v>
      </c>
      <c r="C8" s="53" t="s">
        <v>13516</v>
      </c>
      <c r="D8" s="51" t="s">
        <v>67</v>
      </c>
      <c r="E8" s="245" t="s">
        <v>68</v>
      </c>
      <c r="G8" s="52" t="s">
        <v>69</v>
      </c>
      <c r="H8" s="612" t="s">
        <v>13515</v>
      </c>
      <c r="I8" s="52"/>
      <c r="L8" s="46"/>
      <c r="M8" s="46"/>
      <c r="N8" s="46"/>
      <c r="O8" s="46"/>
      <c r="P8" s="46"/>
      <c r="Q8" s="46"/>
      <c r="R8" s="46"/>
      <c r="S8" s="46"/>
    </row>
    <row r="9" spans="1:22" s="78" customFormat="1" ht="9.75" customHeight="1">
      <c r="A9" s="188"/>
      <c r="B9" s="301"/>
      <c r="C9" s="299"/>
      <c r="D9" s="299"/>
      <c r="E9" s="299"/>
      <c r="F9" s="299"/>
      <c r="G9" s="299"/>
      <c r="H9" s="300"/>
      <c r="J9" s="79"/>
    </row>
    <row r="10" spans="1:22" s="78" customFormat="1" ht="15.75" customHeight="1">
      <c r="A10" s="188"/>
      <c r="B10" s="346"/>
      <c r="C10" s="347"/>
      <c r="D10" s="347"/>
      <c r="E10" s="347"/>
      <c r="F10" s="347"/>
      <c r="G10" s="347"/>
      <c r="H10" s="347"/>
      <c r="J10" s="79"/>
      <c r="K10" s="87"/>
      <c r="L10" s="87"/>
      <c r="M10" s="87"/>
      <c r="N10" s="87"/>
      <c r="O10" s="87"/>
      <c r="P10" s="87"/>
      <c r="Q10" s="87"/>
    </row>
    <row r="11" spans="1:22" s="78" customFormat="1" ht="38.25">
      <c r="A11" s="188"/>
      <c r="B11" s="80" t="s">
        <v>6284</v>
      </c>
      <c r="C11" s="81" t="s">
        <v>6486</v>
      </c>
      <c r="D11" s="82" t="s">
        <v>84</v>
      </c>
      <c r="E11" s="82" t="s">
        <v>10</v>
      </c>
      <c r="F11" s="83"/>
      <c r="G11" s="84"/>
      <c r="H11" s="85">
        <f>SUM(H12:H15)</f>
        <v>148.17133960000001</v>
      </c>
      <c r="J11" s="79"/>
      <c r="K11" s="87"/>
      <c r="L11" s="87"/>
      <c r="M11" s="87"/>
      <c r="N11" s="87"/>
      <c r="O11" s="87"/>
      <c r="P11" s="87"/>
      <c r="Q11" s="87"/>
    </row>
    <row r="12" spans="1:22" s="87" customFormat="1" ht="38.25">
      <c r="A12" s="232" t="s">
        <v>4544</v>
      </c>
      <c r="B12" s="531">
        <v>1363</v>
      </c>
      <c r="C12" s="451" t="str">
        <f>IF(A12="SERVIÇO",VLOOKUP(B12,SERVIÇOS!$A$6:$D$7645,2,0),IF(A12="INSUMO",VLOOKUP(B12,INSUMOS!$A$6:$D$6961,2,0),IF(A12="COTAÇÃO",VLOOKUP(B12,'036-20-Cotação'!$A$9:$G$529,2,0))))</f>
        <v xml:space="preserve">CHAPA DE MADEIRA COMPENSADA DE PINUS, VIROLA OU EQUIVALENTE, DE *2,2 X 1,6* M, E = 6 MM                                                                                                                                                                                                                                                                                                                                                                                                                   </v>
      </c>
      <c r="D12" s="452" t="str">
        <f>IF(A12="SERVIÇO",VLOOKUP(B12,SERVIÇOS!$A$6:$E$7645,5,0),IF(A12="INSUMO",VLOOKUP(B12,INSUMOS!$A$6:$E$6961,5,0),IF(A12="COTAÇÃO",VLOOKUP(B12,'036-20-Cotação'!$A$9:$H$529,8,0))))</f>
        <v>MAT.</v>
      </c>
      <c r="E12" s="452" t="str">
        <f>IF(A12="SERVIÇO",VLOOKUP(B12,SERVIÇOS!$A$6:$D$7645,3,0),IF(A12="INSUMO",VLOOKUP(B12,INSUMOS!$A$6:$D$6961,3,0),IF(A12="COTAÇÃO",VLOOKUP(B12,'036-20-Cotação'!$A$9:$G$529,4,0))))</f>
        <v xml:space="preserve">M2    </v>
      </c>
      <c r="F12" s="462">
        <f>2.3*0.7</f>
        <v>1.6099999999999999</v>
      </c>
      <c r="G12" s="453" t="str">
        <f>IF(A12="SERVIÇO",VLOOKUP(B12,SERVIÇOS!$A$6:$D$7645,4,0),IF(A12="INSUMO",VLOOKUP(B12,INSUMOS!$A$6:$D$6961,4,0),IF(A12="COTAÇÃO",VLOOKUP(B12,'036-20-Cotação'!$A$9:$G$529,3,0))))</f>
        <v>21,35</v>
      </c>
      <c r="H12" s="463">
        <f>G12*F12</f>
        <v>34.3735</v>
      </c>
      <c r="J12" s="547">
        <f>G12*F12</f>
        <v>34.3735</v>
      </c>
      <c r="K12" s="548"/>
      <c r="L12" s="548"/>
      <c r="M12" s="548"/>
    </row>
    <row r="13" spans="1:22" s="87" customFormat="1" ht="38.25">
      <c r="A13" s="232" t="s">
        <v>4542</v>
      </c>
      <c r="B13" s="531">
        <v>97086</v>
      </c>
      <c r="C13" s="451" t="str">
        <f>IF(A13="SERVIÇO",VLOOKUP(B13,SERVIÇOS!$A$6:$D$7645,2,0),IF(A13="INSUMO",VLOOKUP(B13,INSUMOS!$A$6:$D$6961,2,0),IF(A13="COTAÇÃO",VLOOKUP(B13,'036-20-Cotação'!$A$9:$G$529,2,0))))</f>
        <v>FABRICAÇÃO, MONTAGEM E DESMONTAGEM DE FORMA PARA RADIER, EM MADEIRA SERRADA, 4 UTILIZAÇÕES. AF_09/2017</v>
      </c>
      <c r="D13" s="452" t="str">
        <f>IF(A13="SERVIÇO",VLOOKUP(B13,SERVIÇOS!$A$6:$E$7645,5,0),IF(A13="INSUMO",VLOOKUP(B13,INSUMOS!$A$6:$E$6961,5,0),IF(A13="COTAÇÃO",VLOOKUP(B13,'036-20-Cotação'!$A$9:$H$529,8,0))))</f>
        <v>SER.CG</v>
      </c>
      <c r="E13" s="452" t="str">
        <f>IF(A13="SERVIÇO",VLOOKUP(B13,SERVIÇOS!$A$6:$D$7645,3,0),IF(A13="INSUMO",VLOOKUP(B13,INSUMOS!$A$6:$D$6961,3,0),IF(A13="COTAÇÃO",VLOOKUP(B13,'036-20-Cotação'!$A$9:$G$529,4,0))))</f>
        <v>M2</v>
      </c>
      <c r="F13" s="462">
        <f>(2.13+0.66)*2*0.1</f>
        <v>0.55800000000000005</v>
      </c>
      <c r="G13" s="453" t="str">
        <f>IF(A13="SERVIÇO",VLOOKUP(B13,SERVIÇOS!$A$6:$D$7645,4,0),IF(A13="INSUMO",VLOOKUP(B13,INSUMOS!$A$6:$D$6961,4,0),IF(A13="COTAÇÃO",VLOOKUP(B13,'036-20-Cotação'!$A$9:$G$529,3,0))))</f>
        <v>96,71</v>
      </c>
      <c r="H13" s="463">
        <f t="shared" ref="H13:H15" si="0">G13*F13</f>
        <v>53.964179999999999</v>
      </c>
      <c r="J13" s="201"/>
    </row>
    <row r="14" spans="1:22" s="87" customFormat="1" ht="38.25">
      <c r="A14" s="232" t="s">
        <v>4542</v>
      </c>
      <c r="B14" s="531">
        <v>94970</v>
      </c>
      <c r="C14" s="451" t="str">
        <f>IF(A14="SERVIÇO",VLOOKUP(B14,SERVIÇOS!$A$6:$D$7645,2,0),IF(A14="INSUMO",VLOOKUP(B14,INSUMOS!$A$6:$D$6961,2,0),IF(A14="COTAÇÃO",VLOOKUP(B14,'036-20-Cotação'!$A$9:$G$529,2,0))))</f>
        <v>CONCRETO FCK = 20MPA, TRAÇO 1:2,7:3 (CIMENTO/ AREIA MÉDIA/ BRITA 1)  - PREPARO MECÂNICO COM BETONEIRA 600 L. AF_07/2016</v>
      </c>
      <c r="D14" s="452" t="str">
        <f>IF(A14="SERVIÇO",VLOOKUP(B14,SERVIÇOS!$A$6:$E$7645,5,0),IF(A14="INSUMO",VLOOKUP(B14,INSUMOS!$A$6:$E$6961,5,0),IF(A14="COTAÇÃO",VLOOKUP(B14,'036-20-Cotação'!$A$9:$H$529,8,0))))</f>
        <v>SER.CG</v>
      </c>
      <c r="E14" s="452" t="str">
        <f>IF(A14="SERVIÇO",VLOOKUP(B14,SERVIÇOS!$A$6:$D$7645,3,0),IF(A14="INSUMO",VLOOKUP(B14,INSUMOS!$A$6:$D$6961,3,0),IF(A14="COTAÇÃO",VLOOKUP(B14,'036-20-Cotação'!$A$9:$G$529,4,0))))</f>
        <v>M3</v>
      </c>
      <c r="F14" s="462">
        <f>2.13*0.66*0.1</f>
        <v>0.14058000000000001</v>
      </c>
      <c r="G14" s="453" t="str">
        <f>IF(A14="SERVIÇO",VLOOKUP(B14,SERVIÇOS!$A$6:$D$7645,4,0),IF(A14="INSUMO",VLOOKUP(B14,INSUMOS!$A$6:$D$6961,4,0),IF(A14="COTAÇÃO",VLOOKUP(B14,'036-20-Cotação'!$A$9:$G$529,3,0))))</f>
        <v>320,42</v>
      </c>
      <c r="H14" s="463">
        <f t="shared" si="0"/>
        <v>45.044643600000008</v>
      </c>
      <c r="J14" s="201"/>
    </row>
    <row r="15" spans="1:22" s="87" customFormat="1" ht="38.25">
      <c r="A15" s="232" t="s">
        <v>4542</v>
      </c>
      <c r="B15" s="531">
        <v>85662</v>
      </c>
      <c r="C15" s="451" t="str">
        <f>IF(A15="SERVIÇO",VLOOKUP(B15,SERVIÇOS!$A$6:$D$7645,2,0),IF(A15="INSUMO",VLOOKUP(B15,INSUMOS!$A$6:$D$6961,2,0),IF(A15="COTAÇÃO",VLOOKUP(B15,'036-20-Cotação'!$A$9:$G$529,2,0))))</f>
        <v>ARMACAO EM TELA DE ACO SOLDADA NERVURADA Q-92, ACO CA-60, 4,2MM, MALHA 15X15CM</v>
      </c>
      <c r="D15" s="452" t="str">
        <f>IF(A15="SERVIÇO",VLOOKUP(B15,SERVIÇOS!$A$6:$E$7645,5,0),IF(A15="INSUMO",VLOOKUP(B15,INSUMOS!$A$6:$E$6961,5,0),IF(A15="COTAÇÃO",VLOOKUP(B15,'036-20-Cotação'!$A$9:$H$529,8,0))))</f>
        <v>SER.CG</v>
      </c>
      <c r="E15" s="452" t="str">
        <f>IF(A15="SERVIÇO",VLOOKUP(B15,SERVIÇOS!$A$6:$D$7645,3,0),IF(A15="INSUMO",VLOOKUP(B15,INSUMOS!$A$6:$D$6961,3,0),IF(A15="COTAÇÃO",VLOOKUP(B15,'036-20-Cotação'!$A$9:$G$529,4,0))))</f>
        <v>M2</v>
      </c>
      <c r="F15" s="462">
        <f>2.13*0.66</f>
        <v>1.4057999999999999</v>
      </c>
      <c r="G15" s="453" t="str">
        <f>IF(A15="SERVIÇO",VLOOKUP(B15,SERVIÇOS!$A$6:$D$7645,4,0),IF(A15="INSUMO",VLOOKUP(B15,INSUMOS!$A$6:$D$6961,4,0),IF(A15="COTAÇÃO",VLOOKUP(B15,'036-20-Cotação'!$A$9:$G$529,3,0))))</f>
        <v>10,52</v>
      </c>
      <c r="H15" s="463">
        <f t="shared" si="0"/>
        <v>14.789015999999998</v>
      </c>
      <c r="J15" s="201"/>
    </row>
    <row r="16" spans="1:22" s="87" customFormat="1" ht="12.75">
      <c r="A16" s="188"/>
      <c r="B16" s="348" t="s">
        <v>123</v>
      </c>
      <c r="C16" s="695"/>
      <c r="D16" s="696"/>
      <c r="E16" s="696"/>
      <c r="F16" s="696"/>
      <c r="G16" s="696"/>
      <c r="H16" s="697"/>
      <c r="J16" s="201"/>
    </row>
    <row r="17" spans="1:17" s="87" customFormat="1" ht="12.75">
      <c r="A17" s="188"/>
      <c r="B17" s="346"/>
      <c r="C17" s="316"/>
      <c r="D17" s="316"/>
      <c r="E17" s="316"/>
      <c r="F17" s="316"/>
      <c r="G17" s="316"/>
      <c r="H17" s="317"/>
      <c r="J17" s="201"/>
      <c r="K17" s="78"/>
      <c r="L17" s="78"/>
      <c r="M17" s="78"/>
      <c r="N17" s="78"/>
      <c r="O17" s="78"/>
      <c r="P17" s="78"/>
      <c r="Q17" s="78"/>
    </row>
    <row r="18" spans="1:17" s="87" customFormat="1" ht="63.75">
      <c r="A18" s="188"/>
      <c r="B18" s="80" t="s">
        <v>6496</v>
      </c>
      <c r="C18" s="81" t="s">
        <v>6491</v>
      </c>
      <c r="D18" s="82" t="s">
        <v>84</v>
      </c>
      <c r="E18" s="82" t="s">
        <v>4521</v>
      </c>
      <c r="F18" s="83"/>
      <c r="G18" s="84"/>
      <c r="H18" s="85">
        <f>SUM(H19:H23)</f>
        <v>1372.9659999999999</v>
      </c>
      <c r="J18" s="201"/>
      <c r="K18" s="78"/>
      <c r="L18" s="78"/>
      <c r="M18" s="78"/>
      <c r="N18" s="78"/>
      <c r="O18" s="78"/>
      <c r="P18" s="78"/>
      <c r="Q18" s="78"/>
    </row>
    <row r="19" spans="1:17" s="87" customFormat="1" ht="25.5">
      <c r="A19" s="225" t="s">
        <v>4544</v>
      </c>
      <c r="B19" s="464">
        <v>5034</v>
      </c>
      <c r="C19" s="451" t="str">
        <f>IF(A19="SERVIÇO",VLOOKUP(B19,SERVIÇOS!$A$6:$D$7645,2,0),IF(A19="INSUMO",VLOOKUP(B19,INSUMOS!$A$6:$D$6961,2,0),IF(A19="COTAÇÃO",VLOOKUP(B19,'036-20-Cotação'!$A$9:$G$529,2,0))))</f>
        <v xml:space="preserve">POSTE DE CONCRETO CIRCULAR, 600 KG, H = 10 M (NBR 8451)                                                                                                                                                                                                                                                                                                                                                                                                                                                   </v>
      </c>
      <c r="D19" s="452" t="str">
        <f>IF(A19="SERVIÇO",VLOOKUP(B19,SERVIÇOS!$A$6:$E$7645,5,0),IF(A19="INSUMO",VLOOKUP(B19,INSUMOS!$A$6:$E$6961,5,0),IF(A19="COTAÇÃO",VLOOKUP(B19,'036-20-Cotação'!$A$9:$H$529,8,0))))</f>
        <v>MAT.</v>
      </c>
      <c r="E19" s="452" t="str">
        <f>IF(A19="SERVIÇO",VLOOKUP(B19,SERVIÇOS!$A$6:$D$7645,3,0),IF(A19="INSUMO",VLOOKUP(B19,INSUMOS!$A$6:$D$6961,3,0),IF(A19="COTAÇÃO",VLOOKUP(B19,'036-20-Cotação'!$A$9:$G$529,4,0))))</f>
        <v xml:space="preserve">UN    </v>
      </c>
      <c r="F19" s="462" t="s">
        <v>6488</v>
      </c>
      <c r="G19" s="453" t="str">
        <f>IF(A19="SERVIÇO",VLOOKUP(B19,SERVIÇOS!$A$6:$D$7645,4,0),IF(A19="INSUMO",VLOOKUP(B19,INSUMOS!$A$6:$D$6961,4,0),IF(A19="COTAÇÃO",VLOOKUP(B19,'036-20-Cotação'!$A$9:$G$529,3,0))))</f>
        <v>1.036,10</v>
      </c>
      <c r="H19" s="463">
        <f t="shared" ref="H19:H23" si="1">G19*F19</f>
        <v>1036.0999999999999</v>
      </c>
      <c r="J19" s="201"/>
    </row>
    <row r="20" spans="1:17" s="87" customFormat="1" ht="25.5">
      <c r="A20" s="225" t="s">
        <v>4542</v>
      </c>
      <c r="B20" s="464">
        <v>88316</v>
      </c>
      <c r="C20" s="451" t="str">
        <f>IF(A20="SERVIÇO",VLOOKUP(B20,SERVIÇOS!$A$6:$D$7645,2,0),IF(A20="INSUMO",VLOOKUP(B20,INSUMOS!$A$6:$D$6961,2,0),IF(A20="COTAÇÃO",VLOOKUP(B20,'036-20-Cotação'!$A$9:$G$529,2,0))))</f>
        <v>SERVENTE COM ENCARGOS COMPLEMENTARES</v>
      </c>
      <c r="D20" s="452" t="str">
        <f>IF(A20="SERVIÇO",VLOOKUP(B20,SERVIÇOS!$A$6:$E$7645,5,0),IF(A20="INSUMO",VLOOKUP(B20,INSUMOS!$A$6:$E$6961,5,0),IF(A20="COTAÇÃO",VLOOKUP(B20,'036-20-Cotação'!$A$9:$H$529,8,0))))</f>
        <v>M.O</v>
      </c>
      <c r="E20" s="452" t="str">
        <f>IF(A20="SERVIÇO",VLOOKUP(B20,SERVIÇOS!$A$6:$D$7645,3,0),IF(A20="INSUMO",VLOOKUP(B20,INSUMOS!$A$6:$D$6961,3,0),IF(A20="COTAÇÃO",VLOOKUP(B20,'036-20-Cotação'!$A$9:$G$529,4,0))))</f>
        <v>H</v>
      </c>
      <c r="F20" s="462" t="s">
        <v>6493</v>
      </c>
      <c r="G20" s="453" t="str">
        <f>IF(A20="SERVIÇO",VLOOKUP(B20,SERVIÇOS!$A$6:$D$7645,4,0),IF(A20="INSUMO",VLOOKUP(B20,INSUMOS!$A$6:$D$6961,4,0),IF(A20="COTAÇÃO",VLOOKUP(B20,'036-20-Cotação'!$A$9:$G$529,3,0))))</f>
        <v>16,58</v>
      </c>
      <c r="H20" s="463">
        <f t="shared" si="1"/>
        <v>99.47999999999999</v>
      </c>
      <c r="J20" s="201"/>
    </row>
    <row r="21" spans="1:17" s="87" customFormat="1" ht="76.5">
      <c r="A21" s="225" t="s">
        <v>4542</v>
      </c>
      <c r="B21" s="464">
        <v>91634</v>
      </c>
      <c r="C21" s="451" t="str">
        <f>IF(A21="SERVIÇO",VLOOKUP(B21,SERVIÇOS!$A$6:$D$7645,2,0),IF(A21="INSUMO",VLOOKUP(B21,INSUMOS!$A$6:$D$6961,2,0),IF(A21="COTAÇÃO",VLOOKUP(B21,'036-20-Cotação'!$A$9:$G$529,2,0))))</f>
        <v>GUINDAUTO HIDRÁULICO, CAPACIDADE MÁXIMA DE CARGA 6500 KG, MOMENTO MÁXIMO DE CARGA 5,8 TM, ALCANCE MÁXIMO HORIZONTAL 7,60 M, INCLUSIVE CAMINHÃO TOCO PBT 9.700 KG, POTÊNCIA DE 160 CV - CHP DIURNO. AF_08/2015</v>
      </c>
      <c r="D21" s="452" t="str">
        <f>IF(A21="SERVIÇO",VLOOKUP(B21,SERVIÇOS!$A$6:$E$7645,5,0),IF(A21="INSUMO",VLOOKUP(B21,INSUMOS!$A$6:$E$6961,5,0),IF(A21="COTAÇÃO",VLOOKUP(B21,'036-20-Cotação'!$A$9:$H$529,8,0))))</f>
        <v>EQUIP.</v>
      </c>
      <c r="E21" s="452" t="str">
        <f>IF(A21="SERVIÇO",VLOOKUP(B21,SERVIÇOS!$A$6:$D$7645,3,0),IF(A21="INSUMO",VLOOKUP(B21,INSUMOS!$A$6:$D$6961,3,0),IF(A21="COTAÇÃO",VLOOKUP(B21,'036-20-Cotação'!$A$9:$G$529,4,0))))</f>
        <v>CHP</v>
      </c>
      <c r="F21" s="462" t="s">
        <v>6494</v>
      </c>
      <c r="G21" s="453" t="str">
        <f>IF(A21="SERVIÇO",VLOOKUP(B21,SERVIÇOS!$A$6:$D$7645,4,0),IF(A21="INSUMO",VLOOKUP(B21,INSUMOS!$A$6:$D$6961,4,0),IF(A21="COTAÇÃO",VLOOKUP(B21,'036-20-Cotação'!$A$9:$G$529,3,0))))</f>
        <v>132,58</v>
      </c>
      <c r="H21" s="463">
        <f t="shared" si="1"/>
        <v>165.72500000000002</v>
      </c>
      <c r="J21" s="201"/>
    </row>
    <row r="22" spans="1:17" s="87" customFormat="1" ht="38.25">
      <c r="A22" s="225" t="s">
        <v>4542</v>
      </c>
      <c r="B22" s="464">
        <v>92873</v>
      </c>
      <c r="C22" s="451" t="str">
        <f>IF(A22="SERVIÇO",VLOOKUP(B22,SERVIÇOS!$A$6:$D$7645,2,0),IF(A22="INSUMO",VLOOKUP(B22,INSUMOS!$A$6:$D$6961,2,0),IF(A22="COTAÇÃO",VLOOKUP(B22,'036-20-Cotação'!$A$9:$G$529,2,0))))</f>
        <v>LANÇAMENTO COM USO DE BALDES, ADENSAMENTO E ACABAMENTO DE CONCRETO EM ESTRUTURAS. AF_12/2015</v>
      </c>
      <c r="D22" s="452" t="str">
        <f>IF(A22="SERVIÇO",VLOOKUP(B22,SERVIÇOS!$A$6:$E$7645,5,0),IF(A22="INSUMO",VLOOKUP(B22,INSUMOS!$A$6:$E$6961,5,0),IF(A22="COTAÇÃO",VLOOKUP(B22,'036-20-Cotação'!$A$9:$H$529,8,0))))</f>
        <v>SER.CG</v>
      </c>
      <c r="E22" s="452" t="str">
        <f>IF(A22="SERVIÇO",VLOOKUP(B22,SERVIÇOS!$A$6:$D$7645,3,0),IF(A22="INSUMO",VLOOKUP(B22,INSUMOS!$A$6:$D$6961,3,0),IF(A22="COTAÇÃO",VLOOKUP(B22,'036-20-Cotação'!$A$9:$G$529,4,0))))</f>
        <v>M3</v>
      </c>
      <c r="F22" s="462" t="s">
        <v>6495</v>
      </c>
      <c r="G22" s="453" t="str">
        <f>IF(A22="SERVIÇO",VLOOKUP(B22,SERVIÇOS!$A$6:$D$7645,4,0),IF(A22="INSUMO",VLOOKUP(B22,INSUMOS!$A$6:$D$6961,4,0),IF(A22="COTAÇÃO",VLOOKUP(B22,'036-20-Cotação'!$A$9:$G$529,3,0))))</f>
        <v>175,67</v>
      </c>
      <c r="H22" s="463">
        <f t="shared" si="1"/>
        <v>26.350499999999997</v>
      </c>
      <c r="J22" s="201"/>
    </row>
    <row r="23" spans="1:17" s="87" customFormat="1" ht="38.25">
      <c r="A23" s="225" t="s">
        <v>4542</v>
      </c>
      <c r="B23" s="464">
        <v>94969</v>
      </c>
      <c r="C23" s="451" t="str">
        <f>IF(A23="SERVIÇO",VLOOKUP(B23,SERVIÇOS!$A$6:$D$7645,2,0),IF(A23="INSUMO",VLOOKUP(B23,INSUMOS!$A$6:$D$6961,2,0),IF(A23="COTAÇÃO",VLOOKUP(B23,'036-20-Cotação'!$A$9:$G$529,2,0))))</f>
        <v>CONCRETO FCK = 15MPA, TRAÇO 1:3,4:3,5 (CIMENTO/ AREIA MÉDIA/ BRITA 1)  - PREPARO MECÂNICO COM BETONEIRA 600 L. AF_07/2016</v>
      </c>
      <c r="D23" s="452" t="str">
        <f>IF(A23="SERVIÇO",VLOOKUP(B23,SERVIÇOS!$A$6:$E$7645,5,0),IF(A23="INSUMO",VLOOKUP(B23,INSUMOS!$A$6:$E$6961,5,0),IF(A23="COTAÇÃO",VLOOKUP(B23,'036-20-Cotação'!$A$9:$H$529,8,0))))</f>
        <v>SER.CG</v>
      </c>
      <c r="E23" s="452" t="str">
        <f>IF(A23="SERVIÇO",VLOOKUP(B23,SERVIÇOS!$A$6:$D$7645,3,0),IF(A23="INSUMO",VLOOKUP(B23,INSUMOS!$A$6:$D$6961,3,0),IF(A23="COTAÇÃO",VLOOKUP(B23,'036-20-Cotação'!$A$9:$G$529,4,0))))</f>
        <v>M3</v>
      </c>
      <c r="F23" s="462" t="s">
        <v>6495</v>
      </c>
      <c r="G23" s="453" t="str">
        <f>IF(A23="SERVIÇO",VLOOKUP(B23,SERVIÇOS!$A$6:$D$7645,4,0),IF(A23="INSUMO",VLOOKUP(B23,INSUMOS!$A$6:$D$6961,4,0),IF(A23="COTAÇÃO",VLOOKUP(B23,'036-20-Cotação'!$A$9:$G$529,3,0))))</f>
        <v>302,07</v>
      </c>
      <c r="H23" s="463">
        <f t="shared" si="1"/>
        <v>45.310499999999998</v>
      </c>
      <c r="J23" s="201"/>
    </row>
    <row r="24" spans="1:17" s="87" customFormat="1" ht="12.75">
      <c r="A24" s="188"/>
      <c r="B24" s="348" t="s">
        <v>123</v>
      </c>
      <c r="C24" s="695" t="s">
        <v>6492</v>
      </c>
      <c r="D24" s="696"/>
      <c r="E24" s="696"/>
      <c r="F24" s="696"/>
      <c r="G24" s="696"/>
      <c r="H24" s="697"/>
      <c r="J24" s="201"/>
      <c r="K24" s="78"/>
      <c r="L24" s="78"/>
      <c r="M24" s="78"/>
      <c r="N24" s="78"/>
      <c r="O24" s="78"/>
      <c r="P24" s="78"/>
      <c r="Q24" s="78"/>
    </row>
    <row r="25" spans="1:17" s="87" customFormat="1" ht="12.75">
      <c r="A25" s="188"/>
      <c r="B25" s="346"/>
      <c r="C25" s="360"/>
      <c r="D25" s="360"/>
      <c r="E25" s="360"/>
      <c r="F25" s="360"/>
      <c r="G25" s="360"/>
      <c r="H25" s="361"/>
      <c r="J25" s="201"/>
      <c r="K25" s="78"/>
      <c r="L25" s="78"/>
      <c r="M25" s="78"/>
      <c r="N25" s="78"/>
      <c r="O25" s="78"/>
      <c r="P25" s="78"/>
      <c r="Q25" s="78"/>
    </row>
    <row r="26" spans="1:17" s="87" customFormat="1" ht="25.5">
      <c r="A26" s="188"/>
      <c r="B26" s="80" t="s">
        <v>7336</v>
      </c>
      <c r="C26" s="81" t="s">
        <v>1557</v>
      </c>
      <c r="D26" s="82" t="s">
        <v>84</v>
      </c>
      <c r="E26" s="82" t="s">
        <v>150</v>
      </c>
      <c r="F26" s="83"/>
      <c r="G26" s="84"/>
      <c r="H26" s="85">
        <f>SUM(H27:H34)</f>
        <v>226.11085000000003</v>
      </c>
      <c r="J26" s="201"/>
      <c r="K26" s="78"/>
      <c r="L26" s="78"/>
      <c r="M26" s="78"/>
      <c r="N26" s="78"/>
      <c r="O26" s="78"/>
      <c r="P26" s="78"/>
      <c r="Q26" s="78"/>
    </row>
    <row r="27" spans="1:17" s="87" customFormat="1" ht="25.5">
      <c r="A27" s="225" t="s">
        <v>4544</v>
      </c>
      <c r="B27" s="464">
        <v>43054</v>
      </c>
      <c r="C27" s="451" t="str">
        <f>IF(A27="SERVIÇO",VLOOKUP(B27,SERVIÇOS!$A$6:$D$7645,2,0),IF(A27="INSUMO",VLOOKUP(B27,INSUMOS!$A$6:$D$6961,2,0),IF(A27="COTAÇÃO",VLOOKUP(B27,'036-20-Cotação'!$A$9:$G$529,2,0))))</f>
        <v xml:space="preserve">ACO CA-25, 10,0 MM, OU 12,5 MM, OU 16,0 MM, OU 20,0 MM, OU 25,0 MM, VERGALHAO                                                                                                                                                                                                                                                                                                                                                                                                                             </v>
      </c>
      <c r="D27" s="452" t="str">
        <f>IF(A27="SERVIÇO",VLOOKUP(B27,SERVIÇOS!$A$6:$E$7645,5,0),IF(A27="INSUMO",VLOOKUP(B27,INSUMOS!$A$6:$E$6961,5,0),IF(A27="COTAÇÃO",VLOOKUP(B27,'036-20-Cotação'!$A$9:$H$529,8,0))))</f>
        <v>MAT.</v>
      </c>
      <c r="E27" s="452" t="str">
        <f>IF(A27="SERVIÇO",VLOOKUP(B27,SERVIÇOS!$A$6:$D$7645,3,0),IF(A27="INSUMO",VLOOKUP(B27,INSUMOS!$A$6:$D$6961,3,0),IF(A27="COTAÇÃO",VLOOKUP(B27,'036-20-Cotação'!$A$9:$G$529,4,0))))</f>
        <v xml:space="preserve">KG    </v>
      </c>
      <c r="F27" s="462" t="s">
        <v>7330</v>
      </c>
      <c r="G27" s="453" t="str">
        <f>IF(A27="SERVIÇO",VLOOKUP(B27,SERVIÇOS!$A$6:$D$7645,4,0),IF(A27="INSUMO",VLOOKUP(B27,INSUMOS!$A$6:$D$6961,4,0),IF(A27="COTAÇÃO",VLOOKUP(B27,'036-20-Cotação'!$A$9:$G$529,3,0))))</f>
        <v>5,80</v>
      </c>
      <c r="H27" s="463">
        <f t="shared" ref="H27:H34" si="2">G27*F27</f>
        <v>29.58</v>
      </c>
      <c r="J27" s="201"/>
    </row>
    <row r="28" spans="1:17" s="87" customFormat="1" ht="25.5">
      <c r="A28" s="225" t="s">
        <v>4544</v>
      </c>
      <c r="B28" s="464">
        <v>370</v>
      </c>
      <c r="C28" s="451" t="str">
        <f>IF(A28="SERVIÇO",VLOOKUP(B28,SERVIÇOS!$A$6:$D$7645,2,0),IF(A28="INSUMO",VLOOKUP(B28,INSUMOS!$A$6:$D$6961,2,0),IF(A28="COTAÇÃO",VLOOKUP(B28,'036-20-Cotação'!$A$9:$G$529,2,0))))</f>
        <v xml:space="preserve">AREIA MEDIA - POSTO JAZIDA/FORNECEDOR (RETIRADO NA JAZIDA, SEM TRANSPORTE)                                                                                                                                                                                                                                                                                                                                                                                                                                </v>
      </c>
      <c r="D28" s="452" t="str">
        <f>IF(A28="SERVIÇO",VLOOKUP(B28,SERVIÇOS!$A$6:$E$7645,5,0),IF(A28="INSUMO",VLOOKUP(B28,INSUMOS!$A$6:$E$6961,5,0),IF(A28="COTAÇÃO",VLOOKUP(B28,'036-20-Cotação'!$A$9:$H$529,8,0))))</f>
        <v>MAT.</v>
      </c>
      <c r="E28" s="452" t="str">
        <f>IF(A28="SERVIÇO",VLOOKUP(B28,SERVIÇOS!$A$6:$D$7645,3,0),IF(A28="INSUMO",VLOOKUP(B28,INSUMOS!$A$6:$D$6961,3,0),IF(A28="COTAÇÃO",VLOOKUP(B28,'036-20-Cotação'!$A$9:$G$529,4,0))))</f>
        <v xml:space="preserve">M3    </v>
      </c>
      <c r="F28" s="462" t="s">
        <v>7331</v>
      </c>
      <c r="G28" s="453" t="str">
        <f>IF(A28="SERVIÇO",VLOOKUP(B28,SERVIÇOS!$A$6:$D$7645,4,0),IF(A28="INSUMO",VLOOKUP(B28,INSUMOS!$A$6:$D$6961,4,0),IF(A28="COTAÇÃO",VLOOKUP(B28,'036-20-Cotação'!$A$9:$G$529,3,0))))</f>
        <v>95,00</v>
      </c>
      <c r="H28" s="463">
        <f t="shared" si="2"/>
        <v>2.375</v>
      </c>
      <c r="J28" s="201"/>
    </row>
    <row r="29" spans="1:17" s="87" customFormat="1" ht="12.75">
      <c r="A29" s="225" t="s">
        <v>4544</v>
      </c>
      <c r="B29" s="464">
        <v>1106</v>
      </c>
      <c r="C29" s="451" t="str">
        <f>IF(A29="SERVIÇO",VLOOKUP(B29,SERVIÇOS!$A$6:$D$7645,2,0),IF(A29="INSUMO",VLOOKUP(B29,INSUMOS!$A$6:$D$6961,2,0),IF(A29="COTAÇÃO",VLOOKUP(B29,'036-20-Cotação'!$A$9:$G$529,2,0))))</f>
        <v xml:space="preserve">CAL HIDRATADA CH-I PARA ARGAMASSAS                                                                                                                                                                                                                                                                                                                                                                                                                                                                        </v>
      </c>
      <c r="D29" s="452" t="str">
        <f>IF(A29="SERVIÇO",VLOOKUP(B29,SERVIÇOS!$A$6:$E$7645,5,0),IF(A29="INSUMO",VLOOKUP(B29,INSUMOS!$A$6:$E$6961,5,0),IF(A29="COTAÇÃO",VLOOKUP(B29,'036-20-Cotação'!$A$9:$H$529,8,0))))</f>
        <v>MAT.</v>
      </c>
      <c r="E29" s="452" t="str">
        <f>IF(A29="SERVIÇO",VLOOKUP(B29,SERVIÇOS!$A$6:$D$7645,3,0),IF(A29="INSUMO",VLOOKUP(B29,INSUMOS!$A$6:$D$6961,3,0),IF(A29="COTAÇÃO",VLOOKUP(B29,'036-20-Cotação'!$A$9:$G$529,4,0))))</f>
        <v xml:space="preserve">KG    </v>
      </c>
      <c r="F29" s="462" t="s">
        <v>6488</v>
      </c>
      <c r="G29" s="453" t="str">
        <f>IF(A29="SERVIÇO",VLOOKUP(B29,SERVIÇOS!$A$6:$D$7645,4,0),IF(A29="INSUMO",VLOOKUP(B29,INSUMOS!$A$6:$D$6961,4,0),IF(A29="COTAÇÃO",VLOOKUP(B29,'036-20-Cotação'!$A$9:$G$529,3,0))))</f>
        <v>0,71</v>
      </c>
      <c r="H29" s="463">
        <f t="shared" si="2"/>
        <v>0.71</v>
      </c>
      <c r="J29" s="201"/>
    </row>
    <row r="30" spans="1:17" s="87" customFormat="1" ht="12.75">
      <c r="A30" s="225" t="s">
        <v>4544</v>
      </c>
      <c r="B30" s="464">
        <v>1379</v>
      </c>
      <c r="C30" s="451" t="str">
        <f>IF(A30="SERVIÇO",VLOOKUP(B30,SERVIÇOS!$A$6:$D$7645,2,0),IF(A30="INSUMO",VLOOKUP(B30,INSUMOS!$A$6:$D$6961,2,0),IF(A30="COTAÇÃO",VLOOKUP(B30,'036-20-Cotação'!$A$9:$G$529,2,0))))</f>
        <v xml:space="preserve">CIMENTO PORTLAND COMPOSTO CP II-32                                                                                                                                                                                                                                                                                                                                                                                                                                                                        </v>
      </c>
      <c r="D30" s="452" t="str">
        <f>IF(A30="SERVIÇO",VLOOKUP(B30,SERVIÇOS!$A$6:$E$7645,5,0),IF(A30="INSUMO",VLOOKUP(B30,INSUMOS!$A$6:$E$6961,5,0),IF(A30="COTAÇÃO",VLOOKUP(B30,'036-20-Cotação'!$A$9:$H$529,8,0))))</f>
        <v>MAT.</v>
      </c>
      <c r="E30" s="452" t="str">
        <f>IF(A30="SERVIÇO",VLOOKUP(B30,SERVIÇOS!$A$6:$D$7645,3,0),IF(A30="INSUMO",VLOOKUP(B30,INSUMOS!$A$6:$D$6961,3,0),IF(A30="COTAÇÃO",VLOOKUP(B30,'036-20-Cotação'!$A$9:$G$529,4,0))))</f>
        <v xml:space="preserve">KG    </v>
      </c>
      <c r="F30" s="462" t="s">
        <v>7332</v>
      </c>
      <c r="G30" s="453" t="str">
        <f>IF(A30="SERVIÇO",VLOOKUP(B30,SERVIÇOS!$A$6:$D$7645,4,0),IF(A30="INSUMO",VLOOKUP(B30,INSUMOS!$A$6:$D$6961,4,0),IF(A30="COTAÇÃO",VLOOKUP(B30,'036-20-Cotação'!$A$9:$G$529,3,0))))</f>
        <v>0,43</v>
      </c>
      <c r="H30" s="463">
        <f t="shared" si="2"/>
        <v>1.9779999999999998</v>
      </c>
      <c r="J30" s="201"/>
    </row>
    <row r="31" spans="1:17" s="87" customFormat="1" ht="25.5">
      <c r="A31" s="225" t="s">
        <v>4544</v>
      </c>
      <c r="B31" s="464">
        <v>4777</v>
      </c>
      <c r="C31" s="451" t="str">
        <f>IF(A31="SERVIÇO",VLOOKUP(B31,SERVIÇOS!$A$6:$D$7645,2,0),IF(A31="INSUMO",VLOOKUP(B31,INSUMOS!$A$6:$D$6961,2,0),IF(A31="COTAÇÃO",VLOOKUP(B31,'036-20-Cotação'!$A$9:$G$529,2,0))))</f>
        <v xml:space="preserve">CANTONEIRA ACO ABAS IGUAIS (QUALQUER BITOLA), ESPESSURA ENTRE 1/8" E 1/4"                                                                                                                                                                                                                                                                                                                                                                                                                                 </v>
      </c>
      <c r="D31" s="452" t="str">
        <f>IF(A31="SERVIÇO",VLOOKUP(B31,SERVIÇOS!$A$6:$E$7645,5,0),IF(A31="INSUMO",VLOOKUP(B31,INSUMOS!$A$6:$E$6961,5,0),IF(A31="COTAÇÃO",VLOOKUP(B31,'036-20-Cotação'!$A$9:$H$529,8,0))))</f>
        <v>MAT.</v>
      </c>
      <c r="E31" s="452" t="str">
        <f>IF(A31="SERVIÇO",VLOOKUP(B31,SERVIÇOS!$A$6:$D$7645,3,0),IF(A31="INSUMO",VLOOKUP(B31,INSUMOS!$A$6:$D$6961,3,0),IF(A31="COTAÇÃO",VLOOKUP(B31,'036-20-Cotação'!$A$9:$G$529,4,0))))</f>
        <v xml:space="preserve">KG    </v>
      </c>
      <c r="F31" s="462" t="s">
        <v>7333</v>
      </c>
      <c r="G31" s="453" t="str">
        <f>IF(A31="SERVIÇO",VLOOKUP(B31,SERVIÇOS!$A$6:$D$7645,4,0),IF(A31="INSUMO",VLOOKUP(B31,INSUMOS!$A$6:$D$6961,4,0),IF(A31="COTAÇÃO",VLOOKUP(B31,'036-20-Cotação'!$A$9:$G$529,3,0))))</f>
        <v>4,57</v>
      </c>
      <c r="H31" s="463">
        <f t="shared" si="2"/>
        <v>37.748200000000004</v>
      </c>
      <c r="J31" s="201"/>
    </row>
    <row r="32" spans="1:17" s="87" customFormat="1" ht="25.5">
      <c r="A32" s="225" t="s">
        <v>4544</v>
      </c>
      <c r="B32" s="464">
        <v>11026</v>
      </c>
      <c r="C32" s="451" t="str">
        <f>IF(A32="SERVIÇO",VLOOKUP(B32,SERVIÇOS!$A$6:$D$7645,2,0),IF(A32="INSUMO",VLOOKUP(B32,INSUMOS!$A$6:$D$6961,2,0),IF(A32="COTAÇÃO",VLOOKUP(B32,'036-20-Cotação'!$A$9:$G$529,2,0))))</f>
        <v xml:space="preserve">CHAPA DE ACO GALVANIZADA BITOLA GSG 14, E = 1,95 MM (15,60 KG/M2)                                                                                                                                                                                                                                                                                                                                                                                                                                         </v>
      </c>
      <c r="D32" s="452" t="str">
        <f>IF(A32="SERVIÇO",VLOOKUP(B32,SERVIÇOS!$A$6:$E$7645,5,0),IF(A32="INSUMO",VLOOKUP(B32,INSUMOS!$A$6:$E$6961,5,0),IF(A32="COTAÇÃO",VLOOKUP(B32,'036-20-Cotação'!$A$9:$H$529,8,0))))</f>
        <v>MAT.</v>
      </c>
      <c r="E32" s="452" t="str">
        <f>IF(A32="SERVIÇO",VLOOKUP(B32,SERVIÇOS!$A$6:$D$7645,3,0),IF(A32="INSUMO",VLOOKUP(B32,INSUMOS!$A$6:$D$6961,3,0),IF(A32="COTAÇÃO",VLOOKUP(B32,'036-20-Cotação'!$A$9:$G$529,4,0))))</f>
        <v xml:space="preserve">KG    </v>
      </c>
      <c r="F32" s="462" t="s">
        <v>7334</v>
      </c>
      <c r="G32" s="453" t="str">
        <f>IF(A32="SERVIÇO",VLOOKUP(B32,SERVIÇOS!$A$6:$D$7645,4,0),IF(A32="INSUMO",VLOOKUP(B32,INSUMOS!$A$6:$D$6961,4,0),IF(A32="COTAÇÃO",VLOOKUP(B32,'036-20-Cotação'!$A$9:$G$529,3,0))))</f>
        <v>6,40</v>
      </c>
      <c r="H32" s="463">
        <f t="shared" si="2"/>
        <v>97.792000000000002</v>
      </c>
      <c r="J32" s="201"/>
    </row>
    <row r="33" spans="1:17" s="87" customFormat="1" ht="12.75">
      <c r="A33" s="225" t="s">
        <v>4542</v>
      </c>
      <c r="B33" s="464" t="s">
        <v>6614</v>
      </c>
      <c r="C33" s="451" t="str">
        <f>IF(A33="SERVIÇO",VLOOKUP(B33,SERVIÇOS!$A$6:$D$7645,2,0),IF(A33="INSUMO",VLOOKUP(B33,INSUMOS!$A$6:$D$6961,2,0),IF(A33="COTAÇÃO",VLOOKUP(B33,'036-20-Cotação'!$A$9:$G$529,2,0))))</f>
        <v>PEDREIRO</v>
      </c>
      <c r="D33" s="452" t="str">
        <f>IF(A33="SERVIÇO",VLOOKUP(B33,SERVIÇOS!$A$6:$E$7645,5,0),IF(A33="INSUMO",VLOOKUP(B33,INSUMOS!$A$6:$E$6961,5,0),IF(A33="COTAÇÃO",VLOOKUP(B33,'036-20-Cotação'!$A$9:$H$529,8,0))))</f>
        <v>M.O</v>
      </c>
      <c r="E33" s="452" t="str">
        <f>IF(A33="SERVIÇO",VLOOKUP(B33,SERVIÇOS!$A$6:$D$7645,3,0),IF(A33="INSUMO",VLOOKUP(B33,INSUMOS!$A$6:$D$6961,3,0),IF(A33="COTAÇÃO",VLOOKUP(B33,'036-20-Cotação'!$A$9:$G$529,4,0))))</f>
        <v>H</v>
      </c>
      <c r="F33" s="462" t="s">
        <v>7335</v>
      </c>
      <c r="G33" s="453">
        <f>IF(A33="SERVIÇO",VLOOKUP(B33,SERVIÇOS!$A$6:$D$7645,4,0),IF(A33="INSUMO",VLOOKUP(B33,INSUMOS!$A$6:$D$6961,4,0),IF(A33="COTAÇÃO",VLOOKUP(B33,'036-20-Cotação'!$A$9:$G$529,3,0))))</f>
        <v>21.647600000000001</v>
      </c>
      <c r="H33" s="463">
        <f t="shared" si="2"/>
        <v>32.471400000000003</v>
      </c>
      <c r="J33" s="201"/>
    </row>
    <row r="34" spans="1:17" s="87" customFormat="1" ht="12.75">
      <c r="A34" s="225" t="s">
        <v>4542</v>
      </c>
      <c r="B34" s="464" t="s">
        <v>6602</v>
      </c>
      <c r="C34" s="451" t="str">
        <f>IF(A34="SERVIÇO",VLOOKUP(B34,SERVIÇOS!$A$6:$D$7645,2,0),IF(A34="INSUMO",VLOOKUP(B34,INSUMOS!$A$6:$D$6961,2,0),IF(A34="COTAÇÃO",VLOOKUP(B34,'036-20-Cotação'!$A$9:$G$529,2,0))))</f>
        <v>SERVENTE</v>
      </c>
      <c r="D34" s="452" t="str">
        <f>IF(A34="SERVIÇO",VLOOKUP(B34,SERVIÇOS!$A$6:$E$7645,5,0),IF(A34="INSUMO",VLOOKUP(B34,INSUMOS!$A$6:$E$6961,5,0),IF(A34="COTAÇÃO",VLOOKUP(B34,'036-20-Cotação'!$A$9:$H$529,8,0))))</f>
        <v>M.O</v>
      </c>
      <c r="E34" s="452" t="str">
        <f>IF(A34="SERVIÇO",VLOOKUP(B34,SERVIÇOS!$A$6:$D$7645,3,0),IF(A34="INSUMO",VLOOKUP(B34,INSUMOS!$A$6:$D$6961,3,0),IF(A34="COTAÇÃO",VLOOKUP(B34,'036-20-Cotação'!$A$9:$G$529,4,0))))</f>
        <v>H</v>
      </c>
      <c r="F34" s="462" t="s">
        <v>7335</v>
      </c>
      <c r="G34" s="453">
        <f>IF(A34="SERVIÇO",VLOOKUP(B34,SERVIÇOS!$A$6:$D$7645,4,0),IF(A34="INSUMO",VLOOKUP(B34,INSUMOS!$A$6:$D$6961,4,0),IF(A34="COTAÇÃO",VLOOKUP(B34,'036-20-Cotação'!$A$9:$G$529,3,0))))</f>
        <v>15.637499999999999</v>
      </c>
      <c r="H34" s="463">
        <f t="shared" si="2"/>
        <v>23.456249999999997</v>
      </c>
      <c r="J34" s="201"/>
    </row>
    <row r="35" spans="1:17" s="87" customFormat="1" ht="12.75">
      <c r="A35" s="188"/>
      <c r="B35" s="348" t="s">
        <v>123</v>
      </c>
      <c r="C35" s="695" t="s">
        <v>7929</v>
      </c>
      <c r="D35" s="696"/>
      <c r="E35" s="696"/>
      <c r="F35" s="696"/>
      <c r="G35" s="696"/>
      <c r="H35" s="697"/>
      <c r="J35" s="201"/>
      <c r="K35" s="78"/>
      <c r="L35" s="78"/>
      <c r="M35" s="78"/>
      <c r="N35" s="78"/>
      <c r="O35" s="78"/>
      <c r="P35" s="78"/>
      <c r="Q35" s="78"/>
    </row>
    <row r="36" spans="1:17" s="87" customFormat="1" ht="12.75">
      <c r="A36" s="188"/>
      <c r="B36" s="346"/>
      <c r="C36" s="360"/>
      <c r="D36" s="360"/>
      <c r="E36" s="360"/>
      <c r="F36" s="360"/>
      <c r="G36" s="360"/>
      <c r="H36" s="361"/>
      <c r="J36" s="201"/>
      <c r="K36" s="78"/>
      <c r="L36" s="78"/>
      <c r="M36" s="78"/>
      <c r="N36" s="78"/>
      <c r="O36" s="78"/>
      <c r="P36" s="78"/>
      <c r="Q36" s="78"/>
    </row>
    <row r="37" spans="1:17" s="87" customFormat="1" ht="51">
      <c r="A37" s="188"/>
      <c r="B37" s="80" t="s">
        <v>7347</v>
      </c>
      <c r="C37" s="81" t="s">
        <v>7926</v>
      </c>
      <c r="D37" s="82" t="s">
        <v>84</v>
      </c>
      <c r="E37" s="82" t="s">
        <v>89</v>
      </c>
      <c r="F37" s="83"/>
      <c r="G37" s="84"/>
      <c r="H37" s="85">
        <f>SUM(H38:H41)</f>
        <v>242.8636381228583</v>
      </c>
      <c r="J37" s="201" t="s">
        <v>7928</v>
      </c>
      <c r="K37" s="78"/>
      <c r="L37" s="78"/>
      <c r="M37" s="78"/>
      <c r="N37" s="78"/>
      <c r="O37" s="78"/>
      <c r="P37" s="78"/>
      <c r="Q37" s="78"/>
    </row>
    <row r="38" spans="1:17" s="87" customFormat="1" ht="12.75">
      <c r="A38" s="232" t="s">
        <v>4542</v>
      </c>
      <c r="B38" s="464" t="s">
        <v>6614</v>
      </c>
      <c r="C38" s="451" t="str">
        <f>IF(A38="SERVIÇO",VLOOKUP(B38,SERVIÇOS!$A$6:$D$7645,2,0),IF(A38="INSUMO",VLOOKUP(B38,INSUMOS!$A$6:$D$6961,2,0),IF(A38="COTAÇÃO",VLOOKUP(B38,'036-20-Cotação'!$A$9:$G$529,2,0))))</f>
        <v>PEDREIRO</v>
      </c>
      <c r="D38" s="452" t="str">
        <f>IF(A38="SERVIÇO",VLOOKUP(B38,SERVIÇOS!$A$6:$E$7645,5,0),IF(A38="INSUMO",VLOOKUP(B38,INSUMOS!$A$6:$E$6961,5,0),IF(A38="COTAÇÃO",VLOOKUP(B38,'036-20-Cotação'!$A$9:$H$529,8,0))))</f>
        <v>M.O</v>
      </c>
      <c r="E38" s="452" t="str">
        <f>IF(A38="SERVIÇO",VLOOKUP(B38,SERVIÇOS!$A$6:$D$7645,3,0),IF(A38="INSUMO",VLOOKUP(B38,INSUMOS!$A$6:$D$6961,3,0),IF(A38="COTAÇÃO",VLOOKUP(B38,'036-20-Cotação'!$A$9:$G$529,4,0))))</f>
        <v>H</v>
      </c>
      <c r="F38" s="462">
        <f>1/5</f>
        <v>0.2</v>
      </c>
      <c r="G38" s="453">
        <f>IF(A38="SERVIÇO",VLOOKUP(B38,SERVIÇOS!$A$6:$D$7645,4,0),IF(A38="INSUMO",VLOOKUP(B38,INSUMOS!$A$6:$D$6961,4,0),IF(A38="COTAÇÃO",VLOOKUP(B38,'036-20-Cotação'!$A$9:$G$529,3,0))))</f>
        <v>21.647600000000001</v>
      </c>
      <c r="H38" s="463">
        <f t="shared" ref="H38:H41" si="3">G38*F38</f>
        <v>4.3295200000000005</v>
      </c>
      <c r="J38" s="201"/>
    </row>
    <row r="39" spans="1:17" s="87" customFormat="1" ht="12.75">
      <c r="A39" s="232" t="s">
        <v>4542</v>
      </c>
      <c r="B39" s="464" t="s">
        <v>6602</v>
      </c>
      <c r="C39" s="451" t="str">
        <f>IF(A39="SERVIÇO",VLOOKUP(B39,SERVIÇOS!$A$6:$D$7645,2,0),IF(A39="INSUMO",VLOOKUP(B39,INSUMOS!$A$6:$D$6961,2,0),IF(A39="COTAÇÃO",VLOOKUP(B39,'036-20-Cotação'!$A$9:$G$529,2,0))))</f>
        <v>SERVENTE</v>
      </c>
      <c r="D39" s="452" t="str">
        <f>IF(A39="SERVIÇO",VLOOKUP(B39,SERVIÇOS!$A$6:$E$7645,5,0),IF(A39="INSUMO",VLOOKUP(B39,INSUMOS!$A$6:$E$6961,5,0),IF(A39="COTAÇÃO",VLOOKUP(B39,'036-20-Cotação'!$A$9:$H$529,8,0))))</f>
        <v>M.O</v>
      </c>
      <c r="E39" s="452" t="str">
        <f>IF(A39="SERVIÇO",VLOOKUP(B39,SERVIÇOS!$A$6:$D$7645,3,0),IF(A39="INSUMO",VLOOKUP(B39,INSUMOS!$A$6:$D$6961,3,0),IF(A39="COTAÇÃO",VLOOKUP(B39,'036-20-Cotação'!$A$9:$G$529,4,0))))</f>
        <v>H</v>
      </c>
      <c r="F39" s="462">
        <f>1/5</f>
        <v>0.2</v>
      </c>
      <c r="G39" s="453">
        <f>IF(A39="SERVIÇO",VLOOKUP(B39,SERVIÇOS!$A$6:$D$7645,4,0),IF(A39="INSUMO",VLOOKUP(B39,INSUMOS!$A$6:$D$6961,4,0),IF(A39="COTAÇÃO",VLOOKUP(B39,'036-20-Cotação'!$A$9:$G$529,3,0))))</f>
        <v>15.637499999999999</v>
      </c>
      <c r="H39" s="463">
        <f t="shared" si="3"/>
        <v>3.1274999999999999</v>
      </c>
      <c r="J39" s="201"/>
    </row>
    <row r="40" spans="1:17" s="87" customFormat="1" ht="38.25">
      <c r="A40" s="232" t="s">
        <v>12</v>
      </c>
      <c r="B40" s="464" t="s">
        <v>7927</v>
      </c>
      <c r="C40" s="451" t="str">
        <f>IF(A40="SERVIÇO",VLOOKUP(B40,SERVIÇOS!$A$6:$D$7645,2,0),IF(A40="INSUMO",VLOOKUP(B40,INSUMOS!$A$6:$D$6961,2,0),IF(A40="COTAÇÃO",VLOOKUP(B40,'036-20-Cotação'!$A$9:$G$529,2,0))))</f>
        <v>DURÔMETRO DE POLIURETANO BAIXA VISCOSIDADE MC BAUCHEMIE MC INJEKT 2700 L COMP. A/B OU EQUIVALENTE</v>
      </c>
      <c r="D40" s="452" t="str">
        <f>IF(A40="SERVIÇO",VLOOKUP(B40,SERVIÇOS!$A$6:$E$7645,5,0),IF(A40="INSUMO",VLOOKUP(B40,INSUMOS!$A$6:$E$6961,5,0),IF(A40="COTAÇÃO",VLOOKUP(B40,'036-20-Cotação'!$A$9:$H$529,8,0))))</f>
        <v>MAT.</v>
      </c>
      <c r="E40" s="452" t="str">
        <f>IF(A40="SERVIÇO",VLOOKUP(B40,SERVIÇOS!$A$6:$D$7645,3,0),IF(A40="INSUMO",VLOOKUP(B40,INSUMOS!$A$6:$D$6961,3,0),IF(A40="COTAÇÃO",VLOOKUP(B40,'036-20-Cotação'!$A$9:$G$529,4,0))))</f>
        <v>KG</v>
      </c>
      <c r="F40" s="462">
        <v>1</v>
      </c>
      <c r="G40" s="453">
        <f>IF(A40="SERVIÇO",VLOOKUP(B40,SERVIÇOS!$A$6:$D$7645,4,0),IF(A40="INSUMO",VLOOKUP(B40,INSUMOS!$A$6:$D$6961,4,0),IF(A40="COTAÇÃO",VLOOKUP(B40,'036-20-Cotação'!$A$9:$G$529,3,0))))</f>
        <v>235.38569256077776</v>
      </c>
      <c r="H40" s="463">
        <f t="shared" si="3"/>
        <v>235.38569256077776</v>
      </c>
      <c r="J40" s="201"/>
    </row>
    <row r="41" spans="1:17" s="87" customFormat="1" ht="25.5">
      <c r="A41" s="232" t="s">
        <v>4542</v>
      </c>
      <c r="B41" s="464" t="str">
        <f>$B$281</f>
        <v>5914655-TF</v>
      </c>
      <c r="C41" s="451" t="str">
        <f>$C$281</f>
        <v>TEMPO FIXO - CAMINHÃO CARROCERIA 15 T - CARGA E DESCARGA MANUAIS</v>
      </c>
      <c r="D41" s="452" t="str">
        <f>$D$281</f>
        <v>SER.CG</v>
      </c>
      <c r="E41" s="452" t="str">
        <f>$E$281</f>
        <v>T</v>
      </c>
      <c r="F41" s="462">
        <v>1E-3</v>
      </c>
      <c r="G41" s="453">
        <f>$H$281</f>
        <v>20.925562080536913</v>
      </c>
      <c r="H41" s="463">
        <f t="shared" si="3"/>
        <v>2.0925562080536912E-2</v>
      </c>
      <c r="J41" s="201"/>
    </row>
    <row r="42" spans="1:17" s="87" customFormat="1" ht="12.75">
      <c r="A42" s="188"/>
      <c r="B42" s="348" t="s">
        <v>123</v>
      </c>
      <c r="C42" s="695" t="s">
        <v>8034</v>
      </c>
      <c r="D42" s="696"/>
      <c r="E42" s="696"/>
      <c r="F42" s="696"/>
      <c r="G42" s="696"/>
      <c r="H42" s="697"/>
      <c r="J42" s="201"/>
      <c r="K42" s="78"/>
      <c r="L42" s="78"/>
      <c r="M42" s="78"/>
      <c r="N42" s="78"/>
      <c r="O42" s="78"/>
      <c r="P42" s="78"/>
      <c r="Q42" s="78"/>
    </row>
    <row r="43" spans="1:17" s="87" customFormat="1" ht="12.75">
      <c r="A43" s="188"/>
      <c r="B43" s="346"/>
      <c r="C43" s="377"/>
      <c r="D43" s="377"/>
      <c r="E43" s="377"/>
      <c r="F43" s="377"/>
      <c r="G43" s="377"/>
      <c r="H43" s="378"/>
      <c r="J43" s="201"/>
      <c r="K43" s="78"/>
      <c r="L43" s="78"/>
      <c r="M43" s="78"/>
      <c r="N43" s="78"/>
      <c r="O43" s="78"/>
      <c r="P43" s="78"/>
      <c r="Q43" s="78"/>
    </row>
    <row r="44" spans="1:17" s="87" customFormat="1" ht="51">
      <c r="A44" s="188"/>
      <c r="B44" s="80" t="s">
        <v>7357</v>
      </c>
      <c r="C44" s="81" t="s">
        <v>8040</v>
      </c>
      <c r="D44" s="82" t="s">
        <v>84</v>
      </c>
      <c r="E44" s="82" t="s">
        <v>172</v>
      </c>
      <c r="F44" s="83"/>
      <c r="G44" s="84"/>
      <c r="H44" s="85">
        <f>SUM(H45:H53)</f>
        <v>658.46347092092776</v>
      </c>
      <c r="J44" s="201"/>
      <c r="K44" s="78"/>
      <c r="L44" s="78"/>
      <c r="M44" s="78"/>
      <c r="N44" s="78"/>
      <c r="O44" s="78"/>
      <c r="P44" s="78"/>
      <c r="Q44" s="78"/>
    </row>
    <row r="45" spans="1:17" s="87" customFormat="1" ht="25.5">
      <c r="A45" s="232" t="s">
        <v>4544</v>
      </c>
      <c r="B45" s="464" t="s">
        <v>7977</v>
      </c>
      <c r="C45" s="451" t="str">
        <f>IF(A45="SERVIÇO",VLOOKUP(B45,SERVIÇOS!$A$6:$D$7645,2,0),IF(A45="INSUMO",VLOOKUP(B45,INSUMOS!$A$6:$D$6961,2,0),IF(A45="COTAÇÃO",VLOOKUP(B45,'036-20-Cotação'!$A$9:$G$529,2,0))))</f>
        <v>ADITIVO PLASTIFICANTE E RETARDADOR TIPO PLASTIMENT OU SIMILAR</v>
      </c>
      <c r="D45" s="452" t="str">
        <f>IF(A45="SERVIÇO",VLOOKUP(B45,SERVIÇOS!$A$6:$E$7645,5,0),IF(A45="INSUMO",VLOOKUP(B45,INSUMOS!$A$6:$E$6961,5,0),IF(A45="COTAÇÃO",VLOOKUP(B45,'036-20-Cotação'!$A$9:$H$529,8,0))))</f>
        <v>MAT.</v>
      </c>
      <c r="E45" s="452" t="str">
        <f>IF(A45="SERVIÇO",VLOOKUP(B45,SERVIÇOS!$A$6:$D$7645,3,0),IF(A45="INSUMO",VLOOKUP(B45,INSUMOS!$A$6:$D$6961,3,0),IF(A45="COTAÇÃO",VLOOKUP(B45,'036-20-Cotação'!$A$9:$G$529,4,0))))</f>
        <v>KG</v>
      </c>
      <c r="F45" s="462">
        <v>2.8199999999999994</v>
      </c>
      <c r="G45" s="453">
        <f>IF(A45="SERVIÇO",VLOOKUP(B45,SERVIÇOS!$A$6:$D$7645,4,0),IF(A45="INSUMO",VLOOKUP(B45,INSUMOS!$A$6:$D$6961,4,0),IF(A45="COTAÇÃO",VLOOKUP(B45,'036-20-Cotação'!$A$9:$G$529,3,0))))</f>
        <v>5.0128000000000004</v>
      </c>
      <c r="H45" s="463">
        <f t="shared" ref="H45:H51" si="4">G45*F45</f>
        <v>14.136095999999998</v>
      </c>
      <c r="J45" s="201"/>
    </row>
    <row r="46" spans="1:17" s="87" customFormat="1" ht="12.75">
      <c r="A46" s="232" t="s">
        <v>4544</v>
      </c>
      <c r="B46" s="464" t="s">
        <v>8044</v>
      </c>
      <c r="C46" s="451" t="str">
        <f>IF(A46="SERVIÇO",VLOOKUP(B46,SERVIÇOS!$A$6:$D$7645,2,0),IF(A46="INSUMO",VLOOKUP(B46,INSUMOS!$A$6:$D$6961,2,0),IF(A46="COTAÇÃO",VLOOKUP(B46,'036-20-Cotação'!$A$9:$G$529,2,0))))</f>
        <v>AREIA GROSSA</v>
      </c>
      <c r="D46" s="452" t="str">
        <f>IF(A46="SERVIÇO",VLOOKUP(B46,SERVIÇOS!$A$6:$E$7645,5,0),IF(A46="INSUMO",VLOOKUP(B46,INSUMOS!$A$6:$E$6961,5,0),IF(A46="COTAÇÃO",VLOOKUP(B46,'036-20-Cotação'!$A$9:$H$529,8,0))))</f>
        <v>MAT.</v>
      </c>
      <c r="E46" s="452" t="str">
        <f>IF(A46="SERVIÇO",VLOOKUP(B46,SERVIÇOS!$A$6:$D$7645,3,0),IF(A46="INSUMO",VLOOKUP(B46,INSUMOS!$A$6:$D$6961,3,0),IF(A46="COTAÇÃO",VLOOKUP(B46,'036-20-Cotação'!$A$9:$G$529,4,0))))</f>
        <v>M³</v>
      </c>
      <c r="F46" s="462">
        <v>0.37</v>
      </c>
      <c r="G46" s="453">
        <f>IF(A46="SERVIÇO",VLOOKUP(B46,SERVIÇOS!$A$6:$D$7645,4,0),IF(A46="INSUMO",VLOOKUP(B46,INSUMOS!$A$6:$D$6961,4,0),IF(A46="COTAÇÃO",VLOOKUP(B46,'036-20-Cotação'!$A$9:$G$529,3,0))))</f>
        <v>106.5488</v>
      </c>
      <c r="H46" s="463">
        <f t="shared" si="4"/>
        <v>39.423056000000003</v>
      </c>
      <c r="J46" s="201"/>
    </row>
    <row r="47" spans="1:17" s="87" customFormat="1" ht="12.75">
      <c r="A47" s="232" t="s">
        <v>4544</v>
      </c>
      <c r="B47" s="464" t="s">
        <v>7350</v>
      </c>
      <c r="C47" s="451" t="str">
        <f>IF(A47="SERVIÇO",VLOOKUP(B47,SERVIÇOS!$A$6:$D$7645,2,0),IF(A47="INSUMO",VLOOKUP(B47,INSUMOS!$A$6:$D$6961,2,0),IF(A47="COTAÇÃO",VLOOKUP(B47,'036-20-Cotação'!$A$9:$G$529,2,0))))</f>
        <v>CIMENTO PORTLAND CP II - 32</v>
      </c>
      <c r="D47" s="452" t="str">
        <f>IF(A47="SERVIÇO",VLOOKUP(B47,SERVIÇOS!$A$6:$E$7645,5,0),IF(A47="INSUMO",VLOOKUP(B47,INSUMOS!$A$6:$E$6961,5,0),IF(A47="COTAÇÃO",VLOOKUP(B47,'036-20-Cotação'!$A$9:$H$529,8,0))))</f>
        <v>MAT.</v>
      </c>
      <c r="E47" s="452" t="str">
        <f>IF(A47="SERVIÇO",VLOOKUP(B47,SERVIÇOS!$A$6:$D$7645,3,0),IF(A47="INSUMO",VLOOKUP(B47,INSUMOS!$A$6:$D$6961,3,0),IF(A47="COTAÇÃO",VLOOKUP(B47,'036-20-Cotação'!$A$9:$G$529,4,0))))</f>
        <v>KG</v>
      </c>
      <c r="F47" s="462">
        <v>670.90000000000009</v>
      </c>
      <c r="G47" s="453">
        <f>IF(A47="SERVIÇO",VLOOKUP(B47,SERVIÇOS!$A$6:$D$7645,4,0),IF(A47="INSUMO",VLOOKUP(B47,INSUMOS!$A$6:$D$6961,4,0),IF(A47="COTAÇÃO",VLOOKUP(B47,'036-20-Cotação'!$A$9:$G$529,3,0))))</f>
        <v>0.44140000000000001</v>
      </c>
      <c r="H47" s="463">
        <f t="shared" si="4"/>
        <v>296.13526000000007</v>
      </c>
      <c r="J47" s="201"/>
    </row>
    <row r="48" spans="1:17" s="87" customFormat="1" ht="12.75">
      <c r="A48" s="232" t="s">
        <v>4544</v>
      </c>
      <c r="B48" s="464" t="s">
        <v>8045</v>
      </c>
      <c r="C48" s="451" t="str">
        <f>IF(A48="SERVIÇO",VLOOKUP(B48,SERVIÇOS!$A$6:$D$7645,2,0),IF(A48="INSUMO",VLOOKUP(B48,INSUMOS!$A$6:$D$6961,2,0),IF(A48="COTAÇÃO",VLOOKUP(B48,'036-20-Cotação'!$A$9:$G$529,2,0))))</f>
        <v>BRITA 0</v>
      </c>
      <c r="D48" s="452" t="str">
        <f>IF(A48="SERVIÇO",VLOOKUP(B48,SERVIÇOS!$A$6:$E$7645,5,0),IF(A48="INSUMO",VLOOKUP(B48,INSUMOS!$A$6:$E$6961,5,0),IF(A48="COTAÇÃO",VLOOKUP(B48,'036-20-Cotação'!$A$9:$H$529,8,0))))</f>
        <v>MAT.</v>
      </c>
      <c r="E48" s="452" t="str">
        <f>IF(A48="SERVIÇO",VLOOKUP(B48,SERVIÇOS!$A$6:$D$7645,3,0),IF(A48="INSUMO",VLOOKUP(B48,INSUMOS!$A$6:$D$6961,3,0),IF(A48="COTAÇÃO",VLOOKUP(B48,'036-20-Cotação'!$A$9:$G$529,4,0))))</f>
        <v>M³</v>
      </c>
      <c r="F48" s="462">
        <v>0.45999999999999996</v>
      </c>
      <c r="G48" s="453">
        <f>IF(A48="SERVIÇO",VLOOKUP(B48,SERVIÇOS!$A$6:$D$7645,4,0),IF(A48="INSUMO",VLOOKUP(B48,INSUMOS!$A$6:$D$6961,4,0),IF(A48="COTAÇÃO",VLOOKUP(B48,'036-20-Cotação'!$A$9:$G$529,3,0))))</f>
        <v>126.6837</v>
      </c>
      <c r="H48" s="463">
        <f t="shared" si="4"/>
        <v>58.274501999999998</v>
      </c>
      <c r="J48" s="201"/>
    </row>
    <row r="49" spans="1:17" s="87" customFormat="1" ht="12.75">
      <c r="A49" s="232" t="s">
        <v>4542</v>
      </c>
      <c r="B49" s="464" t="s">
        <v>8046</v>
      </c>
      <c r="C49" s="451" t="str">
        <f>IF(A49="SERVIÇO",VLOOKUP(B49,SERVIÇOS!$A$6:$D$7645,2,0),IF(A49="INSUMO",VLOOKUP(B49,INSUMOS!$A$6:$D$6961,2,0),IF(A49="COTAÇÃO",VLOOKUP(B49,'036-20-Cotação'!$A$9:$G$529,2,0))))</f>
        <v>OPERADOR DE EQUIPAMENTO LEVE</v>
      </c>
      <c r="D49" s="452" t="str">
        <f>IF(A49="SERVIÇO",VLOOKUP(B49,SERVIÇOS!$A$6:$E$7645,5,0),IF(A49="INSUMO",VLOOKUP(B49,INSUMOS!$A$6:$E$6961,5,0),IF(A49="COTAÇÃO",VLOOKUP(B49,'036-20-Cotação'!$A$9:$H$529,8,0))))</f>
        <v>M.O</v>
      </c>
      <c r="E49" s="452" t="str">
        <f>IF(A49="SERVIÇO",VLOOKUP(B49,SERVIÇOS!$A$6:$D$7645,3,0),IF(A49="INSUMO",VLOOKUP(B49,INSUMOS!$A$6:$D$6961,3,0),IF(A49="COTAÇÃO",VLOOKUP(B49,'036-20-Cotação'!$A$9:$G$529,4,0))))</f>
        <v>H</v>
      </c>
      <c r="F49" s="462">
        <v>2.94</v>
      </c>
      <c r="G49" s="453">
        <f>IF(A49="SERVIÇO",VLOOKUP(B49,SERVIÇOS!$A$6:$D$7645,4,0),IF(A49="INSUMO",VLOOKUP(B49,INSUMOS!$A$6:$D$6961,4,0),IF(A49="COTAÇÃO",VLOOKUP(B49,'036-20-Cotação'!$A$9:$G$529,3,0))))</f>
        <v>18.7666</v>
      </c>
      <c r="H49" s="463">
        <f t="shared" si="4"/>
        <v>55.173803999999997</v>
      </c>
      <c r="J49" s="201"/>
    </row>
    <row r="50" spans="1:17" s="87" customFormat="1" ht="51">
      <c r="A50" s="232" t="s">
        <v>4542</v>
      </c>
      <c r="B50" s="464">
        <v>88830</v>
      </c>
      <c r="C50" s="451" t="str">
        <f>IF(A50="SERVIÇO",VLOOKUP(B50,SERVIÇOS!$A$6:$D$7645,2,0),IF(A50="INSUMO",VLOOKUP(B50,INSUMOS!$A$6:$D$6961,2,0),IF(A50="COTAÇÃO",VLOOKUP(B50,'036-20-Cotação'!$A$9:$G$529,2,0))))</f>
        <v>BETONEIRA CAPACIDADE NOMINAL DE 400 L, CAPACIDADE DE MISTURA 280 L, MOTOR ELÉTRICO TRIFÁSICO POTÊNCIA DE 2 CV, SEM CARREGADOR - CHP DIURNO. AF_10/2014</v>
      </c>
      <c r="D50" s="452" t="str">
        <f>IF(A50="SERVIÇO",VLOOKUP(B50,SERVIÇOS!$A$6:$E$7645,5,0),IF(A50="INSUMO",VLOOKUP(B50,INSUMOS!$A$6:$E$6961,5,0),IF(A50="COTAÇÃO",VLOOKUP(B50,'036-20-Cotação'!$A$9:$H$529,8,0))))</f>
        <v>EQUIP.</v>
      </c>
      <c r="E50" s="452" t="str">
        <f>IF(A50="SERVIÇO",VLOOKUP(B50,SERVIÇOS!$A$6:$D$7645,3,0),IF(A50="INSUMO",VLOOKUP(B50,INSUMOS!$A$6:$D$6961,3,0),IF(A50="COTAÇÃO",VLOOKUP(B50,'036-20-Cotação'!$A$9:$G$529,4,0))))</f>
        <v>CHP</v>
      </c>
      <c r="F50" s="462">
        <v>0.89999999999999991</v>
      </c>
      <c r="G50" s="453" t="str">
        <f>IF(A50="SERVIÇO",VLOOKUP(B50,SERVIÇOS!$A$6:$D$7645,4,0),IF(A50="INSUMO",VLOOKUP(B50,INSUMOS!$A$6:$D$6961,4,0),IF(A50="COTAÇÃO",VLOOKUP(B50,'036-20-Cotação'!$A$9:$G$529,3,0))))</f>
        <v>1,27</v>
      </c>
      <c r="H50" s="463">
        <f t="shared" si="4"/>
        <v>1.1429999999999998</v>
      </c>
      <c r="J50" s="201"/>
    </row>
    <row r="51" spans="1:17" s="87" customFormat="1" ht="51">
      <c r="A51" s="232" t="s">
        <v>4542</v>
      </c>
      <c r="B51" s="464">
        <v>88831</v>
      </c>
      <c r="C51" s="451" t="str">
        <f>IF(A51="SERVIÇO",VLOOKUP(B51,SERVIÇOS!$A$6:$D$7645,2,0),IF(A51="INSUMO",VLOOKUP(B51,INSUMOS!$A$6:$D$6961,2,0),IF(A51="COTAÇÃO",VLOOKUP(B51,'036-20-Cotação'!$A$9:$G$529,2,0))))</f>
        <v>BETONEIRA CAPACIDADE NOMINAL DE 400 L, CAPACIDADE DE MISTURA 280 L, MOTOR ELÉTRICO TRIFÁSICO POTÊNCIA DE 2 CV, SEM CARREGADOR - CHI DIURNO. AF_10/2014</v>
      </c>
      <c r="D51" s="452" t="str">
        <f>IF(A51="SERVIÇO",VLOOKUP(B51,SERVIÇOS!$A$6:$E$7645,5,0),IF(A51="INSUMO",VLOOKUP(B51,INSUMOS!$A$6:$E$6961,5,0),IF(A51="COTAÇÃO",VLOOKUP(B51,'036-20-Cotação'!$A$9:$H$529,8,0))))</f>
        <v>EQUIP.</v>
      </c>
      <c r="E51" s="452" t="str">
        <f>IF(A51="SERVIÇO",VLOOKUP(B51,SERVIÇOS!$A$6:$D$7645,3,0),IF(A51="INSUMO",VLOOKUP(B51,INSUMOS!$A$6:$D$6961,3,0),IF(A51="COTAÇÃO",VLOOKUP(B51,'036-20-Cotação'!$A$9:$G$529,4,0))))</f>
        <v>CHI</v>
      </c>
      <c r="F51" s="462">
        <v>2.6499999999999995</v>
      </c>
      <c r="G51" s="453" t="str">
        <f>IF(A51="SERVIÇO",VLOOKUP(B51,SERVIÇOS!$A$6:$D$7645,4,0),IF(A51="INSUMO",VLOOKUP(B51,INSUMOS!$A$6:$D$6961,4,0),IF(A51="COTAÇÃO",VLOOKUP(B51,'036-20-Cotação'!$A$9:$G$529,3,0))))</f>
        <v>0,26</v>
      </c>
      <c r="H51" s="463">
        <f t="shared" si="4"/>
        <v>0.68899999999999983</v>
      </c>
      <c r="J51" s="201"/>
    </row>
    <row r="52" spans="1:17" s="87" customFormat="1" ht="25.5">
      <c r="A52" s="232" t="s">
        <v>12</v>
      </c>
      <c r="B52" s="464" t="s">
        <v>7985</v>
      </c>
      <c r="C52" s="451" t="str">
        <f>IF(A52="SERVIÇO",VLOOKUP(B52,SERVIÇOS!$A$6:$D$7645,2,0),IF(A52="INSUMO",VLOOKUP(B52,INSUMOS!$A$6:$D$6961,2,0),IF(A52="COTAÇÃO",VLOOKUP(B52,'036-20-Cotação'!$A$9:$G$529,2,0))))</f>
        <v>ADITIVO CRISTALIZANTE XYPEX ADMIX</v>
      </c>
      <c r="D52" s="452" t="str">
        <f>IF(A52="SERVIÇO",VLOOKUP(B52,SERVIÇOS!$A$6:$E$7645,5,0),IF(A52="INSUMO",VLOOKUP(B52,INSUMOS!$A$6:$E$6961,5,0),IF(A52="COTAÇÃO",VLOOKUP(B52,'036-20-Cotação'!$A$9:$H$529,8,0))))</f>
        <v>MAT.</v>
      </c>
      <c r="E52" s="452" t="str">
        <f>IF(A52="SERVIÇO",VLOOKUP(B52,SERVIÇOS!$A$6:$D$7645,3,0),IF(A52="INSUMO",VLOOKUP(B52,INSUMOS!$A$6:$D$6961,3,0),IF(A52="COTAÇÃO",VLOOKUP(B52,'036-20-Cotação'!$A$9:$G$529,4,0))))</f>
        <v>KG</v>
      </c>
      <c r="F52" s="462">
        <f>F47*0.01</f>
        <v>6.7090000000000014</v>
      </c>
      <c r="G52" s="453">
        <f>IF(A52="SERVIÇO",VLOOKUP(B52,SERVIÇOS!$A$6:$D$7645,4,0),IF(A52="INSUMO",VLOOKUP(B52,INSUMOS!$A$6:$D$6961,4,0),IF(A52="COTAÇÃO",VLOOKUP(B52,'036-20-Cotação'!$A$9:$G$529,3,0))))</f>
        <v>26.817867479643418</v>
      </c>
      <c r="H52" s="463">
        <f t="shared" ref="H52:H53" si="5">G52*F52</f>
        <v>179.92107292092774</v>
      </c>
      <c r="J52" s="201" t="s">
        <v>7987</v>
      </c>
    </row>
    <row r="53" spans="1:17" s="87" customFormat="1" ht="25.5">
      <c r="A53" s="232" t="s">
        <v>4544</v>
      </c>
      <c r="B53" s="464" t="s">
        <v>11216</v>
      </c>
      <c r="C53" s="451" t="str">
        <f>IF(A53="SERVIÇO",VLOOKUP(B53,SERVIÇOS!$A$6:$D$7645,2,0),IF(A53="INSUMO",VLOOKUP(B53,INSUMOS!$A$6:$D$6961,2,0),IF(A53="COTAÇÃO",VLOOKUP(B53,'036-20-Cotação'!$A$9:$G$529,2,0))))</f>
        <v>FIBRA DE POLIPROPILENO - C = 12 MM E D = 18 µM</v>
      </c>
      <c r="D53" s="452" t="str">
        <f>IF(A53="SERVIÇO",VLOOKUP(B53,SERVIÇOS!$A$6:$E$7645,5,0),IF(A53="INSUMO",VLOOKUP(B53,INSUMOS!$A$6:$E$6961,5,0),IF(A53="COTAÇÃO",VLOOKUP(B53,'036-20-Cotação'!$A$9:$H$529,8,0))))</f>
        <v>MAT.</v>
      </c>
      <c r="E53" s="452" t="str">
        <f>IF(A53="SERVIÇO",VLOOKUP(B53,SERVIÇOS!$A$6:$D$7645,3,0),IF(A53="INSUMO",VLOOKUP(B53,INSUMOS!$A$6:$D$6961,3,0),IF(A53="COTAÇÃO",VLOOKUP(B53,'036-20-Cotação'!$A$9:$G$529,4,0))))</f>
        <v>KG</v>
      </c>
      <c r="F53" s="462">
        <v>0.8</v>
      </c>
      <c r="G53" s="453">
        <f>IF(A53="SERVIÇO",VLOOKUP(B53,SERVIÇOS!$A$6:$D$7645,4,0),IF(A53="INSUMO",VLOOKUP(B53,INSUMOS!$A$6:$D$6961,4,0),IF(A53="COTAÇÃO",VLOOKUP(B53,'036-20-Cotação'!$A$9:$G$529,3,0))))</f>
        <v>16.959599999999998</v>
      </c>
      <c r="H53" s="463">
        <f t="shared" si="5"/>
        <v>13.567679999999999</v>
      </c>
      <c r="J53" s="201" t="s">
        <v>7988</v>
      </c>
    </row>
    <row r="54" spans="1:17" s="87" customFormat="1" ht="12.75">
      <c r="A54" s="188"/>
      <c r="B54" s="348" t="s">
        <v>123</v>
      </c>
      <c r="C54" s="695" t="s">
        <v>8039</v>
      </c>
      <c r="D54" s="696"/>
      <c r="E54" s="696"/>
      <c r="F54" s="696"/>
      <c r="G54" s="696"/>
      <c r="H54" s="697"/>
      <c r="J54" s="201"/>
      <c r="K54" s="78"/>
      <c r="L54" s="78"/>
      <c r="M54" s="78"/>
      <c r="N54" s="78"/>
      <c r="O54" s="78"/>
      <c r="P54" s="78"/>
      <c r="Q54" s="78"/>
    </row>
    <row r="55" spans="1:17" s="87" customFormat="1" ht="12.75">
      <c r="A55" s="188"/>
      <c r="B55" s="346"/>
      <c r="C55" s="362"/>
      <c r="D55" s="362"/>
      <c r="E55" s="362"/>
      <c r="F55" s="362"/>
      <c r="G55" s="362"/>
      <c r="H55" s="363"/>
      <c r="J55" s="201"/>
      <c r="K55" s="78"/>
      <c r="L55" s="78"/>
      <c r="M55" s="78"/>
      <c r="N55" s="78"/>
      <c r="O55" s="78"/>
      <c r="P55" s="78"/>
      <c r="Q55" s="78"/>
    </row>
    <row r="56" spans="1:17" s="87" customFormat="1" ht="89.25">
      <c r="A56" s="188"/>
      <c r="B56" s="80" t="s">
        <v>7363</v>
      </c>
      <c r="C56" s="81" t="s">
        <v>7364</v>
      </c>
      <c r="D56" s="82" t="s">
        <v>84</v>
      </c>
      <c r="E56" s="82" t="s">
        <v>89</v>
      </c>
      <c r="F56" s="83"/>
      <c r="G56" s="84"/>
      <c r="H56" s="85">
        <f>SUM(H57:H63)</f>
        <v>10.38236425219462</v>
      </c>
      <c r="J56" s="201" t="s">
        <v>8443</v>
      </c>
      <c r="K56" s="78"/>
      <c r="L56" s="78"/>
      <c r="M56" s="78"/>
      <c r="N56" s="78"/>
      <c r="O56" s="78"/>
      <c r="P56" s="78"/>
      <c r="Q56" s="78"/>
    </row>
    <row r="57" spans="1:17" s="87" customFormat="1" ht="25.5">
      <c r="A57" s="232" t="s">
        <v>4542</v>
      </c>
      <c r="B57" s="464" t="s">
        <v>9562</v>
      </c>
      <c r="C57" s="451" t="str">
        <f>IF(A57="SERVIÇO",VLOOKUP(B57,SERVIÇOS!$A$6:$D$7645,2,0),IF(A57="INSUMO",VLOOKUP(B57,INSUMOS!$A$6:$D$6961,2,0),IF(A57="COTAÇÃO",VLOOKUP(B57,'036-20-Cotação'!$A$9:$G$529,2,0))))</f>
        <v>CAMINHÃO CARROCERIA COM GUINDAUTO COM CAPACIDADE DE 20 T.M - 136 KW</v>
      </c>
      <c r="D57" s="452" t="str">
        <f>IF(A57="SERVIÇO",VLOOKUP(B57,SERVIÇOS!$A$6:$E$7645,5,0),IF(A57="INSUMO",VLOOKUP(B57,INSUMOS!$A$6:$E$6961,5,0),IF(A57="COTAÇÃO",VLOOKUP(B57,'036-20-Cotação'!$A$9:$H$529,8,0))))</f>
        <v>EQUIP.</v>
      </c>
      <c r="E57" s="452" t="str">
        <f>IF(A57="SERVIÇO",VLOOKUP(B57,SERVIÇOS!$A$6:$D$7645,3,0),IF(A57="INSUMO",VLOOKUP(B57,INSUMOS!$A$6:$D$6961,3,0),IF(A57="COTAÇÃO",VLOOKUP(B57,'036-20-Cotação'!$A$9:$G$529,4,0))))</f>
        <v>CHP</v>
      </c>
      <c r="F57" s="462">
        <f>0.0753/15</f>
        <v>5.0200000000000002E-3</v>
      </c>
      <c r="G57" s="453">
        <f>IF(A57="SERVIÇO",VLOOKUP(B57,SERVIÇOS!$A$6:$D$7645,4,0),IF(A57="INSUMO",VLOOKUP(B57,INSUMOS!$A$6:$D$6961,4,0),IF(A57="COTAÇÃO",VLOOKUP(B57,'036-20-Cotação'!$A$9:$G$529,3,0))))</f>
        <v>184.84899999999999</v>
      </c>
      <c r="H57" s="463">
        <f t="shared" ref="H57:H63" si="6">G57*F57</f>
        <v>0.92794197999999994</v>
      </c>
      <c r="J57" s="201"/>
    </row>
    <row r="58" spans="1:17" s="87" customFormat="1" ht="12.75">
      <c r="A58" s="232" t="s">
        <v>4542</v>
      </c>
      <c r="B58" s="464" t="s">
        <v>6825</v>
      </c>
      <c r="C58" s="451" t="str">
        <f>IF(A58="SERVIÇO",VLOOKUP(B58,SERVIÇOS!$A$6:$D$7645,2,0),IF(A58="INSUMO",VLOOKUP(B58,INSUMOS!$A$6:$D$6961,2,0),IF(A58="COTAÇÃO",VLOOKUP(B58,'036-20-Cotação'!$A$9:$G$529,2,0))))</f>
        <v>AJUDANTE</v>
      </c>
      <c r="D58" s="452" t="str">
        <f>IF(A58="SERVIÇO",VLOOKUP(B58,SERVIÇOS!$A$6:$E$7645,5,0),IF(A58="INSUMO",VLOOKUP(B58,INSUMOS!$A$6:$E$6961,5,0),IF(A58="COTAÇÃO",VLOOKUP(B58,'036-20-Cotação'!$A$9:$H$529,8,0))))</f>
        <v>M.O</v>
      </c>
      <c r="E58" s="452" t="str">
        <f>IF(A58="SERVIÇO",VLOOKUP(B58,SERVIÇOS!$A$6:$D$7645,3,0),IF(A58="INSUMO",VLOOKUP(B58,INSUMOS!$A$6:$D$6961,3,0),IF(A58="COTAÇÃO",VLOOKUP(B58,'036-20-Cotação'!$A$9:$G$529,4,0))))</f>
        <v>H</v>
      </c>
      <c r="F58" s="462">
        <f>1/15</f>
        <v>6.6666666666666666E-2</v>
      </c>
      <c r="G58" s="453">
        <f>IF(A58="SERVIÇO",VLOOKUP(B58,SERVIÇOS!$A$6:$D$7645,4,0),IF(A58="INSUMO",VLOOKUP(B58,INSUMOS!$A$6:$D$6961,4,0),IF(A58="COTAÇÃO",VLOOKUP(B58,'036-20-Cotação'!$A$9:$G$529,3,0))))</f>
        <v>17.9801</v>
      </c>
      <c r="H58" s="463">
        <f t="shared" si="6"/>
        <v>1.1986733333333333</v>
      </c>
      <c r="J58" s="201"/>
    </row>
    <row r="59" spans="1:17" s="87" customFormat="1" ht="12.75">
      <c r="A59" s="232" t="s">
        <v>4542</v>
      </c>
      <c r="B59" s="464" t="s">
        <v>6601</v>
      </c>
      <c r="C59" s="451" t="str">
        <f>IF(A59="SERVIÇO",VLOOKUP(B59,SERVIÇOS!$A$6:$D$7645,2,0),IF(A59="INSUMO",VLOOKUP(B59,INSUMOS!$A$6:$D$6961,2,0),IF(A59="COTAÇÃO",VLOOKUP(B59,'036-20-Cotação'!$A$9:$G$529,2,0))))</f>
        <v>MONTADOR</v>
      </c>
      <c r="D59" s="452" t="str">
        <f>IF(A59="SERVIÇO",VLOOKUP(B59,SERVIÇOS!$A$6:$E$7645,5,0),IF(A59="INSUMO",VLOOKUP(B59,INSUMOS!$A$6:$E$6961,5,0),IF(A59="COTAÇÃO",VLOOKUP(B59,'036-20-Cotação'!$A$9:$H$529,8,0))))</f>
        <v>M.O</v>
      </c>
      <c r="E59" s="452" t="str">
        <f>IF(A59="SERVIÇO",VLOOKUP(B59,SERVIÇOS!$A$6:$D$7645,3,0),IF(A59="INSUMO",VLOOKUP(B59,INSUMOS!$A$6:$D$6961,3,0),IF(A59="COTAÇÃO",VLOOKUP(B59,'036-20-Cotação'!$A$9:$G$529,4,0))))</f>
        <v>H</v>
      </c>
      <c r="F59" s="462">
        <f>1/15</f>
        <v>6.6666666666666666E-2</v>
      </c>
      <c r="G59" s="453">
        <f>IF(A59="SERVIÇO",VLOOKUP(B59,SERVIÇOS!$A$6:$D$7645,4,0),IF(A59="INSUMO",VLOOKUP(B59,INSUMOS!$A$6:$D$6961,4,0),IF(A59="COTAÇÃO",VLOOKUP(B59,'036-20-Cotação'!$A$9:$G$529,3,0))))</f>
        <v>23.4679</v>
      </c>
      <c r="H59" s="463">
        <f t="shared" si="6"/>
        <v>1.5645266666666666</v>
      </c>
      <c r="J59" s="201"/>
    </row>
    <row r="60" spans="1:17" s="87" customFormat="1" ht="25.9" customHeight="1">
      <c r="A60" s="232" t="s">
        <v>4542</v>
      </c>
      <c r="B60" s="464">
        <v>1408173</v>
      </c>
      <c r="C60" s="451" t="str">
        <f>$C$213</f>
        <v>CORTE COM MAÇARICO OXIACETILENO DE PERFIS METÁLICOS</v>
      </c>
      <c r="D60" s="452" t="str">
        <f>$D$213</f>
        <v>SER.CG</v>
      </c>
      <c r="E60" s="452" t="str">
        <f>$E$213</f>
        <v>CM2</v>
      </c>
      <c r="F60" s="462">
        <v>1</v>
      </c>
      <c r="G60" s="453">
        <f>$H$213</f>
        <v>0.55535668562067619</v>
      </c>
      <c r="H60" s="463">
        <f t="shared" si="6"/>
        <v>0.55535668562067619</v>
      </c>
      <c r="J60" s="201"/>
    </row>
    <row r="61" spans="1:17" s="87" customFormat="1" ht="25.9" customHeight="1">
      <c r="A61" s="232" t="s">
        <v>4542</v>
      </c>
      <c r="B61" s="464">
        <v>2408058</v>
      </c>
      <c r="C61" s="451" t="str">
        <f>$C$142</f>
        <v>SOLDA ELÉTRICA DE PERFIS METÁLICOS E CHAPAS DE AÇO COM ELETRODO E70XX</v>
      </c>
      <c r="D61" s="452" t="str">
        <f>$D$142</f>
        <v>SER.CG</v>
      </c>
      <c r="E61" s="452" t="str">
        <f>$E$142</f>
        <v>KG</v>
      </c>
      <c r="F61" s="462">
        <v>1.4999999999999999E-2</v>
      </c>
      <c r="G61" s="453">
        <f>$H$142</f>
        <v>70.963465562080543</v>
      </c>
      <c r="H61" s="463">
        <f t="shared" si="6"/>
        <v>1.0644519834312081</v>
      </c>
      <c r="J61" s="201"/>
    </row>
    <row r="62" spans="1:17" s="87" customFormat="1" ht="25.5">
      <c r="A62" s="232" t="s">
        <v>12</v>
      </c>
      <c r="B62" s="464" t="s">
        <v>7366</v>
      </c>
      <c r="C62" s="451" t="str">
        <f>IF(A62="SERVIÇO",VLOOKUP(B62,SERVIÇOS!$A$6:$D$7645,2,0),IF(A62="INSUMO",VLOOKUP(B62,INSUMOS!$A$6:$D$6961,2,0),IF(A62="COTAÇÃO",VLOOKUP(B62,'036-20-Cotação'!$A$9:$G$529,2,0))))</f>
        <v xml:space="preserve">CHAPA AÇO GROSSA USI SAC 350                                 </v>
      </c>
      <c r="D62" s="452" t="str">
        <f>IF(A62="SERVIÇO",VLOOKUP(B62,SERVIÇOS!$A$6:$E$7645,5,0),IF(A62="INSUMO",VLOOKUP(B62,INSUMOS!$A$6:$E$6961,5,0),IF(A62="COTAÇÃO",VLOOKUP(B62,'036-20-Cotação'!$A$9:$H$529,8,0))))</f>
        <v>MAT.</v>
      </c>
      <c r="E62" s="452" t="str">
        <f>IF(A62="SERVIÇO",VLOOKUP(B62,SERVIÇOS!$A$6:$D$7645,3,0),IF(A62="INSUMO",VLOOKUP(B62,INSUMOS!$A$6:$D$6961,3,0),IF(A62="COTAÇÃO",VLOOKUP(B62,'036-20-Cotação'!$A$9:$G$529,4,0))))</f>
        <v>KG</v>
      </c>
      <c r="F62" s="462">
        <v>1.03</v>
      </c>
      <c r="G62" s="453">
        <f>IF(A62="SERVIÇO",VLOOKUP(B62,SERVIÇOS!$A$6:$D$7645,4,0),IF(A62="INSUMO",VLOOKUP(B62,INSUMOS!$A$6:$D$6961,4,0),IF(A62="COTAÇÃO",VLOOKUP(B62,'036-20-Cotação'!$A$9:$G$529,3,0))))</f>
        <v>4.9027769652425057</v>
      </c>
      <c r="H62" s="463">
        <f t="shared" si="6"/>
        <v>5.0498602741997809</v>
      </c>
      <c r="J62" s="201"/>
    </row>
    <row r="63" spans="1:17" s="87" customFormat="1" ht="25.5">
      <c r="A63" s="232" t="s">
        <v>4542</v>
      </c>
      <c r="B63" s="464" t="str">
        <f>$B$281</f>
        <v>5914655-TF</v>
      </c>
      <c r="C63" s="451" t="str">
        <f>$C$281</f>
        <v>TEMPO FIXO - CAMINHÃO CARROCERIA 15 T - CARGA E DESCARGA MANUAIS</v>
      </c>
      <c r="D63" s="452" t="str">
        <f>$D$281</f>
        <v>SER.CG</v>
      </c>
      <c r="E63" s="452" t="str">
        <f>$E$281</f>
        <v>T</v>
      </c>
      <c r="F63" s="462">
        <v>1.0300000000000001E-3</v>
      </c>
      <c r="G63" s="453">
        <f>$H$281</f>
        <v>20.925562080536913</v>
      </c>
      <c r="H63" s="463">
        <f t="shared" si="6"/>
        <v>2.1553328942953021E-2</v>
      </c>
      <c r="J63" s="201"/>
    </row>
    <row r="64" spans="1:17" s="87" customFormat="1" ht="12.75">
      <c r="A64" s="188"/>
      <c r="B64" s="348" t="s">
        <v>123</v>
      </c>
      <c r="C64" s="695" t="s">
        <v>7904</v>
      </c>
      <c r="D64" s="696"/>
      <c r="E64" s="696"/>
      <c r="F64" s="696"/>
      <c r="G64" s="696"/>
      <c r="H64" s="697"/>
      <c r="J64" s="201"/>
      <c r="K64" s="78"/>
      <c r="L64" s="78"/>
      <c r="M64" s="78"/>
      <c r="N64" s="78"/>
      <c r="O64" s="78"/>
      <c r="P64" s="78"/>
      <c r="Q64" s="78"/>
    </row>
    <row r="65" spans="1:17" s="87" customFormat="1" ht="12.75">
      <c r="A65" s="188"/>
      <c r="B65" s="346"/>
      <c r="C65" s="362"/>
      <c r="D65" s="362"/>
      <c r="E65" s="362"/>
      <c r="F65" s="362"/>
      <c r="G65" s="362"/>
      <c r="H65" s="363"/>
      <c r="J65" s="201"/>
      <c r="K65" s="78"/>
      <c r="L65" s="78"/>
      <c r="M65" s="78"/>
      <c r="N65" s="78"/>
      <c r="O65" s="78"/>
      <c r="P65" s="78"/>
      <c r="Q65" s="78"/>
    </row>
    <row r="66" spans="1:17" s="87" customFormat="1" ht="25.5">
      <c r="A66" s="188"/>
      <c r="B66" s="80" t="s">
        <v>7368</v>
      </c>
      <c r="C66" s="81" t="s">
        <v>8062</v>
      </c>
      <c r="D66" s="82" t="s">
        <v>84</v>
      </c>
      <c r="E66" s="82" t="s">
        <v>89</v>
      </c>
      <c r="F66" s="83"/>
      <c r="G66" s="84"/>
      <c r="H66" s="85">
        <f>SUM(H67:H77)</f>
        <v>0.60807136077314705</v>
      </c>
      <c r="J66" s="201"/>
      <c r="K66" s="78"/>
      <c r="L66" s="78"/>
      <c r="M66" s="78"/>
      <c r="N66" s="78"/>
      <c r="O66" s="78"/>
      <c r="P66" s="78"/>
      <c r="Q66" s="78"/>
    </row>
    <row r="67" spans="1:17" s="87" customFormat="1" ht="25.5">
      <c r="A67" s="232" t="s">
        <v>4542</v>
      </c>
      <c r="B67" s="464" t="s">
        <v>9000</v>
      </c>
      <c r="C67" s="451" t="str">
        <f>IF(A67="SERVIÇO",VLOOKUP(B67,SERVIÇOS!$A$6:$D$7645,2,0),IF(A67="INSUMO",VLOOKUP(B67,INSUMOS!$A$6:$D$6961,2,0),IF(A67="COTAÇÃO",VLOOKUP(B67,'036-20-Cotação'!$A$9:$G$529,2,0))))</f>
        <v>COMPRESSOR DE AR PORTÁTIL DE 912 PCM - 242 KW</v>
      </c>
      <c r="D67" s="452" t="str">
        <f>IF(A67="SERVIÇO",VLOOKUP(B67,SERVIÇOS!$A$6:$E$7645,5,0),IF(A67="INSUMO",VLOOKUP(B67,INSUMOS!$A$6:$E$6961,5,0),IF(A67="COTAÇÃO",VLOOKUP(B67,'036-20-Cotação'!$A$9:$H$529,8,0))))</f>
        <v>EQUIP.</v>
      </c>
      <c r="E67" s="452" t="str">
        <f>IF(A67="SERVIÇO",VLOOKUP(B67,SERVIÇOS!$A$6:$D$7645,3,0),IF(A67="INSUMO",VLOOKUP(B67,INSUMOS!$A$6:$D$6961,3,0),IF(A67="COTAÇÃO",VLOOKUP(B67,'036-20-Cotação'!$A$9:$G$529,4,0))))</f>
        <v>CHP</v>
      </c>
      <c r="F67" s="462">
        <f>1/1738.35</f>
        <v>5.752581470935082E-4</v>
      </c>
      <c r="G67" s="453">
        <f>IF(A67="SERVIÇO",VLOOKUP(B67,SERVIÇOS!$A$6:$D$7645,4,0),IF(A67="INSUMO",VLOOKUP(B67,INSUMOS!$A$6:$D$6961,4,0),IF(A67="COTAÇÃO",VLOOKUP(B67,'036-20-Cotação'!$A$9:$G$529,3,0))))</f>
        <v>196.6591</v>
      </c>
      <c r="H67" s="463">
        <f t="shared" ref="H67:H76" si="7">G67*F67</f>
        <v>0.11312974947507694</v>
      </c>
      <c r="J67" s="201"/>
    </row>
    <row r="68" spans="1:17" s="87" customFormat="1" ht="25.5">
      <c r="A68" s="232" t="s">
        <v>4542</v>
      </c>
      <c r="B68" s="464" t="s">
        <v>9117</v>
      </c>
      <c r="C68" s="451" t="str">
        <f>IF(A68="SERVIÇO",VLOOKUP(B68,SERVIÇOS!$A$6:$D$7645,2,0),IF(A68="INSUMO",VLOOKUP(B68,INSUMOS!$A$6:$D$6961,2,0),IF(A68="COTAÇÃO",VLOOKUP(B68,'036-20-Cotação'!$A$9:$G$529,2,0))))</f>
        <v>EMBARCAÇÃO DE TRANSPORTE DE PESSOAL E APOIO LOGÍSTICO - 175 HP</v>
      </c>
      <c r="D68" s="452" t="str">
        <f>IF(A68="SERVIÇO",VLOOKUP(B68,SERVIÇOS!$A$6:$E$7645,5,0),IF(A68="INSUMO",VLOOKUP(B68,INSUMOS!$A$6:$E$6961,5,0),IF(A68="COTAÇÃO",VLOOKUP(B68,'036-20-Cotação'!$A$9:$H$529,8,0))))</f>
        <v>EQUIP.</v>
      </c>
      <c r="E68" s="452" t="str">
        <f>IF(A68="SERVIÇO",VLOOKUP(B68,SERVIÇOS!$A$6:$D$7645,3,0),IF(A68="INSUMO",VLOOKUP(B68,INSUMOS!$A$6:$D$6961,3,0),IF(A68="COTAÇÃO",VLOOKUP(B68,'036-20-Cotação'!$A$9:$G$529,4,0))))</f>
        <v>CHP</v>
      </c>
      <c r="F68" s="462">
        <f>0.5/1738.35</f>
        <v>2.876290735467541E-4</v>
      </c>
      <c r="G68" s="453">
        <f>IF(A68="SERVIÇO",VLOOKUP(B68,SERVIÇOS!$A$6:$D$7645,4,0),IF(A68="INSUMO",VLOOKUP(B68,INSUMOS!$A$6:$D$6961,4,0),IF(A68="COTAÇÃO",VLOOKUP(B68,'036-20-Cotação'!$A$9:$G$529,3,0))))</f>
        <v>274.07380000000001</v>
      </c>
      <c r="H68" s="463">
        <f t="shared" si="7"/>
        <v>7.8831593177438375E-2</v>
      </c>
      <c r="J68" s="201"/>
    </row>
    <row r="69" spans="1:17" s="87" customFormat="1" ht="25.5">
      <c r="A69" s="232" t="s">
        <v>4542</v>
      </c>
      <c r="B69" s="464" t="s">
        <v>9807</v>
      </c>
      <c r="C69" s="451" t="str">
        <f>IF(A69="SERVIÇO",VLOOKUP(B69,SERVIÇOS!$A$6:$D$7645,2,0),IF(A69="INSUMO",VLOOKUP(B69,INSUMOS!$A$6:$D$6961,2,0),IF(A69="COTAÇÃO",VLOOKUP(B69,'036-20-Cotação'!$A$9:$G$529,2,0))))</f>
        <v>EMBARCAÇÃO DE TRANSPORTE DE PESSOAL E APOIO LOGÍSTICO - 175 HP</v>
      </c>
      <c r="D69" s="452" t="str">
        <f>IF(A69="SERVIÇO",VLOOKUP(B69,SERVIÇOS!$A$6:$E$7645,5,0),IF(A69="INSUMO",VLOOKUP(B69,INSUMOS!$A$6:$E$6961,5,0),IF(A69="COTAÇÃO",VLOOKUP(B69,'036-20-Cotação'!$A$9:$H$529,8,0))))</f>
        <v>EQUIP.</v>
      </c>
      <c r="E69" s="452" t="str">
        <f>IF(A69="SERVIÇO",VLOOKUP(B69,SERVIÇOS!$A$6:$D$7645,3,0),IF(A69="INSUMO",VLOOKUP(B69,INSUMOS!$A$6:$D$6961,3,0),IF(A69="COTAÇÃO",VLOOKUP(B69,'036-20-Cotação'!$A$9:$G$529,4,0))))</f>
        <v>CHI</v>
      </c>
      <c r="F69" s="462">
        <f>0.5/1738.35</f>
        <v>2.876290735467541E-4</v>
      </c>
      <c r="G69" s="453">
        <f>IF(A69="SERVIÇO",VLOOKUP(B69,SERVIÇOS!$A$6:$D$7645,4,0),IF(A69="INSUMO",VLOOKUP(B69,INSUMOS!$A$6:$D$6961,4,0),IF(A69="COTAÇÃO",VLOOKUP(B69,'036-20-Cotação'!$A$9:$G$529,3,0))))</f>
        <v>41.510399999999997</v>
      </c>
      <c r="H69" s="463">
        <f t="shared" si="7"/>
        <v>1.1939597894555181E-2</v>
      </c>
      <c r="J69" s="201"/>
    </row>
    <row r="70" spans="1:17" s="87" customFormat="1" ht="12.75">
      <c r="A70" s="232" t="s">
        <v>4542</v>
      </c>
      <c r="B70" s="464" t="s">
        <v>9340</v>
      </c>
      <c r="C70" s="451" t="str">
        <f>IF(A70="SERVIÇO",VLOOKUP(B70,SERVIÇOS!$A$6:$D$7645,2,0),IF(A70="INSUMO",VLOOKUP(B70,INSUMOS!$A$6:$D$6961,2,0),IF(A70="COTAÇÃO",VLOOKUP(B70,'036-20-Cotação'!$A$9:$G$529,2,0))))</f>
        <v>GRUPO GERADOR - 310/340 KVA</v>
      </c>
      <c r="D70" s="452" t="str">
        <f>IF(A70="SERVIÇO",VLOOKUP(B70,SERVIÇOS!$A$6:$E$7645,5,0),IF(A70="INSUMO",VLOOKUP(B70,INSUMOS!$A$6:$E$6961,5,0),IF(A70="COTAÇÃO",VLOOKUP(B70,'036-20-Cotação'!$A$9:$H$529,8,0))))</f>
        <v>EQUIP.</v>
      </c>
      <c r="E70" s="452" t="str">
        <f>IF(A70="SERVIÇO",VLOOKUP(B70,SERVIÇOS!$A$6:$D$7645,3,0),IF(A70="INSUMO",VLOOKUP(B70,INSUMOS!$A$6:$D$6961,3,0),IF(A70="COTAÇÃO",VLOOKUP(B70,'036-20-Cotação'!$A$9:$G$529,4,0))))</f>
        <v>CHP</v>
      </c>
      <c r="F70" s="462">
        <f>1/1738.35</f>
        <v>5.752581470935082E-4</v>
      </c>
      <c r="G70" s="453">
        <f>IF(A70="SERVIÇO",VLOOKUP(B70,SERVIÇOS!$A$6:$D$7645,4,0),IF(A70="INSUMO",VLOOKUP(B70,INSUMOS!$A$6:$D$6961,4,0),IF(A70="COTAÇÃO",VLOOKUP(B70,'036-20-Cotação'!$A$9:$G$529,3,0))))</f>
        <v>184.82230000000001</v>
      </c>
      <c r="H70" s="463">
        <f t="shared" si="7"/>
        <v>0.10632053383956051</v>
      </c>
      <c r="J70" s="201"/>
    </row>
    <row r="71" spans="1:17" s="87" customFormat="1" ht="25.5">
      <c r="A71" s="232" t="s">
        <v>4542</v>
      </c>
      <c r="B71" s="464" t="s">
        <v>8813</v>
      </c>
      <c r="C71" s="451" t="str">
        <f>IF(A71="SERVIÇO",VLOOKUP(B71,SERVIÇOS!$A$6:$D$7645,2,0),IF(A71="INSUMO",VLOOKUP(B71,INSUMOS!$A$6:$D$6961,2,0),IF(A71="COTAÇÃO",VLOOKUP(B71,'036-20-Cotação'!$A$9:$G$529,2,0))))</f>
        <v>GUINCHO PNEUMÁTICO COM CAPACIDADE DE 2,5 T</v>
      </c>
      <c r="D71" s="452" t="str">
        <f>IF(A71="SERVIÇO",VLOOKUP(B71,SERVIÇOS!$A$6:$E$7645,5,0),IF(A71="INSUMO",VLOOKUP(B71,INSUMOS!$A$6:$E$6961,5,0),IF(A71="COTAÇÃO",VLOOKUP(B71,'036-20-Cotação'!$A$9:$H$529,8,0))))</f>
        <v>EQUIP.</v>
      </c>
      <c r="E71" s="452" t="str">
        <f>IF(A71="SERVIÇO",VLOOKUP(B71,SERVIÇOS!$A$6:$D$7645,3,0),IF(A71="INSUMO",VLOOKUP(B71,INSUMOS!$A$6:$D$6961,3,0),IF(A71="COTAÇÃO",VLOOKUP(B71,'036-20-Cotação'!$A$9:$G$529,4,0))))</f>
        <v>CHP</v>
      </c>
      <c r="F71" s="462">
        <f>4/1738.35</f>
        <v>2.3010325883740328E-3</v>
      </c>
      <c r="G71" s="453">
        <f>IF(A71="SERVIÇO",VLOOKUP(B71,SERVIÇOS!$A$6:$D$7645,4,0),IF(A71="INSUMO",VLOOKUP(B71,INSUMOS!$A$6:$D$6961,4,0),IF(A71="COTAÇÃO",VLOOKUP(B71,'036-20-Cotação'!$A$9:$G$529,3,0))))</f>
        <v>48.603499999999997</v>
      </c>
      <c r="H71" s="463">
        <f t="shared" si="7"/>
        <v>0.1118382374090373</v>
      </c>
      <c r="J71" s="201"/>
    </row>
    <row r="72" spans="1:17" s="87" customFormat="1" ht="25.5">
      <c r="A72" s="232" t="s">
        <v>4542</v>
      </c>
      <c r="B72" s="464" t="s">
        <v>8818</v>
      </c>
      <c r="C72" s="451" t="str">
        <f>IF(A72="SERVIÇO",VLOOKUP(B72,SERVIÇOS!$A$6:$D$7645,2,0),IF(A72="INSUMO",VLOOKUP(B72,INSUMOS!$A$6:$D$6961,2,0),IF(A72="COTAÇÃO",VLOOKUP(B72,'036-20-Cotação'!$A$9:$G$529,2,0))))</f>
        <v>PLATAFORMA FLUTUANTE DE 12 X 24 X 1,8 M COM CAPACIDADE DE 150 T</v>
      </c>
      <c r="D72" s="452" t="str">
        <f>IF(A72="SERVIÇO",VLOOKUP(B72,SERVIÇOS!$A$6:$E$7645,5,0),IF(A72="INSUMO",VLOOKUP(B72,INSUMOS!$A$6:$E$6961,5,0),IF(A72="COTAÇÃO",VLOOKUP(B72,'036-20-Cotação'!$A$9:$H$529,8,0))))</f>
        <v>EQUIP.</v>
      </c>
      <c r="E72" s="452" t="str">
        <f>IF(A72="SERVIÇO",VLOOKUP(B72,SERVIÇOS!$A$6:$D$7645,3,0),IF(A72="INSUMO",VLOOKUP(B72,INSUMOS!$A$6:$D$6961,3,0),IF(A72="COTAÇÃO",VLOOKUP(B72,'036-20-Cotação'!$A$9:$G$529,4,0))))</f>
        <v>CHP</v>
      </c>
      <c r="F72" s="462">
        <f>1/1738.35</f>
        <v>5.752581470935082E-4</v>
      </c>
      <c r="G72" s="453">
        <f>IF(A72="SERVIÇO",VLOOKUP(B72,SERVIÇOS!$A$6:$D$7645,4,0),IF(A72="INSUMO",VLOOKUP(B72,INSUMOS!$A$6:$D$6961,4,0),IF(A72="COTAÇÃO",VLOOKUP(B72,'036-20-Cotação'!$A$9:$G$529,3,0))))</f>
        <v>32.6526</v>
      </c>
      <c r="H72" s="463">
        <f t="shared" si="7"/>
        <v>1.8783674173785486E-2</v>
      </c>
      <c r="J72" s="201"/>
    </row>
    <row r="73" spans="1:17" s="87" customFormat="1" ht="12.75">
      <c r="A73" s="232" t="s">
        <v>4542</v>
      </c>
      <c r="B73" s="464" t="s">
        <v>8739</v>
      </c>
      <c r="C73" s="451" t="str">
        <f>IF(A73="SERVIÇO",VLOOKUP(B73,SERVIÇOS!$A$6:$D$7645,2,0),IF(A73="INSUMO",VLOOKUP(B73,INSUMOS!$A$6:$D$6961,2,0),IF(A73="COTAÇÃO",VLOOKUP(B73,'036-20-Cotação'!$A$9:$G$529,2,0))))</f>
        <v>REBOCADOR - 360 HP</v>
      </c>
      <c r="D73" s="452" t="str">
        <f>IF(A73="SERVIÇO",VLOOKUP(B73,SERVIÇOS!$A$6:$E$7645,5,0),IF(A73="INSUMO",VLOOKUP(B73,INSUMOS!$A$6:$E$6961,5,0),IF(A73="COTAÇÃO",VLOOKUP(B73,'036-20-Cotação'!$A$9:$H$529,8,0))))</f>
        <v>EQUIP.</v>
      </c>
      <c r="E73" s="452" t="str">
        <f>IF(A73="SERVIÇO",VLOOKUP(B73,SERVIÇOS!$A$6:$D$7645,3,0),IF(A73="INSUMO",VLOOKUP(B73,INSUMOS!$A$6:$D$6961,3,0),IF(A73="COTAÇÃO",VLOOKUP(B73,'036-20-Cotação'!$A$9:$G$529,4,0))))</f>
        <v>CHP</v>
      </c>
      <c r="F73" s="462">
        <f t="shared" ref="F73:F74" si="8">0.5/1738.35</f>
        <v>2.876290735467541E-4</v>
      </c>
      <c r="G73" s="453">
        <f>IF(A73="SERVIÇO",VLOOKUP(B73,SERVIÇOS!$A$6:$D$7645,4,0),IF(A73="INSUMO",VLOOKUP(B73,INSUMOS!$A$6:$D$6961,4,0),IF(A73="COTAÇÃO",VLOOKUP(B73,'036-20-Cotação'!$A$9:$G$529,3,0))))</f>
        <v>339.82830000000001</v>
      </c>
      <c r="H73" s="463">
        <f t="shared" si="7"/>
        <v>9.7744499093968415E-2</v>
      </c>
      <c r="J73" s="201"/>
    </row>
    <row r="74" spans="1:17" s="87" customFormat="1" ht="12.75">
      <c r="A74" s="232" t="s">
        <v>4542</v>
      </c>
      <c r="B74" s="464" t="s">
        <v>9608</v>
      </c>
      <c r="C74" s="451" t="str">
        <f>IF(A74="SERVIÇO",VLOOKUP(B74,SERVIÇOS!$A$6:$D$7645,2,0),IF(A74="INSUMO",VLOOKUP(B74,INSUMOS!$A$6:$D$6961,2,0),IF(A74="COTAÇÃO",VLOOKUP(B74,'036-20-Cotação'!$A$9:$G$529,2,0))))</f>
        <v>REBOCADOR - 360 HP</v>
      </c>
      <c r="D74" s="452" t="str">
        <f>IF(A74="SERVIÇO",VLOOKUP(B74,SERVIÇOS!$A$6:$E$7645,5,0),IF(A74="INSUMO",VLOOKUP(B74,INSUMOS!$A$6:$E$6961,5,0),IF(A74="COTAÇÃO",VLOOKUP(B74,'036-20-Cotação'!$A$9:$H$529,8,0))))</f>
        <v>EQUIP.</v>
      </c>
      <c r="E74" s="452" t="str">
        <f>IF(A74="SERVIÇO",VLOOKUP(B74,SERVIÇOS!$A$6:$D$7645,3,0),IF(A74="INSUMO",VLOOKUP(B74,INSUMOS!$A$6:$D$6961,3,0),IF(A74="COTAÇÃO",VLOOKUP(B74,'036-20-Cotação'!$A$9:$G$529,4,0))))</f>
        <v>CHI</v>
      </c>
      <c r="F74" s="462">
        <f t="shared" si="8"/>
        <v>2.876290735467541E-4</v>
      </c>
      <c r="G74" s="453">
        <f>IF(A74="SERVIÇO",VLOOKUP(B74,SERVIÇOS!$A$6:$D$7645,4,0),IF(A74="INSUMO",VLOOKUP(B74,INSUMOS!$A$6:$D$6961,4,0),IF(A74="COTAÇÃO",VLOOKUP(B74,'036-20-Cotação'!$A$9:$G$529,3,0))))</f>
        <v>144.78219999999999</v>
      </c>
      <c r="H74" s="463">
        <f t="shared" si="7"/>
        <v>4.164357005206086E-2</v>
      </c>
      <c r="J74" s="201"/>
    </row>
    <row r="75" spans="1:17" s="87" customFormat="1" ht="12.75">
      <c r="A75" s="232" t="s">
        <v>4542</v>
      </c>
      <c r="B75" s="464" t="s">
        <v>6884</v>
      </c>
      <c r="C75" s="451" t="str">
        <f>IF(A75="SERVIÇO",VLOOKUP(B75,SERVIÇOS!$A$6:$D$7645,2,0),IF(A75="INSUMO",VLOOKUP(B75,INSUMOS!$A$6:$D$6961,2,0),IF(A75="COTAÇÃO",VLOOKUP(B75,'036-20-Cotação'!$A$9:$G$529,2,0))))</f>
        <v>BOMBEIRO HIDRÁULICO</v>
      </c>
      <c r="D75" s="452" t="str">
        <f>IF(A75="SERVIÇO",VLOOKUP(B75,SERVIÇOS!$A$6:$E$7645,5,0),IF(A75="INSUMO",VLOOKUP(B75,INSUMOS!$A$6:$E$6961,5,0),IF(A75="COTAÇÃO",VLOOKUP(B75,'036-20-Cotação'!$A$9:$H$529,8,0))))</f>
        <v>M.O</v>
      </c>
      <c r="E75" s="452" t="str">
        <f>IF(A75="SERVIÇO",VLOOKUP(B75,SERVIÇOS!$A$6:$D$7645,3,0),IF(A75="INSUMO",VLOOKUP(B75,INSUMOS!$A$6:$D$6961,3,0),IF(A75="COTAÇÃO",VLOOKUP(B75,'036-20-Cotação'!$A$9:$G$529,4,0))))</f>
        <v>H</v>
      </c>
      <c r="F75" s="462">
        <f t="shared" ref="F75:F76" si="9">1/1738.35</f>
        <v>5.752581470935082E-4</v>
      </c>
      <c r="G75" s="453">
        <f>IF(A75="SERVIÇO",VLOOKUP(B75,SERVIÇOS!$A$6:$D$7645,4,0),IF(A75="INSUMO",VLOOKUP(B75,INSUMOS!$A$6:$D$6961,4,0),IF(A75="COTAÇÃO",VLOOKUP(B75,'036-20-Cotação'!$A$9:$G$529,3,0))))</f>
        <v>26.312899999999999</v>
      </c>
      <c r="H75" s="463">
        <f t="shared" si="7"/>
        <v>1.5136710098656771E-2</v>
      </c>
      <c r="J75" s="201"/>
    </row>
    <row r="76" spans="1:17" s="87" customFormat="1" ht="12.75">
      <c r="A76" s="232" t="s">
        <v>4542</v>
      </c>
      <c r="B76" s="464" t="s">
        <v>6684</v>
      </c>
      <c r="C76" s="451" t="str">
        <f>IF(A76="SERVIÇO",VLOOKUP(B76,SERVIÇOS!$A$6:$D$7645,2,0),IF(A76="INSUMO",VLOOKUP(B76,INSUMOS!$A$6:$D$6961,2,0),IF(A76="COTAÇÃO",VLOOKUP(B76,'036-20-Cotação'!$A$9:$G$529,2,0))))</f>
        <v>ELETRICISTA</v>
      </c>
      <c r="D76" s="452" t="str">
        <f>IF(A76="SERVIÇO",VLOOKUP(B76,SERVIÇOS!$A$6:$E$7645,5,0),IF(A76="INSUMO",VLOOKUP(B76,INSUMOS!$A$6:$E$6961,5,0),IF(A76="COTAÇÃO",VLOOKUP(B76,'036-20-Cotação'!$A$9:$H$529,8,0))))</f>
        <v>M.O</v>
      </c>
      <c r="E76" s="452" t="str">
        <f>IF(A76="SERVIÇO",VLOOKUP(B76,SERVIÇOS!$A$6:$D$7645,3,0),IF(A76="INSUMO",VLOOKUP(B76,INSUMOS!$A$6:$D$6961,3,0),IF(A76="COTAÇÃO",VLOOKUP(B76,'036-20-Cotação'!$A$9:$G$529,4,0))))</f>
        <v>H</v>
      </c>
      <c r="F76" s="462">
        <f t="shared" si="9"/>
        <v>5.752581470935082E-4</v>
      </c>
      <c r="G76" s="453">
        <f>IF(A76="SERVIÇO",VLOOKUP(B76,SERVIÇOS!$A$6:$D$7645,4,0),IF(A76="INSUMO",VLOOKUP(B76,INSUMOS!$A$6:$D$6961,4,0),IF(A76="COTAÇÃO",VLOOKUP(B76,'036-20-Cotação'!$A$9:$G$529,3,0))))</f>
        <v>22.082599999999999</v>
      </c>
      <c r="H76" s="463">
        <f t="shared" si="7"/>
        <v>1.2703195559007103E-2</v>
      </c>
      <c r="J76" s="201"/>
    </row>
    <row r="77" spans="1:17" s="87" customFormat="1" ht="12.75">
      <c r="A77" s="188"/>
      <c r="B77" s="348" t="s">
        <v>123</v>
      </c>
      <c r="C77" s="695" t="s">
        <v>7890</v>
      </c>
      <c r="D77" s="696"/>
      <c r="E77" s="696"/>
      <c r="F77" s="696"/>
      <c r="G77" s="696"/>
      <c r="H77" s="697"/>
      <c r="J77" s="201"/>
      <c r="K77" s="78"/>
      <c r="L77" s="78"/>
      <c r="M77" s="78"/>
      <c r="N77" s="78"/>
      <c r="O77" s="78"/>
      <c r="P77" s="78"/>
      <c r="Q77" s="78"/>
    </row>
    <row r="78" spans="1:17" s="87" customFormat="1" ht="12.75">
      <c r="A78" s="188"/>
      <c r="B78" s="346"/>
      <c r="C78" s="362"/>
      <c r="D78" s="362"/>
      <c r="E78" s="362"/>
      <c r="F78" s="362"/>
      <c r="G78" s="362"/>
      <c r="H78" s="363"/>
      <c r="J78" s="201"/>
      <c r="K78" s="78"/>
      <c r="L78" s="78"/>
      <c r="M78" s="78"/>
      <c r="N78" s="78"/>
      <c r="O78" s="78"/>
      <c r="P78" s="78"/>
      <c r="Q78" s="78"/>
    </row>
    <row r="79" spans="1:17" s="87" customFormat="1" ht="38.25">
      <c r="A79" s="188"/>
      <c r="B79" s="80" t="s">
        <v>7376</v>
      </c>
      <c r="C79" s="81" t="s">
        <v>8229</v>
      </c>
      <c r="D79" s="82" t="s">
        <v>84</v>
      </c>
      <c r="E79" s="82" t="s">
        <v>4521</v>
      </c>
      <c r="F79" s="83"/>
      <c r="G79" s="84"/>
      <c r="H79" s="85">
        <f>SUM(H80:H82)</f>
        <v>45.940639302322317</v>
      </c>
      <c r="J79" s="201"/>
      <c r="K79" s="201" t="s">
        <v>8214</v>
      </c>
      <c r="L79" s="78"/>
      <c r="M79" s="78"/>
      <c r="N79" s="78"/>
      <c r="O79" s="78"/>
      <c r="P79" s="78"/>
      <c r="Q79" s="78"/>
    </row>
    <row r="80" spans="1:17" s="87" customFormat="1" ht="12.75">
      <c r="A80" s="232" t="s">
        <v>4542</v>
      </c>
      <c r="B80" s="464" t="s">
        <v>9006</v>
      </c>
      <c r="C80" s="451" t="str">
        <f>IF(A80="SERVIÇO",VLOOKUP(B80,SERVIÇOS!$A$6:$D$7645,2,0),IF(A80="INSUMO",VLOOKUP(B80,INSUMOS!$A$6:$D$6961,2,0),IF(A80="COTAÇÃO",VLOOKUP(B80,'036-20-Cotação'!$A$9:$G$529,2,0))))</f>
        <v>GRUPO GERADOR - 2,5/3 KVA</v>
      </c>
      <c r="D80" s="452" t="str">
        <f>IF(A80="SERVIÇO",VLOOKUP(B80,SERVIÇOS!$A$6:$E$7645,5,0),IF(A80="INSUMO",VLOOKUP(B80,INSUMOS!$A$6:$E$6961,5,0),IF(A80="COTAÇÃO",VLOOKUP(B80,'036-20-Cotação'!$A$9:$H$529,8,0))))</f>
        <v>EQUIP.</v>
      </c>
      <c r="E80" s="452" t="str">
        <f>IF(A80="SERVIÇO",VLOOKUP(B80,SERVIÇOS!$A$6:$D$7645,3,0),IF(A80="INSUMO",VLOOKUP(B80,INSUMOS!$A$6:$D$6961,3,0),IF(A80="COTAÇÃO",VLOOKUP(B80,'036-20-Cotação'!$A$9:$G$529,4,0))))</f>
        <v>CHP</v>
      </c>
      <c r="F80" s="462">
        <f>1/12.61</f>
        <v>7.9302141157811271E-2</v>
      </c>
      <c r="G80" s="453">
        <f>IF(A80="SERVIÇO",VLOOKUP(B80,SERVIÇOS!$A$6:$D$7645,4,0),IF(A80="INSUMO",VLOOKUP(B80,INSUMOS!$A$6:$D$6961,4,0),IF(A80="COTAÇÃO",VLOOKUP(B80,'036-20-Cotação'!$A$9:$G$529,3,0))))</f>
        <v>2.9165999999999999</v>
      </c>
      <c r="H80" s="463">
        <f t="shared" ref="H80:H82" si="10">G80*F80</f>
        <v>0.23129262490087235</v>
      </c>
      <c r="J80" s="201"/>
    </row>
    <row r="81" spans="1:17" s="87" customFormat="1" ht="12.75">
      <c r="A81" s="232" t="s">
        <v>4542</v>
      </c>
      <c r="B81" s="464" t="s">
        <v>6602</v>
      </c>
      <c r="C81" s="451" t="str">
        <f>IF(A81="SERVIÇO",VLOOKUP(B81,SERVIÇOS!$A$6:$D$7645,2,0),IF(A81="INSUMO",VLOOKUP(B81,INSUMOS!$A$6:$D$6961,2,0),IF(A81="COTAÇÃO",VLOOKUP(B81,'036-20-Cotação'!$A$9:$G$529,2,0))))</f>
        <v>SERVENTE</v>
      </c>
      <c r="D81" s="452" t="str">
        <f>IF(A81="SERVIÇO",VLOOKUP(B81,SERVIÇOS!$A$6:$E$7645,5,0),IF(A81="INSUMO",VLOOKUP(B81,INSUMOS!$A$6:$E$6961,5,0),IF(A81="COTAÇÃO",VLOOKUP(B81,'036-20-Cotação'!$A$9:$H$529,8,0))))</f>
        <v>M.O</v>
      </c>
      <c r="E81" s="452" t="str">
        <f>IF(A81="SERVIÇO",VLOOKUP(B81,SERVIÇOS!$A$6:$D$7645,3,0),IF(A81="INSUMO",VLOOKUP(B81,INSUMOS!$A$6:$D$6961,3,0),IF(A81="COTAÇÃO",VLOOKUP(B81,'036-20-Cotação'!$A$9:$G$529,4,0))))</f>
        <v>H</v>
      </c>
      <c r="F81" s="462">
        <f>1/12.61</f>
        <v>7.9302141157811271E-2</v>
      </c>
      <c r="G81" s="453">
        <f>IF(A81="SERVIÇO",VLOOKUP(B81,SERVIÇOS!$A$6:$D$7645,4,0),IF(A81="INSUMO",VLOOKUP(B81,INSUMOS!$A$6:$D$6961,4,0),IF(A81="COTAÇÃO",VLOOKUP(B81,'036-20-Cotação'!$A$9:$G$529,3,0))))</f>
        <v>15.637499999999999</v>
      </c>
      <c r="H81" s="463">
        <f t="shared" si="10"/>
        <v>1.2400872323552736</v>
      </c>
      <c r="J81" s="201"/>
    </row>
    <row r="82" spans="1:17" s="87" customFormat="1" ht="25.5">
      <c r="A82" s="232" t="s">
        <v>12</v>
      </c>
      <c r="B82" s="464" t="s">
        <v>8215</v>
      </c>
      <c r="C82" s="451" t="str">
        <f>IF(A82="SERVIÇO",VLOOKUP(B82,SERVIÇOS!$A$6:$D$7645,2,0),IF(A82="INSUMO",VLOOKUP(B82,INSUMOS!$A$6:$D$6961,2,0),IF(A82="COTAÇÃO",VLOOKUP(B82,'036-20-Cotação'!$A$9:$G$529,2,0))))</f>
        <v>HASTE PARA CHUMBADOR  3/4" X 260MM, COM CHUMBADOR QUÍMICO AMPOLA AQA20</v>
      </c>
      <c r="D82" s="452" t="str">
        <f>IF(A82="SERVIÇO",VLOOKUP(B82,SERVIÇOS!$A$6:$E$7645,5,0),IF(A82="INSUMO",VLOOKUP(B82,INSUMOS!$A$6:$E$6961,5,0),IF(A82="COTAÇÃO",VLOOKUP(B82,'036-20-Cotação'!$A$9:$H$529,8,0))))</f>
        <v>MAT.</v>
      </c>
      <c r="E82" s="452" t="str">
        <f>IF(A82="SERVIÇO",VLOOKUP(B82,SERVIÇOS!$A$6:$D$7645,3,0),IF(A82="INSUMO",VLOOKUP(B82,INSUMOS!$A$6:$D$6961,3,0),IF(A82="COTAÇÃO",VLOOKUP(B82,'036-20-Cotação'!$A$9:$G$529,4,0))))</f>
        <v>UN</v>
      </c>
      <c r="F82" s="462">
        <v>1</v>
      </c>
      <c r="G82" s="453">
        <f>IF(A82="SERVIÇO",VLOOKUP(B82,SERVIÇOS!$A$6:$D$7645,4,0),IF(A82="INSUMO",VLOOKUP(B82,INSUMOS!$A$6:$D$6961,4,0),IF(A82="COTAÇÃO",VLOOKUP(B82,'036-20-Cotação'!$A$9:$G$529,3,0))))</f>
        <v>44.469259445066172</v>
      </c>
      <c r="H82" s="463">
        <f t="shared" si="10"/>
        <v>44.469259445066172</v>
      </c>
      <c r="J82" s="201"/>
    </row>
    <row r="83" spans="1:17" s="87" customFormat="1" ht="12.75">
      <c r="A83" s="188"/>
      <c r="B83" s="348" t="s">
        <v>123</v>
      </c>
      <c r="C83" s="695" t="s">
        <v>8216</v>
      </c>
      <c r="D83" s="696"/>
      <c r="E83" s="696"/>
      <c r="F83" s="696"/>
      <c r="G83" s="696"/>
      <c r="H83" s="697"/>
      <c r="J83" s="201"/>
      <c r="K83" s="78"/>
      <c r="L83" s="78"/>
      <c r="M83" s="78"/>
      <c r="N83" s="78"/>
      <c r="O83" s="78"/>
      <c r="P83" s="78"/>
      <c r="Q83" s="78"/>
    </row>
    <row r="84" spans="1:17" s="87" customFormat="1" ht="12.75">
      <c r="A84" s="188"/>
      <c r="B84" s="346"/>
      <c r="C84" s="365"/>
      <c r="D84" s="365"/>
      <c r="E84" s="365"/>
      <c r="F84" s="365"/>
      <c r="G84" s="365"/>
      <c r="H84" s="366"/>
      <c r="J84" s="201"/>
      <c r="K84" s="78"/>
      <c r="L84" s="78"/>
      <c r="M84" s="78"/>
      <c r="N84" s="78"/>
      <c r="O84" s="78"/>
      <c r="P84" s="78"/>
      <c r="Q84" s="78"/>
    </row>
    <row r="85" spans="1:17" s="87" customFormat="1" ht="25.5">
      <c r="A85" s="188"/>
      <c r="B85" s="80" t="s">
        <v>7391</v>
      </c>
      <c r="C85" s="81" t="s">
        <v>7392</v>
      </c>
      <c r="D85" s="82" t="s">
        <v>84</v>
      </c>
      <c r="E85" s="82" t="s">
        <v>7365</v>
      </c>
      <c r="F85" s="83"/>
      <c r="G85" s="84"/>
      <c r="H85" s="85">
        <f>SUM(H86:H89)</f>
        <v>0.59433177399999992</v>
      </c>
      <c r="J85" s="201"/>
      <c r="K85" s="201" t="s">
        <v>7867</v>
      </c>
      <c r="L85" s="78"/>
      <c r="M85" s="78"/>
      <c r="N85" s="78"/>
      <c r="O85" s="78"/>
      <c r="P85" s="78"/>
      <c r="Q85" s="78"/>
    </row>
    <row r="86" spans="1:17" s="87" customFormat="1" ht="25.5">
      <c r="A86" s="232" t="s">
        <v>4542</v>
      </c>
      <c r="B86" s="464" t="s">
        <v>9212</v>
      </c>
      <c r="C86" s="451" t="str">
        <f>IF(A86="SERVIÇO",VLOOKUP(B86,SERVIÇOS!$A$6:$D$7645,2,0),IF(A86="INSUMO",VLOOKUP(B86,INSUMOS!$A$6:$D$6961,2,0),IF(A86="COTAÇÃO",VLOOKUP(B86,'036-20-Cotação'!$A$9:$G$529,2,0))))</f>
        <v>EQUIPAMENTO PARA SOLDA/CORTE COM OXIACETILENO</v>
      </c>
      <c r="D86" s="452" t="str">
        <f>IF(A86="SERVIÇO",VLOOKUP(B86,SERVIÇOS!$A$6:$E$7645,5,0),IF(A86="INSUMO",VLOOKUP(B86,INSUMOS!$A$6:$E$6961,5,0),IF(A86="COTAÇÃO",VLOOKUP(B86,'036-20-Cotação'!$A$9:$H$529,8,0))))</f>
        <v>EQUIP.</v>
      </c>
      <c r="E86" s="452" t="str">
        <f>IF(A86="SERVIÇO",VLOOKUP(B86,SERVIÇOS!$A$6:$D$7645,3,0),IF(A86="INSUMO",VLOOKUP(B86,INSUMOS!$A$6:$D$6961,3,0),IF(A86="COTAÇÃO",VLOOKUP(B86,'036-20-Cotação'!$A$9:$G$529,4,0))))</f>
        <v>CHP</v>
      </c>
      <c r="F86" s="462">
        <f>1/500</f>
        <v>2E-3</v>
      </c>
      <c r="G86" s="453">
        <f>IF(A86="SERVIÇO",VLOOKUP(B86,SERVIÇOS!$A$6:$D$7645,4,0),IF(A86="INSUMO",VLOOKUP(B86,INSUMOS!$A$6:$D$6961,4,0),IF(A86="COTAÇÃO",VLOOKUP(B86,'036-20-Cotação'!$A$9:$G$529,3,0))))</f>
        <v>0.96099999999999997</v>
      </c>
      <c r="H86" s="463">
        <f t="shared" ref="H86:H89" si="11">G86*F86</f>
        <v>1.9219999999999999E-3</v>
      </c>
      <c r="J86" s="201"/>
    </row>
    <row r="87" spans="1:17" s="87" customFormat="1" ht="12.75">
      <c r="A87" s="232" t="s">
        <v>4542</v>
      </c>
      <c r="B87" s="464" t="s">
        <v>7348</v>
      </c>
      <c r="C87" s="451" t="str">
        <f>IF(A87="SERVIÇO",VLOOKUP(B87,SERVIÇOS!$A$6:$D$7645,2,0),IF(A87="INSUMO",VLOOKUP(B87,INSUMOS!$A$6:$D$6961,2,0),IF(A87="COTAÇÃO",VLOOKUP(B87,'036-20-Cotação'!$A$9:$G$529,2,0))))</f>
        <v>SOLDADOR</v>
      </c>
      <c r="D87" s="452" t="str">
        <f>IF(A87="SERVIÇO",VLOOKUP(B87,SERVIÇOS!$A$6:$E$7645,5,0),IF(A87="INSUMO",VLOOKUP(B87,INSUMOS!$A$6:$E$6961,5,0),IF(A87="COTAÇÃO",VLOOKUP(B87,'036-20-Cotação'!$A$9:$H$529,8,0))))</f>
        <v>M.O</v>
      </c>
      <c r="E87" s="452" t="str">
        <f>IF(A87="SERVIÇO",VLOOKUP(B87,SERVIÇOS!$A$6:$D$7645,3,0),IF(A87="INSUMO",VLOOKUP(B87,INSUMOS!$A$6:$D$6961,3,0),IF(A87="COTAÇÃO",VLOOKUP(B87,'036-20-Cotação'!$A$9:$G$529,4,0))))</f>
        <v>H</v>
      </c>
      <c r="F87" s="462">
        <f>1/500</f>
        <v>2E-3</v>
      </c>
      <c r="G87" s="453">
        <f>IF(A87="SERVIÇO",VLOOKUP(B87,SERVIÇOS!$A$6:$D$7645,4,0),IF(A87="INSUMO",VLOOKUP(B87,INSUMOS!$A$6:$D$6961,4,0),IF(A87="COTAÇÃO",VLOOKUP(B87,'036-20-Cotação'!$A$9:$G$529,3,0))))</f>
        <v>27.728400000000001</v>
      </c>
      <c r="H87" s="463">
        <f t="shared" si="11"/>
        <v>5.5456800000000001E-2</v>
      </c>
      <c r="J87" s="201"/>
    </row>
    <row r="88" spans="1:17" s="87" customFormat="1" ht="12.75">
      <c r="A88" s="232" t="s">
        <v>4544</v>
      </c>
      <c r="B88" s="464" t="s">
        <v>7394</v>
      </c>
      <c r="C88" s="451" t="str">
        <f>IF(A88="SERVIÇO",VLOOKUP(B88,SERVIÇOS!$A$6:$D$7645,2,0),IF(A88="INSUMO",VLOOKUP(B88,INSUMOS!$A$6:$D$6961,2,0),IF(A88="COTAÇÃO",VLOOKUP(B88,'036-20-Cotação'!$A$9:$G$529,2,0))))</f>
        <v>ACETILENO</v>
      </c>
      <c r="D88" s="452" t="str">
        <f>IF(A88="SERVIÇO",VLOOKUP(B88,SERVIÇOS!$A$6:$E$7645,5,0),IF(A88="INSUMO",VLOOKUP(B88,INSUMOS!$A$6:$E$6961,5,0),IF(A88="COTAÇÃO",VLOOKUP(B88,'036-20-Cotação'!$A$9:$H$529,8,0))))</f>
        <v>MAT.</v>
      </c>
      <c r="E88" s="452" t="str">
        <f>IF(A88="SERVIÇO",VLOOKUP(B88,SERVIÇOS!$A$6:$D$7645,3,0),IF(A88="INSUMO",VLOOKUP(B88,INSUMOS!$A$6:$D$6961,3,0),IF(A88="COTAÇÃO",VLOOKUP(B88,'036-20-Cotação'!$A$9:$G$529,4,0))))</f>
        <v>KG</v>
      </c>
      <c r="F88" s="462">
        <v>5.5399999999999998E-3</v>
      </c>
      <c r="G88" s="453">
        <f>IF(A88="SERVIÇO",VLOOKUP(B88,SERVIÇOS!$A$6:$D$7645,4,0),IF(A88="INSUMO",VLOOKUP(B88,INSUMOS!$A$6:$D$6961,4,0),IF(A88="COTAÇÃO",VLOOKUP(B88,'036-20-Cotação'!$A$9:$G$529,3,0))))</f>
        <v>36.273099999999999</v>
      </c>
      <c r="H88" s="463">
        <f t="shared" si="11"/>
        <v>0.20095297399999998</v>
      </c>
      <c r="J88" s="201"/>
    </row>
    <row r="89" spans="1:17" s="87" customFormat="1" ht="12.75">
      <c r="A89" s="232" t="s">
        <v>4544</v>
      </c>
      <c r="B89" s="464" t="s">
        <v>7393</v>
      </c>
      <c r="C89" s="451" t="str">
        <f>IF(A89="SERVIÇO",VLOOKUP(B89,SERVIÇOS!$A$6:$D$7645,2,0),IF(A89="INSUMO",VLOOKUP(B89,INSUMOS!$A$6:$D$6961,2,0),IF(A89="COTAÇÃO",VLOOKUP(B89,'036-20-Cotação'!$A$9:$G$529,2,0))))</f>
        <v>OXIGÊNIO</v>
      </c>
      <c r="D89" s="452" t="str">
        <f>IF(A89="SERVIÇO",VLOOKUP(B89,SERVIÇOS!$A$6:$E$7645,5,0),IF(A89="INSUMO",VLOOKUP(B89,INSUMOS!$A$6:$E$6961,5,0),IF(A89="COTAÇÃO",VLOOKUP(B89,'036-20-Cotação'!$A$9:$H$529,8,0))))</f>
        <v>MAT.</v>
      </c>
      <c r="E89" s="452" t="str">
        <f>IF(A89="SERVIÇO",VLOOKUP(B89,SERVIÇOS!$A$6:$D$7645,3,0),IF(A89="INSUMO",VLOOKUP(B89,INSUMOS!$A$6:$D$6961,3,0),IF(A89="COTAÇÃO",VLOOKUP(B89,'036-20-Cotação'!$A$9:$G$529,4,0))))</f>
        <v>M³</v>
      </c>
      <c r="F89" s="462">
        <v>3.3599999999999998E-2</v>
      </c>
      <c r="G89" s="453">
        <f>IF(A89="SERVIÇO",VLOOKUP(B89,SERVIÇOS!$A$6:$D$7645,4,0),IF(A89="INSUMO",VLOOKUP(B89,INSUMOS!$A$6:$D$6961,4,0),IF(A89="COTAÇÃO",VLOOKUP(B89,'036-20-Cotação'!$A$9:$G$529,3,0))))</f>
        <v>10</v>
      </c>
      <c r="H89" s="463">
        <f t="shared" si="11"/>
        <v>0.33599999999999997</v>
      </c>
      <c r="J89" s="201"/>
    </row>
    <row r="90" spans="1:17" s="87" customFormat="1" ht="12.75">
      <c r="A90" s="188"/>
      <c r="B90" s="348" t="s">
        <v>123</v>
      </c>
      <c r="C90" s="695" t="s">
        <v>7868</v>
      </c>
      <c r="D90" s="696"/>
      <c r="E90" s="696"/>
      <c r="F90" s="696"/>
      <c r="G90" s="696"/>
      <c r="H90" s="697"/>
      <c r="J90" s="201"/>
      <c r="K90" s="78"/>
      <c r="L90" s="78"/>
      <c r="M90" s="78"/>
      <c r="N90" s="78"/>
      <c r="O90" s="78"/>
      <c r="P90" s="78"/>
      <c r="Q90" s="78"/>
    </row>
    <row r="91" spans="1:17" s="87" customFormat="1" ht="12.75">
      <c r="A91" s="188"/>
      <c r="B91" s="346"/>
      <c r="C91" s="393"/>
      <c r="D91" s="393"/>
      <c r="E91" s="393"/>
      <c r="F91" s="393"/>
      <c r="G91" s="393"/>
      <c r="H91" s="394"/>
      <c r="J91" s="201"/>
      <c r="K91" s="78"/>
      <c r="L91" s="78"/>
      <c r="M91" s="78"/>
      <c r="N91" s="78"/>
      <c r="O91" s="78"/>
      <c r="P91" s="78"/>
      <c r="Q91" s="78"/>
    </row>
    <row r="92" spans="1:17" s="87" customFormat="1" ht="25.5">
      <c r="A92" s="188"/>
      <c r="B92" s="80" t="s">
        <v>8219</v>
      </c>
      <c r="C92" s="81" t="s">
        <v>8230</v>
      </c>
      <c r="D92" s="82" t="s">
        <v>84</v>
      </c>
      <c r="E92" s="82" t="s">
        <v>89</v>
      </c>
      <c r="F92" s="83"/>
      <c r="G92" s="84"/>
      <c r="H92" s="85">
        <f>SUM(H93:H103)</f>
        <v>0.60807136077314705</v>
      </c>
      <c r="J92" s="201"/>
      <c r="K92" s="78"/>
      <c r="L92" s="78"/>
      <c r="M92" s="78"/>
      <c r="N92" s="78"/>
      <c r="O92" s="78"/>
      <c r="P92" s="78"/>
      <c r="Q92" s="78"/>
    </row>
    <row r="93" spans="1:17" s="87" customFormat="1" ht="25.5">
      <c r="A93" s="232" t="s">
        <v>4542</v>
      </c>
      <c r="B93" s="464" t="s">
        <v>9000</v>
      </c>
      <c r="C93" s="451" t="str">
        <f>IF(A93="SERVIÇO",VLOOKUP(B93,SERVIÇOS!$A$6:$D$7645,2,0),IF(A93="INSUMO",VLOOKUP(B93,INSUMOS!$A$6:$D$6961,2,0),IF(A93="COTAÇÃO",VLOOKUP(B93,'036-20-Cotação'!$A$9:$G$529,2,0))))</f>
        <v>COMPRESSOR DE AR PORTÁTIL DE 912 PCM - 242 KW</v>
      </c>
      <c r="D93" s="452" t="str">
        <f>IF(A93="SERVIÇO",VLOOKUP(B93,SERVIÇOS!$A$6:$E$7645,5,0),IF(A93="INSUMO",VLOOKUP(B93,INSUMOS!$A$6:$E$6961,5,0),IF(A93="COTAÇÃO",VLOOKUP(B93,'036-20-Cotação'!$A$9:$H$529,8,0))))</f>
        <v>EQUIP.</v>
      </c>
      <c r="E93" s="452" t="str">
        <f>IF(A93="SERVIÇO",VLOOKUP(B93,SERVIÇOS!$A$6:$D$7645,3,0),IF(A93="INSUMO",VLOOKUP(B93,INSUMOS!$A$6:$D$6961,3,0),IF(A93="COTAÇÃO",VLOOKUP(B93,'036-20-Cotação'!$A$9:$G$529,4,0))))</f>
        <v>CHP</v>
      </c>
      <c r="F93" s="462">
        <f>1/1738.35</f>
        <v>5.752581470935082E-4</v>
      </c>
      <c r="G93" s="453">
        <f>IF(A93="SERVIÇO",VLOOKUP(B93,SERVIÇOS!$A$6:$D$7645,4,0),IF(A93="INSUMO",VLOOKUP(B93,INSUMOS!$A$6:$D$6961,4,0),IF(A93="COTAÇÃO",VLOOKUP(B93,'036-20-Cotação'!$A$9:$G$529,3,0))))</f>
        <v>196.6591</v>
      </c>
      <c r="H93" s="463">
        <f t="shared" ref="H93:H102" si="12">G93*F93</f>
        <v>0.11312974947507694</v>
      </c>
      <c r="J93" s="201"/>
    </row>
    <row r="94" spans="1:17" s="87" customFormat="1" ht="25.5">
      <c r="A94" s="232" t="s">
        <v>4542</v>
      </c>
      <c r="B94" s="464" t="s">
        <v>9117</v>
      </c>
      <c r="C94" s="451" t="str">
        <f>IF(A94="SERVIÇO",VLOOKUP(B94,SERVIÇOS!$A$6:$D$7645,2,0),IF(A94="INSUMO",VLOOKUP(B94,INSUMOS!$A$6:$D$6961,2,0),IF(A94="COTAÇÃO",VLOOKUP(B94,'036-20-Cotação'!$A$9:$G$529,2,0))))</f>
        <v>EMBARCAÇÃO DE TRANSPORTE DE PESSOAL E APOIO LOGÍSTICO - 175 HP</v>
      </c>
      <c r="D94" s="452" t="str">
        <f>IF(A94="SERVIÇO",VLOOKUP(B94,SERVIÇOS!$A$6:$E$7645,5,0),IF(A94="INSUMO",VLOOKUP(B94,INSUMOS!$A$6:$E$6961,5,0),IF(A94="COTAÇÃO",VLOOKUP(B94,'036-20-Cotação'!$A$9:$H$529,8,0))))</f>
        <v>EQUIP.</v>
      </c>
      <c r="E94" s="452" t="str">
        <f>IF(A94="SERVIÇO",VLOOKUP(B94,SERVIÇOS!$A$6:$D$7645,3,0),IF(A94="INSUMO",VLOOKUP(B94,INSUMOS!$A$6:$D$6961,3,0),IF(A94="COTAÇÃO",VLOOKUP(B94,'036-20-Cotação'!$A$9:$G$529,4,0))))</f>
        <v>CHP</v>
      </c>
      <c r="F94" s="462">
        <f>0.5/1738.35</f>
        <v>2.876290735467541E-4</v>
      </c>
      <c r="G94" s="453">
        <f>IF(A94="SERVIÇO",VLOOKUP(B94,SERVIÇOS!$A$6:$D$7645,4,0),IF(A94="INSUMO",VLOOKUP(B94,INSUMOS!$A$6:$D$6961,4,0),IF(A94="COTAÇÃO",VLOOKUP(B94,'036-20-Cotação'!$A$9:$G$529,3,0))))</f>
        <v>274.07380000000001</v>
      </c>
      <c r="H94" s="463">
        <f t="shared" si="12"/>
        <v>7.8831593177438375E-2</v>
      </c>
      <c r="J94" s="201"/>
    </row>
    <row r="95" spans="1:17" s="87" customFormat="1" ht="25.5">
      <c r="A95" s="232" t="s">
        <v>4542</v>
      </c>
      <c r="B95" s="464" t="s">
        <v>9807</v>
      </c>
      <c r="C95" s="451" t="str">
        <f>IF(A95="SERVIÇO",VLOOKUP(B95,SERVIÇOS!$A$6:$D$7645,2,0),IF(A95="INSUMO",VLOOKUP(B95,INSUMOS!$A$6:$D$6961,2,0),IF(A95="COTAÇÃO",VLOOKUP(B95,'036-20-Cotação'!$A$9:$G$529,2,0))))</f>
        <v>EMBARCAÇÃO DE TRANSPORTE DE PESSOAL E APOIO LOGÍSTICO - 175 HP</v>
      </c>
      <c r="D95" s="452" t="str">
        <f>IF(A95="SERVIÇO",VLOOKUP(B95,SERVIÇOS!$A$6:$E$7645,5,0),IF(A95="INSUMO",VLOOKUP(B95,INSUMOS!$A$6:$E$6961,5,0),IF(A95="COTAÇÃO",VLOOKUP(B95,'036-20-Cotação'!$A$9:$H$529,8,0))))</f>
        <v>EQUIP.</v>
      </c>
      <c r="E95" s="452" t="str">
        <f>IF(A95="SERVIÇO",VLOOKUP(B95,SERVIÇOS!$A$6:$D$7645,3,0),IF(A95="INSUMO",VLOOKUP(B95,INSUMOS!$A$6:$D$6961,3,0),IF(A95="COTAÇÃO",VLOOKUP(B95,'036-20-Cotação'!$A$9:$G$529,4,0))))</f>
        <v>CHI</v>
      </c>
      <c r="F95" s="462">
        <f>0.5/1738.35</f>
        <v>2.876290735467541E-4</v>
      </c>
      <c r="G95" s="453">
        <f>IF(A95="SERVIÇO",VLOOKUP(B95,SERVIÇOS!$A$6:$D$7645,4,0),IF(A95="INSUMO",VLOOKUP(B95,INSUMOS!$A$6:$D$6961,4,0),IF(A95="COTAÇÃO",VLOOKUP(B95,'036-20-Cotação'!$A$9:$G$529,3,0))))</f>
        <v>41.510399999999997</v>
      </c>
      <c r="H95" s="463">
        <f t="shared" si="12"/>
        <v>1.1939597894555181E-2</v>
      </c>
      <c r="J95" s="201"/>
    </row>
    <row r="96" spans="1:17" s="87" customFormat="1" ht="12.75">
      <c r="A96" s="232" t="s">
        <v>4542</v>
      </c>
      <c r="B96" s="464" t="s">
        <v>9340</v>
      </c>
      <c r="C96" s="451" t="str">
        <f>IF(A96="SERVIÇO",VLOOKUP(B96,SERVIÇOS!$A$6:$D$7645,2,0),IF(A96="INSUMO",VLOOKUP(B96,INSUMOS!$A$6:$D$6961,2,0),IF(A96="COTAÇÃO",VLOOKUP(B96,'036-20-Cotação'!$A$9:$G$529,2,0))))</f>
        <v>GRUPO GERADOR - 310/340 KVA</v>
      </c>
      <c r="D96" s="452" t="str">
        <f>IF(A96="SERVIÇO",VLOOKUP(B96,SERVIÇOS!$A$6:$E$7645,5,0),IF(A96="INSUMO",VLOOKUP(B96,INSUMOS!$A$6:$E$6961,5,0),IF(A96="COTAÇÃO",VLOOKUP(B96,'036-20-Cotação'!$A$9:$H$529,8,0))))</f>
        <v>EQUIP.</v>
      </c>
      <c r="E96" s="452" t="str">
        <f>IF(A96="SERVIÇO",VLOOKUP(B96,SERVIÇOS!$A$6:$D$7645,3,0),IF(A96="INSUMO",VLOOKUP(B96,INSUMOS!$A$6:$D$6961,3,0),IF(A96="COTAÇÃO",VLOOKUP(B96,'036-20-Cotação'!$A$9:$G$529,4,0))))</f>
        <v>CHP</v>
      </c>
      <c r="F96" s="462">
        <f>1/1738.35</f>
        <v>5.752581470935082E-4</v>
      </c>
      <c r="G96" s="453">
        <f>IF(A96="SERVIÇO",VLOOKUP(B96,SERVIÇOS!$A$6:$D$7645,4,0),IF(A96="INSUMO",VLOOKUP(B96,INSUMOS!$A$6:$D$6961,4,0),IF(A96="COTAÇÃO",VLOOKUP(B96,'036-20-Cotação'!$A$9:$G$529,3,0))))</f>
        <v>184.82230000000001</v>
      </c>
      <c r="H96" s="463">
        <f t="shared" si="12"/>
        <v>0.10632053383956051</v>
      </c>
      <c r="J96" s="201"/>
    </row>
    <row r="97" spans="1:17" s="87" customFormat="1" ht="25.5">
      <c r="A97" s="232" t="s">
        <v>4542</v>
      </c>
      <c r="B97" s="464" t="s">
        <v>8813</v>
      </c>
      <c r="C97" s="451" t="str">
        <f>IF(A97="SERVIÇO",VLOOKUP(B97,SERVIÇOS!$A$6:$D$7645,2,0),IF(A97="INSUMO",VLOOKUP(B97,INSUMOS!$A$6:$D$6961,2,0),IF(A97="COTAÇÃO",VLOOKUP(B97,'036-20-Cotação'!$A$9:$G$529,2,0))))</f>
        <v>GUINCHO PNEUMÁTICO COM CAPACIDADE DE 2,5 T</v>
      </c>
      <c r="D97" s="452" t="str">
        <f>IF(A97="SERVIÇO",VLOOKUP(B97,SERVIÇOS!$A$6:$E$7645,5,0),IF(A97="INSUMO",VLOOKUP(B97,INSUMOS!$A$6:$E$6961,5,0),IF(A97="COTAÇÃO",VLOOKUP(B97,'036-20-Cotação'!$A$9:$H$529,8,0))))</f>
        <v>EQUIP.</v>
      </c>
      <c r="E97" s="452" t="str">
        <f>IF(A97="SERVIÇO",VLOOKUP(B97,SERVIÇOS!$A$6:$D$7645,3,0),IF(A97="INSUMO",VLOOKUP(B97,INSUMOS!$A$6:$D$6961,3,0),IF(A97="COTAÇÃO",VLOOKUP(B97,'036-20-Cotação'!$A$9:$G$529,4,0))))</f>
        <v>CHP</v>
      </c>
      <c r="F97" s="462">
        <f>4/1738.35</f>
        <v>2.3010325883740328E-3</v>
      </c>
      <c r="G97" s="453">
        <f>IF(A97="SERVIÇO",VLOOKUP(B97,SERVIÇOS!$A$6:$D$7645,4,0),IF(A97="INSUMO",VLOOKUP(B97,INSUMOS!$A$6:$D$6961,4,0),IF(A97="COTAÇÃO",VLOOKUP(B97,'036-20-Cotação'!$A$9:$G$529,3,0))))</f>
        <v>48.603499999999997</v>
      </c>
      <c r="H97" s="463">
        <f t="shared" si="12"/>
        <v>0.1118382374090373</v>
      </c>
      <c r="J97" s="201"/>
    </row>
    <row r="98" spans="1:17" s="87" customFormat="1" ht="25.5">
      <c r="A98" s="232" t="s">
        <v>4542</v>
      </c>
      <c r="B98" s="464" t="s">
        <v>8818</v>
      </c>
      <c r="C98" s="451" t="str">
        <f>IF(A98="SERVIÇO",VLOOKUP(B98,SERVIÇOS!$A$6:$D$7645,2,0),IF(A98="INSUMO",VLOOKUP(B98,INSUMOS!$A$6:$D$6961,2,0),IF(A98="COTAÇÃO",VLOOKUP(B98,'036-20-Cotação'!$A$9:$G$529,2,0))))</f>
        <v>PLATAFORMA FLUTUANTE DE 12 X 24 X 1,8 M COM CAPACIDADE DE 150 T</v>
      </c>
      <c r="D98" s="452" t="str">
        <f>IF(A98="SERVIÇO",VLOOKUP(B98,SERVIÇOS!$A$6:$E$7645,5,0),IF(A98="INSUMO",VLOOKUP(B98,INSUMOS!$A$6:$E$6961,5,0),IF(A98="COTAÇÃO",VLOOKUP(B98,'036-20-Cotação'!$A$9:$H$529,8,0))))</f>
        <v>EQUIP.</v>
      </c>
      <c r="E98" s="452" t="str">
        <f>IF(A98="SERVIÇO",VLOOKUP(B98,SERVIÇOS!$A$6:$D$7645,3,0),IF(A98="INSUMO",VLOOKUP(B98,INSUMOS!$A$6:$D$6961,3,0),IF(A98="COTAÇÃO",VLOOKUP(B98,'036-20-Cotação'!$A$9:$G$529,4,0))))</f>
        <v>CHP</v>
      </c>
      <c r="F98" s="462">
        <f>1/1738.35</f>
        <v>5.752581470935082E-4</v>
      </c>
      <c r="G98" s="453">
        <f>IF(A98="SERVIÇO",VLOOKUP(B98,SERVIÇOS!$A$6:$D$7645,4,0),IF(A98="INSUMO",VLOOKUP(B98,INSUMOS!$A$6:$D$6961,4,0),IF(A98="COTAÇÃO",VLOOKUP(B98,'036-20-Cotação'!$A$9:$G$529,3,0))))</f>
        <v>32.6526</v>
      </c>
      <c r="H98" s="463">
        <f t="shared" si="12"/>
        <v>1.8783674173785486E-2</v>
      </c>
      <c r="J98" s="201"/>
    </row>
    <row r="99" spans="1:17" s="87" customFormat="1" ht="12.75">
      <c r="A99" s="232" t="s">
        <v>4542</v>
      </c>
      <c r="B99" s="464" t="s">
        <v>8739</v>
      </c>
      <c r="C99" s="451" t="str">
        <f>IF(A99="SERVIÇO",VLOOKUP(B99,SERVIÇOS!$A$6:$D$7645,2,0),IF(A99="INSUMO",VLOOKUP(B99,INSUMOS!$A$6:$D$6961,2,0),IF(A99="COTAÇÃO",VLOOKUP(B99,'036-20-Cotação'!$A$9:$G$529,2,0))))</f>
        <v>REBOCADOR - 360 HP</v>
      </c>
      <c r="D99" s="452" t="str">
        <f>IF(A99="SERVIÇO",VLOOKUP(B99,SERVIÇOS!$A$6:$E$7645,5,0),IF(A99="INSUMO",VLOOKUP(B99,INSUMOS!$A$6:$E$6961,5,0),IF(A99="COTAÇÃO",VLOOKUP(B99,'036-20-Cotação'!$A$9:$H$529,8,0))))</f>
        <v>EQUIP.</v>
      </c>
      <c r="E99" s="452" t="str">
        <f>IF(A99="SERVIÇO",VLOOKUP(B99,SERVIÇOS!$A$6:$D$7645,3,0),IF(A99="INSUMO",VLOOKUP(B99,INSUMOS!$A$6:$D$6961,3,0),IF(A99="COTAÇÃO",VLOOKUP(B99,'036-20-Cotação'!$A$9:$G$529,4,0))))</f>
        <v>CHP</v>
      </c>
      <c r="F99" s="462">
        <f t="shared" ref="F99:F100" si="13">0.5/1738.35</f>
        <v>2.876290735467541E-4</v>
      </c>
      <c r="G99" s="453">
        <f>IF(A99="SERVIÇO",VLOOKUP(B99,SERVIÇOS!$A$6:$D$7645,4,0),IF(A99="INSUMO",VLOOKUP(B99,INSUMOS!$A$6:$D$6961,4,0),IF(A99="COTAÇÃO",VLOOKUP(B99,'036-20-Cotação'!$A$9:$G$529,3,0))))</f>
        <v>339.82830000000001</v>
      </c>
      <c r="H99" s="463">
        <f t="shared" si="12"/>
        <v>9.7744499093968415E-2</v>
      </c>
      <c r="J99" s="201"/>
    </row>
    <row r="100" spans="1:17" s="87" customFormat="1" ht="12.75">
      <c r="A100" s="232" t="s">
        <v>4542</v>
      </c>
      <c r="B100" s="464" t="s">
        <v>9608</v>
      </c>
      <c r="C100" s="451" t="str">
        <f>IF(A100="SERVIÇO",VLOOKUP(B100,SERVIÇOS!$A$6:$D$7645,2,0),IF(A100="INSUMO",VLOOKUP(B100,INSUMOS!$A$6:$D$6961,2,0),IF(A100="COTAÇÃO",VLOOKUP(B100,'036-20-Cotação'!$A$9:$G$529,2,0))))</f>
        <v>REBOCADOR - 360 HP</v>
      </c>
      <c r="D100" s="452" t="str">
        <f>IF(A100="SERVIÇO",VLOOKUP(B100,SERVIÇOS!$A$6:$E$7645,5,0),IF(A100="INSUMO",VLOOKUP(B100,INSUMOS!$A$6:$E$6961,5,0),IF(A100="COTAÇÃO",VLOOKUP(B100,'036-20-Cotação'!$A$9:$H$529,8,0))))</f>
        <v>EQUIP.</v>
      </c>
      <c r="E100" s="452" t="str">
        <f>IF(A100="SERVIÇO",VLOOKUP(B100,SERVIÇOS!$A$6:$D$7645,3,0),IF(A100="INSUMO",VLOOKUP(B100,INSUMOS!$A$6:$D$6961,3,0),IF(A100="COTAÇÃO",VLOOKUP(B100,'036-20-Cotação'!$A$9:$G$529,4,0))))</f>
        <v>CHI</v>
      </c>
      <c r="F100" s="462">
        <f t="shared" si="13"/>
        <v>2.876290735467541E-4</v>
      </c>
      <c r="G100" s="453">
        <f>IF(A100="SERVIÇO",VLOOKUP(B100,SERVIÇOS!$A$6:$D$7645,4,0),IF(A100="INSUMO",VLOOKUP(B100,INSUMOS!$A$6:$D$6961,4,0),IF(A100="COTAÇÃO",VLOOKUP(B100,'036-20-Cotação'!$A$9:$G$529,3,0))))</f>
        <v>144.78219999999999</v>
      </c>
      <c r="H100" s="463">
        <f t="shared" si="12"/>
        <v>4.164357005206086E-2</v>
      </c>
      <c r="J100" s="201"/>
    </row>
    <row r="101" spans="1:17" s="87" customFormat="1" ht="12.75">
      <c r="A101" s="232" t="s">
        <v>4542</v>
      </c>
      <c r="B101" s="464" t="s">
        <v>6884</v>
      </c>
      <c r="C101" s="451" t="str">
        <f>IF(A101="SERVIÇO",VLOOKUP(B101,SERVIÇOS!$A$6:$D$7645,2,0),IF(A101="INSUMO",VLOOKUP(B101,INSUMOS!$A$6:$D$6961,2,0),IF(A101="COTAÇÃO",VLOOKUP(B101,'036-20-Cotação'!$A$9:$G$529,2,0))))</f>
        <v>BOMBEIRO HIDRÁULICO</v>
      </c>
      <c r="D101" s="452" t="str">
        <f>IF(A101="SERVIÇO",VLOOKUP(B101,SERVIÇOS!$A$6:$E$7645,5,0),IF(A101="INSUMO",VLOOKUP(B101,INSUMOS!$A$6:$E$6961,5,0),IF(A101="COTAÇÃO",VLOOKUP(B101,'036-20-Cotação'!$A$9:$H$529,8,0))))</f>
        <v>M.O</v>
      </c>
      <c r="E101" s="452" t="str">
        <f>IF(A101="SERVIÇO",VLOOKUP(B101,SERVIÇOS!$A$6:$D$7645,3,0),IF(A101="INSUMO",VLOOKUP(B101,INSUMOS!$A$6:$D$6961,3,0),IF(A101="COTAÇÃO",VLOOKUP(B101,'036-20-Cotação'!$A$9:$G$529,4,0))))</f>
        <v>H</v>
      </c>
      <c r="F101" s="462">
        <f t="shared" ref="F101:F102" si="14">1/1738.35</f>
        <v>5.752581470935082E-4</v>
      </c>
      <c r="G101" s="453">
        <f>IF(A101="SERVIÇO",VLOOKUP(B101,SERVIÇOS!$A$6:$D$7645,4,0),IF(A101="INSUMO",VLOOKUP(B101,INSUMOS!$A$6:$D$6961,4,0),IF(A101="COTAÇÃO",VLOOKUP(B101,'036-20-Cotação'!$A$9:$G$529,3,0))))</f>
        <v>26.312899999999999</v>
      </c>
      <c r="H101" s="463">
        <f t="shared" si="12"/>
        <v>1.5136710098656771E-2</v>
      </c>
      <c r="J101" s="201"/>
    </row>
    <row r="102" spans="1:17" s="87" customFormat="1" ht="12.75">
      <c r="A102" s="232" t="s">
        <v>4542</v>
      </c>
      <c r="B102" s="464" t="s">
        <v>6684</v>
      </c>
      <c r="C102" s="451" t="str">
        <f>IF(A102="SERVIÇO",VLOOKUP(B102,SERVIÇOS!$A$6:$D$7645,2,0),IF(A102="INSUMO",VLOOKUP(B102,INSUMOS!$A$6:$D$6961,2,0),IF(A102="COTAÇÃO",VLOOKUP(B102,'036-20-Cotação'!$A$9:$G$529,2,0))))</f>
        <v>ELETRICISTA</v>
      </c>
      <c r="D102" s="452" t="str">
        <f>IF(A102="SERVIÇO",VLOOKUP(B102,SERVIÇOS!$A$6:$E$7645,5,0),IF(A102="INSUMO",VLOOKUP(B102,INSUMOS!$A$6:$E$6961,5,0),IF(A102="COTAÇÃO",VLOOKUP(B102,'036-20-Cotação'!$A$9:$H$529,8,0))))</f>
        <v>M.O</v>
      </c>
      <c r="E102" s="452" t="str">
        <f>IF(A102="SERVIÇO",VLOOKUP(B102,SERVIÇOS!$A$6:$D$7645,3,0),IF(A102="INSUMO",VLOOKUP(B102,INSUMOS!$A$6:$D$6961,3,0),IF(A102="COTAÇÃO",VLOOKUP(B102,'036-20-Cotação'!$A$9:$G$529,4,0))))</f>
        <v>H</v>
      </c>
      <c r="F102" s="462">
        <f t="shared" si="14"/>
        <v>5.752581470935082E-4</v>
      </c>
      <c r="G102" s="453">
        <f>IF(A102="SERVIÇO",VLOOKUP(B102,SERVIÇOS!$A$6:$D$7645,4,0),IF(A102="INSUMO",VLOOKUP(B102,INSUMOS!$A$6:$D$6961,4,0),IF(A102="COTAÇÃO",VLOOKUP(B102,'036-20-Cotação'!$A$9:$G$529,3,0))))</f>
        <v>22.082599999999999</v>
      </c>
      <c r="H102" s="463">
        <f t="shared" si="12"/>
        <v>1.2703195559007103E-2</v>
      </c>
      <c r="J102" s="201"/>
    </row>
    <row r="103" spans="1:17" s="87" customFormat="1" ht="12.75">
      <c r="A103" s="188"/>
      <c r="B103" s="348" t="s">
        <v>123</v>
      </c>
      <c r="C103" s="695" t="s">
        <v>7890</v>
      </c>
      <c r="D103" s="696"/>
      <c r="E103" s="696"/>
      <c r="F103" s="696"/>
      <c r="G103" s="696"/>
      <c r="H103" s="697"/>
      <c r="J103" s="201"/>
      <c r="K103" s="78"/>
      <c r="L103" s="78"/>
      <c r="M103" s="78"/>
      <c r="N103" s="78"/>
      <c r="O103" s="78"/>
      <c r="P103" s="78"/>
      <c r="Q103" s="78"/>
    </row>
    <row r="104" spans="1:17" s="87" customFormat="1" ht="12.75">
      <c r="A104" s="188"/>
      <c r="B104" s="346"/>
      <c r="C104" s="397"/>
      <c r="D104" s="397"/>
      <c r="E104" s="397"/>
      <c r="F104" s="397"/>
      <c r="G104" s="397"/>
      <c r="H104" s="398"/>
      <c r="J104" s="201"/>
      <c r="K104" s="78"/>
      <c r="L104" s="78"/>
      <c r="M104" s="78"/>
      <c r="N104" s="78"/>
      <c r="O104" s="78"/>
      <c r="P104" s="78"/>
      <c r="Q104" s="78"/>
    </row>
    <row r="105" spans="1:17" s="87" customFormat="1" ht="38.25">
      <c r="A105" s="188"/>
      <c r="B105" s="80" t="s">
        <v>8276</v>
      </c>
      <c r="C105" s="81" t="s">
        <v>593</v>
      </c>
      <c r="D105" s="82" t="s">
        <v>84</v>
      </c>
      <c r="E105" s="82" t="s">
        <v>178</v>
      </c>
      <c r="F105" s="83"/>
      <c r="G105" s="84"/>
      <c r="H105" s="85">
        <f>SUM(H106:H111)</f>
        <v>22.485199999999999</v>
      </c>
      <c r="J105" s="201"/>
      <c r="K105" s="78"/>
      <c r="L105" s="78"/>
      <c r="M105" s="78"/>
      <c r="N105" s="78"/>
      <c r="O105" s="78"/>
      <c r="P105" s="78"/>
      <c r="Q105" s="78"/>
    </row>
    <row r="106" spans="1:17" s="87" customFormat="1" ht="12.75">
      <c r="A106" s="232" t="s">
        <v>4542</v>
      </c>
      <c r="B106" s="464" t="s">
        <v>7527</v>
      </c>
      <c r="C106" s="451" t="str">
        <f>IF(A106="SERVIÇO",VLOOKUP(B106,SERVIÇOS!$A$6:$D$7645,2,0),IF(A106="INSUMO",VLOOKUP(B106,INSUMOS!$A$6:$D$6961,2,0),IF(A106="COTAÇÃO",VLOOKUP(B106,'036-20-Cotação'!$A$9:$G$529,2,0))))</f>
        <v>PINTOR</v>
      </c>
      <c r="D106" s="452" t="str">
        <f>IF(A106="SERVIÇO",VLOOKUP(B106,SERVIÇOS!$A$6:$E$7645,5,0),IF(A106="INSUMO",VLOOKUP(B106,INSUMOS!$A$6:$E$6961,5,0),IF(A106="COTAÇÃO",VLOOKUP(B106,'036-20-Cotação'!$A$9:$H$529,8,0))))</f>
        <v>M.O</v>
      </c>
      <c r="E106" s="452" t="str">
        <f>IF(A106="SERVIÇO",VLOOKUP(B106,SERVIÇOS!$A$6:$D$7645,3,0),IF(A106="INSUMO",VLOOKUP(B106,INSUMOS!$A$6:$D$6961,3,0),IF(A106="COTAÇÃO",VLOOKUP(B106,'036-20-Cotação'!$A$9:$G$529,4,0))))</f>
        <v>H</v>
      </c>
      <c r="F106" s="462" t="s">
        <v>6488</v>
      </c>
      <c r="G106" s="453">
        <f>IF(A106="SERVIÇO",VLOOKUP(B106,SERVIÇOS!$A$6:$D$7645,4,0),IF(A106="INSUMO",VLOOKUP(B106,INSUMOS!$A$6:$D$6961,4,0),IF(A106="COTAÇÃO",VLOOKUP(B106,'036-20-Cotação'!$A$9:$G$529,3,0))))</f>
        <v>21.705200000000001</v>
      </c>
      <c r="H106" s="463">
        <f t="shared" ref="H106:H110" si="15">G106*F106</f>
        <v>21.705200000000001</v>
      </c>
      <c r="J106" s="201"/>
    </row>
    <row r="107" spans="1:17" s="87" customFormat="1" ht="38.25">
      <c r="A107" s="232" t="s">
        <v>4542</v>
      </c>
      <c r="B107" s="464">
        <v>95214</v>
      </c>
      <c r="C107" s="451" t="str">
        <f>IF(A107="SERVIÇO",VLOOKUP(B107,SERVIÇOS!$A$6:$D$7645,2,0),IF(A107="INSUMO",VLOOKUP(B107,INSUMOS!$A$6:$D$6961,2,0),IF(A107="COTAÇÃO",VLOOKUP(B107,'036-20-Cotação'!$A$9:$G$529,2,0))))</f>
        <v>PULVERIZADOR DE TINTA ELÉTRICO/MÁQUINA DE PINTURA AIRLESS, VAZÃO 2 L/MIN - DEPRECIAÇÃO. AF_08/2016</v>
      </c>
      <c r="D107" s="452" t="str">
        <f>IF(A107="SERVIÇO",VLOOKUP(B107,SERVIÇOS!$A$6:$E$7645,5,0),IF(A107="INSUMO",VLOOKUP(B107,INSUMOS!$A$6:$E$6961,5,0),IF(A107="COTAÇÃO",VLOOKUP(B107,'036-20-Cotação'!$A$9:$H$529,8,0))))</f>
        <v>EQUIP.</v>
      </c>
      <c r="E107" s="452" t="str">
        <f>IF(A107="SERVIÇO",VLOOKUP(B107,SERVIÇOS!$A$6:$D$7645,3,0),IF(A107="INSUMO",VLOOKUP(B107,INSUMOS!$A$6:$D$6961,3,0),IF(A107="COTAÇÃO",VLOOKUP(B107,'036-20-Cotação'!$A$9:$G$529,4,0))))</f>
        <v>H</v>
      </c>
      <c r="F107" s="462" t="s">
        <v>6488</v>
      </c>
      <c r="G107" s="453" t="str">
        <f>IF(A107="SERVIÇO",VLOOKUP(B107,SERVIÇOS!$A$6:$D$7645,4,0),IF(A107="INSUMO",VLOOKUP(B107,INSUMOS!$A$6:$D$6961,4,0),IF(A107="COTAÇÃO",VLOOKUP(B107,'036-20-Cotação'!$A$9:$G$529,3,0))))</f>
        <v>0,22</v>
      </c>
      <c r="H107" s="463">
        <f t="shared" si="15"/>
        <v>0.22</v>
      </c>
      <c r="J107" s="201"/>
    </row>
    <row r="108" spans="1:17" s="87" customFormat="1" ht="38.25">
      <c r="A108" s="232" t="s">
        <v>4542</v>
      </c>
      <c r="B108" s="464">
        <v>95215</v>
      </c>
      <c r="C108" s="451" t="str">
        <f>IF(A108="SERVIÇO",VLOOKUP(B108,SERVIÇOS!$A$6:$D$7645,2,0),IF(A108="INSUMO",VLOOKUP(B108,INSUMOS!$A$6:$D$6961,2,0),IF(A108="COTAÇÃO",VLOOKUP(B108,'036-20-Cotação'!$A$9:$G$529,2,0))))</f>
        <v>PULVERIZADOR DE TINTA ELÉTRICO/MÁQUINA DE PINTURA AIRLESS, VAZÃO 2 L/MIN - JUROS. AF_08/2016</v>
      </c>
      <c r="D108" s="452" t="str">
        <f>IF(A108="SERVIÇO",VLOOKUP(B108,SERVIÇOS!$A$6:$E$7645,5,0),IF(A108="INSUMO",VLOOKUP(B108,INSUMOS!$A$6:$E$6961,5,0),IF(A108="COTAÇÃO",VLOOKUP(B108,'036-20-Cotação'!$A$9:$H$529,8,0))))</f>
        <v>EQUIP.</v>
      </c>
      <c r="E108" s="452" t="str">
        <f>IF(A108="SERVIÇO",VLOOKUP(B108,SERVIÇOS!$A$6:$D$7645,3,0),IF(A108="INSUMO",VLOOKUP(B108,INSUMOS!$A$6:$D$6961,3,0),IF(A108="COTAÇÃO",VLOOKUP(B108,'036-20-Cotação'!$A$9:$G$529,4,0))))</f>
        <v>H</v>
      </c>
      <c r="F108" s="462" t="s">
        <v>6488</v>
      </c>
      <c r="G108" s="453" t="str">
        <f>IF(A108="SERVIÇO",VLOOKUP(B108,SERVIÇOS!$A$6:$D$7645,4,0),IF(A108="INSUMO",VLOOKUP(B108,INSUMOS!$A$6:$D$6961,4,0),IF(A108="COTAÇÃO",VLOOKUP(B108,'036-20-Cotação'!$A$9:$G$529,3,0))))</f>
        <v>0,02</v>
      </c>
      <c r="H108" s="463">
        <f t="shared" si="15"/>
        <v>0.02</v>
      </c>
      <c r="J108" s="201"/>
    </row>
    <row r="109" spans="1:17" s="87" customFormat="1" ht="38.25">
      <c r="A109" s="232" t="s">
        <v>4542</v>
      </c>
      <c r="B109" s="464">
        <v>95216</v>
      </c>
      <c r="C109" s="451" t="str">
        <f>IF(A109="SERVIÇO",VLOOKUP(B109,SERVIÇOS!$A$6:$D$7645,2,0),IF(A109="INSUMO",VLOOKUP(B109,INSUMOS!$A$6:$D$6961,2,0),IF(A109="COTAÇÃO",VLOOKUP(B109,'036-20-Cotação'!$A$9:$G$529,2,0))))</f>
        <v>PULVERIZADOR DE TINTA ELÉTRICO/MÁQUINA DE PINTURA AIRLESS, VAZÃO 2 L/MIN - MANUTENÇÃO. AF_08/2016</v>
      </c>
      <c r="D109" s="452" t="str">
        <f>IF(A109="SERVIÇO",VLOOKUP(B109,SERVIÇOS!$A$6:$E$7645,5,0),IF(A109="INSUMO",VLOOKUP(B109,INSUMOS!$A$6:$E$6961,5,0),IF(A109="COTAÇÃO",VLOOKUP(B109,'036-20-Cotação'!$A$9:$H$529,8,0))))</f>
        <v>EQUIP.</v>
      </c>
      <c r="E109" s="452" t="str">
        <f>IF(A109="SERVIÇO",VLOOKUP(B109,SERVIÇOS!$A$6:$D$7645,3,0),IF(A109="INSUMO",VLOOKUP(B109,INSUMOS!$A$6:$D$6961,3,0),IF(A109="COTAÇÃO",VLOOKUP(B109,'036-20-Cotação'!$A$9:$G$529,4,0))))</f>
        <v>H</v>
      </c>
      <c r="F109" s="462" t="s">
        <v>6488</v>
      </c>
      <c r="G109" s="453" t="str">
        <f>IF(A109="SERVIÇO",VLOOKUP(B109,SERVIÇOS!$A$6:$D$7645,4,0),IF(A109="INSUMO",VLOOKUP(B109,INSUMOS!$A$6:$D$6961,4,0),IF(A109="COTAÇÃO",VLOOKUP(B109,'036-20-Cotação'!$A$9:$G$529,3,0))))</f>
        <v>0,15</v>
      </c>
      <c r="H109" s="463">
        <f t="shared" si="15"/>
        <v>0.15</v>
      </c>
      <c r="J109" s="201"/>
    </row>
    <row r="110" spans="1:17" s="87" customFormat="1" ht="38.25">
      <c r="A110" s="232" t="s">
        <v>4542</v>
      </c>
      <c r="B110" s="464">
        <v>95217</v>
      </c>
      <c r="C110" s="451" t="str">
        <f>IF(A110="SERVIÇO",VLOOKUP(B110,SERVIÇOS!$A$6:$D$7645,2,0),IF(A110="INSUMO",VLOOKUP(B110,INSUMOS!$A$6:$D$6961,2,0),IF(A110="COTAÇÃO",VLOOKUP(B110,'036-20-Cotação'!$A$9:$G$529,2,0))))</f>
        <v>PULVERIZADOR DE TINTA ELÉTRICO/MÁQUINA DE PINTURA AIRLESS, VAZÃO 2 L/MIN - MATERIAIS NA OPERAÇÃO. AF_08/2016</v>
      </c>
      <c r="D110" s="452" t="str">
        <f>IF(A110="SERVIÇO",VLOOKUP(B110,SERVIÇOS!$A$6:$E$7645,5,0),IF(A110="INSUMO",VLOOKUP(B110,INSUMOS!$A$6:$E$6961,5,0),IF(A110="COTAÇÃO",VLOOKUP(B110,'036-20-Cotação'!$A$9:$H$529,8,0))))</f>
        <v>EQUIP.</v>
      </c>
      <c r="E110" s="452" t="str">
        <f>IF(A110="SERVIÇO",VLOOKUP(B110,SERVIÇOS!$A$6:$D$7645,3,0),IF(A110="INSUMO",VLOOKUP(B110,INSUMOS!$A$6:$D$6961,3,0),IF(A110="COTAÇÃO",VLOOKUP(B110,'036-20-Cotação'!$A$9:$G$529,4,0))))</f>
        <v>H</v>
      </c>
      <c r="F110" s="462" t="s">
        <v>6488</v>
      </c>
      <c r="G110" s="453" t="str">
        <f>IF(A110="SERVIÇO",VLOOKUP(B110,SERVIÇOS!$A$6:$D$7645,4,0),IF(A110="INSUMO",VLOOKUP(B110,INSUMOS!$A$6:$D$6961,4,0),IF(A110="COTAÇÃO",VLOOKUP(B110,'036-20-Cotação'!$A$9:$G$529,3,0))))</f>
        <v>0,39</v>
      </c>
      <c r="H110" s="463">
        <f t="shared" si="15"/>
        <v>0.39</v>
      </c>
      <c r="J110" s="201"/>
    </row>
    <row r="111" spans="1:17" s="87" customFormat="1" ht="12.75">
      <c r="A111" s="188"/>
      <c r="B111" s="348" t="s">
        <v>123</v>
      </c>
      <c r="C111" s="695" t="s">
        <v>8277</v>
      </c>
      <c r="D111" s="696"/>
      <c r="E111" s="696"/>
      <c r="F111" s="696"/>
      <c r="G111" s="696"/>
      <c r="H111" s="697"/>
      <c r="J111" s="201"/>
      <c r="K111" s="78"/>
      <c r="L111" s="78"/>
      <c r="M111" s="78"/>
      <c r="N111" s="78"/>
      <c r="O111" s="78"/>
      <c r="P111" s="78"/>
      <c r="Q111" s="78"/>
    </row>
    <row r="112" spans="1:17" s="87" customFormat="1" ht="12.75">
      <c r="A112" s="188"/>
      <c r="B112" s="346"/>
      <c r="C112" s="397"/>
      <c r="D112" s="397"/>
      <c r="E112" s="397"/>
      <c r="F112" s="397"/>
      <c r="G112" s="397"/>
      <c r="H112" s="398"/>
      <c r="J112" s="201"/>
      <c r="K112" s="78"/>
      <c r="L112" s="78"/>
      <c r="M112" s="78"/>
      <c r="N112" s="78"/>
      <c r="O112" s="78"/>
      <c r="P112" s="78"/>
      <c r="Q112" s="78"/>
    </row>
    <row r="113" spans="1:17" s="87" customFormat="1" ht="38.25">
      <c r="A113" s="188"/>
      <c r="B113" s="80" t="s">
        <v>8278</v>
      </c>
      <c r="C113" s="81" t="s">
        <v>593</v>
      </c>
      <c r="D113" s="82" t="s">
        <v>84</v>
      </c>
      <c r="E113" s="82" t="s">
        <v>181</v>
      </c>
      <c r="F113" s="83"/>
      <c r="G113" s="84"/>
      <c r="H113" s="85">
        <f>SUM(H114:H117)</f>
        <v>21.9452</v>
      </c>
      <c r="J113" s="201"/>
      <c r="K113" s="78"/>
      <c r="L113" s="78"/>
      <c r="M113" s="78"/>
      <c r="N113" s="78"/>
      <c r="O113" s="78"/>
      <c r="P113" s="78"/>
      <c r="Q113" s="78"/>
    </row>
    <row r="114" spans="1:17" s="87" customFormat="1" ht="12.75">
      <c r="A114" s="232" t="s">
        <v>4542</v>
      </c>
      <c r="B114" s="464" t="s">
        <v>7527</v>
      </c>
      <c r="C114" s="451" t="str">
        <f>IF(A114="SERVIÇO",VLOOKUP(B114,SERVIÇOS!$A$6:$D$7645,2,0),IF(A114="INSUMO",VLOOKUP(B114,INSUMOS!$A$6:$D$6961,2,0),IF(A114="COTAÇÃO",VLOOKUP(B114,'036-20-Cotação'!$A$9:$G$529,2,0))))</f>
        <v>PINTOR</v>
      </c>
      <c r="D114" s="452" t="str">
        <f>IF(A114="SERVIÇO",VLOOKUP(B114,SERVIÇOS!$A$6:$E$7645,5,0),IF(A114="INSUMO",VLOOKUP(B114,INSUMOS!$A$6:$E$6961,5,0),IF(A114="COTAÇÃO",VLOOKUP(B114,'036-20-Cotação'!$A$9:$H$529,8,0))))</f>
        <v>M.O</v>
      </c>
      <c r="E114" s="452" t="str">
        <f>IF(A114="SERVIÇO",VLOOKUP(B114,SERVIÇOS!$A$6:$D$7645,3,0),IF(A114="INSUMO",VLOOKUP(B114,INSUMOS!$A$6:$D$6961,3,0),IF(A114="COTAÇÃO",VLOOKUP(B114,'036-20-Cotação'!$A$9:$G$529,4,0))))</f>
        <v>H</v>
      </c>
      <c r="F114" s="462" t="s">
        <v>6488</v>
      </c>
      <c r="G114" s="453">
        <f>IF(A114="SERVIÇO",VLOOKUP(B114,SERVIÇOS!$A$6:$D$7645,4,0),IF(A114="INSUMO",VLOOKUP(B114,INSUMOS!$A$6:$D$6961,4,0),IF(A114="COTAÇÃO",VLOOKUP(B114,'036-20-Cotação'!$A$9:$G$529,3,0))))</f>
        <v>21.705200000000001</v>
      </c>
      <c r="H114" s="463">
        <f t="shared" ref="H114:H116" si="16">G114*F114</f>
        <v>21.705200000000001</v>
      </c>
      <c r="J114" s="201"/>
    </row>
    <row r="115" spans="1:17" s="87" customFormat="1" ht="38.25">
      <c r="A115" s="232" t="s">
        <v>4542</v>
      </c>
      <c r="B115" s="464">
        <v>95214</v>
      </c>
      <c r="C115" s="451" t="str">
        <f>IF(A115="SERVIÇO",VLOOKUP(B115,SERVIÇOS!$A$6:$D$7645,2,0),IF(A115="INSUMO",VLOOKUP(B115,INSUMOS!$A$6:$D$6961,2,0),IF(A115="COTAÇÃO",VLOOKUP(B115,'036-20-Cotação'!$A$9:$G$529,2,0))))</f>
        <v>PULVERIZADOR DE TINTA ELÉTRICO/MÁQUINA DE PINTURA AIRLESS, VAZÃO 2 L/MIN - DEPRECIAÇÃO. AF_08/2016</v>
      </c>
      <c r="D115" s="452" t="str">
        <f>IF(A115="SERVIÇO",VLOOKUP(B115,SERVIÇOS!$A$6:$E$7645,5,0),IF(A115="INSUMO",VLOOKUP(B115,INSUMOS!$A$6:$E$6961,5,0),IF(A115="COTAÇÃO",VLOOKUP(B115,'036-20-Cotação'!$A$9:$H$529,8,0))))</f>
        <v>EQUIP.</v>
      </c>
      <c r="E115" s="452" t="str">
        <f>IF(A115="SERVIÇO",VLOOKUP(B115,SERVIÇOS!$A$6:$D$7645,3,0),IF(A115="INSUMO",VLOOKUP(B115,INSUMOS!$A$6:$D$6961,3,0),IF(A115="COTAÇÃO",VLOOKUP(B115,'036-20-Cotação'!$A$9:$G$529,4,0))))</f>
        <v>H</v>
      </c>
      <c r="F115" s="462" t="s">
        <v>6488</v>
      </c>
      <c r="G115" s="453" t="str">
        <f>IF(A115="SERVIÇO",VLOOKUP(B115,SERVIÇOS!$A$6:$D$7645,4,0),IF(A115="INSUMO",VLOOKUP(B115,INSUMOS!$A$6:$D$6961,4,0),IF(A115="COTAÇÃO",VLOOKUP(B115,'036-20-Cotação'!$A$9:$G$529,3,0))))</f>
        <v>0,22</v>
      </c>
      <c r="H115" s="463">
        <f t="shared" si="16"/>
        <v>0.22</v>
      </c>
      <c r="J115" s="201"/>
    </row>
    <row r="116" spans="1:17" s="87" customFormat="1" ht="38.25">
      <c r="A116" s="232" t="s">
        <v>4542</v>
      </c>
      <c r="B116" s="464">
        <v>95215</v>
      </c>
      <c r="C116" s="451" t="str">
        <f>IF(A116="SERVIÇO",VLOOKUP(B116,SERVIÇOS!$A$6:$D$7645,2,0),IF(A116="INSUMO",VLOOKUP(B116,INSUMOS!$A$6:$D$6961,2,0),IF(A116="COTAÇÃO",VLOOKUP(B116,'036-20-Cotação'!$A$9:$G$529,2,0))))</f>
        <v>PULVERIZADOR DE TINTA ELÉTRICO/MÁQUINA DE PINTURA AIRLESS, VAZÃO 2 L/MIN - JUROS. AF_08/2016</v>
      </c>
      <c r="D116" s="452" t="str">
        <f>IF(A116="SERVIÇO",VLOOKUP(B116,SERVIÇOS!$A$6:$E$7645,5,0),IF(A116="INSUMO",VLOOKUP(B116,INSUMOS!$A$6:$E$6961,5,0),IF(A116="COTAÇÃO",VLOOKUP(B116,'036-20-Cotação'!$A$9:$H$529,8,0))))</f>
        <v>EQUIP.</v>
      </c>
      <c r="E116" s="452" t="str">
        <f>IF(A116="SERVIÇO",VLOOKUP(B116,SERVIÇOS!$A$6:$D$7645,3,0),IF(A116="INSUMO",VLOOKUP(B116,INSUMOS!$A$6:$D$6961,3,0),IF(A116="COTAÇÃO",VLOOKUP(B116,'036-20-Cotação'!$A$9:$G$529,4,0))))</f>
        <v>H</v>
      </c>
      <c r="F116" s="462" t="s">
        <v>6488</v>
      </c>
      <c r="G116" s="453" t="str">
        <f>IF(A116="SERVIÇO",VLOOKUP(B116,SERVIÇOS!$A$6:$D$7645,4,0),IF(A116="INSUMO",VLOOKUP(B116,INSUMOS!$A$6:$D$6961,4,0),IF(A116="COTAÇÃO",VLOOKUP(B116,'036-20-Cotação'!$A$9:$G$529,3,0))))</f>
        <v>0,02</v>
      </c>
      <c r="H116" s="463">
        <f t="shared" si="16"/>
        <v>0.02</v>
      </c>
      <c r="J116" s="201"/>
    </row>
    <row r="117" spans="1:17" s="87" customFormat="1" ht="12.75">
      <c r="A117" s="188"/>
      <c r="B117" s="348" t="s">
        <v>123</v>
      </c>
      <c r="C117" s="695" t="s">
        <v>8279</v>
      </c>
      <c r="D117" s="696"/>
      <c r="E117" s="696"/>
      <c r="F117" s="696"/>
      <c r="G117" s="696"/>
      <c r="H117" s="697"/>
      <c r="J117" s="201"/>
      <c r="K117" s="78"/>
      <c r="L117" s="78"/>
      <c r="M117" s="78"/>
      <c r="N117" s="78"/>
      <c r="O117" s="78"/>
      <c r="P117" s="78"/>
      <c r="Q117" s="78"/>
    </row>
    <row r="118" spans="1:17" s="87" customFormat="1" ht="12.75">
      <c r="A118" s="188"/>
      <c r="B118" s="346"/>
      <c r="C118" s="399"/>
      <c r="D118" s="399"/>
      <c r="E118" s="399"/>
      <c r="F118" s="399"/>
      <c r="G118" s="399"/>
      <c r="H118" s="400"/>
      <c r="J118" s="201"/>
      <c r="K118" s="78"/>
      <c r="L118" s="78"/>
      <c r="M118" s="78"/>
      <c r="N118" s="78"/>
      <c r="O118" s="78"/>
      <c r="P118" s="78"/>
      <c r="Q118" s="78"/>
    </row>
    <row r="119" spans="1:17" s="87" customFormat="1" ht="38.25">
      <c r="A119" s="188"/>
      <c r="B119" s="80" t="s">
        <v>8331</v>
      </c>
      <c r="C119" s="81" t="s">
        <v>8332</v>
      </c>
      <c r="D119" s="82" t="s">
        <v>84</v>
      </c>
      <c r="E119" s="82" t="s">
        <v>89</v>
      </c>
      <c r="F119" s="83"/>
      <c r="G119" s="84"/>
      <c r="H119" s="85">
        <f>SUM(H120:H123)</f>
        <v>78.626164939275782</v>
      </c>
      <c r="J119" s="201" t="s">
        <v>7928</v>
      </c>
      <c r="K119" s="78"/>
      <c r="L119" s="78"/>
      <c r="M119" s="78"/>
      <c r="N119" s="78"/>
      <c r="O119" s="78"/>
      <c r="P119" s="78"/>
      <c r="Q119" s="78"/>
    </row>
    <row r="120" spans="1:17" s="87" customFormat="1" ht="12.75">
      <c r="A120" s="232" t="s">
        <v>4542</v>
      </c>
      <c r="B120" s="464" t="s">
        <v>6614</v>
      </c>
      <c r="C120" s="451" t="str">
        <f>IF(A120="SERVIÇO",VLOOKUP(B120,SERVIÇOS!$A$6:$D$7645,2,0),IF(A120="INSUMO",VLOOKUP(B120,INSUMOS!$A$6:$D$6961,2,0),IF(A120="COTAÇÃO",VLOOKUP(B120,'036-20-Cotação'!$A$9:$G$529,2,0))))</f>
        <v>PEDREIRO</v>
      </c>
      <c r="D120" s="452" t="str">
        <f>IF(A120="SERVIÇO",VLOOKUP(B120,SERVIÇOS!$A$6:$E$7645,5,0),IF(A120="INSUMO",VLOOKUP(B120,INSUMOS!$A$6:$E$6961,5,0),IF(A120="COTAÇÃO",VLOOKUP(B120,'036-20-Cotação'!$A$9:$H$529,8,0))))</f>
        <v>M.O</v>
      </c>
      <c r="E120" s="452" t="str">
        <f>IF(A120="SERVIÇO",VLOOKUP(B120,SERVIÇOS!$A$6:$D$7645,3,0),IF(A120="INSUMO",VLOOKUP(B120,INSUMOS!$A$6:$D$6961,3,0),IF(A120="COTAÇÃO",VLOOKUP(B120,'036-20-Cotação'!$A$9:$G$529,4,0))))</f>
        <v>H</v>
      </c>
      <c r="F120" s="462">
        <f>1/5</f>
        <v>0.2</v>
      </c>
      <c r="G120" s="453">
        <f>IF(A120="SERVIÇO",VLOOKUP(B120,SERVIÇOS!$A$6:$D$7645,4,0),IF(A120="INSUMO",VLOOKUP(B120,INSUMOS!$A$6:$D$6961,4,0),IF(A120="COTAÇÃO",VLOOKUP(B120,'036-20-Cotação'!$A$9:$G$529,3,0))))</f>
        <v>21.647600000000001</v>
      </c>
      <c r="H120" s="463">
        <f t="shared" ref="H120:H123" si="17">G120*F120</f>
        <v>4.3295200000000005</v>
      </c>
      <c r="J120" s="201"/>
    </row>
    <row r="121" spans="1:17" s="87" customFormat="1" ht="12.75">
      <c r="A121" s="232" t="s">
        <v>4542</v>
      </c>
      <c r="B121" s="464" t="s">
        <v>6602</v>
      </c>
      <c r="C121" s="451" t="str">
        <f>IF(A121="SERVIÇO",VLOOKUP(B121,SERVIÇOS!$A$6:$D$7645,2,0),IF(A121="INSUMO",VLOOKUP(B121,INSUMOS!$A$6:$D$6961,2,0),IF(A121="COTAÇÃO",VLOOKUP(B121,'036-20-Cotação'!$A$9:$G$529,2,0))))</f>
        <v>SERVENTE</v>
      </c>
      <c r="D121" s="452" t="str">
        <f>IF(A121="SERVIÇO",VLOOKUP(B121,SERVIÇOS!$A$6:$E$7645,5,0),IF(A121="INSUMO",VLOOKUP(B121,INSUMOS!$A$6:$E$6961,5,0),IF(A121="COTAÇÃO",VLOOKUP(B121,'036-20-Cotação'!$A$9:$H$529,8,0))))</f>
        <v>M.O</v>
      </c>
      <c r="E121" s="452" t="str">
        <f>IF(A121="SERVIÇO",VLOOKUP(B121,SERVIÇOS!$A$6:$D$7645,3,0),IF(A121="INSUMO",VLOOKUP(B121,INSUMOS!$A$6:$D$6961,3,0),IF(A121="COTAÇÃO",VLOOKUP(B121,'036-20-Cotação'!$A$9:$G$529,4,0))))</f>
        <v>H</v>
      </c>
      <c r="F121" s="462">
        <f>1/5</f>
        <v>0.2</v>
      </c>
      <c r="G121" s="453">
        <f>IF(A121="SERVIÇO",VLOOKUP(B121,SERVIÇOS!$A$6:$D$7645,4,0),IF(A121="INSUMO",VLOOKUP(B121,INSUMOS!$A$6:$D$6961,4,0),IF(A121="COTAÇÃO",VLOOKUP(B121,'036-20-Cotação'!$A$9:$G$529,3,0))))</f>
        <v>15.637499999999999</v>
      </c>
      <c r="H121" s="463">
        <f t="shared" si="17"/>
        <v>3.1274999999999999</v>
      </c>
      <c r="J121" s="201"/>
    </row>
    <row r="122" spans="1:17" s="87" customFormat="1" ht="25.5">
      <c r="A122" s="232" t="s">
        <v>12</v>
      </c>
      <c r="B122" s="464" t="s">
        <v>8333</v>
      </c>
      <c r="C122" s="451" t="str">
        <f>IF(A122="SERVIÇO",VLOOKUP(B122,SERVIÇOS!$A$6:$D$7645,2,0),IF(A122="INSUMO",VLOOKUP(B122,INSUMOS!$A$6:$D$6961,2,0),IF(A122="COTAÇÃO",VLOOKUP(B122,'036-20-Cotação'!$A$9:$G$529,2,0))))</f>
        <v>DURÕMETRO EPOXÍDICO - MC BAUCHEMIE MC INJEKT 1264 COMPACT OU EQUIVALENTE</v>
      </c>
      <c r="D122" s="452" t="str">
        <f>IF(A122="SERVIÇO",VLOOKUP(B122,SERVIÇOS!$A$6:$E$7645,5,0),IF(A122="INSUMO",VLOOKUP(B122,INSUMOS!$A$6:$E$6961,5,0),IF(A122="COTAÇÃO",VLOOKUP(B122,'036-20-Cotação'!$A$9:$H$529,8,0))))</f>
        <v>MAT.</v>
      </c>
      <c r="E122" s="452" t="str">
        <f>IF(A122="SERVIÇO",VLOOKUP(B122,SERVIÇOS!$A$6:$D$7645,3,0),IF(A122="INSUMO",VLOOKUP(B122,INSUMOS!$A$6:$D$6961,3,0),IF(A122="COTAÇÃO",VLOOKUP(B122,'036-20-Cotação'!$A$9:$G$529,4,0))))</f>
        <v>KG</v>
      </c>
      <c r="F122" s="462">
        <v>1</v>
      </c>
      <c r="G122" s="453">
        <f>IF(A122="SERVIÇO",VLOOKUP(B122,SERVIÇOS!$A$6:$D$7645,4,0),IF(A122="INSUMO",VLOOKUP(B122,INSUMOS!$A$6:$D$6961,4,0),IF(A122="COTAÇÃO",VLOOKUP(B122,'036-20-Cotação'!$A$9:$G$529,3,0))))</f>
        <v>71.148219377195247</v>
      </c>
      <c r="H122" s="463">
        <f t="shared" si="17"/>
        <v>71.148219377195247</v>
      </c>
      <c r="J122" s="201"/>
    </row>
    <row r="123" spans="1:17" s="87" customFormat="1" ht="25.5">
      <c r="A123" s="232" t="s">
        <v>4542</v>
      </c>
      <c r="B123" s="464" t="str">
        <f>$B$281</f>
        <v>5914655-TF</v>
      </c>
      <c r="C123" s="451" t="str">
        <f>$C$281</f>
        <v>TEMPO FIXO - CAMINHÃO CARROCERIA 15 T - CARGA E DESCARGA MANUAIS</v>
      </c>
      <c r="D123" s="452" t="str">
        <f>$D$281</f>
        <v>SER.CG</v>
      </c>
      <c r="E123" s="452" t="str">
        <f>$E$281</f>
        <v>T</v>
      </c>
      <c r="F123" s="462">
        <v>1E-3</v>
      </c>
      <c r="G123" s="453">
        <f>$H$281</f>
        <v>20.925562080536913</v>
      </c>
      <c r="H123" s="463">
        <f t="shared" si="17"/>
        <v>2.0925562080536912E-2</v>
      </c>
      <c r="J123" s="201"/>
    </row>
    <row r="124" spans="1:17" s="87" customFormat="1" ht="12.75">
      <c r="A124" s="188"/>
      <c r="B124" s="348" t="s">
        <v>123</v>
      </c>
      <c r="C124" s="695" t="s">
        <v>8034</v>
      </c>
      <c r="D124" s="696"/>
      <c r="E124" s="696"/>
      <c r="F124" s="696"/>
      <c r="G124" s="696"/>
      <c r="H124" s="697"/>
      <c r="J124" s="201"/>
      <c r="K124" s="78"/>
      <c r="L124" s="78"/>
      <c r="M124" s="78"/>
      <c r="N124" s="78"/>
      <c r="O124" s="78"/>
      <c r="P124" s="78"/>
      <c r="Q124" s="78"/>
    </row>
    <row r="125" spans="1:17" s="87" customFormat="1" ht="12.75">
      <c r="A125" s="188"/>
      <c r="B125" s="346"/>
      <c r="C125" s="470"/>
      <c r="D125" s="470"/>
      <c r="E125" s="470"/>
      <c r="F125" s="470"/>
      <c r="G125" s="470"/>
      <c r="H125" s="471"/>
      <c r="J125" s="201"/>
      <c r="K125" s="78"/>
      <c r="L125" s="78"/>
      <c r="M125" s="78"/>
      <c r="N125" s="78"/>
      <c r="O125" s="78"/>
      <c r="P125" s="78"/>
      <c r="Q125" s="78"/>
    </row>
    <row r="126" spans="1:17" s="87" customFormat="1" ht="38.25">
      <c r="A126" s="188"/>
      <c r="B126" s="80">
        <v>3807861</v>
      </c>
      <c r="C126" s="81" t="s">
        <v>7736</v>
      </c>
      <c r="D126" s="82" t="s">
        <v>201</v>
      </c>
      <c r="E126" s="82" t="s">
        <v>90</v>
      </c>
      <c r="F126" s="83"/>
      <c r="G126" s="84"/>
      <c r="H126" s="85">
        <f>SUM(H127:H132)</f>
        <v>2.3260791408977557</v>
      </c>
      <c r="J126" s="201" t="s">
        <v>13110</v>
      </c>
      <c r="K126" s="78"/>
      <c r="L126" s="78"/>
      <c r="M126" s="78"/>
      <c r="N126" s="78"/>
      <c r="O126" s="78"/>
      <c r="P126" s="78"/>
      <c r="Q126" s="78"/>
    </row>
    <row r="127" spans="1:17" s="87" customFormat="1" ht="12.75">
      <c r="A127" s="232" t="s">
        <v>4542</v>
      </c>
      <c r="B127" s="464" t="s">
        <v>9006</v>
      </c>
      <c r="C127" s="451" t="str">
        <f>IF(A127="SERVIÇO",VLOOKUP(B127,SERVIÇOS!$A$6:$D$7645,2,0),IF(A127="INSUMO",VLOOKUP(B127,INSUMOS!$A$6:$D$6961,2,0),IF(A127="COTAÇÃO",VLOOKUP(B127,'036-20-Cotação'!$A$9:$G$529,2,0))))</f>
        <v>GRUPO GERADOR - 2,5/3 KVA</v>
      </c>
      <c r="D127" s="452" t="str">
        <f>IF(A127="SERVIÇO",VLOOKUP(B127,SERVIÇOS!$A$6:$E$7645,5,0),IF(A127="INSUMO",VLOOKUP(B127,INSUMOS!$A$6:$E$6961,5,0),IF(A127="COTAÇÃO",VLOOKUP(B127,'036-20-Cotação'!$A$9:$H$529,8,0))))</f>
        <v>EQUIP.</v>
      </c>
      <c r="E127" s="452" t="str">
        <f>IF(A127="SERVIÇO",VLOOKUP(B127,SERVIÇOS!$A$6:$D$7645,3,0),IF(A127="INSUMO",VLOOKUP(B127,INSUMOS!$A$6:$D$6961,3,0),IF(A127="COTAÇÃO",VLOOKUP(B127,'036-20-Cotação'!$A$9:$G$529,4,0))))</f>
        <v>CHP</v>
      </c>
      <c r="F127" s="462">
        <f>1/16.04</f>
        <v>6.2344139650872821E-2</v>
      </c>
      <c r="G127" s="453">
        <f>IF(A127="SERVIÇO",VLOOKUP(B127,SERVIÇOS!$A$6:$D$7645,4,0),IF(A127="INSUMO",VLOOKUP(B127,INSUMOS!$A$6:$D$6961,4,0),IF(A127="COTAÇÃO",VLOOKUP(B127,'036-20-Cotação'!$A$9:$G$529,3,0))))</f>
        <v>2.9165999999999999</v>
      </c>
      <c r="H127" s="463">
        <f t="shared" ref="H127:H131" si="18">G127*F127</f>
        <v>0.18183291770573565</v>
      </c>
      <c r="J127" s="201"/>
    </row>
    <row r="128" spans="1:17" s="87" customFormat="1" ht="25.5">
      <c r="A128" s="232" t="s">
        <v>4542</v>
      </c>
      <c r="B128" s="464" t="s">
        <v>9221</v>
      </c>
      <c r="C128" s="451" t="str">
        <f>IF(A128="SERVIÇO",VLOOKUP(B128,SERVIÇOS!$A$6:$D$7645,2,0),IF(A128="INSUMO",VLOOKUP(B128,INSUMOS!$A$6:$D$6961,2,0),IF(A128="COTAÇÃO",VLOOKUP(B128,'036-20-Cotação'!$A$9:$G$529,2,0))))</f>
        <v>MARTELETE PERFURADOR/ROMPEDOR ELÉTRICO - 1,5 KW</v>
      </c>
      <c r="D128" s="452" t="str">
        <f>IF(A128="SERVIÇO",VLOOKUP(B128,SERVIÇOS!$A$6:$E$7645,5,0),IF(A128="INSUMO",VLOOKUP(B128,INSUMOS!$A$6:$E$6961,5,0),IF(A128="COTAÇÃO",VLOOKUP(B128,'036-20-Cotação'!$A$9:$H$529,8,0))))</f>
        <v>EQUIP.</v>
      </c>
      <c r="E128" s="452" t="str">
        <f>IF(A128="SERVIÇO",VLOOKUP(B128,SERVIÇOS!$A$6:$D$7645,3,0),IF(A128="INSUMO",VLOOKUP(B128,INSUMOS!$A$6:$D$6961,3,0),IF(A128="COTAÇÃO",VLOOKUP(B128,'036-20-Cotação'!$A$9:$G$529,4,0))))</f>
        <v>CHP</v>
      </c>
      <c r="F128" s="462">
        <f>1/16.04</f>
        <v>6.2344139650872821E-2</v>
      </c>
      <c r="G128" s="453">
        <f>IF(A128="SERVIÇO",VLOOKUP(B128,SERVIÇOS!$A$6:$D$7645,4,0),IF(A128="INSUMO",VLOOKUP(B128,INSUMOS!$A$6:$D$6961,4,0),IF(A128="COTAÇÃO",VLOOKUP(B128,'036-20-Cotação'!$A$9:$G$529,3,0))))</f>
        <v>0.57430000000000003</v>
      </c>
      <c r="H128" s="463">
        <f t="shared" si="18"/>
        <v>3.5804239401496261E-2</v>
      </c>
      <c r="J128" s="201"/>
    </row>
    <row r="129" spans="1:17" s="87" customFormat="1" ht="12.75">
      <c r="A129" s="232" t="s">
        <v>4542</v>
      </c>
      <c r="B129" s="464" t="s">
        <v>6602</v>
      </c>
      <c r="C129" s="451" t="str">
        <f>IF(A129="SERVIÇO",VLOOKUP(B129,SERVIÇOS!$A$6:$D$7645,2,0),IF(A129="INSUMO",VLOOKUP(B129,INSUMOS!$A$6:$D$6961,2,0),IF(A129="COTAÇÃO",VLOOKUP(B129,'036-20-Cotação'!$A$9:$G$529,2,0))))</f>
        <v>SERVENTE</v>
      </c>
      <c r="D129" s="452" t="str">
        <f>IF(A129="SERVIÇO",VLOOKUP(B129,SERVIÇOS!$A$6:$E$7645,5,0),IF(A129="INSUMO",VLOOKUP(B129,INSUMOS!$A$6:$E$6961,5,0),IF(A129="COTAÇÃO",VLOOKUP(B129,'036-20-Cotação'!$A$9:$H$529,8,0))))</f>
        <v>M.O</v>
      </c>
      <c r="E129" s="452" t="str">
        <f>IF(A129="SERVIÇO",VLOOKUP(B129,SERVIÇOS!$A$6:$D$7645,3,0),IF(A129="INSUMO",VLOOKUP(B129,INSUMOS!$A$6:$D$6961,3,0),IF(A129="COTAÇÃO",VLOOKUP(B129,'036-20-Cotação'!$A$9:$G$529,4,0))))</f>
        <v>H</v>
      </c>
      <c r="F129" s="462">
        <f>1/16.04</f>
        <v>6.2344139650872821E-2</v>
      </c>
      <c r="G129" s="453">
        <f>IF(A129="SERVIÇO",VLOOKUP(B129,SERVIÇOS!$A$6:$D$7645,4,0),IF(A129="INSUMO",VLOOKUP(B129,INSUMOS!$A$6:$D$6961,4,0),IF(A129="COTAÇÃO",VLOOKUP(B129,'036-20-Cotação'!$A$9:$G$529,3,0))))</f>
        <v>15.637499999999999</v>
      </c>
      <c r="H129" s="463">
        <f t="shared" si="18"/>
        <v>0.97490648379052369</v>
      </c>
      <c r="J129" s="201"/>
    </row>
    <row r="130" spans="1:17" s="87" customFormat="1" ht="12.75">
      <c r="A130" s="232" t="s">
        <v>4544</v>
      </c>
      <c r="B130" s="464" t="s">
        <v>11038</v>
      </c>
      <c r="C130" s="451" t="str">
        <f>IF(A130="SERVIÇO",VLOOKUP(B130,SERVIÇOS!$A$6:$D$7645,2,0),IF(A130="INSUMO",VLOOKUP(B130,INSUMOS!$A$6:$D$6961,2,0),IF(A130="COTAÇÃO",VLOOKUP(B130,'036-20-Cotação'!$A$9:$G$529,2,0))))</f>
        <v>BROCA DE WIDIA - D = 10 MM</v>
      </c>
      <c r="D130" s="452" t="str">
        <f>IF(A130="SERVIÇO",VLOOKUP(B130,SERVIÇOS!$A$6:$E$7645,5,0),IF(A130="INSUMO",VLOOKUP(B130,INSUMOS!$A$6:$E$6961,5,0),IF(A130="COTAÇÃO",VLOOKUP(B130,'036-20-Cotação'!$A$9:$H$529,8,0))))</f>
        <v>MAT.</v>
      </c>
      <c r="E130" s="452" t="str">
        <f>IF(A130="SERVIÇO",VLOOKUP(B130,SERVIÇOS!$A$6:$D$7645,3,0),IF(A130="INSUMO",VLOOKUP(B130,INSUMOS!$A$6:$D$6961,3,0),IF(A130="COTAÇÃO",VLOOKUP(B130,'036-20-Cotação'!$A$9:$G$529,4,0))))</f>
        <v>UN</v>
      </c>
      <c r="F130" s="462">
        <v>4.4999999999999998E-2</v>
      </c>
      <c r="G130" s="453">
        <f>IF(A130="SERVIÇO",VLOOKUP(B130,SERVIÇOS!$A$6:$D$7645,4,0),IF(A130="INSUMO",VLOOKUP(B130,INSUMOS!$A$6:$D$6961,4,0),IF(A130="COTAÇÃO",VLOOKUP(B130,'036-20-Cotação'!$A$9:$G$529,3,0))))</f>
        <v>7.4119000000000002</v>
      </c>
      <c r="H130" s="463">
        <f t="shared" si="18"/>
        <v>0.33353549999999998</v>
      </c>
      <c r="J130" s="201"/>
    </row>
    <row r="131" spans="1:17" s="87" customFormat="1" ht="25.5">
      <c r="A131" s="232" t="s">
        <v>4544</v>
      </c>
      <c r="B131" s="464" t="s">
        <v>10440</v>
      </c>
      <c r="C131" s="451" t="str">
        <f>IF(A131="SERVIÇO",VLOOKUP(B131,SERVIÇOS!$A$6:$D$7645,2,0),IF(A131="INSUMO",VLOOKUP(B131,INSUMOS!$A$6:$D$6961,2,0),IF(A131="COTAÇÃO",VLOOKUP(B131,'036-20-Cotação'!$A$9:$G$529,2,0))))</f>
        <v>CHUMBADOR PARA CONCRETO TECBOLT DE 6,3 MM</v>
      </c>
      <c r="D131" s="452" t="str">
        <f>IF(A131="SERVIÇO",VLOOKUP(B131,SERVIÇOS!$A$6:$E$7645,5,0),IF(A131="INSUMO",VLOOKUP(B131,INSUMOS!$A$6:$E$6961,5,0),IF(A131="COTAÇÃO",VLOOKUP(B131,'036-20-Cotação'!$A$9:$H$529,8,0))))</f>
        <v>MAT.</v>
      </c>
      <c r="E131" s="452" t="str">
        <f>IF(A131="SERVIÇO",VLOOKUP(B131,SERVIÇOS!$A$6:$D$7645,3,0),IF(A131="INSUMO",VLOOKUP(B131,INSUMOS!$A$6:$D$6961,3,0),IF(A131="COTAÇÃO",VLOOKUP(B131,'036-20-Cotação'!$A$9:$G$529,4,0))))</f>
        <v>UN</v>
      </c>
      <c r="F131" s="462">
        <v>1</v>
      </c>
      <c r="G131" s="453">
        <f>IF(A131="SERVIÇO",VLOOKUP(B131,SERVIÇOS!$A$6:$D$7645,4,0),IF(A131="INSUMO",VLOOKUP(B131,INSUMOS!$A$6:$D$6961,4,0),IF(A131="COTAÇÃO",VLOOKUP(B131,'036-20-Cotação'!$A$9:$G$529,3,0))))</f>
        <v>0.8</v>
      </c>
      <c r="H131" s="463">
        <f t="shared" si="18"/>
        <v>0.8</v>
      </c>
      <c r="J131" s="201"/>
    </row>
    <row r="132" spans="1:17" s="87" customFormat="1" ht="12.75">
      <c r="A132" s="188"/>
      <c r="B132" s="348" t="s">
        <v>123</v>
      </c>
      <c r="C132" s="695" t="s">
        <v>13111</v>
      </c>
      <c r="D132" s="696"/>
      <c r="E132" s="696"/>
      <c r="F132" s="696"/>
      <c r="G132" s="696"/>
      <c r="H132" s="697"/>
      <c r="J132" s="201"/>
      <c r="K132" s="78"/>
      <c r="L132" s="78"/>
      <c r="M132" s="78"/>
      <c r="N132" s="78"/>
      <c r="O132" s="78"/>
      <c r="P132" s="78"/>
      <c r="Q132" s="78"/>
    </row>
    <row r="133" spans="1:17" s="87" customFormat="1" ht="12.75">
      <c r="A133" s="188"/>
      <c r="B133" s="346"/>
      <c r="C133" s="470"/>
      <c r="D133" s="470"/>
      <c r="E133" s="470"/>
      <c r="F133" s="470"/>
      <c r="G133" s="470"/>
      <c r="H133" s="471"/>
      <c r="J133" s="201"/>
      <c r="K133" s="78"/>
      <c r="L133" s="78"/>
      <c r="M133" s="78"/>
      <c r="N133" s="78"/>
      <c r="O133" s="78"/>
      <c r="P133" s="78"/>
      <c r="Q133" s="78"/>
    </row>
    <row r="134" spans="1:17" s="87" customFormat="1" ht="38.25">
      <c r="A134" s="188"/>
      <c r="B134" s="80">
        <v>3807863</v>
      </c>
      <c r="C134" s="81" t="s">
        <v>7737</v>
      </c>
      <c r="D134" s="82" t="s">
        <v>201</v>
      </c>
      <c r="E134" s="82" t="s">
        <v>90</v>
      </c>
      <c r="F134" s="83"/>
      <c r="G134" s="84"/>
      <c r="H134" s="85">
        <f>SUM(H135:H140)</f>
        <v>8.0054770873015872</v>
      </c>
      <c r="J134" s="201" t="s">
        <v>13112</v>
      </c>
      <c r="K134" s="78"/>
      <c r="L134" s="78"/>
      <c r="M134" s="78"/>
      <c r="N134" s="78"/>
      <c r="O134" s="78"/>
      <c r="P134" s="78"/>
      <c r="Q134" s="78"/>
    </row>
    <row r="135" spans="1:17" s="87" customFormat="1" ht="12.75">
      <c r="A135" s="232" t="s">
        <v>4542</v>
      </c>
      <c r="B135" s="464" t="s">
        <v>9006</v>
      </c>
      <c r="C135" s="451" t="str">
        <f>IF(A135="SERVIÇO",VLOOKUP(B135,SERVIÇOS!$A$6:$D$7645,2,0),IF(A135="INSUMO",VLOOKUP(B135,INSUMOS!$A$6:$D$6961,2,0),IF(A135="COTAÇÃO",VLOOKUP(B135,'036-20-Cotação'!$A$9:$G$529,2,0))))</f>
        <v>GRUPO GERADOR - 2,5/3 KVA</v>
      </c>
      <c r="D135" s="452" t="str">
        <f>IF(A135="SERVIÇO",VLOOKUP(B135,SERVIÇOS!$A$6:$E$7645,5,0),IF(A135="INSUMO",VLOOKUP(B135,INSUMOS!$A$6:$E$6961,5,0),IF(A135="COTAÇÃO",VLOOKUP(B135,'036-20-Cotação'!$A$9:$H$529,8,0))))</f>
        <v>EQUIP.</v>
      </c>
      <c r="E135" s="452" t="str">
        <f>IF(A135="SERVIÇO",VLOOKUP(B135,SERVIÇOS!$A$6:$D$7645,3,0),IF(A135="INSUMO",VLOOKUP(B135,INSUMOS!$A$6:$D$6961,3,0),IF(A135="COTAÇÃO",VLOOKUP(B135,'036-20-Cotação'!$A$9:$G$529,4,0))))</f>
        <v>CHP</v>
      </c>
      <c r="F135" s="462">
        <f>1/15.75</f>
        <v>6.3492063492063489E-2</v>
      </c>
      <c r="G135" s="453">
        <f>IF(A135="SERVIÇO",VLOOKUP(B135,SERVIÇOS!$A$6:$D$7645,4,0),IF(A135="INSUMO",VLOOKUP(B135,INSUMOS!$A$6:$D$6961,4,0),IF(A135="COTAÇÃO",VLOOKUP(B135,'036-20-Cotação'!$A$9:$G$529,3,0))))</f>
        <v>2.9165999999999999</v>
      </c>
      <c r="H135" s="463">
        <f t="shared" ref="H135:H139" si="19">G135*F135</f>
        <v>0.18518095238095236</v>
      </c>
      <c r="J135" s="201"/>
    </row>
    <row r="136" spans="1:17" s="87" customFormat="1" ht="25.5">
      <c r="A136" s="232" t="s">
        <v>4542</v>
      </c>
      <c r="B136" s="464" t="s">
        <v>9221</v>
      </c>
      <c r="C136" s="451" t="str">
        <f>IF(A136="SERVIÇO",VLOOKUP(B136,SERVIÇOS!$A$6:$D$7645,2,0),IF(A136="INSUMO",VLOOKUP(B136,INSUMOS!$A$6:$D$6961,2,0),IF(A136="COTAÇÃO",VLOOKUP(B136,'036-20-Cotação'!$A$9:$G$529,2,0))))</f>
        <v>MARTELETE PERFURADOR/ROMPEDOR ELÉTRICO - 1,5 KW</v>
      </c>
      <c r="D136" s="452" t="str">
        <f>IF(A136="SERVIÇO",VLOOKUP(B136,SERVIÇOS!$A$6:$E$7645,5,0),IF(A136="INSUMO",VLOOKUP(B136,INSUMOS!$A$6:$E$6961,5,0),IF(A136="COTAÇÃO",VLOOKUP(B136,'036-20-Cotação'!$A$9:$H$529,8,0))))</f>
        <v>EQUIP.</v>
      </c>
      <c r="E136" s="452" t="str">
        <f>IF(A136="SERVIÇO",VLOOKUP(B136,SERVIÇOS!$A$6:$D$7645,3,0),IF(A136="INSUMO",VLOOKUP(B136,INSUMOS!$A$6:$D$6961,3,0),IF(A136="COTAÇÃO",VLOOKUP(B136,'036-20-Cotação'!$A$9:$G$529,4,0))))</f>
        <v>CHP</v>
      </c>
      <c r="F136" s="462">
        <f t="shared" ref="F136:F137" si="20">1/15.75</f>
        <v>6.3492063492063489E-2</v>
      </c>
      <c r="G136" s="453">
        <f>IF(A136="SERVIÇO",VLOOKUP(B136,SERVIÇOS!$A$6:$D$7645,4,0),IF(A136="INSUMO",VLOOKUP(B136,INSUMOS!$A$6:$D$6961,4,0),IF(A136="COTAÇÃO",VLOOKUP(B136,'036-20-Cotação'!$A$9:$G$529,3,0))))</f>
        <v>0.57430000000000003</v>
      </c>
      <c r="H136" s="463">
        <f t="shared" si="19"/>
        <v>3.6463492063492066E-2</v>
      </c>
      <c r="J136" s="201"/>
    </row>
    <row r="137" spans="1:17" s="87" customFormat="1" ht="12.75">
      <c r="A137" s="232" t="s">
        <v>4542</v>
      </c>
      <c r="B137" s="464" t="s">
        <v>6602</v>
      </c>
      <c r="C137" s="451" t="str">
        <f>IF(A137="SERVIÇO",VLOOKUP(B137,SERVIÇOS!$A$6:$D$7645,2,0),IF(A137="INSUMO",VLOOKUP(B137,INSUMOS!$A$6:$D$6961,2,0),IF(A137="COTAÇÃO",VLOOKUP(B137,'036-20-Cotação'!$A$9:$G$529,2,0))))</f>
        <v>SERVENTE</v>
      </c>
      <c r="D137" s="452" t="str">
        <f>IF(A137="SERVIÇO",VLOOKUP(B137,SERVIÇOS!$A$6:$E$7645,5,0),IF(A137="INSUMO",VLOOKUP(B137,INSUMOS!$A$6:$E$6961,5,0),IF(A137="COTAÇÃO",VLOOKUP(B137,'036-20-Cotação'!$A$9:$H$529,8,0))))</f>
        <v>M.O</v>
      </c>
      <c r="E137" s="452" t="str">
        <f>IF(A137="SERVIÇO",VLOOKUP(B137,SERVIÇOS!$A$6:$D$7645,3,0),IF(A137="INSUMO",VLOOKUP(B137,INSUMOS!$A$6:$D$6961,3,0),IF(A137="COTAÇÃO",VLOOKUP(B137,'036-20-Cotação'!$A$9:$G$529,4,0))))</f>
        <v>H</v>
      </c>
      <c r="F137" s="462">
        <f t="shared" si="20"/>
        <v>6.3492063492063489E-2</v>
      </c>
      <c r="G137" s="453">
        <f>IF(A137="SERVIÇO",VLOOKUP(B137,SERVIÇOS!$A$6:$D$7645,4,0),IF(A137="INSUMO",VLOOKUP(B137,INSUMOS!$A$6:$D$6961,4,0),IF(A137="COTAÇÃO",VLOOKUP(B137,'036-20-Cotação'!$A$9:$G$529,3,0))))</f>
        <v>15.637499999999999</v>
      </c>
      <c r="H137" s="463">
        <f t="shared" si="19"/>
        <v>0.99285714285714277</v>
      </c>
      <c r="J137" s="201"/>
    </row>
    <row r="138" spans="1:17" s="87" customFormat="1" ht="12.75">
      <c r="A138" s="232" t="s">
        <v>4544</v>
      </c>
      <c r="B138" s="464" t="s">
        <v>11888</v>
      </c>
      <c r="C138" s="451" t="str">
        <f>IF(A138="SERVIÇO",VLOOKUP(B138,SERVIÇOS!$A$6:$D$7645,2,0),IF(A138="INSUMO",VLOOKUP(B138,INSUMOS!$A$6:$D$6961,2,0),IF(A138="COTAÇÃO",VLOOKUP(B138,'036-20-Cotação'!$A$9:$G$529,2,0))))</f>
        <v>BROCA DE WIDIA DE 5/8"</v>
      </c>
      <c r="D138" s="452" t="str">
        <f>IF(A138="SERVIÇO",VLOOKUP(B138,SERVIÇOS!$A$6:$E$7645,5,0),IF(A138="INSUMO",VLOOKUP(B138,INSUMOS!$A$6:$E$6961,5,0),IF(A138="COTAÇÃO",VLOOKUP(B138,'036-20-Cotação'!$A$9:$H$529,8,0))))</f>
        <v>MAT.</v>
      </c>
      <c r="E138" s="452" t="str">
        <f>IF(A138="SERVIÇO",VLOOKUP(B138,SERVIÇOS!$A$6:$D$7645,3,0),IF(A138="INSUMO",VLOOKUP(B138,INSUMOS!$A$6:$D$6961,3,0),IF(A138="COTAÇÃO",VLOOKUP(B138,'036-20-Cotação'!$A$9:$G$529,4,0))))</f>
        <v>UN</v>
      </c>
      <c r="F138" s="462">
        <v>4.4999999999999998E-2</v>
      </c>
      <c r="G138" s="453">
        <f>IF(A138="SERVIÇO",VLOOKUP(B138,SERVIÇOS!$A$6:$D$7645,4,0),IF(A138="INSUMO",VLOOKUP(B138,INSUMOS!$A$6:$D$6961,4,0),IF(A138="COTAÇÃO",VLOOKUP(B138,'036-20-Cotação'!$A$9:$G$529,3,0))))</f>
        <v>35.243899999999996</v>
      </c>
      <c r="H138" s="463">
        <f t="shared" si="19"/>
        <v>1.5859754999999998</v>
      </c>
      <c r="J138" s="201"/>
    </row>
    <row r="139" spans="1:17" s="87" customFormat="1" ht="25.5">
      <c r="A139" s="232" t="s">
        <v>4544</v>
      </c>
      <c r="B139" s="464" t="s">
        <v>6876</v>
      </c>
      <c r="C139" s="451" t="str">
        <f>IF(A139="SERVIÇO",VLOOKUP(B139,SERVIÇOS!$A$6:$D$7645,2,0),IF(A139="INSUMO",VLOOKUP(B139,INSUMOS!$A$6:$D$6961,2,0),IF(A139="COTAÇÃO",VLOOKUP(B139,'036-20-Cotação'!$A$9:$G$529,2,0))))</f>
        <v>CHUMBADOR PARA CONCRETO TECBOLT DE 12,5 MM</v>
      </c>
      <c r="D139" s="452" t="str">
        <f>IF(A139="SERVIÇO",VLOOKUP(B139,SERVIÇOS!$A$6:$E$7645,5,0),IF(A139="INSUMO",VLOOKUP(B139,INSUMOS!$A$6:$E$6961,5,0),IF(A139="COTAÇÃO",VLOOKUP(B139,'036-20-Cotação'!$A$9:$H$529,8,0))))</f>
        <v>MAT.</v>
      </c>
      <c r="E139" s="452" t="str">
        <f>IF(A139="SERVIÇO",VLOOKUP(B139,SERVIÇOS!$A$6:$D$7645,3,0),IF(A139="INSUMO",VLOOKUP(B139,INSUMOS!$A$6:$D$6961,3,0),IF(A139="COTAÇÃO",VLOOKUP(B139,'036-20-Cotação'!$A$9:$G$529,4,0))))</f>
        <v>UN</v>
      </c>
      <c r="F139" s="462">
        <v>1</v>
      </c>
      <c r="G139" s="453">
        <f>IF(A139="SERVIÇO",VLOOKUP(B139,SERVIÇOS!$A$6:$D$7645,4,0),IF(A139="INSUMO",VLOOKUP(B139,INSUMOS!$A$6:$D$6961,4,0),IF(A139="COTAÇÃO",VLOOKUP(B139,'036-20-Cotação'!$A$9:$G$529,3,0))))</f>
        <v>5.2050000000000001</v>
      </c>
      <c r="H139" s="463">
        <f t="shared" si="19"/>
        <v>5.2050000000000001</v>
      </c>
      <c r="J139" s="201"/>
    </row>
    <row r="140" spans="1:17" s="87" customFormat="1" ht="12.75">
      <c r="A140" s="188"/>
      <c r="B140" s="348" t="s">
        <v>123</v>
      </c>
      <c r="C140" s="695" t="s">
        <v>13113</v>
      </c>
      <c r="D140" s="696"/>
      <c r="E140" s="696"/>
      <c r="F140" s="696"/>
      <c r="G140" s="696"/>
      <c r="H140" s="697"/>
      <c r="J140" s="201"/>
      <c r="K140" s="78"/>
      <c r="L140" s="78"/>
      <c r="M140" s="78"/>
      <c r="N140" s="78"/>
      <c r="O140" s="78"/>
      <c r="P140" s="78"/>
      <c r="Q140" s="78"/>
    </row>
    <row r="141" spans="1:17" s="87" customFormat="1" ht="12.75">
      <c r="A141" s="188"/>
      <c r="B141" s="346"/>
      <c r="C141" s="470"/>
      <c r="D141" s="470"/>
      <c r="E141" s="470"/>
      <c r="F141" s="470"/>
      <c r="G141" s="470"/>
      <c r="H141" s="471"/>
      <c r="J141" s="201"/>
      <c r="K141" s="78"/>
      <c r="L141" s="78"/>
      <c r="M141" s="78"/>
      <c r="N141" s="78"/>
      <c r="O141" s="78"/>
      <c r="P141" s="78"/>
      <c r="Q141" s="78"/>
    </row>
    <row r="142" spans="1:17" s="87" customFormat="1" ht="25.5">
      <c r="A142" s="188"/>
      <c r="B142" s="80">
        <v>2408058</v>
      </c>
      <c r="C142" s="81" t="s">
        <v>7738</v>
      </c>
      <c r="D142" s="82" t="s">
        <v>201</v>
      </c>
      <c r="E142" s="82" t="s">
        <v>89</v>
      </c>
      <c r="F142" s="83"/>
      <c r="G142" s="84"/>
      <c r="H142" s="85">
        <f>SUM(H143:H148)</f>
        <v>70.963465562080543</v>
      </c>
      <c r="J142" s="201" t="s">
        <v>13115</v>
      </c>
      <c r="K142" s="78"/>
      <c r="L142" s="78"/>
      <c r="M142" s="78"/>
      <c r="N142" s="78"/>
      <c r="O142" s="78"/>
      <c r="P142" s="78"/>
      <c r="Q142" s="78"/>
    </row>
    <row r="143" spans="1:17" s="87" customFormat="1" ht="12.75">
      <c r="A143" s="232" t="s">
        <v>4542</v>
      </c>
      <c r="B143" s="464" t="s">
        <v>9327</v>
      </c>
      <c r="C143" s="451" t="str">
        <f>IF(A143="SERVIÇO",VLOOKUP(B143,SERVIÇOS!$A$6:$D$7645,2,0),IF(A143="INSUMO",VLOOKUP(B143,INSUMOS!$A$6:$D$6961,2,0),IF(A143="COTAÇÃO",VLOOKUP(B143,'036-20-Cotação'!$A$9:$G$529,2,0))))</f>
        <v>GRUPO GERADOR - 36/40 KVA</v>
      </c>
      <c r="D143" s="452" t="str">
        <f>IF(A143="SERVIÇO",VLOOKUP(B143,SERVIÇOS!$A$6:$E$7645,5,0),IF(A143="INSUMO",VLOOKUP(B143,INSUMOS!$A$6:$E$6961,5,0),IF(A143="COTAÇÃO",VLOOKUP(B143,'036-20-Cotação'!$A$9:$H$529,8,0))))</f>
        <v>EQUIP.</v>
      </c>
      <c r="E143" s="452" t="str">
        <f>IF(A143="SERVIÇO",VLOOKUP(B143,SERVIÇOS!$A$6:$D$7645,3,0),IF(A143="INSUMO",VLOOKUP(B143,INSUMOS!$A$6:$D$6961,3,0),IF(A143="COTAÇÃO",VLOOKUP(B143,'036-20-Cotação'!$A$9:$G$529,4,0))))</f>
        <v>CHP</v>
      </c>
      <c r="F143" s="462">
        <f>1/1.25</f>
        <v>0.8</v>
      </c>
      <c r="G143" s="453">
        <f>IF(A143="SERVIÇO",VLOOKUP(B143,SERVIÇOS!$A$6:$D$7645,4,0),IF(A143="INSUMO",VLOOKUP(B143,INSUMOS!$A$6:$D$6961,4,0),IF(A143="COTAÇÃO",VLOOKUP(B143,'036-20-Cotação'!$A$9:$G$529,3,0))))</f>
        <v>24.178100000000001</v>
      </c>
      <c r="H143" s="463">
        <f t="shared" ref="H143:H147" si="21">G143*F143</f>
        <v>19.342480000000002</v>
      </c>
      <c r="J143" s="201"/>
    </row>
    <row r="144" spans="1:17" s="87" customFormat="1" ht="12.75">
      <c r="A144" s="232" t="s">
        <v>4542</v>
      </c>
      <c r="B144" s="464" t="s">
        <v>9044</v>
      </c>
      <c r="C144" s="451" t="str">
        <f>IF(A144="SERVIÇO",VLOOKUP(B144,SERVIÇOS!$A$6:$D$7645,2,0),IF(A144="INSUMO",VLOOKUP(B144,INSUMOS!$A$6:$D$6961,2,0),IF(A144="COTAÇÃO",VLOOKUP(B144,'036-20-Cotação'!$A$9:$G$529,2,0))))</f>
        <v>MÁQUINA PARA SOLDA ELÉTRICA - 9,2 KW</v>
      </c>
      <c r="D144" s="452" t="str">
        <f>IF(A144="SERVIÇO",VLOOKUP(B144,SERVIÇOS!$A$6:$E$7645,5,0),IF(A144="INSUMO",VLOOKUP(B144,INSUMOS!$A$6:$E$6961,5,0),IF(A144="COTAÇÃO",VLOOKUP(B144,'036-20-Cotação'!$A$9:$H$529,8,0))))</f>
        <v>EQUIP.</v>
      </c>
      <c r="E144" s="452" t="str">
        <f>IF(A144="SERVIÇO",VLOOKUP(B144,SERVIÇOS!$A$6:$D$7645,3,0),IF(A144="INSUMO",VLOOKUP(B144,INSUMOS!$A$6:$D$6961,3,0),IF(A144="COTAÇÃO",VLOOKUP(B144,'036-20-Cotação'!$A$9:$G$529,4,0))))</f>
        <v>CHP</v>
      </c>
      <c r="F144" s="462">
        <f>2/1.25</f>
        <v>1.6</v>
      </c>
      <c r="G144" s="453">
        <f>IF(A144="SERVIÇO",VLOOKUP(B144,SERVIÇOS!$A$6:$D$7645,4,0),IF(A144="INSUMO",VLOOKUP(B144,INSUMOS!$A$6:$D$6961,4,0),IF(A144="COTAÇÃO",VLOOKUP(B144,'036-20-Cotação'!$A$9:$G$529,3,0))))</f>
        <v>7.8E-2</v>
      </c>
      <c r="H144" s="463">
        <f t="shared" si="21"/>
        <v>0.12480000000000001</v>
      </c>
      <c r="J144" s="201"/>
    </row>
    <row r="145" spans="1:17" s="87" customFormat="1" ht="12.75">
      <c r="A145" s="232" t="s">
        <v>4542</v>
      </c>
      <c r="B145" s="464" t="s">
        <v>6825</v>
      </c>
      <c r="C145" s="451" t="str">
        <f>IF(A145="SERVIÇO",VLOOKUP(B145,SERVIÇOS!$A$6:$D$7645,2,0),IF(A145="INSUMO",VLOOKUP(B145,INSUMOS!$A$6:$D$6961,2,0),IF(A145="COTAÇÃO",VLOOKUP(B145,'036-20-Cotação'!$A$9:$G$529,2,0))))</f>
        <v>AJUDANTE</v>
      </c>
      <c r="D145" s="452" t="str">
        <f>IF(A145="SERVIÇO",VLOOKUP(B145,SERVIÇOS!$A$6:$E$7645,5,0),IF(A145="INSUMO",VLOOKUP(B145,INSUMOS!$A$6:$E$6961,5,0),IF(A145="COTAÇÃO",VLOOKUP(B145,'036-20-Cotação'!$A$9:$H$529,8,0))))</f>
        <v>M.O</v>
      </c>
      <c r="E145" s="452" t="str">
        <f>IF(A145="SERVIÇO",VLOOKUP(B145,SERVIÇOS!$A$6:$D$7645,3,0),IF(A145="INSUMO",VLOOKUP(B145,INSUMOS!$A$6:$D$6961,3,0),IF(A145="COTAÇÃO",VLOOKUP(B145,'036-20-Cotação'!$A$9:$G$529,4,0))))</f>
        <v>H</v>
      </c>
      <c r="F145" s="462">
        <f>2/1.25</f>
        <v>1.6</v>
      </c>
      <c r="G145" s="453">
        <f>IF(A145="SERVIÇO",VLOOKUP(B145,SERVIÇOS!$A$6:$D$7645,4,0),IF(A145="INSUMO",VLOOKUP(B145,INSUMOS!$A$6:$D$6961,4,0),IF(A145="COTAÇÃO",VLOOKUP(B145,'036-20-Cotação'!$A$9:$G$529,3,0))))</f>
        <v>17.9801</v>
      </c>
      <c r="H145" s="463">
        <f t="shared" si="21"/>
        <v>28.768160000000002</v>
      </c>
      <c r="J145" s="201"/>
    </row>
    <row r="146" spans="1:17" s="87" customFormat="1" ht="12.75">
      <c r="A146" s="232" t="s">
        <v>4544</v>
      </c>
      <c r="B146" s="464" t="s">
        <v>11567</v>
      </c>
      <c r="C146" s="451" t="str">
        <f>IF(A146="SERVIÇO",VLOOKUP(B146,SERVIÇOS!$A$6:$D$7645,2,0),IF(A146="INSUMO",VLOOKUP(B146,INSUMOS!$A$6:$D$6961,2,0),IF(A146="COTAÇÃO",VLOOKUP(B146,'036-20-Cotação'!$A$9:$G$529,2,0))))</f>
        <v>ELETRODO E70 XX</v>
      </c>
      <c r="D146" s="452" t="str">
        <f>IF(A146="SERVIÇO",VLOOKUP(B146,SERVIÇOS!$A$6:$E$7645,5,0),IF(A146="INSUMO",VLOOKUP(B146,INSUMOS!$A$6:$E$6961,5,0),IF(A146="COTAÇÃO",VLOOKUP(B146,'036-20-Cotação'!$A$9:$H$529,8,0))))</f>
        <v>MAT.</v>
      </c>
      <c r="E146" s="452" t="str">
        <f>IF(A146="SERVIÇO",VLOOKUP(B146,SERVIÇOS!$A$6:$D$7645,3,0),IF(A146="INSUMO",VLOOKUP(B146,INSUMOS!$A$6:$D$6961,3,0),IF(A146="COTAÇÃO",VLOOKUP(B146,'036-20-Cotação'!$A$9:$G$529,4,0))))</f>
        <v>KG</v>
      </c>
      <c r="F146" s="462">
        <v>1</v>
      </c>
      <c r="G146" s="453">
        <f>IF(A146="SERVIÇO",VLOOKUP(B146,SERVIÇOS!$A$6:$D$7645,4,0),IF(A146="INSUMO",VLOOKUP(B146,INSUMOS!$A$6:$D$6961,4,0),IF(A146="COTAÇÃO",VLOOKUP(B146,'036-20-Cotação'!$A$9:$G$529,3,0))))</f>
        <v>22.707100000000001</v>
      </c>
      <c r="H146" s="463">
        <f t="shared" si="21"/>
        <v>22.707100000000001</v>
      </c>
      <c r="J146" s="201"/>
    </row>
    <row r="147" spans="1:17" s="87" customFormat="1" ht="25.5">
      <c r="A147" s="232" t="s">
        <v>4542</v>
      </c>
      <c r="B147" s="464" t="str">
        <f>$B$281</f>
        <v>5914655-TF</v>
      </c>
      <c r="C147" s="451" t="str">
        <f>$C$281</f>
        <v>TEMPO FIXO - CAMINHÃO CARROCERIA 15 T - CARGA E DESCARGA MANUAIS</v>
      </c>
      <c r="D147" s="452" t="str">
        <f>$D$281</f>
        <v>SER.CG</v>
      </c>
      <c r="E147" s="452" t="str">
        <f>$E$281</f>
        <v>T</v>
      </c>
      <c r="F147" s="462">
        <v>1E-3</v>
      </c>
      <c r="G147" s="453">
        <f>$H$281</f>
        <v>20.925562080536913</v>
      </c>
      <c r="H147" s="463">
        <f t="shared" si="21"/>
        <v>2.0925562080536912E-2</v>
      </c>
      <c r="J147" s="201"/>
    </row>
    <row r="148" spans="1:17" s="87" customFormat="1" ht="12.75">
      <c r="A148" s="188"/>
      <c r="B148" s="348" t="s">
        <v>123</v>
      </c>
      <c r="C148" s="695" t="s">
        <v>13114</v>
      </c>
      <c r="D148" s="696"/>
      <c r="E148" s="696"/>
      <c r="F148" s="696"/>
      <c r="G148" s="696"/>
      <c r="H148" s="697"/>
      <c r="J148" s="201"/>
      <c r="K148" s="78"/>
      <c r="L148" s="78"/>
      <c r="M148" s="78"/>
      <c r="N148" s="78"/>
      <c r="O148" s="78"/>
      <c r="P148" s="78"/>
      <c r="Q148" s="78"/>
    </row>
    <row r="149" spans="1:17" s="87" customFormat="1" ht="12.75">
      <c r="A149" s="188"/>
      <c r="B149" s="346"/>
      <c r="C149" s="470"/>
      <c r="D149" s="470"/>
      <c r="E149" s="470"/>
      <c r="F149" s="470"/>
      <c r="G149" s="470"/>
      <c r="H149" s="471"/>
      <c r="J149" s="201"/>
      <c r="K149" s="78"/>
      <c r="L149" s="78"/>
      <c r="M149" s="78"/>
      <c r="N149" s="78"/>
      <c r="O149" s="78"/>
      <c r="P149" s="78"/>
      <c r="Q149" s="78"/>
    </row>
    <row r="150" spans="1:17" s="87" customFormat="1" ht="25.5">
      <c r="A150" s="188"/>
      <c r="B150" s="80">
        <v>1416201</v>
      </c>
      <c r="C150" s="81" t="s">
        <v>13120</v>
      </c>
      <c r="D150" s="82" t="s">
        <v>201</v>
      </c>
      <c r="E150" s="82" t="s">
        <v>7365</v>
      </c>
      <c r="F150" s="83"/>
      <c r="G150" s="84"/>
      <c r="H150" s="85">
        <f>SUM(H151:H155)</f>
        <v>0.59433177399999992</v>
      </c>
      <c r="J150" s="201" t="s">
        <v>13121</v>
      </c>
      <c r="K150" s="78"/>
      <c r="L150" s="78"/>
      <c r="M150" s="78"/>
      <c r="N150" s="78"/>
      <c r="O150" s="78"/>
      <c r="P150" s="78"/>
      <c r="Q150" s="78"/>
    </row>
    <row r="151" spans="1:17" s="87" customFormat="1" ht="25.5">
      <c r="A151" s="232" t="s">
        <v>4542</v>
      </c>
      <c r="B151" s="464" t="s">
        <v>9212</v>
      </c>
      <c r="C151" s="451" t="str">
        <f>IF(A151="SERVIÇO",VLOOKUP(B151,SERVIÇOS!$A$6:$D$7645,2,0),IF(A151="INSUMO",VLOOKUP(B151,INSUMOS!$A$6:$D$6961,2,0),IF(A151="COTAÇÃO",VLOOKUP(B151,'036-20-Cotação'!$A$9:$G$529,2,0))))</f>
        <v>EQUIPAMENTO PARA SOLDA/CORTE COM OXIACETILENO</v>
      </c>
      <c r="D151" s="452" t="str">
        <f>IF(A151="SERVIÇO",VLOOKUP(B151,SERVIÇOS!$A$6:$E$7645,5,0),IF(A151="INSUMO",VLOOKUP(B151,INSUMOS!$A$6:$E$6961,5,0),IF(A151="COTAÇÃO",VLOOKUP(B151,'036-20-Cotação'!$A$9:$H$529,8,0))))</f>
        <v>EQUIP.</v>
      </c>
      <c r="E151" s="452" t="str">
        <f>IF(A151="SERVIÇO",VLOOKUP(B151,SERVIÇOS!$A$6:$D$7645,3,0),IF(A151="INSUMO",VLOOKUP(B151,INSUMOS!$A$6:$D$6961,3,0),IF(A151="COTAÇÃO",VLOOKUP(B151,'036-20-Cotação'!$A$9:$G$529,4,0))))</f>
        <v>CHP</v>
      </c>
      <c r="F151" s="462">
        <f>1/500</f>
        <v>2E-3</v>
      </c>
      <c r="G151" s="453">
        <f>IF(A151="SERVIÇO",VLOOKUP(B151,SERVIÇOS!$A$6:$D$7645,4,0),IF(A151="INSUMO",VLOOKUP(B151,INSUMOS!$A$6:$D$6961,4,0),IF(A151="COTAÇÃO",VLOOKUP(B151,'036-20-Cotação'!$A$9:$G$529,3,0))))</f>
        <v>0.96099999999999997</v>
      </c>
      <c r="H151" s="463">
        <f t="shared" ref="H151:H154" si="22">G151*F151</f>
        <v>1.9219999999999999E-3</v>
      </c>
      <c r="J151" s="201"/>
    </row>
    <row r="152" spans="1:17" s="87" customFormat="1" ht="12.75">
      <c r="A152" s="232" t="s">
        <v>4542</v>
      </c>
      <c r="B152" s="464" t="s">
        <v>7348</v>
      </c>
      <c r="C152" s="451" t="str">
        <f>IF(A152="SERVIÇO",VLOOKUP(B152,SERVIÇOS!$A$6:$D$7645,2,0),IF(A152="INSUMO",VLOOKUP(B152,INSUMOS!$A$6:$D$6961,2,0),IF(A152="COTAÇÃO",VLOOKUP(B152,'036-20-Cotação'!$A$9:$G$529,2,0))))</f>
        <v>SOLDADOR</v>
      </c>
      <c r="D152" s="452" t="str">
        <f>IF(A152="SERVIÇO",VLOOKUP(B152,SERVIÇOS!$A$6:$E$7645,5,0),IF(A152="INSUMO",VLOOKUP(B152,INSUMOS!$A$6:$E$6961,5,0),IF(A152="COTAÇÃO",VLOOKUP(B152,'036-20-Cotação'!$A$9:$H$529,8,0))))</f>
        <v>M.O</v>
      </c>
      <c r="E152" s="452" t="str">
        <f>IF(A152="SERVIÇO",VLOOKUP(B152,SERVIÇOS!$A$6:$D$7645,3,0),IF(A152="INSUMO",VLOOKUP(B152,INSUMOS!$A$6:$D$6961,3,0),IF(A152="COTAÇÃO",VLOOKUP(B152,'036-20-Cotação'!$A$9:$G$529,4,0))))</f>
        <v>H</v>
      </c>
      <c r="F152" s="462">
        <f>1/500</f>
        <v>2E-3</v>
      </c>
      <c r="G152" s="453">
        <f>IF(A152="SERVIÇO",VLOOKUP(B152,SERVIÇOS!$A$6:$D$7645,4,0),IF(A152="INSUMO",VLOOKUP(B152,INSUMOS!$A$6:$D$6961,4,0),IF(A152="COTAÇÃO",VLOOKUP(B152,'036-20-Cotação'!$A$9:$G$529,3,0))))</f>
        <v>27.728400000000001</v>
      </c>
      <c r="H152" s="463">
        <f t="shared" si="22"/>
        <v>5.5456800000000001E-2</v>
      </c>
      <c r="J152" s="201"/>
    </row>
    <row r="153" spans="1:17" s="87" customFormat="1" ht="12.75">
      <c r="A153" s="232" t="s">
        <v>4544</v>
      </c>
      <c r="B153" s="464" t="s">
        <v>7394</v>
      </c>
      <c r="C153" s="451" t="str">
        <f>IF(A153="SERVIÇO",VLOOKUP(B153,SERVIÇOS!$A$6:$D$7645,2,0),IF(A153="INSUMO",VLOOKUP(B153,INSUMOS!$A$6:$D$6961,2,0),IF(A153="COTAÇÃO",VLOOKUP(B153,'036-20-Cotação'!$A$9:$G$529,2,0))))</f>
        <v>ACETILENO</v>
      </c>
      <c r="D153" s="452" t="str">
        <f>IF(A153="SERVIÇO",VLOOKUP(B153,SERVIÇOS!$A$6:$E$7645,5,0),IF(A153="INSUMO",VLOOKUP(B153,INSUMOS!$A$6:$E$6961,5,0),IF(A153="COTAÇÃO",VLOOKUP(B153,'036-20-Cotação'!$A$9:$H$529,8,0))))</f>
        <v>MAT.</v>
      </c>
      <c r="E153" s="452" t="str">
        <f>IF(A153="SERVIÇO",VLOOKUP(B153,SERVIÇOS!$A$6:$D$7645,3,0),IF(A153="INSUMO",VLOOKUP(B153,INSUMOS!$A$6:$D$6961,3,0),IF(A153="COTAÇÃO",VLOOKUP(B153,'036-20-Cotação'!$A$9:$G$529,4,0))))</f>
        <v>KG</v>
      </c>
      <c r="F153" s="462">
        <v>5.5399999999999998E-3</v>
      </c>
      <c r="G153" s="453">
        <f>IF(A153="SERVIÇO",VLOOKUP(B153,SERVIÇOS!$A$6:$D$7645,4,0),IF(A153="INSUMO",VLOOKUP(B153,INSUMOS!$A$6:$D$6961,4,0),IF(A153="COTAÇÃO",VLOOKUP(B153,'036-20-Cotação'!$A$9:$G$529,3,0))))</f>
        <v>36.273099999999999</v>
      </c>
      <c r="H153" s="463">
        <f t="shared" si="22"/>
        <v>0.20095297399999998</v>
      </c>
      <c r="J153" s="201"/>
    </row>
    <row r="154" spans="1:17" s="87" customFormat="1" ht="12.75">
      <c r="A154" s="232" t="s">
        <v>4544</v>
      </c>
      <c r="B154" s="464" t="s">
        <v>7393</v>
      </c>
      <c r="C154" s="451" t="str">
        <f>IF(A154="SERVIÇO",VLOOKUP(B154,SERVIÇOS!$A$6:$D$7645,2,0),IF(A154="INSUMO",VLOOKUP(B154,INSUMOS!$A$6:$D$6961,2,0),IF(A154="COTAÇÃO",VLOOKUP(B154,'036-20-Cotação'!$A$9:$G$529,2,0))))</f>
        <v>OXIGÊNIO</v>
      </c>
      <c r="D154" s="452" t="str">
        <f>IF(A154="SERVIÇO",VLOOKUP(B154,SERVIÇOS!$A$6:$E$7645,5,0),IF(A154="INSUMO",VLOOKUP(B154,INSUMOS!$A$6:$E$6961,5,0),IF(A154="COTAÇÃO",VLOOKUP(B154,'036-20-Cotação'!$A$9:$H$529,8,0))))</f>
        <v>MAT.</v>
      </c>
      <c r="E154" s="452" t="str">
        <f>IF(A154="SERVIÇO",VLOOKUP(B154,SERVIÇOS!$A$6:$D$7645,3,0),IF(A154="INSUMO",VLOOKUP(B154,INSUMOS!$A$6:$D$6961,3,0),IF(A154="COTAÇÃO",VLOOKUP(B154,'036-20-Cotação'!$A$9:$G$529,4,0))))</f>
        <v>M³</v>
      </c>
      <c r="F154" s="462">
        <v>3.3599999999999998E-2</v>
      </c>
      <c r="G154" s="453">
        <f>IF(A154="SERVIÇO",VLOOKUP(B154,SERVIÇOS!$A$6:$D$7645,4,0),IF(A154="INSUMO",VLOOKUP(B154,INSUMOS!$A$6:$D$6961,4,0),IF(A154="COTAÇÃO",VLOOKUP(B154,'036-20-Cotação'!$A$9:$G$529,3,0))))</f>
        <v>10</v>
      </c>
      <c r="H154" s="463">
        <f t="shared" si="22"/>
        <v>0.33599999999999997</v>
      </c>
      <c r="J154" s="201"/>
    </row>
    <row r="155" spans="1:17" s="87" customFormat="1" ht="12.75">
      <c r="A155" s="188"/>
      <c r="B155" s="348" t="s">
        <v>123</v>
      </c>
      <c r="C155" s="695" t="s">
        <v>7868</v>
      </c>
      <c r="D155" s="696"/>
      <c r="E155" s="696"/>
      <c r="F155" s="696"/>
      <c r="G155" s="696"/>
      <c r="H155" s="697"/>
      <c r="J155" s="201"/>
      <c r="K155" s="78"/>
      <c r="L155" s="78"/>
      <c r="M155" s="78"/>
      <c r="N155" s="78"/>
      <c r="O155" s="78"/>
      <c r="P155" s="78"/>
      <c r="Q155" s="78"/>
    </row>
    <row r="156" spans="1:17" s="87" customFormat="1" ht="12.75">
      <c r="A156" s="188"/>
      <c r="B156" s="346"/>
      <c r="C156" s="486"/>
      <c r="D156" s="486"/>
      <c r="E156" s="486"/>
      <c r="F156" s="486"/>
      <c r="G156" s="486"/>
      <c r="H156" s="487"/>
      <c r="J156" s="201"/>
      <c r="K156" s="78"/>
      <c r="L156" s="78"/>
      <c r="M156" s="78"/>
      <c r="N156" s="78"/>
      <c r="O156" s="78"/>
      <c r="P156" s="78"/>
      <c r="Q156" s="78"/>
    </row>
    <row r="157" spans="1:17" s="87" customFormat="1" ht="38.25">
      <c r="A157" s="188"/>
      <c r="B157" s="80">
        <v>4016007</v>
      </c>
      <c r="C157" s="81" t="s">
        <v>6678</v>
      </c>
      <c r="D157" s="82" t="s">
        <v>201</v>
      </c>
      <c r="E157" s="82" t="s">
        <v>172</v>
      </c>
      <c r="F157" s="83"/>
      <c r="G157" s="84"/>
      <c r="H157" s="85">
        <f>SUM(H158:H161)</f>
        <v>2.7068608206151894</v>
      </c>
      <c r="J157" s="201" t="s">
        <v>13357</v>
      </c>
      <c r="K157" s="78"/>
      <c r="L157" s="78"/>
      <c r="M157" s="78"/>
      <c r="N157" s="78"/>
      <c r="O157" s="78"/>
      <c r="P157" s="78"/>
      <c r="Q157" s="78"/>
    </row>
    <row r="158" spans="1:17" s="87" customFormat="1" ht="25.5">
      <c r="A158" s="232" t="s">
        <v>4542</v>
      </c>
      <c r="B158" s="464" t="s">
        <v>9091</v>
      </c>
      <c r="C158" s="451" t="str">
        <f>IF(A158="SERVIÇO",VLOOKUP(B158,SERVIÇOS!$A$6:$D$7645,2,0),IF(A158="INSUMO",VLOOKUP(B158,INSUMOS!$A$6:$D$6961,2,0),IF(A158="COTAÇÃO",VLOOKUP(B158,'036-20-Cotação'!$A$9:$G$529,2,0))))</f>
        <v>CARREGADEIRA DE PNEUS COM CAPACIDADE DE 1,53 M³ - 106 KW</v>
      </c>
      <c r="D158" s="452" t="str">
        <f>IF(A158="SERVIÇO",VLOOKUP(B158,SERVIÇOS!$A$6:$E$7645,5,0),IF(A158="INSUMO",VLOOKUP(B158,INSUMOS!$A$6:$E$6961,5,0),IF(A158="COTAÇÃO",VLOOKUP(B158,'036-20-Cotação'!$A$9:$H$529,8,0))))</f>
        <v>EQUIP.</v>
      </c>
      <c r="E158" s="452" t="str">
        <f>IF(A158="SERVIÇO",VLOOKUP(B158,SERVIÇOS!$A$6:$D$7645,3,0),IF(A158="INSUMO",VLOOKUP(B158,INSUMOS!$A$6:$D$6961,3,0),IF(A158="COTAÇÃO",VLOOKUP(B158,'036-20-Cotação'!$A$9:$G$529,4,0))))</f>
        <v>CHP</v>
      </c>
      <c r="F158" s="462">
        <f>1/110.21</f>
        <v>9.0735867888576353E-3</v>
      </c>
      <c r="G158" s="453">
        <f>IF(A158="SERVIÇO",VLOOKUP(B158,SERVIÇOS!$A$6:$D$7645,4,0),IF(A158="INSUMO",VLOOKUP(B158,INSUMOS!$A$6:$D$6961,4,0),IF(A158="COTAÇÃO",VLOOKUP(B158,'036-20-Cotação'!$A$9:$G$529,3,0))))</f>
        <v>105.7415</v>
      </c>
      <c r="H158" s="463">
        <f t="shared" ref="H158:H161" si="23">G158*F158</f>
        <v>0.95945467743398971</v>
      </c>
      <c r="J158" s="201"/>
    </row>
    <row r="159" spans="1:17" s="87" customFormat="1" ht="12.75">
      <c r="A159" s="232" t="s">
        <v>4542</v>
      </c>
      <c r="B159" s="464" t="s">
        <v>8789</v>
      </c>
      <c r="C159" s="451" t="str">
        <f>IF(A159="SERVIÇO",VLOOKUP(B159,SERVIÇOS!$A$6:$D$7645,2,0),IF(A159="INSUMO",VLOOKUP(B159,INSUMOS!$A$6:$D$6961,2,0),IF(A159="COTAÇÃO",VLOOKUP(B159,'036-20-Cotação'!$A$9:$G$529,2,0))))</f>
        <v>TRATOR DE ESTEIRAS COM LÂMINA - 74,5 KW</v>
      </c>
      <c r="D159" s="452" t="str">
        <f>IF(A159="SERVIÇO",VLOOKUP(B159,SERVIÇOS!$A$6:$E$7645,5,0),IF(A159="INSUMO",VLOOKUP(B159,INSUMOS!$A$6:$E$6961,5,0),IF(A159="COTAÇÃO",VLOOKUP(B159,'036-20-Cotação'!$A$9:$H$529,8,0))))</f>
        <v>EQUIP.</v>
      </c>
      <c r="E159" s="452" t="str">
        <f>IF(A159="SERVIÇO",VLOOKUP(B159,SERVIÇOS!$A$6:$D$7645,3,0),IF(A159="INSUMO",VLOOKUP(B159,INSUMOS!$A$6:$D$6961,3,0),IF(A159="COTAÇÃO",VLOOKUP(B159,'036-20-Cotação'!$A$9:$G$529,4,0))))</f>
        <v>CHP</v>
      </c>
      <c r="F159" s="462">
        <f t="shared" ref="F159:F160" si="24">1/110.21</f>
        <v>9.0735867888576353E-3</v>
      </c>
      <c r="G159" s="453">
        <f>IF(A159="SERVIÇO",VLOOKUP(B159,SERVIÇOS!$A$6:$D$7645,4,0),IF(A159="INSUMO",VLOOKUP(B159,INSUMOS!$A$6:$D$6961,4,0),IF(A159="COTAÇÃO",VLOOKUP(B159,'036-20-Cotação'!$A$9:$G$529,3,0))))</f>
        <v>170.40809999999999</v>
      </c>
      <c r="H159" s="463">
        <f t="shared" si="23"/>
        <v>1.5462126848743307</v>
      </c>
      <c r="J159" s="201"/>
    </row>
    <row r="160" spans="1:17" s="87" customFormat="1" ht="12.75">
      <c r="A160" s="232" t="s">
        <v>4542</v>
      </c>
      <c r="B160" s="464" t="s">
        <v>6602</v>
      </c>
      <c r="C160" s="451" t="str">
        <f>IF(A160="SERVIÇO",VLOOKUP(B160,SERVIÇOS!$A$6:$D$7645,2,0),IF(A160="INSUMO",VLOOKUP(B160,INSUMOS!$A$6:$D$6961,2,0),IF(A160="COTAÇÃO",VLOOKUP(B160,'036-20-Cotação'!$A$9:$G$529,2,0))))</f>
        <v>SERVENTE</v>
      </c>
      <c r="D160" s="452" t="str">
        <f>IF(A160="SERVIÇO",VLOOKUP(B160,SERVIÇOS!$A$6:$E$7645,5,0),IF(A160="INSUMO",VLOOKUP(B160,INSUMOS!$A$6:$E$6961,5,0),IF(A160="COTAÇÃO",VLOOKUP(B160,'036-20-Cotação'!$A$9:$H$529,8,0))))</f>
        <v>M.O</v>
      </c>
      <c r="E160" s="452" t="str">
        <f>IF(A160="SERVIÇO",VLOOKUP(B160,SERVIÇOS!$A$6:$D$7645,3,0),IF(A160="INSUMO",VLOOKUP(B160,INSUMOS!$A$6:$D$6961,3,0),IF(A160="COTAÇÃO",VLOOKUP(B160,'036-20-Cotação'!$A$9:$G$529,4,0))))</f>
        <v>H</v>
      </c>
      <c r="F160" s="462">
        <f t="shared" si="24"/>
        <v>9.0735867888576353E-3</v>
      </c>
      <c r="G160" s="453">
        <f>IF(A160="SERVIÇO",VLOOKUP(B160,SERVIÇOS!$A$6:$D$7645,4,0),IF(A160="INSUMO",VLOOKUP(B160,INSUMOS!$A$6:$D$6961,4,0),IF(A160="COTAÇÃO",VLOOKUP(B160,'036-20-Cotação'!$A$9:$G$529,3,0))))</f>
        <v>15.637499999999999</v>
      </c>
      <c r="H160" s="463">
        <f t="shared" si="23"/>
        <v>0.14188821341076127</v>
      </c>
      <c r="J160" s="201"/>
    </row>
    <row r="161" spans="1:17" s="87" customFormat="1" ht="12.75">
      <c r="A161" s="232" t="s">
        <v>4542</v>
      </c>
      <c r="B161" s="464" t="s">
        <v>13130</v>
      </c>
      <c r="C161" s="451" t="s">
        <v>13131</v>
      </c>
      <c r="D161" s="452"/>
      <c r="E161" s="452"/>
      <c r="F161" s="462">
        <v>2.24E-2</v>
      </c>
      <c r="G161" s="453">
        <f>SUM(H158:H160)</f>
        <v>2.6475555757190818</v>
      </c>
      <c r="H161" s="463">
        <f t="shared" si="23"/>
        <v>5.9305244896107431E-2</v>
      </c>
      <c r="J161" s="201"/>
    </row>
    <row r="162" spans="1:17" s="87" customFormat="1" ht="12.75">
      <c r="A162" s="188"/>
      <c r="B162" s="348" t="s">
        <v>123</v>
      </c>
      <c r="C162" s="695" t="s">
        <v>13358</v>
      </c>
      <c r="D162" s="696"/>
      <c r="E162" s="696"/>
      <c r="F162" s="696"/>
      <c r="G162" s="696"/>
      <c r="H162" s="697"/>
      <c r="J162" s="201"/>
      <c r="K162" s="78"/>
      <c r="L162" s="78"/>
      <c r="M162" s="78"/>
      <c r="N162" s="78"/>
      <c r="O162" s="78"/>
      <c r="P162" s="78"/>
      <c r="Q162" s="78"/>
    </row>
    <row r="163" spans="1:17" s="87" customFormat="1" ht="12.75">
      <c r="A163" s="188"/>
      <c r="B163" s="346"/>
      <c r="C163" s="470"/>
      <c r="D163" s="470"/>
      <c r="E163" s="470"/>
      <c r="F163" s="470"/>
      <c r="G163" s="470"/>
      <c r="H163" s="471"/>
      <c r="J163" s="201"/>
      <c r="K163" s="78"/>
      <c r="L163" s="78"/>
      <c r="M163" s="78"/>
      <c r="N163" s="78"/>
      <c r="O163" s="78"/>
      <c r="P163" s="78"/>
      <c r="Q163" s="78"/>
    </row>
    <row r="164" spans="1:17" s="87" customFormat="1" ht="25.5">
      <c r="A164" s="188"/>
      <c r="B164" s="80">
        <v>5915321</v>
      </c>
      <c r="C164" s="81" t="s">
        <v>6679</v>
      </c>
      <c r="D164" s="82" t="s">
        <v>84</v>
      </c>
      <c r="E164" s="82" t="s">
        <v>6668</v>
      </c>
      <c r="F164" s="83"/>
      <c r="G164" s="84"/>
      <c r="H164" s="85">
        <f>SUM(H165:H165)</f>
        <v>0.29145487429914996</v>
      </c>
      <c r="J164" s="201" t="s">
        <v>13127</v>
      </c>
      <c r="K164" s="78"/>
      <c r="L164" s="78"/>
      <c r="M164" s="78"/>
      <c r="N164" s="78"/>
      <c r="O164" s="78"/>
      <c r="P164" s="78"/>
      <c r="Q164" s="78"/>
    </row>
    <row r="165" spans="1:17" s="87" customFormat="1" ht="25.5">
      <c r="A165" s="232" t="s">
        <v>4542</v>
      </c>
      <c r="B165" s="464" t="s">
        <v>9539</v>
      </c>
      <c r="C165" s="451" t="str">
        <f>IF(A165="SERVIÇO",VLOOKUP(B165,SERVIÇOS!$A$6:$D$7645,2,0),IF(A165="INSUMO",VLOOKUP(B165,INSUMOS!$A$6:$D$6961,2,0),IF(A165="COTAÇÃO",VLOOKUP(B165,'036-20-Cotação'!$A$9:$G$529,2,0))))</f>
        <v>CAMINHÃO BASCULANTE COM CAPACIDADE DE 14 M³ - 188 KW</v>
      </c>
      <c r="D165" s="452" t="str">
        <f>IF(A165="SERVIÇO",VLOOKUP(B165,SERVIÇOS!$A$6:$E$7645,5,0),IF(A165="INSUMO",VLOOKUP(B165,INSUMOS!$A$6:$E$6961,5,0),IF(A165="COTAÇÃO",VLOOKUP(B165,'036-20-Cotação'!$A$9:$H$529,8,0))))</f>
        <v>EQUIP.</v>
      </c>
      <c r="E165" s="452" t="str">
        <f>IF(A165="SERVIÇO",VLOOKUP(B165,SERVIÇOS!$A$6:$D$7645,3,0),IF(A165="INSUMO",VLOOKUP(B165,INSUMOS!$A$6:$D$6961,3,0),IF(A165="COTAÇÃO",VLOOKUP(B165,'036-20-Cotação'!$A$9:$G$529,4,0))))</f>
        <v>CHP</v>
      </c>
      <c r="F165" s="462">
        <f>1/552.9</f>
        <v>1.8086453246518358E-3</v>
      </c>
      <c r="G165" s="453">
        <f>IF(A165="SERVIÇO",VLOOKUP(B165,SERVIÇOS!$A$6:$D$7645,4,0),IF(A165="INSUMO",VLOOKUP(B165,INSUMOS!$A$6:$D$6961,4,0),IF(A165="COTAÇÃO",VLOOKUP(B165,'036-20-Cotação'!$A$9:$G$529,3,0))))</f>
        <v>161.1454</v>
      </c>
      <c r="H165" s="463">
        <f t="shared" ref="H165" si="25">G165*F165</f>
        <v>0.29145487429914996</v>
      </c>
      <c r="J165" s="201"/>
    </row>
    <row r="166" spans="1:17" s="87" customFormat="1" ht="12.75">
      <c r="A166" s="188"/>
      <c r="B166" s="348" t="s">
        <v>123</v>
      </c>
      <c r="C166" s="695" t="s">
        <v>13128</v>
      </c>
      <c r="D166" s="696"/>
      <c r="E166" s="696"/>
      <c r="F166" s="696"/>
      <c r="G166" s="696"/>
      <c r="H166" s="697"/>
      <c r="J166" s="201"/>
      <c r="K166" s="78"/>
      <c r="L166" s="78"/>
      <c r="M166" s="78"/>
      <c r="N166" s="78"/>
      <c r="O166" s="78"/>
      <c r="P166" s="78"/>
      <c r="Q166" s="78"/>
    </row>
    <row r="167" spans="1:17" s="87" customFormat="1" ht="12.75">
      <c r="A167" s="188"/>
      <c r="B167" s="346"/>
      <c r="C167" s="476"/>
      <c r="D167" s="476"/>
      <c r="E167" s="476"/>
      <c r="F167" s="476"/>
      <c r="G167" s="476"/>
      <c r="H167" s="477"/>
      <c r="J167" s="201"/>
      <c r="K167" s="78"/>
      <c r="L167" s="78"/>
      <c r="M167" s="78"/>
      <c r="N167" s="78"/>
      <c r="O167" s="78"/>
      <c r="P167" s="78"/>
      <c r="Q167" s="78"/>
    </row>
    <row r="168" spans="1:17" s="87" customFormat="1" ht="25.5">
      <c r="A168" s="188"/>
      <c r="B168" s="80">
        <v>407819</v>
      </c>
      <c r="C168" s="81" t="s">
        <v>6619</v>
      </c>
      <c r="D168" s="82" t="s">
        <v>84</v>
      </c>
      <c r="E168" s="82" t="s">
        <v>89</v>
      </c>
      <c r="F168" s="83"/>
      <c r="G168" s="84"/>
      <c r="H168" s="85">
        <f>SUM(H169:H173)</f>
        <v>7.4312236295302023</v>
      </c>
      <c r="J168" s="201" t="s">
        <v>13148</v>
      </c>
      <c r="K168" s="78"/>
      <c r="L168" s="78"/>
      <c r="M168" s="78"/>
      <c r="N168" s="78"/>
      <c r="O168" s="78"/>
      <c r="P168" s="78"/>
      <c r="Q168" s="78"/>
    </row>
    <row r="169" spans="1:17" s="87" customFormat="1" ht="12.75">
      <c r="A169" s="232" t="s">
        <v>4542</v>
      </c>
      <c r="B169" s="464" t="s">
        <v>6825</v>
      </c>
      <c r="C169" s="451" t="str">
        <f>IF(A169="SERVIÇO",VLOOKUP(B169,SERVIÇOS!$A$6:$D$7645,2,0),IF(A169="INSUMO",VLOOKUP(B169,INSUMOS!$A$6:$D$6961,2,0),IF(A169="COTAÇÃO",VLOOKUP(B169,'036-20-Cotação'!$A$9:$G$529,2,0))))</f>
        <v>AJUDANTE</v>
      </c>
      <c r="D169" s="452" t="str">
        <f>IF(A169="SERVIÇO",VLOOKUP(B169,SERVIÇOS!$A$6:$E$7645,5,0),IF(A169="INSUMO",VLOOKUP(B169,INSUMOS!$A$6:$E$6961,5,0),IF(A169="COTAÇÃO",VLOOKUP(B169,'036-20-Cotação'!$A$9:$H$529,8,0))))</f>
        <v>M.O</v>
      </c>
      <c r="E169" s="452" t="str">
        <f>IF(A169="SERVIÇO",VLOOKUP(B169,SERVIÇOS!$A$6:$D$7645,3,0),IF(A169="INSUMO",VLOOKUP(B169,INSUMOS!$A$6:$D$6961,3,0),IF(A169="COTAÇÃO",VLOOKUP(B169,'036-20-Cotação'!$A$9:$G$529,4,0))))</f>
        <v>H</v>
      </c>
      <c r="F169" s="462">
        <v>0.09</v>
      </c>
      <c r="G169" s="453">
        <f>IF(A169="SERVIÇO",VLOOKUP(B169,SERVIÇOS!$A$6:$D$7645,4,0),IF(A169="INSUMO",VLOOKUP(B169,INSUMOS!$A$6:$D$6961,4,0),IF(A169="COTAÇÃO",VLOOKUP(B169,'036-20-Cotação'!$A$9:$G$529,3,0))))</f>
        <v>17.9801</v>
      </c>
      <c r="H169" s="463">
        <f t="shared" ref="H169:H173" si="26">G169*F169</f>
        <v>1.618209</v>
      </c>
      <c r="J169" s="201"/>
    </row>
    <row r="170" spans="1:17" s="87" customFormat="1" ht="12.75">
      <c r="A170" s="232" t="s">
        <v>4542</v>
      </c>
      <c r="B170" s="464" t="s">
        <v>7390</v>
      </c>
      <c r="C170" s="451" t="str">
        <f>IF(A170="SERVIÇO",VLOOKUP(B170,SERVIÇOS!$A$6:$D$7645,2,0),IF(A170="INSUMO",VLOOKUP(B170,INSUMOS!$A$6:$D$6961,2,0),IF(A170="COTAÇÃO",VLOOKUP(B170,'036-20-Cotação'!$A$9:$G$529,2,0))))</f>
        <v>ARMADOR</v>
      </c>
      <c r="D170" s="452" t="str">
        <f>IF(A170="SERVIÇO",VLOOKUP(B170,SERVIÇOS!$A$6:$E$7645,5,0),IF(A170="INSUMO",VLOOKUP(B170,INSUMOS!$A$6:$E$6961,5,0),IF(A170="COTAÇÃO",VLOOKUP(B170,'036-20-Cotação'!$A$9:$H$529,8,0))))</f>
        <v>M.O</v>
      </c>
      <c r="E170" s="452" t="str">
        <f>IF(A170="SERVIÇO",VLOOKUP(B170,SERVIÇOS!$A$6:$D$7645,3,0),IF(A170="INSUMO",VLOOKUP(B170,INSUMOS!$A$6:$D$6961,3,0),IF(A170="COTAÇÃO",VLOOKUP(B170,'036-20-Cotação'!$A$9:$G$529,4,0))))</f>
        <v>H</v>
      </c>
      <c r="F170" s="462">
        <v>0.09</v>
      </c>
      <c r="G170" s="453">
        <f>IF(A170="SERVIÇO",VLOOKUP(B170,SERVIÇOS!$A$6:$D$7645,4,0),IF(A170="INSUMO",VLOOKUP(B170,INSUMOS!$A$6:$D$6961,4,0),IF(A170="COTAÇÃO",VLOOKUP(B170,'036-20-Cotação'!$A$9:$G$529,3,0))))</f>
        <v>21.6645</v>
      </c>
      <c r="H170" s="463">
        <f t="shared" si="26"/>
        <v>1.949805</v>
      </c>
      <c r="J170" s="201"/>
    </row>
    <row r="171" spans="1:17" s="87" customFormat="1" ht="12.75">
      <c r="A171" s="232" t="s">
        <v>4544</v>
      </c>
      <c r="B171" s="464" t="s">
        <v>10073</v>
      </c>
      <c r="C171" s="451" t="str">
        <f>IF(A171="SERVIÇO",VLOOKUP(B171,SERVIÇOS!$A$6:$D$7645,2,0),IF(A171="INSUMO",VLOOKUP(B171,INSUMOS!$A$6:$D$6961,2,0),IF(A171="COTAÇÃO",VLOOKUP(B171,'036-20-Cotação'!$A$9:$G$529,2,0))))</f>
        <v>AÇO CA 50</v>
      </c>
      <c r="D171" s="452" t="str">
        <f>IF(A171="SERVIÇO",VLOOKUP(B171,SERVIÇOS!$A$6:$E$7645,5,0),IF(A171="INSUMO",VLOOKUP(B171,INSUMOS!$A$6:$E$6961,5,0),IF(A171="COTAÇÃO",VLOOKUP(B171,'036-20-Cotação'!$A$9:$H$529,8,0))))</f>
        <v>MAT.</v>
      </c>
      <c r="E171" s="452" t="str">
        <f>IF(A171="SERVIÇO",VLOOKUP(B171,SERVIÇOS!$A$6:$D$7645,3,0),IF(A171="INSUMO",VLOOKUP(B171,INSUMOS!$A$6:$D$6961,3,0),IF(A171="COTAÇÃO",VLOOKUP(B171,'036-20-Cotação'!$A$9:$G$529,4,0))))</f>
        <v>KG</v>
      </c>
      <c r="F171" s="462">
        <v>1.1000000000000001</v>
      </c>
      <c r="G171" s="453">
        <f>IF(A171="SERVIÇO",VLOOKUP(B171,SERVIÇOS!$A$6:$D$7645,4,0),IF(A171="INSUMO",VLOOKUP(B171,INSUMOS!$A$6:$D$6961,4,0),IF(A171="COTAÇÃO",VLOOKUP(B171,'036-20-Cotação'!$A$9:$G$529,3,0))))</f>
        <v>3.4388000000000001</v>
      </c>
      <c r="H171" s="463">
        <f t="shared" si="26"/>
        <v>3.7826800000000005</v>
      </c>
      <c r="J171" s="201"/>
    </row>
    <row r="172" spans="1:17" s="87" customFormat="1" ht="12.75">
      <c r="A172" s="232" t="s">
        <v>4544</v>
      </c>
      <c r="B172" s="464" t="s">
        <v>10182</v>
      </c>
      <c r="C172" s="451" t="str">
        <f>IF(A172="SERVIÇO",VLOOKUP(B172,SERVIÇOS!$A$6:$D$7645,2,0),IF(A172="INSUMO",VLOOKUP(B172,INSUMOS!$A$6:$D$6961,2,0),IF(A172="COTAÇÃO",VLOOKUP(B172,'036-20-Cotação'!$A$9:$G$529,2,0))))</f>
        <v>ARAME RECOZIDO 18 BWG</v>
      </c>
      <c r="D172" s="452" t="str">
        <f>IF(A172="SERVIÇO",VLOOKUP(B172,SERVIÇOS!$A$6:$E$7645,5,0),IF(A172="INSUMO",VLOOKUP(B172,INSUMOS!$A$6:$E$6961,5,0),IF(A172="COTAÇÃO",VLOOKUP(B172,'036-20-Cotação'!$A$9:$H$529,8,0))))</f>
        <v>MAT.</v>
      </c>
      <c r="E172" s="452" t="str">
        <f>IF(A172="SERVIÇO",VLOOKUP(B172,SERVIÇOS!$A$6:$D$7645,3,0),IF(A172="INSUMO",VLOOKUP(B172,INSUMOS!$A$6:$D$6961,3,0),IF(A172="COTAÇÃO",VLOOKUP(B172,'036-20-Cotação'!$A$9:$G$529,4,0))))</f>
        <v>KG</v>
      </c>
      <c r="F172" s="462">
        <v>1.4999999999999999E-2</v>
      </c>
      <c r="G172" s="453">
        <f>IF(A172="SERVIÇO",VLOOKUP(B172,SERVIÇOS!$A$6:$D$7645,4,0),IF(A172="INSUMO",VLOOKUP(B172,INSUMOS!$A$6:$D$6961,4,0),IF(A172="COTAÇÃO",VLOOKUP(B172,'036-20-Cotação'!$A$9:$G$529,3,0))))</f>
        <v>3.8062</v>
      </c>
      <c r="H172" s="463">
        <f t="shared" si="26"/>
        <v>5.7092999999999998E-2</v>
      </c>
      <c r="J172" s="201"/>
    </row>
    <row r="173" spans="1:17" s="87" customFormat="1" ht="25.5">
      <c r="A173" s="232" t="s">
        <v>4542</v>
      </c>
      <c r="B173" s="464" t="str">
        <f>$B$281</f>
        <v>5914655-TF</v>
      </c>
      <c r="C173" s="451" t="str">
        <f>$C$281</f>
        <v>TEMPO FIXO - CAMINHÃO CARROCERIA 15 T - CARGA E DESCARGA MANUAIS</v>
      </c>
      <c r="D173" s="452" t="str">
        <f>$D$281</f>
        <v>SER.CG</v>
      </c>
      <c r="E173" s="452" t="str">
        <f>$E$281</f>
        <v>T</v>
      </c>
      <c r="F173" s="462">
        <v>1.1199999999999999E-3</v>
      </c>
      <c r="G173" s="453">
        <f>$H$281</f>
        <v>20.925562080536913</v>
      </c>
      <c r="H173" s="463">
        <f t="shared" si="26"/>
        <v>2.3436629530201342E-2</v>
      </c>
      <c r="J173" s="201"/>
    </row>
    <row r="174" spans="1:17" s="87" customFormat="1" ht="12.75">
      <c r="A174" s="188"/>
      <c r="B174" s="348" t="s">
        <v>123</v>
      </c>
      <c r="C174" s="695" t="s">
        <v>13147</v>
      </c>
      <c r="D174" s="696"/>
      <c r="E174" s="696"/>
      <c r="F174" s="696"/>
      <c r="G174" s="696"/>
      <c r="H174" s="697"/>
      <c r="J174" s="201"/>
      <c r="K174" s="78"/>
      <c r="L174" s="78"/>
      <c r="M174" s="78"/>
      <c r="N174" s="78"/>
      <c r="O174" s="78"/>
      <c r="P174" s="78"/>
      <c r="Q174" s="78"/>
    </row>
    <row r="175" spans="1:17" s="87" customFormat="1" ht="12.75">
      <c r="A175" s="188"/>
      <c r="B175" s="346"/>
      <c r="C175" s="484"/>
      <c r="D175" s="484"/>
      <c r="E175" s="484"/>
      <c r="F175" s="484"/>
      <c r="G175" s="484"/>
      <c r="H175" s="485"/>
      <c r="J175" s="201"/>
      <c r="K175" s="78"/>
      <c r="L175" s="78"/>
      <c r="M175" s="78"/>
      <c r="N175" s="78"/>
      <c r="O175" s="78"/>
      <c r="P175" s="78"/>
      <c r="Q175" s="78"/>
    </row>
    <row r="176" spans="1:17" s="87" customFormat="1" ht="25.5">
      <c r="A176" s="188"/>
      <c r="B176" s="80">
        <v>407820</v>
      </c>
      <c r="C176" s="81" t="s">
        <v>6620</v>
      </c>
      <c r="D176" s="82" t="s">
        <v>201</v>
      </c>
      <c r="E176" s="82" t="s">
        <v>89</v>
      </c>
      <c r="F176" s="83"/>
      <c r="G176" s="84"/>
      <c r="H176" s="85">
        <f>SUM(H177:H181)</f>
        <v>7.685427629530202</v>
      </c>
      <c r="J176" s="201" t="s">
        <v>13148</v>
      </c>
      <c r="K176" s="78"/>
      <c r="L176" s="78"/>
      <c r="M176" s="78"/>
      <c r="N176" s="78"/>
      <c r="O176" s="78"/>
      <c r="P176" s="78"/>
      <c r="Q176" s="78"/>
    </row>
    <row r="177" spans="1:17" s="87" customFormat="1" ht="12.75">
      <c r="A177" s="232" t="s">
        <v>4542</v>
      </c>
      <c r="B177" s="464" t="s">
        <v>6825</v>
      </c>
      <c r="C177" s="451" t="str">
        <f>IF(A177="SERVIÇO",VLOOKUP(B177,SERVIÇOS!$A$6:$D$7645,2,0),IF(A177="INSUMO",VLOOKUP(B177,INSUMOS!$A$6:$D$6961,2,0),IF(A177="COTAÇÃO",VLOOKUP(B177,'036-20-Cotação'!$A$9:$G$529,2,0))))</f>
        <v>AJUDANTE</v>
      </c>
      <c r="D177" s="452" t="str">
        <f>IF(A177="SERVIÇO",VLOOKUP(B177,SERVIÇOS!$A$6:$E$7645,5,0),IF(A177="INSUMO",VLOOKUP(B177,INSUMOS!$A$6:$E$6961,5,0),IF(A177="COTAÇÃO",VLOOKUP(B177,'036-20-Cotação'!$A$9:$H$529,8,0))))</f>
        <v>M.O</v>
      </c>
      <c r="E177" s="452" t="str">
        <f>IF(A177="SERVIÇO",VLOOKUP(B177,SERVIÇOS!$A$6:$D$7645,3,0),IF(A177="INSUMO",VLOOKUP(B177,INSUMOS!$A$6:$D$6961,3,0),IF(A177="COTAÇÃO",VLOOKUP(B177,'036-20-Cotação'!$A$9:$G$529,4,0))))</f>
        <v>H</v>
      </c>
      <c r="F177" s="462">
        <v>0.08</v>
      </c>
      <c r="G177" s="453">
        <f>IF(A177="SERVIÇO",VLOOKUP(B177,SERVIÇOS!$A$6:$D$7645,4,0),IF(A177="INSUMO",VLOOKUP(B177,INSUMOS!$A$6:$D$6961,4,0),IF(A177="COTAÇÃO",VLOOKUP(B177,'036-20-Cotação'!$A$9:$G$529,3,0))))</f>
        <v>17.9801</v>
      </c>
      <c r="H177" s="463">
        <f t="shared" ref="H177:H181" si="27">G177*F177</f>
        <v>1.4384080000000001</v>
      </c>
      <c r="J177" s="201"/>
    </row>
    <row r="178" spans="1:17" s="87" customFormat="1" ht="12.75">
      <c r="A178" s="232" t="s">
        <v>4542</v>
      </c>
      <c r="B178" s="464" t="s">
        <v>7390</v>
      </c>
      <c r="C178" s="451" t="str">
        <f>IF(A178="SERVIÇO",VLOOKUP(B178,SERVIÇOS!$A$6:$D$7645,2,0),IF(A178="INSUMO",VLOOKUP(B178,INSUMOS!$A$6:$D$6961,2,0),IF(A178="COTAÇÃO",VLOOKUP(B178,'036-20-Cotação'!$A$9:$G$529,2,0))))</f>
        <v>ARMADOR</v>
      </c>
      <c r="D178" s="452" t="str">
        <f>IF(A178="SERVIÇO",VLOOKUP(B178,SERVIÇOS!$A$6:$E$7645,5,0),IF(A178="INSUMO",VLOOKUP(B178,INSUMOS!$A$6:$E$6961,5,0),IF(A178="COTAÇÃO",VLOOKUP(B178,'036-20-Cotação'!$A$9:$H$529,8,0))))</f>
        <v>M.O</v>
      </c>
      <c r="E178" s="452" t="str">
        <f>IF(A178="SERVIÇO",VLOOKUP(B178,SERVIÇOS!$A$6:$D$7645,3,0),IF(A178="INSUMO",VLOOKUP(B178,INSUMOS!$A$6:$D$6961,3,0),IF(A178="COTAÇÃO",VLOOKUP(B178,'036-20-Cotação'!$A$9:$G$529,4,0))))</f>
        <v>H</v>
      </c>
      <c r="F178" s="462">
        <v>0.08</v>
      </c>
      <c r="G178" s="453">
        <f>IF(A178="SERVIÇO",VLOOKUP(B178,SERVIÇOS!$A$6:$D$7645,4,0),IF(A178="INSUMO",VLOOKUP(B178,INSUMOS!$A$6:$D$6961,4,0),IF(A178="COTAÇÃO",VLOOKUP(B178,'036-20-Cotação'!$A$9:$G$529,3,0))))</f>
        <v>21.6645</v>
      </c>
      <c r="H178" s="463">
        <f t="shared" si="27"/>
        <v>1.73316</v>
      </c>
      <c r="J178" s="201"/>
    </row>
    <row r="179" spans="1:17" s="87" customFormat="1" ht="12.75">
      <c r="A179" s="232" t="s">
        <v>4544</v>
      </c>
      <c r="B179" s="464" t="s">
        <v>10092</v>
      </c>
      <c r="C179" s="451" t="str">
        <f>IF(A179="SERVIÇO",VLOOKUP(B179,SERVIÇOS!$A$6:$D$7645,2,0),IF(A179="INSUMO",VLOOKUP(B179,INSUMOS!$A$6:$D$6961,2,0),IF(A179="COTAÇÃO",VLOOKUP(B179,'036-20-Cotação'!$A$9:$G$529,2,0))))</f>
        <v>AÇO CA 60</v>
      </c>
      <c r="D179" s="452" t="str">
        <f>IF(A179="SERVIÇO",VLOOKUP(B179,SERVIÇOS!$A$6:$E$7645,5,0),IF(A179="INSUMO",VLOOKUP(B179,INSUMOS!$A$6:$E$6961,5,0),IF(A179="COTAÇÃO",VLOOKUP(B179,'036-20-Cotação'!$A$9:$H$529,8,0))))</f>
        <v>MAT.</v>
      </c>
      <c r="E179" s="452" t="str">
        <f>IF(A179="SERVIÇO",VLOOKUP(B179,SERVIÇOS!$A$6:$D$7645,3,0),IF(A179="INSUMO",VLOOKUP(B179,INSUMOS!$A$6:$D$6961,3,0),IF(A179="COTAÇÃO",VLOOKUP(B179,'036-20-Cotação'!$A$9:$G$529,4,0))))</f>
        <v>KG</v>
      </c>
      <c r="F179" s="462">
        <v>1.1000000000000001</v>
      </c>
      <c r="G179" s="453">
        <f>IF(A179="SERVIÇO",VLOOKUP(B179,SERVIÇOS!$A$6:$D$7645,4,0),IF(A179="INSUMO",VLOOKUP(B179,INSUMOS!$A$6:$D$6961,4,0),IF(A179="COTAÇÃO",VLOOKUP(B179,'036-20-Cotação'!$A$9:$G$529,3,0))))</f>
        <v>4.0303000000000004</v>
      </c>
      <c r="H179" s="463">
        <f t="shared" si="27"/>
        <v>4.4333300000000007</v>
      </c>
      <c r="J179" s="201"/>
    </row>
    <row r="180" spans="1:17" s="87" customFormat="1" ht="12.75">
      <c r="A180" s="232" t="s">
        <v>4544</v>
      </c>
      <c r="B180" s="464" t="s">
        <v>10182</v>
      </c>
      <c r="C180" s="451" t="str">
        <f>IF(A180="SERVIÇO",VLOOKUP(B180,SERVIÇOS!$A$6:$D$7645,2,0),IF(A180="INSUMO",VLOOKUP(B180,INSUMOS!$A$6:$D$6961,2,0),IF(A180="COTAÇÃO",VLOOKUP(B180,'036-20-Cotação'!$A$9:$G$529,2,0))))</f>
        <v>ARAME RECOZIDO 18 BWG</v>
      </c>
      <c r="D180" s="452" t="str">
        <f>IF(A180="SERVIÇO",VLOOKUP(B180,SERVIÇOS!$A$6:$E$7645,5,0),IF(A180="INSUMO",VLOOKUP(B180,INSUMOS!$A$6:$E$6961,5,0),IF(A180="COTAÇÃO",VLOOKUP(B180,'036-20-Cotação'!$A$9:$H$529,8,0))))</f>
        <v>MAT.</v>
      </c>
      <c r="E180" s="452" t="str">
        <f>IF(A180="SERVIÇO",VLOOKUP(B180,SERVIÇOS!$A$6:$D$7645,3,0),IF(A180="INSUMO",VLOOKUP(B180,INSUMOS!$A$6:$D$6961,3,0),IF(A180="COTAÇÃO",VLOOKUP(B180,'036-20-Cotação'!$A$9:$G$529,4,0))))</f>
        <v>KG</v>
      </c>
      <c r="F180" s="462">
        <v>1.4999999999999999E-2</v>
      </c>
      <c r="G180" s="453">
        <f>IF(A180="SERVIÇO",VLOOKUP(B180,SERVIÇOS!$A$6:$D$7645,4,0),IF(A180="INSUMO",VLOOKUP(B180,INSUMOS!$A$6:$D$6961,4,0),IF(A180="COTAÇÃO",VLOOKUP(B180,'036-20-Cotação'!$A$9:$G$529,3,0))))</f>
        <v>3.8062</v>
      </c>
      <c r="H180" s="463">
        <f t="shared" si="27"/>
        <v>5.7092999999999998E-2</v>
      </c>
      <c r="J180" s="201"/>
    </row>
    <row r="181" spans="1:17" s="87" customFormat="1" ht="25.5">
      <c r="A181" s="232" t="s">
        <v>4542</v>
      </c>
      <c r="B181" s="464" t="str">
        <f>$B$281</f>
        <v>5914655-TF</v>
      </c>
      <c r="C181" s="451" t="str">
        <f>$C$281</f>
        <v>TEMPO FIXO - CAMINHÃO CARROCERIA 15 T - CARGA E DESCARGA MANUAIS</v>
      </c>
      <c r="D181" s="452" t="str">
        <f>$D$281</f>
        <v>SER.CG</v>
      </c>
      <c r="E181" s="452" t="str">
        <f>$E$281</f>
        <v>T</v>
      </c>
      <c r="F181" s="462">
        <v>1.1199999999999999E-3</v>
      </c>
      <c r="G181" s="453">
        <f>$H$281</f>
        <v>20.925562080536913</v>
      </c>
      <c r="H181" s="463">
        <f t="shared" si="27"/>
        <v>2.3436629530201342E-2</v>
      </c>
      <c r="J181" s="201"/>
    </row>
    <row r="182" spans="1:17" s="87" customFormat="1" ht="12.75">
      <c r="A182" s="188"/>
      <c r="B182" s="348" t="s">
        <v>123</v>
      </c>
      <c r="C182" s="695" t="s">
        <v>13285</v>
      </c>
      <c r="D182" s="696"/>
      <c r="E182" s="696"/>
      <c r="F182" s="696"/>
      <c r="G182" s="696"/>
      <c r="H182" s="697"/>
      <c r="J182" s="201"/>
      <c r="K182" s="78"/>
      <c r="L182" s="78"/>
      <c r="M182" s="78"/>
      <c r="N182" s="78"/>
      <c r="O182" s="78"/>
      <c r="P182" s="78"/>
      <c r="Q182" s="78"/>
    </row>
    <row r="183" spans="1:17" s="87" customFormat="1" ht="12.75">
      <c r="A183" s="188"/>
      <c r="B183" s="346"/>
      <c r="C183" s="476"/>
      <c r="D183" s="476"/>
      <c r="E183" s="476"/>
      <c r="F183" s="476"/>
      <c r="G183" s="476"/>
      <c r="H183" s="477"/>
      <c r="J183" s="201"/>
      <c r="K183" s="78"/>
      <c r="L183" s="78"/>
      <c r="M183" s="78"/>
      <c r="N183" s="78"/>
      <c r="O183" s="78"/>
      <c r="P183" s="78"/>
      <c r="Q183" s="78"/>
    </row>
    <row r="184" spans="1:17" s="87" customFormat="1" ht="25.5">
      <c r="A184" s="188"/>
      <c r="B184" s="80">
        <v>1108059</v>
      </c>
      <c r="C184" s="81" t="s">
        <v>7758</v>
      </c>
      <c r="D184" s="82" t="s">
        <v>201</v>
      </c>
      <c r="E184" s="82" t="s">
        <v>172</v>
      </c>
      <c r="F184" s="83"/>
      <c r="G184" s="84"/>
      <c r="H184" s="85">
        <f>SUM(H185:H195)</f>
        <v>2842.8563490406277</v>
      </c>
      <c r="J184" s="201" t="s">
        <v>13154</v>
      </c>
      <c r="K184" s="78"/>
      <c r="L184" s="78"/>
      <c r="M184" s="78"/>
      <c r="N184" s="78"/>
      <c r="O184" s="78"/>
      <c r="P184" s="78"/>
      <c r="Q184" s="78"/>
    </row>
    <row r="185" spans="1:17" s="87" customFormat="1" ht="25.5">
      <c r="A185" s="232" t="s">
        <v>4542</v>
      </c>
      <c r="B185" s="464" t="s">
        <v>9352</v>
      </c>
      <c r="C185" s="451" t="str">
        <f>IF(A185="SERVIÇO",VLOOKUP(B185,SERVIÇOS!$A$6:$D$7645,2,0),IF(A185="INSUMO",VLOOKUP(B185,INSUMOS!$A$6:$D$6961,2,0),IF(A185="COTAÇÃO",VLOOKUP(B185,'036-20-Cotação'!$A$9:$G$529,2,0))))</f>
        <v>MISTURADOR DE ARGAMASSA COM CAPACIDADE DE 250 L - 3,7 KW</v>
      </c>
      <c r="D185" s="452" t="str">
        <f>IF(A185="SERVIÇO",VLOOKUP(B185,SERVIÇOS!$A$6:$E$7645,5,0),IF(A185="INSUMO",VLOOKUP(B185,INSUMOS!$A$6:$E$6961,5,0),IF(A185="COTAÇÃO",VLOOKUP(B185,'036-20-Cotação'!$A$9:$H$529,8,0))))</f>
        <v>EQUIP.</v>
      </c>
      <c r="E185" s="452" t="str">
        <f>IF(A185="SERVIÇO",VLOOKUP(B185,SERVIÇOS!$A$6:$D$7645,3,0),IF(A185="INSUMO",VLOOKUP(B185,INSUMOS!$A$6:$D$6961,3,0),IF(A185="COTAÇÃO",VLOOKUP(B185,'036-20-Cotação'!$A$9:$G$529,4,0))))</f>
        <v>CHP</v>
      </c>
      <c r="F185" s="462">
        <f>1/1.23</f>
        <v>0.81300813008130079</v>
      </c>
      <c r="G185" s="453">
        <f>IF(A185="SERVIÇO",VLOOKUP(B185,SERVIÇOS!$A$6:$D$7645,4,0),IF(A185="INSUMO",VLOOKUP(B185,INSUMOS!$A$6:$D$6961,4,0),IF(A185="COTAÇÃO",VLOOKUP(B185,'036-20-Cotação'!$A$9:$G$529,3,0))))</f>
        <v>23.031700000000001</v>
      </c>
      <c r="H185" s="463">
        <f t="shared" ref="H185:H195" si="28">G185*F185</f>
        <v>18.724959349593497</v>
      </c>
      <c r="J185" s="201"/>
    </row>
    <row r="186" spans="1:17" s="87" customFormat="1" ht="25.5">
      <c r="A186" s="232" t="s">
        <v>4542</v>
      </c>
      <c r="B186" s="464" t="s">
        <v>8841</v>
      </c>
      <c r="C186" s="451" t="str">
        <f>IF(A186="SERVIÇO",VLOOKUP(B186,SERVIÇOS!$A$6:$D$7645,2,0),IF(A186="INSUMO",VLOOKUP(B186,INSUMOS!$A$6:$D$6961,2,0),IF(A186="COTAÇÃO",VLOOKUP(B186,'036-20-Cotação'!$A$9:$G$529,2,0))))</f>
        <v>TRANSPORTADOR MANUAL CARRINHO DE MÃO COM CAPACIDADE DE 80 L</v>
      </c>
      <c r="D186" s="452" t="str">
        <f>IF(A186="SERVIÇO",VLOOKUP(B186,SERVIÇOS!$A$6:$E$7645,5,0),IF(A186="INSUMO",VLOOKUP(B186,INSUMOS!$A$6:$E$6961,5,0),IF(A186="COTAÇÃO",VLOOKUP(B186,'036-20-Cotação'!$A$9:$H$529,8,0))))</f>
        <v>EQUIP.</v>
      </c>
      <c r="E186" s="452" t="str">
        <f>IF(A186="SERVIÇO",VLOOKUP(B186,SERVIÇOS!$A$6:$D$7645,3,0),IF(A186="INSUMO",VLOOKUP(B186,INSUMOS!$A$6:$D$6961,3,0),IF(A186="COTAÇÃO",VLOOKUP(B186,'036-20-Cotação'!$A$9:$G$529,4,0))))</f>
        <v>CHP</v>
      </c>
      <c r="F186" s="462">
        <f>0.84/1.23*2</f>
        <v>1.3658536585365852</v>
      </c>
      <c r="G186" s="453">
        <f>IF(A186="SERVIÇO",VLOOKUP(B186,SERVIÇOS!$A$6:$D$7645,4,0),IF(A186="INSUMO",VLOOKUP(B186,INSUMOS!$A$6:$D$6961,4,0),IF(A186="COTAÇÃO",VLOOKUP(B186,'036-20-Cotação'!$A$9:$G$529,3,0))))</f>
        <v>0.3054</v>
      </c>
      <c r="H186" s="463">
        <f t="shared" si="28"/>
        <v>0.41713170731707316</v>
      </c>
      <c r="J186" s="201"/>
    </row>
    <row r="187" spans="1:17" s="87" customFormat="1" ht="25.5">
      <c r="A187" s="232" t="s">
        <v>4542</v>
      </c>
      <c r="B187" s="464" t="s">
        <v>9665</v>
      </c>
      <c r="C187" s="451" t="str">
        <f>IF(A187="SERVIÇO",VLOOKUP(B187,SERVIÇOS!$A$6:$D$7645,2,0),IF(A187="INSUMO",VLOOKUP(B187,INSUMOS!$A$6:$D$6961,2,0),IF(A187="COTAÇÃO",VLOOKUP(B187,'036-20-Cotação'!$A$9:$G$529,2,0))))</f>
        <v>TRANSPORTADOR MANUAL CARRINHO DE MÃO COM CAPACIDADE DE 80 L</v>
      </c>
      <c r="D187" s="452" t="str">
        <f>IF(A187="SERVIÇO",VLOOKUP(B187,SERVIÇOS!$A$6:$E$7645,5,0),IF(A187="INSUMO",VLOOKUP(B187,INSUMOS!$A$6:$E$6961,5,0),IF(A187="COTAÇÃO",VLOOKUP(B187,'036-20-Cotação'!$A$9:$H$529,8,0))))</f>
        <v>EQUIP.</v>
      </c>
      <c r="E187" s="452" t="str">
        <f>IF(A187="SERVIÇO",VLOOKUP(B187,SERVIÇOS!$A$6:$D$7645,3,0),IF(A187="INSUMO",VLOOKUP(B187,INSUMOS!$A$6:$D$6961,3,0),IF(A187="COTAÇÃO",VLOOKUP(B187,'036-20-Cotação'!$A$9:$G$529,4,0))))</f>
        <v>CHI</v>
      </c>
      <c r="F187" s="462">
        <f>0.16/1.23*2</f>
        <v>0.26016260162601629</v>
      </c>
      <c r="G187" s="453">
        <f>IF(A187="SERVIÇO",VLOOKUP(B187,SERVIÇOS!$A$6:$D$7645,4,0),IF(A187="INSUMO",VLOOKUP(B187,INSUMOS!$A$6:$D$6961,4,0),IF(A187="COTAÇÃO",VLOOKUP(B187,'036-20-Cotação'!$A$9:$G$529,3,0))))</f>
        <v>0.20469999999999999</v>
      </c>
      <c r="H187" s="463">
        <f t="shared" ref="H187" si="29">G187*F187</f>
        <v>5.3255284552845533E-2</v>
      </c>
      <c r="J187" s="201"/>
    </row>
    <row r="188" spans="1:17" s="87" customFormat="1" ht="25.5">
      <c r="A188" s="232" t="s">
        <v>4542</v>
      </c>
      <c r="B188" s="464" t="s">
        <v>8829</v>
      </c>
      <c r="C188" s="451" t="str">
        <f>IF(A188="SERVIÇO",VLOOKUP(B188,SERVIÇOS!$A$6:$D$7645,2,0),IF(A188="INSUMO",VLOOKUP(B188,INSUMOS!$A$6:$D$6961,2,0),IF(A188="COTAÇÃO",VLOOKUP(B188,'036-20-Cotação'!$A$9:$G$529,2,0))))</f>
        <v>TRANSPORTADOR MANUAL GERICA COM CAPACIDADE DE 180 L</v>
      </c>
      <c r="D188" s="452" t="str">
        <f>IF(A188="SERVIÇO",VLOOKUP(B188,SERVIÇOS!$A$6:$E$7645,5,0),IF(A188="INSUMO",VLOOKUP(B188,INSUMOS!$A$6:$E$6961,5,0),IF(A188="COTAÇÃO",VLOOKUP(B188,'036-20-Cotação'!$A$9:$H$529,8,0))))</f>
        <v>EQUIP.</v>
      </c>
      <c r="E188" s="452" t="str">
        <f>IF(A188="SERVIÇO",VLOOKUP(B188,SERVIÇOS!$A$6:$D$7645,3,0),IF(A188="INSUMO",VLOOKUP(B188,INSUMOS!$A$6:$D$6961,3,0),IF(A188="COTAÇÃO",VLOOKUP(B188,'036-20-Cotação'!$A$9:$G$529,4,0))))</f>
        <v>CHP</v>
      </c>
      <c r="F188" s="462">
        <f>0.22/1.23*2</f>
        <v>0.35772357723577236</v>
      </c>
      <c r="G188" s="453">
        <f>IF(A188="SERVIÇO",VLOOKUP(B188,SERVIÇOS!$A$6:$D$7645,4,0),IF(A188="INSUMO",VLOOKUP(B188,INSUMOS!$A$6:$D$6961,4,0),IF(A188="COTAÇÃO",VLOOKUP(B188,'036-20-Cotação'!$A$9:$G$529,3,0))))</f>
        <v>0.78420000000000001</v>
      </c>
      <c r="H188" s="463">
        <f t="shared" ref="H188:H190" si="30">G188*F188</f>
        <v>0.2805268292682927</v>
      </c>
      <c r="J188" s="201"/>
    </row>
    <row r="189" spans="1:17" s="87" customFormat="1" ht="25.5">
      <c r="A189" s="232" t="s">
        <v>4542</v>
      </c>
      <c r="B189" s="464" t="s">
        <v>9658</v>
      </c>
      <c r="C189" s="451" t="str">
        <f>IF(A189="SERVIÇO",VLOOKUP(B189,SERVIÇOS!$A$6:$D$7645,2,0),IF(A189="INSUMO",VLOOKUP(B189,INSUMOS!$A$6:$D$6961,2,0),IF(A189="COTAÇÃO",VLOOKUP(B189,'036-20-Cotação'!$A$9:$G$529,2,0))))</f>
        <v>TRANSPORTADOR MANUAL GERICA COM CAPACIDADE DE 180 L</v>
      </c>
      <c r="D189" s="452" t="str">
        <f>IF(A189="SERVIÇO",VLOOKUP(B189,SERVIÇOS!$A$6:$E$7645,5,0),IF(A189="INSUMO",VLOOKUP(B189,INSUMOS!$A$6:$E$6961,5,0),IF(A189="COTAÇÃO",VLOOKUP(B189,'036-20-Cotação'!$A$9:$H$529,8,0))))</f>
        <v>EQUIP.</v>
      </c>
      <c r="E189" s="452" t="str">
        <f>IF(A189="SERVIÇO",VLOOKUP(B189,SERVIÇOS!$A$6:$D$7645,3,0),IF(A189="INSUMO",VLOOKUP(B189,INSUMOS!$A$6:$D$6961,3,0),IF(A189="COTAÇÃO",VLOOKUP(B189,'036-20-Cotação'!$A$9:$G$529,4,0))))</f>
        <v>CHI</v>
      </c>
      <c r="F189" s="462">
        <f>0.78/1.23*2</f>
        <v>1.2682926829268293</v>
      </c>
      <c r="G189" s="453">
        <f>IF(A189="SERVIÇO",VLOOKUP(B189,SERVIÇOS!$A$6:$D$7645,4,0),IF(A189="INSUMO",VLOOKUP(B189,INSUMOS!$A$6:$D$6961,4,0),IF(A189="COTAÇÃO",VLOOKUP(B189,'036-20-Cotação'!$A$9:$G$529,3,0))))</f>
        <v>0.52549999999999997</v>
      </c>
      <c r="H189" s="463">
        <f t="shared" ref="H189" si="31">G189*F189</f>
        <v>0.66648780487804871</v>
      </c>
      <c r="J189" s="201"/>
    </row>
    <row r="190" spans="1:17" s="87" customFormat="1" ht="12.75">
      <c r="A190" s="232" t="s">
        <v>4542</v>
      </c>
      <c r="B190" s="464" t="s">
        <v>6614</v>
      </c>
      <c r="C190" s="451" t="str">
        <f>IF(A190="SERVIÇO",VLOOKUP(B190,SERVIÇOS!$A$6:$D$7645,2,0),IF(A190="INSUMO",VLOOKUP(B190,INSUMOS!$A$6:$D$6961,2,0),IF(A190="COTAÇÃO",VLOOKUP(B190,'036-20-Cotação'!$A$9:$G$529,2,0))))</f>
        <v>PEDREIRO</v>
      </c>
      <c r="D190" s="452" t="str">
        <f>IF(A190="SERVIÇO",VLOOKUP(B190,SERVIÇOS!$A$6:$E$7645,5,0),IF(A190="INSUMO",VLOOKUP(B190,INSUMOS!$A$6:$E$6961,5,0),IF(A190="COTAÇÃO",VLOOKUP(B190,'036-20-Cotação'!$A$9:$H$529,8,0))))</f>
        <v>M.O</v>
      </c>
      <c r="E190" s="452" t="str">
        <f>IF(A190="SERVIÇO",VLOOKUP(B190,SERVIÇOS!$A$6:$D$7645,3,0),IF(A190="INSUMO",VLOOKUP(B190,INSUMOS!$A$6:$D$6961,3,0),IF(A190="COTAÇÃO",VLOOKUP(B190,'036-20-Cotação'!$A$9:$G$529,4,0))))</f>
        <v>H</v>
      </c>
      <c r="F190" s="462">
        <f>1/1.23</f>
        <v>0.81300813008130079</v>
      </c>
      <c r="G190" s="453">
        <f>IF(A190="SERVIÇO",VLOOKUP(B190,SERVIÇOS!$A$6:$D$7645,4,0),IF(A190="INSUMO",VLOOKUP(B190,INSUMOS!$A$6:$D$6961,4,0),IF(A190="COTAÇÃO",VLOOKUP(B190,'036-20-Cotação'!$A$9:$G$529,3,0))))</f>
        <v>21.647600000000001</v>
      </c>
      <c r="H190" s="463">
        <f t="shared" si="30"/>
        <v>17.599674796747969</v>
      </c>
      <c r="J190" s="201"/>
    </row>
    <row r="191" spans="1:17" s="87" customFormat="1" ht="12.75">
      <c r="A191" s="232" t="s">
        <v>4542</v>
      </c>
      <c r="B191" s="464" t="s">
        <v>6602</v>
      </c>
      <c r="C191" s="451" t="str">
        <f>IF(A191="SERVIÇO",VLOOKUP(B191,SERVIÇOS!$A$6:$D$7645,2,0),IF(A191="INSUMO",VLOOKUP(B191,INSUMOS!$A$6:$D$6961,2,0),IF(A191="COTAÇÃO",VLOOKUP(B191,'036-20-Cotação'!$A$9:$G$529,2,0))))</f>
        <v>SERVENTE</v>
      </c>
      <c r="D191" s="452" t="str">
        <f>IF(A191="SERVIÇO",VLOOKUP(B191,SERVIÇOS!$A$6:$E$7645,5,0),IF(A191="INSUMO",VLOOKUP(B191,INSUMOS!$A$6:$E$6961,5,0),IF(A191="COTAÇÃO",VLOOKUP(B191,'036-20-Cotação'!$A$9:$H$529,8,0))))</f>
        <v>M.O</v>
      </c>
      <c r="E191" s="452" t="str">
        <f>IF(A191="SERVIÇO",VLOOKUP(B191,SERVIÇOS!$A$6:$D$7645,3,0),IF(A191="INSUMO",VLOOKUP(B191,INSUMOS!$A$6:$D$6961,3,0),IF(A191="COTAÇÃO",VLOOKUP(B191,'036-20-Cotação'!$A$9:$G$529,4,0))))</f>
        <v>H</v>
      </c>
      <c r="F191" s="462">
        <f>8/1.23</f>
        <v>6.5040650406504064</v>
      </c>
      <c r="G191" s="453">
        <f>IF(A191="SERVIÇO",VLOOKUP(B191,SERVIÇOS!$A$6:$D$7645,4,0),IF(A191="INSUMO",VLOOKUP(B191,INSUMOS!$A$6:$D$6961,4,0),IF(A191="COTAÇÃO",VLOOKUP(B191,'036-20-Cotação'!$A$9:$G$529,3,0))))</f>
        <v>15.637499999999999</v>
      </c>
      <c r="H191" s="463">
        <f t="shared" ref="H191" si="32">G191*F191</f>
        <v>101.70731707317073</v>
      </c>
      <c r="J191" s="201"/>
    </row>
    <row r="192" spans="1:17" s="87" customFormat="1" ht="25.5">
      <c r="A192" s="232" t="s">
        <v>4544</v>
      </c>
      <c r="B192" s="464" t="s">
        <v>7360</v>
      </c>
      <c r="C192" s="451" t="str">
        <f>IF(A192="SERVIÇO",VLOOKUP(B192,SERVIÇOS!$A$6:$D$7645,2,0),IF(A192="INSUMO",VLOOKUP(B192,INSUMOS!$A$6:$D$6961,2,0),IF(A192="COTAÇÃO",VLOOKUP(B192,'036-20-Cotação'!$A$9:$G$529,2,0))))</f>
        <v>ARGAMASSA TIPO SIKA GROUT 250 OU SIMILAR</v>
      </c>
      <c r="D192" s="452" t="str">
        <f>IF(A192="SERVIÇO",VLOOKUP(B192,SERVIÇOS!$A$6:$E$7645,5,0),IF(A192="INSUMO",VLOOKUP(B192,INSUMOS!$A$6:$E$6961,5,0),IF(A192="COTAÇÃO",VLOOKUP(B192,'036-20-Cotação'!$A$9:$H$529,8,0))))</f>
        <v>MAT.</v>
      </c>
      <c r="E192" s="452" t="str">
        <f>IF(A192="SERVIÇO",VLOOKUP(B192,SERVIÇOS!$A$6:$D$7645,3,0),IF(A192="INSUMO",VLOOKUP(B192,INSUMOS!$A$6:$D$6961,3,0),IF(A192="COTAÇÃO",VLOOKUP(B192,'036-20-Cotação'!$A$9:$G$529,4,0))))</f>
        <v>KG</v>
      </c>
      <c r="F192" s="549">
        <v>1725</v>
      </c>
      <c r="G192" s="453">
        <f>IF(A192="SERVIÇO",VLOOKUP(B192,SERVIÇOS!$A$6:$D$7645,4,0),IF(A192="INSUMO",VLOOKUP(B192,INSUMOS!$A$6:$D$6961,4,0),IF(A192="COTAÇÃO",VLOOKUP(B192,'036-20-Cotação'!$A$9:$G$529,3,0))))</f>
        <v>1.5210999999999999</v>
      </c>
      <c r="H192" s="463">
        <f t="shared" si="28"/>
        <v>2623.8975</v>
      </c>
      <c r="J192" s="201"/>
    </row>
    <row r="193" spans="1:17" s="87" customFormat="1" ht="12.75">
      <c r="A193" s="232" t="s">
        <v>4544</v>
      </c>
      <c r="B193" s="464" t="s">
        <v>10788</v>
      </c>
      <c r="C193" s="451" t="str">
        <f>IF(A193="SERVIÇO",VLOOKUP(B193,SERVIÇOS!$A$6:$D$7645,2,0),IF(A193="INSUMO",VLOOKUP(B193,INSUMOS!$A$6:$D$6961,2,0),IF(A193="COTAÇÃO",VLOOKUP(B193,'036-20-Cotação'!$A$9:$G$529,2,0))))</f>
        <v>PEDRISCO</v>
      </c>
      <c r="D193" s="452" t="str">
        <f>IF(A193="SERVIÇO",VLOOKUP(B193,SERVIÇOS!$A$6:$E$7645,5,0),IF(A193="INSUMO",VLOOKUP(B193,INSUMOS!$A$6:$E$6961,5,0),IF(A193="COTAÇÃO",VLOOKUP(B193,'036-20-Cotação'!$A$9:$H$529,8,0))))</f>
        <v>MAT.</v>
      </c>
      <c r="E193" s="452" t="str">
        <f>IF(A193="SERVIÇO",VLOOKUP(B193,SERVIÇOS!$A$6:$D$7645,3,0),IF(A193="INSUMO",VLOOKUP(B193,INSUMOS!$A$6:$D$6961,3,0),IF(A193="COTAÇÃO",VLOOKUP(B193,'036-20-Cotação'!$A$9:$G$529,4,0))))</f>
        <v>M³</v>
      </c>
      <c r="F193" s="462">
        <v>0.34499999999999997</v>
      </c>
      <c r="G193" s="453">
        <f>IF(A193="SERVIÇO",VLOOKUP(B193,SERVIÇOS!$A$6:$D$7645,4,0),IF(A193="INSUMO",VLOOKUP(B193,INSUMOS!$A$6:$D$6961,4,0),IF(A193="COTAÇÃO",VLOOKUP(B193,'036-20-Cotação'!$A$9:$G$529,3,0))))</f>
        <v>124.4337</v>
      </c>
      <c r="H193" s="463">
        <f t="shared" si="28"/>
        <v>42.929626499999998</v>
      </c>
      <c r="J193" s="201"/>
    </row>
    <row r="194" spans="1:17" s="87" customFormat="1" ht="25.5">
      <c r="A194" s="232" t="s">
        <v>4542</v>
      </c>
      <c r="B194" s="464" t="str">
        <f>$B$281</f>
        <v>5914655-TF</v>
      </c>
      <c r="C194" s="451" t="str">
        <f>$C$281</f>
        <v>TEMPO FIXO - CAMINHÃO CARROCERIA 15 T - CARGA E DESCARGA MANUAIS</v>
      </c>
      <c r="D194" s="452" t="str">
        <f>$D$281</f>
        <v>SER.CG</v>
      </c>
      <c r="E194" s="452" t="str">
        <f>$E$281</f>
        <v>T</v>
      </c>
      <c r="F194" s="462">
        <v>1.7250000000000001</v>
      </c>
      <c r="G194" s="453">
        <f>$H$281</f>
        <v>20.925562080536913</v>
      </c>
      <c r="H194" s="463">
        <f t="shared" si="28"/>
        <v>36.09659458892618</v>
      </c>
      <c r="J194" s="201"/>
    </row>
    <row r="195" spans="1:17" s="87" customFormat="1" ht="25.5">
      <c r="A195" s="232" t="s">
        <v>4542</v>
      </c>
      <c r="B195" s="464" t="str">
        <f>'036-20-CCA''s'!$B$298</f>
        <v>5914647-TF</v>
      </c>
      <c r="C195" s="451" t="str">
        <f>'036-20-CCA''s'!$C$298</f>
        <v>TEMPO FIXO - CAMINHÃO BASCULANTE 10 M3 - CARGA MONOBRA E DESCARGA</v>
      </c>
      <c r="D195" s="452" t="str">
        <f>'036-20-CCA''s'!$D$298</f>
        <v>SER.CG</v>
      </c>
      <c r="E195" s="452" t="str">
        <f>'036-20-CCA''s'!$E$298</f>
        <v>T</v>
      </c>
      <c r="F195" s="462">
        <v>0.51749999999999996</v>
      </c>
      <c r="G195" s="453">
        <f>'036-20-CCA''s'!$H$298</f>
        <v>0.93386493946512461</v>
      </c>
      <c r="H195" s="463">
        <f t="shared" si="28"/>
        <v>0.48327510617320196</v>
      </c>
      <c r="J195" s="201"/>
    </row>
    <row r="196" spans="1:17" s="87" customFormat="1" ht="12.75">
      <c r="A196" s="188"/>
      <c r="B196" s="348" t="s">
        <v>123</v>
      </c>
      <c r="C196" s="695" t="s">
        <v>13155</v>
      </c>
      <c r="D196" s="696"/>
      <c r="E196" s="696"/>
      <c r="F196" s="696"/>
      <c r="G196" s="696"/>
      <c r="H196" s="697"/>
      <c r="J196" s="201"/>
      <c r="K196" s="78"/>
      <c r="L196" s="78"/>
      <c r="M196" s="78"/>
      <c r="N196" s="78"/>
      <c r="O196" s="78"/>
      <c r="P196" s="78"/>
      <c r="Q196" s="78"/>
    </row>
    <row r="197" spans="1:17" s="87" customFormat="1" ht="12.75">
      <c r="A197" s="188"/>
      <c r="B197" s="346"/>
      <c r="C197" s="476"/>
      <c r="D197" s="476"/>
      <c r="E197" s="476"/>
      <c r="F197" s="476"/>
      <c r="G197" s="476"/>
      <c r="H197" s="477"/>
      <c r="J197" s="201"/>
      <c r="K197" s="78"/>
      <c r="L197" s="78"/>
      <c r="M197" s="78"/>
      <c r="N197" s="78"/>
      <c r="O197" s="78"/>
      <c r="P197" s="78"/>
      <c r="Q197" s="78"/>
    </row>
    <row r="198" spans="1:17" s="87" customFormat="1" ht="25.5">
      <c r="A198" s="188"/>
      <c r="B198" s="80">
        <v>1416141</v>
      </c>
      <c r="C198" s="81" t="s">
        <v>7759</v>
      </c>
      <c r="D198" s="82" t="s">
        <v>201</v>
      </c>
      <c r="E198" s="82" t="s">
        <v>5</v>
      </c>
      <c r="F198" s="83"/>
      <c r="G198" s="84"/>
      <c r="H198" s="85">
        <f>SUM(H199:H202)</f>
        <v>2.4360033139558235</v>
      </c>
      <c r="J198" s="201" t="s">
        <v>13156</v>
      </c>
      <c r="K198" s="78"/>
      <c r="L198" s="78"/>
      <c r="M198" s="78"/>
      <c r="N198" s="78"/>
      <c r="O198" s="78"/>
      <c r="P198" s="78"/>
      <c r="Q198" s="78"/>
    </row>
    <row r="199" spans="1:17" s="87" customFormat="1" ht="25.5">
      <c r="A199" s="232" t="s">
        <v>4542</v>
      </c>
      <c r="B199" s="464" t="s">
        <v>9212</v>
      </c>
      <c r="C199" s="451" t="str">
        <f>IF(A199="SERVIÇO",VLOOKUP(B199,SERVIÇOS!$A$6:$D$7645,2,0),IF(A199="INSUMO",VLOOKUP(B199,INSUMOS!$A$6:$D$6961,2,0),IF(A199="COTAÇÃO",VLOOKUP(B199,'036-20-Cotação'!$A$9:$G$529,2,0))))</f>
        <v>EQUIPAMENTO PARA SOLDA/CORTE COM OXIACETILENO</v>
      </c>
      <c r="D199" s="452" t="str">
        <f>IF(A199="SERVIÇO",VLOOKUP(B199,SERVIÇOS!$A$6:$E$7645,5,0),IF(A199="INSUMO",VLOOKUP(B199,INSUMOS!$A$6:$E$6961,5,0),IF(A199="COTAÇÃO",VLOOKUP(B199,'036-20-Cotação'!$A$9:$H$529,8,0))))</f>
        <v>EQUIP.</v>
      </c>
      <c r="E199" s="452" t="str">
        <f>IF(A199="SERVIÇO",VLOOKUP(B199,SERVIÇOS!$A$6:$D$7645,3,0),IF(A199="INSUMO",VLOOKUP(B199,INSUMOS!$A$6:$D$6961,3,0),IF(A199="COTAÇÃO",VLOOKUP(B199,'036-20-Cotação'!$A$9:$G$529,4,0))))</f>
        <v>CHP</v>
      </c>
      <c r="F199" s="462">
        <f>1/24.9</f>
        <v>4.0160642570281124E-2</v>
      </c>
      <c r="G199" s="453">
        <f>IF(A199="SERVIÇO",VLOOKUP(B199,SERVIÇOS!$A$6:$D$7645,4,0),IF(A199="INSUMO",VLOOKUP(B199,INSUMOS!$A$6:$D$6961,4,0),IF(A199="COTAÇÃO",VLOOKUP(B199,'036-20-Cotação'!$A$9:$G$529,3,0))))</f>
        <v>0.96099999999999997</v>
      </c>
      <c r="H199" s="463">
        <f t="shared" ref="H199:H202" si="33">G199*F199</f>
        <v>3.8594377510040162E-2</v>
      </c>
      <c r="J199" s="201"/>
    </row>
    <row r="200" spans="1:17" s="87" customFormat="1" ht="12.75">
      <c r="A200" s="232" t="s">
        <v>4542</v>
      </c>
      <c r="B200" s="464" t="s">
        <v>7348</v>
      </c>
      <c r="C200" s="451" t="str">
        <f>IF(A200="SERVIÇO",VLOOKUP(B200,SERVIÇOS!$A$6:$D$7645,2,0),IF(A200="INSUMO",VLOOKUP(B200,INSUMOS!$A$6:$D$6961,2,0),IF(A200="COTAÇÃO",VLOOKUP(B200,'036-20-Cotação'!$A$9:$G$529,2,0))))</f>
        <v>SOLDADOR</v>
      </c>
      <c r="D200" s="452" t="str">
        <f>IF(A200="SERVIÇO",VLOOKUP(B200,SERVIÇOS!$A$6:$E$7645,5,0),IF(A200="INSUMO",VLOOKUP(B200,INSUMOS!$A$6:$E$6961,5,0),IF(A200="COTAÇÃO",VLOOKUP(B200,'036-20-Cotação'!$A$9:$H$529,8,0))))</f>
        <v>M.O</v>
      </c>
      <c r="E200" s="452" t="str">
        <f>IF(A200="SERVIÇO",VLOOKUP(B200,SERVIÇOS!$A$6:$D$7645,3,0),IF(A200="INSUMO",VLOOKUP(B200,INSUMOS!$A$6:$D$6961,3,0),IF(A200="COTAÇÃO",VLOOKUP(B200,'036-20-Cotação'!$A$9:$G$529,4,0))))</f>
        <v>H</v>
      </c>
      <c r="F200" s="462">
        <f>1/24.9</f>
        <v>4.0160642570281124E-2</v>
      </c>
      <c r="G200" s="453">
        <f>IF(A200="SERVIÇO",VLOOKUP(B200,SERVIÇOS!$A$6:$D$7645,4,0),IF(A200="INSUMO",VLOOKUP(B200,INSUMOS!$A$6:$D$6961,4,0),IF(A200="COTAÇÃO",VLOOKUP(B200,'036-20-Cotação'!$A$9:$G$529,3,0))))</f>
        <v>27.728400000000001</v>
      </c>
      <c r="H200" s="463">
        <f t="shared" si="33"/>
        <v>1.1135903614457832</v>
      </c>
      <c r="J200" s="201"/>
    </row>
    <row r="201" spans="1:17" s="87" customFormat="1" ht="12.75">
      <c r="A201" s="232" t="s">
        <v>4544</v>
      </c>
      <c r="B201" s="464" t="s">
        <v>7394</v>
      </c>
      <c r="C201" s="451" t="str">
        <f>IF(A201="SERVIÇO",VLOOKUP(B201,SERVIÇOS!$A$6:$D$7645,2,0),IF(A201="INSUMO",VLOOKUP(B201,INSUMOS!$A$6:$D$6961,2,0),IF(A201="COTAÇÃO",VLOOKUP(B201,'036-20-Cotação'!$A$9:$G$529,2,0))))</f>
        <v>ACETILENO</v>
      </c>
      <c r="D201" s="452" t="str">
        <f>IF(A201="SERVIÇO",VLOOKUP(B201,SERVIÇOS!$A$6:$E$7645,5,0),IF(A201="INSUMO",VLOOKUP(B201,INSUMOS!$A$6:$E$6961,5,0),IF(A201="COTAÇÃO",VLOOKUP(B201,'036-20-Cotação'!$A$9:$H$529,8,0))))</f>
        <v>MAT.</v>
      </c>
      <c r="E201" s="452" t="str">
        <f>IF(A201="SERVIÇO",VLOOKUP(B201,SERVIÇOS!$A$6:$D$7645,3,0),IF(A201="INSUMO",VLOOKUP(B201,INSUMOS!$A$6:$D$6961,3,0),IF(A201="COTAÇÃO",VLOOKUP(B201,'036-20-Cotação'!$A$9:$G$529,4,0))))</f>
        <v>KG</v>
      </c>
      <c r="F201" s="549">
        <v>1.325E-2</v>
      </c>
      <c r="G201" s="453">
        <f>IF(A201="SERVIÇO",VLOOKUP(B201,SERVIÇOS!$A$6:$D$7645,4,0),IF(A201="INSUMO",VLOOKUP(B201,INSUMOS!$A$6:$D$6961,4,0),IF(A201="COTAÇÃO",VLOOKUP(B201,'036-20-Cotação'!$A$9:$G$529,3,0))))</f>
        <v>36.273099999999999</v>
      </c>
      <c r="H201" s="463">
        <f t="shared" si="33"/>
        <v>0.48061857499999999</v>
      </c>
      <c r="J201" s="201"/>
    </row>
    <row r="202" spans="1:17" s="87" customFormat="1" ht="12.75">
      <c r="A202" s="232" t="s">
        <v>4544</v>
      </c>
      <c r="B202" s="464" t="s">
        <v>7393</v>
      </c>
      <c r="C202" s="451" t="str">
        <f>IF(A202="SERVIÇO",VLOOKUP(B202,SERVIÇOS!$A$6:$D$7645,2,0),IF(A202="INSUMO",VLOOKUP(B202,INSUMOS!$A$6:$D$6961,2,0),IF(A202="COTAÇÃO",VLOOKUP(B202,'036-20-Cotação'!$A$9:$G$529,2,0))))</f>
        <v>OXIGÊNIO</v>
      </c>
      <c r="D202" s="452" t="str">
        <f>IF(A202="SERVIÇO",VLOOKUP(B202,SERVIÇOS!$A$6:$E$7645,5,0),IF(A202="INSUMO",VLOOKUP(B202,INSUMOS!$A$6:$E$6961,5,0),IF(A202="COTAÇÃO",VLOOKUP(B202,'036-20-Cotação'!$A$9:$H$529,8,0))))</f>
        <v>MAT.</v>
      </c>
      <c r="E202" s="452" t="str">
        <f>IF(A202="SERVIÇO",VLOOKUP(B202,SERVIÇOS!$A$6:$D$7645,3,0),IF(A202="INSUMO",VLOOKUP(B202,INSUMOS!$A$6:$D$6961,3,0),IF(A202="COTAÇÃO",VLOOKUP(B202,'036-20-Cotação'!$A$9:$G$529,4,0))))</f>
        <v>M³</v>
      </c>
      <c r="F202" s="462">
        <v>8.0320000000000003E-2</v>
      </c>
      <c r="G202" s="453">
        <f>IF(A202="SERVIÇO",VLOOKUP(B202,SERVIÇOS!$A$6:$D$7645,4,0),IF(A202="INSUMO",VLOOKUP(B202,INSUMOS!$A$6:$D$6961,4,0),IF(A202="COTAÇÃO",VLOOKUP(B202,'036-20-Cotação'!$A$9:$G$529,3,0))))</f>
        <v>10</v>
      </c>
      <c r="H202" s="463">
        <f t="shared" si="33"/>
        <v>0.80320000000000003</v>
      </c>
      <c r="J202" s="201"/>
    </row>
    <row r="203" spans="1:17" s="87" customFormat="1" ht="12.75">
      <c r="A203" s="188"/>
      <c r="B203" s="348" t="s">
        <v>123</v>
      </c>
      <c r="C203" s="695" t="s">
        <v>13157</v>
      </c>
      <c r="D203" s="696"/>
      <c r="E203" s="696"/>
      <c r="F203" s="696"/>
      <c r="G203" s="696"/>
      <c r="H203" s="697"/>
      <c r="J203" s="201"/>
      <c r="K203" s="78"/>
      <c r="L203" s="78"/>
      <c r="M203" s="78"/>
      <c r="N203" s="78"/>
      <c r="O203" s="78"/>
      <c r="P203" s="78"/>
      <c r="Q203" s="78"/>
    </row>
    <row r="204" spans="1:17" s="87" customFormat="1" ht="12.75">
      <c r="A204" s="188"/>
      <c r="B204" s="346"/>
      <c r="C204" s="476"/>
      <c r="D204" s="476"/>
      <c r="E204" s="476"/>
      <c r="F204" s="476"/>
      <c r="G204" s="476"/>
      <c r="H204" s="477"/>
      <c r="J204" s="201"/>
      <c r="K204" s="78"/>
      <c r="L204" s="78"/>
      <c r="M204" s="78"/>
      <c r="N204" s="78"/>
      <c r="O204" s="78"/>
      <c r="P204" s="78"/>
      <c r="Q204" s="78"/>
    </row>
    <row r="205" spans="1:17" s="87" customFormat="1" ht="12.75">
      <c r="A205" s="188"/>
      <c r="B205" s="80">
        <v>1600438</v>
      </c>
      <c r="C205" s="81" t="s">
        <v>6665</v>
      </c>
      <c r="D205" s="82" t="s">
        <v>201</v>
      </c>
      <c r="E205" s="82" t="s">
        <v>172</v>
      </c>
      <c r="F205" s="83"/>
      <c r="G205" s="84"/>
      <c r="H205" s="85">
        <f>SUM(H206:H210)</f>
        <v>483.26430692449355</v>
      </c>
      <c r="J205" s="201" t="s">
        <v>13158</v>
      </c>
      <c r="K205" s="78"/>
      <c r="L205" s="78"/>
      <c r="M205" s="78"/>
      <c r="N205" s="78"/>
      <c r="O205" s="78"/>
      <c r="P205" s="78"/>
      <c r="Q205" s="78"/>
    </row>
    <row r="206" spans="1:17" s="87" customFormat="1" ht="25.5">
      <c r="A206" s="232" t="s">
        <v>4542</v>
      </c>
      <c r="B206" s="464" t="s">
        <v>8841</v>
      </c>
      <c r="C206" s="451" t="str">
        <f>IF(A206="SERVIÇO",VLOOKUP(B206,SERVIÇOS!$A$6:$D$7645,2,0),IF(A206="INSUMO",VLOOKUP(B206,INSUMOS!$A$6:$D$6961,2,0),IF(A206="COTAÇÃO",VLOOKUP(B206,'036-20-Cotação'!$A$9:$G$529,2,0))))</f>
        <v>TRANSPORTADOR MANUAL CARRINHO DE MÃO COM CAPACIDADE DE 80 L</v>
      </c>
      <c r="D206" s="452" t="str">
        <f>IF(A206="SERVIÇO",VLOOKUP(B206,SERVIÇOS!$A$6:$E$7645,5,0),IF(A206="INSUMO",VLOOKUP(B206,INSUMOS!$A$6:$E$6961,5,0),IF(A206="COTAÇÃO",VLOOKUP(B206,'036-20-Cotação'!$A$9:$H$529,8,0))))</f>
        <v>EQUIP.</v>
      </c>
      <c r="E206" s="452" t="str">
        <f>IF(A206="SERVIÇO",VLOOKUP(B206,SERVIÇOS!$A$6:$D$7645,3,0),IF(A206="INSUMO",VLOOKUP(B206,INSUMOS!$A$6:$D$6961,3,0),IF(A206="COTAÇÃO",VLOOKUP(B206,'036-20-Cotação'!$A$9:$G$529,4,0))))</f>
        <v>CHP</v>
      </c>
      <c r="F206" s="462">
        <f>0.03/0.05</f>
        <v>0.6</v>
      </c>
      <c r="G206" s="453">
        <f>IF(A206="SERVIÇO",VLOOKUP(B206,SERVIÇOS!$A$6:$D$7645,4,0),IF(A206="INSUMO",VLOOKUP(B206,INSUMOS!$A$6:$D$6961,4,0),IF(A206="COTAÇÃO",VLOOKUP(B206,'036-20-Cotação'!$A$9:$G$529,3,0))))</f>
        <v>0.3054</v>
      </c>
      <c r="H206" s="463">
        <f t="shared" ref="H206:H208" si="34">G206*F206</f>
        <v>0.18323999999999999</v>
      </c>
      <c r="J206" s="201"/>
    </row>
    <row r="207" spans="1:17" s="87" customFormat="1" ht="25.5">
      <c r="A207" s="232" t="s">
        <v>4542</v>
      </c>
      <c r="B207" s="464" t="s">
        <v>9665</v>
      </c>
      <c r="C207" s="451" t="str">
        <f>IF(A207="SERVIÇO",VLOOKUP(B207,SERVIÇOS!$A$6:$D$7645,2,0),IF(A207="INSUMO",VLOOKUP(B207,INSUMOS!$A$6:$D$6961,2,0),IF(A207="COTAÇÃO",VLOOKUP(B207,'036-20-Cotação'!$A$9:$G$529,2,0))))</f>
        <v>TRANSPORTADOR MANUAL CARRINHO DE MÃO COM CAPACIDADE DE 80 L</v>
      </c>
      <c r="D207" s="452" t="str">
        <f>IF(A207="SERVIÇO",VLOOKUP(B207,SERVIÇOS!$A$6:$E$7645,5,0),IF(A207="INSUMO",VLOOKUP(B207,INSUMOS!$A$6:$E$6961,5,0),IF(A207="COTAÇÃO",VLOOKUP(B207,'036-20-Cotação'!$A$9:$H$529,8,0))))</f>
        <v>EQUIP.</v>
      </c>
      <c r="E207" s="452" t="str">
        <f>IF(A207="SERVIÇO",VLOOKUP(B207,SERVIÇOS!$A$6:$D$7645,3,0),IF(A207="INSUMO",VLOOKUP(B207,INSUMOS!$A$6:$D$6961,3,0),IF(A207="COTAÇÃO",VLOOKUP(B207,'036-20-Cotação'!$A$9:$G$529,4,0))))</f>
        <v>CHI</v>
      </c>
      <c r="F207" s="462">
        <f>0.97/0.05</f>
        <v>19.399999999999999</v>
      </c>
      <c r="G207" s="453">
        <f>IF(A207="SERVIÇO",VLOOKUP(B207,SERVIÇOS!$A$6:$D$7645,4,0),IF(A207="INSUMO",VLOOKUP(B207,INSUMOS!$A$6:$D$6961,4,0),IF(A207="COTAÇÃO",VLOOKUP(B207,'036-20-Cotação'!$A$9:$G$529,3,0))))</f>
        <v>0.20469999999999999</v>
      </c>
      <c r="H207" s="463">
        <f t="shared" ref="H207" si="35">G207*F207</f>
        <v>3.9711799999999995</v>
      </c>
      <c r="J207" s="201"/>
    </row>
    <row r="208" spans="1:17" s="87" customFormat="1" ht="12.75">
      <c r="A208" s="232" t="s">
        <v>4542</v>
      </c>
      <c r="B208" s="464" t="s">
        <v>6614</v>
      </c>
      <c r="C208" s="451" t="str">
        <f>IF(A208="SERVIÇO",VLOOKUP(B208,SERVIÇOS!$A$6:$D$7645,2,0),IF(A208="INSUMO",VLOOKUP(B208,INSUMOS!$A$6:$D$6961,2,0),IF(A208="COTAÇÃO",VLOOKUP(B208,'036-20-Cotação'!$A$9:$G$529,2,0))))</f>
        <v>PEDREIRO</v>
      </c>
      <c r="D208" s="452" t="str">
        <f>IF(A208="SERVIÇO",VLOOKUP(B208,SERVIÇOS!$A$6:$E$7645,5,0),IF(A208="INSUMO",VLOOKUP(B208,INSUMOS!$A$6:$E$6961,5,0),IF(A208="COTAÇÃO",VLOOKUP(B208,'036-20-Cotação'!$A$9:$H$529,8,0))))</f>
        <v>M.O</v>
      </c>
      <c r="E208" s="452" t="str">
        <f>IF(A208="SERVIÇO",VLOOKUP(B208,SERVIÇOS!$A$6:$D$7645,3,0),IF(A208="INSUMO",VLOOKUP(B208,INSUMOS!$A$6:$D$6961,3,0),IF(A208="COTAÇÃO",VLOOKUP(B208,'036-20-Cotação'!$A$9:$G$529,4,0))))</f>
        <v>H</v>
      </c>
      <c r="F208" s="462">
        <f>0.1/0.05</f>
        <v>2</v>
      </c>
      <c r="G208" s="453">
        <f>IF(A208="SERVIÇO",VLOOKUP(B208,SERVIÇOS!$A$6:$D$7645,4,0),IF(A208="INSUMO",VLOOKUP(B208,INSUMOS!$A$6:$D$6961,4,0),IF(A208="COTAÇÃO",VLOOKUP(B208,'036-20-Cotação'!$A$9:$G$529,3,0))))</f>
        <v>21.647600000000001</v>
      </c>
      <c r="H208" s="463">
        <f t="shared" si="34"/>
        <v>43.295200000000001</v>
      </c>
      <c r="J208" s="201"/>
    </row>
    <row r="209" spans="1:17" s="87" customFormat="1" ht="12.75">
      <c r="A209" s="232" t="s">
        <v>4542</v>
      </c>
      <c r="B209" s="464" t="s">
        <v>6602</v>
      </c>
      <c r="C209" s="451" t="str">
        <f>IF(A209="SERVIÇO",VLOOKUP(B209,SERVIÇOS!$A$6:$D$7645,2,0),IF(A209="INSUMO",VLOOKUP(B209,INSUMOS!$A$6:$D$6961,2,0),IF(A209="COTAÇÃO",VLOOKUP(B209,'036-20-Cotação'!$A$9:$G$529,2,0))))</f>
        <v>SERVENTE</v>
      </c>
      <c r="D209" s="452" t="str">
        <f>IF(A209="SERVIÇO",VLOOKUP(B209,SERVIÇOS!$A$6:$E$7645,5,0),IF(A209="INSUMO",VLOOKUP(B209,INSUMOS!$A$6:$E$6961,5,0),IF(A209="COTAÇÃO",VLOOKUP(B209,'036-20-Cotação'!$A$9:$H$529,8,0))))</f>
        <v>M.O</v>
      </c>
      <c r="E209" s="452" t="str">
        <f>IF(A209="SERVIÇO",VLOOKUP(B209,SERVIÇOS!$A$6:$D$7645,3,0),IF(A209="INSUMO",VLOOKUP(B209,INSUMOS!$A$6:$D$6961,3,0),IF(A209="COTAÇÃO",VLOOKUP(B209,'036-20-Cotação'!$A$9:$G$529,4,0))))</f>
        <v>H</v>
      </c>
      <c r="F209" s="462">
        <f>1/0.05</f>
        <v>20</v>
      </c>
      <c r="G209" s="453">
        <f>IF(A209="SERVIÇO",VLOOKUP(B209,SERVIÇOS!$A$6:$D$7645,4,0),IF(A209="INSUMO",VLOOKUP(B209,INSUMOS!$A$6:$D$6961,4,0),IF(A209="COTAÇÃO",VLOOKUP(B209,'036-20-Cotação'!$A$9:$G$529,3,0))))</f>
        <v>15.637499999999999</v>
      </c>
      <c r="H209" s="463">
        <f t="shared" ref="H209:H210" si="36">G209*F209</f>
        <v>312.75</v>
      </c>
      <c r="J209" s="201"/>
    </row>
    <row r="210" spans="1:17" s="87" customFormat="1" ht="25.5">
      <c r="A210" s="232" t="s">
        <v>4542</v>
      </c>
      <c r="B210" s="464" t="str">
        <f>'036-20-CCA''s'!$B$318</f>
        <v>5915433-TF</v>
      </c>
      <c r="C210" s="451" t="str">
        <f>'036-20-CCA''s'!$C$318</f>
        <v>TEMPO FIXO - CAMINHÃO BASCULANTE 6 M3 - CARGA MANUAL E DESCARGA LIVRE</v>
      </c>
      <c r="D210" s="452" t="str">
        <f>'036-20-CCA''s'!$D$318</f>
        <v>SER.CG</v>
      </c>
      <c r="E210" s="452" t="str">
        <f>'036-20-CCA''s'!$E$318</f>
        <v>T</v>
      </c>
      <c r="F210" s="462">
        <v>2.5</v>
      </c>
      <c r="G210" s="453">
        <f>'036-20-CCA''s'!$H$318</f>
        <v>49.225874769797421</v>
      </c>
      <c r="H210" s="463">
        <f t="shared" si="36"/>
        <v>123.06468692449356</v>
      </c>
      <c r="J210" s="201"/>
    </row>
    <row r="211" spans="1:17" s="87" customFormat="1" ht="12.75">
      <c r="A211" s="188"/>
      <c r="B211" s="348" t="s">
        <v>123</v>
      </c>
      <c r="C211" s="695" t="s">
        <v>13159</v>
      </c>
      <c r="D211" s="696"/>
      <c r="E211" s="696"/>
      <c r="F211" s="696"/>
      <c r="G211" s="696"/>
      <c r="H211" s="697"/>
      <c r="J211" s="201"/>
      <c r="K211" s="78"/>
      <c r="L211" s="78"/>
      <c r="M211" s="78"/>
      <c r="N211" s="78"/>
      <c r="O211" s="78"/>
      <c r="P211" s="78"/>
      <c r="Q211" s="78"/>
    </row>
    <row r="212" spans="1:17" s="87" customFormat="1" ht="12.75">
      <c r="A212" s="188"/>
      <c r="B212" s="346"/>
      <c r="C212" s="476"/>
      <c r="D212" s="476"/>
      <c r="E212" s="476"/>
      <c r="F212" s="476"/>
      <c r="G212" s="476"/>
      <c r="H212" s="477"/>
      <c r="J212" s="201"/>
      <c r="K212" s="78"/>
      <c r="L212" s="78"/>
      <c r="M212" s="78"/>
      <c r="N212" s="78"/>
      <c r="O212" s="78"/>
      <c r="P212" s="78"/>
      <c r="Q212" s="78"/>
    </row>
    <row r="213" spans="1:17" s="87" customFormat="1" ht="25.5">
      <c r="A213" s="188"/>
      <c r="B213" s="80">
        <v>1408173</v>
      </c>
      <c r="C213" s="81" t="s">
        <v>7761</v>
      </c>
      <c r="D213" s="82" t="s">
        <v>201</v>
      </c>
      <c r="E213" s="82" t="s">
        <v>7365</v>
      </c>
      <c r="F213" s="83"/>
      <c r="G213" s="84"/>
      <c r="H213" s="85">
        <f>SUM(H214:H217)</f>
        <v>0.55535668562067619</v>
      </c>
      <c r="J213" s="201" t="s">
        <v>13160</v>
      </c>
      <c r="K213" s="78"/>
      <c r="L213" s="78"/>
      <c r="M213" s="78"/>
      <c r="N213" s="78"/>
      <c r="O213" s="78"/>
      <c r="P213" s="78"/>
      <c r="Q213" s="78"/>
    </row>
    <row r="214" spans="1:17" s="87" customFormat="1" ht="25.5">
      <c r="A214" s="232" t="s">
        <v>4542</v>
      </c>
      <c r="B214" s="464" t="s">
        <v>9212</v>
      </c>
      <c r="C214" s="451" t="str">
        <f>IF(A214="SERVIÇO",VLOOKUP(B214,SERVIÇOS!$A$6:$D$7645,2,0),IF(A214="INSUMO",VLOOKUP(B214,INSUMOS!$A$6:$D$6961,2,0),IF(A214="COTAÇÃO",VLOOKUP(B214,'036-20-Cotação'!$A$9:$G$529,2,0))))</f>
        <v>EQUIPAMENTO PARA SOLDA/CORTE COM OXIACETILENO</v>
      </c>
      <c r="D214" s="452" t="str">
        <f>IF(A214="SERVIÇO",VLOOKUP(B214,SERVIÇOS!$A$6:$E$7645,5,0),IF(A214="INSUMO",VLOOKUP(B214,INSUMOS!$A$6:$E$6961,5,0),IF(A214="COTAÇÃO",VLOOKUP(B214,'036-20-Cotação'!$A$9:$H$529,8,0))))</f>
        <v>EQUIP.</v>
      </c>
      <c r="E214" s="452" t="str">
        <f>IF(A214="SERVIÇO",VLOOKUP(B214,SERVIÇOS!$A$6:$D$7645,3,0),IF(A214="INSUMO",VLOOKUP(B214,INSUMOS!$A$6:$D$6961,3,0),IF(A214="COTAÇÃO",VLOOKUP(B214,'036-20-Cotação'!$A$9:$G$529,4,0))))</f>
        <v>CHP</v>
      </c>
      <c r="F214" s="462">
        <f>1/1029.2</f>
        <v>9.7162844928099488E-4</v>
      </c>
      <c r="G214" s="453">
        <f>IF(A214="SERVIÇO",VLOOKUP(B214,SERVIÇOS!$A$6:$D$7645,4,0),IF(A214="INSUMO",VLOOKUP(B214,INSUMOS!$A$6:$D$6961,4,0),IF(A214="COTAÇÃO",VLOOKUP(B214,'036-20-Cotação'!$A$9:$G$529,3,0))))</f>
        <v>0.96099999999999997</v>
      </c>
      <c r="H214" s="463">
        <f t="shared" ref="H214:H217" si="37">G214*F214</f>
        <v>9.3373493975903608E-4</v>
      </c>
      <c r="J214" s="201"/>
    </row>
    <row r="215" spans="1:17" s="87" customFormat="1" ht="12.75">
      <c r="A215" s="232" t="s">
        <v>4542</v>
      </c>
      <c r="B215" s="464" t="s">
        <v>6825</v>
      </c>
      <c r="C215" s="451" t="str">
        <f>IF(A215="SERVIÇO",VLOOKUP(B215,SERVIÇOS!$A$6:$D$7645,2,0),IF(A215="INSUMO",VLOOKUP(B215,INSUMOS!$A$6:$D$6961,2,0),IF(A215="COTAÇÃO",VLOOKUP(B215,'036-20-Cotação'!$A$9:$G$529,2,0))))</f>
        <v>AJUDANTE</v>
      </c>
      <c r="D215" s="452" t="str">
        <f>IF(A215="SERVIÇO",VLOOKUP(B215,SERVIÇOS!$A$6:$E$7645,5,0),IF(A215="INSUMO",VLOOKUP(B215,INSUMOS!$A$6:$E$6961,5,0),IF(A215="COTAÇÃO",VLOOKUP(B215,'036-20-Cotação'!$A$9:$H$529,8,0))))</f>
        <v>M.O</v>
      </c>
      <c r="E215" s="452" t="str">
        <f>IF(A215="SERVIÇO",VLOOKUP(B215,SERVIÇOS!$A$6:$D$7645,3,0),IF(A215="INSUMO",VLOOKUP(B215,INSUMOS!$A$6:$D$6961,3,0),IF(A215="COTAÇÃO",VLOOKUP(B215,'036-20-Cotação'!$A$9:$G$529,4,0))))</f>
        <v>H</v>
      </c>
      <c r="F215" s="462">
        <f>1/1029.2</f>
        <v>9.7162844928099488E-4</v>
      </c>
      <c r="G215" s="453">
        <f>IF(A215="SERVIÇO",VLOOKUP(B215,SERVIÇOS!$A$6:$D$7645,4,0),IF(A215="INSUMO",VLOOKUP(B215,INSUMOS!$A$6:$D$6961,4,0),IF(A215="COTAÇÃO",VLOOKUP(B215,'036-20-Cotação'!$A$9:$G$529,3,0))))</f>
        <v>17.9801</v>
      </c>
      <c r="H215" s="463">
        <f t="shared" si="37"/>
        <v>1.7469976680917217E-2</v>
      </c>
      <c r="J215" s="201"/>
    </row>
    <row r="216" spans="1:17" s="87" customFormat="1" ht="12.75">
      <c r="A216" s="232" t="s">
        <v>4544</v>
      </c>
      <c r="B216" s="464" t="s">
        <v>7394</v>
      </c>
      <c r="C216" s="451" t="str">
        <f>IF(A216="SERVIÇO",VLOOKUP(B216,SERVIÇOS!$A$6:$D$7645,2,0),IF(A216="INSUMO",VLOOKUP(B216,INSUMOS!$A$6:$D$6961,2,0),IF(A216="COTAÇÃO",VLOOKUP(B216,'036-20-Cotação'!$A$9:$G$529,2,0))))</f>
        <v>ACETILENO</v>
      </c>
      <c r="D216" s="452" t="str">
        <f>IF(A216="SERVIÇO",VLOOKUP(B216,SERVIÇOS!$A$6:$E$7645,5,0),IF(A216="INSUMO",VLOOKUP(B216,INSUMOS!$A$6:$E$6961,5,0),IF(A216="COTAÇÃO",VLOOKUP(B216,'036-20-Cotação'!$A$9:$H$529,8,0))))</f>
        <v>MAT.</v>
      </c>
      <c r="E216" s="452" t="str">
        <f>IF(A216="SERVIÇO",VLOOKUP(B216,SERVIÇOS!$A$6:$D$7645,3,0),IF(A216="INSUMO",VLOOKUP(B216,INSUMOS!$A$6:$D$6961,3,0),IF(A216="COTAÇÃO",VLOOKUP(B216,'036-20-Cotação'!$A$9:$G$529,4,0))))</f>
        <v>KG</v>
      </c>
      <c r="F216" s="462">
        <v>5.5399999999999998E-3</v>
      </c>
      <c r="G216" s="453">
        <f>IF(A216="SERVIÇO",VLOOKUP(B216,SERVIÇOS!$A$6:$D$7645,4,0),IF(A216="INSUMO",VLOOKUP(B216,INSUMOS!$A$6:$D$6961,4,0),IF(A216="COTAÇÃO",VLOOKUP(B216,'036-20-Cotação'!$A$9:$G$529,3,0))))</f>
        <v>36.273099999999999</v>
      </c>
      <c r="H216" s="463">
        <f t="shared" si="37"/>
        <v>0.20095297399999998</v>
      </c>
      <c r="J216" s="201"/>
    </row>
    <row r="217" spans="1:17" s="87" customFormat="1" ht="12.75">
      <c r="A217" s="232" t="s">
        <v>4544</v>
      </c>
      <c r="B217" s="464" t="s">
        <v>7393</v>
      </c>
      <c r="C217" s="451" t="str">
        <f>IF(A217="SERVIÇO",VLOOKUP(B217,SERVIÇOS!$A$6:$D$7645,2,0),IF(A217="INSUMO",VLOOKUP(B217,INSUMOS!$A$6:$D$6961,2,0),IF(A217="COTAÇÃO",VLOOKUP(B217,'036-20-Cotação'!$A$9:$G$529,2,0))))</f>
        <v>OXIGÊNIO</v>
      </c>
      <c r="D217" s="452" t="str">
        <f>IF(A217="SERVIÇO",VLOOKUP(B217,SERVIÇOS!$A$6:$E$7645,5,0),IF(A217="INSUMO",VLOOKUP(B217,INSUMOS!$A$6:$E$6961,5,0),IF(A217="COTAÇÃO",VLOOKUP(B217,'036-20-Cotação'!$A$9:$H$529,8,0))))</f>
        <v>MAT.</v>
      </c>
      <c r="E217" s="452" t="str">
        <f>IF(A217="SERVIÇO",VLOOKUP(B217,SERVIÇOS!$A$6:$D$7645,3,0),IF(A217="INSUMO",VLOOKUP(B217,INSUMOS!$A$6:$D$6961,3,0),IF(A217="COTAÇÃO",VLOOKUP(B217,'036-20-Cotação'!$A$9:$G$529,4,0))))</f>
        <v>M³</v>
      </c>
      <c r="F217" s="549">
        <v>3.3599999999999998E-2</v>
      </c>
      <c r="G217" s="453">
        <f>IF(A217="SERVIÇO",VLOOKUP(B217,SERVIÇOS!$A$6:$D$7645,4,0),IF(A217="INSUMO",VLOOKUP(B217,INSUMOS!$A$6:$D$6961,4,0),IF(A217="COTAÇÃO",VLOOKUP(B217,'036-20-Cotação'!$A$9:$G$529,3,0))))</f>
        <v>10</v>
      </c>
      <c r="H217" s="463">
        <f t="shared" si="37"/>
        <v>0.33599999999999997</v>
      </c>
      <c r="J217" s="201"/>
    </row>
    <row r="218" spans="1:17" s="87" customFormat="1" ht="12.75">
      <c r="A218" s="188"/>
      <c r="B218" s="348" t="s">
        <v>123</v>
      </c>
      <c r="C218" s="695" t="s">
        <v>13161</v>
      </c>
      <c r="D218" s="696"/>
      <c r="E218" s="696"/>
      <c r="F218" s="696"/>
      <c r="G218" s="696"/>
      <c r="H218" s="697"/>
      <c r="J218" s="201"/>
      <c r="K218" s="78"/>
      <c r="L218" s="78"/>
      <c r="M218" s="78"/>
      <c r="N218" s="78"/>
      <c r="O218" s="78"/>
      <c r="P218" s="78"/>
      <c r="Q218" s="78"/>
    </row>
    <row r="219" spans="1:17" s="87" customFormat="1" ht="12.75">
      <c r="A219" s="188"/>
      <c r="B219" s="346"/>
      <c r="C219" s="476"/>
      <c r="D219" s="476"/>
      <c r="E219" s="476"/>
      <c r="F219" s="476"/>
      <c r="G219" s="476"/>
      <c r="H219" s="477"/>
      <c r="J219" s="201"/>
      <c r="K219" s="78"/>
      <c r="L219" s="78"/>
      <c r="M219" s="78"/>
      <c r="N219" s="78"/>
      <c r="O219" s="78"/>
      <c r="P219" s="78"/>
      <c r="Q219" s="78"/>
    </row>
    <row r="220" spans="1:17" s="87" customFormat="1" ht="51">
      <c r="A220" s="188"/>
      <c r="B220" s="80">
        <v>3806419</v>
      </c>
      <c r="C220" s="81" t="s">
        <v>8433</v>
      </c>
      <c r="D220" s="82" t="s">
        <v>201</v>
      </c>
      <c r="E220" s="82" t="s">
        <v>90</v>
      </c>
      <c r="F220" s="83"/>
      <c r="G220" s="84"/>
      <c r="H220" s="85">
        <f>SUM(H221:H222)</f>
        <v>84.936874999999986</v>
      </c>
      <c r="J220" s="201" t="s">
        <v>13163</v>
      </c>
      <c r="K220" s="78"/>
      <c r="L220" s="78"/>
      <c r="M220" s="78"/>
      <c r="N220" s="78"/>
      <c r="O220" s="78"/>
      <c r="P220" s="78"/>
      <c r="Q220" s="78"/>
    </row>
    <row r="221" spans="1:17" s="87" customFormat="1" ht="38.25">
      <c r="A221" s="232" t="s">
        <v>4542</v>
      </c>
      <c r="B221" s="464" t="s">
        <v>8801</v>
      </c>
      <c r="C221" s="451" t="str">
        <f>IF(A221="SERVIÇO",VLOOKUP(B221,SERVIÇOS!$A$6:$D$7645,2,0),IF(A221="INSUMO",VLOOKUP(B221,INSUMOS!$A$6:$D$6961,2,0),IF(A221="COTAÇÃO",VLOOKUP(B221,'036-20-Cotação'!$A$9:$G$529,2,0))))</f>
        <v>CONJUNTO BOMBA E MACACO HIDRÁULICO PARA ELEVAÇÃO COM CAPACIDADE DE 1.960 KN</v>
      </c>
      <c r="D221" s="452" t="str">
        <f>IF(A221="SERVIÇO",VLOOKUP(B221,SERVIÇOS!$A$6:$E$7645,5,0),IF(A221="INSUMO",VLOOKUP(B221,INSUMOS!$A$6:$E$6961,5,0),IF(A221="COTAÇÃO",VLOOKUP(B221,'036-20-Cotação'!$A$9:$H$529,8,0))))</f>
        <v>EQUIP.</v>
      </c>
      <c r="E221" s="452" t="str">
        <f>IF(A221="SERVIÇO",VLOOKUP(B221,SERVIÇOS!$A$6:$D$7645,3,0),IF(A221="INSUMO",VLOOKUP(B221,INSUMOS!$A$6:$D$6961,3,0),IF(A221="COTAÇÃO",VLOOKUP(B221,'036-20-Cotação'!$A$9:$G$529,4,0))))</f>
        <v>CHP</v>
      </c>
      <c r="F221" s="462">
        <f>1/1.12</f>
        <v>0.89285714285714279</v>
      </c>
      <c r="G221" s="453">
        <f>IF(A221="SERVIÇO",VLOOKUP(B221,SERVIÇOS!$A$6:$D$7645,4,0),IF(A221="INSUMO",VLOOKUP(B221,INSUMOS!$A$6:$D$6961,4,0),IF(A221="COTAÇÃO",VLOOKUP(B221,'036-20-Cotação'!$A$9:$G$529,3,0))))</f>
        <v>52.5197</v>
      </c>
      <c r="H221" s="463">
        <f t="shared" ref="H221:H222" si="38">G221*F221</f>
        <v>46.89258928571428</v>
      </c>
      <c r="J221" s="201"/>
    </row>
    <row r="222" spans="1:17" s="87" customFormat="1" ht="12.75">
      <c r="A222" s="232" t="s">
        <v>4542</v>
      </c>
      <c r="B222" s="464" t="s">
        <v>8579</v>
      </c>
      <c r="C222" s="451" t="str">
        <f>IF(A222="SERVIÇO",VLOOKUP(B222,SERVIÇOS!$A$6:$D$7645,2,0),IF(A222="INSUMO",VLOOKUP(B222,INSUMOS!$A$6:$D$6961,2,0),IF(A222="COTAÇÃO",VLOOKUP(B222,'036-20-Cotação'!$A$9:$G$529,2,0))))</f>
        <v>AJUDANTE ESPECIALIZADO</v>
      </c>
      <c r="D222" s="452" t="str">
        <f>IF(A222="SERVIÇO",VLOOKUP(B222,SERVIÇOS!$A$6:$E$7645,5,0),IF(A222="INSUMO",VLOOKUP(B222,INSUMOS!$A$6:$E$6961,5,0),IF(A222="COTAÇÃO",VLOOKUP(B222,'036-20-Cotação'!$A$9:$H$529,8,0))))</f>
        <v>M.O</v>
      </c>
      <c r="E222" s="452" t="str">
        <f>IF(A222="SERVIÇO",VLOOKUP(B222,SERVIÇOS!$A$6:$D$7645,3,0),IF(A222="INSUMO",VLOOKUP(B222,INSUMOS!$A$6:$D$6961,3,0),IF(A222="COTAÇÃO",VLOOKUP(B222,'036-20-Cotação'!$A$9:$G$529,4,0))))</f>
        <v>H</v>
      </c>
      <c r="F222" s="462">
        <f>2/1.12</f>
        <v>1.7857142857142856</v>
      </c>
      <c r="G222" s="453">
        <f>IF(A222="SERVIÇO",VLOOKUP(B222,SERVIÇOS!$A$6:$D$7645,4,0),IF(A222="INSUMO",VLOOKUP(B222,INSUMOS!$A$6:$D$6961,4,0),IF(A222="COTAÇÃO",VLOOKUP(B222,'036-20-Cotação'!$A$9:$G$529,3,0))))</f>
        <v>21.3048</v>
      </c>
      <c r="H222" s="463">
        <f t="shared" si="38"/>
        <v>38.044285714285714</v>
      </c>
      <c r="J222" s="201"/>
    </row>
    <row r="223" spans="1:17" s="87" customFormat="1" ht="12.75">
      <c r="A223" s="188"/>
      <c r="B223" s="348" t="s">
        <v>123</v>
      </c>
      <c r="C223" s="695" t="s">
        <v>13162</v>
      </c>
      <c r="D223" s="696"/>
      <c r="E223" s="696"/>
      <c r="F223" s="696"/>
      <c r="G223" s="696"/>
      <c r="H223" s="697"/>
      <c r="J223" s="201"/>
      <c r="K223" s="78"/>
      <c r="L223" s="78"/>
      <c r="M223" s="78"/>
      <c r="N223" s="78"/>
      <c r="O223" s="78"/>
      <c r="P223" s="78"/>
      <c r="Q223" s="78"/>
    </row>
    <row r="224" spans="1:17" s="87" customFormat="1" ht="12.75">
      <c r="A224" s="188"/>
      <c r="B224" s="346"/>
      <c r="C224" s="478"/>
      <c r="D224" s="478"/>
      <c r="E224" s="478"/>
      <c r="F224" s="478"/>
      <c r="G224" s="478"/>
      <c r="H224" s="479"/>
      <c r="J224" s="201"/>
      <c r="K224" s="78"/>
      <c r="L224" s="78"/>
      <c r="M224" s="78"/>
      <c r="N224" s="78"/>
      <c r="O224" s="78"/>
      <c r="P224" s="78"/>
      <c r="Q224" s="78"/>
    </row>
    <row r="225" spans="1:17" s="87" customFormat="1" ht="38.25">
      <c r="A225" s="188"/>
      <c r="B225" s="80">
        <v>2408149</v>
      </c>
      <c r="C225" s="81" t="s">
        <v>7739</v>
      </c>
      <c r="D225" s="82" t="s">
        <v>201</v>
      </c>
      <c r="E225" s="82" t="s">
        <v>89</v>
      </c>
      <c r="F225" s="83"/>
      <c r="G225" s="84"/>
      <c r="H225" s="85">
        <f>SUM(H226:H232)</f>
        <v>10.669757977994838</v>
      </c>
      <c r="J225" s="201" t="s">
        <v>8443</v>
      </c>
      <c r="K225" s="78"/>
      <c r="L225" s="78"/>
      <c r="M225" s="78"/>
      <c r="N225" s="78"/>
      <c r="O225" s="78"/>
      <c r="P225" s="78"/>
      <c r="Q225" s="78"/>
    </row>
    <row r="226" spans="1:17" s="87" customFormat="1" ht="25.5">
      <c r="A226" s="232" t="s">
        <v>4542</v>
      </c>
      <c r="B226" s="464" t="s">
        <v>9562</v>
      </c>
      <c r="C226" s="451" t="str">
        <f>IF(A226="SERVIÇO",VLOOKUP(B226,SERVIÇOS!$A$6:$D$7645,2,0),IF(A226="INSUMO",VLOOKUP(B226,INSUMOS!$A$6:$D$6961,2,0),IF(A226="COTAÇÃO",VLOOKUP(B226,'036-20-Cotação'!$A$9:$G$529,2,0))))</f>
        <v>CAMINHÃO CARROCERIA COM GUINDAUTO COM CAPACIDADE DE 20 T.M - 136 KW</v>
      </c>
      <c r="D226" s="452" t="str">
        <f>IF(A226="SERVIÇO",VLOOKUP(B226,SERVIÇOS!$A$6:$E$7645,5,0),IF(A226="INSUMO",VLOOKUP(B226,INSUMOS!$A$6:$E$6961,5,0),IF(A226="COTAÇÃO",VLOOKUP(B226,'036-20-Cotação'!$A$9:$H$529,8,0))))</f>
        <v>EQUIP.</v>
      </c>
      <c r="E226" s="452" t="str">
        <f>IF(A226="SERVIÇO",VLOOKUP(B226,SERVIÇOS!$A$6:$D$7645,3,0),IF(A226="INSUMO",VLOOKUP(B226,INSUMOS!$A$6:$D$6961,3,0),IF(A226="COTAÇÃO",VLOOKUP(B226,'036-20-Cotação'!$A$9:$G$529,4,0))))</f>
        <v>CHP</v>
      </c>
      <c r="F226" s="462">
        <f>0.0753/15</f>
        <v>5.0200000000000002E-3</v>
      </c>
      <c r="G226" s="453">
        <f>IF(A226="SERVIÇO",VLOOKUP(B226,SERVIÇOS!$A$6:$D$7645,4,0),IF(A226="INSUMO",VLOOKUP(B226,INSUMOS!$A$6:$D$6961,4,0),IF(A226="COTAÇÃO",VLOOKUP(B226,'036-20-Cotação'!$A$9:$G$529,3,0))))</f>
        <v>184.84899999999999</v>
      </c>
      <c r="H226" s="463">
        <f t="shared" ref="H226:H232" si="39">G226*F226</f>
        <v>0.92794197999999994</v>
      </c>
      <c r="J226" s="201"/>
    </row>
    <row r="227" spans="1:17" s="87" customFormat="1" ht="12.75">
      <c r="A227" s="232" t="s">
        <v>4542</v>
      </c>
      <c r="B227" s="464" t="s">
        <v>6825</v>
      </c>
      <c r="C227" s="451" t="str">
        <f>IF(A227="SERVIÇO",VLOOKUP(B227,SERVIÇOS!$A$6:$D$7645,2,0),IF(A227="INSUMO",VLOOKUP(B227,INSUMOS!$A$6:$D$6961,2,0),IF(A227="COTAÇÃO",VLOOKUP(B227,'036-20-Cotação'!$A$9:$G$529,2,0))))</f>
        <v>AJUDANTE</v>
      </c>
      <c r="D227" s="452" t="str">
        <f>IF(A227="SERVIÇO",VLOOKUP(B227,SERVIÇOS!$A$6:$E$7645,5,0),IF(A227="INSUMO",VLOOKUP(B227,INSUMOS!$A$6:$E$6961,5,0),IF(A227="COTAÇÃO",VLOOKUP(B227,'036-20-Cotação'!$A$9:$H$529,8,0))))</f>
        <v>M.O</v>
      </c>
      <c r="E227" s="452" t="str">
        <f>IF(A227="SERVIÇO",VLOOKUP(B227,SERVIÇOS!$A$6:$D$7645,3,0),IF(A227="INSUMO",VLOOKUP(B227,INSUMOS!$A$6:$D$6961,3,0),IF(A227="COTAÇÃO",VLOOKUP(B227,'036-20-Cotação'!$A$9:$G$529,4,0))))</f>
        <v>H</v>
      </c>
      <c r="F227" s="462">
        <f>1/15</f>
        <v>6.6666666666666666E-2</v>
      </c>
      <c r="G227" s="453">
        <f>IF(A227="SERVIÇO",VLOOKUP(B227,SERVIÇOS!$A$6:$D$7645,4,0),IF(A227="INSUMO",VLOOKUP(B227,INSUMOS!$A$6:$D$6961,4,0),IF(A227="COTAÇÃO",VLOOKUP(B227,'036-20-Cotação'!$A$9:$G$529,3,0))))</f>
        <v>17.9801</v>
      </c>
      <c r="H227" s="463">
        <f t="shared" si="39"/>
        <v>1.1986733333333333</v>
      </c>
      <c r="J227" s="201"/>
    </row>
    <row r="228" spans="1:17" s="87" customFormat="1" ht="12.75">
      <c r="A228" s="232" t="s">
        <v>4542</v>
      </c>
      <c r="B228" s="464" t="s">
        <v>6601</v>
      </c>
      <c r="C228" s="451" t="str">
        <f>IF(A228="SERVIÇO",VLOOKUP(B228,SERVIÇOS!$A$6:$D$7645,2,0),IF(A228="INSUMO",VLOOKUP(B228,INSUMOS!$A$6:$D$6961,2,0),IF(A228="COTAÇÃO",VLOOKUP(B228,'036-20-Cotação'!$A$9:$G$529,2,0))))</f>
        <v>MONTADOR</v>
      </c>
      <c r="D228" s="452" t="str">
        <f>IF(A228="SERVIÇO",VLOOKUP(B228,SERVIÇOS!$A$6:$E$7645,5,0),IF(A228="INSUMO",VLOOKUP(B228,INSUMOS!$A$6:$E$6961,5,0),IF(A228="COTAÇÃO",VLOOKUP(B228,'036-20-Cotação'!$A$9:$H$529,8,0))))</f>
        <v>M.O</v>
      </c>
      <c r="E228" s="452" t="str">
        <f>IF(A228="SERVIÇO",VLOOKUP(B228,SERVIÇOS!$A$6:$D$7645,3,0),IF(A228="INSUMO",VLOOKUP(B228,INSUMOS!$A$6:$D$6961,3,0),IF(A228="COTAÇÃO",VLOOKUP(B228,'036-20-Cotação'!$A$9:$G$529,4,0))))</f>
        <v>H</v>
      </c>
      <c r="F228" s="462">
        <f>1/15</f>
        <v>6.6666666666666666E-2</v>
      </c>
      <c r="G228" s="453">
        <f>IF(A228="SERVIÇO",VLOOKUP(B228,SERVIÇOS!$A$6:$D$7645,4,0),IF(A228="INSUMO",VLOOKUP(B228,INSUMOS!$A$6:$D$6961,4,0),IF(A228="COTAÇÃO",VLOOKUP(B228,'036-20-Cotação'!$A$9:$G$529,3,0))))</f>
        <v>23.4679</v>
      </c>
      <c r="H228" s="463">
        <f t="shared" si="39"/>
        <v>1.5645266666666666</v>
      </c>
      <c r="J228" s="201"/>
    </row>
    <row r="229" spans="1:17" s="87" customFormat="1" ht="25.9" customHeight="1">
      <c r="A229" s="232" t="s">
        <v>4544</v>
      </c>
      <c r="B229" s="464" t="s">
        <v>6317</v>
      </c>
      <c r="C229" s="451" t="str">
        <f>IF(A229="SERVIÇO",VLOOKUP(B229,SERVIÇOS!$A$6:$D$7645,2,0),IF(A229="INSUMO",VLOOKUP(B229,INSUMOS!$A$6:$D$6961,2,0),IF(A229="COTAÇÃO",VLOOKUP(B229,'036-20-Cotação'!$A$9:$G$529,2,0))))</f>
        <v>AÇO EM PERFIS ASTM A36</v>
      </c>
      <c r="D229" s="452" t="str">
        <f>IF(A229="SERVIÇO",VLOOKUP(B229,SERVIÇOS!$A$6:$E$7645,5,0),IF(A229="INSUMO",VLOOKUP(B229,INSUMOS!$A$6:$E$6961,5,0),IF(A229="COTAÇÃO",VLOOKUP(B229,'036-20-Cotação'!$A$9:$H$529,8,0))))</f>
        <v>MAT.</v>
      </c>
      <c r="E229" s="452" t="str">
        <f>IF(A229="SERVIÇO",VLOOKUP(B229,SERVIÇOS!$A$6:$D$7645,3,0),IF(A229="INSUMO",VLOOKUP(B229,INSUMOS!$A$6:$D$6961,3,0),IF(A229="COTAÇÃO",VLOOKUP(B229,'036-20-Cotação'!$A$9:$G$529,4,0))))</f>
        <v>KG</v>
      </c>
      <c r="F229" s="462">
        <v>1.03</v>
      </c>
      <c r="G229" s="453">
        <f>IF(A229="SERVIÇO",VLOOKUP(B229,SERVIÇOS!$A$6:$D$7645,4,0),IF(A229="INSUMO",VLOOKUP(B229,INSUMOS!$A$6:$D$6961,4,0),IF(A229="COTAÇÃO",VLOOKUP(B229,'036-20-Cotação'!$A$9:$G$529,3,0))))</f>
        <v>5.1818</v>
      </c>
      <c r="H229" s="463">
        <f t="shared" si="39"/>
        <v>5.3372539999999997</v>
      </c>
      <c r="J229" s="201"/>
    </row>
    <row r="230" spans="1:17" s="87" customFormat="1" ht="25.9" customHeight="1">
      <c r="A230" s="232" t="s">
        <v>4542</v>
      </c>
      <c r="B230" s="464">
        <v>1408173</v>
      </c>
      <c r="C230" s="451" t="str">
        <f>$C$213</f>
        <v>CORTE COM MAÇARICO OXIACETILENO DE PERFIS METÁLICOS</v>
      </c>
      <c r="D230" s="452" t="str">
        <f>$D$213</f>
        <v>SER.CG</v>
      </c>
      <c r="E230" s="452" t="str">
        <f>$E$213</f>
        <v>CM2</v>
      </c>
      <c r="F230" s="462">
        <v>1</v>
      </c>
      <c r="G230" s="453">
        <f>$H$213</f>
        <v>0.55535668562067619</v>
      </c>
      <c r="H230" s="463">
        <f t="shared" si="39"/>
        <v>0.55535668562067619</v>
      </c>
      <c r="J230" s="201"/>
    </row>
    <row r="231" spans="1:17" s="87" customFormat="1" ht="25.9" customHeight="1">
      <c r="A231" s="232" t="s">
        <v>4542</v>
      </c>
      <c r="B231" s="464">
        <v>2408058</v>
      </c>
      <c r="C231" s="451" t="str">
        <f>$C$142</f>
        <v>SOLDA ELÉTRICA DE PERFIS METÁLICOS E CHAPAS DE AÇO COM ELETRODO E70XX</v>
      </c>
      <c r="D231" s="452" t="str">
        <f>$D$142</f>
        <v>SER.CG</v>
      </c>
      <c r="E231" s="452" t="str">
        <f>$E$142</f>
        <v>KG</v>
      </c>
      <c r="F231" s="462">
        <v>1.4999999999999999E-2</v>
      </c>
      <c r="G231" s="453">
        <f>$H$142</f>
        <v>70.963465562080543</v>
      </c>
      <c r="H231" s="463">
        <f t="shared" si="39"/>
        <v>1.0644519834312081</v>
      </c>
      <c r="J231" s="201"/>
    </row>
    <row r="232" spans="1:17" s="87" customFormat="1" ht="25.5">
      <c r="A232" s="232" t="s">
        <v>4542</v>
      </c>
      <c r="B232" s="464" t="str">
        <f>$B$281</f>
        <v>5914655-TF</v>
      </c>
      <c r="C232" s="451" t="str">
        <f>$C$281</f>
        <v>TEMPO FIXO - CAMINHÃO CARROCERIA 15 T - CARGA E DESCARGA MANUAIS</v>
      </c>
      <c r="D232" s="452" t="str">
        <f>$D$281</f>
        <v>SER.CG</v>
      </c>
      <c r="E232" s="452" t="str">
        <f>$E$281</f>
        <v>T</v>
      </c>
      <c r="F232" s="462">
        <v>1.0300000000000001E-3</v>
      </c>
      <c r="G232" s="453">
        <f>$H$281</f>
        <v>20.925562080536913</v>
      </c>
      <c r="H232" s="463">
        <f t="shared" si="39"/>
        <v>2.1553328942953021E-2</v>
      </c>
      <c r="J232" s="201"/>
    </row>
    <row r="233" spans="1:17" s="87" customFormat="1" ht="12.75">
      <c r="A233" s="188"/>
      <c r="B233" s="348" t="s">
        <v>123</v>
      </c>
      <c r="C233" s="695" t="s">
        <v>7904</v>
      </c>
      <c r="D233" s="696"/>
      <c r="E233" s="696"/>
      <c r="F233" s="696"/>
      <c r="G233" s="696"/>
      <c r="H233" s="697"/>
      <c r="J233" s="201"/>
      <c r="K233" s="78"/>
      <c r="L233" s="78"/>
      <c r="M233" s="78"/>
      <c r="N233" s="78"/>
      <c r="O233" s="78"/>
      <c r="P233" s="78"/>
      <c r="Q233" s="78"/>
    </row>
    <row r="234" spans="1:17" s="87" customFormat="1" ht="12.75">
      <c r="A234" s="188"/>
      <c r="B234" s="346"/>
      <c r="C234" s="524"/>
      <c r="D234" s="524"/>
      <c r="E234" s="524"/>
      <c r="F234" s="524"/>
      <c r="G234" s="524"/>
      <c r="H234" s="525"/>
      <c r="J234" s="201"/>
      <c r="K234" s="78"/>
      <c r="L234" s="78"/>
      <c r="M234" s="78"/>
      <c r="N234" s="78"/>
      <c r="O234" s="78"/>
      <c r="P234" s="78"/>
      <c r="Q234" s="78"/>
    </row>
    <row r="235" spans="1:17" s="87" customFormat="1" ht="25.5">
      <c r="A235" s="188"/>
      <c r="B235" s="80">
        <v>1109680</v>
      </c>
      <c r="C235" s="81" t="s">
        <v>13456</v>
      </c>
      <c r="D235" s="82" t="s">
        <v>201</v>
      </c>
      <c r="E235" s="82" t="s">
        <v>172</v>
      </c>
      <c r="F235" s="83"/>
      <c r="G235" s="84"/>
      <c r="H235" s="85">
        <f>SUM(H236:H244)</f>
        <v>3190.7960579904161</v>
      </c>
      <c r="J235" s="201" t="s">
        <v>13457</v>
      </c>
      <c r="K235" s="78"/>
      <c r="L235" s="78"/>
      <c r="M235" s="78"/>
      <c r="N235" s="78"/>
      <c r="O235" s="78"/>
      <c r="P235" s="78"/>
      <c r="Q235" s="78"/>
    </row>
    <row r="236" spans="1:17" s="87" customFormat="1" ht="25.5">
      <c r="A236" s="232" t="s">
        <v>4542</v>
      </c>
      <c r="B236" s="464" t="s">
        <v>9352</v>
      </c>
      <c r="C236" s="451" t="str">
        <f>IF(A236="SERVIÇO",VLOOKUP(B236,SERVIÇOS!$A$6:$D$7645,2,0),IF(A236="INSUMO",VLOOKUP(B236,INSUMOS!$A$6:$D$6961,2,0),IF(A236="COTAÇÃO",VLOOKUP(B236,'036-20-Cotação'!$A$9:$G$529,2,0))))</f>
        <v>MISTURADOR DE ARGAMASSA COM CAPACIDADE DE 250 L - 3,7 KW</v>
      </c>
      <c r="D236" s="452" t="str">
        <f>IF(A236="SERVIÇO",VLOOKUP(B236,SERVIÇOS!$A$6:$E$7645,5,0),IF(A236="INSUMO",VLOOKUP(B236,INSUMOS!$A$6:$E$6961,5,0),IF(A236="COTAÇÃO",VLOOKUP(B236,'036-20-Cotação'!$A$9:$H$529,8,0))))</f>
        <v>EQUIP.</v>
      </c>
      <c r="E236" s="452" t="str">
        <f>IF(A236="SERVIÇO",VLOOKUP(B236,SERVIÇOS!$A$6:$D$7645,3,0),IF(A236="INSUMO",VLOOKUP(B236,INSUMOS!$A$6:$D$6961,3,0),IF(A236="COTAÇÃO",VLOOKUP(B236,'036-20-Cotação'!$A$9:$G$529,4,0))))</f>
        <v>CHP</v>
      </c>
      <c r="F236" s="462">
        <f>1/1.18</f>
        <v>0.84745762711864414</v>
      </c>
      <c r="G236" s="453">
        <f>IF(A236="SERVIÇO",VLOOKUP(B236,SERVIÇOS!$A$6:$D$7645,4,0),IF(A236="INSUMO",VLOOKUP(B236,INSUMOS!$A$6:$D$6961,4,0),IF(A236="COTAÇÃO",VLOOKUP(B236,'036-20-Cotação'!$A$9:$G$529,3,0))))</f>
        <v>23.031700000000001</v>
      </c>
      <c r="H236" s="463">
        <f t="shared" ref="H236:H244" si="40">G236*F236</f>
        <v>19.518389830508475</v>
      </c>
      <c r="J236" s="201"/>
    </row>
    <row r="237" spans="1:17" s="87" customFormat="1" ht="25.5">
      <c r="A237" s="232" t="s">
        <v>4542</v>
      </c>
      <c r="B237" s="464" t="s">
        <v>8841</v>
      </c>
      <c r="C237" s="451" t="str">
        <f>IF(A237="SERVIÇO",VLOOKUP(B237,SERVIÇOS!$A$6:$D$7645,2,0),IF(A237="INSUMO",VLOOKUP(B237,INSUMOS!$A$6:$D$6961,2,0),IF(A237="COTAÇÃO",VLOOKUP(B237,'036-20-Cotação'!$A$9:$G$529,2,0))))</f>
        <v>TRANSPORTADOR MANUAL CARRINHO DE MÃO COM CAPACIDADE DE 80 L</v>
      </c>
      <c r="D237" s="452" t="str">
        <f>IF(A237="SERVIÇO",VLOOKUP(B237,SERVIÇOS!$A$6:$E$7645,5,0),IF(A237="INSUMO",VLOOKUP(B237,INSUMOS!$A$6:$E$6961,5,0),IF(A237="COTAÇÃO",VLOOKUP(B237,'036-20-Cotação'!$A$9:$H$529,8,0))))</f>
        <v>EQUIP.</v>
      </c>
      <c r="E237" s="452" t="str">
        <f>IF(A237="SERVIÇO",VLOOKUP(B237,SERVIÇOS!$A$6:$D$7645,3,0),IF(A237="INSUMO",VLOOKUP(B237,INSUMOS!$A$6:$D$6961,3,0),IF(A237="COTAÇÃO",VLOOKUP(B237,'036-20-Cotação'!$A$9:$G$529,4,0))))</f>
        <v>CHP</v>
      </c>
      <c r="F237" s="462">
        <f>0.55/1.18*2</f>
        <v>0.93220338983050854</v>
      </c>
      <c r="G237" s="453">
        <f>IF(A237="SERVIÇO",VLOOKUP(B237,SERVIÇOS!$A$6:$D$7645,4,0),IF(A237="INSUMO",VLOOKUP(B237,INSUMOS!$A$6:$D$6961,4,0),IF(A237="COTAÇÃO",VLOOKUP(B237,'036-20-Cotação'!$A$9:$G$529,3,0))))</f>
        <v>0.3054</v>
      </c>
      <c r="H237" s="463">
        <f t="shared" ref="H237" si="41">G237*F237</f>
        <v>0.28469491525423729</v>
      </c>
      <c r="J237" s="201"/>
    </row>
    <row r="238" spans="1:17" s="87" customFormat="1" ht="25.5">
      <c r="A238" s="232" t="s">
        <v>4542</v>
      </c>
      <c r="B238" s="464" t="s">
        <v>9665</v>
      </c>
      <c r="C238" s="451" t="str">
        <f>IF(A238="SERVIÇO",VLOOKUP(B238,SERVIÇOS!$A$6:$D$7645,2,0),IF(A238="INSUMO",VLOOKUP(B238,INSUMOS!$A$6:$D$6961,2,0),IF(A238="COTAÇÃO",VLOOKUP(B238,'036-20-Cotação'!$A$9:$G$529,2,0))))</f>
        <v>TRANSPORTADOR MANUAL CARRINHO DE MÃO COM CAPACIDADE DE 80 L</v>
      </c>
      <c r="D238" s="452" t="str">
        <f>IF(A238="SERVIÇO",VLOOKUP(B238,SERVIÇOS!$A$6:$E$7645,5,0),IF(A238="INSUMO",VLOOKUP(B238,INSUMOS!$A$6:$E$6961,5,0),IF(A238="COTAÇÃO",VLOOKUP(B238,'036-20-Cotação'!$A$9:$H$529,8,0))))</f>
        <v>EQUIP.</v>
      </c>
      <c r="E238" s="452" t="str">
        <f>IF(A238="SERVIÇO",VLOOKUP(B238,SERVIÇOS!$A$6:$D$7645,3,0),IF(A238="INSUMO",VLOOKUP(B238,INSUMOS!$A$6:$D$6961,3,0),IF(A238="COTAÇÃO",VLOOKUP(B238,'036-20-Cotação'!$A$9:$G$529,4,0))))</f>
        <v>CHI</v>
      </c>
      <c r="F238" s="462">
        <f>0.45/1.18*2</f>
        <v>0.76271186440677974</v>
      </c>
      <c r="G238" s="453">
        <f>IF(A238="SERVIÇO",VLOOKUP(B238,SERVIÇOS!$A$6:$D$7645,4,0),IF(A238="INSUMO",VLOOKUP(B238,INSUMOS!$A$6:$D$6961,4,0),IF(A238="COTAÇÃO",VLOOKUP(B238,'036-20-Cotação'!$A$9:$G$529,3,0))))</f>
        <v>0.20469999999999999</v>
      </c>
      <c r="H238" s="463">
        <f t="shared" ref="H238:H239" si="42">G238*F238</f>
        <v>0.15612711864406781</v>
      </c>
      <c r="J238" s="201"/>
    </row>
    <row r="239" spans="1:17" s="87" customFormat="1" ht="25.5">
      <c r="A239" s="232" t="s">
        <v>4542</v>
      </c>
      <c r="B239" s="464" t="s">
        <v>8829</v>
      </c>
      <c r="C239" s="451" t="str">
        <f>IF(A239="SERVIÇO",VLOOKUP(B239,SERVIÇOS!$A$6:$D$7645,2,0),IF(A239="INSUMO",VLOOKUP(B239,INSUMOS!$A$6:$D$6961,2,0),IF(A239="COTAÇÃO",VLOOKUP(B239,'036-20-Cotação'!$A$9:$G$529,2,0))))</f>
        <v>TRANSPORTADOR MANUAL GERICA COM CAPACIDADE DE 180 L</v>
      </c>
      <c r="D239" s="452" t="str">
        <f>IF(A239="SERVIÇO",VLOOKUP(B239,SERVIÇOS!$A$6:$E$7645,5,0),IF(A239="INSUMO",VLOOKUP(B239,INSUMOS!$A$6:$E$6961,5,0),IF(A239="COTAÇÃO",VLOOKUP(B239,'036-20-Cotação'!$A$9:$H$529,8,0))))</f>
        <v>EQUIP.</v>
      </c>
      <c r="E239" s="452" t="str">
        <f>IF(A239="SERVIÇO",VLOOKUP(B239,SERVIÇOS!$A$6:$D$7645,3,0),IF(A239="INSUMO",VLOOKUP(B239,INSUMOS!$A$6:$D$6961,3,0),IF(A239="COTAÇÃO",VLOOKUP(B239,'036-20-Cotação'!$A$9:$G$529,4,0))))</f>
        <v>CHP</v>
      </c>
      <c r="F239" s="462">
        <f>0.19/1.18*2</f>
        <v>0.32203389830508478</v>
      </c>
      <c r="G239" s="453">
        <f>IF(A239="SERVIÇO",VLOOKUP(B239,SERVIÇOS!$A$6:$D$7645,4,0),IF(A239="INSUMO",VLOOKUP(B239,INSUMOS!$A$6:$D$6961,4,0),IF(A239="COTAÇÃO",VLOOKUP(B239,'036-20-Cotação'!$A$9:$G$529,3,0))))</f>
        <v>0.78420000000000001</v>
      </c>
      <c r="H239" s="463">
        <f t="shared" si="42"/>
        <v>0.25253898305084749</v>
      </c>
      <c r="J239" s="201"/>
    </row>
    <row r="240" spans="1:17" s="87" customFormat="1" ht="25.5">
      <c r="A240" s="232" t="s">
        <v>4542</v>
      </c>
      <c r="B240" s="464" t="s">
        <v>9658</v>
      </c>
      <c r="C240" s="451" t="str">
        <f>IF(A240="SERVIÇO",VLOOKUP(B240,SERVIÇOS!$A$6:$D$7645,2,0),IF(A240="INSUMO",VLOOKUP(B240,INSUMOS!$A$6:$D$6961,2,0),IF(A240="COTAÇÃO",VLOOKUP(B240,'036-20-Cotação'!$A$9:$G$529,2,0))))</f>
        <v>TRANSPORTADOR MANUAL GERICA COM CAPACIDADE DE 180 L</v>
      </c>
      <c r="D240" s="452" t="str">
        <f>IF(A240="SERVIÇO",VLOOKUP(B240,SERVIÇOS!$A$6:$E$7645,5,0),IF(A240="INSUMO",VLOOKUP(B240,INSUMOS!$A$6:$E$6961,5,0),IF(A240="COTAÇÃO",VLOOKUP(B240,'036-20-Cotação'!$A$9:$H$529,8,0))))</f>
        <v>EQUIP.</v>
      </c>
      <c r="E240" s="452" t="str">
        <f>IF(A240="SERVIÇO",VLOOKUP(B240,SERVIÇOS!$A$6:$D$7645,3,0),IF(A240="INSUMO",VLOOKUP(B240,INSUMOS!$A$6:$D$6961,3,0),IF(A240="COTAÇÃO",VLOOKUP(B240,'036-20-Cotação'!$A$9:$G$529,4,0))))</f>
        <v>CHI</v>
      </c>
      <c r="F240" s="462">
        <f>0.81/1.18*2</f>
        <v>1.3728813559322035</v>
      </c>
      <c r="G240" s="453">
        <f>IF(A240="SERVIÇO",VLOOKUP(B240,SERVIÇOS!$A$6:$D$7645,4,0),IF(A240="INSUMO",VLOOKUP(B240,INSUMOS!$A$6:$D$6961,4,0),IF(A240="COTAÇÃO",VLOOKUP(B240,'036-20-Cotação'!$A$9:$G$529,3,0))))</f>
        <v>0.52549999999999997</v>
      </c>
      <c r="H240" s="463">
        <f t="shared" ref="H240" si="43">G240*F240</f>
        <v>0.72144915254237285</v>
      </c>
      <c r="J240" s="201"/>
    </row>
    <row r="241" spans="1:17" s="87" customFormat="1" ht="12.75">
      <c r="A241" s="232" t="s">
        <v>4542</v>
      </c>
      <c r="B241" s="464" t="s">
        <v>6614</v>
      </c>
      <c r="C241" s="451" t="str">
        <f>IF(A241="SERVIÇO",VLOOKUP(B241,SERVIÇOS!$A$6:$D$7645,2,0),IF(A241="INSUMO",VLOOKUP(B241,INSUMOS!$A$6:$D$6961,2,0),IF(A241="COTAÇÃO",VLOOKUP(B241,'036-20-Cotação'!$A$9:$G$529,2,0))))</f>
        <v>PEDREIRO</v>
      </c>
      <c r="D241" s="452" t="str">
        <f>IF(A241="SERVIÇO",VLOOKUP(B241,SERVIÇOS!$A$6:$E$7645,5,0),IF(A241="INSUMO",VLOOKUP(B241,INSUMOS!$A$6:$E$6961,5,0),IF(A241="COTAÇÃO",VLOOKUP(B241,'036-20-Cotação'!$A$9:$H$529,8,0))))</f>
        <v>M.O</v>
      </c>
      <c r="E241" s="452" t="str">
        <f>IF(A241="SERVIÇO",VLOOKUP(B241,SERVIÇOS!$A$6:$D$7645,3,0),IF(A241="INSUMO",VLOOKUP(B241,INSUMOS!$A$6:$D$6961,3,0),IF(A241="COTAÇÃO",VLOOKUP(B241,'036-20-Cotação'!$A$9:$G$529,4,0))))</f>
        <v>H</v>
      </c>
      <c r="F241" s="462">
        <f>1/1.18</f>
        <v>0.84745762711864414</v>
      </c>
      <c r="G241" s="453">
        <f>IF(A241="SERVIÇO",VLOOKUP(B241,SERVIÇOS!$A$6:$D$7645,4,0),IF(A241="INSUMO",VLOOKUP(B241,INSUMOS!$A$6:$D$6961,4,0),IF(A241="COTAÇÃO",VLOOKUP(B241,'036-20-Cotação'!$A$9:$G$529,3,0))))</f>
        <v>21.647600000000001</v>
      </c>
      <c r="H241" s="463">
        <f t="shared" si="40"/>
        <v>18.345423728813561</v>
      </c>
      <c r="J241" s="201"/>
    </row>
    <row r="242" spans="1:17" s="87" customFormat="1" ht="12.75">
      <c r="A242" s="232" t="s">
        <v>4542</v>
      </c>
      <c r="B242" s="464" t="s">
        <v>6602</v>
      </c>
      <c r="C242" s="451" t="str">
        <f>IF(A242="SERVIÇO",VLOOKUP(B242,SERVIÇOS!$A$6:$D$7645,2,0),IF(A242="INSUMO",VLOOKUP(B242,INSUMOS!$A$6:$D$6961,2,0),IF(A242="COTAÇÃO",VLOOKUP(B242,'036-20-Cotação'!$A$9:$G$529,2,0))))</f>
        <v>SERVENTE</v>
      </c>
      <c r="D242" s="452" t="str">
        <f>IF(A242="SERVIÇO",VLOOKUP(B242,SERVIÇOS!$A$6:$E$7645,5,0),IF(A242="INSUMO",VLOOKUP(B242,INSUMOS!$A$6:$E$6961,5,0),IF(A242="COTAÇÃO",VLOOKUP(B242,'036-20-Cotação'!$A$9:$H$529,8,0))))</f>
        <v>M.O</v>
      </c>
      <c r="E242" s="452" t="str">
        <f>IF(A242="SERVIÇO",VLOOKUP(B242,SERVIÇOS!$A$6:$D$7645,3,0),IF(A242="INSUMO",VLOOKUP(B242,INSUMOS!$A$6:$D$6961,3,0),IF(A242="COTAÇÃO",VLOOKUP(B242,'036-20-Cotação'!$A$9:$G$529,4,0))))</f>
        <v>H</v>
      </c>
      <c r="F242" s="462">
        <f>8/1.18</f>
        <v>6.7796610169491531</v>
      </c>
      <c r="G242" s="453">
        <f>IF(A242="SERVIÇO",VLOOKUP(B242,SERVIÇOS!$A$6:$D$7645,4,0),IF(A242="INSUMO",VLOOKUP(B242,INSUMOS!$A$6:$D$6961,4,0),IF(A242="COTAÇÃO",VLOOKUP(B242,'036-20-Cotação'!$A$9:$G$529,3,0))))</f>
        <v>15.637499999999999</v>
      </c>
      <c r="H242" s="463">
        <f t="shared" si="40"/>
        <v>106.01694915254238</v>
      </c>
      <c r="J242" s="201"/>
    </row>
    <row r="243" spans="1:17" s="87" customFormat="1" ht="25.9" customHeight="1">
      <c r="A243" s="232" t="s">
        <v>4544</v>
      </c>
      <c r="B243" s="464" t="s">
        <v>7360</v>
      </c>
      <c r="C243" s="451" t="str">
        <f>IF(A243="SERVIÇO",VLOOKUP(B243,SERVIÇOS!$A$6:$D$7645,2,0),IF(A243="INSUMO",VLOOKUP(B243,INSUMOS!$A$6:$D$6961,2,0),IF(A243="COTAÇÃO",VLOOKUP(B243,'036-20-Cotação'!$A$9:$G$529,2,0))))</f>
        <v>ARGAMASSA TIPO SIKA GROUT 250 OU SIMILAR</v>
      </c>
      <c r="D243" s="452" t="str">
        <f>IF(A243="SERVIÇO",VLOOKUP(B243,SERVIÇOS!$A$6:$E$7645,5,0),IF(A243="INSUMO",VLOOKUP(B243,INSUMOS!$A$6:$E$6961,5,0),IF(A243="COTAÇÃO",VLOOKUP(B243,'036-20-Cotação'!$A$9:$H$529,8,0))))</f>
        <v>MAT.</v>
      </c>
      <c r="E243" s="452" t="str">
        <f>IF(A243="SERVIÇO",VLOOKUP(B243,SERVIÇOS!$A$6:$D$7645,3,0),IF(A243="INSUMO",VLOOKUP(B243,INSUMOS!$A$6:$D$6961,3,0),IF(A243="COTAÇÃO",VLOOKUP(B243,'036-20-Cotação'!$A$9:$G$529,4,0))))</f>
        <v>KG</v>
      </c>
      <c r="F243" s="549">
        <v>1975</v>
      </c>
      <c r="G243" s="453">
        <f>IF(A243="SERVIÇO",VLOOKUP(B243,SERVIÇOS!$A$6:$D$7645,4,0),IF(A243="INSUMO",VLOOKUP(B243,INSUMOS!$A$6:$D$6961,4,0),IF(A243="COTAÇÃO",VLOOKUP(B243,'036-20-Cotação'!$A$9:$G$529,3,0))))</f>
        <v>1.5210999999999999</v>
      </c>
      <c r="H243" s="463">
        <f t="shared" si="40"/>
        <v>3004.1724999999997</v>
      </c>
      <c r="J243" s="201"/>
    </row>
    <row r="244" spans="1:17" s="87" customFormat="1" ht="25.5">
      <c r="A244" s="232" t="s">
        <v>4542</v>
      </c>
      <c r="B244" s="464" t="str">
        <f>$B$281</f>
        <v>5914655-TF</v>
      </c>
      <c r="C244" s="451" t="str">
        <f>$C$281</f>
        <v>TEMPO FIXO - CAMINHÃO CARROCERIA 15 T - CARGA E DESCARGA MANUAIS</v>
      </c>
      <c r="D244" s="452" t="str">
        <f>$D$281</f>
        <v>SER.CG</v>
      </c>
      <c r="E244" s="452" t="str">
        <f>$E$281</f>
        <v>T</v>
      </c>
      <c r="F244" s="462">
        <v>1.9750000000000001</v>
      </c>
      <c r="G244" s="453">
        <f>$H$281</f>
        <v>20.925562080536913</v>
      </c>
      <c r="H244" s="463">
        <f t="shared" si="40"/>
        <v>41.327985109060407</v>
      </c>
      <c r="J244" s="201"/>
    </row>
    <row r="245" spans="1:17" s="87" customFormat="1" ht="12.75">
      <c r="A245" s="188"/>
      <c r="B245" s="348" t="s">
        <v>123</v>
      </c>
      <c r="C245" s="695" t="s">
        <v>13458</v>
      </c>
      <c r="D245" s="696"/>
      <c r="E245" s="696"/>
      <c r="F245" s="696"/>
      <c r="G245" s="696"/>
      <c r="H245" s="697"/>
      <c r="J245" s="201"/>
      <c r="K245" s="78"/>
      <c r="L245" s="78"/>
      <c r="M245" s="78"/>
      <c r="N245" s="78"/>
      <c r="O245" s="78"/>
      <c r="P245" s="78"/>
      <c r="Q245" s="78"/>
    </row>
    <row r="246" spans="1:17" s="87" customFormat="1" ht="12.75">
      <c r="A246" s="188"/>
      <c r="B246" s="346"/>
      <c r="C246" s="524"/>
      <c r="D246" s="524"/>
      <c r="E246" s="524"/>
      <c r="F246" s="524"/>
      <c r="G246" s="524"/>
      <c r="H246" s="525"/>
      <c r="J246" s="201"/>
      <c r="K246" s="78"/>
      <c r="L246" s="78"/>
      <c r="M246" s="78"/>
      <c r="N246" s="78"/>
      <c r="O246" s="78"/>
      <c r="P246" s="78"/>
      <c r="Q246" s="78"/>
    </row>
    <row r="247" spans="1:17" s="87" customFormat="1" ht="25.5">
      <c r="A247" s="188"/>
      <c r="B247" s="80">
        <v>3806402</v>
      </c>
      <c r="C247" s="81" t="s">
        <v>7747</v>
      </c>
      <c r="D247" s="82" t="s">
        <v>84</v>
      </c>
      <c r="E247" s="82" t="s">
        <v>150</v>
      </c>
      <c r="F247" s="83"/>
      <c r="G247" s="84"/>
      <c r="H247" s="85">
        <f>SUM(H248:H251)</f>
        <v>2.7163414430424733</v>
      </c>
      <c r="J247" s="201" t="s">
        <v>13142</v>
      </c>
      <c r="K247" s="78"/>
      <c r="L247" s="78"/>
      <c r="M247" s="78"/>
      <c r="N247" s="78"/>
      <c r="O247" s="78"/>
      <c r="P247" s="78"/>
      <c r="Q247" s="78"/>
    </row>
    <row r="248" spans="1:17" s="87" customFormat="1" ht="25.5">
      <c r="A248" s="232" t="s">
        <v>4542</v>
      </c>
      <c r="B248" s="464" t="s">
        <v>9479</v>
      </c>
      <c r="C248" s="451" t="str">
        <f>IF(A248="SERVIÇO",VLOOKUP(B248,SERVIÇOS!$A$6:$D$7645,2,0),IF(A248="INSUMO",VLOOKUP(B248,INSUMOS!$A$6:$D$6961,2,0),IF(A248="COTAÇÃO",VLOOKUP(B248,'036-20-Cotação'!$A$9:$G$529,2,0))))</f>
        <v>CAMINHÃO TANQUE COM CAPACIDADE DE 10.000 L - 188 KW</v>
      </c>
      <c r="D248" s="452" t="str">
        <f>IF(A248="SERVIÇO",VLOOKUP(B248,SERVIÇOS!$A$6:$E$7645,5,0),IF(A248="INSUMO",VLOOKUP(B248,INSUMOS!$A$6:$E$6961,5,0),IF(A248="COTAÇÃO",VLOOKUP(B248,'036-20-Cotação'!$A$9:$H$529,8,0))))</f>
        <v>EQUIP.</v>
      </c>
      <c r="E248" s="452" t="str">
        <f>IF(A248="SERVIÇO",VLOOKUP(B248,SERVIÇOS!$A$6:$D$7645,3,0),IF(A248="INSUMO",VLOOKUP(B248,INSUMOS!$A$6:$D$6961,3,0),IF(A248="COTAÇÃO",VLOOKUP(B248,'036-20-Cotação'!$A$9:$G$529,4,0))))</f>
        <v>CHP</v>
      </c>
      <c r="F248" s="462">
        <f>0.41/56.27</f>
        <v>7.2862982050826367E-3</v>
      </c>
      <c r="G248" s="453">
        <f>IF(A248="SERVIÇO",VLOOKUP(B248,SERVIÇOS!$A$6:$D$7645,4,0),IF(A248="INSUMO",VLOOKUP(B248,INSUMOS!$A$6:$D$6961,4,0),IF(A248="COTAÇÃO",VLOOKUP(B248,'036-20-Cotação'!$A$9:$G$529,3,0))))</f>
        <v>200.50309999999999</v>
      </c>
      <c r="H248" s="463">
        <f t="shared" ref="H248:H251" si="44">G248*F248</f>
        <v>1.4609253776435043</v>
      </c>
      <c r="J248" s="201"/>
    </row>
    <row r="249" spans="1:17" s="87" customFormat="1" ht="25.5">
      <c r="A249" s="232" t="s">
        <v>4542</v>
      </c>
      <c r="B249" s="464" t="s">
        <v>10001</v>
      </c>
      <c r="C249" s="451" t="str">
        <f>IF(A249="SERVIÇO",VLOOKUP(B249,SERVIÇOS!$A$6:$D$7645,2,0),IF(A249="INSUMO",VLOOKUP(B249,INSUMOS!$A$6:$D$6961,2,0),IF(A249="COTAÇÃO",VLOOKUP(B249,'036-20-Cotação'!$A$9:$G$529,2,0))))</f>
        <v>CAMINHÃO TANQUE COM CAPACIDADE DE 10.000 L - 188 KW</v>
      </c>
      <c r="D249" s="452" t="str">
        <f>IF(A249="SERVIÇO",VLOOKUP(B249,SERVIÇOS!$A$6:$E$7645,5,0),IF(A249="INSUMO",VLOOKUP(B249,INSUMOS!$A$6:$E$6961,5,0),IF(A249="COTAÇÃO",VLOOKUP(B249,'036-20-Cotação'!$A$9:$H$529,8,0))))</f>
        <v>EQUIP.</v>
      </c>
      <c r="E249" s="452" t="str">
        <f>IF(A249="SERVIÇO",VLOOKUP(B249,SERVIÇOS!$A$6:$D$7645,3,0),IF(A249="INSUMO",VLOOKUP(B249,INSUMOS!$A$6:$D$6961,3,0),IF(A249="COTAÇÃO",VLOOKUP(B249,'036-20-Cotação'!$A$9:$G$529,4,0))))</f>
        <v>CHI</v>
      </c>
      <c r="F249" s="462">
        <f>0.59/56.27</f>
        <v>1.0485160831704282E-2</v>
      </c>
      <c r="G249" s="453">
        <f>IF(A249="SERVIÇO",VLOOKUP(B249,SERVIÇOS!$A$6:$D$7645,4,0),IF(A249="INSUMO",VLOOKUP(B249,INSUMOS!$A$6:$D$6961,4,0),IF(A249="COTAÇÃO",VLOOKUP(B249,'036-20-Cotação'!$A$9:$G$529,3,0))))</f>
        <v>47.441800000000001</v>
      </c>
      <c r="H249" s="463">
        <f t="shared" si="44"/>
        <v>0.49743490314554822</v>
      </c>
      <c r="J249" s="201"/>
    </row>
    <row r="250" spans="1:17" s="87" customFormat="1" ht="12.75">
      <c r="A250" s="232" t="s">
        <v>4542</v>
      </c>
      <c r="B250" s="464" t="s">
        <v>8770</v>
      </c>
      <c r="C250" s="451" t="str">
        <f>IF(A250="SERVIÇO",VLOOKUP(B250,SERVIÇOS!$A$6:$D$7645,2,0),IF(A250="INSUMO",VLOOKUP(B250,INSUMOS!$A$6:$D$6961,2,0),IF(A250="COTAÇÃO",VLOOKUP(B250,'036-20-Cotação'!$A$9:$G$529,2,0))))</f>
        <v>LAVADORA PROFISSIONAL - 5,2 KW</v>
      </c>
      <c r="D250" s="452" t="str">
        <f>IF(A250="SERVIÇO",VLOOKUP(B250,SERVIÇOS!$A$6:$E$7645,5,0),IF(A250="INSUMO",VLOOKUP(B250,INSUMOS!$A$6:$E$6961,5,0),IF(A250="COTAÇÃO",VLOOKUP(B250,'036-20-Cotação'!$A$9:$H$529,8,0))))</f>
        <v>EQUIP.</v>
      </c>
      <c r="E250" s="452" t="str">
        <f>IF(A250="SERVIÇO",VLOOKUP(B250,SERVIÇOS!$A$6:$D$7645,3,0),IF(A250="INSUMO",VLOOKUP(B250,INSUMOS!$A$6:$D$6961,3,0),IF(A250="COTAÇÃO",VLOOKUP(B250,'036-20-Cotação'!$A$9:$G$529,4,0))))</f>
        <v>CHP</v>
      </c>
      <c r="F250" s="462">
        <f>1/56.27</f>
        <v>1.7771459036786921E-2</v>
      </c>
      <c r="G250" s="453">
        <f>IF(A250="SERVIÇO",VLOOKUP(B250,SERVIÇOS!$A$6:$D$7645,4,0),IF(A250="INSUMO",VLOOKUP(B250,INSUMOS!$A$6:$D$6961,4,0),IF(A250="COTAÇÃO",VLOOKUP(B250,'036-20-Cotação'!$A$9:$G$529,3,0))))</f>
        <v>27.014099999999999</v>
      </c>
      <c r="H250" s="463">
        <f t="shared" si="44"/>
        <v>0.48007997156566551</v>
      </c>
      <c r="J250" s="201"/>
    </row>
    <row r="251" spans="1:17" s="87" customFormat="1" ht="12.75">
      <c r="A251" s="232" t="s">
        <v>4542</v>
      </c>
      <c r="B251" s="464" t="s">
        <v>6602</v>
      </c>
      <c r="C251" s="451" t="str">
        <f>IF(A251="SERVIÇO",VLOOKUP(B251,SERVIÇOS!$A$6:$D$7645,2,0),IF(A251="INSUMO",VLOOKUP(B251,INSUMOS!$A$6:$D$6961,2,0),IF(A251="COTAÇÃO",VLOOKUP(B251,'036-20-Cotação'!$A$9:$G$529,2,0))))</f>
        <v>SERVENTE</v>
      </c>
      <c r="D251" s="452" t="str">
        <f>IF(A251="SERVIÇO",VLOOKUP(B251,SERVIÇOS!$A$6:$E$7645,5,0),IF(A251="INSUMO",VLOOKUP(B251,INSUMOS!$A$6:$E$6961,5,0),IF(A251="COTAÇÃO",VLOOKUP(B251,'036-20-Cotação'!$A$9:$H$529,8,0))))</f>
        <v>M.O</v>
      </c>
      <c r="E251" s="452" t="str">
        <f>IF(A251="SERVIÇO",VLOOKUP(B251,SERVIÇOS!$A$6:$D$7645,3,0),IF(A251="INSUMO",VLOOKUP(B251,INSUMOS!$A$6:$D$6961,3,0),IF(A251="COTAÇÃO",VLOOKUP(B251,'036-20-Cotação'!$A$9:$G$529,4,0))))</f>
        <v>H</v>
      </c>
      <c r="F251" s="462">
        <f>1/56.27</f>
        <v>1.7771459036786921E-2</v>
      </c>
      <c r="G251" s="453">
        <f>IF(A251="SERVIÇO",VLOOKUP(B251,SERVIÇOS!$A$6:$D$7645,4,0),IF(A251="INSUMO",VLOOKUP(B251,INSUMOS!$A$6:$D$6961,4,0),IF(A251="COTAÇÃO",VLOOKUP(B251,'036-20-Cotação'!$A$9:$G$529,3,0))))</f>
        <v>15.637499999999999</v>
      </c>
      <c r="H251" s="463">
        <f t="shared" si="44"/>
        <v>0.27790119068775548</v>
      </c>
      <c r="J251" s="201"/>
    </row>
    <row r="252" spans="1:17" s="87" customFormat="1" ht="12.75">
      <c r="A252" s="188"/>
      <c r="B252" s="348" t="s">
        <v>123</v>
      </c>
      <c r="C252" s="695" t="s">
        <v>13143</v>
      </c>
      <c r="D252" s="696"/>
      <c r="E252" s="696"/>
      <c r="F252" s="696"/>
      <c r="G252" s="696"/>
      <c r="H252" s="697"/>
      <c r="J252" s="201"/>
      <c r="K252" s="78"/>
      <c r="L252" s="78"/>
      <c r="M252" s="78"/>
      <c r="N252" s="78"/>
      <c r="O252" s="78"/>
      <c r="P252" s="78"/>
      <c r="Q252" s="78"/>
    </row>
    <row r="253" spans="1:17" s="87" customFormat="1" ht="12.75">
      <c r="A253" s="188"/>
      <c r="B253" s="346"/>
      <c r="C253" s="478"/>
      <c r="D253" s="478"/>
      <c r="E253" s="478"/>
      <c r="F253" s="478"/>
      <c r="G253" s="478"/>
      <c r="H253" s="479"/>
      <c r="J253" s="201"/>
      <c r="K253" s="78"/>
      <c r="L253" s="78"/>
      <c r="M253" s="78"/>
      <c r="N253" s="78"/>
      <c r="O253" s="78"/>
      <c r="P253" s="78"/>
      <c r="Q253" s="78"/>
    </row>
    <row r="254" spans="1:17" s="87" customFormat="1" ht="25.5">
      <c r="A254" s="188"/>
      <c r="B254" s="80">
        <v>1408024</v>
      </c>
      <c r="C254" s="81" t="s">
        <v>7755</v>
      </c>
      <c r="D254" s="82" t="s">
        <v>201</v>
      </c>
      <c r="E254" s="82" t="s">
        <v>5</v>
      </c>
      <c r="F254" s="83"/>
      <c r="G254" s="84"/>
      <c r="H254" s="85">
        <f>SUM(H255:H258)</f>
        <v>108.64901454545455</v>
      </c>
      <c r="J254" s="201" t="s">
        <v>13165</v>
      </c>
      <c r="K254" s="78"/>
      <c r="L254" s="78"/>
      <c r="M254" s="78"/>
      <c r="N254" s="78"/>
      <c r="O254" s="78"/>
      <c r="P254" s="78"/>
      <c r="Q254" s="78"/>
    </row>
    <row r="255" spans="1:17" s="87" customFormat="1" ht="12.75">
      <c r="A255" s="232" t="s">
        <v>4542</v>
      </c>
      <c r="B255" s="464" t="s">
        <v>9006</v>
      </c>
      <c r="C255" s="451" t="str">
        <f>IF(A255="SERVIÇO",VLOOKUP(B255,SERVIÇOS!$A$6:$D$7645,2,0),IF(A255="INSUMO",VLOOKUP(B255,INSUMOS!$A$6:$D$6961,2,0),IF(A255="COTAÇÃO",VLOOKUP(B255,'036-20-Cotação'!$A$9:$G$529,2,0))))</f>
        <v>GRUPO GERADOR - 2,5/3 KVA</v>
      </c>
      <c r="D255" s="452" t="str">
        <f>IF(A255="SERVIÇO",VLOOKUP(B255,SERVIÇOS!$A$6:$E$7645,5,0),IF(A255="INSUMO",VLOOKUP(B255,INSUMOS!$A$6:$E$6961,5,0),IF(A255="COTAÇÃO",VLOOKUP(B255,'036-20-Cotação'!$A$9:$H$529,8,0))))</f>
        <v>EQUIP.</v>
      </c>
      <c r="E255" s="452" t="str">
        <f>IF(A255="SERVIÇO",VLOOKUP(B255,SERVIÇOS!$A$6:$D$7645,3,0),IF(A255="INSUMO",VLOOKUP(B255,INSUMOS!$A$6:$D$6961,3,0),IF(A255="COTAÇÃO",VLOOKUP(B255,'036-20-Cotação'!$A$9:$G$529,4,0))))</f>
        <v>CHP</v>
      </c>
      <c r="F255" s="462">
        <f>1/2.2</f>
        <v>0.45454545454545453</v>
      </c>
      <c r="G255" s="453">
        <f>IF(A255="SERVIÇO",VLOOKUP(B255,SERVIÇOS!$A$6:$D$7645,4,0),IF(A255="INSUMO",VLOOKUP(B255,INSUMOS!$A$6:$D$6961,4,0),IF(A255="COTAÇÃO",VLOOKUP(B255,'036-20-Cotação'!$A$9:$G$529,3,0))))</f>
        <v>2.9165999999999999</v>
      </c>
      <c r="H255" s="463">
        <f t="shared" ref="H255:H258" si="45">G255*F255</f>
        <v>1.3257272727272726</v>
      </c>
      <c r="J255" s="201"/>
    </row>
    <row r="256" spans="1:17" s="87" customFormat="1" ht="25.5">
      <c r="A256" s="232" t="s">
        <v>4542</v>
      </c>
      <c r="B256" s="464" t="s">
        <v>9322</v>
      </c>
      <c r="C256" s="451" t="str">
        <f>IF(A256="SERVIÇO",VLOOKUP(B256,SERVIÇOS!$A$6:$D$7645,2,0),IF(A256="INSUMO",VLOOKUP(B256,INSUMOS!$A$6:$D$6961,2,0),IF(A256="COTAÇÃO",VLOOKUP(B256,'036-20-Cotação'!$A$9:$G$529,2,0))))</f>
        <v>PERFURATRIZ MANUAL PARA COROA DIAMANTADA - 1,6 KW</v>
      </c>
      <c r="D256" s="452" t="str">
        <f>IF(A256="SERVIÇO",VLOOKUP(B256,SERVIÇOS!$A$6:$E$7645,5,0),IF(A256="INSUMO",VLOOKUP(B256,INSUMOS!$A$6:$E$6961,5,0),IF(A256="COTAÇÃO",VLOOKUP(B256,'036-20-Cotação'!$A$9:$H$529,8,0))))</f>
        <v>EQUIP.</v>
      </c>
      <c r="E256" s="452" t="str">
        <f>IF(A256="SERVIÇO",VLOOKUP(B256,SERVIÇOS!$A$6:$D$7645,3,0),IF(A256="INSUMO",VLOOKUP(B256,INSUMOS!$A$6:$D$6961,3,0),IF(A256="COTAÇÃO",VLOOKUP(B256,'036-20-Cotação'!$A$9:$G$529,4,0))))</f>
        <v>CHP</v>
      </c>
      <c r="F256" s="462">
        <f>1/2.2</f>
        <v>0.45454545454545453</v>
      </c>
      <c r="G256" s="453">
        <f>IF(A256="SERVIÇO",VLOOKUP(B256,SERVIÇOS!$A$6:$D$7645,4,0),IF(A256="INSUMO",VLOOKUP(B256,INSUMOS!$A$6:$D$6961,4,0),IF(A256="COTAÇÃO",VLOOKUP(B256,'036-20-Cotação'!$A$9:$G$529,3,0))))</f>
        <v>1.6429</v>
      </c>
      <c r="H256" s="463">
        <f t="shared" si="45"/>
        <v>0.74677272727272725</v>
      </c>
      <c r="J256" s="201"/>
    </row>
    <row r="257" spans="1:17" s="87" customFormat="1" ht="12.75">
      <c r="A257" s="232" t="s">
        <v>4542</v>
      </c>
      <c r="B257" s="464" t="s">
        <v>6602</v>
      </c>
      <c r="C257" s="451" t="str">
        <f>IF(A257="SERVIÇO",VLOOKUP(B257,SERVIÇOS!$A$6:$D$7645,2,0),IF(A257="INSUMO",VLOOKUP(B257,INSUMOS!$A$6:$D$6961,2,0),IF(A257="COTAÇÃO",VLOOKUP(B257,'036-20-Cotação'!$A$9:$G$529,2,0))))</f>
        <v>SERVENTE</v>
      </c>
      <c r="D257" s="452" t="str">
        <f>IF(A257="SERVIÇO",VLOOKUP(B257,SERVIÇOS!$A$6:$E$7645,5,0),IF(A257="INSUMO",VLOOKUP(B257,INSUMOS!$A$6:$E$6961,5,0),IF(A257="COTAÇÃO",VLOOKUP(B257,'036-20-Cotação'!$A$9:$H$529,8,0))))</f>
        <v>M.O</v>
      </c>
      <c r="E257" s="452" t="str">
        <f>IF(A257="SERVIÇO",VLOOKUP(B257,SERVIÇOS!$A$6:$D$7645,3,0),IF(A257="INSUMO",VLOOKUP(B257,INSUMOS!$A$6:$D$6961,3,0),IF(A257="COTAÇÃO",VLOOKUP(B257,'036-20-Cotação'!$A$9:$G$529,4,0))))</f>
        <v>H</v>
      </c>
      <c r="F257" s="462">
        <f>1/2.2</f>
        <v>0.45454545454545453</v>
      </c>
      <c r="G257" s="453">
        <f>IF(A257="SERVIÇO",VLOOKUP(B257,SERVIÇOS!$A$6:$D$7645,4,0),IF(A257="INSUMO",VLOOKUP(B257,INSUMOS!$A$6:$D$6961,4,0),IF(A257="COTAÇÃO",VLOOKUP(B257,'036-20-Cotação'!$A$9:$G$529,3,0))))</f>
        <v>15.637499999999999</v>
      </c>
      <c r="H257" s="463">
        <f t="shared" si="45"/>
        <v>7.107954545454545</v>
      </c>
      <c r="J257" s="201"/>
    </row>
    <row r="258" spans="1:17" s="87" customFormat="1" ht="25.9" customHeight="1">
      <c r="A258" s="232" t="s">
        <v>4544</v>
      </c>
      <c r="B258" s="464" t="s">
        <v>10854</v>
      </c>
      <c r="C258" s="451" t="str">
        <f>IF(A258="SERVIÇO",VLOOKUP(B258,SERVIÇOS!$A$6:$D$7645,2,0),IF(A258="INSUMO",VLOOKUP(B258,INSUMOS!$A$6:$D$6961,2,0),IF(A258="COTAÇÃO",VLOOKUP(B258,'036-20-Cotação'!$A$9:$G$529,2,0))))</f>
        <v>COROA DIAMANTADA - D = 20 MM</v>
      </c>
      <c r="D258" s="452" t="str">
        <f>IF(A258="SERVIÇO",VLOOKUP(B258,SERVIÇOS!$A$6:$E$7645,5,0),IF(A258="INSUMO",VLOOKUP(B258,INSUMOS!$A$6:$E$6961,5,0),IF(A258="COTAÇÃO",VLOOKUP(B258,'036-20-Cotação'!$A$9:$H$529,8,0))))</f>
        <v>MAT.</v>
      </c>
      <c r="E258" s="452" t="str">
        <f>IF(A258="SERVIÇO",VLOOKUP(B258,SERVIÇOS!$A$6:$D$7645,3,0),IF(A258="INSUMO",VLOOKUP(B258,INSUMOS!$A$6:$D$6961,3,0),IF(A258="COTAÇÃO",VLOOKUP(B258,'036-20-Cotação'!$A$9:$G$529,4,0))))</f>
        <v>UN</v>
      </c>
      <c r="F258" s="462">
        <v>0.2</v>
      </c>
      <c r="G258" s="453">
        <f>IF(A258="SERVIÇO",VLOOKUP(B258,SERVIÇOS!$A$6:$D$7645,4,0),IF(A258="INSUMO",VLOOKUP(B258,INSUMOS!$A$6:$D$6961,4,0),IF(A258="COTAÇÃO",VLOOKUP(B258,'036-20-Cotação'!$A$9:$G$529,3,0))))</f>
        <v>497.34280000000001</v>
      </c>
      <c r="H258" s="463">
        <f t="shared" si="45"/>
        <v>99.468560000000011</v>
      </c>
      <c r="J258" s="201"/>
    </row>
    <row r="259" spans="1:17" s="87" customFormat="1" ht="12.75">
      <c r="A259" s="188"/>
      <c r="B259" s="348" t="s">
        <v>123</v>
      </c>
      <c r="C259" s="695" t="s">
        <v>13164</v>
      </c>
      <c r="D259" s="696"/>
      <c r="E259" s="696"/>
      <c r="F259" s="696"/>
      <c r="G259" s="696"/>
      <c r="H259" s="697"/>
      <c r="J259" s="201"/>
      <c r="K259" s="78"/>
      <c r="L259" s="78"/>
      <c r="M259" s="78"/>
      <c r="N259" s="78"/>
      <c r="O259" s="78"/>
      <c r="P259" s="78"/>
      <c r="Q259" s="78"/>
    </row>
    <row r="260" spans="1:17" s="87" customFormat="1" ht="12.75">
      <c r="A260" s="188"/>
      <c r="B260" s="346"/>
      <c r="C260" s="478"/>
      <c r="D260" s="478"/>
      <c r="E260" s="478"/>
      <c r="F260" s="478"/>
      <c r="G260" s="478"/>
      <c r="H260" s="479"/>
      <c r="J260" s="201"/>
      <c r="K260" s="78"/>
      <c r="L260" s="78"/>
      <c r="M260" s="78"/>
      <c r="N260" s="78"/>
      <c r="O260" s="78"/>
      <c r="P260" s="78"/>
      <c r="Q260" s="78"/>
    </row>
    <row r="261" spans="1:17" s="87" customFormat="1" ht="38.25">
      <c r="A261" s="188"/>
      <c r="B261" s="80">
        <v>6416258</v>
      </c>
      <c r="C261" s="81" t="s">
        <v>13177</v>
      </c>
      <c r="D261" s="82" t="s">
        <v>201</v>
      </c>
      <c r="E261" s="82" t="s">
        <v>3495</v>
      </c>
      <c r="F261" s="83"/>
      <c r="G261" s="84"/>
      <c r="H261" s="85">
        <f>SUM(H262:H273)</f>
        <v>107.84836491343073</v>
      </c>
      <c r="J261" s="201" t="s">
        <v>13176</v>
      </c>
      <c r="K261" s="78"/>
      <c r="L261" s="78"/>
      <c r="M261" s="78"/>
      <c r="N261" s="78"/>
      <c r="O261" s="78"/>
      <c r="P261" s="78"/>
      <c r="Q261" s="78"/>
    </row>
    <row r="262" spans="1:17" s="87" customFormat="1" ht="12.75">
      <c r="A262" s="232" t="s">
        <v>4542</v>
      </c>
      <c r="B262" s="464" t="s">
        <v>9057</v>
      </c>
      <c r="C262" s="451" t="str">
        <f>IF(A262="SERVIÇO",VLOOKUP(B262,SERVIÇOS!$A$6:$D$7645,2,0),IF(A262="INSUMO",VLOOKUP(B262,INSUMOS!$A$6:$D$6961,2,0),IF(A262="COTAÇÃO",VLOOKUP(B262,'036-20-Cotação'!$A$9:$G$529,2,0))))</f>
        <v>AQUECEDOR DE FLUIDO TÉRMICO - 12 KW</v>
      </c>
      <c r="D262" s="452" t="str">
        <f>IF(A262="SERVIÇO",VLOOKUP(B262,SERVIÇOS!$A$6:$E$7645,5,0),IF(A262="INSUMO",VLOOKUP(B262,INSUMOS!$A$6:$E$6961,5,0),IF(A262="COTAÇÃO",VLOOKUP(B262,'036-20-Cotação'!$A$9:$H$529,8,0))))</f>
        <v>EQUIP.</v>
      </c>
      <c r="E262" s="452" t="str">
        <f>IF(A262="SERVIÇO",VLOOKUP(B262,SERVIÇOS!$A$6:$D$7645,3,0),IF(A262="INSUMO",VLOOKUP(B262,INSUMOS!$A$6:$D$6961,3,0),IF(A262="COTAÇÃO",VLOOKUP(B262,'036-20-Cotação'!$A$9:$G$529,4,0))))</f>
        <v>CHP</v>
      </c>
      <c r="F262" s="462">
        <f>1/83</f>
        <v>1.2048192771084338E-2</v>
      </c>
      <c r="G262" s="453">
        <f>IF(A262="SERVIÇO",VLOOKUP(B262,SERVIÇOS!$A$6:$D$7645,4,0),IF(A262="INSUMO",VLOOKUP(B262,INSUMOS!$A$6:$D$6961,4,0),IF(A262="COTAÇÃO",VLOOKUP(B262,'036-20-Cotação'!$A$9:$G$529,3,0))))</f>
        <v>32.4176</v>
      </c>
      <c r="H262" s="463">
        <f t="shared" ref="H262:H269" si="46">G262*F262</f>
        <v>0.39057349397590363</v>
      </c>
      <c r="J262" s="201"/>
    </row>
    <row r="263" spans="1:17" s="87" customFormat="1" ht="25.5">
      <c r="A263" s="232" t="s">
        <v>4542</v>
      </c>
      <c r="B263" s="464" t="s">
        <v>9091</v>
      </c>
      <c r="C263" s="451" t="str">
        <f>IF(A263="SERVIÇO",VLOOKUP(B263,SERVIÇOS!$A$6:$D$7645,2,0),IF(A263="INSUMO",VLOOKUP(B263,INSUMOS!$A$6:$D$6961,2,0),IF(A263="COTAÇÃO",VLOOKUP(B263,'036-20-Cotação'!$A$9:$G$529,2,0))))</f>
        <v>CARREGADEIRA DE PNEUS COM CAPACIDADE DE 1,53 M³ - 106 KW</v>
      </c>
      <c r="D263" s="452" t="str">
        <f>IF(A263="SERVIÇO",VLOOKUP(B263,SERVIÇOS!$A$6:$E$7645,5,0),IF(A263="INSUMO",VLOOKUP(B263,INSUMOS!$A$6:$E$6961,5,0),IF(A263="COTAÇÃO",VLOOKUP(B263,'036-20-Cotação'!$A$9:$H$529,8,0))))</f>
        <v>EQUIP.</v>
      </c>
      <c r="E263" s="452" t="str">
        <f>IF(A263="SERVIÇO",VLOOKUP(B263,SERVIÇOS!$A$6:$D$7645,3,0),IF(A263="INSUMO",VLOOKUP(B263,INSUMOS!$A$6:$D$6961,3,0),IF(A263="COTAÇÃO",VLOOKUP(B263,'036-20-Cotação'!$A$9:$G$529,4,0))))</f>
        <v>CHP</v>
      </c>
      <c r="F263" s="462">
        <f>0.59/83</f>
        <v>7.1084337349397583E-3</v>
      </c>
      <c r="G263" s="453">
        <f>IF(A263="SERVIÇO",VLOOKUP(B263,SERVIÇOS!$A$6:$D$7645,4,0),IF(A263="INSUMO",VLOOKUP(B263,INSUMOS!$A$6:$D$6961,4,0),IF(A263="COTAÇÃO",VLOOKUP(B263,'036-20-Cotação'!$A$9:$G$529,3,0))))</f>
        <v>105.7415</v>
      </c>
      <c r="H263" s="463">
        <f t="shared" ref="H263" si="47">G263*F263</f>
        <v>0.75165644578313251</v>
      </c>
      <c r="J263" s="201"/>
    </row>
    <row r="264" spans="1:17" s="87" customFormat="1" ht="25.5">
      <c r="A264" s="232" t="s">
        <v>4542</v>
      </c>
      <c r="B264" s="464" t="s">
        <v>9793</v>
      </c>
      <c r="C264" s="451" t="str">
        <f>IF(A264="SERVIÇO",VLOOKUP(B264,SERVIÇOS!$A$6:$D$7645,2,0),IF(A264="INSUMO",VLOOKUP(B264,INSUMOS!$A$6:$D$6961,2,0),IF(A264="COTAÇÃO",VLOOKUP(B264,'036-20-Cotação'!$A$9:$G$529,2,0))))</f>
        <v>CARREGADEIRA DE PNEUS COM CAPACIDADE DE 1,53 M³ - 106 KW</v>
      </c>
      <c r="D264" s="452" t="str">
        <f>IF(A264="SERVIÇO",VLOOKUP(B264,SERVIÇOS!$A$6:$E$7645,5,0),IF(A264="INSUMO",VLOOKUP(B264,INSUMOS!$A$6:$E$6961,5,0),IF(A264="COTAÇÃO",VLOOKUP(B264,'036-20-Cotação'!$A$9:$H$529,8,0))))</f>
        <v>EQUIP.</v>
      </c>
      <c r="E264" s="452" t="str">
        <f>IF(A264="SERVIÇO",VLOOKUP(B264,SERVIÇOS!$A$6:$D$7645,3,0),IF(A264="INSUMO",VLOOKUP(B264,INSUMOS!$A$6:$D$6961,3,0),IF(A264="COTAÇÃO",VLOOKUP(B264,'036-20-Cotação'!$A$9:$G$529,4,0))))</f>
        <v>CHI</v>
      </c>
      <c r="F264" s="462">
        <f>0.41/83</f>
        <v>4.9397590361445779E-3</v>
      </c>
      <c r="G264" s="453">
        <f>IF(A264="SERVIÇO",VLOOKUP(B264,SERVIÇOS!$A$6:$D$7645,4,0),IF(A264="INSUMO",VLOOKUP(B264,INSUMOS!$A$6:$D$6961,4,0),IF(A264="COTAÇÃO",VLOOKUP(B264,'036-20-Cotação'!$A$9:$G$529,3,0))))</f>
        <v>51.259700000000002</v>
      </c>
      <c r="H264" s="463">
        <f t="shared" ref="H264" si="48">G264*F264</f>
        <v>0.25321056626506022</v>
      </c>
      <c r="J264" s="201"/>
    </row>
    <row r="265" spans="1:17" s="87" customFormat="1" ht="12.75">
      <c r="A265" s="232" t="s">
        <v>4542</v>
      </c>
      <c r="B265" s="464" t="s">
        <v>8758</v>
      </c>
      <c r="C265" s="451" t="str">
        <f>IF(A265="SERVIÇO",VLOOKUP(B265,SERVIÇOS!$A$6:$D$7645,2,0),IF(A265="INSUMO",VLOOKUP(B265,INSUMOS!$A$6:$D$6961,2,0),IF(A265="COTAÇÃO",VLOOKUP(B265,'036-20-Cotação'!$A$9:$G$529,2,0))))</f>
        <v>GRUPO GERADOR - 456 KVA</v>
      </c>
      <c r="D265" s="452" t="str">
        <f>IF(A265="SERVIÇO",VLOOKUP(B265,SERVIÇOS!$A$6:$E$7645,5,0),IF(A265="INSUMO",VLOOKUP(B265,INSUMOS!$A$6:$E$6961,5,0),IF(A265="COTAÇÃO",VLOOKUP(B265,'036-20-Cotação'!$A$9:$H$529,8,0))))</f>
        <v>EQUIP.</v>
      </c>
      <c r="E265" s="452" t="str">
        <f>IF(A265="SERVIÇO",VLOOKUP(B265,SERVIÇOS!$A$6:$D$7645,3,0),IF(A265="INSUMO",VLOOKUP(B265,INSUMOS!$A$6:$D$6961,3,0),IF(A265="COTAÇÃO",VLOOKUP(B265,'036-20-Cotação'!$A$9:$G$529,4,0))))</f>
        <v>CHP</v>
      </c>
      <c r="F265" s="462">
        <f>1/83</f>
        <v>1.2048192771084338E-2</v>
      </c>
      <c r="G265" s="453">
        <f>IF(A265="SERVIÇO",VLOOKUP(B265,SERVIÇOS!$A$6:$D$7645,4,0),IF(A265="INSUMO",VLOOKUP(B265,INSUMOS!$A$6:$D$6961,4,0),IF(A265="COTAÇÃO",VLOOKUP(B265,'036-20-Cotação'!$A$9:$G$529,3,0))))</f>
        <v>258.95460000000003</v>
      </c>
      <c r="H265" s="463">
        <f t="shared" si="46"/>
        <v>3.1199349397590366</v>
      </c>
      <c r="J265" s="201"/>
    </row>
    <row r="266" spans="1:17" s="87" customFormat="1" ht="25.5">
      <c r="A266" s="232" t="s">
        <v>4542</v>
      </c>
      <c r="B266" s="464" t="s">
        <v>9055</v>
      </c>
      <c r="C266" s="451" t="str">
        <f>IF(A266="SERVIÇO",VLOOKUP(B266,SERVIÇOS!$A$6:$D$7645,2,0),IF(A266="INSUMO",VLOOKUP(B266,INSUMOS!$A$6:$D$6961,2,0),IF(A266="COTAÇÃO",VLOOKUP(B266,'036-20-Cotação'!$A$9:$G$529,2,0))))</f>
        <v>TANQUE DE ESTOCAGEM DE ASFALTO COM CAPACIDADE DE 30.000 L</v>
      </c>
      <c r="D266" s="452" t="str">
        <f>IF(A266="SERVIÇO",VLOOKUP(B266,SERVIÇOS!$A$6:$E$7645,5,0),IF(A266="INSUMO",VLOOKUP(B266,INSUMOS!$A$6:$E$6961,5,0),IF(A266="COTAÇÃO",VLOOKUP(B266,'036-20-Cotação'!$A$9:$H$529,8,0))))</f>
        <v>EQUIP.</v>
      </c>
      <c r="E266" s="452" t="str">
        <f>IF(A266="SERVIÇO",VLOOKUP(B266,SERVIÇOS!$A$6:$D$7645,3,0),IF(A266="INSUMO",VLOOKUP(B266,INSUMOS!$A$6:$D$6961,3,0),IF(A266="COTAÇÃO",VLOOKUP(B266,'036-20-Cotação'!$A$9:$G$529,4,0))))</f>
        <v>CHP</v>
      </c>
      <c r="F266" s="462">
        <f>1/83*2</f>
        <v>2.4096385542168676E-2</v>
      </c>
      <c r="G266" s="453">
        <f>IF(A266="SERVIÇO",VLOOKUP(B266,SERVIÇOS!$A$6:$D$7645,4,0),IF(A266="INSUMO",VLOOKUP(B266,INSUMOS!$A$6:$D$6961,4,0),IF(A266="COTAÇÃO",VLOOKUP(B266,'036-20-Cotação'!$A$9:$G$529,3,0))))</f>
        <v>15.444000000000001</v>
      </c>
      <c r="H266" s="463">
        <f t="shared" ref="H266:H267" si="49">G266*F266</f>
        <v>0.37214457831325304</v>
      </c>
      <c r="J266" s="201"/>
    </row>
    <row r="267" spans="1:17" s="87" customFormat="1" ht="25.5">
      <c r="A267" s="232" t="s">
        <v>4542</v>
      </c>
      <c r="B267" s="464" t="s">
        <v>9234</v>
      </c>
      <c r="C267" s="451" t="str">
        <f>IF(A267="SERVIÇO",VLOOKUP(B267,SERVIÇOS!$A$6:$D$7645,2,0),IF(A267="INSUMO",VLOOKUP(B267,INSUMOS!$A$6:$D$6961,2,0),IF(A267="COTAÇÃO",VLOOKUP(B267,'036-20-Cotação'!$A$9:$G$529,2,0))))</f>
        <v>USINA DE ASFALTO A QUENTE GRAVIMÉTRICA COM CAPACIDADE DE 100/140 T/H - 260 KW</v>
      </c>
      <c r="D267" s="452" t="str">
        <f>IF(A267="SERVIÇO",VLOOKUP(B267,SERVIÇOS!$A$6:$E$7645,5,0),IF(A267="INSUMO",VLOOKUP(B267,INSUMOS!$A$6:$E$6961,5,0),IF(A267="COTAÇÃO",VLOOKUP(B267,'036-20-Cotação'!$A$9:$H$529,8,0))))</f>
        <v>EQUIP.</v>
      </c>
      <c r="E267" s="452" t="str">
        <f>IF(A267="SERVIÇO",VLOOKUP(B267,SERVIÇOS!$A$6:$D$7645,3,0),IF(A267="INSUMO",VLOOKUP(B267,INSUMOS!$A$6:$D$6961,3,0),IF(A267="COTAÇÃO",VLOOKUP(B267,'036-20-Cotação'!$A$9:$G$529,4,0))))</f>
        <v>CHP</v>
      </c>
      <c r="F267" s="462">
        <f>1/83</f>
        <v>1.2048192771084338E-2</v>
      </c>
      <c r="G267" s="453">
        <f>IF(A267="SERVIÇO",VLOOKUP(B267,SERVIÇOS!$A$6:$D$7645,4,0),IF(A267="INSUMO",VLOOKUP(B267,INSUMOS!$A$6:$D$6961,4,0),IF(A267="COTAÇÃO",VLOOKUP(B267,'036-20-Cotação'!$A$9:$G$529,3,0))))</f>
        <v>704.08659999999998</v>
      </c>
      <c r="H267" s="463">
        <f t="shared" si="49"/>
        <v>8.4829710843373487</v>
      </c>
      <c r="J267" s="201"/>
    </row>
    <row r="268" spans="1:17" s="87" customFormat="1" ht="12.75">
      <c r="A268" s="232" t="s">
        <v>4542</v>
      </c>
      <c r="B268" s="464" t="s">
        <v>6602</v>
      </c>
      <c r="C268" s="451" t="str">
        <f>IF(A268="SERVIÇO",VLOOKUP(B268,SERVIÇOS!$A$6:$D$7645,2,0),IF(A268="INSUMO",VLOOKUP(B268,INSUMOS!$A$6:$D$6961,2,0),IF(A268="COTAÇÃO",VLOOKUP(B268,'036-20-Cotação'!$A$9:$G$529,2,0))))</f>
        <v>SERVENTE</v>
      </c>
      <c r="D268" s="452" t="str">
        <f>IF(A268="SERVIÇO",VLOOKUP(B268,SERVIÇOS!$A$6:$E$7645,5,0),IF(A268="INSUMO",VLOOKUP(B268,INSUMOS!$A$6:$E$6961,5,0),IF(A268="COTAÇÃO",VLOOKUP(B268,'036-20-Cotação'!$A$9:$H$529,8,0))))</f>
        <v>M.O</v>
      </c>
      <c r="E268" s="452" t="str">
        <f>IF(A268="SERVIÇO",VLOOKUP(B268,SERVIÇOS!$A$6:$D$7645,3,0),IF(A268="INSUMO",VLOOKUP(B268,INSUMOS!$A$6:$D$6961,3,0),IF(A268="COTAÇÃO",VLOOKUP(B268,'036-20-Cotação'!$A$9:$G$529,4,0))))</f>
        <v>H</v>
      </c>
      <c r="F268" s="462">
        <f>8/83</f>
        <v>9.6385542168674704E-2</v>
      </c>
      <c r="G268" s="453">
        <f>IF(A268="SERVIÇO",VLOOKUP(B268,SERVIÇOS!$A$6:$D$7645,4,0),IF(A268="INSUMO",VLOOKUP(B268,INSUMOS!$A$6:$D$6961,4,0),IF(A268="COTAÇÃO",VLOOKUP(B268,'036-20-Cotação'!$A$9:$G$529,3,0))))</f>
        <v>15.637499999999999</v>
      </c>
      <c r="H268" s="463">
        <f t="shared" si="46"/>
        <v>1.5072289156626506</v>
      </c>
      <c r="J268" s="201"/>
    </row>
    <row r="269" spans="1:17" s="87" customFormat="1" ht="25.9" customHeight="1">
      <c r="A269" s="232" t="s">
        <v>4544</v>
      </c>
      <c r="B269" s="464" t="s">
        <v>10430</v>
      </c>
      <c r="C269" s="451" t="str">
        <f>IF(A269="SERVIÇO",VLOOKUP(B269,SERVIÇOS!$A$6:$D$7645,2,0),IF(A269="INSUMO",VLOOKUP(B269,INSUMOS!$A$6:$D$6961,2,0),IF(A269="COTAÇÃO",VLOOKUP(B269,'036-20-Cotação'!$A$9:$G$529,2,0))))</f>
        <v>CAL HIDRATADA</v>
      </c>
      <c r="D269" s="452" t="str">
        <f>IF(A269="SERVIÇO",VLOOKUP(B269,SERVIÇOS!$A$6:$E$7645,5,0),IF(A269="INSUMO",VLOOKUP(B269,INSUMOS!$A$6:$E$6961,5,0),IF(A269="COTAÇÃO",VLOOKUP(B269,'036-20-Cotação'!$A$9:$H$529,8,0))))</f>
        <v>MAT.</v>
      </c>
      <c r="E269" s="452" t="str">
        <f>IF(A269="SERVIÇO",VLOOKUP(B269,SERVIÇOS!$A$6:$D$7645,3,0),IF(A269="INSUMO",VLOOKUP(B269,INSUMOS!$A$6:$D$6961,3,0),IF(A269="COTAÇÃO",VLOOKUP(B269,'036-20-Cotação'!$A$9:$G$529,4,0))))</f>
        <v>KG</v>
      </c>
      <c r="F269" s="462">
        <v>28.30189</v>
      </c>
      <c r="G269" s="453">
        <f>IF(A269="SERVIÇO",VLOOKUP(B269,SERVIÇOS!$A$6:$D$7645,4,0),IF(A269="INSUMO",VLOOKUP(B269,INSUMOS!$A$6:$D$6961,4,0),IF(A269="COTAÇÃO",VLOOKUP(B269,'036-20-Cotação'!$A$9:$G$529,3,0))))</f>
        <v>0.52449999999999997</v>
      </c>
      <c r="H269" s="463">
        <f t="shared" si="46"/>
        <v>14.844341304999999</v>
      </c>
      <c r="J269" s="201"/>
    </row>
    <row r="270" spans="1:17" s="87" customFormat="1" ht="25.9" customHeight="1">
      <c r="A270" s="232" t="s">
        <v>4544</v>
      </c>
      <c r="B270" s="464" t="s">
        <v>11282</v>
      </c>
      <c r="C270" s="451" t="str">
        <f>IF(A270="SERVIÇO",VLOOKUP(B270,SERVIÇOS!$A$6:$D$7645,2,0),IF(A270="INSUMO",VLOOKUP(B270,INSUMOS!$A$6:$D$6961,2,0),IF(A270="COTAÇÃO",VLOOKUP(B270,'036-20-Cotação'!$A$9:$G$529,2,0))))</f>
        <v>ÓLEO COMBUSTÍVEL 1A</v>
      </c>
      <c r="D270" s="452" t="str">
        <f>IF(A270="SERVIÇO",VLOOKUP(B270,SERVIÇOS!$A$6:$E$7645,5,0),IF(A270="INSUMO",VLOOKUP(B270,INSUMOS!$A$6:$E$6961,5,0),IF(A270="COTAÇÃO",VLOOKUP(B270,'036-20-Cotação'!$A$9:$H$529,8,0))))</f>
        <v>MAT.</v>
      </c>
      <c r="E270" s="452" t="str">
        <f>IF(A270="SERVIÇO",VLOOKUP(B270,SERVIÇOS!$A$6:$D$7645,3,0),IF(A270="INSUMO",VLOOKUP(B270,INSUMOS!$A$6:$D$6961,3,0),IF(A270="COTAÇÃO",VLOOKUP(B270,'036-20-Cotação'!$A$9:$G$529,4,0))))</f>
        <v>L</v>
      </c>
      <c r="F270" s="462">
        <v>8</v>
      </c>
      <c r="G270" s="453">
        <f>IF(A270="SERVIÇO",VLOOKUP(B270,SERVIÇOS!$A$6:$D$7645,4,0),IF(A270="INSUMO",VLOOKUP(B270,INSUMOS!$A$6:$D$6961,4,0),IF(A270="COTAÇÃO",VLOOKUP(B270,'036-20-Cotação'!$A$9:$G$529,3,0))))</f>
        <v>3.669</v>
      </c>
      <c r="H270" s="463">
        <f t="shared" ref="H270:H273" si="50">G270*F270</f>
        <v>29.352</v>
      </c>
      <c r="J270" s="201"/>
    </row>
    <row r="271" spans="1:17" s="87" customFormat="1" ht="25.9" customHeight="1">
      <c r="A271" s="232" t="s">
        <v>4544</v>
      </c>
      <c r="B271" s="464" t="s">
        <v>10802</v>
      </c>
      <c r="C271" s="451" t="str">
        <f>IF(A271="SERVIÇO",VLOOKUP(B271,SERVIÇOS!$A$6:$D$7645,2,0),IF(A271="INSUMO",VLOOKUP(B271,INSUMOS!$A$6:$D$6961,2,0),IF(A271="COTAÇÃO",VLOOKUP(B271,'036-20-Cotação'!$A$9:$G$529,2,0))))</f>
        <v>PÓ DE PEDRA</v>
      </c>
      <c r="D271" s="452" t="str">
        <f>IF(A271="SERVIÇO",VLOOKUP(B271,SERVIÇOS!$A$6:$E$7645,5,0),IF(A271="INSUMO",VLOOKUP(B271,INSUMOS!$A$6:$E$6961,5,0),IF(A271="COTAÇÃO",VLOOKUP(B271,'036-20-Cotação'!$A$9:$H$529,8,0))))</f>
        <v>MAT.</v>
      </c>
      <c r="E271" s="452" t="str">
        <f>IF(A271="SERVIÇO",VLOOKUP(B271,SERVIÇOS!$A$6:$D$7645,3,0),IF(A271="INSUMO",VLOOKUP(B271,INSUMOS!$A$6:$D$6961,3,0),IF(A271="COTAÇÃO",VLOOKUP(B271,'036-20-Cotação'!$A$9:$G$529,4,0))))</f>
        <v>M³</v>
      </c>
      <c r="F271" s="462">
        <v>0.61006000000000005</v>
      </c>
      <c r="G271" s="453">
        <f>IF(A271="SERVIÇO",VLOOKUP(B271,SERVIÇOS!$A$6:$D$7645,4,0),IF(A271="INSUMO",VLOOKUP(B271,INSUMOS!$A$6:$D$6961,4,0),IF(A271="COTAÇÃO",VLOOKUP(B271,'036-20-Cotação'!$A$9:$G$529,3,0))))</f>
        <v>77.578500000000005</v>
      </c>
      <c r="H271" s="463">
        <f t="shared" si="50"/>
        <v>47.327539710000003</v>
      </c>
      <c r="J271" s="201"/>
    </row>
    <row r="272" spans="1:17" s="87" customFormat="1" ht="25.5">
      <c r="A272" s="232" t="s">
        <v>4542</v>
      </c>
      <c r="B272" s="464" t="str">
        <f>$B$281</f>
        <v>5914655-TF</v>
      </c>
      <c r="C272" s="451" t="str">
        <f>$C$281</f>
        <v>TEMPO FIXO - CAMINHÃO CARROCERIA 15 T - CARGA E DESCARGA MANUAIS</v>
      </c>
      <c r="D272" s="452" t="str">
        <f>$D$281</f>
        <v>SER.CG</v>
      </c>
      <c r="E272" s="452" t="str">
        <f>$E$281</f>
        <v>T</v>
      </c>
      <c r="F272" s="462">
        <v>2.8299999999999999E-2</v>
      </c>
      <c r="G272" s="453">
        <f>$H$281</f>
        <v>20.925562080536913</v>
      </c>
      <c r="H272" s="463">
        <f t="shared" si="50"/>
        <v>0.59219340687919464</v>
      </c>
      <c r="J272" s="201"/>
    </row>
    <row r="273" spans="1:17" s="87" customFormat="1" ht="25.5">
      <c r="A273" s="232" t="s">
        <v>4542</v>
      </c>
      <c r="B273" s="464" t="str">
        <f>'036-20-CCA''s'!$B$298</f>
        <v>5914647-TF</v>
      </c>
      <c r="C273" s="451" t="str">
        <f>'036-20-CCA''s'!$C$298</f>
        <v>TEMPO FIXO - CAMINHÃO BASCULANTE 10 M3 - CARGA MONOBRA E DESCARGA</v>
      </c>
      <c r="D273" s="452" t="str">
        <f>'036-20-CCA''s'!$D$298</f>
        <v>SER.CG</v>
      </c>
      <c r="E273" s="452" t="str">
        <f>'036-20-CCA''s'!$E$298</f>
        <v>T</v>
      </c>
      <c r="F273" s="462">
        <v>0.91508999999999996</v>
      </c>
      <c r="G273" s="453">
        <f>'036-20-CCA''s'!$H$298</f>
        <v>0.93386493946512461</v>
      </c>
      <c r="H273" s="463">
        <f t="shared" si="50"/>
        <v>0.85457046745514087</v>
      </c>
      <c r="J273" s="201"/>
    </row>
    <row r="274" spans="1:17" s="87" customFormat="1" ht="12.75">
      <c r="A274" s="188"/>
      <c r="B274" s="348" t="s">
        <v>123</v>
      </c>
      <c r="C274" s="695" t="s">
        <v>13178</v>
      </c>
      <c r="D274" s="696"/>
      <c r="E274" s="696"/>
      <c r="F274" s="696"/>
      <c r="G274" s="696"/>
      <c r="H274" s="697"/>
      <c r="J274" s="201"/>
      <c r="K274" s="78"/>
      <c r="L274" s="78"/>
      <c r="M274" s="78"/>
      <c r="N274" s="78"/>
      <c r="O274" s="78"/>
      <c r="P274" s="78"/>
      <c r="Q274" s="78"/>
    </row>
    <row r="275" spans="1:17" s="87" customFormat="1" ht="12.75">
      <c r="A275" s="188"/>
      <c r="B275" s="346"/>
      <c r="C275" s="478"/>
      <c r="D275" s="478"/>
      <c r="E275" s="478"/>
      <c r="F275" s="478"/>
      <c r="G275" s="478"/>
      <c r="H275" s="479"/>
      <c r="J275" s="201"/>
      <c r="K275" s="78"/>
      <c r="L275" s="78"/>
      <c r="M275" s="78"/>
      <c r="N275" s="78"/>
      <c r="O275" s="78"/>
      <c r="P275" s="78"/>
      <c r="Q275" s="78"/>
    </row>
    <row r="276" spans="1:17" s="87" customFormat="1" ht="25.5">
      <c r="A276" s="188"/>
      <c r="B276" s="80" t="s">
        <v>13205</v>
      </c>
      <c r="C276" s="81" t="s">
        <v>13209</v>
      </c>
      <c r="D276" s="82" t="s">
        <v>201</v>
      </c>
      <c r="E276" s="82" t="s">
        <v>3495</v>
      </c>
      <c r="F276" s="83"/>
      <c r="G276" s="84"/>
      <c r="H276" s="85">
        <f>SUM(H277:H278)</f>
        <v>16.063762057877813</v>
      </c>
      <c r="J276" s="201" t="s">
        <v>13188</v>
      </c>
      <c r="K276" s="78"/>
      <c r="L276" s="78"/>
      <c r="M276" s="78"/>
      <c r="N276" s="78"/>
      <c r="O276" s="78"/>
      <c r="P276" s="78"/>
      <c r="Q276" s="78"/>
    </row>
    <row r="277" spans="1:17" s="87" customFormat="1" ht="25.5">
      <c r="A277" s="232" t="s">
        <v>4542</v>
      </c>
      <c r="B277" s="464" t="s">
        <v>9567</v>
      </c>
      <c r="C277" s="451" t="str">
        <f>IF(A277="SERVIÇO",VLOOKUP(B277,SERVIÇOS!$A$6:$D$7645,2,0),IF(A277="INSUMO",VLOOKUP(B277,INSUMOS!$A$6:$D$6961,2,0),IF(A277="COTAÇÃO",VLOOKUP(B277,'036-20-Cotação'!$A$9:$G$529,2,0))))</f>
        <v>CAMINHÃO CARROCERIA COM CAPACIDADE DE 5 T - 115 KW</v>
      </c>
      <c r="D277" s="452" t="str">
        <f>IF(A277="SERVIÇO",VLOOKUP(B277,SERVIÇOS!$A$6:$E$7645,5,0),IF(A277="INSUMO",VLOOKUP(B277,INSUMOS!$A$6:$E$6961,5,0),IF(A277="COTAÇÃO",VLOOKUP(B277,'036-20-Cotação'!$A$9:$H$529,8,0))))</f>
        <v>EQUIP.</v>
      </c>
      <c r="E277" s="452" t="str">
        <f>IF(A277="SERVIÇO",VLOOKUP(B277,SERVIÇOS!$A$6:$D$7645,3,0),IF(A277="INSUMO",VLOOKUP(B277,INSUMOS!$A$6:$D$6961,3,0),IF(A277="COTAÇÃO",VLOOKUP(B277,'036-20-Cotação'!$A$9:$G$529,4,0))))</f>
        <v>CHP</v>
      </c>
      <c r="F277" s="462">
        <f>1/9.33</f>
        <v>0.10718113612004287</v>
      </c>
      <c r="G277" s="453">
        <f>IF(A277="SERVIÇO",VLOOKUP(B277,SERVIÇOS!$A$6:$D$7645,4,0),IF(A277="INSUMO",VLOOKUP(B277,INSUMOS!$A$6:$D$6961,4,0),IF(A277="COTAÇÃO",VLOOKUP(B277,'036-20-Cotação'!$A$9:$G$529,3,0))))</f>
        <v>87.3249</v>
      </c>
      <c r="H277" s="463">
        <f t="shared" ref="H277:H278" si="51">G277*F277</f>
        <v>9.3595819935691313</v>
      </c>
      <c r="J277" s="201"/>
    </row>
    <row r="278" spans="1:17" s="87" customFormat="1" ht="12.75">
      <c r="A278" s="232" t="s">
        <v>4542</v>
      </c>
      <c r="B278" s="464" t="s">
        <v>6602</v>
      </c>
      <c r="C278" s="451" t="str">
        <f>IF(A278="SERVIÇO",VLOOKUP(B278,SERVIÇOS!$A$6:$D$7645,2,0),IF(A278="INSUMO",VLOOKUP(B278,INSUMOS!$A$6:$D$6961,2,0),IF(A278="COTAÇÃO",VLOOKUP(B278,'036-20-Cotação'!$A$9:$G$529,2,0))))</f>
        <v>SERVENTE</v>
      </c>
      <c r="D278" s="452" t="str">
        <f>IF(A278="SERVIÇO",VLOOKUP(B278,SERVIÇOS!$A$6:$E$7645,5,0),IF(A278="INSUMO",VLOOKUP(B278,INSUMOS!$A$6:$E$6961,5,0),IF(A278="COTAÇÃO",VLOOKUP(B278,'036-20-Cotação'!$A$9:$H$529,8,0))))</f>
        <v>M.O</v>
      </c>
      <c r="E278" s="452" t="str">
        <f>IF(A278="SERVIÇO",VLOOKUP(B278,SERVIÇOS!$A$6:$D$7645,3,0),IF(A278="INSUMO",VLOOKUP(B278,INSUMOS!$A$6:$D$6961,3,0),IF(A278="COTAÇÃO",VLOOKUP(B278,'036-20-Cotação'!$A$9:$G$529,4,0))))</f>
        <v>H</v>
      </c>
      <c r="F278" s="462">
        <f>4/9.33</f>
        <v>0.4287245444801715</v>
      </c>
      <c r="G278" s="453">
        <f>IF(A278="SERVIÇO",VLOOKUP(B278,SERVIÇOS!$A$6:$D$7645,4,0),IF(A278="INSUMO",VLOOKUP(B278,INSUMOS!$A$6:$D$6961,4,0),IF(A278="COTAÇÃO",VLOOKUP(B278,'036-20-Cotação'!$A$9:$G$529,3,0))))</f>
        <v>15.637499999999999</v>
      </c>
      <c r="H278" s="463">
        <f t="shared" si="51"/>
        <v>6.7041800643086811</v>
      </c>
      <c r="J278" s="201"/>
    </row>
    <row r="279" spans="1:17" s="87" customFormat="1" ht="12.75">
      <c r="A279" s="188"/>
      <c r="B279" s="348" t="s">
        <v>123</v>
      </c>
      <c r="C279" s="695" t="s">
        <v>13189</v>
      </c>
      <c r="D279" s="696"/>
      <c r="E279" s="696"/>
      <c r="F279" s="696"/>
      <c r="G279" s="696"/>
      <c r="H279" s="697"/>
      <c r="J279" s="201"/>
      <c r="K279" s="78"/>
      <c r="L279" s="78"/>
      <c r="M279" s="78"/>
      <c r="N279" s="78"/>
      <c r="O279" s="78"/>
      <c r="P279" s="78"/>
      <c r="Q279" s="78"/>
    </row>
    <row r="280" spans="1:17" s="87" customFormat="1" ht="12.75">
      <c r="A280" s="188"/>
      <c r="B280" s="346"/>
      <c r="C280" s="478"/>
      <c r="D280" s="478"/>
      <c r="E280" s="478"/>
      <c r="F280" s="478"/>
      <c r="G280" s="478"/>
      <c r="H280" s="479"/>
      <c r="J280" s="201"/>
      <c r="K280" s="78"/>
      <c r="L280" s="78"/>
      <c r="M280" s="78"/>
      <c r="N280" s="78"/>
      <c r="O280" s="78"/>
      <c r="P280" s="78"/>
      <c r="Q280" s="78"/>
    </row>
    <row r="281" spans="1:17" s="87" customFormat="1" ht="25.5">
      <c r="A281" s="188"/>
      <c r="B281" s="80" t="s">
        <v>13206</v>
      </c>
      <c r="C281" s="81" t="s">
        <v>13208</v>
      </c>
      <c r="D281" s="82" t="s">
        <v>201</v>
      </c>
      <c r="E281" s="82" t="s">
        <v>3495</v>
      </c>
      <c r="F281" s="83"/>
      <c r="G281" s="84"/>
      <c r="H281" s="85">
        <f>SUM(H282:H283)</f>
        <v>20.925562080536913</v>
      </c>
      <c r="J281" s="201" t="s">
        <v>13204</v>
      </c>
      <c r="K281" s="78"/>
      <c r="L281" s="78"/>
      <c r="M281" s="78"/>
      <c r="N281" s="78"/>
      <c r="O281" s="78"/>
      <c r="P281" s="78"/>
      <c r="Q281" s="78"/>
    </row>
    <row r="282" spans="1:17" s="87" customFormat="1" ht="25.5">
      <c r="A282" s="232" t="s">
        <v>4542</v>
      </c>
      <c r="B282" s="464" t="s">
        <v>9492</v>
      </c>
      <c r="C282" s="451" t="str">
        <f>IF(A282="SERVIÇO",VLOOKUP(B282,SERVIÇOS!$A$6:$D$7645,2,0),IF(A282="INSUMO",VLOOKUP(B282,INSUMOS!$A$6:$D$6961,2,0),IF(A282="COTAÇÃO",VLOOKUP(B282,'036-20-Cotação'!$A$9:$G$529,2,0))))</f>
        <v>CAMINHÃO CARROCERIA COM CAPACIDADE DE 15 T - 188 KW</v>
      </c>
      <c r="D282" s="452" t="str">
        <f>IF(A282="SERVIÇO",VLOOKUP(B282,SERVIÇOS!$A$6:$E$7645,5,0),IF(A282="INSUMO",VLOOKUP(B282,INSUMOS!$A$6:$E$6961,5,0),IF(A282="COTAÇÃO",VLOOKUP(B282,'036-20-Cotação'!$A$9:$H$529,8,0))))</f>
        <v>EQUIP.</v>
      </c>
      <c r="E282" s="452" t="str">
        <f>IF(A282="SERVIÇO",VLOOKUP(B282,SERVIÇOS!$A$6:$D$7645,3,0),IF(A282="INSUMO",VLOOKUP(B282,INSUMOS!$A$6:$D$6961,3,0),IF(A282="COTAÇÃO",VLOOKUP(B282,'036-20-Cotação'!$A$9:$G$529,4,0))))</f>
        <v>CHP</v>
      </c>
      <c r="F282" s="462">
        <f>1/11.92</f>
        <v>8.3892617449664433E-2</v>
      </c>
      <c r="G282" s="453">
        <f>IF(A282="SERVIÇO",VLOOKUP(B282,SERVIÇOS!$A$6:$D$7645,4,0),IF(A282="INSUMO",VLOOKUP(B282,INSUMOS!$A$6:$D$6961,4,0),IF(A282="COTAÇÃO",VLOOKUP(B282,'036-20-Cotação'!$A$9:$G$529,3,0))))</f>
        <v>155.60769999999999</v>
      </c>
      <c r="H282" s="463">
        <f t="shared" ref="H282:H283" si="52">G282*F282</f>
        <v>13.054337248322147</v>
      </c>
      <c r="J282" s="201"/>
    </row>
    <row r="283" spans="1:17" s="87" customFormat="1" ht="12.75">
      <c r="A283" s="232" t="s">
        <v>4542</v>
      </c>
      <c r="B283" s="464" t="s">
        <v>6602</v>
      </c>
      <c r="C283" s="451" t="str">
        <f>IF(A283="SERVIÇO",VLOOKUP(B283,SERVIÇOS!$A$6:$D$7645,2,0),IF(A283="INSUMO",VLOOKUP(B283,INSUMOS!$A$6:$D$6961,2,0),IF(A283="COTAÇÃO",VLOOKUP(B283,'036-20-Cotação'!$A$9:$G$529,2,0))))</f>
        <v>SERVENTE</v>
      </c>
      <c r="D283" s="452" t="str">
        <f>IF(A283="SERVIÇO",VLOOKUP(B283,SERVIÇOS!$A$6:$E$7645,5,0),IF(A283="INSUMO",VLOOKUP(B283,INSUMOS!$A$6:$E$6961,5,0),IF(A283="COTAÇÃO",VLOOKUP(B283,'036-20-Cotação'!$A$9:$H$529,8,0))))</f>
        <v>M.O</v>
      </c>
      <c r="E283" s="452" t="str">
        <f>IF(A283="SERVIÇO",VLOOKUP(B283,SERVIÇOS!$A$6:$D$7645,3,0),IF(A283="INSUMO",VLOOKUP(B283,INSUMOS!$A$6:$D$6961,3,0),IF(A283="COTAÇÃO",VLOOKUP(B283,'036-20-Cotação'!$A$9:$G$529,4,0))))</f>
        <v>H</v>
      </c>
      <c r="F283" s="462">
        <f>6/11.92</f>
        <v>0.50335570469798663</v>
      </c>
      <c r="G283" s="453">
        <f>IF(A283="SERVIÇO",VLOOKUP(B283,SERVIÇOS!$A$6:$D$7645,4,0),IF(A283="INSUMO",VLOOKUP(B283,INSUMOS!$A$6:$D$6961,4,0),IF(A283="COTAÇÃO",VLOOKUP(B283,'036-20-Cotação'!$A$9:$G$529,3,0))))</f>
        <v>15.637499999999999</v>
      </c>
      <c r="H283" s="463">
        <f t="shared" si="52"/>
        <v>7.8712248322147653</v>
      </c>
      <c r="J283" s="201"/>
    </row>
    <row r="284" spans="1:17" s="87" customFormat="1" ht="12.75">
      <c r="A284" s="188"/>
      <c r="B284" s="348" t="s">
        <v>123</v>
      </c>
      <c r="C284" s="695" t="s">
        <v>13212</v>
      </c>
      <c r="D284" s="696"/>
      <c r="E284" s="696"/>
      <c r="F284" s="696"/>
      <c r="G284" s="696"/>
      <c r="H284" s="697"/>
      <c r="J284" s="201"/>
      <c r="K284" s="78"/>
      <c r="L284" s="78"/>
      <c r="M284" s="78"/>
      <c r="N284" s="78"/>
      <c r="O284" s="78"/>
      <c r="P284" s="78"/>
      <c r="Q284" s="78"/>
    </row>
    <row r="285" spans="1:17" s="87" customFormat="1" ht="12.75">
      <c r="A285" s="188"/>
      <c r="B285" s="346"/>
      <c r="C285" s="478"/>
      <c r="D285" s="478"/>
      <c r="E285" s="478"/>
      <c r="F285" s="478"/>
      <c r="G285" s="478"/>
      <c r="H285" s="479"/>
      <c r="J285" s="201"/>
      <c r="K285" s="78"/>
      <c r="L285" s="78"/>
      <c r="M285" s="78"/>
      <c r="N285" s="78"/>
      <c r="O285" s="78"/>
      <c r="P285" s="78"/>
      <c r="Q285" s="78"/>
    </row>
    <row r="286" spans="1:17" s="87" customFormat="1" ht="38.25">
      <c r="A286" s="188"/>
      <c r="B286" s="80" t="s">
        <v>13207</v>
      </c>
      <c r="C286" s="81" t="s">
        <v>13210</v>
      </c>
      <c r="D286" s="82" t="s">
        <v>201</v>
      </c>
      <c r="E286" s="82" t="s">
        <v>3495</v>
      </c>
      <c r="F286" s="83"/>
      <c r="G286" s="84"/>
      <c r="H286" s="85">
        <f>SUM(H287:H290)</f>
        <v>18.149041033591729</v>
      </c>
      <c r="J286" s="201" t="s">
        <v>13211</v>
      </c>
      <c r="K286" s="78"/>
      <c r="L286" s="78"/>
      <c r="M286" s="78"/>
      <c r="N286" s="78"/>
      <c r="O286" s="78"/>
      <c r="P286" s="78"/>
      <c r="Q286" s="78"/>
    </row>
    <row r="287" spans="1:17" s="87" customFormat="1" ht="25.5">
      <c r="A287" s="232" t="s">
        <v>4542</v>
      </c>
      <c r="B287" s="464" t="s">
        <v>9492</v>
      </c>
      <c r="C287" s="451" t="str">
        <f>IF(A287="SERVIÇO",VLOOKUP(B287,SERVIÇOS!$A$6:$D$7645,2,0),IF(A287="INSUMO",VLOOKUP(B287,INSUMOS!$A$6:$D$6961,2,0),IF(A287="COTAÇÃO",VLOOKUP(B287,'036-20-Cotação'!$A$9:$G$529,2,0))))</f>
        <v>CAMINHÃO CARROCERIA COM CAPACIDADE DE 15 T - 188 KW</v>
      </c>
      <c r="D287" s="452" t="str">
        <f>IF(A287="SERVIÇO",VLOOKUP(B287,SERVIÇOS!$A$6:$E$7645,5,0),IF(A287="INSUMO",VLOOKUP(B287,INSUMOS!$A$6:$E$6961,5,0),IF(A287="COTAÇÃO",VLOOKUP(B287,'036-20-Cotação'!$A$9:$H$529,8,0))))</f>
        <v>EQUIP.</v>
      </c>
      <c r="E287" s="452" t="str">
        <f>IF(A287="SERVIÇO",VLOOKUP(B287,SERVIÇOS!$A$6:$D$7645,3,0),IF(A287="INSUMO",VLOOKUP(B287,INSUMOS!$A$6:$D$6961,3,0),IF(A287="COTAÇÃO",VLOOKUP(B287,'036-20-Cotação'!$A$9:$G$529,4,0))))</f>
        <v>CHP</v>
      </c>
      <c r="F287" s="462">
        <f>0.82/19.35</f>
        <v>4.2377260981912142E-2</v>
      </c>
      <c r="G287" s="453">
        <f>IF(A287="SERVIÇO",VLOOKUP(B287,SERVIÇOS!$A$6:$D$7645,4,0),IF(A287="INSUMO",VLOOKUP(B287,INSUMOS!$A$6:$D$6961,4,0),IF(A287="COTAÇÃO",VLOOKUP(B287,'036-20-Cotação'!$A$9:$G$529,3,0))))</f>
        <v>155.60769999999999</v>
      </c>
      <c r="H287" s="463">
        <f t="shared" ref="H287:H290" si="53">G287*F287</f>
        <v>6.59422811369509</v>
      </c>
      <c r="J287" s="201"/>
    </row>
    <row r="288" spans="1:17" s="87" customFormat="1" ht="25.5">
      <c r="A288" s="232" t="s">
        <v>4542</v>
      </c>
      <c r="B288" s="464" t="s">
        <v>10009</v>
      </c>
      <c r="C288" s="451" t="str">
        <f>IF(A288="SERVIÇO",VLOOKUP(B288,SERVIÇOS!$A$6:$D$7645,2,0),IF(A288="INSUMO",VLOOKUP(B288,INSUMOS!$A$6:$D$6961,2,0),IF(A288="COTAÇÃO",VLOOKUP(B288,'036-20-Cotação'!$A$9:$G$529,2,0))))</f>
        <v>CAMINHÃO CARROCERIA COM CAPACIDADE DE 15 T - 188 KW</v>
      </c>
      <c r="D288" s="452" t="str">
        <f>IF(A288="SERVIÇO",VLOOKUP(B288,SERVIÇOS!$A$6:$E$7645,5,0),IF(A288="INSUMO",VLOOKUP(B288,INSUMOS!$A$6:$E$6961,5,0),IF(A288="COTAÇÃO",VLOOKUP(B288,'036-20-Cotação'!$A$9:$H$529,8,0))))</f>
        <v>EQUIP.</v>
      </c>
      <c r="E288" s="452" t="str">
        <f>IF(A288="SERVIÇO",VLOOKUP(B288,SERVIÇOS!$A$6:$D$7645,3,0),IF(A288="INSUMO",VLOOKUP(B288,INSUMOS!$A$6:$D$6961,3,0),IF(A288="COTAÇÃO",VLOOKUP(B288,'036-20-Cotação'!$A$9:$G$529,4,0))))</f>
        <v>CHI</v>
      </c>
      <c r="F288" s="462">
        <f>0.18/19.35</f>
        <v>9.302325581395347E-3</v>
      </c>
      <c r="G288" s="453">
        <f>IF(A288="SERVIÇO",VLOOKUP(B288,SERVIÇOS!$A$6:$D$7645,4,0),IF(A288="INSUMO",VLOOKUP(B288,INSUMOS!$A$6:$D$6961,4,0),IF(A288="COTAÇÃO",VLOOKUP(B288,'036-20-Cotação'!$A$9:$G$529,3,0))))</f>
        <v>41.453499999999998</v>
      </c>
      <c r="H288" s="463">
        <f t="shared" ref="H288" si="54">G288*F288</f>
        <v>0.38561395348837202</v>
      </c>
      <c r="J288" s="201"/>
    </row>
    <row r="289" spans="1:17" s="87" customFormat="1" ht="25.5">
      <c r="A289" s="232" t="s">
        <v>4542</v>
      </c>
      <c r="B289" s="464" t="s">
        <v>9562</v>
      </c>
      <c r="C289" s="451" t="str">
        <f>IF(A289="SERVIÇO",VLOOKUP(B289,SERVIÇOS!$A$6:$D$7645,2,0),IF(A289="INSUMO",VLOOKUP(B289,INSUMOS!$A$6:$D$6961,2,0),IF(A289="COTAÇÃO",VLOOKUP(B289,'036-20-Cotação'!$A$9:$G$529,2,0))))</f>
        <v>CAMINHÃO CARROCERIA COM GUINDAUTO COM CAPACIDADE DE 20 T.M - 136 KW</v>
      </c>
      <c r="D289" s="452" t="str">
        <f>IF(A289="SERVIÇO",VLOOKUP(B289,SERVIÇOS!$A$6:$E$7645,5,0),IF(A289="INSUMO",VLOOKUP(B289,INSUMOS!$A$6:$E$6961,5,0),IF(A289="COTAÇÃO",VLOOKUP(B289,'036-20-Cotação'!$A$9:$H$529,8,0))))</f>
        <v>EQUIP.</v>
      </c>
      <c r="E289" s="452" t="str">
        <f>IF(A289="SERVIÇO",VLOOKUP(B289,SERVIÇOS!$A$6:$D$7645,3,0),IF(A289="INSUMO",VLOOKUP(B289,INSUMOS!$A$6:$D$6961,3,0),IF(A289="COTAÇÃO",VLOOKUP(B289,'036-20-Cotação'!$A$9:$G$529,4,0))))</f>
        <v>CHP</v>
      </c>
      <c r="F289" s="462">
        <f>1/19.35</f>
        <v>5.1679586563307491E-2</v>
      </c>
      <c r="G289" s="453">
        <f>IF(A289="SERVIÇO",VLOOKUP(B289,SERVIÇOS!$A$6:$D$7645,4,0),IF(A289="INSUMO",VLOOKUP(B289,INSUMOS!$A$6:$D$6961,4,0),IF(A289="COTAÇÃO",VLOOKUP(B289,'036-20-Cotação'!$A$9:$G$529,3,0))))</f>
        <v>184.84899999999999</v>
      </c>
      <c r="H289" s="463">
        <f t="shared" ref="H289" si="55">G289*F289</f>
        <v>9.5529198966408266</v>
      </c>
      <c r="J289" s="201"/>
    </row>
    <row r="290" spans="1:17" s="87" customFormat="1" ht="12.75">
      <c r="A290" s="232" t="s">
        <v>4542</v>
      </c>
      <c r="B290" s="464" t="s">
        <v>6602</v>
      </c>
      <c r="C290" s="451" t="str">
        <f>IF(A290="SERVIÇO",VLOOKUP(B290,SERVIÇOS!$A$6:$D$7645,2,0),IF(A290="INSUMO",VLOOKUP(B290,INSUMOS!$A$6:$D$6961,2,0),IF(A290="COTAÇÃO",VLOOKUP(B290,'036-20-Cotação'!$A$9:$G$529,2,0))))</f>
        <v>SERVENTE</v>
      </c>
      <c r="D290" s="452" t="str">
        <f>IF(A290="SERVIÇO",VLOOKUP(B290,SERVIÇOS!$A$6:$E$7645,5,0),IF(A290="INSUMO",VLOOKUP(B290,INSUMOS!$A$6:$E$6961,5,0),IF(A290="COTAÇÃO",VLOOKUP(B290,'036-20-Cotação'!$A$9:$H$529,8,0))))</f>
        <v>M.O</v>
      </c>
      <c r="E290" s="452" t="str">
        <f>IF(A290="SERVIÇO",VLOOKUP(B290,SERVIÇOS!$A$6:$D$7645,3,0),IF(A290="INSUMO",VLOOKUP(B290,INSUMOS!$A$6:$D$6961,3,0),IF(A290="COTAÇÃO",VLOOKUP(B290,'036-20-Cotação'!$A$9:$G$529,4,0))))</f>
        <v>H</v>
      </c>
      <c r="F290" s="462">
        <f>2/19.35</f>
        <v>0.10335917312661498</v>
      </c>
      <c r="G290" s="453">
        <f>IF(A290="SERVIÇO",VLOOKUP(B290,SERVIÇOS!$A$6:$D$7645,4,0),IF(A290="INSUMO",VLOOKUP(B290,INSUMOS!$A$6:$D$6961,4,0),IF(A290="COTAÇÃO",VLOOKUP(B290,'036-20-Cotação'!$A$9:$G$529,3,0))))</f>
        <v>15.637499999999999</v>
      </c>
      <c r="H290" s="463">
        <f t="shared" si="53"/>
        <v>1.6162790697674416</v>
      </c>
      <c r="J290" s="201"/>
    </row>
    <row r="291" spans="1:17" s="87" customFormat="1" ht="12.75">
      <c r="A291" s="188"/>
      <c r="B291" s="348" t="s">
        <v>123</v>
      </c>
      <c r="C291" s="695" t="s">
        <v>13213</v>
      </c>
      <c r="D291" s="696"/>
      <c r="E291" s="696"/>
      <c r="F291" s="696"/>
      <c r="G291" s="696"/>
      <c r="H291" s="697"/>
      <c r="J291" s="201"/>
      <c r="K291" s="78"/>
      <c r="L291" s="78"/>
      <c r="M291" s="78"/>
      <c r="N291" s="78"/>
      <c r="O291" s="78"/>
      <c r="P291" s="78"/>
      <c r="Q291" s="78"/>
    </row>
    <row r="292" spans="1:17" s="87" customFormat="1" ht="12.75">
      <c r="A292" s="188"/>
      <c r="B292" s="346"/>
      <c r="C292" s="482"/>
      <c r="D292" s="482"/>
      <c r="E292" s="482"/>
      <c r="F292" s="482"/>
      <c r="G292" s="482"/>
      <c r="H292" s="483"/>
      <c r="J292" s="201"/>
      <c r="K292" s="78"/>
      <c r="L292" s="78"/>
      <c r="M292" s="78"/>
      <c r="N292" s="78"/>
      <c r="O292" s="78"/>
      <c r="P292" s="78"/>
      <c r="Q292" s="78"/>
    </row>
    <row r="293" spans="1:17" s="87" customFormat="1" ht="25.5">
      <c r="A293" s="188"/>
      <c r="B293" s="80" t="s">
        <v>13224</v>
      </c>
      <c r="C293" s="81" t="s">
        <v>13234</v>
      </c>
      <c r="D293" s="82" t="s">
        <v>201</v>
      </c>
      <c r="E293" s="82" t="s">
        <v>3495</v>
      </c>
      <c r="F293" s="83"/>
      <c r="G293" s="84"/>
      <c r="H293" s="85">
        <f>SUM(H294:H295)</f>
        <v>13.226529209621994</v>
      </c>
      <c r="J293" s="201" t="s">
        <v>13225</v>
      </c>
      <c r="K293" s="78"/>
      <c r="L293" s="78"/>
      <c r="M293" s="78"/>
      <c r="N293" s="78"/>
      <c r="O293" s="78"/>
      <c r="P293" s="78"/>
      <c r="Q293" s="78"/>
    </row>
    <row r="294" spans="1:17" s="87" customFormat="1" ht="25.5">
      <c r="A294" s="232" t="s">
        <v>4542</v>
      </c>
      <c r="B294" s="464" t="s">
        <v>9391</v>
      </c>
      <c r="C294" s="451" t="str">
        <f>IF(A294="SERVIÇO",VLOOKUP(B294,SERVIÇOS!$A$6:$D$7645,2,0),IF(A294="INSUMO",VLOOKUP(B294,INSUMOS!$A$6:$D$6961,2,0),IF(A294="COTAÇÃO",VLOOKUP(B294,'036-20-Cotação'!$A$9:$G$529,2,0))))</f>
        <v>CAMINHÃO CARROCERIA COM GUINDAUTO COM CAPACIDADE DE 45 T.M - 188 KW</v>
      </c>
      <c r="D294" s="452" t="str">
        <f>IF(A294="SERVIÇO",VLOOKUP(B294,SERVIÇOS!$A$6:$E$7645,5,0),IF(A294="INSUMO",VLOOKUP(B294,INSUMOS!$A$6:$E$6961,5,0),IF(A294="COTAÇÃO",VLOOKUP(B294,'036-20-Cotação'!$A$9:$H$529,8,0))))</f>
        <v>EQUIP.</v>
      </c>
      <c r="E294" s="452" t="str">
        <f>IF(A294="SERVIÇO",VLOOKUP(B294,SERVIÇOS!$A$6:$D$7645,3,0),IF(A294="INSUMO",VLOOKUP(B294,INSUMOS!$A$6:$D$6961,3,0),IF(A294="COTAÇÃO",VLOOKUP(B294,'036-20-Cotação'!$A$9:$G$529,4,0))))</f>
        <v>CHP</v>
      </c>
      <c r="F294" s="462">
        <f>1/20.37</f>
        <v>4.9091801669121256E-2</v>
      </c>
      <c r="G294" s="453">
        <f>IF(A294="SERVIÇO",VLOOKUP(B294,SERVIÇOS!$A$6:$D$7645,4,0),IF(A294="INSUMO",VLOOKUP(B294,INSUMOS!$A$6:$D$6961,4,0),IF(A294="COTAÇÃO",VLOOKUP(B294,'036-20-Cotação'!$A$9:$G$529,3,0))))</f>
        <v>238.14940000000001</v>
      </c>
      <c r="H294" s="463">
        <f t="shared" ref="H294:H295" si="56">G294*F294</f>
        <v>11.691183112420227</v>
      </c>
      <c r="J294" s="201"/>
    </row>
    <row r="295" spans="1:17" s="87" customFormat="1" ht="12.75">
      <c r="A295" s="232" t="s">
        <v>4542</v>
      </c>
      <c r="B295" s="464" t="s">
        <v>6602</v>
      </c>
      <c r="C295" s="451" t="str">
        <f>IF(A295="SERVIÇO",VLOOKUP(B295,SERVIÇOS!$A$6:$D$7645,2,0),IF(A295="INSUMO",VLOOKUP(B295,INSUMOS!$A$6:$D$6961,2,0),IF(A295="COTAÇÃO",VLOOKUP(B295,'036-20-Cotação'!$A$9:$G$529,2,0))))</f>
        <v>SERVENTE</v>
      </c>
      <c r="D295" s="452" t="str">
        <f>IF(A295="SERVIÇO",VLOOKUP(B295,SERVIÇOS!$A$6:$E$7645,5,0),IF(A295="INSUMO",VLOOKUP(B295,INSUMOS!$A$6:$E$6961,5,0),IF(A295="COTAÇÃO",VLOOKUP(B295,'036-20-Cotação'!$A$9:$H$529,8,0))))</f>
        <v>M.O</v>
      </c>
      <c r="E295" s="452" t="str">
        <f>IF(A295="SERVIÇO",VLOOKUP(B295,SERVIÇOS!$A$6:$D$7645,3,0),IF(A295="INSUMO",VLOOKUP(B295,INSUMOS!$A$6:$D$6961,3,0),IF(A295="COTAÇÃO",VLOOKUP(B295,'036-20-Cotação'!$A$9:$G$529,4,0))))</f>
        <v>H</v>
      </c>
      <c r="F295" s="462">
        <f>2/20.37</f>
        <v>9.8183603338242512E-2</v>
      </c>
      <c r="G295" s="453">
        <f>IF(A295="SERVIÇO",VLOOKUP(B295,SERVIÇOS!$A$6:$D$7645,4,0),IF(A295="INSUMO",VLOOKUP(B295,INSUMOS!$A$6:$D$6961,4,0),IF(A295="COTAÇÃO",VLOOKUP(B295,'036-20-Cotação'!$A$9:$G$529,3,0))))</f>
        <v>15.637499999999999</v>
      </c>
      <c r="H295" s="463">
        <f t="shared" si="56"/>
        <v>1.5353460972017672</v>
      </c>
      <c r="J295" s="201"/>
    </row>
    <row r="296" spans="1:17" s="87" customFormat="1" ht="12.75">
      <c r="A296" s="188"/>
      <c r="B296" s="348" t="s">
        <v>123</v>
      </c>
      <c r="C296" s="695" t="s">
        <v>13223</v>
      </c>
      <c r="D296" s="696"/>
      <c r="E296" s="696"/>
      <c r="F296" s="696"/>
      <c r="G296" s="696"/>
      <c r="H296" s="697"/>
      <c r="J296" s="201"/>
      <c r="K296" s="78"/>
      <c r="L296" s="78"/>
      <c r="M296" s="78"/>
      <c r="N296" s="78"/>
      <c r="O296" s="78"/>
      <c r="P296" s="78"/>
      <c r="Q296" s="78"/>
    </row>
    <row r="297" spans="1:17" s="87" customFormat="1" ht="12.75">
      <c r="A297" s="188"/>
      <c r="B297" s="346"/>
      <c r="C297" s="482"/>
      <c r="D297" s="482"/>
      <c r="E297" s="482"/>
      <c r="F297" s="482"/>
      <c r="G297" s="482"/>
      <c r="H297" s="483"/>
      <c r="J297" s="201"/>
      <c r="K297" s="78"/>
      <c r="L297" s="78"/>
      <c r="M297" s="78"/>
      <c r="N297" s="78"/>
      <c r="O297" s="78"/>
      <c r="P297" s="78"/>
      <c r="Q297" s="78"/>
    </row>
    <row r="298" spans="1:17" s="87" customFormat="1" ht="25.5">
      <c r="A298" s="188"/>
      <c r="B298" s="80" t="s">
        <v>13226</v>
      </c>
      <c r="C298" s="81" t="s">
        <v>13233</v>
      </c>
      <c r="D298" s="82" t="s">
        <v>201</v>
      </c>
      <c r="E298" s="82" t="s">
        <v>3495</v>
      </c>
      <c r="F298" s="83"/>
      <c r="G298" s="84"/>
      <c r="H298" s="85">
        <f>SUM(H299:H300)</f>
        <v>0.93386493946512461</v>
      </c>
      <c r="J298" s="201" t="s">
        <v>13228</v>
      </c>
      <c r="K298" s="78"/>
      <c r="L298" s="78"/>
      <c r="M298" s="78"/>
      <c r="N298" s="78"/>
      <c r="O298" s="78"/>
      <c r="P298" s="78"/>
      <c r="Q298" s="78"/>
    </row>
    <row r="299" spans="1:17" s="87" customFormat="1" ht="25.5">
      <c r="A299" s="232" t="s">
        <v>4542</v>
      </c>
      <c r="B299" s="464" t="s">
        <v>9488</v>
      </c>
      <c r="C299" s="451" t="str">
        <f>IF(A299="SERVIÇO",VLOOKUP(B299,SERVIÇOS!$A$6:$D$7645,2,0),IF(A299="INSUMO",VLOOKUP(B299,INSUMOS!$A$6:$D$6961,2,0),IF(A299="COTAÇÃO",VLOOKUP(B299,'036-20-Cotação'!$A$9:$G$529,2,0))))</f>
        <v>CAMINHÃO BASCULANTE COM CAPACIDADE DE 10 M³ - 188 KW</v>
      </c>
      <c r="D299" s="452" t="str">
        <f>IF(A299="SERVIÇO",VLOOKUP(B299,SERVIÇOS!$A$6:$E$7645,5,0),IF(A299="INSUMO",VLOOKUP(B299,INSUMOS!$A$6:$E$6961,5,0),IF(A299="COTAÇÃO",VLOOKUP(B299,'036-20-Cotação'!$A$9:$H$529,8,0))))</f>
        <v>EQUIP.</v>
      </c>
      <c r="E299" s="452" t="str">
        <f>IF(A299="SERVIÇO",VLOOKUP(B299,SERVIÇOS!$A$6:$D$7645,3,0),IF(A299="INSUMO",VLOOKUP(B299,INSUMOS!$A$6:$D$6961,3,0),IF(A299="COTAÇÃO",VLOOKUP(B299,'036-20-Cotação'!$A$9:$G$529,4,0))))</f>
        <v>CHP</v>
      </c>
      <c r="F299" s="462">
        <f>0.82/442.72*3</f>
        <v>5.5565594506685936E-3</v>
      </c>
      <c r="G299" s="453">
        <f>IF(A299="SERVIÇO",VLOOKUP(B299,SERVIÇOS!$A$6:$D$7645,4,0),IF(A299="INSUMO",VLOOKUP(B299,INSUMOS!$A$6:$D$6961,4,0),IF(A299="COTAÇÃO",VLOOKUP(B299,'036-20-Cotação'!$A$9:$G$529,3,0))))</f>
        <v>158.65469999999999</v>
      </c>
      <c r="H299" s="463">
        <f t="shared" ref="H299" si="57">G299*F299</f>
        <v>0.88157427267799049</v>
      </c>
      <c r="J299" s="201"/>
    </row>
    <row r="300" spans="1:17" s="87" customFormat="1" ht="25.5">
      <c r="A300" s="232" t="s">
        <v>4542</v>
      </c>
      <c r="B300" s="464" t="s">
        <v>10007</v>
      </c>
      <c r="C300" s="451" t="str">
        <f>IF(A300="SERVIÇO",VLOOKUP(B300,SERVIÇOS!$A$6:$D$7645,2,0),IF(A300="INSUMO",VLOOKUP(B300,INSUMOS!$A$6:$D$6961,2,0),IF(A300="COTAÇÃO",VLOOKUP(B300,'036-20-Cotação'!$A$9:$G$529,2,0))))</f>
        <v>CAMINHÃO BASCULANTE COM CAPACIDADE DE 10 M³ - 188 KW</v>
      </c>
      <c r="D300" s="452" t="str">
        <f>IF(A300="SERVIÇO",VLOOKUP(B300,SERVIÇOS!$A$6:$E$7645,5,0),IF(A300="INSUMO",VLOOKUP(B300,INSUMOS!$A$6:$E$6961,5,0),IF(A300="COTAÇÃO",VLOOKUP(B300,'036-20-Cotação'!$A$9:$H$529,8,0))))</f>
        <v>EQUIP.</v>
      </c>
      <c r="E300" s="452" t="str">
        <f>IF(A300="SERVIÇO",VLOOKUP(B300,SERVIÇOS!$A$6:$D$7645,3,0),IF(A300="INSUMO",VLOOKUP(B300,INSUMOS!$A$6:$D$6961,3,0),IF(A300="COTAÇÃO",VLOOKUP(B300,'036-20-Cotação'!$A$9:$G$529,4,0))))</f>
        <v>CHI</v>
      </c>
      <c r="F300" s="462">
        <f>0.18/442.72*3</f>
        <v>1.2197325623418864E-3</v>
      </c>
      <c r="G300" s="453">
        <f>IF(A300="SERVIÇO",VLOOKUP(B300,SERVIÇOS!$A$6:$D$7645,4,0),IF(A300="INSUMO",VLOOKUP(B300,INSUMOS!$A$6:$D$6961,4,0),IF(A300="COTAÇÃO",VLOOKUP(B300,'036-20-Cotação'!$A$9:$G$529,3,0))))</f>
        <v>42.870600000000003</v>
      </c>
      <c r="H300" s="463">
        <f t="shared" ref="H300" si="58">G300*F300</f>
        <v>5.229066678713408E-2</v>
      </c>
      <c r="J300" s="201"/>
    </row>
    <row r="301" spans="1:17" s="87" customFormat="1" ht="12.75">
      <c r="A301" s="188"/>
      <c r="B301" s="348" t="s">
        <v>123</v>
      </c>
      <c r="C301" s="695" t="s">
        <v>13227</v>
      </c>
      <c r="D301" s="696"/>
      <c r="E301" s="696"/>
      <c r="F301" s="696"/>
      <c r="G301" s="696"/>
      <c r="H301" s="697"/>
      <c r="J301" s="201"/>
      <c r="K301" s="78"/>
      <c r="L301" s="78"/>
      <c r="M301" s="78"/>
      <c r="N301" s="78"/>
      <c r="O301" s="78"/>
      <c r="P301" s="78"/>
      <c r="Q301" s="78"/>
    </row>
    <row r="302" spans="1:17" s="87" customFormat="1" ht="12.75">
      <c r="A302" s="188"/>
      <c r="B302" s="346"/>
      <c r="C302" s="489"/>
      <c r="D302" s="489"/>
      <c r="E302" s="489"/>
      <c r="F302" s="489"/>
      <c r="G302" s="489"/>
      <c r="H302" s="490"/>
      <c r="J302" s="201"/>
      <c r="K302" s="78"/>
      <c r="L302" s="78"/>
      <c r="M302" s="78"/>
      <c r="N302" s="78"/>
      <c r="O302" s="78"/>
      <c r="P302" s="78"/>
      <c r="Q302" s="78"/>
    </row>
    <row r="303" spans="1:17" s="87" customFormat="1" ht="38.25">
      <c r="A303" s="188"/>
      <c r="B303" s="80" t="s">
        <v>13401</v>
      </c>
      <c r="C303" s="81" t="s">
        <v>13403</v>
      </c>
      <c r="D303" s="82" t="s">
        <v>201</v>
      </c>
      <c r="E303" s="82" t="s">
        <v>3495</v>
      </c>
      <c r="F303" s="83"/>
      <c r="G303" s="84"/>
      <c r="H303" s="85">
        <f>SUM(H304:H306)</f>
        <v>1.4220211104083844</v>
      </c>
      <c r="J303" s="201" t="s">
        <v>13228</v>
      </c>
      <c r="K303" s="78"/>
      <c r="L303" s="78"/>
      <c r="M303" s="78"/>
      <c r="N303" s="78"/>
      <c r="O303" s="78"/>
      <c r="P303" s="78"/>
      <c r="Q303" s="78"/>
    </row>
    <row r="304" spans="1:17" s="87" customFormat="1" ht="25.5">
      <c r="A304" s="232" t="s">
        <v>4542</v>
      </c>
      <c r="B304" s="464" t="s">
        <v>9488</v>
      </c>
      <c r="C304" s="451" t="str">
        <f>IF(A304="SERVIÇO",VLOOKUP(B304,SERVIÇOS!$A$6:$D$7645,2,0),IF(A304="INSUMO",VLOOKUP(B304,INSUMOS!$A$6:$D$6961,2,0),IF(A304="COTAÇÃO",VLOOKUP(B304,'036-20-Cotação'!$A$9:$G$529,2,0))))</f>
        <v>CAMINHÃO BASCULANTE COM CAPACIDADE DE 10 M³ - 188 KW</v>
      </c>
      <c r="D304" s="452" t="str">
        <f>IF(A304="SERVIÇO",VLOOKUP(B304,SERVIÇOS!$A$6:$E$7645,5,0),IF(A304="INSUMO",VLOOKUP(B304,INSUMOS!$A$6:$E$6961,5,0),IF(A304="COTAÇÃO",VLOOKUP(B304,'036-20-Cotação'!$A$9:$H$529,8,0))))</f>
        <v>EQUIP.</v>
      </c>
      <c r="E304" s="452" t="str">
        <f>IF(A304="SERVIÇO",VLOOKUP(B304,SERVIÇOS!$A$6:$D$7645,3,0),IF(A304="INSUMO",VLOOKUP(B304,INSUMOS!$A$6:$D$6961,3,0),IF(A304="COTAÇÃO",VLOOKUP(B304,'036-20-Cotação'!$A$9:$G$529,4,0))))</f>
        <v>CHP</v>
      </c>
      <c r="F304" s="462">
        <f>0.82/442.72*3</f>
        <v>5.5565594506685936E-3</v>
      </c>
      <c r="G304" s="453">
        <f>IF(A304="SERVIÇO",VLOOKUP(B304,SERVIÇOS!$A$6:$D$7645,4,0),IF(A304="INSUMO",VLOOKUP(B304,INSUMOS!$A$6:$D$6961,4,0),IF(A304="COTAÇÃO",VLOOKUP(B304,'036-20-Cotação'!$A$9:$G$529,3,0))))</f>
        <v>158.65469999999999</v>
      </c>
      <c r="H304" s="463">
        <f t="shared" ref="H304:H305" si="59">G304*F304</f>
        <v>0.88157427267799049</v>
      </c>
      <c r="J304" s="201"/>
    </row>
    <row r="305" spans="1:17" s="87" customFormat="1" ht="25.5">
      <c r="A305" s="232" t="s">
        <v>4542</v>
      </c>
      <c r="B305" s="464" t="s">
        <v>10007</v>
      </c>
      <c r="C305" s="451" t="str">
        <f>IF(A305="SERVIÇO",VLOOKUP(B305,SERVIÇOS!$A$6:$D$7645,2,0),IF(A305="INSUMO",VLOOKUP(B305,INSUMOS!$A$6:$D$6961,2,0),IF(A305="COTAÇÃO",VLOOKUP(B305,'036-20-Cotação'!$A$9:$G$529,2,0))))</f>
        <v>CAMINHÃO BASCULANTE COM CAPACIDADE DE 10 M³ - 188 KW</v>
      </c>
      <c r="D305" s="452" t="str">
        <f>IF(A305="SERVIÇO",VLOOKUP(B305,SERVIÇOS!$A$6:$E$7645,5,0),IF(A305="INSUMO",VLOOKUP(B305,INSUMOS!$A$6:$E$6961,5,0),IF(A305="COTAÇÃO",VLOOKUP(B305,'036-20-Cotação'!$A$9:$H$529,8,0))))</f>
        <v>EQUIP.</v>
      </c>
      <c r="E305" s="452" t="str">
        <f>IF(A305="SERVIÇO",VLOOKUP(B305,SERVIÇOS!$A$6:$D$7645,3,0),IF(A305="INSUMO",VLOOKUP(B305,INSUMOS!$A$6:$D$6961,3,0),IF(A305="COTAÇÃO",VLOOKUP(B305,'036-20-Cotação'!$A$9:$G$529,4,0))))</f>
        <v>CHI</v>
      </c>
      <c r="F305" s="462">
        <f>0.18/442.72*3</f>
        <v>1.2197325623418864E-3</v>
      </c>
      <c r="G305" s="453">
        <f>IF(A305="SERVIÇO",VLOOKUP(B305,SERVIÇOS!$A$6:$D$7645,4,0),IF(A305="INSUMO",VLOOKUP(B305,INSUMOS!$A$6:$D$6961,4,0),IF(A305="COTAÇÃO",VLOOKUP(B305,'036-20-Cotação'!$A$9:$G$529,3,0))))</f>
        <v>42.870600000000003</v>
      </c>
      <c r="H305" s="463">
        <f t="shared" si="59"/>
        <v>5.229066678713408E-2</v>
      </c>
      <c r="J305" s="201"/>
    </row>
    <row r="306" spans="1:17" s="87" customFormat="1" ht="25.5">
      <c r="A306" s="232" t="s">
        <v>4542</v>
      </c>
      <c r="B306" s="464" t="s">
        <v>8988</v>
      </c>
      <c r="C306" s="451" t="str">
        <f>IF(A306="SERVIÇO",VLOOKUP(B306,SERVIÇOS!$A$6:$D$7645,2,0),IF(A306="INSUMO",VLOOKUP(B306,INSUMOS!$A$6:$D$6961,2,0),IF(A306="COTAÇÃO",VLOOKUP(B306,'036-20-Cotação'!$A$9:$G$529,2,0))))</f>
        <v>CARREGADEIRA DE PNEUS COM CAPACIDADE DE 3,3 M³ - 213 KW</v>
      </c>
      <c r="D306" s="452" t="str">
        <f>IF(A306="SERVIÇO",VLOOKUP(B306,SERVIÇOS!$A$6:$E$7645,5,0),IF(A306="INSUMO",VLOOKUP(B306,INSUMOS!$A$6:$E$6961,5,0),IF(A306="COTAÇÃO",VLOOKUP(B306,'036-20-Cotação'!$A$9:$H$529,8,0))))</f>
        <v>EQUIP.</v>
      </c>
      <c r="E306" s="452" t="str">
        <f>IF(A306="SERVIÇO",VLOOKUP(B306,SERVIÇOS!$A$6:$D$7645,3,0),IF(A306="INSUMO",VLOOKUP(B306,INSUMOS!$A$6:$D$6961,3,0),IF(A306="COTAÇÃO",VLOOKUP(B306,'036-20-Cotação'!$A$9:$G$529,4,0))))</f>
        <v>CHP</v>
      </c>
      <c r="F306" s="462">
        <f>1/442.72</f>
        <v>2.2587640043368268E-3</v>
      </c>
      <c r="G306" s="453">
        <f>IF(A306="SERVIÇO",VLOOKUP(B306,SERVIÇOS!$A$6:$D$7645,4,0),IF(A306="INSUMO",VLOOKUP(B306,INSUMOS!$A$6:$D$6961,4,0),IF(A306="COTAÇÃO",VLOOKUP(B306,'036-20-Cotação'!$A$9:$G$529,3,0))))</f>
        <v>216.1165</v>
      </c>
      <c r="H306" s="463">
        <f t="shared" ref="H306" si="60">G306*F306</f>
        <v>0.48815617094325986</v>
      </c>
      <c r="J306" s="201"/>
    </row>
    <row r="307" spans="1:17" s="87" customFormat="1" ht="12.75">
      <c r="A307" s="188"/>
      <c r="B307" s="348" t="s">
        <v>123</v>
      </c>
      <c r="C307" s="695" t="s">
        <v>13402</v>
      </c>
      <c r="D307" s="696"/>
      <c r="E307" s="696"/>
      <c r="F307" s="696"/>
      <c r="G307" s="696"/>
      <c r="H307" s="697"/>
      <c r="J307" s="201"/>
      <c r="K307" s="78"/>
      <c r="L307" s="78"/>
      <c r="M307" s="78"/>
      <c r="N307" s="78"/>
      <c r="O307" s="78"/>
      <c r="P307" s="78"/>
      <c r="Q307" s="78"/>
    </row>
    <row r="308" spans="1:17" s="87" customFormat="1" ht="12.75">
      <c r="A308" s="188"/>
      <c r="B308" s="346"/>
      <c r="C308" s="482"/>
      <c r="D308" s="482"/>
      <c r="E308" s="482"/>
      <c r="F308" s="482"/>
      <c r="G308" s="482"/>
      <c r="H308" s="483"/>
      <c r="J308" s="201"/>
      <c r="K308" s="78"/>
      <c r="L308" s="78"/>
      <c r="M308" s="78"/>
      <c r="N308" s="78"/>
      <c r="O308" s="78"/>
      <c r="P308" s="78"/>
      <c r="Q308" s="78"/>
    </row>
    <row r="309" spans="1:17" s="87" customFormat="1" ht="25.5">
      <c r="A309" s="188"/>
      <c r="B309" s="80" t="s">
        <v>13229</v>
      </c>
      <c r="C309" s="81" t="s">
        <v>13230</v>
      </c>
      <c r="D309" s="82" t="s">
        <v>201</v>
      </c>
      <c r="E309" s="82" t="s">
        <v>3495</v>
      </c>
      <c r="F309" s="83"/>
      <c r="G309" s="84"/>
      <c r="H309" s="85">
        <f>SUM(H310:H310)</f>
        <v>9.7229390934844204</v>
      </c>
      <c r="J309" s="201" t="s">
        <v>13231</v>
      </c>
      <c r="K309" s="78"/>
      <c r="L309" s="78"/>
      <c r="M309" s="78"/>
      <c r="N309" s="78"/>
      <c r="O309" s="78"/>
      <c r="P309" s="78"/>
      <c r="Q309" s="78"/>
    </row>
    <row r="310" spans="1:17" s="87" customFormat="1" ht="25.5">
      <c r="A310" s="232" t="s">
        <v>4542</v>
      </c>
      <c r="B310" s="464" t="s">
        <v>9444</v>
      </c>
      <c r="C310" s="451" t="str">
        <f>IF(A310="SERVIÇO",VLOOKUP(B310,SERVIÇOS!$A$6:$D$7645,2,0),IF(A310="INSUMO",VLOOKUP(B310,INSUMOS!$A$6:$D$6961,2,0),IF(A310="COTAÇÃO",VLOOKUP(B310,'036-20-Cotação'!$A$9:$G$529,2,0))))</f>
        <v>CAMINHÃO SILO COM CAPACIDADE DE 30 M³ - 265 KW</v>
      </c>
      <c r="D310" s="452" t="str">
        <f>IF(A310="SERVIÇO",VLOOKUP(B310,SERVIÇOS!$A$6:$E$7645,5,0),IF(A310="INSUMO",VLOOKUP(B310,INSUMOS!$A$6:$E$6961,5,0),IF(A310="COTAÇÃO",VLOOKUP(B310,'036-20-Cotação'!$A$9:$H$529,8,0))))</f>
        <v>EQUIP.</v>
      </c>
      <c r="E310" s="452" t="str">
        <f>IF(A310="SERVIÇO",VLOOKUP(B310,SERVIÇOS!$A$6:$D$7645,3,0),IF(A310="INSUMO",VLOOKUP(B310,INSUMOS!$A$6:$D$6961,3,0),IF(A310="COTAÇÃO",VLOOKUP(B310,'036-20-Cotação'!$A$9:$G$529,4,0))))</f>
        <v>CHP</v>
      </c>
      <c r="F310" s="462">
        <f>1/28.24</f>
        <v>3.5410764872521247E-2</v>
      </c>
      <c r="G310" s="453">
        <f>IF(A310="SERVIÇO",VLOOKUP(B310,SERVIÇOS!$A$6:$D$7645,4,0),IF(A310="INSUMO",VLOOKUP(B310,INSUMOS!$A$6:$D$6961,4,0),IF(A310="COTAÇÃO",VLOOKUP(B310,'036-20-Cotação'!$A$9:$G$529,3,0))))</f>
        <v>274.57580000000002</v>
      </c>
      <c r="H310" s="463">
        <f t="shared" ref="H310" si="61">G310*F310</f>
        <v>9.7229390934844204</v>
      </c>
      <c r="J310" s="201"/>
    </row>
    <row r="311" spans="1:17" s="87" customFormat="1" ht="12.75">
      <c r="A311" s="188"/>
      <c r="B311" s="348" t="s">
        <v>123</v>
      </c>
      <c r="C311" s="695" t="s">
        <v>13232</v>
      </c>
      <c r="D311" s="696"/>
      <c r="E311" s="696"/>
      <c r="F311" s="696"/>
      <c r="G311" s="696"/>
      <c r="H311" s="697"/>
      <c r="J311" s="201"/>
      <c r="K311" s="78"/>
      <c r="L311" s="78"/>
      <c r="M311" s="78"/>
      <c r="N311" s="78"/>
      <c r="O311" s="78"/>
      <c r="P311" s="78"/>
      <c r="Q311" s="78"/>
    </row>
    <row r="312" spans="1:17" s="87" customFormat="1" ht="12.75">
      <c r="A312" s="188"/>
      <c r="B312" s="346"/>
      <c r="C312" s="482"/>
      <c r="D312" s="482"/>
      <c r="E312" s="482"/>
      <c r="F312" s="482"/>
      <c r="G312" s="482"/>
      <c r="H312" s="483"/>
      <c r="J312" s="201"/>
      <c r="K312" s="78"/>
      <c r="L312" s="78"/>
      <c r="M312" s="78"/>
      <c r="N312" s="78"/>
      <c r="O312" s="78"/>
      <c r="P312" s="78"/>
      <c r="Q312" s="78"/>
    </row>
    <row r="313" spans="1:17" s="87" customFormat="1" ht="25.5">
      <c r="A313" s="188"/>
      <c r="B313" s="80" t="s">
        <v>13235</v>
      </c>
      <c r="C313" s="81" t="s">
        <v>13236</v>
      </c>
      <c r="D313" s="82" t="s">
        <v>201</v>
      </c>
      <c r="E313" s="82" t="s">
        <v>3495</v>
      </c>
      <c r="F313" s="83"/>
      <c r="G313" s="84"/>
      <c r="H313" s="85">
        <f>SUM(H314:H315)</f>
        <v>9.3722463139635721</v>
      </c>
      <c r="J313" s="201" t="s">
        <v>13237</v>
      </c>
      <c r="K313" s="78"/>
      <c r="L313" s="78"/>
      <c r="M313" s="78"/>
      <c r="N313" s="78"/>
      <c r="O313" s="78"/>
      <c r="P313" s="78"/>
      <c r="Q313" s="78"/>
    </row>
    <row r="314" spans="1:17" s="87" customFormat="1" ht="25.5">
      <c r="A314" s="232" t="s">
        <v>4542</v>
      </c>
      <c r="B314" s="464" t="s">
        <v>9562</v>
      </c>
      <c r="C314" s="451" t="str">
        <f>IF(A314="SERVIÇO",VLOOKUP(B314,SERVIÇOS!$A$6:$D$7645,2,0),IF(A314="INSUMO",VLOOKUP(B314,INSUMOS!$A$6:$D$6961,2,0),IF(A314="COTAÇÃO",VLOOKUP(B314,'036-20-Cotação'!$A$9:$G$529,2,0))))</f>
        <v>CAMINHÃO CARROCERIA COM GUINDAUTO COM CAPACIDADE DE 20 T.M - 136 KW</v>
      </c>
      <c r="D314" s="452" t="str">
        <f>IF(A314="SERVIÇO",VLOOKUP(B314,SERVIÇOS!$A$6:$E$7645,5,0),IF(A314="INSUMO",VLOOKUP(B314,INSUMOS!$A$6:$E$6961,5,0),IF(A314="COTAÇÃO",VLOOKUP(B314,'036-20-Cotação'!$A$9:$H$529,8,0))))</f>
        <v>EQUIP.</v>
      </c>
      <c r="E314" s="452" t="str">
        <f>IF(A314="SERVIÇO",VLOOKUP(B314,SERVIÇOS!$A$6:$D$7645,3,0),IF(A314="INSUMO",VLOOKUP(B314,INSUMOS!$A$6:$D$6961,3,0),IF(A314="COTAÇÃO",VLOOKUP(B314,'036-20-Cotação'!$A$9:$G$529,4,0))))</f>
        <v>CHP</v>
      </c>
      <c r="F314" s="462">
        <f>1/23.06</f>
        <v>4.3365134431916738E-2</v>
      </c>
      <c r="G314" s="453">
        <f>IF(A314="SERVIÇO",VLOOKUP(B314,SERVIÇOS!$A$6:$D$7645,4,0),IF(A314="INSUMO",VLOOKUP(B314,INSUMOS!$A$6:$D$6961,4,0),IF(A314="COTAÇÃO",VLOOKUP(B314,'036-20-Cotação'!$A$9:$G$529,3,0))))</f>
        <v>184.84899999999999</v>
      </c>
      <c r="H314" s="463">
        <f t="shared" ref="H314:H315" si="62">G314*F314</f>
        <v>8.0160017346053767</v>
      </c>
      <c r="J314" s="201"/>
    </row>
    <row r="315" spans="1:17" s="87" customFormat="1" ht="12.75">
      <c r="A315" s="232" t="s">
        <v>4542</v>
      </c>
      <c r="B315" s="464" t="s">
        <v>6602</v>
      </c>
      <c r="C315" s="451" t="str">
        <f>IF(A315="SERVIÇO",VLOOKUP(B315,SERVIÇOS!$A$6:$D$7645,2,0),IF(A315="INSUMO",VLOOKUP(B315,INSUMOS!$A$6:$D$6961,2,0),IF(A315="COTAÇÃO",VLOOKUP(B315,'036-20-Cotação'!$A$9:$G$529,2,0))))</f>
        <v>SERVENTE</v>
      </c>
      <c r="D315" s="452" t="str">
        <f>IF(A315="SERVIÇO",VLOOKUP(B315,SERVIÇOS!$A$6:$E$7645,5,0),IF(A315="INSUMO",VLOOKUP(B315,INSUMOS!$A$6:$E$6961,5,0),IF(A315="COTAÇÃO",VLOOKUP(B315,'036-20-Cotação'!$A$9:$H$529,8,0))))</f>
        <v>M.O</v>
      </c>
      <c r="E315" s="452" t="str">
        <f>IF(A315="SERVIÇO",VLOOKUP(B315,SERVIÇOS!$A$6:$D$7645,3,0),IF(A315="INSUMO",VLOOKUP(B315,INSUMOS!$A$6:$D$6961,3,0),IF(A315="COTAÇÃO",VLOOKUP(B315,'036-20-Cotação'!$A$9:$G$529,4,0))))</f>
        <v>H</v>
      </c>
      <c r="F315" s="462">
        <f>2/23.06</f>
        <v>8.6730268863833476E-2</v>
      </c>
      <c r="G315" s="453">
        <f>IF(A315="SERVIÇO",VLOOKUP(B315,SERVIÇOS!$A$6:$D$7645,4,0),IF(A315="INSUMO",VLOOKUP(B315,INSUMOS!$A$6:$D$6961,4,0),IF(A315="COTAÇÃO",VLOOKUP(B315,'036-20-Cotação'!$A$9:$G$529,3,0))))</f>
        <v>15.637499999999999</v>
      </c>
      <c r="H315" s="463">
        <f t="shared" si="62"/>
        <v>1.3562445793581959</v>
      </c>
      <c r="J315" s="201"/>
    </row>
    <row r="316" spans="1:17" s="87" customFormat="1" ht="12.75">
      <c r="A316" s="188"/>
      <c r="B316" s="348" t="s">
        <v>123</v>
      </c>
      <c r="C316" s="695" t="s">
        <v>13134</v>
      </c>
      <c r="D316" s="696"/>
      <c r="E316" s="696"/>
      <c r="F316" s="696"/>
      <c r="G316" s="696"/>
      <c r="H316" s="697"/>
      <c r="J316" s="201"/>
      <c r="K316" s="78"/>
      <c r="L316" s="78"/>
      <c r="M316" s="78"/>
      <c r="N316" s="78"/>
      <c r="O316" s="78"/>
      <c r="P316" s="78"/>
      <c r="Q316" s="78"/>
    </row>
    <row r="317" spans="1:17" s="87" customFormat="1" ht="12.75">
      <c r="A317" s="188"/>
      <c r="B317" s="346"/>
      <c r="C317" s="482"/>
      <c r="D317" s="482"/>
      <c r="E317" s="482"/>
      <c r="F317" s="482"/>
      <c r="G317" s="482"/>
      <c r="H317" s="483"/>
      <c r="J317" s="201"/>
      <c r="K317" s="78"/>
      <c r="L317" s="78"/>
      <c r="M317" s="78"/>
      <c r="N317" s="78"/>
      <c r="O317" s="78"/>
      <c r="P317" s="78"/>
      <c r="Q317" s="78"/>
    </row>
    <row r="318" spans="1:17" s="87" customFormat="1" ht="25.5">
      <c r="A318" s="188"/>
      <c r="B318" s="80" t="s">
        <v>13238</v>
      </c>
      <c r="C318" s="81" t="s">
        <v>13239</v>
      </c>
      <c r="D318" s="82" t="s">
        <v>201</v>
      </c>
      <c r="E318" s="82" t="s">
        <v>3495</v>
      </c>
      <c r="F318" s="83"/>
      <c r="G318" s="84"/>
      <c r="H318" s="85">
        <f>SUM(H319:H320)</f>
        <v>49.225874769797421</v>
      </c>
      <c r="J318" s="201" t="s">
        <v>13241</v>
      </c>
      <c r="K318" s="78"/>
      <c r="L318" s="78"/>
      <c r="M318" s="78"/>
      <c r="N318" s="78"/>
      <c r="O318" s="78"/>
      <c r="P318" s="78"/>
      <c r="Q318" s="78"/>
    </row>
    <row r="319" spans="1:17" s="87" customFormat="1" ht="25.5">
      <c r="A319" s="232" t="s">
        <v>4542</v>
      </c>
      <c r="B319" s="464" t="s">
        <v>9460</v>
      </c>
      <c r="C319" s="451" t="str">
        <f>IF(A319="SERVIÇO",VLOOKUP(B319,SERVIÇOS!$A$6:$D$7645,2,0),IF(A319="INSUMO",VLOOKUP(B319,INSUMOS!$A$6:$D$6961,2,0),IF(A319="COTAÇÃO",VLOOKUP(B319,'036-20-Cotação'!$A$9:$G$529,2,0))))</f>
        <v>CAMINHÃO BASCULANTE COM CAPACIDADE DE 6 M³ - 136 KW</v>
      </c>
      <c r="D319" s="452" t="str">
        <f>IF(A319="SERVIÇO",VLOOKUP(B319,SERVIÇOS!$A$6:$E$7645,5,0),IF(A319="INSUMO",VLOOKUP(B319,INSUMOS!$A$6:$E$6961,5,0),IF(A319="COTAÇÃO",VLOOKUP(B319,'036-20-Cotação'!$A$9:$H$529,8,0))))</f>
        <v>EQUIP.</v>
      </c>
      <c r="E319" s="452" t="str">
        <f>IF(A319="SERVIÇO",VLOOKUP(B319,SERVIÇOS!$A$6:$D$7645,3,0),IF(A319="INSUMO",VLOOKUP(B319,INSUMOS!$A$6:$D$6961,3,0),IF(A319="COTAÇÃO",VLOOKUP(B319,'036-20-Cotação'!$A$9:$G$529,4,0))))</f>
        <v>CHP</v>
      </c>
      <c r="F319" s="462">
        <f>1/5.43</f>
        <v>0.18416206261510129</v>
      </c>
      <c r="G319" s="453">
        <f>IF(A319="SERVIÇO",VLOOKUP(B319,SERVIÇOS!$A$6:$D$7645,4,0),IF(A319="INSUMO",VLOOKUP(B319,INSUMOS!$A$6:$D$6961,4,0),IF(A319="COTAÇÃO",VLOOKUP(B319,'036-20-Cotação'!$A$9:$G$529,3,0))))</f>
        <v>110.92149999999999</v>
      </c>
      <c r="H319" s="463">
        <f t="shared" ref="H319:H320" si="63">G319*F319</f>
        <v>20.427532228360956</v>
      </c>
      <c r="J319" s="201"/>
    </row>
    <row r="320" spans="1:17" s="87" customFormat="1" ht="12.75">
      <c r="A320" s="232" t="s">
        <v>4542</v>
      </c>
      <c r="B320" s="464" t="s">
        <v>6602</v>
      </c>
      <c r="C320" s="451" t="str">
        <f>IF(A320="SERVIÇO",VLOOKUP(B320,SERVIÇOS!$A$6:$D$7645,2,0),IF(A320="INSUMO",VLOOKUP(B320,INSUMOS!$A$6:$D$6961,2,0),IF(A320="COTAÇÃO",VLOOKUP(B320,'036-20-Cotação'!$A$9:$G$529,2,0))))</f>
        <v>SERVENTE</v>
      </c>
      <c r="D320" s="452" t="str">
        <f>IF(A320="SERVIÇO",VLOOKUP(B320,SERVIÇOS!$A$6:$E$7645,5,0),IF(A320="INSUMO",VLOOKUP(B320,INSUMOS!$A$6:$E$6961,5,0),IF(A320="COTAÇÃO",VLOOKUP(B320,'036-20-Cotação'!$A$9:$H$529,8,0))))</f>
        <v>M.O</v>
      </c>
      <c r="E320" s="452" t="str">
        <f>IF(A320="SERVIÇO",VLOOKUP(B320,SERVIÇOS!$A$6:$D$7645,3,0),IF(A320="INSUMO",VLOOKUP(B320,INSUMOS!$A$6:$D$6961,3,0),IF(A320="COTAÇÃO",VLOOKUP(B320,'036-20-Cotação'!$A$9:$G$529,4,0))))</f>
        <v>H</v>
      </c>
      <c r="F320" s="462">
        <f>10/5.43</f>
        <v>1.8416206261510131</v>
      </c>
      <c r="G320" s="453">
        <f>IF(A320="SERVIÇO",VLOOKUP(B320,SERVIÇOS!$A$6:$D$7645,4,0),IF(A320="INSUMO",VLOOKUP(B320,INSUMOS!$A$6:$D$6961,4,0),IF(A320="COTAÇÃO",VLOOKUP(B320,'036-20-Cotação'!$A$9:$G$529,3,0))))</f>
        <v>15.637499999999999</v>
      </c>
      <c r="H320" s="463">
        <f t="shared" si="63"/>
        <v>28.798342541436465</v>
      </c>
      <c r="J320" s="201"/>
    </row>
    <row r="321" spans="1:17" s="87" customFormat="1" ht="12.75">
      <c r="A321" s="188"/>
      <c r="B321" s="348" t="s">
        <v>123</v>
      </c>
      <c r="C321" s="695" t="s">
        <v>13240</v>
      </c>
      <c r="D321" s="696"/>
      <c r="E321" s="696"/>
      <c r="F321" s="696"/>
      <c r="G321" s="696"/>
      <c r="H321" s="697"/>
      <c r="J321" s="201"/>
      <c r="K321" s="78"/>
      <c r="L321" s="78"/>
      <c r="M321" s="78"/>
      <c r="N321" s="78"/>
      <c r="O321" s="78"/>
      <c r="P321" s="78"/>
      <c r="Q321" s="78"/>
    </row>
    <row r="322" spans="1:17" s="87" customFormat="1" ht="12.75">
      <c r="A322" s="188"/>
      <c r="B322" s="346"/>
      <c r="C322" s="482"/>
      <c r="D322" s="482"/>
      <c r="E322" s="482"/>
      <c r="F322" s="482"/>
      <c r="G322" s="482"/>
      <c r="H322" s="483"/>
      <c r="J322" s="201"/>
      <c r="K322" s="78"/>
      <c r="L322" s="78"/>
      <c r="M322" s="78"/>
      <c r="N322" s="78"/>
      <c r="O322" s="78"/>
      <c r="P322" s="78"/>
      <c r="Q322" s="78"/>
    </row>
    <row r="323" spans="1:17" s="87" customFormat="1" ht="38.25">
      <c r="A323" s="188"/>
      <c r="B323" s="80" t="s">
        <v>13262</v>
      </c>
      <c r="C323" s="81" t="s">
        <v>13261</v>
      </c>
      <c r="D323" s="82" t="s">
        <v>201</v>
      </c>
      <c r="E323" s="82" t="s">
        <v>3495</v>
      </c>
      <c r="F323" s="83"/>
      <c r="G323" s="84"/>
      <c r="H323" s="85">
        <f>SUM(H324:H325)</f>
        <v>6.6974170120481924</v>
      </c>
      <c r="J323" s="201" t="s">
        <v>13176</v>
      </c>
      <c r="K323" s="78"/>
      <c r="L323" s="78"/>
      <c r="M323" s="78"/>
      <c r="N323" s="78"/>
      <c r="O323" s="78"/>
      <c r="P323" s="78"/>
      <c r="Q323" s="78"/>
    </row>
    <row r="324" spans="1:17" s="87" customFormat="1" ht="25.5">
      <c r="A324" s="232" t="s">
        <v>4542</v>
      </c>
      <c r="B324" s="464" t="s">
        <v>9488</v>
      </c>
      <c r="C324" s="451" t="str">
        <f>IF(A324="SERVIÇO",VLOOKUP(B324,SERVIÇOS!$A$6:$D$7645,2,0),IF(A324="INSUMO",VLOOKUP(B324,INSUMOS!$A$6:$D$6961,2,0),IF(A324="COTAÇÃO",VLOOKUP(B324,'036-20-Cotação'!$A$9:$G$529,2,0))))</f>
        <v>CAMINHÃO BASCULANTE COM CAPACIDADE DE 10 M³ - 188 KW</v>
      </c>
      <c r="D324" s="452" t="str">
        <f>IF(A324="SERVIÇO",VLOOKUP(B324,SERVIÇOS!$A$6:$E$7645,5,0),IF(A324="INSUMO",VLOOKUP(B324,INSUMOS!$A$6:$E$6961,5,0),IF(A324="COTAÇÃO",VLOOKUP(B324,'036-20-Cotação'!$A$9:$H$529,8,0))))</f>
        <v>EQUIP.</v>
      </c>
      <c r="E324" s="452" t="str">
        <f>IF(A324="SERVIÇO",VLOOKUP(B324,SERVIÇOS!$A$6:$D$7645,3,0),IF(A324="INSUMO",VLOOKUP(B324,INSUMOS!$A$6:$D$6961,3,0),IF(A324="COTAÇÃO",VLOOKUP(B324,'036-20-Cotação'!$A$9:$G$529,4,0))))</f>
        <v>CHP</v>
      </c>
      <c r="F324" s="462">
        <f>0.83/83*4</f>
        <v>0.04</v>
      </c>
      <c r="G324" s="453">
        <f>IF(A324="SERVIÇO",VLOOKUP(B324,SERVIÇOS!$A$6:$D$7645,4,0),IF(A324="INSUMO",VLOOKUP(B324,INSUMOS!$A$6:$D$6961,4,0),IF(A324="COTAÇÃO",VLOOKUP(B324,'036-20-Cotação'!$A$9:$G$529,3,0))))</f>
        <v>158.65469999999999</v>
      </c>
      <c r="H324" s="463">
        <f t="shared" ref="H324:H325" si="64">G324*F324</f>
        <v>6.3461879999999997</v>
      </c>
      <c r="J324" s="201"/>
    </row>
    <row r="325" spans="1:17" s="87" customFormat="1" ht="25.5">
      <c r="A325" s="232" t="s">
        <v>4542</v>
      </c>
      <c r="B325" s="464" t="s">
        <v>10007</v>
      </c>
      <c r="C325" s="451" t="str">
        <f>IF(A325="SERVIÇO",VLOOKUP(B325,SERVIÇOS!$A$6:$D$7645,2,0),IF(A325="INSUMO",VLOOKUP(B325,INSUMOS!$A$6:$D$6961,2,0),IF(A325="COTAÇÃO",VLOOKUP(B325,'036-20-Cotação'!$A$9:$G$529,2,0))))</f>
        <v>CAMINHÃO BASCULANTE COM CAPACIDADE DE 10 M³ - 188 KW</v>
      </c>
      <c r="D325" s="452" t="str">
        <f>IF(A325="SERVIÇO",VLOOKUP(B325,SERVIÇOS!$A$6:$E$7645,5,0),IF(A325="INSUMO",VLOOKUP(B325,INSUMOS!$A$6:$E$6961,5,0),IF(A325="COTAÇÃO",VLOOKUP(B325,'036-20-Cotação'!$A$9:$H$529,8,0))))</f>
        <v>EQUIP.</v>
      </c>
      <c r="E325" s="452" t="str">
        <f>IF(A325="SERVIÇO",VLOOKUP(B325,SERVIÇOS!$A$6:$D$7645,3,0),IF(A325="INSUMO",VLOOKUP(B325,INSUMOS!$A$6:$D$6961,3,0),IF(A325="COTAÇÃO",VLOOKUP(B325,'036-20-Cotação'!$A$9:$G$529,4,0))))</f>
        <v>CHI</v>
      </c>
      <c r="F325" s="462">
        <f>0.17/83*4</f>
        <v>8.1927710843373493E-3</v>
      </c>
      <c r="G325" s="453">
        <f>IF(A325="SERVIÇO",VLOOKUP(B325,SERVIÇOS!$A$6:$D$7645,4,0),IF(A325="INSUMO",VLOOKUP(B325,INSUMOS!$A$6:$D$6961,4,0),IF(A325="COTAÇÃO",VLOOKUP(B325,'036-20-Cotação'!$A$9:$G$529,3,0))))</f>
        <v>42.870600000000003</v>
      </c>
      <c r="H325" s="463">
        <f t="shared" si="64"/>
        <v>0.35122901204819279</v>
      </c>
      <c r="J325" s="201"/>
    </row>
    <row r="326" spans="1:17" s="87" customFormat="1" ht="12.75">
      <c r="A326" s="188"/>
      <c r="B326" s="348" t="s">
        <v>123</v>
      </c>
      <c r="C326" s="695" t="s">
        <v>13263</v>
      </c>
      <c r="D326" s="696"/>
      <c r="E326" s="696"/>
      <c r="F326" s="696"/>
      <c r="G326" s="696"/>
      <c r="H326" s="697"/>
      <c r="J326" s="201"/>
      <c r="K326" s="78"/>
      <c r="L326" s="78"/>
      <c r="M326" s="78"/>
      <c r="N326" s="78"/>
      <c r="O326" s="78"/>
      <c r="P326" s="78"/>
      <c r="Q326" s="78"/>
    </row>
    <row r="327" spans="1:17" s="87" customFormat="1" ht="12.75">
      <c r="A327" s="188"/>
      <c r="B327" s="346"/>
      <c r="C327" s="484"/>
      <c r="D327" s="484"/>
      <c r="E327" s="484"/>
      <c r="F327" s="484"/>
      <c r="G327" s="484"/>
      <c r="H327" s="485"/>
      <c r="J327" s="201"/>
      <c r="K327" s="78"/>
      <c r="L327" s="78"/>
      <c r="M327" s="78"/>
      <c r="N327" s="78"/>
      <c r="O327" s="78"/>
      <c r="P327" s="78"/>
      <c r="Q327" s="78"/>
    </row>
    <row r="328" spans="1:17" s="87" customFormat="1" ht="38.25">
      <c r="A328" s="188"/>
      <c r="B328" s="80">
        <v>5213414</v>
      </c>
      <c r="C328" s="81" t="s">
        <v>13274</v>
      </c>
      <c r="D328" s="82" t="s">
        <v>201</v>
      </c>
      <c r="E328" s="82" t="s">
        <v>150</v>
      </c>
      <c r="F328" s="83"/>
      <c r="G328" s="84"/>
      <c r="H328" s="85">
        <f>SUM(H329:H341)</f>
        <v>393.49797008279313</v>
      </c>
      <c r="J328" s="201" t="s">
        <v>13268</v>
      </c>
      <c r="K328" s="78"/>
      <c r="L328" s="78"/>
      <c r="M328" s="78"/>
      <c r="N328" s="78"/>
      <c r="O328" s="78"/>
      <c r="P328" s="78"/>
      <c r="Q328" s="78"/>
    </row>
    <row r="329" spans="1:17" s="87" customFormat="1" ht="12.75">
      <c r="A329" s="232" t="s">
        <v>4542</v>
      </c>
      <c r="B329" s="464" t="s">
        <v>9073</v>
      </c>
      <c r="C329" s="451" t="str">
        <f>IF(A329="SERVIÇO",VLOOKUP(B329,SERVIÇOS!$A$6:$D$7645,2,0),IF(A329="INSUMO",VLOOKUP(B329,INSUMOS!$A$6:$D$6961,2,0),IF(A329="COTAÇÃO",VLOOKUP(B329,'036-20-Cotação'!$A$9:$G$529,2,0))))</f>
        <v>FURADEIRA DE IMPACTO DE 12,5 MM - 0,8 KW</v>
      </c>
      <c r="D329" s="452" t="str">
        <f>IF(A329="SERVIÇO",VLOOKUP(B329,SERVIÇOS!$A$6:$E$7645,5,0),IF(A329="INSUMO",VLOOKUP(B329,INSUMOS!$A$6:$E$6961,5,0),IF(A329="COTAÇÃO",VLOOKUP(B329,'036-20-Cotação'!$A$9:$H$529,8,0))))</f>
        <v>EQUIP.</v>
      </c>
      <c r="E329" s="452" t="str">
        <f>IF(A329="SERVIÇO",VLOOKUP(B329,SERVIÇOS!$A$6:$D$7645,3,0),IF(A329="INSUMO",VLOOKUP(B329,INSUMOS!$A$6:$D$6961,3,0),IF(A329="COTAÇÃO",VLOOKUP(B329,'036-20-Cotação'!$A$9:$G$529,4,0))))</f>
        <v>CHP</v>
      </c>
      <c r="F329" s="462">
        <f>0.1506/4</f>
        <v>3.7650000000000003E-2</v>
      </c>
      <c r="G329" s="453">
        <f>IF(A329="SERVIÇO",VLOOKUP(B329,SERVIÇOS!$A$6:$D$7645,4,0),IF(A329="INSUMO",VLOOKUP(B329,INSUMOS!$A$6:$D$6961,4,0),IF(A329="COTAÇÃO",VLOOKUP(B329,'036-20-Cotação'!$A$9:$G$529,3,0))))</f>
        <v>0.13270000000000001</v>
      </c>
      <c r="H329" s="463">
        <f t="shared" ref="H329:H339" si="65">G329*F329</f>
        <v>4.9961550000000013E-3</v>
      </c>
      <c r="J329" s="201"/>
    </row>
    <row r="330" spans="1:17" s="87" customFormat="1" ht="12.75">
      <c r="A330" s="232" t="s">
        <v>4542</v>
      </c>
      <c r="B330" s="464" t="s">
        <v>8833</v>
      </c>
      <c r="C330" s="451" t="str">
        <f>IF(A330="SERVIÇO",VLOOKUP(B330,SERVIÇOS!$A$6:$D$7645,2,0),IF(A330="INSUMO",VLOOKUP(B330,INSUMOS!$A$6:$D$6961,2,0),IF(A330="COTAÇÃO",VLOOKUP(B330,'036-20-Cotação'!$A$9:$G$529,2,0))))</f>
        <v>GRUPO GERADOR - 13/14 KVA</v>
      </c>
      <c r="D330" s="452" t="str">
        <f>IF(A330="SERVIÇO",VLOOKUP(B330,SERVIÇOS!$A$6:$E$7645,5,0),IF(A330="INSUMO",VLOOKUP(B330,INSUMOS!$A$6:$E$6961,5,0),IF(A330="COTAÇÃO",VLOOKUP(B330,'036-20-Cotação'!$A$9:$H$529,8,0))))</f>
        <v>EQUIP.</v>
      </c>
      <c r="E330" s="452" t="str">
        <f>IF(A330="SERVIÇO",VLOOKUP(B330,SERVIÇOS!$A$6:$D$7645,3,0),IF(A330="INSUMO",VLOOKUP(B330,INSUMOS!$A$6:$D$6961,3,0),IF(A330="COTAÇÃO",VLOOKUP(B330,'036-20-Cotação'!$A$9:$G$529,4,0))))</f>
        <v>CHP</v>
      </c>
      <c r="F330" s="462">
        <f>0.48193/4</f>
        <v>0.12048250000000001</v>
      </c>
      <c r="G330" s="453">
        <f>IF(A330="SERVIÇO",VLOOKUP(B330,SERVIÇOS!$A$6:$D$7645,4,0),IF(A330="INSUMO",VLOOKUP(B330,INSUMOS!$A$6:$D$6961,4,0),IF(A330="COTAÇÃO",VLOOKUP(B330,'036-20-Cotação'!$A$9:$G$529,3,0))))</f>
        <v>9.6905000000000001</v>
      </c>
      <c r="H330" s="463">
        <f t="shared" si="65"/>
        <v>1.16753566625</v>
      </c>
      <c r="J330" s="201"/>
    </row>
    <row r="331" spans="1:17" s="87" customFormat="1" ht="12.75">
      <c r="A331" s="232" t="s">
        <v>4542</v>
      </c>
      <c r="B331" s="464" t="s">
        <v>9145</v>
      </c>
      <c r="C331" s="451" t="str">
        <f>IF(A331="SERVIÇO",VLOOKUP(B331,SERVIÇOS!$A$6:$D$7645,2,0),IF(A331="INSUMO",VLOOKUP(B331,INSUMOS!$A$6:$D$6961,2,0),IF(A331="COTAÇÃO",VLOOKUP(B331,'036-20-Cotação'!$A$9:$G$529,2,0))))</f>
        <v>MÁQUINA DE BANCADA GUILHOTINA - 4 KW</v>
      </c>
      <c r="D331" s="452" t="str">
        <f>IF(A331="SERVIÇO",VLOOKUP(B331,SERVIÇOS!$A$6:$E$7645,5,0),IF(A331="INSUMO",VLOOKUP(B331,INSUMOS!$A$6:$E$6961,5,0),IF(A331="COTAÇÃO",VLOOKUP(B331,'036-20-Cotação'!$A$9:$H$529,8,0))))</f>
        <v>EQUIP.</v>
      </c>
      <c r="E331" s="452" t="str">
        <f>IF(A331="SERVIÇO",VLOOKUP(B331,SERVIÇOS!$A$6:$D$7645,3,0),IF(A331="INSUMO",VLOOKUP(B331,INSUMOS!$A$6:$D$6961,3,0),IF(A331="COTAÇÃO",VLOOKUP(B331,'036-20-Cotação'!$A$9:$G$529,4,0))))</f>
        <v>CHP</v>
      </c>
      <c r="F331" s="462">
        <f>0.2008/4</f>
        <v>5.0200000000000002E-2</v>
      </c>
      <c r="G331" s="453">
        <f>IF(A331="SERVIÇO",VLOOKUP(B331,SERVIÇOS!$A$6:$D$7645,4,0),IF(A331="INSUMO",VLOOKUP(B331,INSUMOS!$A$6:$D$6961,4,0),IF(A331="COTAÇÃO",VLOOKUP(B331,'036-20-Cotação'!$A$9:$G$529,3,0))))</f>
        <v>7.2752999999999997</v>
      </c>
      <c r="H331" s="463">
        <f t="shared" si="65"/>
        <v>0.36522006000000001</v>
      </c>
      <c r="J331" s="201"/>
    </row>
    <row r="332" spans="1:17" s="87" customFormat="1" ht="25.5">
      <c r="A332" s="232" t="s">
        <v>4542</v>
      </c>
      <c r="B332" s="464" t="s">
        <v>9143</v>
      </c>
      <c r="C332" s="451" t="str">
        <f>IF(A332="SERVIÇO",VLOOKUP(B332,SERVIÇOS!$A$6:$D$7645,2,0),IF(A332="INSUMO",VLOOKUP(B332,INSUMOS!$A$6:$D$6961,2,0),IF(A332="COTAÇÃO",VLOOKUP(B332,'036-20-Cotação'!$A$9:$G$529,2,0))))</f>
        <v>MÁQUINA DE BANCADA UNIVERSAL PARA CORTE DE CHAPA - 1,5 KW</v>
      </c>
      <c r="D332" s="452" t="str">
        <f>IF(A332="SERVIÇO",VLOOKUP(B332,SERVIÇOS!$A$6:$E$7645,5,0),IF(A332="INSUMO",VLOOKUP(B332,INSUMOS!$A$6:$E$6961,5,0),IF(A332="COTAÇÃO",VLOOKUP(B332,'036-20-Cotação'!$A$9:$H$529,8,0))))</f>
        <v>EQUIP.</v>
      </c>
      <c r="E332" s="452" t="str">
        <f>IF(A332="SERVIÇO",VLOOKUP(B332,SERVIÇOS!$A$6:$D$7645,3,0),IF(A332="INSUMO",VLOOKUP(B332,INSUMOS!$A$6:$D$6961,3,0),IF(A332="COTAÇÃO",VLOOKUP(B332,'036-20-Cotação'!$A$9:$G$529,4,0))))</f>
        <v>CHP</v>
      </c>
      <c r="F332" s="462">
        <f>0.48193/4</f>
        <v>0.12048250000000001</v>
      </c>
      <c r="G332" s="453">
        <f>IF(A332="SERVIÇO",VLOOKUP(B332,SERVIÇOS!$A$6:$D$7645,4,0),IF(A332="INSUMO",VLOOKUP(B332,INSUMOS!$A$6:$D$6961,4,0),IF(A332="COTAÇÃO",VLOOKUP(B332,'036-20-Cotação'!$A$9:$G$529,3,0))))</f>
        <v>4.0088999999999997</v>
      </c>
      <c r="H332" s="463">
        <f t="shared" si="65"/>
        <v>0.48300229424999996</v>
      </c>
      <c r="J332" s="201"/>
    </row>
    <row r="333" spans="1:17" s="87" customFormat="1" ht="12.75">
      <c r="A333" s="232" t="s">
        <v>4542</v>
      </c>
      <c r="B333" s="464" t="s">
        <v>6825</v>
      </c>
      <c r="C333" s="451" t="str">
        <f>IF(A333="SERVIÇO",VLOOKUP(B333,SERVIÇOS!$A$6:$D$7645,2,0),IF(A333="INSUMO",VLOOKUP(B333,INSUMOS!$A$6:$D$6961,2,0),IF(A333="COTAÇÃO",VLOOKUP(B333,'036-20-Cotação'!$A$9:$G$529,2,0))))</f>
        <v>AJUDANTE</v>
      </c>
      <c r="D333" s="452" t="str">
        <f>IF(A333="SERVIÇO",VLOOKUP(B333,SERVIÇOS!$A$6:$E$7645,5,0),IF(A333="INSUMO",VLOOKUP(B333,INSUMOS!$A$6:$E$6961,5,0),IF(A333="COTAÇÃO",VLOOKUP(B333,'036-20-Cotação'!$A$9:$H$529,8,0))))</f>
        <v>M.O</v>
      </c>
      <c r="E333" s="452" t="str">
        <f>IF(A333="SERVIÇO",VLOOKUP(B333,SERVIÇOS!$A$6:$D$7645,3,0),IF(A333="INSUMO",VLOOKUP(B333,INSUMOS!$A$6:$D$6961,3,0),IF(A333="COTAÇÃO",VLOOKUP(B333,'036-20-Cotação'!$A$9:$G$529,4,0))))</f>
        <v>H</v>
      </c>
      <c r="F333" s="462">
        <f>2/4</f>
        <v>0.5</v>
      </c>
      <c r="G333" s="453">
        <f>IF(A333="SERVIÇO",VLOOKUP(B333,SERVIÇOS!$A$6:$D$7645,4,0),IF(A333="INSUMO",VLOOKUP(B333,INSUMOS!$A$6:$D$6961,4,0),IF(A333="COTAÇÃO",VLOOKUP(B333,'036-20-Cotação'!$A$9:$G$529,3,0))))</f>
        <v>17.9801</v>
      </c>
      <c r="H333" s="463">
        <f t="shared" si="65"/>
        <v>8.9900500000000001</v>
      </c>
      <c r="J333" s="201"/>
    </row>
    <row r="334" spans="1:17" s="87" customFormat="1" ht="12.75">
      <c r="A334" s="232" t="s">
        <v>4542</v>
      </c>
      <c r="B334" s="464" t="s">
        <v>6601</v>
      </c>
      <c r="C334" s="451" t="str">
        <f>IF(A334="SERVIÇO",VLOOKUP(B334,SERVIÇOS!$A$6:$D$7645,2,0),IF(A334="INSUMO",VLOOKUP(B334,INSUMOS!$A$6:$D$6961,2,0),IF(A334="COTAÇÃO",VLOOKUP(B334,'036-20-Cotação'!$A$9:$G$529,2,0))))</f>
        <v>MONTADOR</v>
      </c>
      <c r="D334" s="452" t="str">
        <f>IF(A334="SERVIÇO",VLOOKUP(B334,SERVIÇOS!$A$6:$E$7645,5,0),IF(A334="INSUMO",VLOOKUP(B334,INSUMOS!$A$6:$E$6961,5,0),IF(A334="COTAÇÃO",VLOOKUP(B334,'036-20-Cotação'!$A$9:$H$529,8,0))))</f>
        <v>M.O</v>
      </c>
      <c r="E334" s="452" t="str">
        <f>IF(A334="SERVIÇO",VLOOKUP(B334,SERVIÇOS!$A$6:$D$7645,3,0),IF(A334="INSUMO",VLOOKUP(B334,INSUMOS!$A$6:$D$6961,3,0),IF(A334="COTAÇÃO",VLOOKUP(B334,'036-20-Cotação'!$A$9:$G$529,4,0))))</f>
        <v>H</v>
      </c>
      <c r="F334" s="462">
        <f t="shared" ref="F334:F335" si="66">1/4</f>
        <v>0.25</v>
      </c>
      <c r="G334" s="453">
        <f>IF(A334="SERVIÇO",VLOOKUP(B334,SERVIÇOS!$A$6:$D$7645,4,0),IF(A334="INSUMO",VLOOKUP(B334,INSUMOS!$A$6:$D$6961,4,0),IF(A334="COTAÇÃO",VLOOKUP(B334,'036-20-Cotação'!$A$9:$G$529,3,0))))</f>
        <v>23.4679</v>
      </c>
      <c r="H334" s="463">
        <f t="shared" si="65"/>
        <v>5.8669750000000001</v>
      </c>
      <c r="J334" s="201"/>
    </row>
    <row r="335" spans="1:17" s="87" customFormat="1" ht="12.75">
      <c r="A335" s="232" t="s">
        <v>4542</v>
      </c>
      <c r="B335" s="464" t="s">
        <v>6875</v>
      </c>
      <c r="C335" s="451" t="str">
        <f>IF(A335="SERVIÇO",VLOOKUP(B335,SERVIÇOS!$A$6:$D$7645,2,0),IF(A335="INSUMO",VLOOKUP(B335,INSUMOS!$A$6:$D$6961,2,0),IF(A335="COTAÇÃO",VLOOKUP(B335,'036-20-Cotação'!$A$9:$G$529,2,0))))</f>
        <v>SERRALHEIRO</v>
      </c>
      <c r="D335" s="452" t="str">
        <f>IF(A335="SERVIÇO",VLOOKUP(B335,SERVIÇOS!$A$6:$E$7645,5,0),IF(A335="INSUMO",VLOOKUP(B335,INSUMOS!$A$6:$E$6961,5,0),IF(A335="COTAÇÃO",VLOOKUP(B335,'036-20-Cotação'!$A$9:$H$529,8,0))))</f>
        <v>M.O</v>
      </c>
      <c r="E335" s="452" t="str">
        <f>IF(A335="SERVIÇO",VLOOKUP(B335,SERVIÇOS!$A$6:$D$7645,3,0),IF(A335="INSUMO",VLOOKUP(B335,INSUMOS!$A$6:$D$6961,3,0),IF(A335="COTAÇÃO",VLOOKUP(B335,'036-20-Cotação'!$A$9:$G$529,4,0))))</f>
        <v>H</v>
      </c>
      <c r="F335" s="462">
        <f t="shared" si="66"/>
        <v>0.25</v>
      </c>
      <c r="G335" s="453">
        <f>IF(A335="SERVIÇO",VLOOKUP(B335,SERVIÇOS!$A$6:$D$7645,4,0),IF(A335="INSUMO",VLOOKUP(B335,INSUMOS!$A$6:$D$6961,4,0),IF(A335="COTAÇÃO",VLOOKUP(B335,'036-20-Cotação'!$A$9:$G$529,3,0))))</f>
        <v>21.641200000000001</v>
      </c>
      <c r="H335" s="463">
        <f t="shared" si="65"/>
        <v>5.4103000000000003</v>
      </c>
      <c r="J335" s="201"/>
    </row>
    <row r="336" spans="1:17" s="87" customFormat="1" ht="25.9" customHeight="1">
      <c r="A336" s="232" t="s">
        <v>4542</v>
      </c>
      <c r="B336" s="464" t="s">
        <v>6602</v>
      </c>
      <c r="C336" s="451" t="str">
        <f>IF(A336="SERVIÇO",VLOOKUP(B336,SERVIÇOS!$A$6:$D$7645,2,0),IF(A336="INSUMO",VLOOKUP(B336,INSUMOS!$A$6:$D$6961,2,0),IF(A336="COTAÇÃO",VLOOKUP(B336,'036-20-Cotação'!$A$9:$G$529,2,0))))</f>
        <v>SERVENTE</v>
      </c>
      <c r="D336" s="452" t="str">
        <f>IF(A336="SERVIÇO",VLOOKUP(B336,SERVIÇOS!$A$6:$E$7645,5,0),IF(A336="INSUMO",VLOOKUP(B336,INSUMOS!$A$6:$E$6961,5,0),IF(A336="COTAÇÃO",VLOOKUP(B336,'036-20-Cotação'!$A$9:$H$529,8,0))))</f>
        <v>M.O</v>
      </c>
      <c r="E336" s="452" t="str">
        <f>IF(A336="SERVIÇO",VLOOKUP(B336,SERVIÇOS!$A$6:$D$7645,3,0),IF(A336="INSUMO",VLOOKUP(B336,INSUMOS!$A$6:$D$6961,3,0),IF(A336="COTAÇÃO",VLOOKUP(B336,'036-20-Cotação'!$A$9:$G$529,4,0))))</f>
        <v>H</v>
      </c>
      <c r="F336" s="462">
        <f>2/4</f>
        <v>0.5</v>
      </c>
      <c r="G336" s="453">
        <f>IF(A336="SERVIÇO",VLOOKUP(B336,SERVIÇOS!$A$6:$D$7645,4,0),IF(A336="INSUMO",VLOOKUP(B336,INSUMOS!$A$6:$D$6961,4,0),IF(A336="COTAÇÃO",VLOOKUP(B336,'036-20-Cotação'!$A$9:$G$529,3,0))))</f>
        <v>15.637499999999999</v>
      </c>
      <c r="H336" s="463">
        <f t="shared" si="65"/>
        <v>7.8187499999999996</v>
      </c>
      <c r="J336" s="201"/>
    </row>
    <row r="337" spans="1:17" s="87" customFormat="1" ht="25.9" customHeight="1">
      <c r="A337" s="232" t="s">
        <v>4544</v>
      </c>
      <c r="B337" s="464" t="s">
        <v>10942</v>
      </c>
      <c r="C337" s="451" t="str">
        <f>IF(A337="SERVIÇO",VLOOKUP(B337,SERVIÇOS!$A$6:$D$7645,2,0),IF(A337="INSUMO",VLOOKUP(B337,INSUMOS!$A$6:$D$6961,2,0),IF(A337="COTAÇÃO",VLOOKUP(B337,'036-20-Cotação'!$A$9:$G$529,2,0))))</f>
        <v>CHAPA DE AÇO GALVANIZADO</v>
      </c>
      <c r="D337" s="452" t="str">
        <f>IF(A337="SERVIÇO",VLOOKUP(B337,SERVIÇOS!$A$6:$E$7645,5,0),IF(A337="INSUMO",VLOOKUP(B337,INSUMOS!$A$6:$E$6961,5,0),IF(A337="COTAÇÃO",VLOOKUP(B337,'036-20-Cotação'!$A$9:$H$529,8,0))))</f>
        <v>MAT.</v>
      </c>
      <c r="E337" s="452" t="str">
        <f>IF(A337="SERVIÇO",VLOOKUP(B337,SERVIÇOS!$A$6:$D$7645,3,0),IF(A337="INSUMO",VLOOKUP(B337,INSUMOS!$A$6:$D$6961,3,0),IF(A337="COTAÇÃO",VLOOKUP(B337,'036-20-Cotação'!$A$9:$G$529,4,0))))</f>
        <v>KG</v>
      </c>
      <c r="F337" s="462">
        <v>11.775</v>
      </c>
      <c r="G337" s="453">
        <f>IF(A337="SERVIÇO",VLOOKUP(B337,SERVIÇOS!$A$6:$D$7645,4,0),IF(A337="INSUMO",VLOOKUP(B337,INSUMOS!$A$6:$D$6961,4,0),IF(A337="COTAÇÃO",VLOOKUP(B337,'036-20-Cotação'!$A$9:$G$529,3,0))))</f>
        <v>6.37</v>
      </c>
      <c r="H337" s="463">
        <f t="shared" si="65"/>
        <v>75.006749999999997</v>
      </c>
      <c r="J337" s="201"/>
    </row>
    <row r="338" spans="1:17" s="87" customFormat="1" ht="25.9" customHeight="1">
      <c r="A338" s="232" t="s">
        <v>4544</v>
      </c>
      <c r="B338" s="464" t="s">
        <v>12903</v>
      </c>
      <c r="C338" s="451" t="str">
        <f>IF(A338="SERVIÇO",VLOOKUP(B338,SERVIÇOS!$A$6:$D$7645,2,0),IF(A338="INSUMO",VLOOKUP(B338,INSUMOS!$A$6:$D$6961,2,0),IF(A338="COTAÇÃO",VLOOKUP(B338,'036-20-Cotação'!$A$9:$G$529,2,0))))</f>
        <v>PELÍCULA RETRORREFLETIVA TIPO I + SI</v>
      </c>
      <c r="D338" s="452" t="str">
        <f>IF(A338="SERVIÇO",VLOOKUP(B338,SERVIÇOS!$A$6:$E$7645,5,0),IF(A338="INSUMO",VLOOKUP(B338,INSUMOS!$A$6:$E$6961,5,0),IF(A338="COTAÇÃO",VLOOKUP(B338,'036-20-Cotação'!$A$9:$H$529,8,0))))</f>
        <v>MAT.</v>
      </c>
      <c r="E338" s="452" t="str">
        <f>IF(A338="SERVIÇO",VLOOKUP(B338,SERVIÇOS!$A$6:$D$7645,3,0),IF(A338="INSUMO",VLOOKUP(B338,INSUMOS!$A$6:$D$6961,3,0),IF(A338="COTAÇÃO",VLOOKUP(B338,'036-20-Cotação'!$A$9:$G$529,4,0))))</f>
        <v>M²</v>
      </c>
      <c r="F338" s="462">
        <v>1</v>
      </c>
      <c r="G338" s="453">
        <f>IF(A338="SERVIÇO",VLOOKUP(B338,SERVIÇOS!$A$6:$D$7645,4,0),IF(A338="INSUMO",VLOOKUP(B338,INSUMOS!$A$6:$D$6961,4,0),IF(A338="COTAÇÃO",VLOOKUP(B338,'036-20-Cotação'!$A$9:$G$529,3,0))))</f>
        <v>275.42930000000001</v>
      </c>
      <c r="H338" s="463">
        <f t="shared" si="65"/>
        <v>275.42930000000001</v>
      </c>
      <c r="J338" s="201"/>
    </row>
    <row r="339" spans="1:17" s="87" customFormat="1" ht="25.9" customHeight="1">
      <c r="A339" s="232" t="s">
        <v>4542</v>
      </c>
      <c r="B339" s="464">
        <f>$B$362</f>
        <v>5212552</v>
      </c>
      <c r="C339" s="451" t="str">
        <f>$C$362</f>
        <v>PINTURA ELETROSTÁTICA A PÓ COM TINTA POLIESTER EM CHAPA DE AÇO</v>
      </c>
      <c r="D339" s="452" t="str">
        <f>$D$362</f>
        <v>SER.CG</v>
      </c>
      <c r="E339" s="452" t="str">
        <f>$E$362</f>
        <v>M2</v>
      </c>
      <c r="F339" s="462">
        <v>1</v>
      </c>
      <c r="G339" s="453">
        <f>$H$362</f>
        <v>12.732781410026684</v>
      </c>
      <c r="H339" s="463">
        <f t="shared" si="65"/>
        <v>12.732781410026684</v>
      </c>
      <c r="J339" s="201"/>
    </row>
    <row r="340" spans="1:17" s="87" customFormat="1" ht="25.9" customHeight="1">
      <c r="A340" s="232" t="s">
        <v>4542</v>
      </c>
      <c r="B340" s="464" t="str">
        <f>$B$286</f>
        <v>5914333-TF</v>
      </c>
      <c r="C340" s="451" t="str">
        <f>$C$286</f>
        <v>TEMPO FIXO - CAMINHÃO CARROCERIA 15 T - CARGA E DESCARGA COM CAMINHÃO GUINDAUTO</v>
      </c>
      <c r="D340" s="452" t="str">
        <f>$D$286</f>
        <v>SER.CG</v>
      </c>
      <c r="E340" s="452" t="str">
        <f>$E$286</f>
        <v>T</v>
      </c>
      <c r="F340" s="462">
        <v>1.1780000000000001E-2</v>
      </c>
      <c r="G340" s="453">
        <f>$H$286</f>
        <v>18.149041033591729</v>
      </c>
      <c r="H340" s="463">
        <f t="shared" ref="H340:H341" si="67">G340*F340</f>
        <v>0.21379570337571058</v>
      </c>
      <c r="J340" s="201"/>
    </row>
    <row r="341" spans="1:17" s="87" customFormat="1" ht="25.5">
      <c r="A341" s="232" t="s">
        <v>4542</v>
      </c>
      <c r="B341" s="531" t="str">
        <f>'036-20-CCA''s'!$B$276</f>
        <v>5915474-TF</v>
      </c>
      <c r="C341" s="451" t="str">
        <f>'036-20-CCA''s'!$C$276</f>
        <v>TEMPO FIXO - CAMINHÃO CARROCERIA 5 T - CARGA E DESCARGA MANUAIS</v>
      </c>
      <c r="D341" s="452" t="str">
        <f>'036-20-CCA''s'!$D$276</f>
        <v>SER.CG</v>
      </c>
      <c r="E341" s="452" t="str">
        <f>'036-20-CCA''s'!$E$276</f>
        <v>T</v>
      </c>
      <c r="F341" s="462">
        <v>5.2999999999999998E-4</v>
      </c>
      <c r="G341" s="453">
        <f>'036-20-CCA''s'!$H$276</f>
        <v>16.063762057877813</v>
      </c>
      <c r="H341" s="463">
        <f t="shared" si="67"/>
        <v>8.5137938906752406E-3</v>
      </c>
      <c r="J341" s="201"/>
    </row>
    <row r="342" spans="1:17" s="87" customFormat="1" ht="12.75">
      <c r="A342" s="188"/>
      <c r="B342" s="348" t="s">
        <v>123</v>
      </c>
      <c r="C342" s="695" t="s">
        <v>13275</v>
      </c>
      <c r="D342" s="696"/>
      <c r="E342" s="696"/>
      <c r="F342" s="696"/>
      <c r="G342" s="696"/>
      <c r="H342" s="697"/>
      <c r="J342" s="201"/>
      <c r="K342" s="78"/>
      <c r="L342" s="78"/>
      <c r="M342" s="78"/>
      <c r="N342" s="78"/>
      <c r="O342" s="78"/>
      <c r="P342" s="78"/>
      <c r="Q342" s="78"/>
    </row>
    <row r="343" spans="1:17" s="87" customFormat="1" ht="12.75">
      <c r="A343" s="188"/>
      <c r="B343" s="346"/>
      <c r="C343" s="486"/>
      <c r="D343" s="486"/>
      <c r="E343" s="486"/>
      <c r="F343" s="486"/>
      <c r="G343" s="486"/>
      <c r="H343" s="487"/>
      <c r="J343" s="201"/>
      <c r="K343" s="78"/>
      <c r="L343" s="78"/>
      <c r="M343" s="78"/>
      <c r="N343" s="78"/>
      <c r="O343" s="78"/>
      <c r="P343" s="78"/>
      <c r="Q343" s="78"/>
    </row>
    <row r="344" spans="1:17" s="87" customFormat="1" ht="38.25">
      <c r="A344" s="188"/>
      <c r="B344" s="80">
        <v>5213417</v>
      </c>
      <c r="C344" s="81" t="s">
        <v>6603</v>
      </c>
      <c r="D344" s="82" t="s">
        <v>201</v>
      </c>
      <c r="E344" s="82" t="s">
        <v>150</v>
      </c>
      <c r="F344" s="83"/>
      <c r="G344" s="84"/>
      <c r="H344" s="85">
        <f>SUM(H345:H359)</f>
        <v>273.76893459859292</v>
      </c>
      <c r="J344" s="201" t="s">
        <v>13268</v>
      </c>
      <c r="K344" s="78"/>
      <c r="L344" s="78"/>
      <c r="M344" s="78"/>
      <c r="N344" s="78"/>
      <c r="O344" s="78"/>
      <c r="P344" s="78"/>
      <c r="Q344" s="78"/>
    </row>
    <row r="345" spans="1:17" s="87" customFormat="1" ht="25.5">
      <c r="A345" s="232" t="s">
        <v>4542</v>
      </c>
      <c r="B345" s="464" t="s">
        <v>8984</v>
      </c>
      <c r="C345" s="451" t="str">
        <f>IF(A345="SERVIÇO",VLOOKUP(B345,SERVIÇOS!$A$6:$D$7645,2,0),IF(A345="INSUMO",VLOOKUP(B345,INSUMOS!$A$6:$D$6961,2,0),IF(A345="COTAÇÃO",VLOOKUP(B345,'036-20-Cotação'!$A$9:$G$529,2,0))))</f>
        <v>COMPUTADOR, PLOTTER DE RECORTE E SOFTWARE</v>
      </c>
      <c r="D345" s="452" t="str">
        <f>IF(A345="SERVIÇO",VLOOKUP(B345,SERVIÇOS!$A$6:$E$7645,5,0),IF(A345="INSUMO",VLOOKUP(B345,INSUMOS!$A$6:$E$6961,5,0),IF(A345="COTAÇÃO",VLOOKUP(B345,'036-20-Cotação'!$A$9:$H$529,8,0))))</f>
        <v>EQUIP.</v>
      </c>
      <c r="E345" s="452" t="str">
        <f>IF(A345="SERVIÇO",VLOOKUP(B345,SERVIÇOS!$A$6:$D$7645,3,0),IF(A345="INSUMO",VLOOKUP(B345,INSUMOS!$A$6:$D$6961,3,0),IF(A345="COTAÇÃO",VLOOKUP(B345,'036-20-Cotação'!$A$9:$G$529,4,0))))</f>
        <v>CHP</v>
      </c>
      <c r="F345" s="462">
        <f>0.48193/4</f>
        <v>0.12048250000000001</v>
      </c>
      <c r="G345" s="453">
        <f>IF(A345="SERVIÇO",VLOOKUP(B345,SERVIÇOS!$A$6:$D$7645,4,0),IF(A345="INSUMO",VLOOKUP(B345,INSUMOS!$A$6:$D$6961,4,0),IF(A345="COTAÇÃO",VLOOKUP(B345,'036-20-Cotação'!$A$9:$G$529,3,0))))</f>
        <v>8.3185000000000002</v>
      </c>
      <c r="H345" s="463">
        <f t="shared" ref="H345:H359" si="68">G345*F345</f>
        <v>1.0022336762500001</v>
      </c>
      <c r="J345" s="201"/>
    </row>
    <row r="346" spans="1:17" s="87" customFormat="1" ht="12.75">
      <c r="A346" s="232" t="s">
        <v>4542</v>
      </c>
      <c r="B346" s="464" t="s">
        <v>9073</v>
      </c>
      <c r="C346" s="451" t="str">
        <f>IF(A346="SERVIÇO",VLOOKUP(B346,SERVIÇOS!$A$6:$D$7645,2,0),IF(A346="INSUMO",VLOOKUP(B346,INSUMOS!$A$6:$D$6961,2,0),IF(A346="COTAÇÃO",VLOOKUP(B346,'036-20-Cotação'!$A$9:$G$529,2,0))))</f>
        <v>FURADEIRA DE IMPACTO DE 12,5 MM - 0,8 KW</v>
      </c>
      <c r="D346" s="452" t="str">
        <f>IF(A346="SERVIÇO",VLOOKUP(B346,SERVIÇOS!$A$6:$E$7645,5,0),IF(A346="INSUMO",VLOOKUP(B346,INSUMOS!$A$6:$E$6961,5,0),IF(A346="COTAÇÃO",VLOOKUP(B346,'036-20-Cotação'!$A$9:$H$529,8,0))))</f>
        <v>EQUIP.</v>
      </c>
      <c r="E346" s="452" t="str">
        <f>IF(A346="SERVIÇO",VLOOKUP(B346,SERVIÇOS!$A$6:$D$7645,3,0),IF(A346="INSUMO",VLOOKUP(B346,INSUMOS!$A$6:$D$6961,3,0),IF(A346="COTAÇÃO",VLOOKUP(B346,'036-20-Cotação'!$A$9:$G$529,4,0))))</f>
        <v>CHP</v>
      </c>
      <c r="F346" s="462">
        <f>0.1506/4</f>
        <v>3.7650000000000003E-2</v>
      </c>
      <c r="G346" s="453">
        <f>IF(A346="SERVIÇO",VLOOKUP(B346,SERVIÇOS!$A$6:$D$7645,4,0),IF(A346="INSUMO",VLOOKUP(B346,INSUMOS!$A$6:$D$6961,4,0),IF(A346="COTAÇÃO",VLOOKUP(B346,'036-20-Cotação'!$A$9:$G$529,3,0))))</f>
        <v>0.13270000000000001</v>
      </c>
      <c r="H346" s="463">
        <f t="shared" si="68"/>
        <v>4.9961550000000013E-3</v>
      </c>
      <c r="J346" s="201"/>
    </row>
    <row r="347" spans="1:17" s="87" customFormat="1" ht="12.75">
      <c r="A347" s="232" t="s">
        <v>4542</v>
      </c>
      <c r="B347" s="464" t="s">
        <v>8833</v>
      </c>
      <c r="C347" s="451" t="str">
        <f>IF(A347="SERVIÇO",VLOOKUP(B347,SERVIÇOS!$A$6:$D$7645,2,0),IF(A347="INSUMO",VLOOKUP(B347,INSUMOS!$A$6:$D$6961,2,0),IF(A347="COTAÇÃO",VLOOKUP(B347,'036-20-Cotação'!$A$9:$G$529,2,0))))</f>
        <v>GRUPO GERADOR - 13/14 KVA</v>
      </c>
      <c r="D347" s="452" t="str">
        <f>IF(A347="SERVIÇO",VLOOKUP(B347,SERVIÇOS!$A$6:$E$7645,5,0),IF(A347="INSUMO",VLOOKUP(B347,INSUMOS!$A$6:$E$6961,5,0),IF(A347="COTAÇÃO",VLOOKUP(B347,'036-20-Cotação'!$A$9:$H$529,8,0))))</f>
        <v>EQUIP.</v>
      </c>
      <c r="E347" s="452" t="str">
        <f>IF(A347="SERVIÇO",VLOOKUP(B347,SERVIÇOS!$A$6:$D$7645,3,0),IF(A347="INSUMO",VLOOKUP(B347,INSUMOS!$A$6:$D$6961,3,0),IF(A347="COTAÇÃO",VLOOKUP(B347,'036-20-Cotação'!$A$9:$G$529,4,0))))</f>
        <v>CHP</v>
      </c>
      <c r="F347" s="462">
        <f>0.48193/4</f>
        <v>0.12048250000000001</v>
      </c>
      <c r="G347" s="453">
        <f>IF(A347="SERVIÇO",VLOOKUP(B347,SERVIÇOS!$A$6:$D$7645,4,0),IF(A347="INSUMO",VLOOKUP(B347,INSUMOS!$A$6:$D$6961,4,0),IF(A347="COTAÇÃO",VLOOKUP(B347,'036-20-Cotação'!$A$9:$G$529,3,0))))</f>
        <v>9.6905000000000001</v>
      </c>
      <c r="H347" s="463">
        <f t="shared" si="68"/>
        <v>1.16753566625</v>
      </c>
      <c r="J347" s="201"/>
    </row>
    <row r="348" spans="1:17" s="87" customFormat="1" ht="12.75">
      <c r="A348" s="232" t="s">
        <v>4542</v>
      </c>
      <c r="B348" s="464" t="s">
        <v>9145</v>
      </c>
      <c r="C348" s="451" t="str">
        <f>IF(A348="SERVIÇO",VLOOKUP(B348,SERVIÇOS!$A$6:$D$7645,2,0),IF(A348="INSUMO",VLOOKUP(B348,INSUMOS!$A$6:$D$6961,2,0),IF(A348="COTAÇÃO",VLOOKUP(B348,'036-20-Cotação'!$A$9:$G$529,2,0))))</f>
        <v>MÁQUINA DE BANCADA GUILHOTINA - 4 KW</v>
      </c>
      <c r="D348" s="452" t="str">
        <f>IF(A348="SERVIÇO",VLOOKUP(B348,SERVIÇOS!$A$6:$E$7645,5,0),IF(A348="INSUMO",VLOOKUP(B348,INSUMOS!$A$6:$E$6961,5,0),IF(A348="COTAÇÃO",VLOOKUP(B348,'036-20-Cotação'!$A$9:$H$529,8,0))))</f>
        <v>EQUIP.</v>
      </c>
      <c r="E348" s="452" t="str">
        <f>IF(A348="SERVIÇO",VLOOKUP(B348,SERVIÇOS!$A$6:$D$7645,3,0),IF(A348="INSUMO",VLOOKUP(B348,INSUMOS!$A$6:$D$6961,3,0),IF(A348="COTAÇÃO",VLOOKUP(B348,'036-20-Cotação'!$A$9:$G$529,4,0))))</f>
        <v>CHP</v>
      </c>
      <c r="F348" s="462">
        <f>0.2008/4</f>
        <v>5.0200000000000002E-2</v>
      </c>
      <c r="G348" s="453">
        <f>IF(A348="SERVIÇO",VLOOKUP(B348,SERVIÇOS!$A$6:$D$7645,4,0),IF(A348="INSUMO",VLOOKUP(B348,INSUMOS!$A$6:$D$6961,4,0),IF(A348="COTAÇÃO",VLOOKUP(B348,'036-20-Cotação'!$A$9:$G$529,3,0))))</f>
        <v>7.2752999999999997</v>
      </c>
      <c r="H348" s="463">
        <f t="shared" si="68"/>
        <v>0.36522006000000001</v>
      </c>
      <c r="J348" s="201"/>
    </row>
    <row r="349" spans="1:17" s="87" customFormat="1" ht="25.5">
      <c r="A349" s="232" t="s">
        <v>4542</v>
      </c>
      <c r="B349" s="464" t="s">
        <v>9143</v>
      </c>
      <c r="C349" s="451" t="str">
        <f>IF(A349="SERVIÇO",VLOOKUP(B349,SERVIÇOS!$A$6:$D$7645,2,0),IF(A349="INSUMO",VLOOKUP(B349,INSUMOS!$A$6:$D$6961,2,0),IF(A349="COTAÇÃO",VLOOKUP(B349,'036-20-Cotação'!$A$9:$G$529,2,0))))</f>
        <v>MÁQUINA DE BANCADA UNIVERSAL PARA CORTE DE CHAPA - 1,5 KW</v>
      </c>
      <c r="D349" s="452" t="str">
        <f>IF(A349="SERVIÇO",VLOOKUP(B349,SERVIÇOS!$A$6:$E$7645,5,0),IF(A349="INSUMO",VLOOKUP(B349,INSUMOS!$A$6:$E$6961,5,0),IF(A349="COTAÇÃO",VLOOKUP(B349,'036-20-Cotação'!$A$9:$H$529,8,0))))</f>
        <v>EQUIP.</v>
      </c>
      <c r="E349" s="452" t="str">
        <f>IF(A349="SERVIÇO",VLOOKUP(B349,SERVIÇOS!$A$6:$D$7645,3,0),IF(A349="INSUMO",VLOOKUP(B349,INSUMOS!$A$6:$D$6961,3,0),IF(A349="COTAÇÃO",VLOOKUP(B349,'036-20-Cotação'!$A$9:$G$529,4,0))))</f>
        <v>CHP</v>
      </c>
      <c r="F349" s="462">
        <f>0.48193/4</f>
        <v>0.12048250000000001</v>
      </c>
      <c r="G349" s="453">
        <f>IF(A349="SERVIÇO",VLOOKUP(B349,SERVIÇOS!$A$6:$D$7645,4,0),IF(A349="INSUMO",VLOOKUP(B349,INSUMOS!$A$6:$D$6961,4,0),IF(A349="COTAÇÃO",VLOOKUP(B349,'036-20-Cotação'!$A$9:$G$529,3,0))))</f>
        <v>4.0088999999999997</v>
      </c>
      <c r="H349" s="463">
        <f t="shared" ref="H349" si="69">G349*F349</f>
        <v>0.48300229424999996</v>
      </c>
      <c r="J349" s="201"/>
    </row>
    <row r="350" spans="1:17" s="87" customFormat="1" ht="12.75">
      <c r="A350" s="232" t="s">
        <v>4542</v>
      </c>
      <c r="B350" s="464" t="s">
        <v>6825</v>
      </c>
      <c r="C350" s="451" t="str">
        <f>IF(A350="SERVIÇO",VLOOKUP(B350,SERVIÇOS!$A$6:$D$7645,2,0),IF(A350="INSUMO",VLOOKUP(B350,INSUMOS!$A$6:$D$6961,2,0),IF(A350="COTAÇÃO",VLOOKUP(B350,'036-20-Cotação'!$A$9:$G$529,2,0))))</f>
        <v>AJUDANTE</v>
      </c>
      <c r="D350" s="452" t="str">
        <f>IF(A350="SERVIÇO",VLOOKUP(B350,SERVIÇOS!$A$6:$E$7645,5,0),IF(A350="INSUMO",VLOOKUP(B350,INSUMOS!$A$6:$E$6961,5,0),IF(A350="COTAÇÃO",VLOOKUP(B350,'036-20-Cotação'!$A$9:$H$529,8,0))))</f>
        <v>M.O</v>
      </c>
      <c r="E350" s="452" t="str">
        <f>IF(A350="SERVIÇO",VLOOKUP(B350,SERVIÇOS!$A$6:$D$7645,3,0),IF(A350="INSUMO",VLOOKUP(B350,INSUMOS!$A$6:$D$6961,3,0),IF(A350="COTAÇÃO",VLOOKUP(B350,'036-20-Cotação'!$A$9:$G$529,4,0))))</f>
        <v>H</v>
      </c>
      <c r="F350" s="462">
        <f>2/4</f>
        <v>0.5</v>
      </c>
      <c r="G350" s="453">
        <f>IF(A350="SERVIÇO",VLOOKUP(B350,SERVIÇOS!$A$6:$D$7645,4,0),IF(A350="INSUMO",VLOOKUP(B350,INSUMOS!$A$6:$D$6961,4,0),IF(A350="COTAÇÃO",VLOOKUP(B350,'036-20-Cotação'!$A$9:$G$529,3,0))))</f>
        <v>17.9801</v>
      </c>
      <c r="H350" s="463">
        <f t="shared" si="68"/>
        <v>8.9900500000000001</v>
      </c>
      <c r="J350" s="201"/>
    </row>
    <row r="351" spans="1:17" s="87" customFormat="1" ht="12.75">
      <c r="A351" s="232" t="s">
        <v>4542</v>
      </c>
      <c r="B351" s="464" t="s">
        <v>6601</v>
      </c>
      <c r="C351" s="451" t="str">
        <f>IF(A351="SERVIÇO",VLOOKUP(B351,SERVIÇOS!$A$6:$D$7645,2,0),IF(A351="INSUMO",VLOOKUP(B351,INSUMOS!$A$6:$D$6961,2,0),IF(A351="COTAÇÃO",VLOOKUP(B351,'036-20-Cotação'!$A$9:$G$529,2,0))))</f>
        <v>MONTADOR</v>
      </c>
      <c r="D351" s="452" t="str">
        <f>IF(A351="SERVIÇO",VLOOKUP(B351,SERVIÇOS!$A$6:$E$7645,5,0),IF(A351="INSUMO",VLOOKUP(B351,INSUMOS!$A$6:$E$6961,5,0),IF(A351="COTAÇÃO",VLOOKUP(B351,'036-20-Cotação'!$A$9:$H$529,8,0))))</f>
        <v>M.O</v>
      </c>
      <c r="E351" s="452" t="str">
        <f>IF(A351="SERVIÇO",VLOOKUP(B351,SERVIÇOS!$A$6:$D$7645,3,0),IF(A351="INSUMO",VLOOKUP(B351,INSUMOS!$A$6:$D$6961,3,0),IF(A351="COTAÇÃO",VLOOKUP(B351,'036-20-Cotação'!$A$9:$G$529,4,0))))</f>
        <v>H</v>
      </c>
      <c r="F351" s="462">
        <f>1/4</f>
        <v>0.25</v>
      </c>
      <c r="G351" s="453">
        <f>IF(A351="SERVIÇO",VLOOKUP(B351,SERVIÇOS!$A$6:$D$7645,4,0),IF(A351="INSUMO",VLOOKUP(B351,INSUMOS!$A$6:$D$6961,4,0),IF(A351="COTAÇÃO",VLOOKUP(B351,'036-20-Cotação'!$A$9:$G$529,3,0))))</f>
        <v>23.4679</v>
      </c>
      <c r="H351" s="463">
        <f t="shared" si="68"/>
        <v>5.8669750000000001</v>
      </c>
      <c r="J351" s="201"/>
    </row>
    <row r="352" spans="1:17" s="87" customFormat="1" ht="12.75">
      <c r="A352" s="232" t="s">
        <v>4542</v>
      </c>
      <c r="B352" s="464" t="s">
        <v>6875</v>
      </c>
      <c r="C352" s="451" t="str">
        <f>IF(A352="SERVIÇO",VLOOKUP(B352,SERVIÇOS!$A$6:$D$7645,2,0),IF(A352="INSUMO",VLOOKUP(B352,INSUMOS!$A$6:$D$6961,2,0),IF(A352="COTAÇÃO",VLOOKUP(B352,'036-20-Cotação'!$A$9:$G$529,2,0))))</f>
        <v>SERRALHEIRO</v>
      </c>
      <c r="D352" s="452" t="str">
        <f>IF(A352="SERVIÇO",VLOOKUP(B352,SERVIÇOS!$A$6:$E$7645,5,0),IF(A352="INSUMO",VLOOKUP(B352,INSUMOS!$A$6:$E$6961,5,0),IF(A352="COTAÇÃO",VLOOKUP(B352,'036-20-Cotação'!$A$9:$H$529,8,0))))</f>
        <v>M.O</v>
      </c>
      <c r="E352" s="452" t="str">
        <f>IF(A352="SERVIÇO",VLOOKUP(B352,SERVIÇOS!$A$6:$D$7645,3,0),IF(A352="INSUMO",VLOOKUP(B352,INSUMOS!$A$6:$D$6961,3,0),IF(A352="COTAÇÃO",VLOOKUP(B352,'036-20-Cotação'!$A$9:$G$529,4,0))))</f>
        <v>H</v>
      </c>
      <c r="F352" s="462">
        <f>1/4</f>
        <v>0.25</v>
      </c>
      <c r="G352" s="453">
        <f>IF(A352="SERVIÇO",VLOOKUP(B352,SERVIÇOS!$A$6:$D$7645,4,0),IF(A352="INSUMO",VLOOKUP(B352,INSUMOS!$A$6:$D$6961,4,0),IF(A352="COTAÇÃO",VLOOKUP(B352,'036-20-Cotação'!$A$9:$G$529,3,0))))</f>
        <v>21.641200000000001</v>
      </c>
      <c r="H352" s="463">
        <f t="shared" si="68"/>
        <v>5.4103000000000003</v>
      </c>
      <c r="J352" s="201"/>
    </row>
    <row r="353" spans="1:17" s="87" customFormat="1" ht="25.9" customHeight="1">
      <c r="A353" s="232" t="s">
        <v>4542</v>
      </c>
      <c r="B353" s="464" t="s">
        <v>6602</v>
      </c>
      <c r="C353" s="451" t="str">
        <f>IF(A353="SERVIÇO",VLOOKUP(B353,SERVIÇOS!$A$6:$D$7645,2,0),IF(A353="INSUMO",VLOOKUP(B353,INSUMOS!$A$6:$D$6961,2,0),IF(A353="COTAÇÃO",VLOOKUP(B353,'036-20-Cotação'!$A$9:$G$529,2,0))))</f>
        <v>SERVENTE</v>
      </c>
      <c r="D353" s="452" t="str">
        <f>IF(A353="SERVIÇO",VLOOKUP(B353,SERVIÇOS!$A$6:$E$7645,5,0),IF(A353="INSUMO",VLOOKUP(B353,INSUMOS!$A$6:$E$6961,5,0),IF(A353="COTAÇÃO",VLOOKUP(B353,'036-20-Cotação'!$A$9:$H$529,8,0))))</f>
        <v>M.O</v>
      </c>
      <c r="E353" s="452" t="str">
        <f>IF(A353="SERVIÇO",VLOOKUP(B353,SERVIÇOS!$A$6:$D$7645,3,0),IF(A353="INSUMO",VLOOKUP(B353,INSUMOS!$A$6:$D$6961,3,0),IF(A353="COTAÇÃO",VLOOKUP(B353,'036-20-Cotação'!$A$9:$G$529,4,0))))</f>
        <v>H</v>
      </c>
      <c r="F353" s="462">
        <f>2/4</f>
        <v>0.5</v>
      </c>
      <c r="G353" s="453">
        <f>IF(A353="SERVIÇO",VLOOKUP(B353,SERVIÇOS!$A$6:$D$7645,4,0),IF(A353="INSUMO",VLOOKUP(B353,INSUMOS!$A$6:$D$6961,4,0),IF(A353="COTAÇÃO",VLOOKUP(B353,'036-20-Cotação'!$A$9:$G$529,3,0))))</f>
        <v>15.637499999999999</v>
      </c>
      <c r="H353" s="463">
        <f t="shared" si="68"/>
        <v>7.8187499999999996</v>
      </c>
      <c r="J353" s="201"/>
    </row>
    <row r="354" spans="1:17" s="87" customFormat="1" ht="25.9" customHeight="1">
      <c r="A354" s="232" t="s">
        <v>4544</v>
      </c>
      <c r="B354" s="464" t="s">
        <v>10942</v>
      </c>
      <c r="C354" s="451" t="str">
        <f>IF(A354="SERVIÇO",VLOOKUP(B354,SERVIÇOS!$A$6:$D$7645,2,0),IF(A354="INSUMO",VLOOKUP(B354,INSUMOS!$A$6:$D$6961,2,0),IF(A354="COTAÇÃO",VLOOKUP(B354,'036-20-Cotação'!$A$9:$G$529,2,0))))</f>
        <v>CHAPA DE AÇO GALVANIZADO</v>
      </c>
      <c r="D354" s="452" t="str">
        <f>IF(A354="SERVIÇO",VLOOKUP(B354,SERVIÇOS!$A$6:$E$7645,5,0),IF(A354="INSUMO",VLOOKUP(B354,INSUMOS!$A$6:$E$6961,5,0),IF(A354="COTAÇÃO",VLOOKUP(B354,'036-20-Cotação'!$A$9:$H$529,8,0))))</f>
        <v>MAT.</v>
      </c>
      <c r="E354" s="452" t="str">
        <f>IF(A354="SERVIÇO",VLOOKUP(B354,SERVIÇOS!$A$6:$D$7645,3,0),IF(A354="INSUMO",VLOOKUP(B354,INSUMOS!$A$6:$D$6961,3,0),IF(A354="COTAÇÃO",VLOOKUP(B354,'036-20-Cotação'!$A$9:$G$529,4,0))))</f>
        <v>KG</v>
      </c>
      <c r="F354" s="462">
        <v>11.775</v>
      </c>
      <c r="G354" s="453">
        <f>IF(A354="SERVIÇO",VLOOKUP(B354,SERVIÇOS!$A$6:$D$7645,4,0),IF(A354="INSUMO",VLOOKUP(B354,INSUMOS!$A$6:$D$6961,4,0),IF(A354="COTAÇÃO",VLOOKUP(B354,'036-20-Cotação'!$A$9:$G$529,3,0))))</f>
        <v>6.37</v>
      </c>
      <c r="H354" s="463">
        <f t="shared" si="68"/>
        <v>75.006749999999997</v>
      </c>
      <c r="J354" s="201"/>
    </row>
    <row r="355" spans="1:17" s="87" customFormat="1" ht="25.9" customHeight="1">
      <c r="A355" s="232" t="s">
        <v>4544</v>
      </c>
      <c r="B355" s="464" t="s">
        <v>6309</v>
      </c>
      <c r="C355" s="451" t="str">
        <f>IF(A355="SERVIÇO",VLOOKUP(B355,SERVIÇOS!$A$6:$D$7645,2,0),IF(A355="INSUMO",VLOOKUP(B355,INSUMOS!$A$6:$D$6961,2,0),IF(A355="COTAÇÃO",VLOOKUP(B355,'036-20-Cotação'!$A$9:$G$529,2,0))))</f>
        <v>PELÍCULA RETRORREFLETIVA TIPO I</v>
      </c>
      <c r="D355" s="452" t="str">
        <f>IF(A355="SERVIÇO",VLOOKUP(B355,SERVIÇOS!$A$6:$E$7645,5,0),IF(A355="INSUMO",VLOOKUP(B355,INSUMOS!$A$6:$E$6961,5,0),IF(A355="COTAÇÃO",VLOOKUP(B355,'036-20-Cotação'!$A$9:$H$529,8,0))))</f>
        <v>MAT.</v>
      </c>
      <c r="E355" s="452" t="str">
        <f>IF(A355="SERVIÇO",VLOOKUP(B355,SERVIÇOS!$A$6:$D$7645,3,0),IF(A355="INSUMO",VLOOKUP(B355,INSUMOS!$A$6:$D$6961,3,0),IF(A355="COTAÇÃO",VLOOKUP(B355,'036-20-Cotação'!$A$9:$G$529,4,0))))</f>
        <v>M²</v>
      </c>
      <c r="F355" s="462">
        <v>1</v>
      </c>
      <c r="G355" s="453">
        <f>IF(A355="SERVIÇO",VLOOKUP(B355,SERVIÇOS!$A$6:$D$7645,4,0),IF(A355="INSUMO",VLOOKUP(B355,INSUMOS!$A$6:$D$6961,4,0),IF(A355="COTAÇÃO",VLOOKUP(B355,'036-20-Cotação'!$A$9:$G$529,3,0))))</f>
        <v>100.25449999999999</v>
      </c>
      <c r="H355" s="463">
        <f t="shared" si="68"/>
        <v>100.25449999999999</v>
      </c>
      <c r="J355" s="201"/>
    </row>
    <row r="356" spans="1:17" s="87" customFormat="1" ht="25.9" customHeight="1">
      <c r="A356" s="232" t="s">
        <v>4544</v>
      </c>
      <c r="B356" s="464" t="s">
        <v>6308</v>
      </c>
      <c r="C356" s="451" t="str">
        <f>IF(A356="SERVIÇO",VLOOKUP(B356,SERVIÇOS!$A$6:$D$7645,2,0),IF(A356="INSUMO",VLOOKUP(B356,INSUMOS!$A$6:$D$6961,2,0),IF(A356="COTAÇÃO",VLOOKUP(B356,'036-20-Cotação'!$A$9:$G$529,2,0))))</f>
        <v>PELÍCULA RETRORREFLETIVA TIPO III</v>
      </c>
      <c r="D356" s="452" t="str">
        <f>IF(A356="SERVIÇO",VLOOKUP(B356,SERVIÇOS!$A$6:$E$7645,5,0),IF(A356="INSUMO",VLOOKUP(B356,INSUMOS!$A$6:$E$6961,5,0),IF(A356="COTAÇÃO",VLOOKUP(B356,'036-20-Cotação'!$A$9:$H$529,8,0))))</f>
        <v>MAT.</v>
      </c>
      <c r="E356" s="452" t="str">
        <f>IF(A356="SERVIÇO",VLOOKUP(B356,SERVIÇOS!$A$6:$D$7645,3,0),IF(A356="INSUMO",VLOOKUP(B356,INSUMOS!$A$6:$D$6961,3,0),IF(A356="COTAÇÃO",VLOOKUP(B356,'036-20-Cotação'!$A$9:$G$529,4,0))))</f>
        <v>M²</v>
      </c>
      <c r="F356" s="462">
        <v>0.4</v>
      </c>
      <c r="G356" s="453">
        <f>IF(A356="SERVIÇO",VLOOKUP(B356,SERVIÇOS!$A$6:$D$7645,4,0),IF(A356="INSUMO",VLOOKUP(B356,INSUMOS!$A$6:$D$6961,4,0),IF(A356="COTAÇÃO",VLOOKUP(B356,'036-20-Cotação'!$A$9:$G$529,3,0))))</f>
        <v>136.102</v>
      </c>
      <c r="H356" s="463">
        <f t="shared" ref="H356" si="70">G356*F356</f>
        <v>54.440800000000003</v>
      </c>
      <c r="J356" s="201"/>
    </row>
    <row r="357" spans="1:17" s="87" customFormat="1" ht="25.9" customHeight="1">
      <c r="A357" s="232" t="s">
        <v>4542</v>
      </c>
      <c r="B357" s="464">
        <f>$B$362</f>
        <v>5212552</v>
      </c>
      <c r="C357" s="451" t="str">
        <f>$C$362</f>
        <v>PINTURA ELETROSTÁTICA A PÓ COM TINTA POLIESTER EM CHAPA DE AÇO</v>
      </c>
      <c r="D357" s="452" t="str">
        <f>$D$362</f>
        <v>SER.CG</v>
      </c>
      <c r="E357" s="452" t="str">
        <f>$E$362</f>
        <v>M2</v>
      </c>
      <c r="F357" s="462">
        <v>1</v>
      </c>
      <c r="G357" s="453">
        <f>$H$362</f>
        <v>12.732781410026684</v>
      </c>
      <c r="H357" s="463">
        <f t="shared" si="68"/>
        <v>12.732781410026684</v>
      </c>
      <c r="J357" s="201"/>
    </row>
    <row r="358" spans="1:17" s="87" customFormat="1" ht="25.9" customHeight="1">
      <c r="A358" s="232" t="s">
        <v>4542</v>
      </c>
      <c r="B358" s="464" t="str">
        <f>$B$286</f>
        <v>5914333-TF</v>
      </c>
      <c r="C358" s="451" t="str">
        <f>$C$286</f>
        <v>TEMPO FIXO - CAMINHÃO CARROCERIA 15 T - CARGA E DESCARGA COM CAMINHÃO GUINDAUTO</v>
      </c>
      <c r="D358" s="452" t="str">
        <f>$D$286</f>
        <v>SER.CG</v>
      </c>
      <c r="E358" s="452" t="str">
        <f>$E$286</f>
        <v>T</v>
      </c>
      <c r="F358" s="462">
        <v>1.1780000000000001E-2</v>
      </c>
      <c r="G358" s="453">
        <f>$H$286</f>
        <v>18.149041033591729</v>
      </c>
      <c r="H358" s="463">
        <f t="shared" si="68"/>
        <v>0.21379570337571058</v>
      </c>
      <c r="J358" s="201"/>
    </row>
    <row r="359" spans="1:17" s="87" customFormat="1" ht="25.5">
      <c r="A359" s="232" t="s">
        <v>4542</v>
      </c>
      <c r="B359" s="531" t="str">
        <f>'036-20-CCA''s'!$B$276</f>
        <v>5915474-TF</v>
      </c>
      <c r="C359" s="451" t="str">
        <f>'036-20-CCA''s'!$C$276</f>
        <v>TEMPO FIXO - CAMINHÃO CARROCERIA 5 T - CARGA E DESCARGA MANUAIS</v>
      </c>
      <c r="D359" s="452" t="str">
        <f>'036-20-CCA''s'!$D$276</f>
        <v>SER.CG</v>
      </c>
      <c r="E359" s="452" t="str">
        <f>'036-20-CCA''s'!$E$276</f>
        <v>T</v>
      </c>
      <c r="F359" s="462">
        <f>0.00054+0.00016</f>
        <v>6.9999999999999999E-4</v>
      </c>
      <c r="G359" s="453">
        <f>'036-20-CCA''s'!$H$276</f>
        <v>16.063762057877813</v>
      </c>
      <c r="H359" s="463">
        <f t="shared" si="68"/>
        <v>1.1244633440514469E-2</v>
      </c>
      <c r="J359" s="201"/>
    </row>
    <row r="360" spans="1:17" s="87" customFormat="1" ht="12.75">
      <c r="A360" s="188"/>
      <c r="B360" s="348" t="s">
        <v>123</v>
      </c>
      <c r="C360" s="695" t="s">
        <v>13394</v>
      </c>
      <c r="D360" s="696"/>
      <c r="E360" s="696"/>
      <c r="F360" s="696"/>
      <c r="G360" s="696"/>
      <c r="H360" s="697"/>
      <c r="J360" s="201"/>
      <c r="K360" s="78"/>
      <c r="L360" s="78"/>
      <c r="M360" s="78"/>
      <c r="N360" s="78"/>
      <c r="O360" s="78"/>
      <c r="P360" s="78"/>
      <c r="Q360" s="78"/>
    </row>
    <row r="361" spans="1:17" s="87" customFormat="1" ht="12.75">
      <c r="A361" s="188"/>
      <c r="B361" s="346"/>
      <c r="C361" s="484"/>
      <c r="D361" s="484"/>
      <c r="E361" s="484"/>
      <c r="F361" s="484"/>
      <c r="G361" s="484"/>
      <c r="H361" s="485"/>
      <c r="J361" s="201"/>
      <c r="K361" s="78"/>
      <c r="L361" s="78"/>
      <c r="M361" s="78"/>
      <c r="N361" s="78"/>
      <c r="O361" s="78"/>
      <c r="P361" s="78"/>
      <c r="Q361" s="78"/>
    </row>
    <row r="362" spans="1:17" s="87" customFormat="1" ht="25.5">
      <c r="A362" s="188"/>
      <c r="B362" s="80">
        <v>5212552</v>
      </c>
      <c r="C362" s="81" t="s">
        <v>13269</v>
      </c>
      <c r="D362" s="82" t="s">
        <v>201</v>
      </c>
      <c r="E362" s="82" t="s">
        <v>150</v>
      </c>
      <c r="F362" s="83"/>
      <c r="G362" s="84"/>
      <c r="H362" s="85">
        <f>SUM(H363:H369)</f>
        <v>12.732781410026684</v>
      </c>
      <c r="J362" s="201" t="s">
        <v>13270</v>
      </c>
      <c r="K362" s="78"/>
      <c r="L362" s="78"/>
      <c r="M362" s="78"/>
      <c r="N362" s="78"/>
      <c r="O362" s="78"/>
      <c r="P362" s="78"/>
      <c r="Q362" s="78"/>
    </row>
    <row r="363" spans="1:17" s="87" customFormat="1" ht="38.25">
      <c r="A363" s="232" t="s">
        <v>4542</v>
      </c>
      <c r="B363" s="464" t="s">
        <v>8851</v>
      </c>
      <c r="C363" s="451" t="str">
        <f>IF(A363="SERVIÇO",VLOOKUP(B363,SERVIÇOS!$A$6:$D$7645,2,0),IF(A363="INSUMO",VLOOKUP(B363,INSUMOS!$A$6:$D$6961,2,0),IF(A363="COTAÇÃO",VLOOKUP(B363,'036-20-Cotação'!$A$9:$G$529,2,0))))</f>
        <v>EQUIPAMENTO DE PINTURA COM CABINE DE 7,00 KW E ESTUFA DE 80.000 KCAL PARA PINTURA ELETROSTÁTICA</v>
      </c>
      <c r="D363" s="452" t="str">
        <f>IF(A363="SERVIÇO",VLOOKUP(B363,SERVIÇOS!$A$6:$E$7645,5,0),IF(A363="INSUMO",VLOOKUP(B363,INSUMOS!$A$6:$E$6961,5,0),IF(A363="COTAÇÃO",VLOOKUP(B363,'036-20-Cotação'!$A$9:$H$529,8,0))))</f>
        <v>EQUIP.</v>
      </c>
      <c r="E363" s="452" t="str">
        <f>IF(A363="SERVIÇO",VLOOKUP(B363,SERVIÇOS!$A$6:$D$7645,3,0),IF(A363="INSUMO",VLOOKUP(B363,INSUMOS!$A$6:$D$6961,3,0),IF(A363="COTAÇÃO",VLOOKUP(B363,'036-20-Cotação'!$A$9:$G$529,4,0))))</f>
        <v>CHP</v>
      </c>
      <c r="F363" s="462">
        <f>1/9.96</f>
        <v>0.1004016064257028</v>
      </c>
      <c r="G363" s="453">
        <f>IF(A363="SERVIÇO",VLOOKUP(B363,SERVIÇOS!$A$6:$D$7645,4,0),IF(A363="INSUMO",VLOOKUP(B363,INSUMOS!$A$6:$D$6961,4,0),IF(A363="COTAÇÃO",VLOOKUP(B363,'036-20-Cotação'!$A$9:$G$529,3,0))))</f>
        <v>31.689</v>
      </c>
      <c r="H363" s="463">
        <f t="shared" ref="H363:H369" si="71">G363*F363</f>
        <v>3.181626506024096</v>
      </c>
      <c r="J363" s="201"/>
    </row>
    <row r="364" spans="1:17" s="87" customFormat="1" ht="12.75">
      <c r="A364" s="232" t="s">
        <v>4542</v>
      </c>
      <c r="B364" s="464" t="s">
        <v>8833</v>
      </c>
      <c r="C364" s="451" t="str">
        <f>IF(A364="SERVIÇO",VLOOKUP(B364,SERVIÇOS!$A$6:$D$7645,2,0),IF(A364="INSUMO",VLOOKUP(B364,INSUMOS!$A$6:$D$6961,2,0),IF(A364="COTAÇÃO",VLOOKUP(B364,'036-20-Cotação'!$A$9:$G$529,2,0))))</f>
        <v>GRUPO GERADOR - 13/14 KVA</v>
      </c>
      <c r="D364" s="452" t="str">
        <f>IF(A364="SERVIÇO",VLOOKUP(B364,SERVIÇOS!$A$6:$E$7645,5,0),IF(A364="INSUMO",VLOOKUP(B364,INSUMOS!$A$6:$E$6961,5,0),IF(A364="COTAÇÃO",VLOOKUP(B364,'036-20-Cotação'!$A$9:$H$529,8,0))))</f>
        <v>EQUIP.</v>
      </c>
      <c r="E364" s="452" t="str">
        <f>IF(A364="SERVIÇO",VLOOKUP(B364,SERVIÇOS!$A$6:$D$7645,3,0),IF(A364="INSUMO",VLOOKUP(B364,INSUMOS!$A$6:$D$6961,3,0),IF(A364="COTAÇÃO",VLOOKUP(B364,'036-20-Cotação'!$A$9:$G$529,4,0))))</f>
        <v>CHP</v>
      </c>
      <c r="F364" s="462">
        <f t="shared" ref="F364:F367" si="72">1/9.96</f>
        <v>0.1004016064257028</v>
      </c>
      <c r="G364" s="453">
        <f>IF(A364="SERVIÇO",VLOOKUP(B364,SERVIÇOS!$A$6:$D$7645,4,0),IF(A364="INSUMO",VLOOKUP(B364,INSUMOS!$A$6:$D$6961,4,0),IF(A364="COTAÇÃO",VLOOKUP(B364,'036-20-Cotação'!$A$9:$G$529,3,0))))</f>
        <v>9.6905000000000001</v>
      </c>
      <c r="H364" s="463">
        <f t="shared" si="71"/>
        <v>0.97294176706827296</v>
      </c>
      <c r="J364" s="201"/>
    </row>
    <row r="365" spans="1:17" s="87" customFormat="1" ht="12.75">
      <c r="A365" s="232" t="s">
        <v>4542</v>
      </c>
      <c r="B365" s="464" t="s">
        <v>6825</v>
      </c>
      <c r="C365" s="451" t="str">
        <f>IF(A365="SERVIÇO",VLOOKUP(B365,SERVIÇOS!$A$6:$D$7645,2,0),IF(A365="INSUMO",VLOOKUP(B365,INSUMOS!$A$6:$D$6961,2,0),IF(A365="COTAÇÃO",VLOOKUP(B365,'036-20-Cotação'!$A$9:$G$529,2,0))))</f>
        <v>AJUDANTE</v>
      </c>
      <c r="D365" s="452" t="str">
        <f>IF(A365="SERVIÇO",VLOOKUP(B365,SERVIÇOS!$A$6:$E$7645,5,0),IF(A365="INSUMO",VLOOKUP(B365,INSUMOS!$A$6:$E$6961,5,0),IF(A365="COTAÇÃO",VLOOKUP(B365,'036-20-Cotação'!$A$9:$H$529,8,0))))</f>
        <v>M.O</v>
      </c>
      <c r="E365" s="452" t="str">
        <f>IF(A365="SERVIÇO",VLOOKUP(B365,SERVIÇOS!$A$6:$D$7645,3,0),IF(A365="INSUMO",VLOOKUP(B365,INSUMOS!$A$6:$D$6961,3,0),IF(A365="COTAÇÃO",VLOOKUP(B365,'036-20-Cotação'!$A$9:$G$529,4,0))))</f>
        <v>H</v>
      </c>
      <c r="F365" s="462">
        <f t="shared" si="72"/>
        <v>0.1004016064257028</v>
      </c>
      <c r="G365" s="453">
        <f>IF(A365="SERVIÇO",VLOOKUP(B365,SERVIÇOS!$A$6:$D$7645,4,0),IF(A365="INSUMO",VLOOKUP(B365,INSUMOS!$A$6:$D$6961,4,0),IF(A365="COTAÇÃO",VLOOKUP(B365,'036-20-Cotação'!$A$9:$G$529,3,0))))</f>
        <v>17.9801</v>
      </c>
      <c r="H365" s="463">
        <f t="shared" si="71"/>
        <v>1.8052309236947788</v>
      </c>
      <c r="J365" s="201"/>
    </row>
    <row r="366" spans="1:17" s="87" customFormat="1" ht="12.75">
      <c r="A366" s="232" t="s">
        <v>4542</v>
      </c>
      <c r="B366" s="464" t="s">
        <v>7527</v>
      </c>
      <c r="C366" s="451" t="str">
        <f>IF(A366="SERVIÇO",VLOOKUP(B366,SERVIÇOS!$A$6:$D$7645,2,0),IF(A366="INSUMO",VLOOKUP(B366,INSUMOS!$A$6:$D$6961,2,0),IF(A366="COTAÇÃO",VLOOKUP(B366,'036-20-Cotação'!$A$9:$G$529,2,0))))</f>
        <v>PINTOR</v>
      </c>
      <c r="D366" s="452" t="str">
        <f>IF(A366="SERVIÇO",VLOOKUP(B366,SERVIÇOS!$A$6:$E$7645,5,0),IF(A366="INSUMO",VLOOKUP(B366,INSUMOS!$A$6:$E$6961,5,0),IF(A366="COTAÇÃO",VLOOKUP(B366,'036-20-Cotação'!$A$9:$H$529,8,0))))</f>
        <v>M.O</v>
      </c>
      <c r="E366" s="452" t="str">
        <f>IF(A366="SERVIÇO",VLOOKUP(B366,SERVIÇOS!$A$6:$D$7645,3,0),IF(A366="INSUMO",VLOOKUP(B366,INSUMOS!$A$6:$D$6961,3,0),IF(A366="COTAÇÃO",VLOOKUP(B366,'036-20-Cotação'!$A$9:$G$529,4,0))))</f>
        <v>H</v>
      </c>
      <c r="F366" s="462">
        <f t="shared" si="72"/>
        <v>0.1004016064257028</v>
      </c>
      <c r="G366" s="453">
        <f>IF(A366="SERVIÇO",VLOOKUP(B366,SERVIÇOS!$A$6:$D$7645,4,0),IF(A366="INSUMO",VLOOKUP(B366,INSUMOS!$A$6:$D$6961,4,0),IF(A366="COTAÇÃO",VLOOKUP(B366,'036-20-Cotação'!$A$9:$G$529,3,0))))</f>
        <v>21.705200000000001</v>
      </c>
      <c r="H366" s="463">
        <f t="shared" si="71"/>
        <v>2.1792369477911646</v>
      </c>
      <c r="J366" s="201"/>
    </row>
    <row r="367" spans="1:17" s="87" customFormat="1" ht="12.75">
      <c r="A367" s="232" t="s">
        <v>4542</v>
      </c>
      <c r="B367" s="464" t="s">
        <v>6602</v>
      </c>
      <c r="C367" s="451" t="str">
        <f>IF(A367="SERVIÇO",VLOOKUP(B367,SERVIÇOS!$A$6:$D$7645,2,0),IF(A367="INSUMO",VLOOKUP(B367,INSUMOS!$A$6:$D$6961,2,0),IF(A367="COTAÇÃO",VLOOKUP(B367,'036-20-Cotação'!$A$9:$G$529,2,0))))</f>
        <v>SERVENTE</v>
      </c>
      <c r="D367" s="452" t="str">
        <f>IF(A367="SERVIÇO",VLOOKUP(B367,SERVIÇOS!$A$6:$E$7645,5,0),IF(A367="INSUMO",VLOOKUP(B367,INSUMOS!$A$6:$E$6961,5,0),IF(A367="COTAÇÃO",VLOOKUP(B367,'036-20-Cotação'!$A$9:$H$529,8,0))))</f>
        <v>M.O</v>
      </c>
      <c r="E367" s="452" t="str">
        <f>IF(A367="SERVIÇO",VLOOKUP(B367,SERVIÇOS!$A$6:$D$7645,3,0),IF(A367="INSUMO",VLOOKUP(B367,INSUMOS!$A$6:$D$6961,3,0),IF(A367="COTAÇÃO",VLOOKUP(B367,'036-20-Cotação'!$A$9:$G$529,4,0))))</f>
        <v>H</v>
      </c>
      <c r="F367" s="462">
        <f t="shared" si="72"/>
        <v>0.1004016064257028</v>
      </c>
      <c r="G367" s="453">
        <f>IF(A367="SERVIÇO",VLOOKUP(B367,SERVIÇOS!$A$6:$D$7645,4,0),IF(A367="INSUMO",VLOOKUP(B367,INSUMOS!$A$6:$D$6961,4,0),IF(A367="COTAÇÃO",VLOOKUP(B367,'036-20-Cotação'!$A$9:$G$529,3,0))))</f>
        <v>15.637499999999999</v>
      </c>
      <c r="H367" s="463">
        <f t="shared" si="71"/>
        <v>1.5700301204819274</v>
      </c>
      <c r="J367" s="201"/>
    </row>
    <row r="368" spans="1:17" s="87" customFormat="1" ht="12.75">
      <c r="A368" s="232" t="s">
        <v>4544</v>
      </c>
      <c r="B368" s="464" t="s">
        <v>6310</v>
      </c>
      <c r="C368" s="451" t="str">
        <f>IF(A368="SERVIÇO",VLOOKUP(B368,SERVIÇOS!$A$6:$D$7645,2,0),IF(A368="INSUMO",VLOOKUP(B368,INSUMOS!$A$6:$D$6961,2,0),IF(A368="COTAÇÃO",VLOOKUP(B368,'036-20-Cotação'!$A$9:$G$529,2,0))))</f>
        <v>TINTA POLIÉSTER EM PÓ</v>
      </c>
      <c r="D368" s="452" t="str">
        <f>IF(A368="SERVIÇO",VLOOKUP(B368,SERVIÇOS!$A$6:$E$7645,5,0),IF(A368="INSUMO",VLOOKUP(B368,INSUMOS!$A$6:$E$6961,5,0),IF(A368="COTAÇÃO",VLOOKUP(B368,'036-20-Cotação'!$A$9:$H$529,8,0))))</f>
        <v>MAT.</v>
      </c>
      <c r="E368" s="452" t="str">
        <f>IF(A368="SERVIÇO",VLOOKUP(B368,SERVIÇOS!$A$6:$D$7645,3,0),IF(A368="INSUMO",VLOOKUP(B368,INSUMOS!$A$6:$D$6961,3,0),IF(A368="COTAÇÃO",VLOOKUP(B368,'036-20-Cotação'!$A$9:$G$529,4,0))))</f>
        <v>KG</v>
      </c>
      <c r="F368" s="462">
        <v>8.4500000000000006E-2</v>
      </c>
      <c r="G368" s="453">
        <f>IF(A368="SERVIÇO",VLOOKUP(B368,SERVIÇOS!$A$6:$D$7645,4,0),IF(A368="INSUMO",VLOOKUP(B368,INSUMOS!$A$6:$D$6961,4,0),IF(A368="COTAÇÃO",VLOOKUP(B368,'036-20-Cotação'!$A$9:$G$529,3,0))))</f>
        <v>35.763800000000003</v>
      </c>
      <c r="H368" s="463">
        <f t="shared" si="71"/>
        <v>3.0220411000000005</v>
      </c>
      <c r="J368" s="201"/>
    </row>
    <row r="369" spans="1:17" s="87" customFormat="1" ht="25.5">
      <c r="A369" s="232" t="s">
        <v>4542</v>
      </c>
      <c r="B369" s="531" t="str">
        <f>$B$281</f>
        <v>5914655-TF</v>
      </c>
      <c r="C369" s="451" t="str">
        <f>$C$281</f>
        <v>TEMPO FIXO - CAMINHÃO CARROCERIA 15 T - CARGA E DESCARGA MANUAIS</v>
      </c>
      <c r="D369" s="452" t="str">
        <f>$D$281</f>
        <v>SER.CG</v>
      </c>
      <c r="E369" s="452" t="str">
        <f>$E$281</f>
        <v>T</v>
      </c>
      <c r="F369" s="462">
        <v>8.0000000000000007E-5</v>
      </c>
      <c r="G369" s="453">
        <f>$H$281</f>
        <v>20.925562080536913</v>
      </c>
      <c r="H369" s="463">
        <f t="shared" si="71"/>
        <v>1.6740449664429532E-3</v>
      </c>
      <c r="J369" s="201"/>
    </row>
    <row r="370" spans="1:17" s="87" customFormat="1" ht="12.75">
      <c r="A370" s="188"/>
      <c r="B370" s="348" t="s">
        <v>123</v>
      </c>
      <c r="C370" s="695" t="s">
        <v>13271</v>
      </c>
      <c r="D370" s="696"/>
      <c r="E370" s="696"/>
      <c r="F370" s="696"/>
      <c r="G370" s="696"/>
      <c r="H370" s="697"/>
      <c r="J370" s="201"/>
      <c r="K370" s="78"/>
      <c r="L370" s="78"/>
      <c r="M370" s="78"/>
      <c r="N370" s="78"/>
      <c r="O370" s="78"/>
      <c r="P370" s="78"/>
      <c r="Q370" s="78"/>
    </row>
    <row r="371" spans="1:17" s="87" customFormat="1" ht="12.75">
      <c r="A371" s="188"/>
      <c r="B371" s="346"/>
      <c r="C371" s="484"/>
      <c r="D371" s="484"/>
      <c r="E371" s="484"/>
      <c r="F371" s="484"/>
      <c r="G371" s="484"/>
      <c r="H371" s="485"/>
      <c r="J371" s="201"/>
      <c r="K371" s="78"/>
      <c r="L371" s="78"/>
      <c r="M371" s="78"/>
      <c r="N371" s="78"/>
      <c r="O371" s="78"/>
      <c r="P371" s="78"/>
      <c r="Q371" s="78"/>
    </row>
    <row r="372" spans="1:17" s="87" customFormat="1" ht="25.5">
      <c r="A372" s="188"/>
      <c r="B372" s="80" t="s">
        <v>13278</v>
      </c>
      <c r="C372" s="81" t="s">
        <v>13279</v>
      </c>
      <c r="D372" s="82" t="s">
        <v>201</v>
      </c>
      <c r="E372" s="82" t="s">
        <v>3495</v>
      </c>
      <c r="F372" s="83"/>
      <c r="G372" s="84"/>
      <c r="H372" s="85">
        <f>SUM(H373:H374)</f>
        <v>17.455547886108718</v>
      </c>
      <c r="J372" s="201" t="s">
        <v>13280</v>
      </c>
      <c r="K372" s="78"/>
      <c r="L372" s="78"/>
      <c r="M372" s="78"/>
      <c r="N372" s="78"/>
      <c r="O372" s="78"/>
      <c r="P372" s="78"/>
      <c r="Q372" s="78"/>
    </row>
    <row r="373" spans="1:17" s="87" customFormat="1" ht="25.5">
      <c r="A373" s="232" t="s">
        <v>4542</v>
      </c>
      <c r="B373" s="464" t="s">
        <v>9465</v>
      </c>
      <c r="C373" s="451" t="str">
        <f>IF(A373="SERVIÇO",VLOOKUP(B373,SERVIÇOS!$A$6:$D$7645,2,0),IF(A373="INSUMO",VLOOKUP(B373,INSUMOS!$A$6:$D$6961,2,0),IF(A373="COTAÇÃO",VLOOKUP(B373,'036-20-Cotação'!$A$9:$G$529,2,0))))</f>
        <v>CAMINHÃO CARROCERIA COM CAPACIDADE DE 9 T - 136 KW</v>
      </c>
      <c r="D373" s="452" t="str">
        <f>IF(A373="SERVIÇO",VLOOKUP(B373,SERVIÇOS!$A$6:$E$7645,5,0),IF(A373="INSUMO",VLOOKUP(B373,INSUMOS!$A$6:$E$6961,5,0),IF(A373="COTAÇÃO",VLOOKUP(B373,'036-20-Cotação'!$A$9:$H$529,8,0))))</f>
        <v>EQUIP.</v>
      </c>
      <c r="E373" s="452" t="str">
        <f>IF(A373="SERVIÇO",VLOOKUP(B373,SERVIÇOS!$A$6:$D$7645,3,0),IF(A373="INSUMO",VLOOKUP(B373,INSUMOS!$A$6:$D$6961,3,0),IF(A373="COTAÇÃO",VLOOKUP(B373,'036-20-Cotação'!$A$9:$G$529,4,0))))</f>
        <v>CHP</v>
      </c>
      <c r="F373" s="462">
        <f>1/11.59</f>
        <v>8.6281276962899056E-2</v>
      </c>
      <c r="G373" s="453">
        <f>IF(A373="SERVIÇO",VLOOKUP(B373,SERVIÇOS!$A$6:$D$7645,4,0),IF(A373="INSUMO",VLOOKUP(B373,INSUMOS!$A$6:$D$6961,4,0),IF(A373="COTAÇÃO",VLOOKUP(B373,'036-20-Cotação'!$A$9:$G$529,3,0))))</f>
        <v>108.48480000000001</v>
      </c>
      <c r="H373" s="463">
        <f t="shared" ref="H373:H374" si="73">G373*F373</f>
        <v>9.3602070750647126</v>
      </c>
      <c r="J373" s="201"/>
    </row>
    <row r="374" spans="1:17" s="87" customFormat="1" ht="12.75">
      <c r="A374" s="232" t="s">
        <v>4542</v>
      </c>
      <c r="B374" s="464" t="s">
        <v>6602</v>
      </c>
      <c r="C374" s="451" t="str">
        <f>IF(A374="SERVIÇO",VLOOKUP(B374,SERVIÇOS!$A$6:$D$7645,2,0),IF(A374="INSUMO",VLOOKUP(B374,INSUMOS!$A$6:$D$6961,2,0),IF(A374="COTAÇÃO",VLOOKUP(B374,'036-20-Cotação'!$A$9:$G$529,2,0))))</f>
        <v>SERVENTE</v>
      </c>
      <c r="D374" s="452" t="str">
        <f>IF(A374="SERVIÇO",VLOOKUP(B374,SERVIÇOS!$A$6:$E$7645,5,0),IF(A374="INSUMO",VLOOKUP(B374,INSUMOS!$A$6:$E$6961,5,0),IF(A374="COTAÇÃO",VLOOKUP(B374,'036-20-Cotação'!$A$9:$H$529,8,0))))</f>
        <v>M.O</v>
      </c>
      <c r="E374" s="452" t="str">
        <f>IF(A374="SERVIÇO",VLOOKUP(B374,SERVIÇOS!$A$6:$D$7645,3,0),IF(A374="INSUMO",VLOOKUP(B374,INSUMOS!$A$6:$D$6961,3,0),IF(A374="COTAÇÃO",VLOOKUP(B374,'036-20-Cotação'!$A$9:$G$529,4,0))))</f>
        <v>H</v>
      </c>
      <c r="F374" s="462">
        <f>6/11.59</f>
        <v>0.51768766177739434</v>
      </c>
      <c r="G374" s="453">
        <f>IF(A374="SERVIÇO",VLOOKUP(B374,SERVIÇOS!$A$6:$D$7645,4,0),IF(A374="INSUMO",VLOOKUP(B374,INSUMOS!$A$6:$D$6961,4,0),IF(A374="COTAÇÃO",VLOOKUP(B374,'036-20-Cotação'!$A$9:$G$529,3,0))))</f>
        <v>15.637499999999999</v>
      </c>
      <c r="H374" s="463">
        <f t="shared" si="73"/>
        <v>8.0953408110440037</v>
      </c>
      <c r="J374" s="201"/>
    </row>
    <row r="375" spans="1:17" s="87" customFormat="1" ht="12.75">
      <c r="A375" s="188"/>
      <c r="B375" s="348" t="s">
        <v>123</v>
      </c>
      <c r="C375" s="695" t="s">
        <v>13227</v>
      </c>
      <c r="D375" s="696"/>
      <c r="E375" s="696"/>
      <c r="F375" s="696"/>
      <c r="G375" s="696"/>
      <c r="H375" s="697"/>
      <c r="J375" s="201"/>
      <c r="K375" s="78"/>
      <c r="L375" s="78"/>
      <c r="M375" s="78"/>
      <c r="N375" s="78"/>
      <c r="O375" s="78"/>
      <c r="P375" s="78"/>
      <c r="Q375" s="78"/>
    </row>
    <row r="376" spans="1:17" s="87" customFormat="1" ht="12.75">
      <c r="A376" s="188"/>
      <c r="B376" s="346"/>
      <c r="C376" s="484"/>
      <c r="D376" s="484"/>
      <c r="E376" s="484"/>
      <c r="F376" s="484"/>
      <c r="G376" s="484"/>
      <c r="H376" s="485"/>
      <c r="J376" s="201"/>
      <c r="K376" s="78"/>
      <c r="L376" s="78"/>
      <c r="M376" s="78"/>
      <c r="N376" s="78"/>
      <c r="O376" s="78"/>
      <c r="P376" s="78"/>
      <c r="Q376" s="78"/>
    </row>
    <row r="377" spans="1:17" s="87" customFormat="1" ht="38.25">
      <c r="A377" s="188"/>
      <c r="B377" s="80">
        <v>1106057</v>
      </c>
      <c r="C377" s="81" t="s">
        <v>13288</v>
      </c>
      <c r="D377" s="82" t="s">
        <v>201</v>
      </c>
      <c r="E377" s="82" t="s">
        <v>172</v>
      </c>
      <c r="F377" s="83"/>
      <c r="G377" s="84"/>
      <c r="H377" s="85">
        <f>SUM(H378:H389)</f>
        <v>316.12348536110147</v>
      </c>
      <c r="J377" s="201" t="s">
        <v>13290</v>
      </c>
      <c r="K377" s="78"/>
      <c r="L377" s="78"/>
      <c r="M377" s="78"/>
      <c r="N377" s="78"/>
      <c r="O377" s="78"/>
      <c r="P377" s="78"/>
      <c r="Q377" s="78"/>
    </row>
    <row r="378" spans="1:17" s="87" customFormat="1" ht="25.5">
      <c r="A378" s="232" t="s">
        <v>4542</v>
      </c>
      <c r="B378" s="464" t="s">
        <v>9004</v>
      </c>
      <c r="C378" s="451" t="str">
        <f>IF(A378="SERVIÇO",VLOOKUP(B378,SERVIÇOS!$A$6:$D$7645,2,0),IF(A378="INSUMO",VLOOKUP(B378,INSUMOS!$A$6:$D$6961,2,0),IF(A378="COTAÇÃO",VLOOKUP(B378,'036-20-Cotação'!$A$9:$G$529,2,0))))</f>
        <v>BETONEIRA COM MOTOR A GASOLINA COM CAPACIDADE DE 600 L - 10 KW</v>
      </c>
      <c r="D378" s="452" t="str">
        <f>IF(A378="SERVIÇO",VLOOKUP(B378,SERVIÇOS!$A$6:$E$7645,5,0),IF(A378="INSUMO",VLOOKUP(B378,INSUMOS!$A$6:$E$6961,5,0),IF(A378="COTAÇÃO",VLOOKUP(B378,'036-20-Cotação'!$A$9:$H$529,8,0))))</f>
        <v>EQUIP.</v>
      </c>
      <c r="E378" s="452" t="str">
        <f>IF(A378="SERVIÇO",VLOOKUP(B378,SERVIÇOS!$A$6:$D$7645,3,0),IF(A378="INSUMO",VLOOKUP(B378,INSUMOS!$A$6:$D$6961,3,0),IF(A378="COTAÇÃO",VLOOKUP(B378,'036-20-Cotação'!$A$9:$G$529,4,0))))</f>
        <v>CHP</v>
      </c>
      <c r="F378" s="462">
        <f>1/3.62</f>
        <v>0.27624309392265195</v>
      </c>
      <c r="G378" s="453">
        <f>IF(A378="SERVIÇO",VLOOKUP(B378,SERVIÇOS!$A$6:$D$7645,4,0),IF(A378="INSUMO",VLOOKUP(B378,INSUMOS!$A$6:$D$6961,4,0),IF(A378="COTAÇÃO",VLOOKUP(B378,'036-20-Cotação'!$A$9:$G$529,3,0))))</f>
        <v>36.211500000000001</v>
      </c>
      <c r="H378" s="463">
        <f>TRUNC(G378*F378,2)</f>
        <v>10</v>
      </c>
      <c r="J378" s="201"/>
    </row>
    <row r="379" spans="1:17" s="87" customFormat="1" ht="25.5">
      <c r="A379" s="232" t="s">
        <v>4542</v>
      </c>
      <c r="B379" s="464" t="s">
        <v>8841</v>
      </c>
      <c r="C379" s="451" t="str">
        <f>IF(A379="SERVIÇO",VLOOKUP(B379,SERVIÇOS!$A$6:$D$7645,2,0),IF(A379="INSUMO",VLOOKUP(B379,INSUMOS!$A$6:$D$6961,2,0),IF(A379="COTAÇÃO",VLOOKUP(B379,'036-20-Cotação'!$A$9:$G$529,2,0))))</f>
        <v>TRANSPORTADOR MANUAL CARRINHO DE MÃO COM CAPACIDADE DE 80 L</v>
      </c>
      <c r="D379" s="452" t="str">
        <f>IF(A379="SERVIÇO",VLOOKUP(B379,SERVIÇOS!$A$6:$E$7645,5,0),IF(A379="INSUMO",VLOOKUP(B379,INSUMOS!$A$6:$E$6961,5,0),IF(A379="COTAÇÃO",VLOOKUP(B379,'036-20-Cotação'!$A$9:$H$529,8,0))))</f>
        <v>EQUIP.</v>
      </c>
      <c r="E379" s="452" t="str">
        <f>IF(A379="SERVIÇO",VLOOKUP(B379,SERVIÇOS!$A$6:$D$7645,3,0),IF(A379="INSUMO",VLOOKUP(B379,INSUMOS!$A$6:$D$6961,3,0),IF(A379="COTAÇÃO",VLOOKUP(B379,'036-20-Cotação'!$A$9:$G$529,4,0))))</f>
        <v>CHP</v>
      </c>
      <c r="F379" s="462">
        <f>0.92/3.62*5</f>
        <v>1.270718232044199</v>
      </c>
      <c r="G379" s="453">
        <f>IF(A379="SERVIÇO",VLOOKUP(B379,SERVIÇOS!$A$6:$D$7645,4,0),IF(A379="INSUMO",VLOOKUP(B379,INSUMOS!$A$6:$D$6961,4,0),IF(A379="COTAÇÃO",VLOOKUP(B379,'036-20-Cotação'!$A$9:$G$529,3,0))))</f>
        <v>0.3054</v>
      </c>
      <c r="H379" s="463">
        <f t="shared" ref="H379:H389" si="74">G379*F379</f>
        <v>0.3880773480662984</v>
      </c>
      <c r="J379" s="201"/>
    </row>
    <row r="380" spans="1:17" s="87" customFormat="1" ht="25.5">
      <c r="A380" s="232" t="s">
        <v>4542</v>
      </c>
      <c r="B380" s="464" t="s">
        <v>9665</v>
      </c>
      <c r="C380" s="451" t="str">
        <f>IF(A380="SERVIÇO",VLOOKUP(B380,SERVIÇOS!$A$6:$D$7645,2,0),IF(A380="INSUMO",VLOOKUP(B380,INSUMOS!$A$6:$D$6961,2,0),IF(A380="COTAÇÃO",VLOOKUP(B380,'036-20-Cotação'!$A$9:$G$529,2,0))))</f>
        <v>TRANSPORTADOR MANUAL CARRINHO DE MÃO COM CAPACIDADE DE 80 L</v>
      </c>
      <c r="D380" s="452" t="str">
        <f>IF(A380="SERVIÇO",VLOOKUP(B380,SERVIÇOS!$A$6:$E$7645,5,0),IF(A380="INSUMO",VLOOKUP(B380,INSUMOS!$A$6:$E$6961,5,0),IF(A380="COTAÇÃO",VLOOKUP(B380,'036-20-Cotação'!$A$9:$H$529,8,0))))</f>
        <v>EQUIP.</v>
      </c>
      <c r="E380" s="452" t="str">
        <f>IF(A380="SERVIÇO",VLOOKUP(B380,SERVIÇOS!$A$6:$D$7645,3,0),IF(A380="INSUMO",VLOOKUP(B380,INSUMOS!$A$6:$D$6961,3,0),IF(A380="COTAÇÃO",VLOOKUP(B380,'036-20-Cotação'!$A$9:$G$529,4,0))))</f>
        <v>CHI</v>
      </c>
      <c r="F380" s="462">
        <f>0.08/3.62*5</f>
        <v>0.11049723756906077</v>
      </c>
      <c r="G380" s="453">
        <f>IF(A380="SERVIÇO",VLOOKUP(B380,SERVIÇOS!$A$6:$D$7645,4,0),IF(A380="INSUMO",VLOOKUP(B380,INSUMOS!$A$6:$D$6961,4,0),IF(A380="COTAÇÃO",VLOOKUP(B380,'036-20-Cotação'!$A$9:$G$529,3,0))))</f>
        <v>0.20469999999999999</v>
      </c>
      <c r="H380" s="463">
        <f t="shared" ref="H380" si="75">G380*F380</f>
        <v>2.2618784530386737E-2</v>
      </c>
      <c r="J380" s="201"/>
    </row>
    <row r="381" spans="1:17" s="87" customFormat="1" ht="25.5">
      <c r="A381" s="232" t="s">
        <v>4542</v>
      </c>
      <c r="B381" s="464" t="s">
        <v>8829</v>
      </c>
      <c r="C381" s="451" t="str">
        <f>IF(A381="SERVIÇO",VLOOKUP(B381,SERVIÇOS!$A$6:$D$7645,2,0),IF(A381="INSUMO",VLOOKUP(B381,INSUMOS!$A$6:$D$6961,2,0),IF(A381="COTAÇÃO",VLOOKUP(B381,'036-20-Cotação'!$A$9:$G$529,2,0))))</f>
        <v>TRANSPORTADOR MANUAL GERICA COM CAPACIDADE DE 180 L</v>
      </c>
      <c r="D381" s="452" t="str">
        <f>IF(A381="SERVIÇO",VLOOKUP(B381,SERVIÇOS!$A$6:$E$7645,5,0),IF(A381="INSUMO",VLOOKUP(B381,INSUMOS!$A$6:$E$6961,5,0),IF(A381="COTAÇÃO",VLOOKUP(B381,'036-20-Cotação'!$A$9:$H$529,8,0))))</f>
        <v>EQUIP.</v>
      </c>
      <c r="E381" s="452" t="str">
        <f>IF(A381="SERVIÇO",VLOOKUP(B381,SERVIÇOS!$A$6:$D$7645,3,0),IF(A381="INSUMO",VLOOKUP(B381,INSUMOS!$A$6:$D$6961,3,0),IF(A381="COTAÇÃO",VLOOKUP(B381,'036-20-Cotação'!$A$9:$G$529,4,0))))</f>
        <v>CHP</v>
      </c>
      <c r="F381" s="462">
        <f>0.37/3.62*3</f>
        <v>0.30662983425414364</v>
      </c>
      <c r="G381" s="453">
        <f>IF(A381="SERVIÇO",VLOOKUP(B381,SERVIÇOS!$A$6:$D$7645,4,0),IF(A381="INSUMO",VLOOKUP(B381,INSUMOS!$A$6:$D$6961,4,0),IF(A381="COTAÇÃO",VLOOKUP(B381,'036-20-Cotação'!$A$9:$G$529,3,0))))</f>
        <v>0.78420000000000001</v>
      </c>
      <c r="H381" s="463">
        <f t="shared" si="74"/>
        <v>0.24045911602209943</v>
      </c>
      <c r="J381" s="201"/>
    </row>
    <row r="382" spans="1:17" s="87" customFormat="1" ht="25.5">
      <c r="A382" s="232" t="s">
        <v>4542</v>
      </c>
      <c r="B382" s="464" t="s">
        <v>9658</v>
      </c>
      <c r="C382" s="451" t="str">
        <f>IF(A382="SERVIÇO",VLOOKUP(B382,SERVIÇOS!$A$6:$D$7645,2,0),IF(A382="INSUMO",VLOOKUP(B382,INSUMOS!$A$6:$D$6961,2,0),IF(A382="COTAÇÃO",VLOOKUP(B382,'036-20-Cotação'!$A$9:$G$529,2,0))))</f>
        <v>TRANSPORTADOR MANUAL GERICA COM CAPACIDADE DE 180 L</v>
      </c>
      <c r="D382" s="452" t="str">
        <f>IF(A382="SERVIÇO",VLOOKUP(B382,SERVIÇOS!$A$6:$E$7645,5,0),IF(A382="INSUMO",VLOOKUP(B382,INSUMOS!$A$6:$E$6961,5,0),IF(A382="COTAÇÃO",VLOOKUP(B382,'036-20-Cotação'!$A$9:$H$529,8,0))))</f>
        <v>EQUIP.</v>
      </c>
      <c r="E382" s="452" t="str">
        <f>IF(A382="SERVIÇO",VLOOKUP(B382,SERVIÇOS!$A$6:$D$7645,3,0),IF(A382="INSUMO",VLOOKUP(B382,INSUMOS!$A$6:$D$6961,3,0),IF(A382="COTAÇÃO",VLOOKUP(B382,'036-20-Cotação'!$A$9:$G$529,4,0))))</f>
        <v>CHI</v>
      </c>
      <c r="F382" s="462">
        <f>0.63/3.62*3</f>
        <v>0.5220994475138121</v>
      </c>
      <c r="G382" s="453">
        <f>IF(A382="SERVIÇO",VLOOKUP(B382,SERVIÇOS!$A$6:$D$7645,4,0),IF(A382="INSUMO",VLOOKUP(B382,INSUMOS!$A$6:$D$6961,4,0),IF(A382="COTAÇÃO",VLOOKUP(B382,'036-20-Cotação'!$A$9:$G$529,3,0))))</f>
        <v>0.52549999999999997</v>
      </c>
      <c r="H382" s="463">
        <f t="shared" ref="H382" si="76">G382*F382</f>
        <v>0.27436325966850822</v>
      </c>
      <c r="J382" s="201"/>
    </row>
    <row r="383" spans="1:17" s="87" customFormat="1" ht="12.75">
      <c r="A383" s="232" t="s">
        <v>4542</v>
      </c>
      <c r="B383" s="464" t="s">
        <v>6614</v>
      </c>
      <c r="C383" s="451" t="str">
        <f>IF(A383="SERVIÇO",VLOOKUP(B383,SERVIÇOS!$A$6:$D$7645,2,0),IF(A383="INSUMO",VLOOKUP(B383,INSUMOS!$A$6:$D$6961,2,0),IF(A383="COTAÇÃO",VLOOKUP(B383,'036-20-Cotação'!$A$9:$G$529,2,0))))</f>
        <v>PEDREIRO</v>
      </c>
      <c r="D383" s="452" t="str">
        <f>IF(A383="SERVIÇO",VLOOKUP(B383,SERVIÇOS!$A$6:$E$7645,5,0),IF(A383="INSUMO",VLOOKUP(B383,INSUMOS!$A$6:$E$6961,5,0),IF(A383="COTAÇÃO",VLOOKUP(B383,'036-20-Cotação'!$A$9:$H$529,8,0))))</f>
        <v>M.O</v>
      </c>
      <c r="E383" s="452" t="str">
        <f>IF(A383="SERVIÇO",VLOOKUP(B383,SERVIÇOS!$A$6:$D$7645,3,0),IF(A383="INSUMO",VLOOKUP(B383,INSUMOS!$A$6:$D$6961,3,0),IF(A383="COTAÇÃO",VLOOKUP(B383,'036-20-Cotação'!$A$9:$G$529,4,0))))</f>
        <v>H</v>
      </c>
      <c r="F383" s="462">
        <f>1/3.62</f>
        <v>0.27624309392265195</v>
      </c>
      <c r="G383" s="453">
        <f>IF(A383="SERVIÇO",VLOOKUP(B383,SERVIÇOS!$A$6:$D$7645,4,0),IF(A383="INSUMO",VLOOKUP(B383,INSUMOS!$A$6:$D$6961,4,0),IF(A383="COTAÇÃO",VLOOKUP(B383,'036-20-Cotação'!$A$9:$G$529,3,0))))</f>
        <v>21.647600000000001</v>
      </c>
      <c r="H383" s="463">
        <f t="shared" si="74"/>
        <v>5.98</v>
      </c>
      <c r="J383" s="201"/>
    </row>
    <row r="384" spans="1:17" s="87" customFormat="1" ht="12.75">
      <c r="A384" s="232" t="s">
        <v>4542</v>
      </c>
      <c r="B384" s="464" t="s">
        <v>6602</v>
      </c>
      <c r="C384" s="451" t="str">
        <f>IF(A384="SERVIÇO",VLOOKUP(B384,SERVIÇOS!$A$6:$D$7645,2,0),IF(A384="INSUMO",VLOOKUP(B384,INSUMOS!$A$6:$D$6961,2,0),IF(A384="COTAÇÃO",VLOOKUP(B384,'036-20-Cotação'!$A$9:$G$529,2,0))))</f>
        <v>SERVENTE</v>
      </c>
      <c r="D384" s="452" t="str">
        <f>IF(A384="SERVIÇO",VLOOKUP(B384,SERVIÇOS!$A$6:$E$7645,5,0),IF(A384="INSUMO",VLOOKUP(B384,INSUMOS!$A$6:$E$6961,5,0),IF(A384="COTAÇÃO",VLOOKUP(B384,'036-20-Cotação'!$A$9:$H$529,8,0))))</f>
        <v>M.O</v>
      </c>
      <c r="E384" s="452" t="str">
        <f>IF(A384="SERVIÇO",VLOOKUP(B384,SERVIÇOS!$A$6:$D$7645,3,0),IF(A384="INSUMO",VLOOKUP(B384,INSUMOS!$A$6:$D$6961,3,0),IF(A384="COTAÇÃO",VLOOKUP(B384,'036-20-Cotação'!$A$9:$G$529,4,0))))</f>
        <v>H</v>
      </c>
      <c r="F384" s="462">
        <f>11/3.62</f>
        <v>3.0386740331491713</v>
      </c>
      <c r="G384" s="453">
        <f>IF(A384="SERVIÇO",VLOOKUP(B384,SERVIÇOS!$A$6:$D$7645,4,0),IF(A384="INSUMO",VLOOKUP(B384,INSUMOS!$A$6:$D$6961,4,0),IF(A384="COTAÇÃO",VLOOKUP(B384,'036-20-Cotação'!$A$9:$G$529,3,0))))</f>
        <v>15.637499999999999</v>
      </c>
      <c r="H384" s="463">
        <f t="shared" ref="H384:H387" si="77">G384*F384</f>
        <v>47.517265193370164</v>
      </c>
      <c r="J384" s="201"/>
    </row>
    <row r="385" spans="1:17" s="87" customFormat="1" ht="12.75">
      <c r="A385" s="232" t="s">
        <v>4544</v>
      </c>
      <c r="B385" s="464" t="s">
        <v>7978</v>
      </c>
      <c r="C385" s="451" t="str">
        <f>IF(A385="SERVIÇO",VLOOKUP(B385,SERVIÇOS!$A$6:$D$7645,2,0),IF(A385="INSUMO",VLOOKUP(B385,INSUMOS!$A$6:$D$6961,2,0),IF(A385="COTAÇÃO",VLOOKUP(B385,'036-20-Cotação'!$A$9:$G$529,2,0))))</f>
        <v>AREIA MÉDIA LAVADA</v>
      </c>
      <c r="D385" s="452" t="str">
        <f>IF(A385="SERVIÇO",VLOOKUP(B385,SERVIÇOS!$A$6:$E$7645,5,0),IF(A385="INSUMO",VLOOKUP(B385,INSUMOS!$A$6:$E$6961,5,0),IF(A385="COTAÇÃO",VLOOKUP(B385,'036-20-Cotação'!$A$9:$H$529,8,0))))</f>
        <v>MAT.</v>
      </c>
      <c r="E385" s="452" t="str">
        <f>IF(A385="SERVIÇO",VLOOKUP(B385,SERVIÇOS!$A$6:$D$7645,3,0),IF(A385="INSUMO",VLOOKUP(B385,INSUMOS!$A$6:$D$6961,3,0),IF(A385="COTAÇÃO",VLOOKUP(B385,'036-20-Cotação'!$A$9:$G$529,4,0))))</f>
        <v>M³</v>
      </c>
      <c r="F385" s="462">
        <v>0.71</v>
      </c>
      <c r="G385" s="453">
        <f>IF(A385="SERVIÇO",VLOOKUP(B385,SERVIÇOS!$A$6:$D$7645,4,0),IF(A385="INSUMO",VLOOKUP(B385,INSUMOS!$A$6:$D$6961,4,0),IF(A385="COTAÇÃO",VLOOKUP(B385,'036-20-Cotação'!$A$9:$G$529,3,0))))</f>
        <v>130.20490000000001</v>
      </c>
      <c r="H385" s="463">
        <f t="shared" si="77"/>
        <v>92.445479000000006</v>
      </c>
      <c r="J385" s="201"/>
    </row>
    <row r="386" spans="1:17" s="87" customFormat="1" ht="12.75">
      <c r="A386" s="232" t="s">
        <v>4544</v>
      </c>
      <c r="B386" s="464" t="s">
        <v>10352</v>
      </c>
      <c r="C386" s="451" t="str">
        <f>IF(A386="SERVIÇO",VLOOKUP(B386,SERVIÇOS!$A$6:$D$7645,2,0),IF(A386="INSUMO",VLOOKUP(B386,INSUMOS!$A$6:$D$6961,2,0),IF(A386="COTAÇÃO",VLOOKUP(B386,'036-20-Cotação'!$A$9:$G$529,2,0))))</f>
        <v>BRITA 2</v>
      </c>
      <c r="D386" s="452" t="str">
        <f>IF(A386="SERVIÇO",VLOOKUP(B386,SERVIÇOS!$A$6:$E$7645,5,0),IF(A386="INSUMO",VLOOKUP(B386,INSUMOS!$A$6:$E$6961,5,0),IF(A386="COTAÇÃO",VLOOKUP(B386,'036-20-Cotação'!$A$9:$H$529,8,0))))</f>
        <v>MAT.</v>
      </c>
      <c r="E386" s="452" t="str">
        <f>IF(A386="SERVIÇO",VLOOKUP(B386,SERVIÇOS!$A$6:$D$7645,3,0),IF(A386="INSUMO",VLOOKUP(B386,INSUMOS!$A$6:$D$6961,3,0),IF(A386="COTAÇÃO",VLOOKUP(B386,'036-20-Cotação'!$A$9:$G$529,4,0))))</f>
        <v>M³</v>
      </c>
      <c r="F386" s="462">
        <v>0.74</v>
      </c>
      <c r="G386" s="453">
        <f>IF(A386="SERVIÇO",VLOOKUP(B386,SERVIÇOS!$A$6:$D$7645,4,0),IF(A386="INSUMO",VLOOKUP(B386,INSUMOS!$A$6:$D$6961,4,0),IF(A386="COTAÇÃO",VLOOKUP(B386,'036-20-Cotação'!$A$9:$G$529,3,0))))</f>
        <v>87.512100000000004</v>
      </c>
      <c r="H386" s="463">
        <f t="shared" si="77"/>
        <v>64.758954000000003</v>
      </c>
      <c r="J386" s="201"/>
    </row>
    <row r="387" spans="1:17" s="87" customFormat="1" ht="12.75">
      <c r="A387" s="232" t="s">
        <v>4544</v>
      </c>
      <c r="B387" s="464" t="s">
        <v>7350</v>
      </c>
      <c r="C387" s="451" t="str">
        <f>IF(A387="SERVIÇO",VLOOKUP(B387,SERVIÇOS!$A$6:$D$7645,2,0),IF(A387="INSUMO",VLOOKUP(B387,INSUMOS!$A$6:$D$6961,2,0),IF(A387="COTAÇÃO",VLOOKUP(B387,'036-20-Cotação'!$A$9:$G$529,2,0))))</f>
        <v>CIMENTO PORTLAND CP II - 32</v>
      </c>
      <c r="D387" s="452" t="str">
        <f>IF(A387="SERVIÇO",VLOOKUP(B387,SERVIÇOS!$A$6:$E$7645,5,0),IF(A387="INSUMO",VLOOKUP(B387,INSUMOS!$A$6:$E$6961,5,0),IF(A387="COTAÇÃO",VLOOKUP(B387,'036-20-Cotação'!$A$9:$H$529,8,0))))</f>
        <v>MAT.</v>
      </c>
      <c r="E387" s="452" t="str">
        <f>IF(A387="SERVIÇO",VLOOKUP(B387,SERVIÇOS!$A$6:$D$7645,3,0),IF(A387="INSUMO",VLOOKUP(B387,INSUMOS!$A$6:$D$6961,3,0),IF(A387="COTAÇÃO",VLOOKUP(B387,'036-20-Cotação'!$A$9:$G$529,4,0))))</f>
        <v>KG</v>
      </c>
      <c r="F387" s="462">
        <v>200</v>
      </c>
      <c r="G387" s="453">
        <f>IF(A387="SERVIÇO",VLOOKUP(B387,SERVIÇOS!$A$6:$D$7645,4,0),IF(A387="INSUMO",VLOOKUP(B387,INSUMOS!$A$6:$D$6961,4,0),IF(A387="COTAÇÃO",VLOOKUP(B387,'036-20-Cotação'!$A$9:$G$529,3,0))))</f>
        <v>0.44140000000000001</v>
      </c>
      <c r="H387" s="463">
        <f t="shared" si="77"/>
        <v>88.28</v>
      </c>
      <c r="J387" s="201"/>
    </row>
    <row r="388" spans="1:17" s="87" customFormat="1" ht="25.5">
      <c r="A388" s="232" t="s">
        <v>4542</v>
      </c>
      <c r="B388" s="531" t="str">
        <f>$B$298</f>
        <v>5914647-TF</v>
      </c>
      <c r="C388" s="451" t="str">
        <f>$C$298</f>
        <v>TEMPO FIXO - CAMINHÃO BASCULANTE 10 M3 - CARGA MONOBRA E DESCARGA</v>
      </c>
      <c r="D388" s="452" t="str">
        <f>$D$298</f>
        <v>SER.CG</v>
      </c>
      <c r="E388" s="452" t="str">
        <f>$E$298</f>
        <v>T</v>
      </c>
      <c r="F388" s="462">
        <f>1.065+1.11</f>
        <v>2.1749999999999998</v>
      </c>
      <c r="G388" s="453">
        <f>$H$298</f>
        <v>0.93386493946512461</v>
      </c>
      <c r="H388" s="463">
        <f t="shared" si="74"/>
        <v>2.0311562433366457</v>
      </c>
      <c r="J388" s="201"/>
    </row>
    <row r="389" spans="1:17" s="87" customFormat="1" ht="25.5">
      <c r="A389" s="232" t="s">
        <v>4542</v>
      </c>
      <c r="B389" s="531" t="str">
        <f>$B$281</f>
        <v>5914655-TF</v>
      </c>
      <c r="C389" s="451" t="str">
        <f>$C$281</f>
        <v>TEMPO FIXO - CAMINHÃO CARROCERIA 15 T - CARGA E DESCARGA MANUAIS</v>
      </c>
      <c r="D389" s="452" t="str">
        <f>$D$281</f>
        <v>SER.CG</v>
      </c>
      <c r="E389" s="452" t="str">
        <f>$E$281</f>
        <v>T</v>
      </c>
      <c r="F389" s="462">
        <v>0.2</v>
      </c>
      <c r="G389" s="453">
        <f>$H$281</f>
        <v>20.925562080536913</v>
      </c>
      <c r="H389" s="463">
        <f t="shared" si="74"/>
        <v>4.1851124161073825</v>
      </c>
      <c r="J389" s="201"/>
    </row>
    <row r="390" spans="1:17" s="87" customFormat="1" ht="12.75">
      <c r="A390" s="188"/>
      <c r="B390" s="348" t="s">
        <v>123</v>
      </c>
      <c r="C390" s="695" t="s">
        <v>13287</v>
      </c>
      <c r="D390" s="696"/>
      <c r="E390" s="696"/>
      <c r="F390" s="696"/>
      <c r="G390" s="696"/>
      <c r="H390" s="697"/>
      <c r="J390" s="201"/>
      <c r="K390" s="78"/>
      <c r="L390" s="78"/>
      <c r="M390" s="78"/>
      <c r="N390" s="78"/>
      <c r="O390" s="78"/>
      <c r="P390" s="78"/>
      <c r="Q390" s="78"/>
    </row>
    <row r="391" spans="1:17" s="87" customFormat="1" ht="12.75">
      <c r="A391" s="188"/>
      <c r="B391" s="346"/>
      <c r="C391" s="484"/>
      <c r="D391" s="484"/>
      <c r="E391" s="484"/>
      <c r="F391" s="484"/>
      <c r="G391" s="484"/>
      <c r="H391" s="485"/>
      <c r="J391" s="201"/>
      <c r="K391" s="78"/>
      <c r="L391" s="78"/>
      <c r="M391" s="78"/>
      <c r="N391" s="78"/>
      <c r="O391" s="78"/>
      <c r="P391" s="78"/>
      <c r="Q391" s="78"/>
    </row>
    <row r="392" spans="1:17" s="87" customFormat="1" ht="51">
      <c r="A392" s="188"/>
      <c r="B392" s="80">
        <v>1619003</v>
      </c>
      <c r="C392" s="81" t="s">
        <v>13295</v>
      </c>
      <c r="D392" s="82" t="s">
        <v>201</v>
      </c>
      <c r="E392" s="82" t="s">
        <v>172</v>
      </c>
      <c r="F392" s="83"/>
      <c r="G392" s="84"/>
      <c r="H392" s="85">
        <f>SUM(H393:H395)</f>
        <v>85.160509559862462</v>
      </c>
      <c r="J392" s="201" t="s">
        <v>13289</v>
      </c>
      <c r="K392" s="78"/>
      <c r="L392" s="78"/>
      <c r="M392" s="78"/>
      <c r="N392" s="78"/>
      <c r="O392" s="78"/>
      <c r="P392" s="78"/>
      <c r="Q392" s="78"/>
    </row>
    <row r="393" spans="1:17" s="87" customFormat="1" ht="25.5">
      <c r="A393" s="232" t="s">
        <v>4542</v>
      </c>
      <c r="B393" s="464" t="s">
        <v>8927</v>
      </c>
      <c r="C393" s="451" t="str">
        <f>IF(A393="SERVIÇO",VLOOKUP(B393,SERVIÇOS!$A$6:$D$7645,2,0),IF(A393="INSUMO",VLOOKUP(B393,INSUMOS!$A$6:$D$6961,2,0),IF(A393="COTAÇÃO",VLOOKUP(B393,'036-20-Cotação'!$A$9:$G$529,2,0))))</f>
        <v>ESCAVADEIRA HIDRÁULICA COM MARTELO HIDRÁULICO DE 500 KG - 103 KW</v>
      </c>
      <c r="D393" s="452" t="str">
        <f>IF(A393="SERVIÇO",VLOOKUP(B393,SERVIÇOS!$A$6:$E$7645,5,0),IF(A393="INSUMO",VLOOKUP(B393,INSUMOS!$A$6:$E$6961,5,0),IF(A393="COTAÇÃO",VLOOKUP(B393,'036-20-Cotação'!$A$9:$H$529,8,0))))</f>
        <v>EQUIP.</v>
      </c>
      <c r="E393" s="452" t="str">
        <f>IF(A393="SERVIÇO",VLOOKUP(B393,SERVIÇOS!$A$6:$D$7645,3,0),IF(A393="INSUMO",VLOOKUP(B393,INSUMOS!$A$6:$D$6961,3,0),IF(A393="COTAÇÃO",VLOOKUP(B393,'036-20-Cotação'!$A$9:$G$529,4,0))))</f>
        <v>CHP</v>
      </c>
      <c r="F393" s="462">
        <f>1/4.77</f>
        <v>0.20964360587002098</v>
      </c>
      <c r="G393" s="453">
        <f>IF(A393="SERVIÇO",VLOOKUP(B393,SERVIÇOS!$A$6:$D$7645,4,0),IF(A393="INSUMO",VLOOKUP(B393,INSUMOS!$A$6:$D$6961,4,0),IF(A393="COTAÇÃO",VLOOKUP(B393,'036-20-Cotação'!$A$9:$G$529,3,0))))</f>
        <v>266.50889999999998</v>
      </c>
      <c r="H393" s="463">
        <f t="shared" ref="H393:H395" si="78">G393*F393</f>
        <v>55.871886792452834</v>
      </c>
      <c r="J393" s="201"/>
    </row>
    <row r="394" spans="1:17" s="87" customFormat="1" ht="25.5">
      <c r="A394" s="232" t="s">
        <v>4542</v>
      </c>
      <c r="B394" s="464" t="str">
        <f>$B$85</f>
        <v>CCA - 010</v>
      </c>
      <c r="C394" s="451" t="str">
        <f>$C$85</f>
        <v xml:space="preserve">CORTE DE CORDOALHA 15,2MM COM MAÇARICO OXIACETILENO. </v>
      </c>
      <c r="D394" s="452" t="str">
        <f>$D$85</f>
        <v xml:space="preserve">SER.CG </v>
      </c>
      <c r="E394" s="452" t="str">
        <f>$E$85</f>
        <v>CM2</v>
      </c>
      <c r="F394" s="462">
        <v>40</v>
      </c>
      <c r="G394" s="453">
        <f>$H$85</f>
        <v>0.59433177399999992</v>
      </c>
      <c r="H394" s="463">
        <f t="shared" si="78"/>
        <v>23.773270959999998</v>
      </c>
      <c r="J394" s="201"/>
    </row>
    <row r="395" spans="1:17" s="87" customFormat="1" ht="38.25">
      <c r="A395" s="232" t="s">
        <v>4542</v>
      </c>
      <c r="B395" s="531" t="str">
        <f>$B$398</f>
        <v>5914675-TF</v>
      </c>
      <c r="C395" s="451" t="str">
        <f>$C$398</f>
        <v>TEMPO FIXO - CAMINHÃO BASCULANTE 6 M3 - CARGA COM CARREGADEIRA E DESCARGA LIVRE</v>
      </c>
      <c r="D395" s="452" t="str">
        <f>$D$398</f>
        <v>SER.CG</v>
      </c>
      <c r="E395" s="452" t="str">
        <f>$E$398</f>
        <v>T</v>
      </c>
      <c r="F395" s="462">
        <v>2.5</v>
      </c>
      <c r="G395" s="453">
        <f>$H$398</f>
        <v>2.2061407229638519</v>
      </c>
      <c r="H395" s="463">
        <f t="shared" si="78"/>
        <v>5.5153518074096297</v>
      </c>
      <c r="J395" s="201"/>
    </row>
    <row r="396" spans="1:17" s="87" customFormat="1" ht="12.75">
      <c r="A396" s="188"/>
      <c r="B396" s="348" t="s">
        <v>123</v>
      </c>
      <c r="C396" s="695" t="s">
        <v>13296</v>
      </c>
      <c r="D396" s="696"/>
      <c r="E396" s="696"/>
      <c r="F396" s="696"/>
      <c r="G396" s="696"/>
      <c r="H396" s="697"/>
      <c r="J396" s="201"/>
      <c r="K396" s="78"/>
      <c r="L396" s="78"/>
      <c r="M396" s="78"/>
      <c r="N396" s="78"/>
      <c r="O396" s="78"/>
      <c r="P396" s="78"/>
      <c r="Q396" s="78"/>
    </row>
    <row r="397" spans="1:17" s="87" customFormat="1" ht="12.75">
      <c r="A397" s="188"/>
      <c r="B397" s="346"/>
      <c r="C397" s="484"/>
      <c r="D397" s="484"/>
      <c r="E397" s="484"/>
      <c r="F397" s="484"/>
      <c r="G397" s="484"/>
      <c r="H397" s="485"/>
      <c r="J397" s="201"/>
      <c r="K397" s="78"/>
      <c r="L397" s="78"/>
      <c r="M397" s="78"/>
      <c r="N397" s="78"/>
      <c r="O397" s="78"/>
      <c r="P397" s="78"/>
      <c r="Q397" s="78"/>
    </row>
    <row r="398" spans="1:17" s="87" customFormat="1" ht="38.25">
      <c r="A398" s="188"/>
      <c r="B398" s="80" t="s">
        <v>13291</v>
      </c>
      <c r="C398" s="81" t="s">
        <v>13293</v>
      </c>
      <c r="D398" s="82" t="s">
        <v>201</v>
      </c>
      <c r="E398" s="82" t="s">
        <v>3495</v>
      </c>
      <c r="F398" s="83"/>
      <c r="G398" s="84"/>
      <c r="H398" s="85">
        <f>SUM(H399:H401)</f>
        <v>2.2061407229638519</v>
      </c>
      <c r="J398" s="201" t="s">
        <v>13294</v>
      </c>
      <c r="K398" s="78"/>
      <c r="L398" s="78"/>
      <c r="M398" s="78"/>
      <c r="N398" s="78"/>
      <c r="O398" s="78"/>
      <c r="P398" s="78"/>
      <c r="Q398" s="78"/>
    </row>
    <row r="399" spans="1:17" s="87" customFormat="1" ht="25.5">
      <c r="A399" s="232" t="s">
        <v>4542</v>
      </c>
      <c r="B399" s="464" t="s">
        <v>9460</v>
      </c>
      <c r="C399" s="451" t="str">
        <f>IF(A399="SERVIÇO",VLOOKUP(B399,SERVIÇOS!$A$6:$D$7645,2,0),IF(A399="INSUMO",VLOOKUP(B399,INSUMOS!$A$6:$D$6961,2,0),IF(A399="COTAÇÃO",VLOOKUP(B399,'036-20-Cotação'!$A$9:$G$529,2,0))))</f>
        <v>CAMINHÃO BASCULANTE COM CAPACIDADE DE 6 M³ - 136 KW</v>
      </c>
      <c r="D399" s="452" t="str">
        <f>IF(A399="SERVIÇO",VLOOKUP(B399,SERVIÇOS!$A$6:$E$7645,5,0),IF(A399="INSUMO",VLOOKUP(B399,INSUMOS!$A$6:$E$6961,5,0),IF(A399="COTAÇÃO",VLOOKUP(B399,'036-20-Cotação'!$A$9:$H$529,8,0))))</f>
        <v>EQUIP.</v>
      </c>
      <c r="E399" s="452" t="str">
        <f>IF(A399="SERVIÇO",VLOOKUP(B399,SERVIÇOS!$A$6:$D$7645,3,0),IF(A399="INSUMO",VLOOKUP(B399,INSUMOS!$A$6:$D$6961,3,0),IF(A399="COTAÇÃO",VLOOKUP(B399,'036-20-Cotação'!$A$9:$G$529,4,0))))</f>
        <v>CHP</v>
      </c>
      <c r="F399" s="462">
        <f>0.76/133.34*2</f>
        <v>1.1399430028498575E-2</v>
      </c>
      <c r="G399" s="453">
        <f>IF(A399="SERVIÇO",VLOOKUP(B399,SERVIÇOS!$A$6:$D$7645,4,0),IF(A399="INSUMO",VLOOKUP(B399,INSUMOS!$A$6:$D$6961,4,0),IF(A399="COTAÇÃO",VLOOKUP(B399,'036-20-Cotação'!$A$9:$G$529,3,0))))</f>
        <v>110.92149999999999</v>
      </c>
      <c r="H399" s="463">
        <f t="shared" ref="H399:H401" si="79">G399*F399</f>
        <v>1.2644418779061046</v>
      </c>
      <c r="J399" s="201"/>
    </row>
    <row r="400" spans="1:17" s="87" customFormat="1" ht="25.5">
      <c r="A400" s="232" t="s">
        <v>4542</v>
      </c>
      <c r="B400" s="464" t="s">
        <v>9990</v>
      </c>
      <c r="C400" s="451" t="str">
        <f>IF(A400="SERVIÇO",VLOOKUP(B400,SERVIÇOS!$A$6:$D$7645,2,0),IF(A400="INSUMO",VLOOKUP(B400,INSUMOS!$A$6:$D$6961,2,0),IF(A400="COTAÇÃO",VLOOKUP(B400,'036-20-Cotação'!$A$9:$G$529,2,0))))</f>
        <v>CAMINHÃO BASCULANTE COM CAPACIDADE DE 6 M³ - 136 KW</v>
      </c>
      <c r="D400" s="452" t="str">
        <f>IF(A400="SERVIÇO",VLOOKUP(B400,SERVIÇOS!$A$6:$E$7645,5,0),IF(A400="INSUMO",VLOOKUP(B400,INSUMOS!$A$6:$E$6961,5,0),IF(A400="COTAÇÃO",VLOOKUP(B400,'036-20-Cotação'!$A$9:$H$529,8,0))))</f>
        <v>EQUIP.</v>
      </c>
      <c r="E400" s="452" t="str">
        <f>IF(A400="SERVIÇO",VLOOKUP(B400,SERVIÇOS!$A$6:$D$7645,3,0),IF(A400="INSUMO",VLOOKUP(B400,INSUMOS!$A$6:$D$6961,3,0),IF(A400="COTAÇÃO",VLOOKUP(B400,'036-20-Cotação'!$A$9:$G$529,4,0))))</f>
        <v>CHI</v>
      </c>
      <c r="F400" s="462">
        <f>0.24/133.34*2</f>
        <v>3.5998200089995499E-3</v>
      </c>
      <c r="G400" s="453">
        <f>IF(A400="SERVIÇO",VLOOKUP(B400,SERVIÇOS!$A$6:$D$7645,4,0),IF(A400="INSUMO",VLOOKUP(B400,INSUMOS!$A$6:$D$6961,4,0),IF(A400="COTAÇÃO",VLOOKUP(B400,'036-20-Cotação'!$A$9:$G$529,3,0))))</f>
        <v>41.301299999999998</v>
      </c>
      <c r="H400" s="463">
        <f t="shared" ref="H400" si="80">G400*F400</f>
        <v>0.14867724613769309</v>
      </c>
      <c r="J400" s="201"/>
    </row>
    <row r="401" spans="1:17" s="87" customFormat="1" ht="25.5">
      <c r="A401" s="232" t="s">
        <v>4542</v>
      </c>
      <c r="B401" s="464" t="s">
        <v>9091</v>
      </c>
      <c r="C401" s="451" t="str">
        <f>IF(A401="SERVIÇO",VLOOKUP(B401,SERVIÇOS!$A$6:$D$7645,2,0),IF(A401="INSUMO",VLOOKUP(B401,INSUMOS!$A$6:$D$6961,2,0),IF(A401="COTAÇÃO",VLOOKUP(B401,'036-20-Cotação'!$A$9:$G$529,2,0))))</f>
        <v>CARREGADEIRA DE PNEUS COM CAPACIDADE DE 1,53 M³ - 106 KW</v>
      </c>
      <c r="D401" s="452" t="str">
        <f>IF(A401="SERVIÇO",VLOOKUP(B401,SERVIÇOS!$A$6:$E$7645,5,0),IF(A401="INSUMO",VLOOKUP(B401,INSUMOS!$A$6:$E$6961,5,0),IF(A401="COTAÇÃO",VLOOKUP(B401,'036-20-Cotação'!$A$9:$H$529,8,0))))</f>
        <v>EQUIP.</v>
      </c>
      <c r="E401" s="452" t="str">
        <f>IF(A401="SERVIÇO",VLOOKUP(B401,SERVIÇOS!$A$6:$D$7645,3,0),IF(A401="INSUMO",VLOOKUP(B401,INSUMOS!$A$6:$D$6961,3,0),IF(A401="COTAÇÃO",VLOOKUP(B401,'036-20-Cotação'!$A$9:$G$529,4,0))))</f>
        <v>CHP</v>
      </c>
      <c r="F401" s="462">
        <f>1/133.34</f>
        <v>7.4996250187490624E-3</v>
      </c>
      <c r="G401" s="453">
        <f>IF(A401="SERVIÇO",VLOOKUP(B401,SERVIÇOS!$A$6:$D$7645,4,0),IF(A401="INSUMO",VLOOKUP(B401,INSUMOS!$A$6:$D$6961,4,0),IF(A401="COTAÇÃO",VLOOKUP(B401,'036-20-Cotação'!$A$9:$G$529,3,0))))</f>
        <v>105.7415</v>
      </c>
      <c r="H401" s="463">
        <f t="shared" si="79"/>
        <v>0.79302159892005397</v>
      </c>
      <c r="J401" s="201"/>
    </row>
    <row r="402" spans="1:17" s="87" customFormat="1" ht="12.75">
      <c r="A402" s="188"/>
      <c r="B402" s="348" t="s">
        <v>123</v>
      </c>
      <c r="C402" s="695" t="s">
        <v>13292</v>
      </c>
      <c r="D402" s="696"/>
      <c r="E402" s="696"/>
      <c r="F402" s="696"/>
      <c r="G402" s="696"/>
      <c r="H402" s="697"/>
      <c r="J402" s="201"/>
      <c r="K402" s="78"/>
      <c r="L402" s="78"/>
      <c r="M402" s="78"/>
      <c r="N402" s="78"/>
      <c r="O402" s="78"/>
      <c r="P402" s="78"/>
      <c r="Q402" s="78"/>
    </row>
    <row r="403" spans="1:17" s="87" customFormat="1" ht="12.75">
      <c r="A403" s="188"/>
      <c r="B403" s="346"/>
      <c r="C403" s="484"/>
      <c r="D403" s="484"/>
      <c r="E403" s="484"/>
      <c r="F403" s="484"/>
      <c r="G403" s="484"/>
      <c r="H403" s="485"/>
      <c r="J403" s="201"/>
      <c r="K403" s="78"/>
      <c r="L403" s="78"/>
      <c r="M403" s="78"/>
      <c r="N403" s="78"/>
      <c r="O403" s="78"/>
      <c r="P403" s="78"/>
      <c r="Q403" s="78"/>
    </row>
    <row r="404" spans="1:17" s="87" customFormat="1" ht="25.5">
      <c r="A404" s="188"/>
      <c r="B404" s="80">
        <v>4805751</v>
      </c>
      <c r="C404" s="81" t="s">
        <v>13297</v>
      </c>
      <c r="D404" s="82" t="s">
        <v>201</v>
      </c>
      <c r="E404" s="82" t="s">
        <v>172</v>
      </c>
      <c r="F404" s="83"/>
      <c r="G404" s="84"/>
      <c r="H404" s="85">
        <f>SUM(H405:H406)</f>
        <v>39.969450000000002</v>
      </c>
      <c r="J404" s="201" t="s">
        <v>13299</v>
      </c>
      <c r="K404" s="78"/>
      <c r="L404" s="78"/>
      <c r="M404" s="78"/>
      <c r="N404" s="78"/>
      <c r="O404" s="78"/>
      <c r="P404" s="78"/>
      <c r="Q404" s="78"/>
    </row>
    <row r="405" spans="1:17" s="87" customFormat="1" ht="12.75">
      <c r="A405" s="232" t="s">
        <v>4542</v>
      </c>
      <c r="B405" s="464" t="s">
        <v>6602</v>
      </c>
      <c r="C405" s="451" t="str">
        <f>IF(A405="SERVIÇO",VLOOKUP(B405,SERVIÇOS!$A$6:$D$7645,2,0),IF(A405="INSUMO",VLOOKUP(B405,INSUMOS!$A$6:$D$6961,2,0),IF(A405="COTAÇÃO",VLOOKUP(B405,'036-20-Cotação'!$A$9:$G$529,2,0))))</f>
        <v>SERVENTE</v>
      </c>
      <c r="D405" s="452" t="str">
        <f>IF(A405="SERVIÇO",VLOOKUP(B405,SERVIÇOS!$A$6:$E$7645,5,0),IF(A405="INSUMO",VLOOKUP(B405,INSUMOS!$A$6:$E$6961,5,0),IF(A405="COTAÇÃO",VLOOKUP(B405,'036-20-Cotação'!$A$9:$H$529,8,0))))</f>
        <v>M.O</v>
      </c>
      <c r="E405" s="452" t="str">
        <f>IF(A405="SERVIÇO",VLOOKUP(B405,SERVIÇOS!$A$6:$D$7645,3,0),IF(A405="INSUMO",VLOOKUP(B405,INSUMOS!$A$6:$D$6961,3,0),IF(A405="COTAÇÃO",VLOOKUP(B405,'036-20-Cotação'!$A$9:$G$529,4,0))))</f>
        <v>H</v>
      </c>
      <c r="F405" s="462">
        <f>1/0.4</f>
        <v>2.5</v>
      </c>
      <c r="G405" s="453">
        <f>IF(A405="SERVIÇO",VLOOKUP(B405,SERVIÇOS!$A$6:$D$7645,4,0),IF(A405="INSUMO",VLOOKUP(B405,INSUMOS!$A$6:$D$6961,4,0),IF(A405="COTAÇÃO",VLOOKUP(B405,'036-20-Cotação'!$A$9:$G$529,3,0))))</f>
        <v>15.637499999999999</v>
      </c>
      <c r="H405" s="463">
        <f t="shared" ref="H405:H406" si="81">G405*F405</f>
        <v>39.09375</v>
      </c>
      <c r="J405" s="201"/>
    </row>
    <row r="406" spans="1:17" s="87" customFormat="1" ht="12.75">
      <c r="A406" s="232" t="s">
        <v>4542</v>
      </c>
      <c r="B406" s="464" t="s">
        <v>13130</v>
      </c>
      <c r="C406" s="451" t="s">
        <v>13131</v>
      </c>
      <c r="D406" s="452"/>
      <c r="E406" s="452"/>
      <c r="F406" s="462">
        <v>2.24E-2</v>
      </c>
      <c r="G406" s="453">
        <f>SUM(H405)</f>
        <v>39.09375</v>
      </c>
      <c r="H406" s="463">
        <f t="shared" si="81"/>
        <v>0.87570000000000003</v>
      </c>
      <c r="J406" s="201"/>
    </row>
    <row r="407" spans="1:17" s="87" customFormat="1" ht="12.75">
      <c r="A407" s="188"/>
      <c r="B407" s="348" t="s">
        <v>123</v>
      </c>
      <c r="C407" s="695" t="s">
        <v>13298</v>
      </c>
      <c r="D407" s="696"/>
      <c r="E407" s="696"/>
      <c r="F407" s="696"/>
      <c r="G407" s="696"/>
      <c r="H407" s="697"/>
      <c r="J407" s="201"/>
      <c r="K407" s="78"/>
      <c r="L407" s="78"/>
      <c r="M407" s="78"/>
      <c r="N407" s="78"/>
      <c r="O407" s="78"/>
      <c r="P407" s="78"/>
      <c r="Q407" s="78"/>
    </row>
    <row r="408" spans="1:17" s="87" customFormat="1" ht="12.75">
      <c r="A408" s="188"/>
      <c r="B408" s="346"/>
      <c r="C408" s="484"/>
      <c r="D408" s="484"/>
      <c r="E408" s="484"/>
      <c r="F408" s="484"/>
      <c r="G408" s="484"/>
      <c r="H408" s="485"/>
      <c r="J408" s="201"/>
      <c r="K408" s="78"/>
      <c r="L408" s="78"/>
      <c r="M408" s="78"/>
      <c r="N408" s="78"/>
      <c r="O408" s="78"/>
      <c r="P408" s="78"/>
      <c r="Q408" s="78"/>
    </row>
    <row r="409" spans="1:17" s="87" customFormat="1" ht="38.25">
      <c r="A409" s="188"/>
      <c r="B409" s="80">
        <v>3107997</v>
      </c>
      <c r="C409" s="81" t="s">
        <v>13300</v>
      </c>
      <c r="D409" s="82" t="s">
        <v>201</v>
      </c>
      <c r="E409" s="82" t="s">
        <v>150</v>
      </c>
      <c r="F409" s="83"/>
      <c r="G409" s="84"/>
      <c r="H409" s="85">
        <f>SUM(H410:H421)</f>
        <v>61.214332088580534</v>
      </c>
      <c r="J409" s="201" t="s">
        <v>13150</v>
      </c>
      <c r="K409" s="78"/>
      <c r="L409" s="78"/>
      <c r="M409" s="78"/>
      <c r="N409" s="78"/>
      <c r="O409" s="78"/>
      <c r="P409" s="78"/>
      <c r="Q409" s="78"/>
    </row>
    <row r="410" spans="1:17" s="87" customFormat="1" ht="12.75">
      <c r="A410" s="232" t="s">
        <v>4542</v>
      </c>
      <c r="B410" s="464" t="s">
        <v>8833</v>
      </c>
      <c r="C410" s="451" t="str">
        <f>IF(A410="SERVIÇO",VLOOKUP(B410,SERVIÇOS!$A$6:$D$7645,2,0),IF(A410="INSUMO",VLOOKUP(B410,INSUMOS!$A$6:$D$6961,2,0),IF(A410="COTAÇÃO",VLOOKUP(B410,'036-20-Cotação'!$A$9:$G$529,2,0))))</f>
        <v>GRUPO GERADOR - 13/14 KVA</v>
      </c>
      <c r="D410" s="452" t="str">
        <f>IF(A410="SERVIÇO",VLOOKUP(B410,SERVIÇOS!$A$6:$E$7645,5,0),IF(A410="INSUMO",VLOOKUP(B410,INSUMOS!$A$6:$E$6961,5,0),IF(A410="COTAÇÃO",VLOOKUP(B410,'036-20-Cotação'!$A$9:$H$529,8,0))))</f>
        <v>EQUIP.</v>
      </c>
      <c r="E410" s="452" t="str">
        <f>IF(A410="SERVIÇO",VLOOKUP(B410,SERVIÇOS!$A$6:$D$7645,3,0),IF(A410="INSUMO",VLOOKUP(B410,INSUMOS!$A$6:$D$6961,3,0),IF(A410="COTAÇÃO",VLOOKUP(B410,'036-20-Cotação'!$A$9:$G$529,4,0))))</f>
        <v>CHP</v>
      </c>
      <c r="F410" s="462">
        <v>0.12048</v>
      </c>
      <c r="G410" s="453">
        <f>IF(A410="SERVIÇO",VLOOKUP(B410,SERVIÇOS!$A$6:$D$7645,4,0),IF(A410="INSUMO",VLOOKUP(B410,INSUMOS!$A$6:$D$6961,4,0),IF(A410="COTAÇÃO",VLOOKUP(B410,'036-20-Cotação'!$A$9:$G$529,3,0))))</f>
        <v>9.6905000000000001</v>
      </c>
      <c r="H410" s="463">
        <f t="shared" ref="H410:H421" si="82">G410*F410</f>
        <v>1.16751144</v>
      </c>
      <c r="J410" s="201"/>
    </row>
    <row r="411" spans="1:17" s="87" customFormat="1" ht="25.5">
      <c r="A411" s="232" t="s">
        <v>4542</v>
      </c>
      <c r="B411" s="464" t="s">
        <v>9027</v>
      </c>
      <c r="C411" s="451" t="str">
        <f>IF(A411="SERVIÇO",VLOOKUP(B411,SERVIÇOS!$A$6:$D$7645,2,0),IF(A411="INSUMO",VLOOKUP(B411,INSUMOS!$A$6:$D$6961,2,0),IF(A411="COTAÇÃO",VLOOKUP(B411,'036-20-Cotação'!$A$9:$G$529,2,0))))</f>
        <v>SERRA CIRCULAR COM BANCADA - D = 30 CM - 4 KW</v>
      </c>
      <c r="D411" s="452" t="str">
        <f>IF(A411="SERVIÇO",VLOOKUP(B411,SERVIÇOS!$A$6:$E$7645,5,0),IF(A411="INSUMO",VLOOKUP(B411,INSUMOS!$A$6:$E$6961,5,0),IF(A411="COTAÇÃO",VLOOKUP(B411,'036-20-Cotação'!$A$9:$H$529,8,0))))</f>
        <v>EQUIP.</v>
      </c>
      <c r="E411" s="452" t="str">
        <f>IF(A411="SERVIÇO",VLOOKUP(B411,SERVIÇOS!$A$6:$D$7645,3,0),IF(A411="INSUMO",VLOOKUP(B411,INSUMOS!$A$6:$D$6961,3,0),IF(A411="COTAÇÃO",VLOOKUP(B411,'036-20-Cotação'!$A$9:$G$529,4,0))))</f>
        <v>CHP</v>
      </c>
      <c r="F411" s="462">
        <v>0.12048</v>
      </c>
      <c r="G411" s="453">
        <f>IF(A411="SERVIÇO",VLOOKUP(B411,SERVIÇOS!$A$6:$D$7645,4,0),IF(A411="INSUMO",VLOOKUP(B411,INSUMOS!$A$6:$D$6961,4,0),IF(A411="COTAÇÃO",VLOOKUP(B411,'036-20-Cotação'!$A$9:$G$529,3,0))))</f>
        <v>19.2926</v>
      </c>
      <c r="H411" s="463">
        <f t="shared" si="82"/>
        <v>2.3243724480000001</v>
      </c>
      <c r="J411" s="201"/>
    </row>
    <row r="412" spans="1:17" s="87" customFormat="1" ht="12.75">
      <c r="A412" s="232" t="s">
        <v>4542</v>
      </c>
      <c r="B412" s="464" t="s">
        <v>6825</v>
      </c>
      <c r="C412" s="451" t="str">
        <f>IF(A412="SERVIÇO",VLOOKUP(B412,SERVIÇOS!$A$6:$D$7645,2,0),IF(A412="INSUMO",VLOOKUP(B412,INSUMOS!$A$6:$D$6961,2,0),IF(A412="COTAÇÃO",VLOOKUP(B412,'036-20-Cotação'!$A$9:$G$529,2,0))))</f>
        <v>AJUDANTE</v>
      </c>
      <c r="D412" s="452" t="str">
        <f>IF(A412="SERVIÇO",VLOOKUP(B412,SERVIÇOS!$A$6:$E$7645,5,0),IF(A412="INSUMO",VLOOKUP(B412,INSUMOS!$A$6:$E$6961,5,0),IF(A412="COTAÇÃO",VLOOKUP(B412,'036-20-Cotação'!$A$9:$H$529,8,0))))</f>
        <v>M.O</v>
      </c>
      <c r="E412" s="452" t="str">
        <f>IF(A412="SERVIÇO",VLOOKUP(B412,SERVIÇOS!$A$6:$D$7645,3,0),IF(A412="INSUMO",VLOOKUP(B412,INSUMOS!$A$6:$D$6961,3,0),IF(A412="COTAÇÃO",VLOOKUP(B412,'036-20-Cotação'!$A$9:$G$529,4,0))))</f>
        <v>H</v>
      </c>
      <c r="F412" s="462">
        <v>0.7</v>
      </c>
      <c r="G412" s="453">
        <f>IF(A412="SERVIÇO",VLOOKUP(B412,SERVIÇOS!$A$6:$D$7645,4,0),IF(A412="INSUMO",VLOOKUP(B412,INSUMOS!$A$6:$D$6961,4,0),IF(A412="COTAÇÃO",VLOOKUP(B412,'036-20-Cotação'!$A$9:$G$529,3,0))))</f>
        <v>17.9801</v>
      </c>
      <c r="H412" s="463">
        <f t="shared" si="82"/>
        <v>12.586069999999999</v>
      </c>
      <c r="J412" s="201"/>
    </row>
    <row r="413" spans="1:17" s="87" customFormat="1" ht="12.75">
      <c r="A413" s="232" t="s">
        <v>4542</v>
      </c>
      <c r="B413" s="464" t="s">
        <v>6613</v>
      </c>
      <c r="C413" s="451" t="str">
        <f>IF(A413="SERVIÇO",VLOOKUP(B413,SERVIÇOS!$A$6:$D$7645,2,0),IF(A413="INSUMO",VLOOKUP(B413,INSUMOS!$A$6:$D$6961,2,0),IF(A413="COTAÇÃO",VLOOKUP(B413,'036-20-Cotação'!$A$9:$G$529,2,0))))</f>
        <v>CARPINTEIRO</v>
      </c>
      <c r="D413" s="452" t="str">
        <f>IF(A413="SERVIÇO",VLOOKUP(B413,SERVIÇOS!$A$6:$E$7645,5,0),IF(A413="INSUMO",VLOOKUP(B413,INSUMOS!$A$6:$E$6961,5,0),IF(A413="COTAÇÃO",VLOOKUP(B413,'036-20-Cotação'!$A$9:$H$529,8,0))))</f>
        <v>M.O</v>
      </c>
      <c r="E413" s="452" t="str">
        <f>IF(A413="SERVIÇO",VLOOKUP(B413,SERVIÇOS!$A$6:$D$7645,3,0),IF(A413="INSUMO",VLOOKUP(B413,INSUMOS!$A$6:$D$6961,3,0),IF(A413="COTAÇÃO",VLOOKUP(B413,'036-20-Cotação'!$A$9:$G$529,4,0))))</f>
        <v>H</v>
      </c>
      <c r="F413" s="462">
        <v>0.7</v>
      </c>
      <c r="G413" s="453">
        <f>IF(A413="SERVIÇO",VLOOKUP(B413,SERVIÇOS!$A$6:$D$7645,4,0),IF(A413="INSUMO",VLOOKUP(B413,INSUMOS!$A$6:$D$6961,4,0),IF(A413="COTAÇÃO",VLOOKUP(B413,'036-20-Cotação'!$A$9:$G$529,3,0))))</f>
        <v>21.710999999999999</v>
      </c>
      <c r="H413" s="463">
        <f t="shared" si="82"/>
        <v>15.197699999999998</v>
      </c>
      <c r="J413" s="201"/>
    </row>
    <row r="414" spans="1:17" s="87" customFormat="1" ht="12.75">
      <c r="A414" s="232" t="s">
        <v>4544</v>
      </c>
      <c r="B414" s="464" t="s">
        <v>6870</v>
      </c>
      <c r="C414" s="451" t="str">
        <f>IF(A414="SERVIÇO",VLOOKUP(B414,SERVIÇOS!$A$6:$D$7645,2,0),IF(A414="INSUMO",VLOOKUP(B414,INSUMOS!$A$6:$D$6961,2,0),IF(A414="COTAÇÃO",VLOOKUP(B414,'036-20-Cotação'!$A$9:$G$529,2,0))))</f>
        <v>CAIBRO DE PINHO DE 7,5 X 7,5 CM</v>
      </c>
      <c r="D414" s="452" t="str">
        <f>IF(A414="SERVIÇO",VLOOKUP(B414,SERVIÇOS!$A$6:$E$7645,5,0),IF(A414="INSUMO",VLOOKUP(B414,INSUMOS!$A$6:$E$6961,5,0),IF(A414="COTAÇÃO",VLOOKUP(B414,'036-20-Cotação'!$A$9:$H$529,8,0))))</f>
        <v>MAT.</v>
      </c>
      <c r="E414" s="452" t="str">
        <f>IF(A414="SERVIÇO",VLOOKUP(B414,SERVIÇOS!$A$6:$D$7645,3,0),IF(A414="INSUMO",VLOOKUP(B414,INSUMOS!$A$6:$D$6961,3,0),IF(A414="COTAÇÃO",VLOOKUP(B414,'036-20-Cotação'!$A$9:$G$529,4,0))))</f>
        <v>M</v>
      </c>
      <c r="F414" s="462">
        <v>0.44908999999999999</v>
      </c>
      <c r="G414" s="453">
        <f>IF(A414="SERVIÇO",VLOOKUP(B414,SERVIÇOS!$A$6:$D$7645,4,0),IF(A414="INSUMO",VLOOKUP(B414,INSUMOS!$A$6:$D$6961,4,0),IF(A414="COTAÇÃO",VLOOKUP(B414,'036-20-Cotação'!$A$9:$G$529,3,0))))</f>
        <v>26.3032</v>
      </c>
      <c r="H414" s="463">
        <f t="shared" si="82"/>
        <v>11.812504088000001</v>
      </c>
      <c r="J414" s="201"/>
    </row>
    <row r="415" spans="1:17" s="87" customFormat="1" ht="12.75">
      <c r="A415" s="232" t="s">
        <v>4544</v>
      </c>
      <c r="B415" s="464" t="s">
        <v>10473</v>
      </c>
      <c r="C415" s="451" t="str">
        <f>IF(A415="SERVIÇO",VLOOKUP(B415,SERVIÇOS!$A$6:$D$7645,2,0),IF(A415="INSUMO",VLOOKUP(B415,INSUMOS!$A$6:$D$6961,2,0),IF(A415="COTAÇÃO",VLOOKUP(B415,'036-20-Cotação'!$A$9:$G$529,2,0))))</f>
        <v>COMPENSADO RESINADO DE 10 MM</v>
      </c>
      <c r="D415" s="452" t="str">
        <f>IF(A415="SERVIÇO",VLOOKUP(B415,SERVIÇOS!$A$6:$E$7645,5,0),IF(A415="INSUMO",VLOOKUP(B415,INSUMOS!$A$6:$E$6961,5,0),IF(A415="COTAÇÃO",VLOOKUP(B415,'036-20-Cotação'!$A$9:$H$529,8,0))))</f>
        <v>MAT.</v>
      </c>
      <c r="E415" s="452" t="str">
        <f>IF(A415="SERVIÇO",VLOOKUP(B415,SERVIÇOS!$A$6:$D$7645,3,0),IF(A415="INSUMO",VLOOKUP(B415,INSUMOS!$A$6:$D$6961,3,0),IF(A415="COTAÇÃO",VLOOKUP(B415,'036-20-Cotação'!$A$9:$G$529,4,0))))</f>
        <v>M²</v>
      </c>
      <c r="F415" s="462">
        <v>0.40425</v>
      </c>
      <c r="G415" s="453">
        <f>IF(A415="SERVIÇO",VLOOKUP(B415,SERVIÇOS!$A$6:$D$7645,4,0),IF(A415="INSUMO",VLOOKUP(B415,INSUMOS!$A$6:$D$6961,4,0),IF(A415="COTAÇÃO",VLOOKUP(B415,'036-20-Cotação'!$A$9:$G$529,3,0))))</f>
        <v>16.197500000000002</v>
      </c>
      <c r="H415" s="463">
        <f t="shared" si="82"/>
        <v>6.5478393750000006</v>
      </c>
      <c r="J415" s="201"/>
    </row>
    <row r="416" spans="1:17" s="87" customFormat="1" ht="12.75">
      <c r="A416" s="232" t="s">
        <v>4544</v>
      </c>
      <c r="B416" s="464" t="s">
        <v>10525</v>
      </c>
      <c r="C416" s="451" t="str">
        <f>IF(A416="SERVIÇO",VLOOKUP(B416,SERVIÇOS!$A$6:$D$7645,2,0),IF(A416="INSUMO",VLOOKUP(B416,INSUMOS!$A$6:$D$6961,2,0),IF(A416="COTAÇÃO",VLOOKUP(B416,'036-20-Cotação'!$A$9:$G$529,2,0))))</f>
        <v>DESMOLDANTE PARA FORMAS</v>
      </c>
      <c r="D416" s="452" t="str">
        <f>IF(A416="SERVIÇO",VLOOKUP(B416,SERVIÇOS!$A$6:$E$7645,5,0),IF(A416="INSUMO",VLOOKUP(B416,INSUMOS!$A$6:$E$6961,5,0),IF(A416="COTAÇÃO",VLOOKUP(B416,'036-20-Cotação'!$A$9:$H$529,8,0))))</f>
        <v>MAT.</v>
      </c>
      <c r="E416" s="452" t="str">
        <f>IF(A416="SERVIÇO",VLOOKUP(B416,SERVIÇOS!$A$6:$D$7645,3,0),IF(A416="INSUMO",VLOOKUP(B416,INSUMOS!$A$6:$D$6961,3,0),IF(A416="COTAÇÃO",VLOOKUP(B416,'036-20-Cotação'!$A$9:$G$529,4,0))))</f>
        <v>L</v>
      </c>
      <c r="F416" s="462">
        <v>1.8519999999999998E-2</v>
      </c>
      <c r="G416" s="453">
        <f>IF(A416="SERVIÇO",VLOOKUP(B416,SERVIÇOS!$A$6:$D$7645,4,0),IF(A416="INSUMO",VLOOKUP(B416,INSUMOS!$A$6:$D$6961,4,0),IF(A416="COTAÇÃO",VLOOKUP(B416,'036-20-Cotação'!$A$9:$G$529,3,0))))</f>
        <v>8.7956000000000003</v>
      </c>
      <c r="H416" s="463">
        <f t="shared" si="82"/>
        <v>0.16289451199999999</v>
      </c>
      <c r="J416" s="201"/>
    </row>
    <row r="417" spans="1:17" s="87" customFormat="1" ht="12.75">
      <c r="A417" s="232" t="s">
        <v>4544</v>
      </c>
      <c r="B417" s="464" t="s">
        <v>6827</v>
      </c>
      <c r="C417" s="451" t="str">
        <f>IF(A417="SERVIÇO",VLOOKUP(B417,SERVIÇOS!$A$6:$D$7645,2,0),IF(A417="INSUMO",VLOOKUP(B417,INSUMOS!$A$6:$D$6961,2,0),IF(A417="COTAÇÃO",VLOOKUP(B417,'036-20-Cotação'!$A$9:$G$529,2,0))))</f>
        <v>PEÇA DE MADEIRA DE 2,5 X 7,5 CM</v>
      </c>
      <c r="D417" s="452" t="str">
        <f>IF(A417="SERVIÇO",VLOOKUP(B417,SERVIÇOS!$A$6:$E$7645,5,0),IF(A417="INSUMO",VLOOKUP(B417,INSUMOS!$A$6:$E$6961,5,0),IF(A417="COTAÇÃO",VLOOKUP(B417,'036-20-Cotação'!$A$9:$H$529,8,0))))</f>
        <v>MAT.</v>
      </c>
      <c r="E417" s="452" t="str">
        <f>IF(A417="SERVIÇO",VLOOKUP(B417,SERVIÇOS!$A$6:$D$7645,3,0),IF(A417="INSUMO",VLOOKUP(B417,INSUMOS!$A$6:$D$6961,3,0),IF(A417="COTAÇÃO",VLOOKUP(B417,'036-20-Cotação'!$A$9:$G$529,4,0))))</f>
        <v>M</v>
      </c>
      <c r="F417" s="462">
        <v>1.2985</v>
      </c>
      <c r="G417" s="453">
        <f>IF(A417="SERVIÇO",VLOOKUP(B417,SERVIÇOS!$A$6:$D$7645,4,0),IF(A417="INSUMO",VLOOKUP(B417,INSUMOS!$A$6:$D$6961,4,0),IF(A417="COTAÇÃO",VLOOKUP(B417,'036-20-Cotação'!$A$9:$G$529,3,0))))</f>
        <v>3.3033999999999999</v>
      </c>
      <c r="H417" s="463">
        <f t="shared" si="82"/>
        <v>4.2894648999999996</v>
      </c>
      <c r="J417" s="201"/>
    </row>
    <row r="418" spans="1:17" s="87" customFormat="1" ht="12.75">
      <c r="A418" s="232" t="s">
        <v>4544</v>
      </c>
      <c r="B418" s="464" t="s">
        <v>6829</v>
      </c>
      <c r="C418" s="451" t="str">
        <f>IF(A418="SERVIÇO",VLOOKUP(B418,SERVIÇOS!$A$6:$D$7645,2,0),IF(A418="INSUMO",VLOOKUP(B418,INSUMOS!$A$6:$D$6961,2,0),IF(A418="COTAÇÃO",VLOOKUP(B418,'036-20-Cotação'!$A$9:$G$529,2,0))))</f>
        <v>PREGO DE FERRO</v>
      </c>
      <c r="D418" s="452" t="str">
        <f>IF(A418="SERVIÇO",VLOOKUP(B418,SERVIÇOS!$A$6:$E$7645,5,0),IF(A418="INSUMO",VLOOKUP(B418,INSUMOS!$A$6:$E$6961,5,0),IF(A418="COTAÇÃO",VLOOKUP(B418,'036-20-Cotação'!$A$9:$H$529,8,0))))</f>
        <v>MAT.</v>
      </c>
      <c r="E418" s="452" t="str">
        <f>IF(A418="SERVIÇO",VLOOKUP(B418,SERVIÇOS!$A$6:$D$7645,3,0),IF(A418="INSUMO",VLOOKUP(B418,INSUMOS!$A$6:$D$6961,3,0),IF(A418="COTAÇÃO",VLOOKUP(B418,'036-20-Cotação'!$A$9:$G$529,4,0))))</f>
        <v>KG</v>
      </c>
      <c r="F418" s="462">
        <v>0.15137</v>
      </c>
      <c r="G418" s="453">
        <f>IF(A418="SERVIÇO",VLOOKUP(B418,SERVIÇOS!$A$6:$D$7645,4,0),IF(A418="INSUMO",VLOOKUP(B418,INSUMOS!$A$6:$D$6961,4,0),IF(A418="COTAÇÃO",VLOOKUP(B418,'036-20-Cotação'!$A$9:$G$529,3,0))))</f>
        <v>9.5221</v>
      </c>
      <c r="H418" s="463">
        <f t="shared" si="82"/>
        <v>1.441360277</v>
      </c>
      <c r="J418" s="201"/>
    </row>
    <row r="419" spans="1:17" s="87" customFormat="1" ht="12.75">
      <c r="A419" s="232" t="s">
        <v>4544</v>
      </c>
      <c r="B419" s="464" t="s">
        <v>10426</v>
      </c>
      <c r="C419" s="451" t="str">
        <f>IF(A419="SERVIÇO",VLOOKUP(B419,SERVIÇOS!$A$6:$D$7645,2,0),IF(A419="INSUMO",VLOOKUP(B419,INSUMOS!$A$6:$D$6961,2,0),IF(A419="COTAÇÃO",VLOOKUP(B419,'036-20-Cotação'!$A$9:$G$529,2,0))))</f>
        <v>TÁBUA DE 2,5 X 10 CM</v>
      </c>
      <c r="D419" s="452" t="str">
        <f>IF(A419="SERVIÇO",VLOOKUP(B419,SERVIÇOS!$A$6:$E$7645,5,0),IF(A419="INSUMO",VLOOKUP(B419,INSUMOS!$A$6:$E$6961,5,0),IF(A419="COTAÇÃO",VLOOKUP(B419,'036-20-Cotação'!$A$9:$H$529,8,0))))</f>
        <v>MAT.</v>
      </c>
      <c r="E419" s="452" t="str">
        <f>IF(A419="SERVIÇO",VLOOKUP(B419,SERVIÇOS!$A$6:$D$7645,3,0),IF(A419="INSUMO",VLOOKUP(B419,INSUMOS!$A$6:$D$6961,3,0),IF(A419="COTAÇÃO",VLOOKUP(B419,'036-20-Cotação'!$A$9:$G$529,4,0))))</f>
        <v>M</v>
      </c>
      <c r="F419" s="462">
        <v>1.6541300000000001</v>
      </c>
      <c r="G419" s="453">
        <f>IF(A419="SERVIÇO",VLOOKUP(B419,SERVIÇOS!$A$6:$D$7645,4,0),IF(A419="INSUMO",VLOOKUP(B419,INSUMOS!$A$6:$D$6961,4,0),IF(A419="COTAÇÃO",VLOOKUP(B419,'036-20-Cotação'!$A$9:$G$529,3,0))))</f>
        <v>2.3744999999999998</v>
      </c>
      <c r="H419" s="463">
        <f t="shared" si="82"/>
        <v>3.9277316849999999</v>
      </c>
      <c r="J419" s="201"/>
    </row>
    <row r="420" spans="1:17" s="87" customFormat="1" ht="12.75">
      <c r="A420" s="232" t="s">
        <v>4544</v>
      </c>
      <c r="B420" s="531" t="s">
        <v>6871</v>
      </c>
      <c r="C420" s="451" t="str">
        <f>IF(A420="SERVIÇO",VLOOKUP(B420,SERVIÇOS!$A$6:$D$7645,2,0),IF(A420="INSUMO",VLOOKUP(B420,INSUMOS!$A$6:$D$6961,2,0),IF(A420="COTAÇÃO",VLOOKUP(B420,'036-20-Cotação'!$A$9:$G$529,2,0))))</f>
        <v>TÁBUA DE 2,5 X 30 CM</v>
      </c>
      <c r="D420" s="452" t="str">
        <f>IF(A420="SERVIÇO",VLOOKUP(B420,SERVIÇOS!$A$6:$E$7645,5,0),IF(A420="INSUMO",VLOOKUP(B420,INSUMOS!$A$6:$E$6961,5,0),IF(A420="COTAÇÃO",VLOOKUP(B420,'036-20-Cotação'!$A$9:$H$529,8,0))))</f>
        <v>MAT.</v>
      </c>
      <c r="E420" s="452" t="str">
        <f>IF(A420="SERVIÇO",VLOOKUP(B420,SERVIÇOS!$A$6:$D$7645,3,0),IF(A420="INSUMO",VLOOKUP(B420,INSUMOS!$A$6:$D$6961,3,0),IF(A420="COTAÇÃO",VLOOKUP(B420,'036-20-Cotação'!$A$9:$G$529,4,0))))</f>
        <v>M</v>
      </c>
      <c r="F420" s="462">
        <v>0.14957000000000001</v>
      </c>
      <c r="G420" s="453">
        <f>IF(A420="SERVIÇO",VLOOKUP(B420,SERVIÇOS!$A$6:$D$7645,4,0),IF(A420="INSUMO",VLOOKUP(B420,INSUMOS!$A$6:$D$6961,4,0),IF(A420="COTAÇÃO",VLOOKUP(B420,'036-20-Cotação'!$A$9:$G$529,3,0))))</f>
        <v>9.7302</v>
      </c>
      <c r="H420" s="463">
        <f t="shared" si="82"/>
        <v>1.4553460140000001</v>
      </c>
      <c r="J420" s="201"/>
    </row>
    <row r="421" spans="1:17" s="87" customFormat="1" ht="25.5">
      <c r="A421" s="232" t="s">
        <v>4542</v>
      </c>
      <c r="B421" s="531" t="str">
        <f>$B$281</f>
        <v>5914655-TF</v>
      </c>
      <c r="C421" s="451" t="str">
        <f>$C$281</f>
        <v>TEMPO FIXO - CAMINHÃO CARROCERIA 15 T - CARGA E DESCARGA MANUAIS</v>
      </c>
      <c r="D421" s="452" t="str">
        <f>$D$281</f>
        <v>SER.CG</v>
      </c>
      <c r="E421" s="452" t="str">
        <f>$E$281</f>
        <v>T</v>
      </c>
      <c r="F421" s="462">
        <f>0.00253+0.00404+0.00243+0.00015+0.00414+0.00112</f>
        <v>1.4410000000000001E-2</v>
      </c>
      <c r="G421" s="453">
        <f>$H$281</f>
        <v>20.925562080536913</v>
      </c>
      <c r="H421" s="463">
        <f t="shared" si="82"/>
        <v>0.30153734958053696</v>
      </c>
      <c r="J421" s="201"/>
    </row>
    <row r="422" spans="1:17" s="87" customFormat="1" ht="12.75">
      <c r="A422" s="188"/>
      <c r="B422" s="348" t="s">
        <v>123</v>
      </c>
      <c r="C422" s="695" t="s">
        <v>13287</v>
      </c>
      <c r="D422" s="696"/>
      <c r="E422" s="696"/>
      <c r="F422" s="696"/>
      <c r="G422" s="696"/>
      <c r="H422" s="697"/>
      <c r="J422" s="201"/>
      <c r="K422" s="78"/>
      <c r="L422" s="78"/>
      <c r="M422" s="78"/>
      <c r="N422" s="78"/>
      <c r="O422" s="78"/>
      <c r="P422" s="78"/>
      <c r="Q422" s="78"/>
    </row>
    <row r="423" spans="1:17" s="87" customFormat="1" ht="12.75">
      <c r="A423" s="188"/>
      <c r="B423" s="346"/>
      <c r="C423" s="484"/>
      <c r="D423" s="484"/>
      <c r="E423" s="484"/>
      <c r="F423" s="484"/>
      <c r="G423" s="484"/>
      <c r="H423" s="485"/>
      <c r="J423" s="201"/>
      <c r="K423" s="78"/>
      <c r="L423" s="78"/>
      <c r="M423" s="78"/>
      <c r="N423" s="78"/>
      <c r="O423" s="78"/>
      <c r="P423" s="78"/>
      <c r="Q423" s="78"/>
    </row>
    <row r="424" spans="1:17" s="87" customFormat="1" ht="25.5">
      <c r="A424" s="188"/>
      <c r="B424" s="80">
        <v>4915671</v>
      </c>
      <c r="C424" s="81" t="s">
        <v>13302</v>
      </c>
      <c r="D424" s="82" t="s">
        <v>201</v>
      </c>
      <c r="E424" s="82" t="s">
        <v>172</v>
      </c>
      <c r="F424" s="83"/>
      <c r="G424" s="84"/>
      <c r="H424" s="85">
        <f>SUM(H425:H426)</f>
        <v>13.712206405693951</v>
      </c>
      <c r="J424" s="201" t="s">
        <v>13301</v>
      </c>
      <c r="K424" s="78"/>
      <c r="L424" s="78"/>
      <c r="M424" s="78"/>
      <c r="N424" s="78"/>
      <c r="O424" s="78"/>
      <c r="P424" s="78"/>
      <c r="Q424" s="78"/>
    </row>
    <row r="425" spans="1:17" s="87" customFormat="1" ht="25.5">
      <c r="A425" s="232" t="s">
        <v>4542</v>
      </c>
      <c r="B425" s="464" t="s">
        <v>9184</v>
      </c>
      <c r="C425" s="451" t="str">
        <f>IF(A425="SERVIÇO",VLOOKUP(B425,SERVIÇOS!$A$6:$D$7645,2,0),IF(A425="INSUMO",VLOOKUP(B425,INSUMOS!$A$6:$D$6961,2,0),IF(A425="COTAÇÃO",VLOOKUP(B425,'036-20-Cotação'!$A$9:$G$529,2,0))))</f>
        <v>COMPACTADOR MANUAL COM SOQUETE VIBRATÓRIO - 4,1 KW</v>
      </c>
      <c r="D425" s="452" t="str">
        <f>IF(A425="SERVIÇO",VLOOKUP(B425,SERVIÇOS!$A$6:$E$7645,5,0),IF(A425="INSUMO",VLOOKUP(B425,INSUMOS!$A$6:$E$6961,5,0),IF(A425="COTAÇÃO",VLOOKUP(B425,'036-20-Cotação'!$A$9:$H$529,8,0))))</f>
        <v>EQUIP.</v>
      </c>
      <c r="E425" s="452" t="str">
        <f>IF(A425="SERVIÇO",VLOOKUP(B425,SERVIÇOS!$A$6:$D$7645,3,0),IF(A425="INSUMO",VLOOKUP(B425,INSUMOS!$A$6:$D$6961,3,0),IF(A425="COTAÇÃO",VLOOKUP(B425,'036-20-Cotação'!$A$9:$G$529,4,0))))</f>
        <v>CHP</v>
      </c>
      <c r="F425" s="462">
        <f>1/2.81</f>
        <v>0.35587188612099646</v>
      </c>
      <c r="G425" s="453">
        <f>IF(A425="SERVIÇO",VLOOKUP(B425,SERVIÇOS!$A$6:$D$7645,4,0),IF(A425="INSUMO",VLOOKUP(B425,INSUMOS!$A$6:$D$6961,4,0),IF(A425="COTAÇÃO",VLOOKUP(B425,'036-20-Cotação'!$A$9:$G$529,3,0))))</f>
        <v>7.2563000000000004</v>
      </c>
      <c r="H425" s="463">
        <f t="shared" ref="H425:H426" si="83">G425*F425</f>
        <v>2.582313167259787</v>
      </c>
      <c r="J425" s="201"/>
    </row>
    <row r="426" spans="1:17" s="87" customFormat="1" ht="12.75">
      <c r="A426" s="232" t="s">
        <v>4542</v>
      </c>
      <c r="B426" s="464" t="s">
        <v>6602</v>
      </c>
      <c r="C426" s="451" t="str">
        <f>IF(A426="SERVIÇO",VLOOKUP(B426,SERVIÇOS!$A$6:$D$7645,2,0),IF(A426="INSUMO",VLOOKUP(B426,INSUMOS!$A$6:$D$6961,2,0),IF(A426="COTAÇÃO",VLOOKUP(B426,'036-20-Cotação'!$A$9:$G$529,2,0))))</f>
        <v>SERVENTE</v>
      </c>
      <c r="D426" s="452" t="str">
        <f>IF(A426="SERVIÇO",VLOOKUP(B426,SERVIÇOS!$A$6:$E$7645,5,0),IF(A426="INSUMO",VLOOKUP(B426,INSUMOS!$A$6:$E$6961,5,0),IF(A426="COTAÇÃO",VLOOKUP(B426,'036-20-Cotação'!$A$9:$H$529,8,0))))</f>
        <v>M.O</v>
      </c>
      <c r="E426" s="452" t="str">
        <f>IF(A426="SERVIÇO",VLOOKUP(B426,SERVIÇOS!$A$6:$D$7645,3,0),IF(A426="INSUMO",VLOOKUP(B426,INSUMOS!$A$6:$D$6961,3,0),IF(A426="COTAÇÃO",VLOOKUP(B426,'036-20-Cotação'!$A$9:$G$529,4,0))))</f>
        <v>H</v>
      </c>
      <c r="F426" s="462">
        <f>2/2.81</f>
        <v>0.71174377224199292</v>
      </c>
      <c r="G426" s="453">
        <f>IF(A426="SERVIÇO",VLOOKUP(B426,SERVIÇOS!$A$6:$D$7645,4,0),IF(A426="INSUMO",VLOOKUP(B426,INSUMOS!$A$6:$D$6961,4,0),IF(A426="COTAÇÃO",VLOOKUP(B426,'036-20-Cotação'!$A$9:$G$529,3,0))))</f>
        <v>15.637499999999999</v>
      </c>
      <c r="H426" s="463">
        <f t="shared" si="83"/>
        <v>11.129893238434164</v>
      </c>
      <c r="J426" s="201"/>
    </row>
    <row r="427" spans="1:17" s="87" customFormat="1" ht="12.75">
      <c r="A427" s="188"/>
      <c r="B427" s="348" t="s">
        <v>123</v>
      </c>
      <c r="C427" s="695" t="s">
        <v>13303</v>
      </c>
      <c r="D427" s="696"/>
      <c r="E427" s="696"/>
      <c r="F427" s="696"/>
      <c r="G427" s="696"/>
      <c r="H427" s="697"/>
      <c r="J427" s="201"/>
      <c r="K427" s="78"/>
      <c r="L427" s="78"/>
      <c r="M427" s="78"/>
      <c r="N427" s="78"/>
      <c r="O427" s="78"/>
      <c r="P427" s="78"/>
      <c r="Q427" s="78"/>
    </row>
    <row r="428" spans="1:17" s="87" customFormat="1" ht="12.75">
      <c r="A428" s="188"/>
      <c r="B428" s="346"/>
      <c r="C428" s="484"/>
      <c r="D428" s="484"/>
      <c r="E428" s="484"/>
      <c r="F428" s="484"/>
      <c r="G428" s="484"/>
      <c r="H428" s="485"/>
      <c r="J428" s="201"/>
      <c r="K428" s="78"/>
      <c r="L428" s="78"/>
      <c r="M428" s="78"/>
      <c r="N428" s="78"/>
      <c r="O428" s="78"/>
      <c r="P428" s="78"/>
      <c r="Q428" s="78"/>
    </row>
    <row r="429" spans="1:17" s="87" customFormat="1" ht="38.25">
      <c r="A429" s="188"/>
      <c r="B429" s="80">
        <v>1107928</v>
      </c>
      <c r="C429" s="81" t="s">
        <v>13316</v>
      </c>
      <c r="D429" s="82" t="s">
        <v>201</v>
      </c>
      <c r="E429" s="82" t="s">
        <v>172</v>
      </c>
      <c r="F429" s="83"/>
      <c r="G429" s="84"/>
      <c r="H429" s="85">
        <f>SUM(H430:H443)</f>
        <v>297.5288260326144</v>
      </c>
      <c r="J429" s="201" t="s">
        <v>13318</v>
      </c>
      <c r="K429" s="78"/>
      <c r="L429" s="78"/>
      <c r="M429" s="78"/>
      <c r="N429" s="78"/>
      <c r="O429" s="78"/>
      <c r="P429" s="78"/>
      <c r="Q429" s="78"/>
    </row>
    <row r="430" spans="1:17" s="87" customFormat="1" ht="25.5">
      <c r="A430" s="232" t="s">
        <v>4542</v>
      </c>
      <c r="B430" s="464" t="s">
        <v>9091</v>
      </c>
      <c r="C430" s="451" t="str">
        <f>IF(A430="SERVIÇO",VLOOKUP(B430,SERVIÇOS!$A$6:$D$7645,2,0),IF(A430="INSUMO",VLOOKUP(B430,INSUMOS!$A$6:$D$6961,2,0),IF(A430="COTAÇÃO",VLOOKUP(B430,'036-20-Cotação'!$A$9:$G$529,2,0))))</f>
        <v>CARREGADEIRA DE PNEUS COM CAPACIDADE DE 1,53 M³ - 106 KW</v>
      </c>
      <c r="D430" s="452" t="str">
        <f>IF(A430="SERVIÇO",VLOOKUP(B430,SERVIÇOS!$A$6:$E$7645,5,0),IF(A430="INSUMO",VLOOKUP(B430,INSUMOS!$A$6:$E$6961,5,0),IF(A430="COTAÇÃO",VLOOKUP(B430,'036-20-Cotação'!$A$9:$H$529,8,0))))</f>
        <v>EQUIP.</v>
      </c>
      <c r="E430" s="452" t="str">
        <f>IF(A430="SERVIÇO",VLOOKUP(B430,SERVIÇOS!$A$6:$D$7645,3,0),IF(A430="INSUMO",VLOOKUP(B430,INSUMOS!$A$6:$D$6961,3,0),IF(A430="COTAÇÃO",VLOOKUP(B430,'036-20-Cotação'!$A$9:$G$529,4,0))))</f>
        <v>CHP</v>
      </c>
      <c r="F430" s="462">
        <f>0.76/24.9</f>
        <v>3.0522088353413655E-2</v>
      </c>
      <c r="G430" s="453">
        <f>IF(A430="SERVIÇO",VLOOKUP(B430,SERVIÇOS!$A$6:$D$7645,4,0),IF(A430="INSUMO",VLOOKUP(B430,INSUMOS!$A$6:$D$6961,4,0),IF(A430="COTAÇÃO",VLOOKUP(B430,'036-20-Cotação'!$A$9:$G$529,3,0))))</f>
        <v>105.7415</v>
      </c>
      <c r="H430" s="463">
        <f t="shared" ref="H430:H443" si="84">G430*F430</f>
        <v>3.2274514056224901</v>
      </c>
      <c r="J430" s="201"/>
    </row>
    <row r="431" spans="1:17" s="87" customFormat="1" ht="25.5">
      <c r="A431" s="232" t="s">
        <v>4542</v>
      </c>
      <c r="B431" s="464" t="s">
        <v>9793</v>
      </c>
      <c r="C431" s="451" t="str">
        <f>IF(A431="SERVIÇO",VLOOKUP(B431,SERVIÇOS!$A$6:$D$7645,2,0),IF(A431="INSUMO",VLOOKUP(B431,INSUMOS!$A$6:$D$6961,2,0),IF(A431="COTAÇÃO",VLOOKUP(B431,'036-20-Cotação'!$A$9:$G$529,2,0))))</f>
        <v>CARREGADEIRA DE PNEUS COM CAPACIDADE DE 1,53 M³ - 106 KW</v>
      </c>
      <c r="D431" s="452" t="str">
        <f>IF(A431="SERVIÇO",VLOOKUP(B431,SERVIÇOS!$A$6:$E$7645,5,0),IF(A431="INSUMO",VLOOKUP(B431,INSUMOS!$A$6:$E$6961,5,0),IF(A431="COTAÇÃO",VLOOKUP(B431,'036-20-Cotação'!$A$9:$H$529,8,0))))</f>
        <v>EQUIP.</v>
      </c>
      <c r="E431" s="452" t="str">
        <f>IF(A431="SERVIÇO",VLOOKUP(B431,SERVIÇOS!$A$6:$D$7645,3,0),IF(A431="INSUMO",VLOOKUP(B431,INSUMOS!$A$6:$D$6961,3,0),IF(A431="COTAÇÃO",VLOOKUP(B431,'036-20-Cotação'!$A$9:$G$529,4,0))))</f>
        <v>CHI</v>
      </c>
      <c r="F431" s="462">
        <f>0.24/24.9</f>
        <v>9.6385542168674707E-3</v>
      </c>
      <c r="G431" s="453">
        <f>IF(A431="SERVIÇO",VLOOKUP(B431,SERVIÇOS!$A$6:$D$7645,4,0),IF(A431="INSUMO",VLOOKUP(B431,INSUMOS!$A$6:$D$6961,4,0),IF(A431="COTAÇÃO",VLOOKUP(B431,'036-20-Cotação'!$A$9:$G$529,3,0))))</f>
        <v>51.259700000000002</v>
      </c>
      <c r="H431" s="463">
        <f t="shared" ref="H431" si="85">G431*F431</f>
        <v>0.4940693975903615</v>
      </c>
      <c r="J431" s="201"/>
    </row>
    <row r="432" spans="1:17" s="87" customFormat="1" ht="25.5">
      <c r="A432" s="232" t="s">
        <v>4542</v>
      </c>
      <c r="B432" s="464" t="s">
        <v>9115</v>
      </c>
      <c r="C432" s="451" t="str">
        <f>IF(A432="SERVIÇO",VLOOKUP(B432,SERVIÇOS!$A$6:$D$7645,2,0),IF(A432="INSUMO",VLOOKUP(B432,INSUMOS!$A$6:$D$6961,2,0),IF(A432="COTAÇÃO",VLOOKUP(B432,'036-20-Cotação'!$A$9:$G$529,2,0))))</f>
        <v>CENTRAL DE CONCRETO COM CAPACIDADE DE 30 M³/H - DOSADORA RS</v>
      </c>
      <c r="D432" s="452" t="str">
        <f>IF(A432="SERVIÇO",VLOOKUP(B432,SERVIÇOS!$A$6:$E$7645,5,0),IF(A432="INSUMO",VLOOKUP(B432,INSUMOS!$A$6:$E$6961,5,0),IF(A432="COTAÇÃO",VLOOKUP(B432,'036-20-Cotação'!$A$9:$H$529,8,0))))</f>
        <v>EQUIP.</v>
      </c>
      <c r="E432" s="452" t="str">
        <f>IF(A432="SERVIÇO",VLOOKUP(B432,SERVIÇOS!$A$6:$D$7645,3,0),IF(A432="INSUMO",VLOOKUP(B432,INSUMOS!$A$6:$D$6961,3,0),IF(A432="COTAÇÃO",VLOOKUP(B432,'036-20-Cotação'!$A$9:$G$529,4,0))))</f>
        <v>CHP</v>
      </c>
      <c r="F432" s="462">
        <f>1/24.9</f>
        <v>4.0160642570281124E-2</v>
      </c>
      <c r="G432" s="453">
        <f>IF(A432="SERVIÇO",VLOOKUP(B432,SERVIÇOS!$A$6:$D$7645,4,0),IF(A432="INSUMO",VLOOKUP(B432,INSUMOS!$A$6:$D$6961,4,0),IF(A432="COTAÇÃO",VLOOKUP(B432,'036-20-Cotação'!$A$9:$G$529,3,0))))</f>
        <v>44.108499999999999</v>
      </c>
      <c r="H432" s="463">
        <f t="shared" si="84"/>
        <v>1.771425702811245</v>
      </c>
      <c r="J432" s="201"/>
    </row>
    <row r="433" spans="1:17" s="87" customFormat="1" ht="12.75">
      <c r="A433" s="232" t="s">
        <v>4542</v>
      </c>
      <c r="B433" s="464" t="s">
        <v>9327</v>
      </c>
      <c r="C433" s="451" t="str">
        <f>IF(A433="SERVIÇO",VLOOKUP(B433,SERVIÇOS!$A$6:$D$7645,2,0),IF(A433="INSUMO",VLOOKUP(B433,INSUMOS!$A$6:$D$6961,2,0),IF(A433="COTAÇÃO",VLOOKUP(B433,'036-20-Cotação'!$A$9:$G$529,2,0))))</f>
        <v>GRUPO GERADOR - 36/40 KVA</v>
      </c>
      <c r="D433" s="452" t="str">
        <f>IF(A433="SERVIÇO",VLOOKUP(B433,SERVIÇOS!$A$6:$E$7645,5,0),IF(A433="INSUMO",VLOOKUP(B433,INSUMOS!$A$6:$E$6961,5,0),IF(A433="COTAÇÃO",VLOOKUP(B433,'036-20-Cotação'!$A$9:$H$529,8,0))))</f>
        <v>EQUIP.</v>
      </c>
      <c r="E433" s="452" t="str">
        <f>IF(A433="SERVIÇO",VLOOKUP(B433,SERVIÇOS!$A$6:$D$7645,3,0),IF(A433="INSUMO",VLOOKUP(B433,INSUMOS!$A$6:$D$6961,3,0),IF(A433="COTAÇÃO",VLOOKUP(B433,'036-20-Cotação'!$A$9:$G$529,4,0))))</f>
        <v>CHP</v>
      </c>
      <c r="F433" s="462">
        <f>1/24.9</f>
        <v>4.0160642570281124E-2</v>
      </c>
      <c r="G433" s="453">
        <f>IF(A433="SERVIÇO",VLOOKUP(B433,SERVIÇOS!$A$6:$D$7645,4,0),IF(A433="INSUMO",VLOOKUP(B433,INSUMOS!$A$6:$D$6961,4,0),IF(A433="COTAÇÃO",VLOOKUP(B433,'036-20-Cotação'!$A$9:$G$529,3,0))))</f>
        <v>24.178100000000001</v>
      </c>
      <c r="H433" s="463">
        <f t="shared" si="84"/>
        <v>0.97100803212851405</v>
      </c>
      <c r="J433" s="201"/>
    </row>
    <row r="434" spans="1:17" s="87" customFormat="1" ht="25.5">
      <c r="A434" s="232" t="s">
        <v>4542</v>
      </c>
      <c r="B434" s="464" t="s">
        <v>8829</v>
      </c>
      <c r="C434" s="451" t="str">
        <f>IF(A434="SERVIÇO",VLOOKUP(B434,SERVIÇOS!$A$6:$D$7645,2,0),IF(A434="INSUMO",VLOOKUP(B434,INSUMOS!$A$6:$D$6961,2,0),IF(A434="COTAÇÃO",VLOOKUP(B434,'036-20-Cotação'!$A$9:$G$529,2,0))))</f>
        <v>TRANSPORTADOR MANUAL GERICA COM CAPACIDADE DE 180 L</v>
      </c>
      <c r="D434" s="452" t="str">
        <f>IF(A434="SERVIÇO",VLOOKUP(B434,SERVIÇOS!$A$6:$E$7645,5,0),IF(A434="INSUMO",VLOOKUP(B434,INSUMOS!$A$6:$E$6961,5,0),IF(A434="COTAÇÃO",VLOOKUP(B434,'036-20-Cotação'!$A$9:$H$529,8,0))))</f>
        <v>EQUIP.</v>
      </c>
      <c r="E434" s="452" t="str">
        <f>IF(A434="SERVIÇO",VLOOKUP(B434,SERVIÇOS!$A$6:$D$7645,3,0),IF(A434="INSUMO",VLOOKUP(B434,INSUMOS!$A$6:$D$6961,3,0),IF(A434="COTAÇÃO",VLOOKUP(B434,'036-20-Cotação'!$A$9:$G$529,4,0))))</f>
        <v>CHP</v>
      </c>
      <c r="F434" s="462">
        <f>0.72/24.9*3</f>
        <v>8.6746987951807228E-2</v>
      </c>
      <c r="G434" s="453">
        <f>IF(A434="SERVIÇO",VLOOKUP(B434,SERVIÇOS!$A$6:$D$7645,4,0),IF(A434="INSUMO",VLOOKUP(B434,INSUMOS!$A$6:$D$6961,4,0),IF(A434="COTAÇÃO",VLOOKUP(B434,'036-20-Cotação'!$A$9:$G$529,3,0))))</f>
        <v>0.78420000000000001</v>
      </c>
      <c r="H434" s="463">
        <f t="shared" si="84"/>
        <v>6.8026987951807227E-2</v>
      </c>
      <c r="J434" s="201"/>
    </row>
    <row r="435" spans="1:17" s="87" customFormat="1" ht="25.5">
      <c r="A435" s="232" t="s">
        <v>4542</v>
      </c>
      <c r="B435" s="464" t="s">
        <v>9658</v>
      </c>
      <c r="C435" s="451" t="str">
        <f>IF(A435="SERVIÇO",VLOOKUP(B435,SERVIÇOS!$A$6:$D$7645,2,0),IF(A435="INSUMO",VLOOKUP(B435,INSUMOS!$A$6:$D$6961,2,0),IF(A435="COTAÇÃO",VLOOKUP(B435,'036-20-Cotação'!$A$9:$G$529,2,0))))</f>
        <v>TRANSPORTADOR MANUAL GERICA COM CAPACIDADE DE 180 L</v>
      </c>
      <c r="D435" s="452" t="str">
        <f>IF(A435="SERVIÇO",VLOOKUP(B435,SERVIÇOS!$A$6:$E$7645,5,0),IF(A435="INSUMO",VLOOKUP(B435,INSUMOS!$A$6:$E$6961,5,0),IF(A435="COTAÇÃO",VLOOKUP(B435,'036-20-Cotação'!$A$9:$H$529,8,0))))</f>
        <v>EQUIP.</v>
      </c>
      <c r="E435" s="452" t="str">
        <f>IF(A435="SERVIÇO",VLOOKUP(B435,SERVIÇOS!$A$6:$D$7645,3,0),IF(A435="INSUMO",VLOOKUP(B435,INSUMOS!$A$6:$D$6961,3,0),IF(A435="COTAÇÃO",VLOOKUP(B435,'036-20-Cotação'!$A$9:$G$529,4,0))))</f>
        <v>CHI</v>
      </c>
      <c r="F435" s="462">
        <f>0.28/24.9*3</f>
        <v>3.3734939759036152E-2</v>
      </c>
      <c r="G435" s="453">
        <f>IF(A435="SERVIÇO",VLOOKUP(B435,SERVIÇOS!$A$6:$D$7645,4,0),IF(A435="INSUMO",VLOOKUP(B435,INSUMOS!$A$6:$D$6961,4,0),IF(A435="COTAÇÃO",VLOOKUP(B435,'036-20-Cotação'!$A$9:$G$529,3,0))))</f>
        <v>0.52549999999999997</v>
      </c>
      <c r="H435" s="463">
        <f t="shared" ref="H435" si="86">G435*F435</f>
        <v>1.7727710843373497E-2</v>
      </c>
      <c r="J435" s="201"/>
    </row>
    <row r="436" spans="1:17" s="87" customFormat="1" ht="12.75">
      <c r="A436" s="232" t="s">
        <v>4542</v>
      </c>
      <c r="B436" s="464" t="s">
        <v>6602</v>
      </c>
      <c r="C436" s="451" t="str">
        <f>IF(A436="SERVIÇO",VLOOKUP(B436,SERVIÇOS!$A$6:$D$7645,2,0),IF(A436="INSUMO",VLOOKUP(B436,INSUMOS!$A$6:$D$6961,2,0),IF(A436="COTAÇÃO",VLOOKUP(B436,'036-20-Cotação'!$A$9:$G$529,2,0))))</f>
        <v>SERVENTE</v>
      </c>
      <c r="D436" s="452" t="str">
        <f>IF(A436="SERVIÇO",VLOOKUP(B436,SERVIÇOS!$A$6:$E$7645,5,0),IF(A436="INSUMO",VLOOKUP(B436,INSUMOS!$A$6:$E$6961,5,0),IF(A436="COTAÇÃO",VLOOKUP(B436,'036-20-Cotação'!$A$9:$H$529,8,0))))</f>
        <v>M.O</v>
      </c>
      <c r="E436" s="452" t="str">
        <f>IF(A436="SERVIÇO",VLOOKUP(B436,SERVIÇOS!$A$6:$D$7645,3,0),IF(A436="INSUMO",VLOOKUP(B436,INSUMOS!$A$6:$D$6961,3,0),IF(A436="COTAÇÃO",VLOOKUP(B436,'036-20-Cotação'!$A$9:$G$529,4,0))))</f>
        <v>H</v>
      </c>
      <c r="F436" s="462">
        <f>4/24.9</f>
        <v>0.1606425702811245</v>
      </c>
      <c r="G436" s="453">
        <f>IF(A436="SERVIÇO",VLOOKUP(B436,SERVIÇOS!$A$6:$D$7645,4,0),IF(A436="INSUMO",VLOOKUP(B436,INSUMOS!$A$6:$D$6961,4,0),IF(A436="COTAÇÃO",VLOOKUP(B436,'036-20-Cotação'!$A$9:$G$529,3,0))))</f>
        <v>15.637499999999999</v>
      </c>
      <c r="H436" s="463">
        <f t="shared" ref="H436" si="87">G436*F436</f>
        <v>2.512048192771084</v>
      </c>
      <c r="J436" s="201"/>
    </row>
    <row r="437" spans="1:17" s="87" customFormat="1" ht="25.5">
      <c r="A437" s="232" t="s">
        <v>4544</v>
      </c>
      <c r="B437" s="464" t="s">
        <v>7977</v>
      </c>
      <c r="C437" s="451" t="str">
        <f>IF(A437="SERVIÇO",VLOOKUP(B437,SERVIÇOS!$A$6:$D$7645,2,0),IF(A437="INSUMO",VLOOKUP(B437,INSUMOS!$A$6:$D$6961,2,0),IF(A437="COTAÇÃO",VLOOKUP(B437,'036-20-Cotação'!$A$9:$G$529,2,0))))</f>
        <v>ADITIVO PLASTIFICANTE E RETARDADOR TIPO PLASTIMENT OU SIMILAR</v>
      </c>
      <c r="D437" s="452" t="str">
        <f>IF(A437="SERVIÇO",VLOOKUP(B437,SERVIÇOS!$A$6:$E$7645,5,0),IF(A437="INSUMO",VLOOKUP(B437,INSUMOS!$A$6:$E$6961,5,0),IF(A437="COTAÇÃO",VLOOKUP(B437,'036-20-Cotação'!$A$9:$H$529,8,0))))</f>
        <v>MAT.</v>
      </c>
      <c r="E437" s="452" t="str">
        <f>IF(A437="SERVIÇO",VLOOKUP(B437,SERVIÇOS!$A$6:$D$7645,3,0),IF(A437="INSUMO",VLOOKUP(B437,INSUMOS!$A$6:$D$6961,3,0),IF(A437="COTAÇÃO",VLOOKUP(B437,'036-20-Cotação'!$A$9:$G$529,4,0))))</f>
        <v>KG</v>
      </c>
      <c r="F437" s="462">
        <v>0.874</v>
      </c>
      <c r="G437" s="453">
        <f>IF(A437="SERVIÇO",VLOOKUP(B437,SERVIÇOS!$A$6:$D$7645,4,0),IF(A437="INSUMO",VLOOKUP(B437,INSUMOS!$A$6:$D$6961,4,0),IF(A437="COTAÇÃO",VLOOKUP(B437,'036-20-Cotação'!$A$9:$G$529,3,0))))</f>
        <v>5.0128000000000004</v>
      </c>
      <c r="H437" s="463">
        <f t="shared" si="84"/>
        <v>4.3811872000000003</v>
      </c>
      <c r="J437" s="201"/>
    </row>
    <row r="438" spans="1:17" s="87" customFormat="1" ht="12.75">
      <c r="A438" s="232" t="s">
        <v>4544</v>
      </c>
      <c r="B438" s="464" t="s">
        <v>7978</v>
      </c>
      <c r="C438" s="451" t="str">
        <f>IF(A438="SERVIÇO",VLOOKUP(B438,SERVIÇOS!$A$6:$D$7645,2,0),IF(A438="INSUMO",VLOOKUP(B438,INSUMOS!$A$6:$D$6961,2,0),IF(A438="COTAÇÃO",VLOOKUP(B438,'036-20-Cotação'!$A$9:$G$529,2,0))))</f>
        <v>AREIA MÉDIA LAVADA</v>
      </c>
      <c r="D438" s="452" t="str">
        <f>IF(A438="SERVIÇO",VLOOKUP(B438,SERVIÇOS!$A$6:$E$7645,5,0),IF(A438="INSUMO",VLOOKUP(B438,INSUMOS!$A$6:$E$6961,5,0),IF(A438="COTAÇÃO",VLOOKUP(B438,'036-20-Cotação'!$A$9:$H$529,8,0))))</f>
        <v>MAT.</v>
      </c>
      <c r="E438" s="452" t="str">
        <f>IF(A438="SERVIÇO",VLOOKUP(B438,SERVIÇOS!$A$6:$D$7645,3,0),IF(A438="INSUMO",VLOOKUP(B438,INSUMOS!$A$6:$D$6961,3,0),IF(A438="COTAÇÃO",VLOOKUP(B438,'036-20-Cotação'!$A$9:$G$529,4,0))))</f>
        <v>M³</v>
      </c>
      <c r="F438" s="462">
        <v>0.62873000000000001</v>
      </c>
      <c r="G438" s="453">
        <f>IF(A438="SERVIÇO",VLOOKUP(B438,SERVIÇOS!$A$6:$D$7645,4,0),IF(A438="INSUMO",VLOOKUP(B438,INSUMOS!$A$6:$D$6961,4,0),IF(A438="COTAÇÃO",VLOOKUP(B438,'036-20-Cotação'!$A$9:$G$529,3,0))))</f>
        <v>130.20490000000001</v>
      </c>
      <c r="H438" s="463">
        <f t="shared" si="84"/>
        <v>81.863726777000011</v>
      </c>
      <c r="J438" s="201"/>
    </row>
    <row r="439" spans="1:17" s="87" customFormat="1" ht="12.75">
      <c r="A439" s="232" t="s">
        <v>4544</v>
      </c>
      <c r="B439" s="464" t="s">
        <v>7979</v>
      </c>
      <c r="C439" s="451" t="str">
        <f>IF(A439="SERVIÇO",VLOOKUP(B439,SERVIÇOS!$A$6:$D$7645,2,0),IF(A439="INSUMO",VLOOKUP(B439,INSUMOS!$A$6:$D$6961,2,0),IF(A439="COTAÇÃO",VLOOKUP(B439,'036-20-Cotação'!$A$9:$G$529,2,0))))</f>
        <v>BRITA 1</v>
      </c>
      <c r="D439" s="452" t="str">
        <f>IF(A439="SERVIÇO",VLOOKUP(B439,SERVIÇOS!$A$6:$E$7645,5,0),IF(A439="INSUMO",VLOOKUP(B439,INSUMOS!$A$6:$E$6961,5,0),IF(A439="COTAÇÃO",VLOOKUP(B439,'036-20-Cotação'!$A$9:$H$529,8,0))))</f>
        <v>MAT.</v>
      </c>
      <c r="E439" s="452" t="str">
        <f>IF(A439="SERVIÇO",VLOOKUP(B439,SERVIÇOS!$A$6:$D$7645,3,0),IF(A439="INSUMO",VLOOKUP(B439,INSUMOS!$A$6:$D$6961,3,0),IF(A439="COTAÇÃO",VLOOKUP(B439,'036-20-Cotação'!$A$9:$G$529,4,0))))</f>
        <v>M³</v>
      </c>
      <c r="F439" s="462">
        <v>0.36753999999999998</v>
      </c>
      <c r="G439" s="453">
        <f>IF(A439="SERVIÇO",VLOOKUP(B439,SERVIÇOS!$A$6:$D$7645,4,0),IF(A439="INSUMO",VLOOKUP(B439,INSUMOS!$A$6:$D$6961,4,0),IF(A439="COTAÇÃO",VLOOKUP(B439,'036-20-Cotação'!$A$9:$G$529,3,0))))</f>
        <v>90.977500000000006</v>
      </c>
      <c r="H439" s="463">
        <f t="shared" ref="H439:H440" si="88">G439*F439</f>
        <v>33.437870349999997</v>
      </c>
      <c r="J439" s="201"/>
    </row>
    <row r="440" spans="1:17" s="87" customFormat="1" ht="12.75">
      <c r="A440" s="232" t="s">
        <v>4544</v>
      </c>
      <c r="B440" s="464" t="s">
        <v>10352</v>
      </c>
      <c r="C440" s="451" t="str">
        <f>IF(A440="SERVIÇO",VLOOKUP(B440,SERVIÇOS!$A$6:$D$7645,2,0),IF(A440="INSUMO",VLOOKUP(B440,INSUMOS!$A$6:$D$6961,2,0),IF(A440="COTAÇÃO",VLOOKUP(B440,'036-20-Cotação'!$A$9:$G$529,2,0))))</f>
        <v>BRITA 2</v>
      </c>
      <c r="D440" s="452" t="str">
        <f>IF(A440="SERVIÇO",VLOOKUP(B440,SERVIÇOS!$A$6:$E$7645,5,0),IF(A440="INSUMO",VLOOKUP(B440,INSUMOS!$A$6:$E$6961,5,0),IF(A440="COTAÇÃO",VLOOKUP(B440,'036-20-Cotação'!$A$9:$H$529,8,0))))</f>
        <v>MAT.</v>
      </c>
      <c r="E440" s="452" t="str">
        <f>IF(A440="SERVIÇO",VLOOKUP(B440,SERVIÇOS!$A$6:$D$7645,3,0),IF(A440="INSUMO",VLOOKUP(B440,INSUMOS!$A$6:$D$6961,3,0),IF(A440="COTAÇÃO",VLOOKUP(B440,'036-20-Cotação'!$A$9:$G$529,4,0))))</f>
        <v>M³</v>
      </c>
      <c r="F440" s="462">
        <v>0.36753999999999998</v>
      </c>
      <c r="G440" s="453">
        <f>IF(A440="SERVIÇO",VLOOKUP(B440,SERVIÇOS!$A$6:$D$7645,4,0),IF(A440="INSUMO",VLOOKUP(B440,INSUMOS!$A$6:$D$6961,4,0),IF(A440="COTAÇÃO",VLOOKUP(B440,'036-20-Cotação'!$A$9:$G$529,3,0))))</f>
        <v>87.512100000000004</v>
      </c>
      <c r="H440" s="463">
        <f t="shared" si="88"/>
        <v>32.164197234</v>
      </c>
      <c r="J440" s="201"/>
    </row>
    <row r="441" spans="1:17" s="87" customFormat="1" ht="12.75">
      <c r="A441" s="232" t="s">
        <v>4544</v>
      </c>
      <c r="B441" s="464" t="s">
        <v>7350</v>
      </c>
      <c r="C441" s="451" t="str">
        <f>IF(A441="SERVIÇO",VLOOKUP(B441,SERVIÇOS!$A$6:$D$7645,2,0),IF(A441="INSUMO",VLOOKUP(B441,INSUMOS!$A$6:$D$6961,2,0),IF(A441="COTAÇÃO",VLOOKUP(B441,'036-20-Cotação'!$A$9:$G$529,2,0))))</f>
        <v>CIMENTO PORTLAND CP II - 32</v>
      </c>
      <c r="D441" s="452" t="str">
        <f>IF(A441="SERVIÇO",VLOOKUP(B441,SERVIÇOS!$A$6:$E$7645,5,0),IF(A441="INSUMO",VLOOKUP(B441,INSUMOS!$A$6:$E$6961,5,0),IF(A441="COTAÇÃO",VLOOKUP(B441,'036-20-Cotação'!$A$9:$H$529,8,0))))</f>
        <v>MAT.</v>
      </c>
      <c r="E441" s="452" t="str">
        <f>IF(A441="SERVIÇO",VLOOKUP(B441,SERVIÇOS!$A$6:$D$7645,3,0),IF(A441="INSUMO",VLOOKUP(B441,INSUMOS!$A$6:$D$6961,3,0),IF(A441="COTAÇÃO",VLOOKUP(B441,'036-20-Cotação'!$A$9:$G$529,4,0))))</f>
        <v>KG</v>
      </c>
      <c r="F441" s="462">
        <v>291.33487000000002</v>
      </c>
      <c r="G441" s="453">
        <f>IF(A441="SERVIÇO",VLOOKUP(B441,SERVIÇOS!$A$6:$D$7645,4,0),IF(A441="INSUMO",VLOOKUP(B441,INSUMOS!$A$6:$D$6961,4,0),IF(A441="COTAÇÃO",VLOOKUP(B441,'036-20-Cotação'!$A$9:$G$529,3,0))))</f>
        <v>0.44140000000000001</v>
      </c>
      <c r="H441" s="463">
        <f t="shared" si="84"/>
        <v>128.59521161800001</v>
      </c>
      <c r="J441" s="201"/>
    </row>
    <row r="442" spans="1:17" s="87" customFormat="1" ht="25.5">
      <c r="A442" s="232" t="s">
        <v>4542</v>
      </c>
      <c r="B442" s="531" t="str">
        <f>$B$298</f>
        <v>5914647-TF</v>
      </c>
      <c r="C442" s="451" t="str">
        <f>$C$298</f>
        <v>TEMPO FIXO - CAMINHÃO BASCULANTE 10 M3 - CARGA MONOBRA E DESCARGA</v>
      </c>
      <c r="D442" s="452" t="str">
        <f>$D$298</f>
        <v>SER.CG</v>
      </c>
      <c r="E442" s="452" t="str">
        <f>$E$298</f>
        <v>T</v>
      </c>
      <c r="F442" s="462">
        <f>0.9431+0.55131+0.55131</f>
        <v>2.0457200000000002</v>
      </c>
      <c r="G442" s="453">
        <f>$H$298</f>
        <v>0.93386493946512461</v>
      </c>
      <c r="H442" s="463">
        <f t="shared" si="84"/>
        <v>1.9104261839625949</v>
      </c>
      <c r="J442" s="201"/>
    </row>
    <row r="443" spans="1:17" s="87" customFormat="1" ht="25.5">
      <c r="A443" s="232" t="s">
        <v>4542</v>
      </c>
      <c r="B443" s="531" t="str">
        <f>$B$281</f>
        <v>5914655-TF</v>
      </c>
      <c r="C443" s="451" t="str">
        <f>$C$281</f>
        <v>TEMPO FIXO - CAMINHÃO CARROCERIA 15 T - CARGA E DESCARGA MANUAIS</v>
      </c>
      <c r="D443" s="452" t="str">
        <f>$D$281</f>
        <v>SER.CG</v>
      </c>
      <c r="E443" s="452" t="str">
        <f>$E$281</f>
        <v>T</v>
      </c>
      <c r="F443" s="462">
        <f>0.00087+0.29133</f>
        <v>0.29219999999999996</v>
      </c>
      <c r="G443" s="453">
        <f>$H$281</f>
        <v>20.925562080536913</v>
      </c>
      <c r="H443" s="463">
        <f t="shared" si="84"/>
        <v>6.1144492399328856</v>
      </c>
      <c r="J443" s="201"/>
    </row>
    <row r="444" spans="1:17" s="87" customFormat="1" ht="12.75">
      <c r="A444" s="188"/>
      <c r="B444" s="348" t="s">
        <v>123</v>
      </c>
      <c r="C444" s="695" t="s">
        <v>13317</v>
      </c>
      <c r="D444" s="696"/>
      <c r="E444" s="696"/>
      <c r="F444" s="696"/>
      <c r="G444" s="696"/>
      <c r="H444" s="697"/>
      <c r="J444" s="201"/>
      <c r="K444" s="78"/>
      <c r="L444" s="78"/>
      <c r="M444" s="78"/>
      <c r="N444" s="78"/>
      <c r="O444" s="78"/>
      <c r="P444" s="78"/>
      <c r="Q444" s="78"/>
    </row>
    <row r="445" spans="1:17" s="87" customFormat="1" ht="12.75">
      <c r="A445" s="188"/>
      <c r="B445" s="346"/>
      <c r="C445" s="484"/>
      <c r="D445" s="484"/>
      <c r="E445" s="484"/>
      <c r="F445" s="484"/>
      <c r="G445" s="484"/>
      <c r="H445" s="485"/>
      <c r="J445" s="201"/>
      <c r="K445" s="78"/>
      <c r="L445" s="78"/>
      <c r="M445" s="78"/>
      <c r="N445" s="78"/>
      <c r="O445" s="78"/>
      <c r="P445" s="78"/>
      <c r="Q445" s="78"/>
    </row>
    <row r="446" spans="1:17" s="87" customFormat="1" ht="38.25">
      <c r="A446" s="188"/>
      <c r="B446" s="80">
        <v>2003842</v>
      </c>
      <c r="C446" s="81" t="s">
        <v>13319</v>
      </c>
      <c r="D446" s="82" t="s">
        <v>201</v>
      </c>
      <c r="E446" s="82" t="s">
        <v>172</v>
      </c>
      <c r="F446" s="83"/>
      <c r="G446" s="84"/>
      <c r="H446" s="85">
        <f>SUM(H447:H449)</f>
        <v>45.872825562080536</v>
      </c>
      <c r="J446" s="201" t="s">
        <v>13148</v>
      </c>
      <c r="K446" s="78"/>
      <c r="L446" s="78"/>
      <c r="M446" s="78"/>
      <c r="N446" s="78"/>
      <c r="O446" s="78"/>
      <c r="P446" s="78"/>
      <c r="Q446" s="78"/>
    </row>
    <row r="447" spans="1:17" s="87" customFormat="1" ht="12.75">
      <c r="A447" s="232" t="s">
        <v>4542</v>
      </c>
      <c r="B447" s="464" t="s">
        <v>6602</v>
      </c>
      <c r="C447" s="451" t="str">
        <f>IF(A447="SERVIÇO",VLOOKUP(B447,SERVIÇOS!$A$6:$D$7645,2,0),IF(A447="INSUMO",VLOOKUP(B447,INSUMOS!$A$6:$D$6961,2,0),IF(A447="COTAÇÃO",VLOOKUP(B447,'036-20-Cotação'!$A$9:$G$529,2,0))))</f>
        <v>SERVENTE</v>
      </c>
      <c r="D447" s="452" t="str">
        <f>IF(A447="SERVIÇO",VLOOKUP(B447,SERVIÇOS!$A$6:$E$7645,5,0),IF(A447="INSUMO",VLOOKUP(B447,INSUMOS!$A$6:$E$6961,5,0),IF(A447="COTAÇÃO",VLOOKUP(B447,'036-20-Cotação'!$A$9:$H$529,8,0))))</f>
        <v>M.O</v>
      </c>
      <c r="E447" s="452" t="str">
        <f>IF(A447="SERVIÇO",VLOOKUP(B447,SERVIÇOS!$A$6:$D$7645,3,0),IF(A447="INSUMO",VLOOKUP(B447,INSUMOS!$A$6:$D$6961,3,0),IF(A447="COTAÇÃO",VLOOKUP(B447,'036-20-Cotação'!$A$9:$G$529,4,0))))</f>
        <v>H</v>
      </c>
      <c r="F447" s="462">
        <v>2</v>
      </c>
      <c r="G447" s="453">
        <f>IF(A447="SERVIÇO",VLOOKUP(B447,SERVIÇOS!$A$6:$D$7645,4,0),IF(A447="INSUMO",VLOOKUP(B447,INSUMOS!$A$6:$D$6961,4,0),IF(A447="COTAÇÃO",VLOOKUP(B447,'036-20-Cotação'!$A$9:$G$529,3,0))))</f>
        <v>15.637499999999999</v>
      </c>
      <c r="H447" s="463">
        <f t="shared" ref="H447:H449" si="89">G447*F447</f>
        <v>31.274999999999999</v>
      </c>
      <c r="J447" s="201"/>
    </row>
    <row r="448" spans="1:17" s="87" customFormat="1" ht="12.75">
      <c r="A448" s="232" t="s">
        <v>4544</v>
      </c>
      <c r="B448" s="464" t="s">
        <v>11607</v>
      </c>
      <c r="C448" s="451" t="str">
        <f>IF(A448="SERVIÇO",VLOOKUP(B448,SERVIÇOS!$A$6:$D$7645,2,0),IF(A448="INSUMO",VLOOKUP(B448,INSUMOS!$A$6:$D$6961,2,0),IF(A448="COTAÇÃO",VLOOKUP(B448,'036-20-Cotação'!$A$9:$G$529,2,0))))</f>
        <v>ARGAMASSA ASFÁLTICA</v>
      </c>
      <c r="D448" s="452" t="str">
        <f>IF(A448="SERVIÇO",VLOOKUP(B448,SERVIÇOS!$A$6:$E$7645,5,0),IF(A448="INSUMO",VLOOKUP(B448,INSUMOS!$A$6:$E$6961,5,0),IF(A448="COTAÇÃO",VLOOKUP(B448,'036-20-Cotação'!$A$9:$H$529,8,0))))</f>
        <v>MAT.</v>
      </c>
      <c r="E448" s="452" t="str">
        <f>IF(A448="SERVIÇO",VLOOKUP(B448,SERVIÇOS!$A$6:$D$7645,3,0),IF(A448="INSUMO",VLOOKUP(B448,INSUMOS!$A$6:$D$6961,3,0),IF(A448="COTAÇÃO",VLOOKUP(B448,'036-20-Cotação'!$A$9:$G$529,4,0))))</f>
        <v>KG</v>
      </c>
      <c r="F448" s="462">
        <v>1</v>
      </c>
      <c r="G448" s="453">
        <f>IF(A448="SERVIÇO",VLOOKUP(B448,SERVIÇOS!$A$6:$D$7645,4,0),IF(A448="INSUMO",VLOOKUP(B448,INSUMOS!$A$6:$D$6961,4,0),IF(A448="COTAÇÃO",VLOOKUP(B448,'036-20-Cotação'!$A$9:$G$529,3,0))))</f>
        <v>14.5769</v>
      </c>
      <c r="H448" s="463">
        <f t="shared" si="89"/>
        <v>14.5769</v>
      </c>
      <c r="J448" s="201"/>
    </row>
    <row r="449" spans="1:17" s="87" customFormat="1" ht="25.5">
      <c r="A449" s="232" t="s">
        <v>4542</v>
      </c>
      <c r="B449" s="531" t="str">
        <f>$B$281</f>
        <v>5914655-TF</v>
      </c>
      <c r="C449" s="451" t="str">
        <f>$C$281</f>
        <v>TEMPO FIXO - CAMINHÃO CARROCERIA 15 T - CARGA E DESCARGA MANUAIS</v>
      </c>
      <c r="D449" s="452" t="str">
        <f>$D$281</f>
        <v>SER.CG</v>
      </c>
      <c r="E449" s="452" t="str">
        <f>$E$281</f>
        <v>T</v>
      </c>
      <c r="F449" s="462">
        <v>1E-3</v>
      </c>
      <c r="G449" s="453">
        <f>$H$281</f>
        <v>20.925562080536913</v>
      </c>
      <c r="H449" s="463">
        <f t="shared" si="89"/>
        <v>2.0925562080536912E-2</v>
      </c>
      <c r="J449" s="201"/>
    </row>
    <row r="450" spans="1:17" s="87" customFormat="1" ht="12.75">
      <c r="A450" s="188"/>
      <c r="B450" s="348" t="s">
        <v>123</v>
      </c>
      <c r="C450" s="695" t="s">
        <v>13320</v>
      </c>
      <c r="D450" s="696"/>
      <c r="E450" s="696"/>
      <c r="F450" s="696"/>
      <c r="G450" s="696"/>
      <c r="H450" s="697"/>
      <c r="J450" s="201"/>
      <c r="K450" s="78"/>
      <c r="L450" s="78"/>
      <c r="M450" s="78"/>
      <c r="N450" s="78"/>
      <c r="O450" s="78"/>
      <c r="P450" s="78"/>
      <c r="Q450" s="78"/>
    </row>
    <row r="451" spans="1:17" s="87" customFormat="1" ht="12.75">
      <c r="A451" s="188"/>
      <c r="B451" s="346"/>
      <c r="C451" s="484"/>
      <c r="D451" s="484"/>
      <c r="E451" s="484"/>
      <c r="F451" s="484"/>
      <c r="G451" s="484"/>
      <c r="H451" s="485"/>
      <c r="J451" s="201"/>
      <c r="K451" s="78"/>
      <c r="L451" s="78"/>
      <c r="M451" s="78"/>
      <c r="N451" s="78"/>
      <c r="O451" s="78"/>
      <c r="P451" s="78"/>
      <c r="Q451" s="78"/>
    </row>
    <row r="452" spans="1:17" s="87" customFormat="1" ht="38.25">
      <c r="A452" s="188"/>
      <c r="B452" s="80" t="s">
        <v>13321</v>
      </c>
      <c r="C452" s="81" t="s">
        <v>13293</v>
      </c>
      <c r="D452" s="82" t="s">
        <v>201</v>
      </c>
      <c r="E452" s="82" t="s">
        <v>3495</v>
      </c>
      <c r="F452" s="83"/>
      <c r="G452" s="84"/>
      <c r="H452" s="85">
        <f>SUM(H453:H453)</f>
        <v>25.544375939849623</v>
      </c>
      <c r="J452" s="201" t="s">
        <v>13323</v>
      </c>
      <c r="K452" s="78"/>
      <c r="L452" s="78"/>
      <c r="M452" s="78"/>
      <c r="N452" s="78"/>
      <c r="O452" s="78"/>
      <c r="P452" s="78"/>
      <c r="Q452" s="78"/>
    </row>
    <row r="453" spans="1:17" s="87" customFormat="1" ht="25.5">
      <c r="A453" s="232" t="s">
        <v>4542</v>
      </c>
      <c r="B453" s="464" t="s">
        <v>9498</v>
      </c>
      <c r="C453" s="451" t="str">
        <f>IF(A453="SERVIÇO",VLOOKUP(B453,SERVIÇOS!$A$6:$D$7645,2,0),IF(A453="INSUMO",VLOOKUP(B453,INSUMOS!$A$6:$D$6961,2,0),IF(A453="COTAÇÃO",VLOOKUP(B453,'036-20-Cotação'!$A$9:$G$529,2,0))))</f>
        <v>CAMINHÃO BETONEIRA COM CAPACIDADE DE 8 M³ - 188 KW</v>
      </c>
      <c r="D453" s="452" t="str">
        <f>IF(A453="SERVIÇO",VLOOKUP(B453,SERVIÇOS!$A$6:$E$7645,5,0),IF(A453="INSUMO",VLOOKUP(B453,INSUMOS!$A$6:$E$6961,5,0),IF(A453="COTAÇÃO",VLOOKUP(B453,'036-20-Cotação'!$A$9:$H$529,8,0))))</f>
        <v>EQUIP.</v>
      </c>
      <c r="E453" s="452" t="str">
        <f>IF(A453="SERVIÇO",VLOOKUP(B453,SERVIÇOS!$A$6:$D$7645,3,0),IF(A453="INSUMO",VLOOKUP(B453,INSUMOS!$A$6:$D$6961,3,0),IF(A453="COTAÇÃO",VLOOKUP(B453,'036-20-Cotação'!$A$9:$G$529,4,0))))</f>
        <v>CHP</v>
      </c>
      <c r="F453" s="462">
        <f>1/6.65</f>
        <v>0.15037593984962405</v>
      </c>
      <c r="G453" s="453">
        <f>IF(A453="SERVIÇO",VLOOKUP(B453,SERVIÇOS!$A$6:$D$7645,4,0),IF(A453="INSUMO",VLOOKUP(B453,INSUMOS!$A$6:$D$6961,4,0),IF(A453="COTAÇÃO",VLOOKUP(B453,'036-20-Cotação'!$A$9:$G$529,3,0))))</f>
        <v>169.87010000000001</v>
      </c>
      <c r="H453" s="463">
        <f t="shared" ref="H453" si="90">G453*F453</f>
        <v>25.544375939849623</v>
      </c>
      <c r="J453" s="201"/>
    </row>
    <row r="454" spans="1:17" s="87" customFormat="1" ht="12.75">
      <c r="A454" s="188"/>
      <c r="B454" s="348" t="s">
        <v>123</v>
      </c>
      <c r="C454" s="695" t="s">
        <v>13322</v>
      </c>
      <c r="D454" s="696"/>
      <c r="E454" s="696"/>
      <c r="F454" s="696"/>
      <c r="G454" s="696"/>
      <c r="H454" s="697"/>
      <c r="J454" s="201"/>
      <c r="K454" s="78"/>
      <c r="L454" s="78"/>
      <c r="M454" s="78"/>
      <c r="N454" s="78"/>
      <c r="O454" s="78"/>
      <c r="P454" s="78"/>
      <c r="Q454" s="78"/>
    </row>
    <row r="455" spans="1:17" s="87" customFormat="1" ht="12.75">
      <c r="A455" s="188"/>
      <c r="B455" s="346"/>
      <c r="C455" s="484"/>
      <c r="D455" s="484"/>
      <c r="E455" s="484"/>
      <c r="F455" s="484"/>
      <c r="G455" s="484"/>
      <c r="H455" s="485"/>
      <c r="J455" s="201"/>
      <c r="K455" s="78"/>
      <c r="L455" s="78"/>
      <c r="M455" s="78"/>
      <c r="N455" s="78"/>
      <c r="O455" s="78"/>
      <c r="P455" s="78"/>
      <c r="Q455" s="78"/>
    </row>
    <row r="456" spans="1:17" s="87" customFormat="1" ht="25.5">
      <c r="A456" s="188"/>
      <c r="B456" s="80" t="s">
        <v>13326</v>
      </c>
      <c r="C456" s="81" t="s">
        <v>13327</v>
      </c>
      <c r="D456" s="82" t="s">
        <v>201</v>
      </c>
      <c r="E456" s="82" t="s">
        <v>3495</v>
      </c>
      <c r="F456" s="83"/>
      <c r="G456" s="84"/>
      <c r="H456" s="85">
        <f>SUM(H457:H458)</f>
        <v>9.7544484605087032</v>
      </c>
      <c r="J456" s="201" t="s">
        <v>13328</v>
      </c>
      <c r="K456" s="78"/>
      <c r="L456" s="78"/>
      <c r="M456" s="78"/>
      <c r="N456" s="78"/>
      <c r="O456" s="78"/>
      <c r="P456" s="78"/>
      <c r="Q456" s="78"/>
    </row>
    <row r="457" spans="1:17" s="87" customFormat="1" ht="25.5">
      <c r="A457" s="232" t="s">
        <v>4542</v>
      </c>
      <c r="B457" s="464" t="s">
        <v>9498</v>
      </c>
      <c r="C457" s="451" t="str">
        <f>IF(A457="SERVIÇO",VLOOKUP(B457,SERVIÇOS!$A$6:$D$7645,2,0),IF(A457="INSUMO",VLOOKUP(B457,INSUMOS!$A$6:$D$6961,2,0),IF(A457="COTAÇÃO",VLOOKUP(B457,'036-20-Cotação'!$A$9:$G$529,2,0))))</f>
        <v>CAMINHÃO BETONEIRA COM CAPACIDADE DE 8 M³ - 188 KW</v>
      </c>
      <c r="D457" s="452" t="str">
        <f>IF(A457="SERVIÇO",VLOOKUP(B457,SERVIÇOS!$A$6:$E$7645,5,0),IF(A457="INSUMO",VLOOKUP(B457,INSUMOS!$A$6:$E$6961,5,0),IF(A457="COTAÇÃO",VLOOKUP(B457,'036-20-Cotação'!$A$9:$H$529,8,0))))</f>
        <v>EQUIP.</v>
      </c>
      <c r="E457" s="452" t="str">
        <f>IF(A457="SERVIÇO",VLOOKUP(B457,SERVIÇOS!$A$6:$D$7645,3,0),IF(A457="INSUMO",VLOOKUP(B457,INSUMOS!$A$6:$D$6961,3,0),IF(A457="COTAÇÃO",VLOOKUP(B457,'036-20-Cotação'!$A$9:$G$529,4,0))))</f>
        <v>CHP</v>
      </c>
      <c r="F457" s="462">
        <f>0.8/59.76*4</f>
        <v>5.3547523427041506E-2</v>
      </c>
      <c r="G457" s="453">
        <f>IF(A457="SERVIÇO",VLOOKUP(B457,SERVIÇOS!$A$6:$D$7645,4,0),IF(A457="INSUMO",VLOOKUP(B457,INSUMOS!$A$6:$D$6961,4,0),IF(A457="COTAÇÃO",VLOOKUP(B457,'036-20-Cotação'!$A$9:$G$529,3,0))))</f>
        <v>169.87010000000001</v>
      </c>
      <c r="H457" s="463">
        <f t="shared" ref="H457" si="91">G457*F457</f>
        <v>9.0961231593038843</v>
      </c>
      <c r="J457" s="201"/>
    </row>
    <row r="458" spans="1:17" s="87" customFormat="1" ht="25.5">
      <c r="A458" s="232" t="s">
        <v>4542</v>
      </c>
      <c r="B458" s="464" t="s">
        <v>10012</v>
      </c>
      <c r="C458" s="451" t="str">
        <f>IF(A458="SERVIÇO",VLOOKUP(B458,SERVIÇOS!$A$6:$D$7645,2,0),IF(A458="INSUMO",VLOOKUP(B458,INSUMOS!$A$6:$D$6961,2,0),IF(A458="COTAÇÃO",VLOOKUP(B458,'036-20-Cotação'!$A$9:$G$529,2,0))))</f>
        <v>CAMINHÃO BETONEIRA COM CAPACIDADE DE 8 M³ - 188 KW</v>
      </c>
      <c r="D458" s="452" t="str">
        <f>IF(A458="SERVIÇO",VLOOKUP(B458,SERVIÇOS!$A$6:$E$7645,5,0),IF(A458="INSUMO",VLOOKUP(B458,INSUMOS!$A$6:$E$6961,5,0),IF(A458="COTAÇÃO",VLOOKUP(B458,'036-20-Cotação'!$A$9:$H$529,8,0))))</f>
        <v>EQUIP.</v>
      </c>
      <c r="E458" s="452" t="str">
        <f>IF(A458="SERVIÇO",VLOOKUP(B458,SERVIÇOS!$A$6:$D$7645,3,0),IF(A458="INSUMO",VLOOKUP(B458,INSUMOS!$A$6:$D$6961,3,0),IF(A458="COTAÇÃO",VLOOKUP(B458,'036-20-Cotação'!$A$9:$G$529,4,0))))</f>
        <v>CHI</v>
      </c>
      <c r="F458" s="462">
        <f>0.2/59.76*4</f>
        <v>1.3386880856760376E-2</v>
      </c>
      <c r="G458" s="453">
        <f>IF(A458="SERVIÇO",VLOOKUP(B458,SERVIÇOS!$A$6:$D$7645,4,0),IF(A458="INSUMO",VLOOKUP(B458,INSUMOS!$A$6:$D$6961,4,0),IF(A458="COTAÇÃO",VLOOKUP(B458,'036-20-Cotação'!$A$9:$G$529,3,0))))</f>
        <v>49.176900000000003</v>
      </c>
      <c r="H458" s="463">
        <f t="shared" ref="H458" si="92">G458*F458</f>
        <v>0.65832530120481936</v>
      </c>
      <c r="J458" s="201"/>
    </row>
    <row r="459" spans="1:17" s="87" customFormat="1" ht="12.75">
      <c r="A459" s="188"/>
      <c r="B459" s="348" t="s">
        <v>123</v>
      </c>
      <c r="C459" s="695" t="s">
        <v>13329</v>
      </c>
      <c r="D459" s="696"/>
      <c r="E459" s="696"/>
      <c r="F459" s="696"/>
      <c r="G459" s="696"/>
      <c r="H459" s="697"/>
      <c r="J459" s="201"/>
      <c r="K459" s="78"/>
      <c r="L459" s="78"/>
      <c r="M459" s="78"/>
      <c r="N459" s="78"/>
      <c r="O459" s="78"/>
      <c r="P459" s="78"/>
      <c r="Q459" s="78"/>
    </row>
    <row r="460" spans="1:17" s="87" customFormat="1" ht="12.75">
      <c r="A460" s="188"/>
      <c r="B460" s="346"/>
      <c r="C460" s="484"/>
      <c r="D460" s="484"/>
      <c r="E460" s="484"/>
      <c r="F460" s="484"/>
      <c r="G460" s="484"/>
      <c r="H460" s="485"/>
      <c r="J460" s="201"/>
      <c r="K460" s="78"/>
      <c r="L460" s="78"/>
      <c r="M460" s="78"/>
      <c r="N460" s="78"/>
      <c r="O460" s="78"/>
      <c r="P460" s="78"/>
      <c r="Q460" s="78"/>
    </row>
    <row r="461" spans="1:17" s="87" customFormat="1" ht="38.25">
      <c r="A461" s="188"/>
      <c r="B461" s="80">
        <v>1107871</v>
      </c>
      <c r="C461" s="81" t="s">
        <v>13330</v>
      </c>
      <c r="D461" s="82" t="s">
        <v>201</v>
      </c>
      <c r="E461" s="82" t="s">
        <v>172</v>
      </c>
      <c r="F461" s="83"/>
      <c r="G461" s="84"/>
      <c r="H461" s="85">
        <f>SUM(H462:H474)</f>
        <v>355.05096818799757</v>
      </c>
      <c r="J461" s="201" t="s">
        <v>13318</v>
      </c>
      <c r="K461" s="78"/>
      <c r="L461" s="78"/>
      <c r="M461" s="78"/>
      <c r="N461" s="78"/>
      <c r="O461" s="78"/>
      <c r="P461" s="78"/>
      <c r="Q461" s="78"/>
    </row>
    <row r="462" spans="1:17" s="87" customFormat="1" ht="25.5">
      <c r="A462" s="232" t="s">
        <v>4542</v>
      </c>
      <c r="B462" s="464" t="s">
        <v>9091</v>
      </c>
      <c r="C462" s="451" t="str">
        <f>IF(A462="SERVIÇO",VLOOKUP(B462,SERVIÇOS!$A$6:$D$7645,2,0),IF(A462="INSUMO",VLOOKUP(B462,INSUMOS!$A$6:$D$6961,2,0),IF(A462="COTAÇÃO",VLOOKUP(B462,'036-20-Cotação'!$A$9:$G$529,2,0))))</f>
        <v>CARREGADEIRA DE PNEUS COM CAPACIDADE DE 1,53 M³ - 106 KW</v>
      </c>
      <c r="D462" s="452" t="str">
        <f>IF(A462="SERVIÇO",VLOOKUP(B462,SERVIÇOS!$A$6:$E$7645,5,0),IF(A462="INSUMO",VLOOKUP(B462,INSUMOS!$A$6:$E$6961,5,0),IF(A462="COTAÇÃO",VLOOKUP(B462,'036-20-Cotação'!$A$9:$H$529,8,0))))</f>
        <v>EQUIP.</v>
      </c>
      <c r="E462" s="452" t="str">
        <f>IF(A462="SERVIÇO",VLOOKUP(B462,SERVIÇOS!$A$6:$D$7645,3,0),IF(A462="INSUMO",VLOOKUP(B462,INSUMOS!$A$6:$D$6961,3,0),IF(A462="COTAÇÃO",VLOOKUP(B462,'036-20-Cotação'!$A$9:$G$529,4,0))))</f>
        <v>CHP</v>
      </c>
      <c r="F462" s="462">
        <f>0.71/24.9</f>
        <v>2.8514056224899598E-2</v>
      </c>
      <c r="G462" s="453">
        <f>IF(A462="SERVIÇO",VLOOKUP(B462,SERVIÇOS!$A$6:$D$7645,4,0),IF(A462="INSUMO",VLOOKUP(B462,INSUMOS!$A$6:$D$6961,4,0),IF(A462="COTAÇÃO",VLOOKUP(B462,'036-20-Cotação'!$A$9:$G$529,3,0))))</f>
        <v>105.7415</v>
      </c>
      <c r="H462" s="463">
        <f t="shared" ref="H462:H474" si="93">G462*F462</f>
        <v>3.0151190763052211</v>
      </c>
      <c r="J462" s="201"/>
    </row>
    <row r="463" spans="1:17" s="87" customFormat="1" ht="25.5">
      <c r="A463" s="232" t="s">
        <v>4542</v>
      </c>
      <c r="B463" s="464" t="s">
        <v>9793</v>
      </c>
      <c r="C463" s="451" t="str">
        <f>IF(A463="SERVIÇO",VLOOKUP(B463,SERVIÇOS!$A$6:$D$7645,2,0),IF(A463="INSUMO",VLOOKUP(B463,INSUMOS!$A$6:$D$6961,2,0),IF(A463="COTAÇÃO",VLOOKUP(B463,'036-20-Cotação'!$A$9:$G$529,2,0))))</f>
        <v>CARREGADEIRA DE PNEUS COM CAPACIDADE DE 1,53 M³ - 106 KW</v>
      </c>
      <c r="D463" s="452" t="str">
        <f>IF(A463="SERVIÇO",VLOOKUP(B463,SERVIÇOS!$A$6:$E$7645,5,0),IF(A463="INSUMO",VLOOKUP(B463,INSUMOS!$A$6:$E$6961,5,0),IF(A463="COTAÇÃO",VLOOKUP(B463,'036-20-Cotação'!$A$9:$H$529,8,0))))</f>
        <v>EQUIP.</v>
      </c>
      <c r="E463" s="452" t="str">
        <f>IF(A463="SERVIÇO",VLOOKUP(B463,SERVIÇOS!$A$6:$D$7645,3,0),IF(A463="INSUMO",VLOOKUP(B463,INSUMOS!$A$6:$D$6961,3,0),IF(A463="COTAÇÃO",VLOOKUP(B463,'036-20-Cotação'!$A$9:$G$529,4,0))))</f>
        <v>CHI</v>
      </c>
      <c r="F463" s="462">
        <f>0.29/24.9</f>
        <v>1.1646586345381526E-2</v>
      </c>
      <c r="G463" s="453">
        <f>IF(A463="SERVIÇO",VLOOKUP(B463,SERVIÇOS!$A$6:$D$7645,4,0),IF(A463="INSUMO",VLOOKUP(B463,INSUMOS!$A$6:$D$6961,4,0),IF(A463="COTAÇÃO",VLOOKUP(B463,'036-20-Cotação'!$A$9:$G$529,3,0))))</f>
        <v>51.259700000000002</v>
      </c>
      <c r="H463" s="463">
        <f t="shared" si="93"/>
        <v>0.59700052208835341</v>
      </c>
      <c r="J463" s="201"/>
    </row>
    <row r="464" spans="1:17" s="87" customFormat="1" ht="25.5">
      <c r="A464" s="232" t="s">
        <v>4542</v>
      </c>
      <c r="B464" s="464" t="s">
        <v>9115</v>
      </c>
      <c r="C464" s="451" t="str">
        <f>IF(A464="SERVIÇO",VLOOKUP(B464,SERVIÇOS!$A$6:$D$7645,2,0),IF(A464="INSUMO",VLOOKUP(B464,INSUMOS!$A$6:$D$6961,2,0),IF(A464="COTAÇÃO",VLOOKUP(B464,'036-20-Cotação'!$A$9:$G$529,2,0))))</f>
        <v>CENTRAL DE CONCRETO COM CAPACIDADE DE 30 M³/H - DOSADORA RS</v>
      </c>
      <c r="D464" s="452" t="str">
        <f>IF(A464="SERVIÇO",VLOOKUP(B464,SERVIÇOS!$A$6:$E$7645,5,0),IF(A464="INSUMO",VLOOKUP(B464,INSUMOS!$A$6:$E$6961,5,0),IF(A464="COTAÇÃO",VLOOKUP(B464,'036-20-Cotação'!$A$9:$H$529,8,0))))</f>
        <v>EQUIP.</v>
      </c>
      <c r="E464" s="452" t="str">
        <f>IF(A464="SERVIÇO",VLOOKUP(B464,SERVIÇOS!$A$6:$D$7645,3,0),IF(A464="INSUMO",VLOOKUP(B464,INSUMOS!$A$6:$D$6961,3,0),IF(A464="COTAÇÃO",VLOOKUP(B464,'036-20-Cotação'!$A$9:$G$529,4,0))))</f>
        <v>CHP</v>
      </c>
      <c r="F464" s="462">
        <f>1/24.9</f>
        <v>4.0160642570281124E-2</v>
      </c>
      <c r="G464" s="453">
        <f>IF(A464="SERVIÇO",VLOOKUP(B464,SERVIÇOS!$A$6:$D$7645,4,0),IF(A464="INSUMO",VLOOKUP(B464,INSUMOS!$A$6:$D$6961,4,0),IF(A464="COTAÇÃO",VLOOKUP(B464,'036-20-Cotação'!$A$9:$G$529,3,0))))</f>
        <v>44.108499999999999</v>
      </c>
      <c r="H464" s="463">
        <f t="shared" si="93"/>
        <v>1.771425702811245</v>
      </c>
      <c r="J464" s="201"/>
    </row>
    <row r="465" spans="1:17" s="87" customFormat="1" ht="12.75">
      <c r="A465" s="232" t="s">
        <v>4542</v>
      </c>
      <c r="B465" s="464" t="s">
        <v>9327</v>
      </c>
      <c r="C465" s="451" t="str">
        <f>IF(A465="SERVIÇO",VLOOKUP(B465,SERVIÇOS!$A$6:$D$7645,2,0),IF(A465="INSUMO",VLOOKUP(B465,INSUMOS!$A$6:$D$6961,2,0),IF(A465="COTAÇÃO",VLOOKUP(B465,'036-20-Cotação'!$A$9:$G$529,2,0))))</f>
        <v>GRUPO GERADOR - 36/40 KVA</v>
      </c>
      <c r="D465" s="452" t="str">
        <f>IF(A465="SERVIÇO",VLOOKUP(B465,SERVIÇOS!$A$6:$E$7645,5,0),IF(A465="INSUMO",VLOOKUP(B465,INSUMOS!$A$6:$E$6961,5,0),IF(A465="COTAÇÃO",VLOOKUP(B465,'036-20-Cotação'!$A$9:$H$529,8,0))))</f>
        <v>EQUIP.</v>
      </c>
      <c r="E465" s="452" t="str">
        <f>IF(A465="SERVIÇO",VLOOKUP(B465,SERVIÇOS!$A$6:$D$7645,3,0),IF(A465="INSUMO",VLOOKUP(B465,INSUMOS!$A$6:$D$6961,3,0),IF(A465="COTAÇÃO",VLOOKUP(B465,'036-20-Cotação'!$A$9:$G$529,4,0))))</f>
        <v>CHP</v>
      </c>
      <c r="F465" s="462">
        <f>1/24.9</f>
        <v>4.0160642570281124E-2</v>
      </c>
      <c r="G465" s="453">
        <f>IF(A465="SERVIÇO",VLOOKUP(B465,SERVIÇOS!$A$6:$D$7645,4,0),IF(A465="INSUMO",VLOOKUP(B465,INSUMOS!$A$6:$D$6961,4,0),IF(A465="COTAÇÃO",VLOOKUP(B465,'036-20-Cotação'!$A$9:$G$529,3,0))))</f>
        <v>24.178100000000001</v>
      </c>
      <c r="H465" s="463">
        <f t="shared" si="93"/>
        <v>0.97100803212851405</v>
      </c>
      <c r="J465" s="201"/>
    </row>
    <row r="466" spans="1:17" s="87" customFormat="1" ht="25.5">
      <c r="A466" s="232" t="s">
        <v>4542</v>
      </c>
      <c r="B466" s="464" t="s">
        <v>8829</v>
      </c>
      <c r="C466" s="451" t="str">
        <f>IF(A466="SERVIÇO",VLOOKUP(B466,SERVIÇOS!$A$6:$D$7645,2,0),IF(A466="INSUMO",VLOOKUP(B466,INSUMOS!$A$6:$D$6961,2,0),IF(A466="COTAÇÃO",VLOOKUP(B466,'036-20-Cotação'!$A$9:$G$529,2,0))))</f>
        <v>TRANSPORTADOR MANUAL GERICA COM CAPACIDADE DE 180 L</v>
      </c>
      <c r="D466" s="452" t="str">
        <f>IF(A466="SERVIÇO",VLOOKUP(B466,SERVIÇOS!$A$6:$E$7645,5,0),IF(A466="INSUMO",VLOOKUP(B466,INSUMOS!$A$6:$E$6961,5,0),IF(A466="COTAÇÃO",VLOOKUP(B466,'036-20-Cotação'!$A$9:$H$529,8,0))))</f>
        <v>EQUIP.</v>
      </c>
      <c r="E466" s="452" t="str">
        <f>IF(A466="SERVIÇO",VLOOKUP(B466,SERVIÇOS!$A$6:$D$7645,3,0),IF(A466="INSUMO",VLOOKUP(B466,INSUMOS!$A$6:$D$6961,3,0),IF(A466="COTAÇÃO",VLOOKUP(B466,'036-20-Cotação'!$A$9:$G$529,4,0))))</f>
        <v>CHP</v>
      </c>
      <c r="F466" s="462">
        <f>0.79/24.9*4</f>
        <v>0.12690763052208837</v>
      </c>
      <c r="G466" s="453">
        <f>IF(A466="SERVIÇO",VLOOKUP(B466,SERVIÇOS!$A$6:$D$7645,4,0),IF(A466="INSUMO",VLOOKUP(B466,INSUMOS!$A$6:$D$6961,4,0),IF(A466="COTAÇÃO",VLOOKUP(B466,'036-20-Cotação'!$A$9:$G$529,3,0))))</f>
        <v>0.78420000000000001</v>
      </c>
      <c r="H466" s="463">
        <f t="shared" si="93"/>
        <v>9.9520963855421696E-2</v>
      </c>
      <c r="J466" s="201"/>
    </row>
    <row r="467" spans="1:17" s="87" customFormat="1" ht="25.5">
      <c r="A467" s="232" t="s">
        <v>4542</v>
      </c>
      <c r="B467" s="464" t="s">
        <v>9658</v>
      </c>
      <c r="C467" s="451" t="str">
        <f>IF(A467="SERVIÇO",VLOOKUP(B467,SERVIÇOS!$A$6:$D$7645,2,0),IF(A467="INSUMO",VLOOKUP(B467,INSUMOS!$A$6:$D$6961,2,0),IF(A467="COTAÇÃO",VLOOKUP(B467,'036-20-Cotação'!$A$9:$G$529,2,0))))</f>
        <v>TRANSPORTADOR MANUAL GERICA COM CAPACIDADE DE 180 L</v>
      </c>
      <c r="D467" s="452" t="str">
        <f>IF(A467="SERVIÇO",VLOOKUP(B467,SERVIÇOS!$A$6:$E$7645,5,0),IF(A467="INSUMO",VLOOKUP(B467,INSUMOS!$A$6:$E$6961,5,0),IF(A467="COTAÇÃO",VLOOKUP(B467,'036-20-Cotação'!$A$9:$H$529,8,0))))</f>
        <v>EQUIP.</v>
      </c>
      <c r="E467" s="452" t="str">
        <f>IF(A467="SERVIÇO",VLOOKUP(B467,SERVIÇOS!$A$6:$D$7645,3,0),IF(A467="INSUMO",VLOOKUP(B467,INSUMOS!$A$6:$D$6961,3,0),IF(A467="COTAÇÃO",VLOOKUP(B467,'036-20-Cotação'!$A$9:$G$529,4,0))))</f>
        <v>CHI</v>
      </c>
      <c r="F467" s="462">
        <f>0.21/24.9*4</f>
        <v>3.3734939759036145E-2</v>
      </c>
      <c r="G467" s="453">
        <f>IF(A467="SERVIÇO",VLOOKUP(B467,SERVIÇOS!$A$6:$D$7645,4,0),IF(A467="INSUMO",VLOOKUP(B467,INSUMOS!$A$6:$D$6961,4,0),IF(A467="COTAÇÃO",VLOOKUP(B467,'036-20-Cotação'!$A$9:$G$529,3,0))))</f>
        <v>0.52549999999999997</v>
      </c>
      <c r="H467" s="463">
        <f t="shared" si="93"/>
        <v>1.7727710843373493E-2</v>
      </c>
      <c r="J467" s="201"/>
    </row>
    <row r="468" spans="1:17" s="87" customFormat="1" ht="12.75">
      <c r="A468" s="232" t="s">
        <v>4542</v>
      </c>
      <c r="B468" s="464" t="s">
        <v>6602</v>
      </c>
      <c r="C468" s="451" t="str">
        <f>IF(A468="SERVIÇO",VLOOKUP(B468,SERVIÇOS!$A$6:$D$7645,2,0),IF(A468="INSUMO",VLOOKUP(B468,INSUMOS!$A$6:$D$6961,2,0),IF(A468="COTAÇÃO",VLOOKUP(B468,'036-20-Cotação'!$A$9:$G$529,2,0))))</f>
        <v>SERVENTE</v>
      </c>
      <c r="D468" s="452" t="str">
        <f>IF(A468="SERVIÇO",VLOOKUP(B468,SERVIÇOS!$A$6:$E$7645,5,0),IF(A468="INSUMO",VLOOKUP(B468,INSUMOS!$A$6:$E$6961,5,0),IF(A468="COTAÇÃO",VLOOKUP(B468,'036-20-Cotação'!$A$9:$H$529,8,0))))</f>
        <v>M.O</v>
      </c>
      <c r="E468" s="452" t="str">
        <f>IF(A468="SERVIÇO",VLOOKUP(B468,SERVIÇOS!$A$6:$D$7645,3,0),IF(A468="INSUMO",VLOOKUP(B468,INSUMOS!$A$6:$D$6961,3,0),IF(A468="COTAÇÃO",VLOOKUP(B468,'036-20-Cotação'!$A$9:$G$529,4,0))))</f>
        <v>H</v>
      </c>
      <c r="F468" s="462">
        <f>5/24.9</f>
        <v>0.20080321285140562</v>
      </c>
      <c r="G468" s="453">
        <f>IF(A468="SERVIÇO",VLOOKUP(B468,SERVIÇOS!$A$6:$D$7645,4,0),IF(A468="INSUMO",VLOOKUP(B468,INSUMOS!$A$6:$D$6961,4,0),IF(A468="COTAÇÃO",VLOOKUP(B468,'036-20-Cotação'!$A$9:$G$529,3,0))))</f>
        <v>15.637499999999999</v>
      </c>
      <c r="H468" s="463">
        <f t="shared" si="93"/>
        <v>3.1400602409638552</v>
      </c>
      <c r="J468" s="201"/>
    </row>
    <row r="469" spans="1:17" s="87" customFormat="1" ht="25.5">
      <c r="A469" s="232" t="s">
        <v>4544</v>
      </c>
      <c r="B469" s="464" t="s">
        <v>7977</v>
      </c>
      <c r="C469" s="451" t="str">
        <f>IF(A469="SERVIÇO",VLOOKUP(B469,SERVIÇOS!$A$6:$D$7645,2,0),IF(A469="INSUMO",VLOOKUP(B469,INSUMOS!$A$6:$D$6961,2,0),IF(A469="COTAÇÃO",VLOOKUP(B469,'036-20-Cotação'!$A$9:$G$529,2,0))))</f>
        <v>ADITIVO PLASTIFICANTE E RETARDADOR TIPO PLASTIMENT OU SIMILAR</v>
      </c>
      <c r="D469" s="452" t="str">
        <f>IF(A469="SERVIÇO",VLOOKUP(B469,SERVIÇOS!$A$6:$E$7645,5,0),IF(A469="INSUMO",VLOOKUP(B469,INSUMOS!$A$6:$E$6961,5,0),IF(A469="COTAÇÃO",VLOOKUP(B469,'036-20-Cotação'!$A$9:$H$529,8,0))))</f>
        <v>MAT.</v>
      </c>
      <c r="E469" s="452" t="str">
        <f>IF(A469="SERVIÇO",VLOOKUP(B469,SERVIÇOS!$A$6:$D$7645,3,0),IF(A469="INSUMO",VLOOKUP(B469,INSUMOS!$A$6:$D$6961,3,0),IF(A469="COTAÇÃO",VLOOKUP(B469,'036-20-Cotação'!$A$9:$G$529,4,0))))</f>
        <v>KG</v>
      </c>
      <c r="F469" s="462">
        <v>1.7033499999999999</v>
      </c>
      <c r="G469" s="453">
        <f>IF(A469="SERVIÇO",VLOOKUP(B469,SERVIÇOS!$A$6:$D$7645,4,0),IF(A469="INSUMO",VLOOKUP(B469,INSUMOS!$A$6:$D$6961,4,0),IF(A469="COTAÇÃO",VLOOKUP(B469,'036-20-Cotação'!$A$9:$G$529,3,0))))</f>
        <v>5.0128000000000004</v>
      </c>
      <c r="H469" s="463">
        <f t="shared" si="93"/>
        <v>8.538552880000001</v>
      </c>
      <c r="J469" s="201"/>
    </row>
    <row r="470" spans="1:17" s="87" customFormat="1" ht="12.75">
      <c r="A470" s="232" t="s">
        <v>4544</v>
      </c>
      <c r="B470" s="464" t="s">
        <v>7978</v>
      </c>
      <c r="C470" s="451" t="str">
        <f>IF(A470="SERVIÇO",VLOOKUP(B470,SERVIÇOS!$A$6:$D$7645,2,0),IF(A470="INSUMO",VLOOKUP(B470,INSUMOS!$A$6:$D$6961,2,0),IF(A470="COTAÇÃO",VLOOKUP(B470,'036-20-Cotação'!$A$9:$G$529,2,0))))</f>
        <v>AREIA MÉDIA LAVADA</v>
      </c>
      <c r="D470" s="452" t="str">
        <f>IF(A470="SERVIÇO",VLOOKUP(B470,SERVIÇOS!$A$6:$E$7645,5,0),IF(A470="INSUMO",VLOOKUP(B470,INSUMOS!$A$6:$E$6961,5,0),IF(A470="COTAÇÃO",VLOOKUP(B470,'036-20-Cotação'!$A$9:$H$529,8,0))))</f>
        <v>MAT.</v>
      </c>
      <c r="E470" s="452" t="str">
        <f>IF(A470="SERVIÇO",VLOOKUP(B470,SERVIÇOS!$A$6:$D$7645,3,0),IF(A470="INSUMO",VLOOKUP(B470,INSUMOS!$A$6:$D$6961,3,0),IF(A470="COTAÇÃO",VLOOKUP(B470,'036-20-Cotação'!$A$9:$G$529,4,0))))</f>
        <v>M³</v>
      </c>
      <c r="F470" s="462">
        <v>0.58067999999999997</v>
      </c>
      <c r="G470" s="453">
        <f>IF(A470="SERVIÇO",VLOOKUP(B470,SERVIÇOS!$A$6:$D$7645,4,0),IF(A470="INSUMO",VLOOKUP(B470,INSUMOS!$A$6:$D$6961,4,0),IF(A470="COTAÇÃO",VLOOKUP(B470,'036-20-Cotação'!$A$9:$G$529,3,0))))</f>
        <v>130.20490000000001</v>
      </c>
      <c r="H470" s="463">
        <f t="shared" si="93"/>
        <v>75.607381332000003</v>
      </c>
      <c r="J470" s="201"/>
    </row>
    <row r="471" spans="1:17" s="87" customFormat="1" ht="12.75">
      <c r="A471" s="232" t="s">
        <v>4544</v>
      </c>
      <c r="B471" s="464" t="s">
        <v>7979</v>
      </c>
      <c r="C471" s="451" t="str">
        <f>IF(A471="SERVIÇO",VLOOKUP(B471,SERVIÇOS!$A$6:$D$7645,2,0),IF(A471="INSUMO",VLOOKUP(B471,INSUMOS!$A$6:$D$6961,2,0),IF(A471="COTAÇÃO",VLOOKUP(B471,'036-20-Cotação'!$A$9:$G$529,2,0))))</f>
        <v>BRITA 1</v>
      </c>
      <c r="D471" s="452" t="str">
        <f>IF(A471="SERVIÇO",VLOOKUP(B471,SERVIÇOS!$A$6:$E$7645,5,0),IF(A471="INSUMO",VLOOKUP(B471,INSUMOS!$A$6:$E$6961,5,0),IF(A471="COTAÇÃO",VLOOKUP(B471,'036-20-Cotação'!$A$9:$H$529,8,0))))</f>
        <v>MAT.</v>
      </c>
      <c r="E471" s="452" t="str">
        <f>IF(A471="SERVIÇO",VLOOKUP(B471,SERVIÇOS!$A$6:$D$7645,3,0),IF(A471="INSUMO",VLOOKUP(B471,INSUMOS!$A$6:$D$6961,3,0),IF(A471="COTAÇÃO",VLOOKUP(B471,'036-20-Cotação'!$A$9:$G$529,4,0))))</f>
        <v>M³</v>
      </c>
      <c r="F471" s="462">
        <v>0.68813000000000002</v>
      </c>
      <c r="G471" s="453">
        <f>IF(A471="SERVIÇO",VLOOKUP(B471,SERVIÇOS!$A$6:$D$7645,4,0),IF(A471="INSUMO",VLOOKUP(B471,INSUMOS!$A$6:$D$6961,4,0),IF(A471="COTAÇÃO",VLOOKUP(B471,'036-20-Cotação'!$A$9:$G$529,3,0))))</f>
        <v>90.977500000000006</v>
      </c>
      <c r="H471" s="463">
        <f t="shared" si="93"/>
        <v>62.604347075000007</v>
      </c>
      <c r="J471" s="201"/>
    </row>
    <row r="472" spans="1:17" s="87" customFormat="1" ht="12.75">
      <c r="A472" s="232" t="s">
        <v>4544</v>
      </c>
      <c r="B472" s="464" t="s">
        <v>7350</v>
      </c>
      <c r="C472" s="451" t="str">
        <f>IF(A472="SERVIÇO",VLOOKUP(B472,SERVIÇOS!$A$6:$D$7645,2,0),IF(A472="INSUMO",VLOOKUP(B472,INSUMOS!$A$6:$D$6961,2,0),IF(A472="COTAÇÃO",VLOOKUP(B472,'036-20-Cotação'!$A$9:$G$529,2,0))))</f>
        <v>CIMENTO PORTLAND CP II - 32</v>
      </c>
      <c r="D472" s="452" t="str">
        <f>IF(A472="SERVIÇO",VLOOKUP(B472,SERVIÇOS!$A$6:$E$7645,5,0),IF(A472="INSUMO",VLOOKUP(B472,INSUMOS!$A$6:$E$6961,5,0),IF(A472="COTAÇÃO",VLOOKUP(B472,'036-20-Cotação'!$A$9:$H$529,8,0))))</f>
        <v>MAT.</v>
      </c>
      <c r="E472" s="452" t="str">
        <f>IF(A472="SERVIÇO",VLOOKUP(B472,SERVIÇOS!$A$6:$D$7645,3,0),IF(A472="INSUMO",VLOOKUP(B472,INSUMOS!$A$6:$D$6961,3,0),IF(A472="COTAÇÃO",VLOOKUP(B472,'036-20-Cotação'!$A$9:$G$529,4,0))))</f>
        <v>KG</v>
      </c>
      <c r="F472" s="462">
        <v>425.83814999999998</v>
      </c>
      <c r="G472" s="453">
        <f>IF(A472="SERVIÇO",VLOOKUP(B472,SERVIÇOS!$A$6:$D$7645,4,0),IF(A472="INSUMO",VLOOKUP(B472,INSUMOS!$A$6:$D$6961,4,0),IF(A472="COTAÇÃO",VLOOKUP(B472,'036-20-Cotação'!$A$9:$G$529,3,0))))</f>
        <v>0.44140000000000001</v>
      </c>
      <c r="H472" s="463">
        <f t="shared" si="93"/>
        <v>187.96495941000001</v>
      </c>
      <c r="J472" s="201"/>
    </row>
    <row r="473" spans="1:17" s="87" customFormat="1" ht="25.5">
      <c r="A473" s="232" t="s">
        <v>4542</v>
      </c>
      <c r="B473" s="531" t="str">
        <f>$B$298</f>
        <v>5914647-TF</v>
      </c>
      <c r="C473" s="451" t="str">
        <f>$C$298</f>
        <v>TEMPO FIXO - CAMINHÃO BASCULANTE 10 M3 - CARGA MONOBRA E DESCARGA</v>
      </c>
      <c r="D473" s="452" t="str">
        <f>$D$298</f>
        <v>SER.CG</v>
      </c>
      <c r="E473" s="452" t="str">
        <f>$E$298</f>
        <v>T</v>
      </c>
      <c r="F473" s="462">
        <f>0.87102+1.0322</f>
        <v>1.9032200000000001</v>
      </c>
      <c r="G473" s="453">
        <f>$H$298</f>
        <v>0.93386493946512461</v>
      </c>
      <c r="H473" s="463">
        <f t="shared" si="93"/>
        <v>1.7773504300888145</v>
      </c>
      <c r="J473" s="201"/>
    </row>
    <row r="474" spans="1:17" s="87" customFormat="1" ht="25.5">
      <c r="A474" s="232" t="s">
        <v>4542</v>
      </c>
      <c r="B474" s="531" t="str">
        <f>$B$281</f>
        <v>5914655-TF</v>
      </c>
      <c r="C474" s="451" t="str">
        <f>$C$281</f>
        <v>TEMPO FIXO - CAMINHÃO CARROCERIA 15 T - CARGA E DESCARGA MANUAIS</v>
      </c>
      <c r="D474" s="452" t="str">
        <f>$D$281</f>
        <v>SER.CG</v>
      </c>
      <c r="E474" s="452" t="str">
        <f>$E$281</f>
        <v>T</v>
      </c>
      <c r="F474" s="462">
        <f>0.0017+0.42584</f>
        <v>0.42753999999999998</v>
      </c>
      <c r="G474" s="453">
        <f>$H$281</f>
        <v>20.925562080536913</v>
      </c>
      <c r="H474" s="463">
        <f t="shared" si="93"/>
        <v>8.9465148119127509</v>
      </c>
      <c r="J474" s="201"/>
    </row>
    <row r="475" spans="1:17" s="87" customFormat="1" ht="12.75">
      <c r="A475" s="188"/>
      <c r="B475" s="348" t="s">
        <v>123</v>
      </c>
      <c r="C475" s="695" t="s">
        <v>13331</v>
      </c>
      <c r="D475" s="696"/>
      <c r="E475" s="696"/>
      <c r="F475" s="696"/>
      <c r="G475" s="696"/>
      <c r="H475" s="697"/>
      <c r="J475" s="201"/>
      <c r="K475" s="78"/>
      <c r="L475" s="78"/>
      <c r="M475" s="78"/>
      <c r="N475" s="78"/>
      <c r="O475" s="78"/>
      <c r="P475" s="78"/>
      <c r="Q475" s="78"/>
    </row>
    <row r="476" spans="1:17" s="87" customFormat="1" ht="12.75">
      <c r="A476" s="188"/>
      <c r="B476" s="346"/>
      <c r="C476" s="484"/>
      <c r="D476" s="484"/>
      <c r="E476" s="484"/>
      <c r="F476" s="484"/>
      <c r="G476" s="484"/>
      <c r="H476" s="485"/>
      <c r="J476" s="201"/>
      <c r="K476" s="78"/>
      <c r="L476" s="78"/>
      <c r="M476" s="78"/>
      <c r="N476" s="78"/>
      <c r="O476" s="78"/>
      <c r="P476" s="78"/>
      <c r="Q476" s="78"/>
    </row>
    <row r="477" spans="1:17" s="87" customFormat="1" ht="25.5">
      <c r="A477" s="188"/>
      <c r="B477" s="80">
        <v>408067</v>
      </c>
      <c r="C477" s="81" t="s">
        <v>13332</v>
      </c>
      <c r="D477" s="82" t="s">
        <v>201</v>
      </c>
      <c r="E477" s="82" t="s">
        <v>89</v>
      </c>
      <c r="F477" s="83"/>
      <c r="G477" s="84"/>
      <c r="H477" s="85">
        <f>SUM(H478:H482)</f>
        <v>6.0581460958053688</v>
      </c>
      <c r="J477" s="201" t="s">
        <v>13148</v>
      </c>
      <c r="K477" s="78"/>
      <c r="L477" s="78"/>
      <c r="M477" s="78"/>
      <c r="N477" s="78"/>
      <c r="O477" s="78"/>
      <c r="P477" s="78"/>
      <c r="Q477" s="78"/>
    </row>
    <row r="478" spans="1:17" s="87" customFormat="1" ht="12.75">
      <c r="A478" s="232" t="s">
        <v>4542</v>
      </c>
      <c r="B478" s="464" t="s">
        <v>6825</v>
      </c>
      <c r="C478" s="451" t="str">
        <f>IF(A478="SERVIÇO",VLOOKUP(B478,SERVIÇOS!$A$6:$D$7645,2,0),IF(A478="INSUMO",VLOOKUP(B478,INSUMOS!$A$6:$D$6961,2,0),IF(A478="COTAÇÃO",VLOOKUP(B478,'036-20-Cotação'!$A$9:$G$529,2,0))))</f>
        <v>AJUDANTE</v>
      </c>
      <c r="D478" s="452" t="str">
        <f>IF(A478="SERVIÇO",VLOOKUP(B478,SERVIÇOS!$A$6:$E$7645,5,0),IF(A478="INSUMO",VLOOKUP(B478,INSUMOS!$A$6:$E$6961,5,0),IF(A478="COTAÇÃO",VLOOKUP(B478,'036-20-Cotação'!$A$9:$H$529,8,0))))</f>
        <v>M.O</v>
      </c>
      <c r="E478" s="452" t="str">
        <f>IF(A478="SERVIÇO",VLOOKUP(B478,SERVIÇOS!$A$6:$D$7645,3,0),IF(A478="INSUMO",VLOOKUP(B478,INSUMOS!$A$6:$D$6961,3,0),IF(A478="COTAÇÃO",VLOOKUP(B478,'036-20-Cotação'!$A$9:$G$529,4,0))))</f>
        <v>H</v>
      </c>
      <c r="F478" s="462">
        <f>0.04</f>
        <v>0.04</v>
      </c>
      <c r="G478" s="453">
        <f>IF(A478="SERVIÇO",VLOOKUP(B478,SERVIÇOS!$A$6:$D$7645,4,0),IF(A478="INSUMO",VLOOKUP(B478,INSUMOS!$A$6:$D$6961,4,0),IF(A478="COTAÇÃO",VLOOKUP(B478,'036-20-Cotação'!$A$9:$G$529,3,0))))</f>
        <v>17.9801</v>
      </c>
      <c r="H478" s="463">
        <f t="shared" ref="H478:H482" si="94">G478*F478</f>
        <v>0.71920400000000007</v>
      </c>
      <c r="J478" s="201"/>
    </row>
    <row r="479" spans="1:17" s="87" customFormat="1" ht="12.75">
      <c r="A479" s="232" t="s">
        <v>4542</v>
      </c>
      <c r="B479" s="464" t="s">
        <v>7390</v>
      </c>
      <c r="C479" s="451" t="str">
        <f>IF(A479="SERVIÇO",VLOOKUP(B479,SERVIÇOS!$A$6:$D$7645,2,0),IF(A479="INSUMO",VLOOKUP(B479,INSUMOS!$A$6:$D$6961,2,0),IF(A479="COTAÇÃO",VLOOKUP(B479,'036-20-Cotação'!$A$9:$G$529,2,0))))</f>
        <v>ARMADOR</v>
      </c>
      <c r="D479" s="452" t="str">
        <f>IF(A479="SERVIÇO",VLOOKUP(B479,SERVIÇOS!$A$6:$E$7645,5,0),IF(A479="INSUMO",VLOOKUP(B479,INSUMOS!$A$6:$E$6961,5,0),IF(A479="COTAÇÃO",VLOOKUP(B479,'036-20-Cotação'!$A$9:$H$529,8,0))))</f>
        <v>M.O</v>
      </c>
      <c r="E479" s="452" t="str">
        <f>IF(A479="SERVIÇO",VLOOKUP(B479,SERVIÇOS!$A$6:$D$7645,3,0),IF(A479="INSUMO",VLOOKUP(B479,INSUMOS!$A$6:$D$6961,3,0),IF(A479="COTAÇÃO",VLOOKUP(B479,'036-20-Cotação'!$A$9:$G$529,4,0))))</f>
        <v>H</v>
      </c>
      <c r="F479" s="462">
        <v>0.02</v>
      </c>
      <c r="G479" s="453">
        <f>IF(A479="SERVIÇO",VLOOKUP(B479,SERVIÇOS!$A$6:$D$7645,4,0),IF(A479="INSUMO",VLOOKUP(B479,INSUMOS!$A$6:$D$6961,4,0),IF(A479="COTAÇÃO",VLOOKUP(B479,'036-20-Cotação'!$A$9:$G$529,3,0))))</f>
        <v>21.6645</v>
      </c>
      <c r="H479" s="463">
        <f t="shared" si="94"/>
        <v>0.43329000000000001</v>
      </c>
      <c r="J479" s="201"/>
    </row>
    <row r="480" spans="1:17" s="87" customFormat="1" ht="12.75">
      <c r="A480" s="232" t="s">
        <v>4544</v>
      </c>
      <c r="B480" s="464" t="s">
        <v>10182</v>
      </c>
      <c r="C480" s="451" t="str">
        <f>IF(A480="SERVIÇO",VLOOKUP(B480,SERVIÇOS!$A$6:$D$7645,2,0),IF(A480="INSUMO",VLOOKUP(B480,INSUMOS!$A$6:$D$6961,2,0),IF(A480="COTAÇÃO",VLOOKUP(B480,'036-20-Cotação'!$A$9:$G$529,2,0))))</f>
        <v>ARAME RECOZIDO 18 BWG</v>
      </c>
      <c r="D480" s="452" t="str">
        <f>IF(A480="SERVIÇO",VLOOKUP(B480,SERVIÇOS!$A$6:$E$7645,5,0),IF(A480="INSUMO",VLOOKUP(B480,INSUMOS!$A$6:$E$6961,5,0),IF(A480="COTAÇÃO",VLOOKUP(B480,'036-20-Cotação'!$A$9:$H$529,8,0))))</f>
        <v>MAT.</v>
      </c>
      <c r="E480" s="452" t="str">
        <f>IF(A480="SERVIÇO",VLOOKUP(B480,SERVIÇOS!$A$6:$D$7645,3,0),IF(A480="INSUMO",VLOOKUP(B480,INSUMOS!$A$6:$D$6961,3,0),IF(A480="COTAÇÃO",VLOOKUP(B480,'036-20-Cotação'!$A$9:$G$529,4,0))))</f>
        <v>KG</v>
      </c>
      <c r="F480" s="462">
        <v>5.0000000000000001E-3</v>
      </c>
      <c r="G480" s="453">
        <f>IF(A480="SERVIÇO",VLOOKUP(B480,SERVIÇOS!$A$6:$D$7645,4,0),IF(A480="INSUMO",VLOOKUP(B480,INSUMOS!$A$6:$D$6961,4,0),IF(A480="COTAÇÃO",VLOOKUP(B480,'036-20-Cotação'!$A$9:$G$529,3,0))))</f>
        <v>3.8062</v>
      </c>
      <c r="H480" s="463">
        <f t="shared" si="94"/>
        <v>1.9030999999999999E-2</v>
      </c>
      <c r="J480" s="201"/>
    </row>
    <row r="481" spans="1:17" s="87" customFormat="1" ht="12.75">
      <c r="A481" s="232" t="s">
        <v>4544</v>
      </c>
      <c r="B481" s="464" t="s">
        <v>10762</v>
      </c>
      <c r="C481" s="451" t="str">
        <f>IF(A481="SERVIÇO",VLOOKUP(B481,SERVIÇOS!$A$6:$D$7645,2,0),IF(A481="INSUMO",VLOOKUP(B481,INSUMOS!$A$6:$D$6961,2,0),IF(A481="COTAÇÃO",VLOOKUP(B481,'036-20-Cotação'!$A$9:$G$529,2,0))))</f>
        <v>TELA DE AÇO ELETROSOLDADA</v>
      </c>
      <c r="D481" s="452" t="str">
        <f>IF(A481="SERVIÇO",VLOOKUP(B481,SERVIÇOS!$A$6:$E$7645,5,0),IF(A481="INSUMO",VLOOKUP(B481,INSUMOS!$A$6:$E$6961,5,0),IF(A481="COTAÇÃO",VLOOKUP(B481,'036-20-Cotação'!$A$9:$H$529,8,0))))</f>
        <v>MAT.</v>
      </c>
      <c r="E481" s="452" t="str">
        <f>IF(A481="SERVIÇO",VLOOKUP(B481,SERVIÇOS!$A$6:$D$7645,3,0),IF(A481="INSUMO",VLOOKUP(B481,INSUMOS!$A$6:$D$6961,3,0),IF(A481="COTAÇÃO",VLOOKUP(B481,'036-20-Cotação'!$A$9:$G$529,4,0))))</f>
        <v>KG</v>
      </c>
      <c r="F481" s="462">
        <v>1.05</v>
      </c>
      <c r="G481" s="453">
        <f>IF(A481="SERVIÇO",VLOOKUP(B481,SERVIÇOS!$A$6:$D$7645,4,0),IF(A481="INSUMO",VLOOKUP(B481,INSUMOS!$A$6:$D$6961,4,0),IF(A481="COTAÇÃO",VLOOKUP(B481,'036-20-Cotação'!$A$9:$G$529,3,0))))</f>
        <v>4.6327999999999996</v>
      </c>
      <c r="H481" s="463">
        <f t="shared" si="94"/>
        <v>4.8644400000000001</v>
      </c>
      <c r="J481" s="201"/>
    </row>
    <row r="482" spans="1:17" s="87" customFormat="1" ht="25.5">
      <c r="A482" s="232" t="s">
        <v>4542</v>
      </c>
      <c r="B482" s="531" t="str">
        <f>$B$281</f>
        <v>5914655-TF</v>
      </c>
      <c r="C482" s="451" t="str">
        <f>$C$281</f>
        <v>TEMPO FIXO - CAMINHÃO CARROCERIA 15 T - CARGA E DESCARGA MANUAIS</v>
      </c>
      <c r="D482" s="452" t="str">
        <f>$D$281</f>
        <v>SER.CG</v>
      </c>
      <c r="E482" s="452" t="str">
        <f>$E$281</f>
        <v>T</v>
      </c>
      <c r="F482" s="462">
        <v>1.06E-3</v>
      </c>
      <c r="G482" s="453">
        <f>$H$281</f>
        <v>20.925562080536913</v>
      </c>
      <c r="H482" s="463">
        <f t="shared" si="94"/>
        <v>2.2181095805369127E-2</v>
      </c>
      <c r="J482" s="201"/>
    </row>
    <row r="483" spans="1:17" s="87" customFormat="1" ht="12.75">
      <c r="A483" s="188"/>
      <c r="B483" s="348" t="s">
        <v>123</v>
      </c>
      <c r="C483" s="695" t="s">
        <v>13331</v>
      </c>
      <c r="D483" s="696"/>
      <c r="E483" s="696"/>
      <c r="F483" s="696"/>
      <c r="G483" s="696"/>
      <c r="H483" s="697"/>
      <c r="J483" s="201"/>
      <c r="K483" s="78"/>
      <c r="L483" s="78"/>
      <c r="M483" s="78"/>
      <c r="N483" s="78"/>
      <c r="O483" s="78"/>
      <c r="P483" s="78"/>
      <c r="Q483" s="78"/>
    </row>
    <row r="484" spans="1:17" s="87" customFormat="1" ht="12.75">
      <c r="A484" s="188"/>
      <c r="B484" s="346"/>
      <c r="C484" s="486"/>
      <c r="D484" s="486"/>
      <c r="E484" s="486"/>
      <c r="F484" s="486"/>
      <c r="G484" s="486"/>
      <c r="H484" s="487"/>
      <c r="J484" s="201"/>
      <c r="K484" s="78"/>
      <c r="L484" s="78"/>
      <c r="M484" s="78"/>
      <c r="N484" s="78"/>
      <c r="O484" s="78"/>
      <c r="P484" s="78"/>
      <c r="Q484" s="78"/>
    </row>
    <row r="485" spans="1:17" s="87" customFormat="1" ht="51">
      <c r="A485" s="188"/>
      <c r="B485" s="80" t="s">
        <v>13336</v>
      </c>
      <c r="C485" s="81" t="s">
        <v>13337</v>
      </c>
      <c r="D485" s="82" t="s">
        <v>201</v>
      </c>
      <c r="E485" s="82" t="s">
        <v>3495</v>
      </c>
      <c r="F485" s="83"/>
      <c r="G485" s="84"/>
      <c r="H485" s="85">
        <f>SUM(H486:H487)</f>
        <v>1.3467229063373296</v>
      </c>
      <c r="J485" s="201" t="s">
        <v>13228</v>
      </c>
      <c r="K485" s="78"/>
      <c r="L485" s="78"/>
      <c r="M485" s="78"/>
      <c r="N485" s="78"/>
      <c r="O485" s="78"/>
      <c r="P485" s="78"/>
      <c r="Q485" s="78"/>
    </row>
    <row r="486" spans="1:17" s="87" customFormat="1" ht="25.5">
      <c r="A486" s="232" t="s">
        <v>4542</v>
      </c>
      <c r="B486" s="464" t="s">
        <v>9488</v>
      </c>
      <c r="C486" s="451" t="str">
        <f>IF(A486="SERVIÇO",VLOOKUP(B486,SERVIÇOS!$A$6:$D$7645,2,0),IF(A486="INSUMO",VLOOKUP(B486,INSUMOS!$A$6:$D$6961,2,0),IF(A486="COTAÇÃO",VLOOKUP(B486,'036-20-Cotação'!$A$9:$G$529,2,0))))</f>
        <v>CAMINHÃO BASCULANTE COM CAPACIDADE DE 10 M³ - 188 KW</v>
      </c>
      <c r="D486" s="452" t="str">
        <f>IF(A486="SERVIÇO",VLOOKUP(B486,SERVIÇOS!$A$6:$E$7645,5,0),IF(A486="INSUMO",VLOOKUP(B486,INSUMOS!$A$6:$E$6961,5,0),IF(A486="COTAÇÃO",VLOOKUP(B486,'036-20-Cotação'!$A$9:$H$529,8,0))))</f>
        <v>EQUIP.</v>
      </c>
      <c r="E486" s="452" t="str">
        <f>IF(A486="SERVIÇO",VLOOKUP(B486,SERVIÇOS!$A$6:$D$7645,3,0),IF(A486="INSUMO",VLOOKUP(B486,INSUMOS!$A$6:$D$6961,3,0),IF(A486="COTAÇÃO",VLOOKUP(B486,'036-20-Cotação'!$A$9:$G$529,4,0))))</f>
        <v>CHP</v>
      </c>
      <c r="F486" s="462">
        <f>0.92/443.72*4</f>
        <v>8.2935184350491301E-3</v>
      </c>
      <c r="G486" s="453">
        <f>IF(A486="SERVIÇO",VLOOKUP(B486,SERVIÇOS!$A$6:$D$7645,4,0),IF(A486="INSUMO",VLOOKUP(B486,INSUMOS!$A$6:$D$6961,4,0),IF(A486="COTAÇÃO",VLOOKUP(B486,'036-20-Cotação'!$A$9:$G$529,3,0))))</f>
        <v>158.65469999999999</v>
      </c>
      <c r="H486" s="463">
        <f t="shared" ref="H486:H487" si="95">G486*F486</f>
        <v>1.3158056792571891</v>
      </c>
      <c r="J486" s="201"/>
    </row>
    <row r="487" spans="1:17" s="87" customFormat="1" ht="25.5">
      <c r="A487" s="232" t="s">
        <v>4542</v>
      </c>
      <c r="B487" s="464" t="s">
        <v>10007</v>
      </c>
      <c r="C487" s="451" t="str">
        <f>IF(A487="SERVIÇO",VLOOKUP(B487,SERVIÇOS!$A$6:$D$7645,2,0),IF(A487="INSUMO",VLOOKUP(B487,INSUMOS!$A$6:$D$6961,2,0),IF(A487="COTAÇÃO",VLOOKUP(B487,'036-20-Cotação'!$A$9:$G$529,2,0))))</f>
        <v>CAMINHÃO BASCULANTE COM CAPACIDADE DE 10 M³ - 188 KW</v>
      </c>
      <c r="D487" s="452" t="str">
        <f>IF(A487="SERVIÇO",VLOOKUP(B487,SERVIÇOS!$A$6:$E$7645,5,0),IF(A487="INSUMO",VLOOKUP(B487,INSUMOS!$A$6:$E$6961,5,0),IF(A487="COTAÇÃO",VLOOKUP(B487,'036-20-Cotação'!$A$9:$H$529,8,0))))</f>
        <v>EQUIP.</v>
      </c>
      <c r="E487" s="452" t="str">
        <f>IF(A487="SERVIÇO",VLOOKUP(B487,SERVIÇOS!$A$6:$D$7645,3,0),IF(A487="INSUMO",VLOOKUP(B487,INSUMOS!$A$6:$D$6961,3,0),IF(A487="COTAÇÃO",VLOOKUP(B487,'036-20-Cotação'!$A$9:$G$529,4,0))))</f>
        <v>CHI</v>
      </c>
      <c r="F487" s="462">
        <f>0.08/443.72*4</f>
        <v>7.2117551609122868E-4</v>
      </c>
      <c r="G487" s="453">
        <f>IF(A487="SERVIÇO",VLOOKUP(B487,SERVIÇOS!$A$6:$D$7645,4,0),IF(A487="INSUMO",VLOOKUP(B487,INSUMOS!$A$6:$D$6961,4,0),IF(A487="COTAÇÃO",VLOOKUP(B487,'036-20-Cotação'!$A$9:$G$529,3,0))))</f>
        <v>42.870600000000003</v>
      </c>
      <c r="H487" s="463">
        <f t="shared" si="95"/>
        <v>3.0917227080140629E-2</v>
      </c>
      <c r="J487" s="201"/>
    </row>
    <row r="488" spans="1:17" s="87" customFormat="1" ht="12.75">
      <c r="A488" s="188"/>
      <c r="B488" s="348" t="s">
        <v>123</v>
      </c>
      <c r="C488" s="695" t="s">
        <v>13338</v>
      </c>
      <c r="D488" s="696"/>
      <c r="E488" s="696"/>
      <c r="F488" s="696"/>
      <c r="G488" s="696"/>
      <c r="H488" s="697"/>
      <c r="J488" s="201"/>
      <c r="K488" s="78"/>
      <c r="L488" s="78"/>
      <c r="M488" s="78"/>
      <c r="N488" s="78"/>
      <c r="O488" s="78"/>
      <c r="P488" s="78"/>
      <c r="Q488" s="78"/>
    </row>
    <row r="489" spans="1:17" s="87" customFormat="1" ht="12.75">
      <c r="A489" s="188"/>
      <c r="B489" s="346"/>
      <c r="C489" s="486"/>
      <c r="D489" s="486"/>
      <c r="E489" s="486"/>
      <c r="F489" s="486"/>
      <c r="G489" s="486"/>
      <c r="H489" s="487"/>
      <c r="J489" s="201"/>
      <c r="K489" s="78"/>
      <c r="L489" s="78"/>
      <c r="M489" s="78"/>
      <c r="N489" s="78"/>
      <c r="O489" s="78"/>
      <c r="P489" s="78"/>
      <c r="Q489" s="78"/>
    </row>
    <row r="490" spans="1:17" s="87" customFormat="1" ht="51">
      <c r="A490" s="188"/>
      <c r="B490" s="80">
        <v>1106165</v>
      </c>
      <c r="C490" s="81" t="s">
        <v>13351</v>
      </c>
      <c r="D490" s="82" t="s">
        <v>201</v>
      </c>
      <c r="E490" s="82" t="s">
        <v>172</v>
      </c>
      <c r="F490" s="83"/>
      <c r="G490" s="84"/>
      <c r="H490" s="85">
        <f>SUM(H491:H495)</f>
        <v>320.08734297824009</v>
      </c>
      <c r="J490" s="201" t="s">
        <v>13290</v>
      </c>
      <c r="K490" s="78"/>
      <c r="L490" s="78"/>
      <c r="M490" s="78"/>
      <c r="N490" s="78"/>
      <c r="O490" s="78"/>
      <c r="P490" s="78"/>
      <c r="Q490" s="78"/>
    </row>
    <row r="491" spans="1:17" s="87" customFormat="1" ht="12.75">
      <c r="A491" s="232" t="s">
        <v>4542</v>
      </c>
      <c r="B491" s="464" t="s">
        <v>13353</v>
      </c>
      <c r="C491" s="451" t="str">
        <f>IF(A491="SERVIÇO",VLOOKUP(B491,SERVIÇOS!$A$6:$D$7645,2,0),IF(A491="INSUMO",VLOOKUP(B491,INSUMOS!$A$6:$D$6961,2,0),IF(A491="COTAÇÃO",VLOOKUP(B491,'036-20-Cotação'!$A$9:$G$529,2,0))))</f>
        <v>PEDREIRO</v>
      </c>
      <c r="D491" s="452" t="str">
        <f>IF(A491="SERVIÇO",VLOOKUP(B491,SERVIÇOS!$A$6:$E$7645,5,0),IF(A491="INSUMO",VLOOKUP(B491,INSUMOS!$A$6:$E$6961,5,0),IF(A491="COTAÇÃO",VLOOKUP(B491,'036-20-Cotação'!$A$9:$H$529,8,0))))</f>
        <v>M.O</v>
      </c>
      <c r="E491" s="452" t="str">
        <f>IF(A491="SERVIÇO",VLOOKUP(B491,SERVIÇOS!$A$6:$D$7645,3,0),IF(A491="INSUMO",VLOOKUP(B491,INSUMOS!$A$6:$D$6961,3,0),IF(A491="COTAÇÃO",VLOOKUP(B491,'036-20-Cotação'!$A$9:$G$529,4,0))))</f>
        <v>H</v>
      </c>
      <c r="F491" s="462">
        <f>1/3.62</f>
        <v>0.27624309392265195</v>
      </c>
      <c r="G491" s="453">
        <f>IF(A491="SERVIÇO",VLOOKUP(B491,SERVIÇOS!$A$6:$D$7645,4,0),IF(A491="INSUMO",VLOOKUP(B491,INSUMOS!$A$6:$D$6961,4,0),IF(A491="COTAÇÃO",VLOOKUP(B491,'036-20-Cotação'!$A$9:$G$529,3,0))))</f>
        <v>21.647600000000001</v>
      </c>
      <c r="H491" s="463">
        <f t="shared" ref="H491:H495" si="96">G491*F491</f>
        <v>5.98</v>
      </c>
      <c r="J491" s="201"/>
    </row>
    <row r="492" spans="1:17" s="87" customFormat="1" ht="12.75">
      <c r="A492" s="232" t="s">
        <v>4542</v>
      </c>
      <c r="B492" s="464" t="s">
        <v>6602</v>
      </c>
      <c r="C492" s="451" t="str">
        <f>IF(A492="SERVIÇO",VLOOKUP(B492,SERVIÇOS!$A$6:$D$7645,2,0),IF(A492="INSUMO",VLOOKUP(B492,INSUMOS!$A$6:$D$6961,2,0),IF(A492="COTAÇÃO",VLOOKUP(B492,'036-20-Cotação'!$A$9:$G$529,2,0))))</f>
        <v>SERVENTE</v>
      </c>
      <c r="D492" s="452" t="str">
        <f>IF(A492="SERVIÇO",VLOOKUP(B492,SERVIÇOS!$A$6:$E$7645,5,0),IF(A492="INSUMO",VLOOKUP(B492,INSUMOS!$A$6:$E$6961,5,0),IF(A492="COTAÇÃO",VLOOKUP(B492,'036-20-Cotação'!$A$9:$H$529,8,0))))</f>
        <v>M.O</v>
      </c>
      <c r="E492" s="452" t="str">
        <f>IF(A492="SERVIÇO",VLOOKUP(B492,SERVIÇOS!$A$6:$D$7645,3,0),IF(A492="INSUMO",VLOOKUP(B492,INSUMOS!$A$6:$D$6961,3,0),IF(A492="COTAÇÃO",VLOOKUP(B492,'036-20-Cotação'!$A$9:$G$529,4,0))))</f>
        <v>H</v>
      </c>
      <c r="F492" s="462">
        <f>10/3.62</f>
        <v>2.7624309392265194</v>
      </c>
      <c r="G492" s="453">
        <f>IF(A492="SERVIÇO",VLOOKUP(B492,SERVIÇOS!$A$6:$D$7645,4,0),IF(A492="INSUMO",VLOOKUP(B492,INSUMOS!$A$6:$D$6961,4,0),IF(A492="COTAÇÃO",VLOOKUP(B492,'036-20-Cotação'!$A$9:$G$529,3,0))))</f>
        <v>15.637499999999999</v>
      </c>
      <c r="H492" s="463">
        <f t="shared" si="96"/>
        <v>43.197513812154696</v>
      </c>
      <c r="J492" s="201"/>
    </row>
    <row r="493" spans="1:17" s="87" customFormat="1" ht="12.75">
      <c r="A493" s="232" t="s">
        <v>4544</v>
      </c>
      <c r="B493" s="464" t="s">
        <v>10786</v>
      </c>
      <c r="C493" s="451" t="str">
        <f>IF(A493="SERVIÇO",VLOOKUP(B493,SERVIÇOS!$A$6:$D$7645,2,0),IF(A493="INSUMO",VLOOKUP(B493,INSUMOS!$A$6:$D$6961,2,0),IF(A493="COTAÇÃO",VLOOKUP(B493,'036-20-Cotação'!$A$9:$G$529,2,0))))</f>
        <v>PEDRA DE MÃO</v>
      </c>
      <c r="D493" s="452" t="str">
        <f>IF(A493="SERVIÇO",VLOOKUP(B493,SERVIÇOS!$A$6:$E$7645,5,0),IF(A493="INSUMO",VLOOKUP(B493,INSUMOS!$A$6:$E$6961,5,0),IF(A493="COTAÇÃO",VLOOKUP(B493,'036-20-Cotação'!$A$9:$H$529,8,0))))</f>
        <v>MAT.</v>
      </c>
      <c r="E493" s="452" t="str">
        <f>IF(A493="SERVIÇO",VLOOKUP(B493,SERVIÇOS!$A$6:$D$7645,3,0),IF(A493="INSUMO",VLOOKUP(B493,INSUMOS!$A$6:$D$6961,3,0),IF(A493="COTAÇÃO",VLOOKUP(B493,'036-20-Cotação'!$A$9:$G$529,4,0))))</f>
        <v>M³</v>
      </c>
      <c r="F493" s="462">
        <v>0.71033000000000002</v>
      </c>
      <c r="G493" s="453">
        <f>IF(A493="SERVIÇO",VLOOKUP(B493,SERVIÇOS!$A$6:$D$7645,4,0),IF(A493="INSUMO",VLOOKUP(B493,INSUMOS!$A$6:$D$6961,4,0),IF(A493="COTAÇÃO",VLOOKUP(B493,'036-20-Cotação'!$A$9:$G$529,3,0))))</f>
        <v>81.9559</v>
      </c>
      <c r="H493" s="463">
        <f t="shared" si="96"/>
        <v>58.215734447000003</v>
      </c>
      <c r="J493" s="201"/>
    </row>
    <row r="494" spans="1:17" s="87" customFormat="1" ht="38.25">
      <c r="A494" s="232" t="s">
        <v>4542</v>
      </c>
      <c r="B494" s="464">
        <f>$B$498</f>
        <v>1107892</v>
      </c>
      <c r="C494" s="451" t="str">
        <f>$C$498</f>
        <v>CONCRETO FCK = 20 MPA - CONFECÇÃO EM BETONEIRA E LANÇAMENTO MANUAL - AREIA E BRITA COMERCIAIS</v>
      </c>
      <c r="D494" s="452" t="str">
        <f>$D$498</f>
        <v>SER.CG</v>
      </c>
      <c r="E494" s="452" t="str">
        <f>$E$498</f>
        <v>M3</v>
      </c>
      <c r="F494" s="462">
        <v>0.6</v>
      </c>
      <c r="G494" s="453">
        <f>$H$498</f>
        <v>352.83176937680884</v>
      </c>
      <c r="H494" s="463">
        <f t="shared" si="96"/>
        <v>211.6990616260853</v>
      </c>
      <c r="J494" s="201"/>
    </row>
    <row r="495" spans="1:17" s="87" customFormat="1" ht="25.5">
      <c r="A495" s="232" t="s">
        <v>4542</v>
      </c>
      <c r="B495" s="531" t="str">
        <f>$B$298</f>
        <v>5914647-TF</v>
      </c>
      <c r="C495" s="451" t="str">
        <f>$C$298</f>
        <v>TEMPO FIXO - CAMINHÃO BASCULANTE 10 M3 - CARGA MONOBRA E DESCARGA</v>
      </c>
      <c r="D495" s="452" t="str">
        <f>$D$298</f>
        <v>SER.CG</v>
      </c>
      <c r="E495" s="452" t="str">
        <f>$E$298</f>
        <v>T</v>
      </c>
      <c r="F495" s="462">
        <v>1.0654999999999999</v>
      </c>
      <c r="G495" s="453">
        <f>$H$298</f>
        <v>0.93386493946512461</v>
      </c>
      <c r="H495" s="463">
        <f t="shared" si="96"/>
        <v>0.99503309300009013</v>
      </c>
      <c r="J495" s="201"/>
    </row>
    <row r="496" spans="1:17" s="87" customFormat="1" ht="12.75">
      <c r="A496" s="188"/>
      <c r="B496" s="348" t="s">
        <v>123</v>
      </c>
      <c r="C496" s="695" t="s">
        <v>13352</v>
      </c>
      <c r="D496" s="696"/>
      <c r="E496" s="696"/>
      <c r="F496" s="696"/>
      <c r="G496" s="696"/>
      <c r="H496" s="697"/>
      <c r="J496" s="201"/>
      <c r="K496" s="78"/>
      <c r="L496" s="78"/>
      <c r="M496" s="78"/>
      <c r="N496" s="78"/>
      <c r="O496" s="78"/>
      <c r="P496" s="78"/>
      <c r="Q496" s="78"/>
    </row>
    <row r="497" spans="1:17" s="87" customFormat="1" ht="12.75">
      <c r="A497" s="188"/>
      <c r="B497" s="346"/>
      <c r="C497" s="486"/>
      <c r="D497" s="486"/>
      <c r="E497" s="486"/>
      <c r="F497" s="486"/>
      <c r="G497" s="486"/>
      <c r="H497" s="487"/>
      <c r="J497" s="201"/>
      <c r="K497" s="78"/>
      <c r="L497" s="78"/>
      <c r="M497" s="78"/>
      <c r="N497" s="78"/>
      <c r="O497" s="78"/>
      <c r="P497" s="78"/>
      <c r="Q497" s="78"/>
    </row>
    <row r="498" spans="1:17" s="87" customFormat="1" ht="38.25">
      <c r="A498" s="188"/>
      <c r="B498" s="80">
        <v>1107892</v>
      </c>
      <c r="C498" s="81" t="s">
        <v>13354</v>
      </c>
      <c r="D498" s="82" t="s">
        <v>201</v>
      </c>
      <c r="E498" s="82" t="s">
        <v>172</v>
      </c>
      <c r="F498" s="83"/>
      <c r="G498" s="84"/>
      <c r="H498" s="85">
        <f>SUM(H499:H513)</f>
        <v>352.83176937680884</v>
      </c>
      <c r="J498" s="201" t="s">
        <v>13290</v>
      </c>
      <c r="K498" s="78"/>
      <c r="L498" s="78"/>
      <c r="M498" s="78"/>
      <c r="N498" s="78"/>
      <c r="O498" s="78"/>
      <c r="P498" s="78"/>
      <c r="Q498" s="78"/>
    </row>
    <row r="499" spans="1:17" s="87" customFormat="1" ht="25.5">
      <c r="A499" s="232" t="s">
        <v>4542</v>
      </c>
      <c r="B499" s="464" t="s">
        <v>8740</v>
      </c>
      <c r="C499" s="451" t="str">
        <f>IF(A499="SERVIÇO",VLOOKUP(B499,SERVIÇOS!$A$6:$D$7645,2,0),IF(A499="INSUMO",VLOOKUP(B499,INSUMOS!$A$6:$D$6961,2,0),IF(A499="COTAÇÃO",VLOOKUP(B499,'036-20-Cotação'!$A$9:$G$529,2,0))))</f>
        <v>BALANÇA PLATAFORMA DIGITAL COM MESA DE 75 X 75 CM COM CAPACIDADE DE 500 KG</v>
      </c>
      <c r="D499" s="452" t="str">
        <f>IF(A499="SERVIÇO",VLOOKUP(B499,SERVIÇOS!$A$6:$E$7645,5,0),IF(A499="INSUMO",VLOOKUP(B499,INSUMOS!$A$6:$E$6961,5,0),IF(A499="COTAÇÃO",VLOOKUP(B499,'036-20-Cotação'!$A$9:$H$529,8,0))))</f>
        <v>EQUIP.</v>
      </c>
      <c r="E499" s="452" t="str">
        <f>IF(A499="SERVIÇO",VLOOKUP(B499,SERVIÇOS!$A$6:$D$7645,3,0),IF(A499="INSUMO",VLOOKUP(B499,INSUMOS!$A$6:$D$6961,3,0),IF(A499="COTAÇÃO",VLOOKUP(B499,'036-20-Cotação'!$A$9:$G$529,4,0))))</f>
        <v>CHP</v>
      </c>
      <c r="F499" s="462">
        <f>0.13/3.62</f>
        <v>3.591160220994475E-2</v>
      </c>
      <c r="G499" s="453">
        <f>IF(A499="SERVIÇO",VLOOKUP(B499,SERVIÇOS!$A$6:$D$7645,4,0),IF(A499="INSUMO",VLOOKUP(B499,INSUMOS!$A$6:$D$6961,4,0),IF(A499="COTAÇÃO",VLOOKUP(B499,'036-20-Cotação'!$A$9:$G$529,3,0))))</f>
        <v>0.94279999999999997</v>
      </c>
      <c r="H499" s="463">
        <f t="shared" ref="H499:H513" si="97">G499*F499</f>
        <v>3.3857458563535912E-2</v>
      </c>
      <c r="J499" s="201"/>
    </row>
    <row r="500" spans="1:17" s="87" customFormat="1" ht="25.5">
      <c r="A500" s="232" t="s">
        <v>4542</v>
      </c>
      <c r="B500" s="464" t="s">
        <v>9609</v>
      </c>
      <c r="C500" s="451" t="str">
        <f>IF(A500="SERVIÇO",VLOOKUP(B500,SERVIÇOS!$A$6:$D$7645,2,0),IF(A500="INSUMO",VLOOKUP(B500,INSUMOS!$A$6:$D$6961,2,0),IF(A500="COTAÇÃO",VLOOKUP(B500,'036-20-Cotação'!$A$9:$G$529,2,0))))</f>
        <v>BALANÇA PLATAFORMA DIGITAL COM MESA DE 75 X 75 CM COM CAPACIDADE DE 500 KG</v>
      </c>
      <c r="D500" s="452" t="str">
        <f>IF(A500="SERVIÇO",VLOOKUP(B500,SERVIÇOS!$A$6:$E$7645,5,0),IF(A500="INSUMO",VLOOKUP(B500,INSUMOS!$A$6:$E$6961,5,0),IF(A500="COTAÇÃO",VLOOKUP(B500,'036-20-Cotação'!$A$9:$H$529,8,0))))</f>
        <v>EQUIP.</v>
      </c>
      <c r="E500" s="452" t="str">
        <f>IF(A500="SERVIÇO",VLOOKUP(B500,SERVIÇOS!$A$6:$D$7645,3,0),IF(A500="INSUMO",VLOOKUP(B500,INSUMOS!$A$6:$D$6961,3,0),IF(A500="COTAÇÃO",VLOOKUP(B500,'036-20-Cotação'!$A$9:$G$529,4,0))))</f>
        <v>CHI</v>
      </c>
      <c r="F500" s="462">
        <f>0.87/3.62</f>
        <v>0.24033149171270718</v>
      </c>
      <c r="G500" s="453">
        <f>IF(A500="SERVIÇO",VLOOKUP(B500,SERVIÇOS!$A$6:$D$7645,4,0),IF(A500="INSUMO",VLOOKUP(B500,INSUMOS!$A$6:$D$6961,4,0),IF(A500="COTAÇÃO",VLOOKUP(B500,'036-20-Cotação'!$A$9:$G$529,3,0))))</f>
        <v>0.61350000000000005</v>
      </c>
      <c r="H500" s="463">
        <f t="shared" ref="H500" si="98">G500*F500</f>
        <v>0.14744337016574585</v>
      </c>
      <c r="J500" s="201"/>
    </row>
    <row r="501" spans="1:17" s="87" customFormat="1" ht="25.5">
      <c r="A501" s="232" t="s">
        <v>4542</v>
      </c>
      <c r="B501" s="464" t="s">
        <v>9004</v>
      </c>
      <c r="C501" s="451" t="str">
        <f>IF(A501="SERVIÇO",VLOOKUP(B501,SERVIÇOS!$A$6:$D$7645,2,0),IF(A501="INSUMO",VLOOKUP(B501,INSUMOS!$A$6:$D$6961,2,0),IF(A501="COTAÇÃO",VLOOKUP(B501,'036-20-Cotação'!$A$9:$G$529,2,0))))</f>
        <v>BETONEIRA COM MOTOR A GASOLINA COM CAPACIDADE DE 600 L - 10 KW</v>
      </c>
      <c r="D501" s="452" t="str">
        <f>IF(A501="SERVIÇO",VLOOKUP(B501,SERVIÇOS!$A$6:$E$7645,5,0),IF(A501="INSUMO",VLOOKUP(B501,INSUMOS!$A$6:$E$6961,5,0),IF(A501="COTAÇÃO",VLOOKUP(B501,'036-20-Cotação'!$A$9:$H$529,8,0))))</f>
        <v>EQUIP.</v>
      </c>
      <c r="E501" s="452" t="str">
        <f>IF(A501="SERVIÇO",VLOOKUP(B501,SERVIÇOS!$A$6:$D$7645,3,0),IF(A501="INSUMO",VLOOKUP(B501,INSUMOS!$A$6:$D$6961,3,0),IF(A501="COTAÇÃO",VLOOKUP(B501,'036-20-Cotação'!$A$9:$G$529,4,0))))</f>
        <v>CHP</v>
      </c>
      <c r="F501" s="462">
        <f>1/3.62</f>
        <v>0.27624309392265195</v>
      </c>
      <c r="G501" s="453">
        <f>IF(A501="SERVIÇO",VLOOKUP(B501,SERVIÇOS!$A$6:$D$7645,4,0),IF(A501="INSUMO",VLOOKUP(B501,INSUMOS!$A$6:$D$6961,4,0),IF(A501="COTAÇÃO",VLOOKUP(B501,'036-20-Cotação'!$A$9:$G$529,3,0))))</f>
        <v>36.211500000000001</v>
      </c>
      <c r="H501" s="463">
        <f t="shared" si="97"/>
        <v>10.003176795580112</v>
      </c>
      <c r="J501" s="201"/>
    </row>
    <row r="502" spans="1:17" s="87" customFormat="1" ht="25.5">
      <c r="A502" s="232" t="s">
        <v>4542</v>
      </c>
      <c r="B502" s="464" t="s">
        <v>8841</v>
      </c>
      <c r="C502" s="451" t="str">
        <f>IF(A502="SERVIÇO",VLOOKUP(B502,SERVIÇOS!$A$6:$D$7645,2,0),IF(A502="INSUMO",VLOOKUP(B502,INSUMOS!$A$6:$D$6961,2,0),IF(A502="COTAÇÃO",VLOOKUP(B502,'036-20-Cotação'!$A$9:$G$529,2,0))))</f>
        <v>TRANSPORTADOR MANUAL CARRINHO DE MÃO COM CAPACIDADE DE 80 L</v>
      </c>
      <c r="D502" s="452" t="str">
        <f>IF(A502="SERVIÇO",VLOOKUP(B502,SERVIÇOS!$A$6:$E$7645,5,0),IF(A502="INSUMO",VLOOKUP(B502,INSUMOS!$A$6:$E$6961,5,0),IF(A502="COTAÇÃO",VLOOKUP(B502,'036-20-Cotação'!$A$9:$H$529,8,0))))</f>
        <v>EQUIP.</v>
      </c>
      <c r="E502" s="452" t="str">
        <f>IF(A502="SERVIÇO",VLOOKUP(B502,SERVIÇOS!$A$6:$D$7645,3,0),IF(A502="INSUMO",VLOOKUP(B502,INSUMOS!$A$6:$D$6961,3,0),IF(A502="COTAÇÃO",VLOOKUP(B502,'036-20-Cotação'!$A$9:$G$529,4,0))))</f>
        <v>CHP</v>
      </c>
      <c r="F502" s="462">
        <f>0.95/3.62*4</f>
        <v>1.0497237569060773</v>
      </c>
      <c r="G502" s="453">
        <f>IF(A502="SERVIÇO",VLOOKUP(B502,SERVIÇOS!$A$6:$D$7645,4,0),IF(A502="INSUMO",VLOOKUP(B502,INSUMOS!$A$6:$D$6961,4,0),IF(A502="COTAÇÃO",VLOOKUP(B502,'036-20-Cotação'!$A$9:$G$529,3,0))))</f>
        <v>0.3054</v>
      </c>
      <c r="H502" s="463">
        <f t="shared" si="97"/>
        <v>0.32058563535911599</v>
      </c>
      <c r="J502" s="201"/>
    </row>
    <row r="503" spans="1:17" s="87" customFormat="1" ht="25.5">
      <c r="A503" s="232" t="s">
        <v>4542</v>
      </c>
      <c r="B503" s="464" t="s">
        <v>9665</v>
      </c>
      <c r="C503" s="451" t="str">
        <f>IF(A503="SERVIÇO",VLOOKUP(B503,SERVIÇOS!$A$6:$D$7645,2,0),IF(A503="INSUMO",VLOOKUP(B503,INSUMOS!$A$6:$D$6961,2,0),IF(A503="COTAÇÃO",VLOOKUP(B503,'036-20-Cotação'!$A$9:$G$529,2,0))))</f>
        <v>TRANSPORTADOR MANUAL CARRINHO DE MÃO COM CAPACIDADE DE 80 L</v>
      </c>
      <c r="D503" s="452" t="str">
        <f>IF(A503="SERVIÇO",VLOOKUP(B503,SERVIÇOS!$A$6:$E$7645,5,0),IF(A503="INSUMO",VLOOKUP(B503,INSUMOS!$A$6:$E$6961,5,0),IF(A503="COTAÇÃO",VLOOKUP(B503,'036-20-Cotação'!$A$9:$H$529,8,0))))</f>
        <v>EQUIP.</v>
      </c>
      <c r="E503" s="452" t="str">
        <f>IF(A503="SERVIÇO",VLOOKUP(B503,SERVIÇOS!$A$6:$D$7645,3,0),IF(A503="INSUMO",VLOOKUP(B503,INSUMOS!$A$6:$D$6961,3,0),IF(A503="COTAÇÃO",VLOOKUP(B503,'036-20-Cotação'!$A$9:$G$529,4,0))))</f>
        <v>CHI</v>
      </c>
      <c r="F503" s="462">
        <f>0.05/3.62*4</f>
        <v>5.5248618784530391E-2</v>
      </c>
      <c r="G503" s="453">
        <f>IF(A503="SERVIÇO",VLOOKUP(B503,SERVIÇOS!$A$6:$D$7645,4,0),IF(A503="INSUMO",VLOOKUP(B503,INSUMOS!$A$6:$D$6961,4,0),IF(A503="COTAÇÃO",VLOOKUP(B503,'036-20-Cotação'!$A$9:$G$529,3,0))))</f>
        <v>0.20469999999999999</v>
      </c>
      <c r="H503" s="463">
        <f t="shared" ref="H503" si="99">G503*F503</f>
        <v>1.130939226519337E-2</v>
      </c>
      <c r="J503" s="201"/>
    </row>
    <row r="504" spans="1:17" s="87" customFormat="1" ht="25.5">
      <c r="A504" s="232" t="s">
        <v>4542</v>
      </c>
      <c r="B504" s="464" t="s">
        <v>8829</v>
      </c>
      <c r="C504" s="451" t="str">
        <f>IF(A504="SERVIÇO",VLOOKUP(B504,SERVIÇOS!$A$6:$D$7645,2,0),IF(A504="INSUMO",VLOOKUP(B504,INSUMOS!$A$6:$D$6961,2,0),IF(A504="COTAÇÃO",VLOOKUP(B504,'036-20-Cotação'!$A$9:$G$529,2,0))))</f>
        <v>TRANSPORTADOR MANUAL GERICA COM CAPACIDADE DE 180 L</v>
      </c>
      <c r="D504" s="452" t="str">
        <f>IF(A504="SERVIÇO",VLOOKUP(B504,SERVIÇOS!$A$6:$E$7645,5,0),IF(A504="INSUMO",VLOOKUP(B504,INSUMOS!$A$6:$E$6961,5,0),IF(A504="COTAÇÃO",VLOOKUP(B504,'036-20-Cotação'!$A$9:$H$529,8,0))))</f>
        <v>EQUIP.</v>
      </c>
      <c r="E504" s="452" t="str">
        <f>IF(A504="SERVIÇO",VLOOKUP(B504,SERVIÇOS!$A$6:$D$7645,3,0),IF(A504="INSUMO",VLOOKUP(B504,INSUMOS!$A$6:$D$6961,3,0),IF(A504="COTAÇÃO",VLOOKUP(B504,'036-20-Cotação'!$A$9:$G$529,4,0))))</f>
        <v>CHP</v>
      </c>
      <c r="F504" s="462">
        <f>0.37/3.62*3</f>
        <v>0.30662983425414364</v>
      </c>
      <c r="G504" s="453">
        <f>IF(A504="SERVIÇO",VLOOKUP(B504,SERVIÇOS!$A$6:$D$7645,4,0),IF(A504="INSUMO",VLOOKUP(B504,INSUMOS!$A$6:$D$6961,4,0),IF(A504="COTAÇÃO",VLOOKUP(B504,'036-20-Cotação'!$A$9:$G$529,3,0))))</f>
        <v>0.78420000000000001</v>
      </c>
      <c r="H504" s="463">
        <f t="shared" si="97"/>
        <v>0.24045911602209943</v>
      </c>
      <c r="J504" s="201"/>
    </row>
    <row r="505" spans="1:17" s="87" customFormat="1" ht="25.5">
      <c r="A505" s="232" t="s">
        <v>4542</v>
      </c>
      <c r="B505" s="464" t="s">
        <v>9658</v>
      </c>
      <c r="C505" s="451" t="str">
        <f>IF(A505="SERVIÇO",VLOOKUP(B505,SERVIÇOS!$A$6:$D$7645,2,0),IF(A505="INSUMO",VLOOKUP(B505,INSUMOS!$A$6:$D$6961,2,0),IF(A505="COTAÇÃO",VLOOKUP(B505,'036-20-Cotação'!$A$9:$G$529,2,0))))</f>
        <v>TRANSPORTADOR MANUAL GERICA COM CAPACIDADE DE 180 L</v>
      </c>
      <c r="D505" s="452" t="str">
        <f>IF(A505="SERVIÇO",VLOOKUP(B505,SERVIÇOS!$A$6:$E$7645,5,0),IF(A505="INSUMO",VLOOKUP(B505,INSUMOS!$A$6:$E$6961,5,0),IF(A505="COTAÇÃO",VLOOKUP(B505,'036-20-Cotação'!$A$9:$H$529,8,0))))</f>
        <v>EQUIP.</v>
      </c>
      <c r="E505" s="452" t="str">
        <f>IF(A505="SERVIÇO",VLOOKUP(B505,SERVIÇOS!$A$6:$D$7645,3,0),IF(A505="INSUMO",VLOOKUP(B505,INSUMOS!$A$6:$D$6961,3,0),IF(A505="COTAÇÃO",VLOOKUP(B505,'036-20-Cotação'!$A$9:$G$529,4,0))))</f>
        <v>CHI</v>
      </c>
      <c r="F505" s="462">
        <f>0.63/3.62*3</f>
        <v>0.5220994475138121</v>
      </c>
      <c r="G505" s="453">
        <f>IF(A505="SERVIÇO",VLOOKUP(B505,SERVIÇOS!$A$6:$D$7645,4,0),IF(A505="INSUMO",VLOOKUP(B505,INSUMOS!$A$6:$D$6961,4,0),IF(A505="COTAÇÃO",VLOOKUP(B505,'036-20-Cotação'!$A$9:$G$529,3,0))))</f>
        <v>0.52549999999999997</v>
      </c>
      <c r="H505" s="463">
        <f t="shared" ref="H505" si="100">G505*F505</f>
        <v>0.27436325966850822</v>
      </c>
      <c r="J505" s="201"/>
    </row>
    <row r="506" spans="1:17" s="87" customFormat="1" ht="12.75">
      <c r="A506" s="232" t="s">
        <v>4542</v>
      </c>
      <c r="B506" s="464" t="s">
        <v>6614</v>
      </c>
      <c r="C506" s="451" t="str">
        <f>IF(A506="SERVIÇO",VLOOKUP(B506,SERVIÇOS!$A$6:$D$7645,2,0),IF(A506="INSUMO",VLOOKUP(B506,INSUMOS!$A$6:$D$6961,2,0),IF(A506="COTAÇÃO",VLOOKUP(B506,'036-20-Cotação'!$A$9:$G$529,2,0))))</f>
        <v>PEDREIRO</v>
      </c>
      <c r="D506" s="452" t="str">
        <f>IF(A506="SERVIÇO",VLOOKUP(B506,SERVIÇOS!$A$6:$E$7645,5,0),IF(A506="INSUMO",VLOOKUP(B506,INSUMOS!$A$6:$E$6961,5,0),IF(A506="COTAÇÃO",VLOOKUP(B506,'036-20-Cotação'!$A$9:$H$529,8,0))))</f>
        <v>M.O</v>
      </c>
      <c r="E506" s="452" t="str">
        <f>IF(A506="SERVIÇO",VLOOKUP(B506,SERVIÇOS!$A$6:$D$7645,3,0),IF(A506="INSUMO",VLOOKUP(B506,INSUMOS!$A$6:$D$6961,3,0),IF(A506="COTAÇÃO",VLOOKUP(B506,'036-20-Cotação'!$A$9:$G$529,4,0))))</f>
        <v>H</v>
      </c>
      <c r="F506" s="462">
        <f>1/3.62</f>
        <v>0.27624309392265195</v>
      </c>
      <c r="G506" s="453">
        <f>IF(A506="SERVIÇO",VLOOKUP(B506,SERVIÇOS!$A$6:$D$7645,4,0),IF(A506="INSUMO",VLOOKUP(B506,INSUMOS!$A$6:$D$6961,4,0),IF(A506="COTAÇÃO",VLOOKUP(B506,'036-20-Cotação'!$A$9:$G$529,3,0))))</f>
        <v>21.647600000000001</v>
      </c>
      <c r="H506" s="463">
        <f t="shared" si="97"/>
        <v>5.98</v>
      </c>
      <c r="J506" s="201"/>
    </row>
    <row r="507" spans="1:17" s="87" customFormat="1" ht="12.75">
      <c r="A507" s="232" t="s">
        <v>4542</v>
      </c>
      <c r="B507" s="464" t="s">
        <v>6602</v>
      </c>
      <c r="C507" s="451" t="str">
        <f>IF(A507="SERVIÇO",VLOOKUP(B507,SERVIÇOS!$A$6:$D$7645,2,0),IF(A507="INSUMO",VLOOKUP(B507,INSUMOS!$A$6:$D$6961,2,0),IF(A507="COTAÇÃO",VLOOKUP(B507,'036-20-Cotação'!$A$9:$G$529,2,0))))</f>
        <v>SERVENTE</v>
      </c>
      <c r="D507" s="452" t="str">
        <f>IF(A507="SERVIÇO",VLOOKUP(B507,SERVIÇOS!$A$6:$E$7645,5,0),IF(A507="INSUMO",VLOOKUP(B507,INSUMOS!$A$6:$E$6961,5,0),IF(A507="COTAÇÃO",VLOOKUP(B507,'036-20-Cotação'!$A$9:$H$529,8,0))))</f>
        <v>M.O</v>
      </c>
      <c r="E507" s="452" t="str">
        <f>IF(A507="SERVIÇO",VLOOKUP(B507,SERVIÇOS!$A$6:$D$7645,3,0),IF(A507="INSUMO",VLOOKUP(B507,INSUMOS!$A$6:$D$6961,3,0),IF(A507="COTAÇÃO",VLOOKUP(B507,'036-20-Cotação'!$A$9:$G$529,4,0))))</f>
        <v>H</v>
      </c>
      <c r="F507" s="462">
        <f>10/3.62</f>
        <v>2.7624309392265194</v>
      </c>
      <c r="G507" s="453">
        <f>IF(A507="SERVIÇO",VLOOKUP(B507,SERVIÇOS!$A$6:$D$7645,4,0),IF(A507="INSUMO",VLOOKUP(B507,INSUMOS!$A$6:$D$6961,4,0),IF(A507="COTAÇÃO",VLOOKUP(B507,'036-20-Cotação'!$A$9:$G$529,3,0))))</f>
        <v>15.637499999999999</v>
      </c>
      <c r="H507" s="463">
        <f t="shared" si="97"/>
        <v>43.197513812154696</v>
      </c>
      <c r="J507" s="201"/>
    </row>
    <row r="508" spans="1:17" s="87" customFormat="1" ht="12.75">
      <c r="A508" s="232" t="s">
        <v>4544</v>
      </c>
      <c r="B508" s="464" t="s">
        <v>7978</v>
      </c>
      <c r="C508" s="451" t="str">
        <f>IF(A508="SERVIÇO",VLOOKUP(B508,SERVIÇOS!$A$6:$D$7645,2,0),IF(A508="INSUMO",VLOOKUP(B508,INSUMOS!$A$6:$D$6961,2,0),IF(A508="COTAÇÃO",VLOOKUP(B508,'036-20-Cotação'!$A$9:$G$529,2,0))))</f>
        <v>AREIA MÉDIA LAVADA</v>
      </c>
      <c r="D508" s="452" t="str">
        <f>IF(A508="SERVIÇO",VLOOKUP(B508,SERVIÇOS!$A$6:$E$7645,5,0),IF(A508="INSUMO",VLOOKUP(B508,INSUMOS!$A$6:$E$6961,5,0),IF(A508="COTAÇÃO",VLOOKUP(B508,'036-20-Cotação'!$A$9:$H$529,8,0))))</f>
        <v>MAT.</v>
      </c>
      <c r="E508" s="452" t="str">
        <f>IF(A508="SERVIÇO",VLOOKUP(B508,SERVIÇOS!$A$6:$D$7645,3,0),IF(A508="INSUMO",VLOOKUP(B508,INSUMOS!$A$6:$D$6961,3,0),IF(A508="COTAÇÃO",VLOOKUP(B508,'036-20-Cotação'!$A$9:$G$529,4,0))))</f>
        <v>M³</v>
      </c>
      <c r="F508" s="462">
        <v>0.61585999999999996</v>
      </c>
      <c r="G508" s="453">
        <f>IF(A508="SERVIÇO",VLOOKUP(B508,SERVIÇOS!$A$6:$D$7645,4,0),IF(A508="INSUMO",VLOOKUP(B508,INSUMOS!$A$6:$D$6961,4,0),IF(A508="COTAÇÃO",VLOOKUP(B508,'036-20-Cotação'!$A$9:$G$529,3,0))))</f>
        <v>130.20490000000001</v>
      </c>
      <c r="H508" s="463">
        <f t="shared" si="97"/>
        <v>80.187989713999997</v>
      </c>
      <c r="J508" s="201"/>
    </row>
    <row r="509" spans="1:17" s="87" customFormat="1" ht="12.75">
      <c r="A509" s="232" t="s">
        <v>4544</v>
      </c>
      <c r="B509" s="464" t="s">
        <v>7979</v>
      </c>
      <c r="C509" s="451" t="str">
        <f>IF(A509="SERVIÇO",VLOOKUP(B509,SERVIÇOS!$A$6:$D$7645,2,0),IF(A509="INSUMO",VLOOKUP(B509,INSUMOS!$A$6:$D$6961,2,0),IF(A509="COTAÇÃO",VLOOKUP(B509,'036-20-Cotação'!$A$9:$G$529,2,0))))</f>
        <v>BRITA 1</v>
      </c>
      <c r="D509" s="452" t="str">
        <f>IF(A509="SERVIÇO",VLOOKUP(B509,SERVIÇOS!$A$6:$E$7645,5,0),IF(A509="INSUMO",VLOOKUP(B509,INSUMOS!$A$6:$E$6961,5,0),IF(A509="COTAÇÃO",VLOOKUP(B509,'036-20-Cotação'!$A$9:$H$529,8,0))))</f>
        <v>MAT.</v>
      </c>
      <c r="E509" s="452" t="str">
        <f>IF(A509="SERVIÇO",VLOOKUP(B509,SERVIÇOS!$A$6:$D$7645,3,0),IF(A509="INSUMO",VLOOKUP(B509,INSUMOS!$A$6:$D$6961,3,0),IF(A509="COTAÇÃO",VLOOKUP(B509,'036-20-Cotação'!$A$9:$G$529,4,0))))</f>
        <v>M³</v>
      </c>
      <c r="F509" s="462">
        <v>0.36754300000000001</v>
      </c>
      <c r="G509" s="453">
        <f>IF(A509="SERVIÇO",VLOOKUP(B509,SERVIÇOS!$A$6:$D$7645,4,0),IF(A509="INSUMO",VLOOKUP(B509,INSUMOS!$A$6:$D$6961,4,0),IF(A509="COTAÇÃO",VLOOKUP(B509,'036-20-Cotação'!$A$9:$G$529,3,0))))</f>
        <v>90.977500000000006</v>
      </c>
      <c r="H509" s="463">
        <f t="shared" si="97"/>
        <v>33.4381432825</v>
      </c>
      <c r="J509" s="201"/>
    </row>
    <row r="510" spans="1:17" s="87" customFormat="1" ht="12.75">
      <c r="A510" s="232" t="s">
        <v>4544</v>
      </c>
      <c r="B510" s="464" t="s">
        <v>10352</v>
      </c>
      <c r="C510" s="451" t="str">
        <f>IF(A510="SERVIÇO",VLOOKUP(B510,SERVIÇOS!$A$6:$D$7645,2,0),IF(A510="INSUMO",VLOOKUP(B510,INSUMOS!$A$6:$D$6961,2,0),IF(A510="COTAÇÃO",VLOOKUP(B510,'036-20-Cotação'!$A$9:$G$529,2,0))))</f>
        <v>BRITA 2</v>
      </c>
      <c r="D510" s="452" t="str">
        <f>IF(A510="SERVIÇO",VLOOKUP(B510,SERVIÇOS!$A$6:$E$7645,5,0),IF(A510="INSUMO",VLOOKUP(B510,INSUMOS!$A$6:$E$6961,5,0),IF(A510="COTAÇÃO",VLOOKUP(B510,'036-20-Cotação'!$A$9:$H$529,8,0))))</f>
        <v>MAT.</v>
      </c>
      <c r="E510" s="452" t="str">
        <f>IF(A510="SERVIÇO",VLOOKUP(B510,SERVIÇOS!$A$6:$D$7645,3,0),IF(A510="INSUMO",VLOOKUP(B510,INSUMOS!$A$6:$D$6961,3,0),IF(A510="COTAÇÃO",VLOOKUP(B510,'036-20-Cotação'!$A$9:$G$529,4,0))))</f>
        <v>M³</v>
      </c>
      <c r="F510" s="462">
        <v>0.36754300000000001</v>
      </c>
      <c r="G510" s="453">
        <f>IF(A510="SERVIÇO",VLOOKUP(B510,SERVIÇOS!$A$6:$D$7645,4,0),IF(A510="INSUMO",VLOOKUP(B510,INSUMOS!$A$6:$D$6961,4,0),IF(A510="COTAÇÃO",VLOOKUP(B510,'036-20-Cotação'!$A$9:$G$529,3,0))))</f>
        <v>87.512100000000004</v>
      </c>
      <c r="H510" s="463">
        <f t="shared" si="97"/>
        <v>32.164459770299999</v>
      </c>
      <c r="J510" s="201"/>
    </row>
    <row r="511" spans="1:17" s="87" customFormat="1" ht="12.75">
      <c r="A511" s="232" t="s">
        <v>4544</v>
      </c>
      <c r="B511" s="464" t="s">
        <v>7350</v>
      </c>
      <c r="C511" s="451" t="str">
        <f>IF(A511="SERVIÇO",VLOOKUP(B511,SERVIÇOS!$A$6:$D$7645,2,0),IF(A511="INSUMO",VLOOKUP(B511,INSUMOS!$A$6:$D$6961,2,0),IF(A511="COTAÇÃO",VLOOKUP(B511,'036-20-Cotação'!$A$9:$G$529,2,0))))</f>
        <v>CIMENTO PORTLAND CP II - 32</v>
      </c>
      <c r="D511" s="452" t="str">
        <f>IF(A511="SERVIÇO",VLOOKUP(B511,SERVIÇOS!$A$6:$E$7645,5,0),IF(A511="INSUMO",VLOOKUP(B511,INSUMOS!$A$6:$E$6961,5,0),IF(A511="COTAÇÃO",VLOOKUP(B511,'036-20-Cotação'!$A$9:$H$529,8,0))))</f>
        <v>MAT.</v>
      </c>
      <c r="E511" s="452" t="str">
        <f>IF(A511="SERVIÇO",VLOOKUP(B511,SERVIÇOS!$A$6:$D$7645,3,0),IF(A511="INSUMO",VLOOKUP(B511,INSUMOS!$A$6:$D$6961,3,0),IF(A511="COTAÇÃO",VLOOKUP(B511,'036-20-Cotação'!$A$9:$G$529,4,0))))</f>
        <v>KG</v>
      </c>
      <c r="F511" s="462">
        <v>313.50229000000002</v>
      </c>
      <c r="G511" s="453">
        <f>IF(A511="SERVIÇO",VLOOKUP(B511,SERVIÇOS!$A$6:$D$7645,4,0),IF(A511="INSUMO",VLOOKUP(B511,INSUMOS!$A$6:$D$6961,4,0),IF(A511="COTAÇÃO",VLOOKUP(B511,'036-20-Cotação'!$A$9:$G$529,3,0))))</f>
        <v>0.44140000000000001</v>
      </c>
      <c r="H511" s="463">
        <f t="shared" si="97"/>
        <v>138.379910806</v>
      </c>
      <c r="J511" s="201"/>
    </row>
    <row r="512" spans="1:17" s="87" customFormat="1" ht="25.5">
      <c r="A512" s="232" t="s">
        <v>4542</v>
      </c>
      <c r="B512" s="531" t="str">
        <f>$B$298</f>
        <v>5914647-TF</v>
      </c>
      <c r="C512" s="451" t="str">
        <f>$C$298</f>
        <v>TEMPO FIXO - CAMINHÃO BASCULANTE 10 M3 - CARGA MONOBRA E DESCARGA</v>
      </c>
      <c r="D512" s="452" t="str">
        <f>$D$298</f>
        <v>SER.CG</v>
      </c>
      <c r="E512" s="452" t="str">
        <f>$E$298</f>
        <v>T</v>
      </c>
      <c r="F512" s="462">
        <f>0.92379+0.55131+0.55131</f>
        <v>2.0264099999999998</v>
      </c>
      <c r="G512" s="453">
        <f>$H$298</f>
        <v>0.93386493946512461</v>
      </c>
      <c r="H512" s="463">
        <f t="shared" si="97"/>
        <v>1.892393251981523</v>
      </c>
      <c r="J512" s="201"/>
    </row>
    <row r="513" spans="1:19" s="87" customFormat="1" ht="25.5">
      <c r="A513" s="232" t="s">
        <v>4542</v>
      </c>
      <c r="B513" s="531" t="str">
        <f>$B$281</f>
        <v>5914655-TF</v>
      </c>
      <c r="C513" s="451" t="str">
        <f>$C$281</f>
        <v>TEMPO FIXO - CAMINHÃO CARROCERIA 15 T - CARGA E DESCARGA MANUAIS</v>
      </c>
      <c r="D513" s="452" t="str">
        <f>$D$281</f>
        <v>SER.CG</v>
      </c>
      <c r="E513" s="452" t="str">
        <f>$E$281</f>
        <v>T</v>
      </c>
      <c r="F513" s="462">
        <v>0.3135</v>
      </c>
      <c r="G513" s="453">
        <f>$H$281</f>
        <v>20.925562080536913</v>
      </c>
      <c r="H513" s="463">
        <f t="shared" si="97"/>
        <v>6.5601637122483227</v>
      </c>
      <c r="J513" s="201"/>
    </row>
    <row r="514" spans="1:19" s="87" customFormat="1" ht="12.75">
      <c r="A514" s="188"/>
      <c r="B514" s="348" t="s">
        <v>123</v>
      </c>
      <c r="C514" s="695" t="s">
        <v>13355</v>
      </c>
      <c r="D514" s="696"/>
      <c r="E514" s="696"/>
      <c r="F514" s="696"/>
      <c r="G514" s="696"/>
      <c r="H514" s="697"/>
      <c r="J514" s="201"/>
      <c r="K514" s="78"/>
      <c r="L514" s="78"/>
      <c r="M514" s="78"/>
      <c r="N514" s="78"/>
      <c r="O514" s="78"/>
      <c r="P514" s="78"/>
      <c r="Q514" s="78"/>
    </row>
    <row r="515" spans="1:19" s="87" customFormat="1" ht="12.75">
      <c r="A515" s="188"/>
      <c r="B515" s="346"/>
      <c r="C515" s="486"/>
      <c r="D515" s="486"/>
      <c r="E515" s="486"/>
      <c r="F515" s="486"/>
      <c r="G515" s="486"/>
      <c r="H515" s="487"/>
      <c r="J515" s="201"/>
      <c r="K515" s="78"/>
      <c r="L515" s="78"/>
      <c r="M515" s="78"/>
      <c r="N515" s="78"/>
      <c r="O515" s="78"/>
      <c r="P515" s="78"/>
      <c r="Q515" s="78"/>
    </row>
    <row r="516" spans="1:19" s="87" customFormat="1" ht="12.75">
      <c r="A516" s="188"/>
      <c r="B516" s="80">
        <v>4413995</v>
      </c>
      <c r="C516" s="81" t="s">
        <v>13386</v>
      </c>
      <c r="D516" s="82" t="s">
        <v>201</v>
      </c>
      <c r="E516" s="82" t="s">
        <v>150</v>
      </c>
      <c r="F516" s="83"/>
      <c r="G516" s="84"/>
      <c r="H516" s="85">
        <f>SUM(H517:H519)</f>
        <v>2.052292</v>
      </c>
      <c r="J516" s="201" t="s">
        <v>13387</v>
      </c>
      <c r="K516" s="78"/>
      <c r="L516" s="78"/>
      <c r="M516" s="78"/>
      <c r="N516" s="78"/>
      <c r="O516" s="78"/>
      <c r="P516" s="78"/>
      <c r="Q516" s="78"/>
    </row>
    <row r="517" spans="1:19" s="87" customFormat="1" ht="12.75">
      <c r="A517" s="232" t="s">
        <v>4542</v>
      </c>
      <c r="B517" s="464" t="s">
        <v>9081</v>
      </c>
      <c r="C517" s="451" t="str">
        <f>IF(A517="SERVIÇO",VLOOKUP(B517,SERVIÇOS!$A$6:$D$7645,2,0),IF(A517="INSUMO",VLOOKUP(B517,INSUMOS!$A$6:$D$6961,2,0),IF(A517="COTAÇÃO",VLOOKUP(B517,'036-20-Cotação'!$A$9:$G$529,2,0))))</f>
        <v>TRATOR AGRÍCOLA - 77 KW</v>
      </c>
      <c r="D517" s="452" t="str">
        <f>IF(A517="SERVIÇO",VLOOKUP(B517,SERVIÇOS!$A$6:$E$7645,5,0),IF(A517="INSUMO",VLOOKUP(B517,INSUMOS!$A$6:$E$6961,5,0),IF(A517="COTAÇÃO",VLOOKUP(B517,'036-20-Cotação'!$A$9:$H$529,8,0))))</f>
        <v>EQUIP.</v>
      </c>
      <c r="E517" s="452" t="str">
        <f>IF(A517="SERVIÇO",VLOOKUP(B517,SERVIÇOS!$A$6:$D$7645,3,0),IF(A517="INSUMO",VLOOKUP(B517,INSUMOS!$A$6:$D$6961,3,0),IF(A517="COTAÇÃO",VLOOKUP(B517,'036-20-Cotação'!$A$9:$G$529,4,0))))</f>
        <v>CHP</v>
      </c>
      <c r="F517" s="462">
        <f>0.2/100</f>
        <v>2E-3</v>
      </c>
      <c r="G517" s="453">
        <f>IF(A517="SERVIÇO",VLOOKUP(B517,SERVIÇOS!$A$6:$D$7645,4,0),IF(A517="INSUMO",VLOOKUP(B517,INSUMOS!$A$6:$D$6961,4,0),IF(A517="COTAÇÃO",VLOOKUP(B517,'036-20-Cotação'!$A$9:$G$529,3,0))))</f>
        <v>124.90219999999999</v>
      </c>
      <c r="H517" s="463">
        <f t="shared" ref="H517:H519" si="101">G517*F517</f>
        <v>0.24980439999999998</v>
      </c>
      <c r="J517" s="201"/>
    </row>
    <row r="518" spans="1:19" s="87" customFormat="1" ht="12.75">
      <c r="A518" s="232" t="s">
        <v>4542</v>
      </c>
      <c r="B518" s="464" t="s">
        <v>9788</v>
      </c>
      <c r="C518" s="451" t="str">
        <f>IF(A518="SERVIÇO",VLOOKUP(B518,SERVIÇOS!$A$6:$D$7645,2,0),IF(A518="INSUMO",VLOOKUP(B518,INSUMOS!$A$6:$D$6961,2,0),IF(A518="COTAÇÃO",VLOOKUP(B518,'036-20-Cotação'!$A$9:$G$529,2,0))))</f>
        <v>TRATOR AGRÍCOLA - 77 KW</v>
      </c>
      <c r="D518" s="452" t="str">
        <f>IF(A518="SERVIÇO",VLOOKUP(B518,SERVIÇOS!$A$6:$E$7645,5,0),IF(A518="INSUMO",VLOOKUP(B518,INSUMOS!$A$6:$E$6961,5,0),IF(A518="COTAÇÃO",VLOOKUP(B518,'036-20-Cotação'!$A$9:$H$529,8,0))))</f>
        <v>EQUIP.</v>
      </c>
      <c r="E518" s="452" t="str">
        <f>IF(A518="SERVIÇO",VLOOKUP(B518,SERVIÇOS!$A$6:$D$7645,3,0),IF(A518="INSUMO",VLOOKUP(B518,INSUMOS!$A$6:$D$6961,3,0),IF(A518="COTAÇÃO",VLOOKUP(B518,'036-20-Cotação'!$A$9:$G$529,4,0))))</f>
        <v>CHI</v>
      </c>
      <c r="F518" s="462">
        <f>0.8/100</f>
        <v>8.0000000000000002E-3</v>
      </c>
      <c r="G518" s="453">
        <f>IF(A518="SERVIÇO",VLOOKUP(B518,SERVIÇOS!$A$6:$D$7645,4,0),IF(A518="INSUMO",VLOOKUP(B518,INSUMOS!$A$6:$D$6961,4,0),IF(A518="COTAÇÃO",VLOOKUP(B518,'036-20-Cotação'!$A$9:$G$529,3,0))))</f>
        <v>29.842199999999998</v>
      </c>
      <c r="H518" s="463">
        <f t="shared" ref="H518" si="102">G518*F518</f>
        <v>0.23873759999999999</v>
      </c>
      <c r="J518" s="201"/>
    </row>
    <row r="519" spans="1:19" s="87" customFormat="1" ht="12.75">
      <c r="A519" s="232" t="s">
        <v>4542</v>
      </c>
      <c r="B519" s="464" t="s">
        <v>6602</v>
      </c>
      <c r="C519" s="451" t="str">
        <f>IF(A519="SERVIÇO",VLOOKUP(B519,SERVIÇOS!$A$6:$D$7645,2,0),IF(A519="INSUMO",VLOOKUP(B519,INSUMOS!$A$6:$D$6961,2,0),IF(A519="COTAÇÃO",VLOOKUP(B519,'036-20-Cotação'!$A$9:$G$529,2,0))))</f>
        <v>SERVENTE</v>
      </c>
      <c r="D519" s="452" t="str">
        <f>IF(A519="SERVIÇO",VLOOKUP(B519,SERVIÇOS!$A$6:$E$7645,5,0),IF(A519="INSUMO",VLOOKUP(B519,INSUMOS!$A$6:$E$6961,5,0),IF(A519="COTAÇÃO",VLOOKUP(B519,'036-20-Cotação'!$A$9:$H$529,8,0))))</f>
        <v>M.O</v>
      </c>
      <c r="E519" s="452" t="str">
        <f>IF(A519="SERVIÇO",VLOOKUP(B519,SERVIÇOS!$A$6:$D$7645,3,0),IF(A519="INSUMO",VLOOKUP(B519,INSUMOS!$A$6:$D$6961,3,0),IF(A519="COTAÇÃO",VLOOKUP(B519,'036-20-Cotação'!$A$9:$G$529,4,0))))</f>
        <v>H</v>
      </c>
      <c r="F519" s="462">
        <f>10/100</f>
        <v>0.1</v>
      </c>
      <c r="G519" s="453">
        <f>IF(A519="SERVIÇO",VLOOKUP(B519,SERVIÇOS!$A$6:$D$7645,4,0),IF(A519="INSUMO",VLOOKUP(B519,INSUMOS!$A$6:$D$6961,4,0),IF(A519="COTAÇÃO",VLOOKUP(B519,'036-20-Cotação'!$A$9:$G$529,3,0))))</f>
        <v>15.637499999999999</v>
      </c>
      <c r="H519" s="463">
        <f t="shared" si="101"/>
        <v>1.56375</v>
      </c>
      <c r="J519" s="201"/>
    </row>
    <row r="520" spans="1:19" s="87" customFormat="1" ht="12.75">
      <c r="A520" s="188"/>
      <c r="B520" s="348" t="s">
        <v>123</v>
      </c>
      <c r="C520" s="695" t="s">
        <v>13388</v>
      </c>
      <c r="D520" s="696"/>
      <c r="E520" s="696"/>
      <c r="F520" s="696"/>
      <c r="G520" s="696"/>
      <c r="H520" s="697"/>
      <c r="J520" s="201"/>
      <c r="K520" s="78"/>
      <c r="L520" s="78"/>
      <c r="M520" s="78"/>
      <c r="N520" s="78"/>
      <c r="O520" s="78"/>
      <c r="P520" s="78"/>
      <c r="Q520" s="78"/>
    </row>
    <row r="521" spans="1:19" s="87" customFormat="1" ht="12.75">
      <c r="A521" s="188"/>
      <c r="B521" s="346"/>
      <c r="C521" s="486"/>
      <c r="D521" s="486"/>
      <c r="E521" s="486"/>
      <c r="F521" s="486"/>
      <c r="G521" s="486"/>
      <c r="H521" s="487"/>
      <c r="J521" s="201"/>
      <c r="K521" s="78"/>
      <c r="L521" s="78"/>
      <c r="M521" s="78"/>
      <c r="N521" s="78"/>
      <c r="O521" s="78"/>
      <c r="P521" s="78"/>
      <c r="Q521" s="78"/>
    </row>
    <row r="522" spans="1:19" s="87" customFormat="1" ht="25.5">
      <c r="A522" s="188"/>
      <c r="B522" s="80">
        <v>4805750</v>
      </c>
      <c r="C522" s="81" t="s">
        <v>13390</v>
      </c>
      <c r="D522" s="82" t="s">
        <v>201</v>
      </c>
      <c r="E522" s="82" t="s">
        <v>172</v>
      </c>
      <c r="F522" s="83"/>
      <c r="G522" s="84"/>
      <c r="H522" s="85">
        <f>SUM(H523:H524)</f>
        <v>31.975559999999998</v>
      </c>
      <c r="J522" s="201" t="s">
        <v>13391</v>
      </c>
      <c r="K522" s="78"/>
      <c r="L522" s="78"/>
      <c r="M522" s="78"/>
      <c r="N522" s="78"/>
      <c r="O522" s="78"/>
      <c r="P522" s="78"/>
      <c r="Q522" s="78"/>
    </row>
    <row r="523" spans="1:19" s="87" customFormat="1" ht="12.75">
      <c r="A523" s="232" t="s">
        <v>4542</v>
      </c>
      <c r="B523" s="464" t="s">
        <v>6602</v>
      </c>
      <c r="C523" s="451" t="str">
        <f>IF(A523="SERVIÇO",VLOOKUP(B523,SERVIÇOS!$A$6:$D$7645,2,0),IF(A523="INSUMO",VLOOKUP(B523,INSUMOS!$A$6:$D$6961,2,0),IF(A523="COTAÇÃO",VLOOKUP(B523,'036-20-Cotação'!$A$9:$G$529,2,0))))</f>
        <v>SERVENTE</v>
      </c>
      <c r="D523" s="452" t="str">
        <f>IF(A523="SERVIÇO",VLOOKUP(B523,SERVIÇOS!$A$6:$E$7645,5,0),IF(A523="INSUMO",VLOOKUP(B523,INSUMOS!$A$6:$E$6961,5,0),IF(A523="COTAÇÃO",VLOOKUP(B523,'036-20-Cotação'!$A$9:$H$529,8,0))))</f>
        <v>M.O</v>
      </c>
      <c r="E523" s="452" t="str">
        <f>IF(A523="SERVIÇO",VLOOKUP(B523,SERVIÇOS!$A$6:$D$7645,3,0),IF(A523="INSUMO",VLOOKUP(B523,INSUMOS!$A$6:$D$6961,3,0),IF(A523="COTAÇÃO",VLOOKUP(B523,'036-20-Cotação'!$A$9:$G$529,4,0))))</f>
        <v>H</v>
      </c>
      <c r="F523" s="462">
        <f>1/0.5</f>
        <v>2</v>
      </c>
      <c r="G523" s="453">
        <f>IF(A523="SERVIÇO",VLOOKUP(B523,SERVIÇOS!$A$6:$D$7645,4,0),IF(A523="INSUMO",VLOOKUP(B523,INSUMOS!$A$6:$D$6961,4,0),IF(A523="COTAÇÃO",VLOOKUP(B523,'036-20-Cotação'!$A$9:$G$529,3,0))))</f>
        <v>15.637499999999999</v>
      </c>
      <c r="H523" s="463">
        <f t="shared" ref="H523:H524" si="103">G523*F523</f>
        <v>31.274999999999999</v>
      </c>
      <c r="J523" s="201"/>
    </row>
    <row r="524" spans="1:19" s="87" customFormat="1" ht="12.75">
      <c r="A524" s="232" t="s">
        <v>4542</v>
      </c>
      <c r="B524" s="464" t="s">
        <v>13130</v>
      </c>
      <c r="C524" s="451" t="s">
        <v>13131</v>
      </c>
      <c r="D524" s="452"/>
      <c r="E524" s="452"/>
      <c r="F524" s="462">
        <v>2.24E-2</v>
      </c>
      <c r="G524" s="453">
        <f>SUM(H523)</f>
        <v>31.274999999999999</v>
      </c>
      <c r="H524" s="463">
        <f t="shared" si="103"/>
        <v>0.70055999999999996</v>
      </c>
      <c r="J524" s="201"/>
    </row>
    <row r="525" spans="1:19" s="87" customFormat="1" ht="12.75">
      <c r="A525" s="188"/>
      <c r="B525" s="348" t="s">
        <v>123</v>
      </c>
      <c r="C525" s="695" t="s">
        <v>13392</v>
      </c>
      <c r="D525" s="696"/>
      <c r="E525" s="696"/>
      <c r="F525" s="696"/>
      <c r="G525" s="696"/>
      <c r="H525" s="697"/>
      <c r="J525" s="201"/>
      <c r="K525" s="78"/>
      <c r="L525" s="78"/>
      <c r="M525" s="78"/>
      <c r="N525" s="78"/>
      <c r="O525" s="78"/>
      <c r="P525" s="78"/>
      <c r="Q525" s="78"/>
    </row>
    <row r="526" spans="1:19" s="297" customFormat="1" ht="20.25" customHeight="1">
      <c r="A526" s="64"/>
      <c r="B526" s="64"/>
      <c r="C526" s="64"/>
      <c r="D526" s="64"/>
      <c r="E526" s="64"/>
      <c r="F526" s="64"/>
      <c r="G526" s="64"/>
      <c r="H526" s="64"/>
      <c r="J526" s="298"/>
      <c r="K526" s="304"/>
      <c r="L526" s="78"/>
      <c r="M526" s="78"/>
      <c r="N526" s="78"/>
      <c r="O526" s="78"/>
      <c r="P526" s="78"/>
      <c r="Q526" s="308"/>
      <c r="R526" s="308"/>
      <c r="S526" s="308"/>
    </row>
    <row r="527" spans="1:19" s="297" customFormat="1" ht="45" customHeight="1">
      <c r="A527" s="54"/>
      <c r="B527" s="671" t="str">
        <f>'036-20-CAPA'!B40</f>
        <v>ENG. GILMAR DA MOTA FERNANDES
CREA 23785/D-DF
ART: 0720200027743</v>
      </c>
      <c r="C527" s="671"/>
      <c r="D527" s="671"/>
      <c r="E527" s="671"/>
      <c r="F527" s="671"/>
      <c r="G527" s="671"/>
      <c r="H527" s="671"/>
      <c r="J527" s="298"/>
    </row>
    <row r="528" spans="1:19" s="87" customFormat="1" ht="15" customHeight="1">
      <c r="A528" s="64"/>
      <c r="B528" s="64"/>
      <c r="C528" s="64"/>
      <c r="D528" s="64"/>
      <c r="E528" s="64"/>
      <c r="F528" s="64"/>
      <c r="G528" s="64"/>
      <c r="H528" s="64"/>
      <c r="J528" s="201"/>
    </row>
    <row r="529" spans="1:19" s="87" customFormat="1" ht="44.25" customHeight="1">
      <c r="A529" s="64"/>
      <c r="B529" s="64"/>
      <c r="C529" s="64"/>
      <c r="D529" s="64"/>
      <c r="E529" s="64"/>
      <c r="F529" s="372"/>
      <c r="G529" s="64"/>
      <c r="H529" s="64"/>
      <c r="K529" s="78"/>
      <c r="L529" s="78"/>
      <c r="M529" s="78"/>
    </row>
    <row r="530" spans="1:19" s="87" customFormat="1" ht="48" customHeight="1">
      <c r="A530" s="64"/>
      <c r="B530" s="64"/>
      <c r="C530" s="64"/>
      <c r="D530" s="64"/>
      <c r="E530" s="64"/>
      <c r="F530" s="64"/>
      <c r="G530" s="64"/>
      <c r="H530" s="64"/>
      <c r="K530" s="64"/>
      <c r="L530" s="64"/>
      <c r="M530" s="64"/>
      <c r="N530" s="78"/>
      <c r="O530" s="78"/>
      <c r="P530" s="78"/>
      <c r="Q530" s="78"/>
      <c r="R530" s="78"/>
      <c r="S530" s="78"/>
    </row>
    <row r="531" spans="1:19" s="78" customFormat="1">
      <c r="A531" s="64"/>
      <c r="B531" s="64"/>
      <c r="C531" s="64"/>
      <c r="D531" s="64"/>
      <c r="E531" s="64"/>
      <c r="F531" s="64"/>
      <c r="G531" s="64"/>
      <c r="H531" s="64"/>
      <c r="J531" s="79"/>
      <c r="K531" s="54"/>
      <c r="L531" s="54"/>
      <c r="M531" s="54"/>
      <c r="N531" s="64"/>
      <c r="O531" s="64"/>
      <c r="P531" s="64"/>
      <c r="Q531" s="64"/>
      <c r="R531" s="64"/>
      <c r="S531" s="64"/>
    </row>
    <row r="532" spans="1:19">
      <c r="N532" s="54"/>
      <c r="O532" s="54"/>
      <c r="P532" s="54"/>
      <c r="Q532" s="54"/>
      <c r="R532" s="54"/>
      <c r="S532" s="54"/>
    </row>
    <row r="533" spans="1:19" s="54" customFormat="1" ht="51" customHeight="1">
      <c r="A533" s="64"/>
      <c r="B533" s="64"/>
      <c r="C533" s="64"/>
      <c r="D533" s="64"/>
      <c r="E533" s="64"/>
      <c r="F533" s="64"/>
      <c r="G533" s="64"/>
      <c r="H533" s="64"/>
      <c r="K533" s="64"/>
      <c r="L533" s="64"/>
      <c r="M533" s="64"/>
      <c r="N533" s="64"/>
      <c r="O533" s="64"/>
      <c r="P533" s="64"/>
      <c r="Q533" s="64"/>
      <c r="R533" s="64"/>
      <c r="S533" s="64"/>
    </row>
    <row r="535" spans="1:19" s="325" customFormat="1"/>
  </sheetData>
  <autoFilter ref="B9:H534"/>
  <mergeCells count="69">
    <mergeCell ref="C496:H496"/>
    <mergeCell ref="C514:H514"/>
    <mergeCell ref="C162:H162"/>
    <mergeCell ref="C520:H520"/>
    <mergeCell ref="C525:H525"/>
    <mergeCell ref="C360:H360"/>
    <mergeCell ref="C203:H203"/>
    <mergeCell ref="C211:H211"/>
    <mergeCell ref="C218:H218"/>
    <mergeCell ref="C223:H223"/>
    <mergeCell ref="C488:H488"/>
    <mergeCell ref="C390:H390"/>
    <mergeCell ref="C396:H396"/>
    <mergeCell ref="C402:H402"/>
    <mergeCell ref="C407:H407"/>
    <mergeCell ref="C422:H422"/>
    <mergeCell ref="B527:H527"/>
    <mergeCell ref="C233:H233"/>
    <mergeCell ref="C259:H259"/>
    <mergeCell ref="C274:H274"/>
    <mergeCell ref="C279:H279"/>
    <mergeCell ref="C284:H284"/>
    <mergeCell ref="C291:H291"/>
    <mergeCell ref="C296:H296"/>
    <mergeCell ref="C301:H301"/>
    <mergeCell ref="C311:H311"/>
    <mergeCell ref="C316:H316"/>
    <mergeCell ref="C321:H321"/>
    <mergeCell ref="C342:H342"/>
    <mergeCell ref="C370:H370"/>
    <mergeCell ref="C375:H375"/>
    <mergeCell ref="C326:H326"/>
    <mergeCell ref="C7:F7"/>
    <mergeCell ref="C16:H16"/>
    <mergeCell ref="C24:H24"/>
    <mergeCell ref="C35:H35"/>
    <mergeCell ref="C42:H42"/>
    <mergeCell ref="C64:H64"/>
    <mergeCell ref="C54:H54"/>
    <mergeCell ref="C77:H77"/>
    <mergeCell ref="C103:H103"/>
    <mergeCell ref="C111:H111"/>
    <mergeCell ref="C83:H83"/>
    <mergeCell ref="C90:H90"/>
    <mergeCell ref="C117:H117"/>
    <mergeCell ref="C124:H124"/>
    <mergeCell ref="C132:H132"/>
    <mergeCell ref="C174:H174"/>
    <mergeCell ref="C196:H196"/>
    <mergeCell ref="C140:H140"/>
    <mergeCell ref="C148:H148"/>
    <mergeCell ref="C155:H155"/>
    <mergeCell ref="C166:H166"/>
    <mergeCell ref="C182:H182"/>
    <mergeCell ref="B1:H1"/>
    <mergeCell ref="B2:H2"/>
    <mergeCell ref="B3:H3"/>
    <mergeCell ref="B4:H4"/>
    <mergeCell ref="B5:H5"/>
    <mergeCell ref="C252:H252"/>
    <mergeCell ref="C245:H245"/>
    <mergeCell ref="C307:H307"/>
    <mergeCell ref="C475:H475"/>
    <mergeCell ref="C483:H483"/>
    <mergeCell ref="C427:H427"/>
    <mergeCell ref="C444:H444"/>
    <mergeCell ref="C450:H450"/>
    <mergeCell ref="C454:H454"/>
    <mergeCell ref="C459:H459"/>
  </mergeCells>
  <phoneticPr fontId="75" type="noConversion"/>
  <printOptions horizontalCentered="1"/>
  <pageMargins left="0.78740157480314965" right="0.78740157480314965" top="0.39370078740157483" bottom="0.39370078740157483" header="0.11811023622047245" footer="0.11811023622047245"/>
  <pageSetup paperSize="9" scale="74" orientation="portrait" r:id="rId1"/>
  <headerFooter>
    <oddHeader>&amp;C&amp;F</oddHeader>
    <oddFooter>Página &amp;P de &amp;N</oddFooter>
  </headerFooter>
  <drawing r:id="rId2"/>
  <legacyDrawing r:id="rId3"/>
</worksheet>
</file>

<file path=xl/worksheets/sheet6.xml><?xml version="1.0" encoding="utf-8"?>
<worksheet xmlns="http://schemas.openxmlformats.org/spreadsheetml/2006/main" xmlns:r="http://schemas.openxmlformats.org/officeDocument/2006/relationships">
  <dimension ref="A1:G7644"/>
  <sheetViews>
    <sheetView topLeftCell="A7573" zoomScale="115" zoomScaleNormal="115" workbookViewId="0">
      <selection activeCell="B7596" sqref="B7596"/>
    </sheetView>
  </sheetViews>
  <sheetFormatPr defaultRowHeight="12.75"/>
  <cols>
    <col min="1" max="1" width="11.140625" style="252" customWidth="1"/>
    <col min="2" max="2" width="111.7109375" style="252" customWidth="1"/>
    <col min="3" max="3" width="10.85546875" style="252" customWidth="1"/>
    <col min="4" max="4" width="13.7109375" style="252" bestFit="1" customWidth="1"/>
    <col min="5" max="5" width="13.28515625" style="252" customWidth="1"/>
    <col min="6" max="6" width="48.7109375" style="248" customWidth="1"/>
    <col min="7" max="7" width="24.5703125" style="252" customWidth="1"/>
    <col min="8" max="8" width="48.7109375" style="252" customWidth="1"/>
    <col min="9" max="9" width="8.140625" style="252" customWidth="1"/>
    <col min="10" max="10" width="38.7109375" style="252" customWidth="1"/>
    <col min="11" max="11" width="21.140625" style="252" customWidth="1"/>
    <col min="12" max="12" width="82" style="252" customWidth="1"/>
    <col min="13" max="256" width="9.140625" style="252"/>
    <col min="257" max="257" width="11.140625" style="252" customWidth="1"/>
    <col min="258" max="258" width="77.28515625" style="252" customWidth="1"/>
    <col min="259" max="259" width="8.5703125" style="252" customWidth="1"/>
    <col min="260" max="260" width="17.5703125" style="252" customWidth="1"/>
    <col min="261" max="261" width="15.28515625" style="252" customWidth="1"/>
    <col min="262" max="262" width="48.7109375" style="252" customWidth="1"/>
    <col min="263" max="263" width="24.5703125" style="252" customWidth="1"/>
    <col min="264" max="264" width="48.7109375" style="252" customWidth="1"/>
    <col min="265" max="265" width="8.140625" style="252" customWidth="1"/>
    <col min="266" max="266" width="38.7109375" style="252" customWidth="1"/>
    <col min="267" max="267" width="21.140625" style="252" customWidth="1"/>
    <col min="268" max="268" width="82" style="252" customWidth="1"/>
    <col min="269" max="512" width="9.140625" style="252"/>
    <col min="513" max="513" width="11.140625" style="252" customWidth="1"/>
    <col min="514" max="514" width="77.28515625" style="252" customWidth="1"/>
    <col min="515" max="515" width="8.5703125" style="252" customWidth="1"/>
    <col min="516" max="516" width="17.5703125" style="252" customWidth="1"/>
    <col min="517" max="517" width="15.28515625" style="252" customWidth="1"/>
    <col min="518" max="518" width="48.7109375" style="252" customWidth="1"/>
    <col min="519" max="519" width="24.5703125" style="252" customWidth="1"/>
    <col min="520" max="520" width="48.7109375" style="252" customWidth="1"/>
    <col min="521" max="521" width="8.140625" style="252" customWidth="1"/>
    <col min="522" max="522" width="38.7109375" style="252" customWidth="1"/>
    <col min="523" max="523" width="21.140625" style="252" customWidth="1"/>
    <col min="524" max="524" width="82" style="252" customWidth="1"/>
    <col min="525" max="768" width="9.140625" style="252"/>
    <col min="769" max="769" width="11.140625" style="252" customWidth="1"/>
    <col min="770" max="770" width="77.28515625" style="252" customWidth="1"/>
    <col min="771" max="771" width="8.5703125" style="252" customWidth="1"/>
    <col min="772" max="772" width="17.5703125" style="252" customWidth="1"/>
    <col min="773" max="773" width="15.28515625" style="252" customWidth="1"/>
    <col min="774" max="774" width="48.7109375" style="252" customWidth="1"/>
    <col min="775" max="775" width="24.5703125" style="252" customWidth="1"/>
    <col min="776" max="776" width="48.7109375" style="252" customWidth="1"/>
    <col min="777" max="777" width="8.140625" style="252" customWidth="1"/>
    <col min="778" max="778" width="38.7109375" style="252" customWidth="1"/>
    <col min="779" max="779" width="21.140625" style="252" customWidth="1"/>
    <col min="780" max="780" width="82" style="252" customWidth="1"/>
    <col min="781" max="1024" width="9.140625" style="252"/>
    <col min="1025" max="1025" width="11.140625" style="252" customWidth="1"/>
    <col min="1026" max="1026" width="77.28515625" style="252" customWidth="1"/>
    <col min="1027" max="1027" width="8.5703125" style="252" customWidth="1"/>
    <col min="1028" max="1028" width="17.5703125" style="252" customWidth="1"/>
    <col min="1029" max="1029" width="15.28515625" style="252" customWidth="1"/>
    <col min="1030" max="1030" width="48.7109375" style="252" customWidth="1"/>
    <col min="1031" max="1031" width="24.5703125" style="252" customWidth="1"/>
    <col min="1032" max="1032" width="48.7109375" style="252" customWidth="1"/>
    <col min="1033" max="1033" width="8.140625" style="252" customWidth="1"/>
    <col min="1034" max="1034" width="38.7109375" style="252" customWidth="1"/>
    <col min="1035" max="1035" width="21.140625" style="252" customWidth="1"/>
    <col min="1036" max="1036" width="82" style="252" customWidth="1"/>
    <col min="1037" max="1280" width="9.140625" style="252"/>
    <col min="1281" max="1281" width="11.140625" style="252" customWidth="1"/>
    <col min="1282" max="1282" width="77.28515625" style="252" customWidth="1"/>
    <col min="1283" max="1283" width="8.5703125" style="252" customWidth="1"/>
    <col min="1284" max="1284" width="17.5703125" style="252" customWidth="1"/>
    <col min="1285" max="1285" width="15.28515625" style="252" customWidth="1"/>
    <col min="1286" max="1286" width="48.7109375" style="252" customWidth="1"/>
    <col min="1287" max="1287" width="24.5703125" style="252" customWidth="1"/>
    <col min="1288" max="1288" width="48.7109375" style="252" customWidth="1"/>
    <col min="1289" max="1289" width="8.140625" style="252" customWidth="1"/>
    <col min="1290" max="1290" width="38.7109375" style="252" customWidth="1"/>
    <col min="1291" max="1291" width="21.140625" style="252" customWidth="1"/>
    <col min="1292" max="1292" width="82" style="252" customWidth="1"/>
    <col min="1293" max="1536" width="9.140625" style="252"/>
    <col min="1537" max="1537" width="11.140625" style="252" customWidth="1"/>
    <col min="1538" max="1538" width="77.28515625" style="252" customWidth="1"/>
    <col min="1539" max="1539" width="8.5703125" style="252" customWidth="1"/>
    <col min="1540" max="1540" width="17.5703125" style="252" customWidth="1"/>
    <col min="1541" max="1541" width="15.28515625" style="252" customWidth="1"/>
    <col min="1542" max="1542" width="48.7109375" style="252" customWidth="1"/>
    <col min="1543" max="1543" width="24.5703125" style="252" customWidth="1"/>
    <col min="1544" max="1544" width="48.7109375" style="252" customWidth="1"/>
    <col min="1545" max="1545" width="8.140625" style="252" customWidth="1"/>
    <col min="1546" max="1546" width="38.7109375" style="252" customWidth="1"/>
    <col min="1547" max="1547" width="21.140625" style="252" customWidth="1"/>
    <col min="1548" max="1548" width="82" style="252" customWidth="1"/>
    <col min="1549" max="1792" width="9.140625" style="252"/>
    <col min="1793" max="1793" width="11.140625" style="252" customWidth="1"/>
    <col min="1794" max="1794" width="77.28515625" style="252" customWidth="1"/>
    <col min="1795" max="1795" width="8.5703125" style="252" customWidth="1"/>
    <col min="1796" max="1796" width="17.5703125" style="252" customWidth="1"/>
    <col min="1797" max="1797" width="15.28515625" style="252" customWidth="1"/>
    <col min="1798" max="1798" width="48.7109375" style="252" customWidth="1"/>
    <col min="1799" max="1799" width="24.5703125" style="252" customWidth="1"/>
    <col min="1800" max="1800" width="48.7109375" style="252" customWidth="1"/>
    <col min="1801" max="1801" width="8.140625" style="252" customWidth="1"/>
    <col min="1802" max="1802" width="38.7109375" style="252" customWidth="1"/>
    <col min="1803" max="1803" width="21.140625" style="252" customWidth="1"/>
    <col min="1804" max="1804" width="82" style="252" customWidth="1"/>
    <col min="1805" max="2048" width="9.140625" style="252"/>
    <col min="2049" max="2049" width="11.140625" style="252" customWidth="1"/>
    <col min="2050" max="2050" width="77.28515625" style="252" customWidth="1"/>
    <col min="2051" max="2051" width="8.5703125" style="252" customWidth="1"/>
    <col min="2052" max="2052" width="17.5703125" style="252" customWidth="1"/>
    <col min="2053" max="2053" width="15.28515625" style="252" customWidth="1"/>
    <col min="2054" max="2054" width="48.7109375" style="252" customWidth="1"/>
    <col min="2055" max="2055" width="24.5703125" style="252" customWidth="1"/>
    <col min="2056" max="2056" width="48.7109375" style="252" customWidth="1"/>
    <col min="2057" max="2057" width="8.140625" style="252" customWidth="1"/>
    <col min="2058" max="2058" width="38.7109375" style="252" customWidth="1"/>
    <col min="2059" max="2059" width="21.140625" style="252" customWidth="1"/>
    <col min="2060" max="2060" width="82" style="252" customWidth="1"/>
    <col min="2061" max="2304" width="9.140625" style="252"/>
    <col min="2305" max="2305" width="11.140625" style="252" customWidth="1"/>
    <col min="2306" max="2306" width="77.28515625" style="252" customWidth="1"/>
    <col min="2307" max="2307" width="8.5703125" style="252" customWidth="1"/>
    <col min="2308" max="2308" width="17.5703125" style="252" customWidth="1"/>
    <col min="2309" max="2309" width="15.28515625" style="252" customWidth="1"/>
    <col min="2310" max="2310" width="48.7109375" style="252" customWidth="1"/>
    <col min="2311" max="2311" width="24.5703125" style="252" customWidth="1"/>
    <col min="2312" max="2312" width="48.7109375" style="252" customWidth="1"/>
    <col min="2313" max="2313" width="8.140625" style="252" customWidth="1"/>
    <col min="2314" max="2314" width="38.7109375" style="252" customWidth="1"/>
    <col min="2315" max="2315" width="21.140625" style="252" customWidth="1"/>
    <col min="2316" max="2316" width="82" style="252" customWidth="1"/>
    <col min="2317" max="2560" width="9.140625" style="252"/>
    <col min="2561" max="2561" width="11.140625" style="252" customWidth="1"/>
    <col min="2562" max="2562" width="77.28515625" style="252" customWidth="1"/>
    <col min="2563" max="2563" width="8.5703125" style="252" customWidth="1"/>
    <col min="2564" max="2564" width="17.5703125" style="252" customWidth="1"/>
    <col min="2565" max="2565" width="15.28515625" style="252" customWidth="1"/>
    <col min="2566" max="2566" width="48.7109375" style="252" customWidth="1"/>
    <col min="2567" max="2567" width="24.5703125" style="252" customWidth="1"/>
    <col min="2568" max="2568" width="48.7109375" style="252" customWidth="1"/>
    <col min="2569" max="2569" width="8.140625" style="252" customWidth="1"/>
    <col min="2570" max="2570" width="38.7109375" style="252" customWidth="1"/>
    <col min="2571" max="2571" width="21.140625" style="252" customWidth="1"/>
    <col min="2572" max="2572" width="82" style="252" customWidth="1"/>
    <col min="2573" max="2816" width="9.140625" style="252"/>
    <col min="2817" max="2817" width="11.140625" style="252" customWidth="1"/>
    <col min="2818" max="2818" width="77.28515625" style="252" customWidth="1"/>
    <col min="2819" max="2819" width="8.5703125" style="252" customWidth="1"/>
    <col min="2820" max="2820" width="17.5703125" style="252" customWidth="1"/>
    <col min="2821" max="2821" width="15.28515625" style="252" customWidth="1"/>
    <col min="2822" max="2822" width="48.7109375" style="252" customWidth="1"/>
    <col min="2823" max="2823" width="24.5703125" style="252" customWidth="1"/>
    <col min="2824" max="2824" width="48.7109375" style="252" customWidth="1"/>
    <col min="2825" max="2825" width="8.140625" style="252" customWidth="1"/>
    <col min="2826" max="2826" width="38.7109375" style="252" customWidth="1"/>
    <col min="2827" max="2827" width="21.140625" style="252" customWidth="1"/>
    <col min="2828" max="2828" width="82" style="252" customWidth="1"/>
    <col min="2829" max="3072" width="9.140625" style="252"/>
    <col min="3073" max="3073" width="11.140625" style="252" customWidth="1"/>
    <col min="3074" max="3074" width="77.28515625" style="252" customWidth="1"/>
    <col min="3075" max="3075" width="8.5703125" style="252" customWidth="1"/>
    <col min="3076" max="3076" width="17.5703125" style="252" customWidth="1"/>
    <col min="3077" max="3077" width="15.28515625" style="252" customWidth="1"/>
    <col min="3078" max="3078" width="48.7109375" style="252" customWidth="1"/>
    <col min="3079" max="3079" width="24.5703125" style="252" customWidth="1"/>
    <col min="3080" max="3080" width="48.7109375" style="252" customWidth="1"/>
    <col min="3081" max="3081" width="8.140625" style="252" customWidth="1"/>
    <col min="3082" max="3082" width="38.7109375" style="252" customWidth="1"/>
    <col min="3083" max="3083" width="21.140625" style="252" customWidth="1"/>
    <col min="3084" max="3084" width="82" style="252" customWidth="1"/>
    <col min="3085" max="3328" width="9.140625" style="252"/>
    <col min="3329" max="3329" width="11.140625" style="252" customWidth="1"/>
    <col min="3330" max="3330" width="77.28515625" style="252" customWidth="1"/>
    <col min="3331" max="3331" width="8.5703125" style="252" customWidth="1"/>
    <col min="3332" max="3332" width="17.5703125" style="252" customWidth="1"/>
    <col min="3333" max="3333" width="15.28515625" style="252" customWidth="1"/>
    <col min="3334" max="3334" width="48.7109375" style="252" customWidth="1"/>
    <col min="3335" max="3335" width="24.5703125" style="252" customWidth="1"/>
    <col min="3336" max="3336" width="48.7109375" style="252" customWidth="1"/>
    <col min="3337" max="3337" width="8.140625" style="252" customWidth="1"/>
    <col min="3338" max="3338" width="38.7109375" style="252" customWidth="1"/>
    <col min="3339" max="3339" width="21.140625" style="252" customWidth="1"/>
    <col min="3340" max="3340" width="82" style="252" customWidth="1"/>
    <col min="3341" max="3584" width="9.140625" style="252"/>
    <col min="3585" max="3585" width="11.140625" style="252" customWidth="1"/>
    <col min="3586" max="3586" width="77.28515625" style="252" customWidth="1"/>
    <col min="3587" max="3587" width="8.5703125" style="252" customWidth="1"/>
    <col min="3588" max="3588" width="17.5703125" style="252" customWidth="1"/>
    <col min="3589" max="3589" width="15.28515625" style="252" customWidth="1"/>
    <col min="3590" max="3590" width="48.7109375" style="252" customWidth="1"/>
    <col min="3591" max="3591" width="24.5703125" style="252" customWidth="1"/>
    <col min="3592" max="3592" width="48.7109375" style="252" customWidth="1"/>
    <col min="3593" max="3593" width="8.140625" style="252" customWidth="1"/>
    <col min="3594" max="3594" width="38.7109375" style="252" customWidth="1"/>
    <col min="3595" max="3595" width="21.140625" style="252" customWidth="1"/>
    <col min="3596" max="3596" width="82" style="252" customWidth="1"/>
    <col min="3597" max="3840" width="9.140625" style="252"/>
    <col min="3841" max="3841" width="11.140625" style="252" customWidth="1"/>
    <col min="3842" max="3842" width="77.28515625" style="252" customWidth="1"/>
    <col min="3843" max="3843" width="8.5703125" style="252" customWidth="1"/>
    <col min="3844" max="3844" width="17.5703125" style="252" customWidth="1"/>
    <col min="3845" max="3845" width="15.28515625" style="252" customWidth="1"/>
    <col min="3846" max="3846" width="48.7109375" style="252" customWidth="1"/>
    <col min="3847" max="3847" width="24.5703125" style="252" customWidth="1"/>
    <col min="3848" max="3848" width="48.7109375" style="252" customWidth="1"/>
    <col min="3849" max="3849" width="8.140625" style="252" customWidth="1"/>
    <col min="3850" max="3850" width="38.7109375" style="252" customWidth="1"/>
    <col min="3851" max="3851" width="21.140625" style="252" customWidth="1"/>
    <col min="3852" max="3852" width="82" style="252" customWidth="1"/>
    <col min="3853" max="4096" width="9.140625" style="252"/>
    <col min="4097" max="4097" width="11.140625" style="252" customWidth="1"/>
    <col min="4098" max="4098" width="77.28515625" style="252" customWidth="1"/>
    <col min="4099" max="4099" width="8.5703125" style="252" customWidth="1"/>
    <col min="4100" max="4100" width="17.5703125" style="252" customWidth="1"/>
    <col min="4101" max="4101" width="15.28515625" style="252" customWidth="1"/>
    <col min="4102" max="4102" width="48.7109375" style="252" customWidth="1"/>
    <col min="4103" max="4103" width="24.5703125" style="252" customWidth="1"/>
    <col min="4104" max="4104" width="48.7109375" style="252" customWidth="1"/>
    <col min="4105" max="4105" width="8.140625" style="252" customWidth="1"/>
    <col min="4106" max="4106" width="38.7109375" style="252" customWidth="1"/>
    <col min="4107" max="4107" width="21.140625" style="252" customWidth="1"/>
    <col min="4108" max="4108" width="82" style="252" customWidth="1"/>
    <col min="4109" max="4352" width="9.140625" style="252"/>
    <col min="4353" max="4353" width="11.140625" style="252" customWidth="1"/>
    <col min="4354" max="4354" width="77.28515625" style="252" customWidth="1"/>
    <col min="4355" max="4355" width="8.5703125" style="252" customWidth="1"/>
    <col min="4356" max="4356" width="17.5703125" style="252" customWidth="1"/>
    <col min="4357" max="4357" width="15.28515625" style="252" customWidth="1"/>
    <col min="4358" max="4358" width="48.7109375" style="252" customWidth="1"/>
    <col min="4359" max="4359" width="24.5703125" style="252" customWidth="1"/>
    <col min="4360" max="4360" width="48.7109375" style="252" customWidth="1"/>
    <col min="4361" max="4361" width="8.140625" style="252" customWidth="1"/>
    <col min="4362" max="4362" width="38.7109375" style="252" customWidth="1"/>
    <col min="4363" max="4363" width="21.140625" style="252" customWidth="1"/>
    <col min="4364" max="4364" width="82" style="252" customWidth="1"/>
    <col min="4365" max="4608" width="9.140625" style="252"/>
    <col min="4609" max="4609" width="11.140625" style="252" customWidth="1"/>
    <col min="4610" max="4610" width="77.28515625" style="252" customWidth="1"/>
    <col min="4611" max="4611" width="8.5703125" style="252" customWidth="1"/>
    <col min="4612" max="4612" width="17.5703125" style="252" customWidth="1"/>
    <col min="4613" max="4613" width="15.28515625" style="252" customWidth="1"/>
    <col min="4614" max="4614" width="48.7109375" style="252" customWidth="1"/>
    <col min="4615" max="4615" width="24.5703125" style="252" customWidth="1"/>
    <col min="4616" max="4616" width="48.7109375" style="252" customWidth="1"/>
    <col min="4617" max="4617" width="8.140625" style="252" customWidth="1"/>
    <col min="4618" max="4618" width="38.7109375" style="252" customWidth="1"/>
    <col min="4619" max="4619" width="21.140625" style="252" customWidth="1"/>
    <col min="4620" max="4620" width="82" style="252" customWidth="1"/>
    <col min="4621" max="4864" width="9.140625" style="252"/>
    <col min="4865" max="4865" width="11.140625" style="252" customWidth="1"/>
    <col min="4866" max="4866" width="77.28515625" style="252" customWidth="1"/>
    <col min="4867" max="4867" width="8.5703125" style="252" customWidth="1"/>
    <col min="4868" max="4868" width="17.5703125" style="252" customWidth="1"/>
    <col min="4869" max="4869" width="15.28515625" style="252" customWidth="1"/>
    <col min="4870" max="4870" width="48.7109375" style="252" customWidth="1"/>
    <col min="4871" max="4871" width="24.5703125" style="252" customWidth="1"/>
    <col min="4872" max="4872" width="48.7109375" style="252" customWidth="1"/>
    <col min="4873" max="4873" width="8.140625" style="252" customWidth="1"/>
    <col min="4874" max="4874" width="38.7109375" style="252" customWidth="1"/>
    <col min="4875" max="4875" width="21.140625" style="252" customWidth="1"/>
    <col min="4876" max="4876" width="82" style="252" customWidth="1"/>
    <col min="4877" max="5120" width="9.140625" style="252"/>
    <col min="5121" max="5121" width="11.140625" style="252" customWidth="1"/>
    <col min="5122" max="5122" width="77.28515625" style="252" customWidth="1"/>
    <col min="5123" max="5123" width="8.5703125" style="252" customWidth="1"/>
    <col min="5124" max="5124" width="17.5703125" style="252" customWidth="1"/>
    <col min="5125" max="5125" width="15.28515625" style="252" customWidth="1"/>
    <col min="5126" max="5126" width="48.7109375" style="252" customWidth="1"/>
    <col min="5127" max="5127" width="24.5703125" style="252" customWidth="1"/>
    <col min="5128" max="5128" width="48.7109375" style="252" customWidth="1"/>
    <col min="5129" max="5129" width="8.140625" style="252" customWidth="1"/>
    <col min="5130" max="5130" width="38.7109375" style="252" customWidth="1"/>
    <col min="5131" max="5131" width="21.140625" style="252" customWidth="1"/>
    <col min="5132" max="5132" width="82" style="252" customWidth="1"/>
    <col min="5133" max="5376" width="9.140625" style="252"/>
    <col min="5377" max="5377" width="11.140625" style="252" customWidth="1"/>
    <col min="5378" max="5378" width="77.28515625" style="252" customWidth="1"/>
    <col min="5379" max="5379" width="8.5703125" style="252" customWidth="1"/>
    <col min="5380" max="5380" width="17.5703125" style="252" customWidth="1"/>
    <col min="5381" max="5381" width="15.28515625" style="252" customWidth="1"/>
    <col min="5382" max="5382" width="48.7109375" style="252" customWidth="1"/>
    <col min="5383" max="5383" width="24.5703125" style="252" customWidth="1"/>
    <col min="5384" max="5384" width="48.7109375" style="252" customWidth="1"/>
    <col min="5385" max="5385" width="8.140625" style="252" customWidth="1"/>
    <col min="5386" max="5386" width="38.7109375" style="252" customWidth="1"/>
    <col min="5387" max="5387" width="21.140625" style="252" customWidth="1"/>
    <col min="5388" max="5388" width="82" style="252" customWidth="1"/>
    <col min="5389" max="5632" width="9.140625" style="252"/>
    <col min="5633" max="5633" width="11.140625" style="252" customWidth="1"/>
    <col min="5634" max="5634" width="77.28515625" style="252" customWidth="1"/>
    <col min="5635" max="5635" width="8.5703125" style="252" customWidth="1"/>
    <col min="5636" max="5636" width="17.5703125" style="252" customWidth="1"/>
    <col min="5637" max="5637" width="15.28515625" style="252" customWidth="1"/>
    <col min="5638" max="5638" width="48.7109375" style="252" customWidth="1"/>
    <col min="5639" max="5639" width="24.5703125" style="252" customWidth="1"/>
    <col min="5640" max="5640" width="48.7109375" style="252" customWidth="1"/>
    <col min="5641" max="5641" width="8.140625" style="252" customWidth="1"/>
    <col min="5642" max="5642" width="38.7109375" style="252" customWidth="1"/>
    <col min="5643" max="5643" width="21.140625" style="252" customWidth="1"/>
    <col min="5644" max="5644" width="82" style="252" customWidth="1"/>
    <col min="5645" max="5888" width="9.140625" style="252"/>
    <col min="5889" max="5889" width="11.140625" style="252" customWidth="1"/>
    <col min="5890" max="5890" width="77.28515625" style="252" customWidth="1"/>
    <col min="5891" max="5891" width="8.5703125" style="252" customWidth="1"/>
    <col min="5892" max="5892" width="17.5703125" style="252" customWidth="1"/>
    <col min="5893" max="5893" width="15.28515625" style="252" customWidth="1"/>
    <col min="5894" max="5894" width="48.7109375" style="252" customWidth="1"/>
    <col min="5895" max="5895" width="24.5703125" style="252" customWidth="1"/>
    <col min="5896" max="5896" width="48.7109375" style="252" customWidth="1"/>
    <col min="5897" max="5897" width="8.140625" style="252" customWidth="1"/>
    <col min="5898" max="5898" width="38.7109375" style="252" customWidth="1"/>
    <col min="5899" max="5899" width="21.140625" style="252" customWidth="1"/>
    <col min="5900" max="5900" width="82" style="252" customWidth="1"/>
    <col min="5901" max="6144" width="9.140625" style="252"/>
    <col min="6145" max="6145" width="11.140625" style="252" customWidth="1"/>
    <col min="6146" max="6146" width="77.28515625" style="252" customWidth="1"/>
    <col min="6147" max="6147" width="8.5703125" style="252" customWidth="1"/>
    <col min="6148" max="6148" width="17.5703125" style="252" customWidth="1"/>
    <col min="6149" max="6149" width="15.28515625" style="252" customWidth="1"/>
    <col min="6150" max="6150" width="48.7109375" style="252" customWidth="1"/>
    <col min="6151" max="6151" width="24.5703125" style="252" customWidth="1"/>
    <col min="6152" max="6152" width="48.7109375" style="252" customWidth="1"/>
    <col min="6153" max="6153" width="8.140625" style="252" customWidth="1"/>
    <col min="6154" max="6154" width="38.7109375" style="252" customWidth="1"/>
    <col min="6155" max="6155" width="21.140625" style="252" customWidth="1"/>
    <col min="6156" max="6156" width="82" style="252" customWidth="1"/>
    <col min="6157" max="6400" width="9.140625" style="252"/>
    <col min="6401" max="6401" width="11.140625" style="252" customWidth="1"/>
    <col min="6402" max="6402" width="77.28515625" style="252" customWidth="1"/>
    <col min="6403" max="6403" width="8.5703125" style="252" customWidth="1"/>
    <col min="6404" max="6404" width="17.5703125" style="252" customWidth="1"/>
    <col min="6405" max="6405" width="15.28515625" style="252" customWidth="1"/>
    <col min="6406" max="6406" width="48.7109375" style="252" customWidth="1"/>
    <col min="6407" max="6407" width="24.5703125" style="252" customWidth="1"/>
    <col min="6408" max="6408" width="48.7109375" style="252" customWidth="1"/>
    <col min="6409" max="6409" width="8.140625" style="252" customWidth="1"/>
    <col min="6410" max="6410" width="38.7109375" style="252" customWidth="1"/>
    <col min="6411" max="6411" width="21.140625" style="252" customWidth="1"/>
    <col min="6412" max="6412" width="82" style="252" customWidth="1"/>
    <col min="6413" max="6656" width="9.140625" style="252"/>
    <col min="6657" max="6657" width="11.140625" style="252" customWidth="1"/>
    <col min="6658" max="6658" width="77.28515625" style="252" customWidth="1"/>
    <col min="6659" max="6659" width="8.5703125" style="252" customWidth="1"/>
    <col min="6660" max="6660" width="17.5703125" style="252" customWidth="1"/>
    <col min="6661" max="6661" width="15.28515625" style="252" customWidth="1"/>
    <col min="6662" max="6662" width="48.7109375" style="252" customWidth="1"/>
    <col min="6663" max="6663" width="24.5703125" style="252" customWidth="1"/>
    <col min="6664" max="6664" width="48.7109375" style="252" customWidth="1"/>
    <col min="6665" max="6665" width="8.140625" style="252" customWidth="1"/>
    <col min="6666" max="6666" width="38.7109375" style="252" customWidth="1"/>
    <col min="6667" max="6667" width="21.140625" style="252" customWidth="1"/>
    <col min="6668" max="6668" width="82" style="252" customWidth="1"/>
    <col min="6669" max="6912" width="9.140625" style="252"/>
    <col min="6913" max="6913" width="11.140625" style="252" customWidth="1"/>
    <col min="6914" max="6914" width="77.28515625" style="252" customWidth="1"/>
    <col min="6915" max="6915" width="8.5703125" style="252" customWidth="1"/>
    <col min="6916" max="6916" width="17.5703125" style="252" customWidth="1"/>
    <col min="6917" max="6917" width="15.28515625" style="252" customWidth="1"/>
    <col min="6918" max="6918" width="48.7109375" style="252" customWidth="1"/>
    <col min="6919" max="6919" width="24.5703125" style="252" customWidth="1"/>
    <col min="6920" max="6920" width="48.7109375" style="252" customWidth="1"/>
    <col min="6921" max="6921" width="8.140625" style="252" customWidth="1"/>
    <col min="6922" max="6922" width="38.7109375" style="252" customWidth="1"/>
    <col min="6923" max="6923" width="21.140625" style="252" customWidth="1"/>
    <col min="6924" max="6924" width="82" style="252" customWidth="1"/>
    <col min="6925" max="7168" width="9.140625" style="252"/>
    <col min="7169" max="7169" width="11.140625" style="252" customWidth="1"/>
    <col min="7170" max="7170" width="77.28515625" style="252" customWidth="1"/>
    <col min="7171" max="7171" width="8.5703125" style="252" customWidth="1"/>
    <col min="7172" max="7172" width="17.5703125" style="252" customWidth="1"/>
    <col min="7173" max="7173" width="15.28515625" style="252" customWidth="1"/>
    <col min="7174" max="7174" width="48.7109375" style="252" customWidth="1"/>
    <col min="7175" max="7175" width="24.5703125" style="252" customWidth="1"/>
    <col min="7176" max="7176" width="48.7109375" style="252" customWidth="1"/>
    <col min="7177" max="7177" width="8.140625" style="252" customWidth="1"/>
    <col min="7178" max="7178" width="38.7109375" style="252" customWidth="1"/>
    <col min="7179" max="7179" width="21.140625" style="252" customWidth="1"/>
    <col min="7180" max="7180" width="82" style="252" customWidth="1"/>
    <col min="7181" max="7424" width="9.140625" style="252"/>
    <col min="7425" max="7425" width="11.140625" style="252" customWidth="1"/>
    <col min="7426" max="7426" width="77.28515625" style="252" customWidth="1"/>
    <col min="7427" max="7427" width="8.5703125" style="252" customWidth="1"/>
    <col min="7428" max="7428" width="17.5703125" style="252" customWidth="1"/>
    <col min="7429" max="7429" width="15.28515625" style="252" customWidth="1"/>
    <col min="7430" max="7430" width="48.7109375" style="252" customWidth="1"/>
    <col min="7431" max="7431" width="24.5703125" style="252" customWidth="1"/>
    <col min="7432" max="7432" width="48.7109375" style="252" customWidth="1"/>
    <col min="7433" max="7433" width="8.140625" style="252" customWidth="1"/>
    <col min="7434" max="7434" width="38.7109375" style="252" customWidth="1"/>
    <col min="7435" max="7435" width="21.140625" style="252" customWidth="1"/>
    <col min="7436" max="7436" width="82" style="252" customWidth="1"/>
    <col min="7437" max="7680" width="9.140625" style="252"/>
    <col min="7681" max="7681" width="11.140625" style="252" customWidth="1"/>
    <col min="7682" max="7682" width="77.28515625" style="252" customWidth="1"/>
    <col min="7683" max="7683" width="8.5703125" style="252" customWidth="1"/>
    <col min="7684" max="7684" width="17.5703125" style="252" customWidth="1"/>
    <col min="7685" max="7685" width="15.28515625" style="252" customWidth="1"/>
    <col min="7686" max="7686" width="48.7109375" style="252" customWidth="1"/>
    <col min="7687" max="7687" width="24.5703125" style="252" customWidth="1"/>
    <col min="7688" max="7688" width="48.7109375" style="252" customWidth="1"/>
    <col min="7689" max="7689" width="8.140625" style="252" customWidth="1"/>
    <col min="7690" max="7690" width="38.7109375" style="252" customWidth="1"/>
    <col min="7691" max="7691" width="21.140625" style="252" customWidth="1"/>
    <col min="7692" max="7692" width="82" style="252" customWidth="1"/>
    <col min="7693" max="7936" width="9.140625" style="252"/>
    <col min="7937" max="7937" width="11.140625" style="252" customWidth="1"/>
    <col min="7938" max="7938" width="77.28515625" style="252" customWidth="1"/>
    <col min="7939" max="7939" width="8.5703125" style="252" customWidth="1"/>
    <col min="7940" max="7940" width="17.5703125" style="252" customWidth="1"/>
    <col min="7941" max="7941" width="15.28515625" style="252" customWidth="1"/>
    <col min="7942" max="7942" width="48.7109375" style="252" customWidth="1"/>
    <col min="7943" max="7943" width="24.5703125" style="252" customWidth="1"/>
    <col min="7944" max="7944" width="48.7109375" style="252" customWidth="1"/>
    <col min="7945" max="7945" width="8.140625" style="252" customWidth="1"/>
    <col min="7946" max="7946" width="38.7109375" style="252" customWidth="1"/>
    <col min="7947" max="7947" width="21.140625" style="252" customWidth="1"/>
    <col min="7948" max="7948" width="82" style="252" customWidth="1"/>
    <col min="7949" max="8192" width="9.140625" style="252"/>
    <col min="8193" max="8193" width="11.140625" style="252" customWidth="1"/>
    <col min="8194" max="8194" width="77.28515625" style="252" customWidth="1"/>
    <col min="8195" max="8195" width="8.5703125" style="252" customWidth="1"/>
    <col min="8196" max="8196" width="17.5703125" style="252" customWidth="1"/>
    <col min="8197" max="8197" width="15.28515625" style="252" customWidth="1"/>
    <col min="8198" max="8198" width="48.7109375" style="252" customWidth="1"/>
    <col min="8199" max="8199" width="24.5703125" style="252" customWidth="1"/>
    <col min="8200" max="8200" width="48.7109375" style="252" customWidth="1"/>
    <col min="8201" max="8201" width="8.140625" style="252" customWidth="1"/>
    <col min="8202" max="8202" width="38.7109375" style="252" customWidth="1"/>
    <col min="8203" max="8203" width="21.140625" style="252" customWidth="1"/>
    <col min="8204" max="8204" width="82" style="252" customWidth="1"/>
    <col min="8205" max="8448" width="9.140625" style="252"/>
    <col min="8449" max="8449" width="11.140625" style="252" customWidth="1"/>
    <col min="8450" max="8450" width="77.28515625" style="252" customWidth="1"/>
    <col min="8451" max="8451" width="8.5703125" style="252" customWidth="1"/>
    <col min="8452" max="8452" width="17.5703125" style="252" customWidth="1"/>
    <col min="8453" max="8453" width="15.28515625" style="252" customWidth="1"/>
    <col min="8454" max="8454" width="48.7109375" style="252" customWidth="1"/>
    <col min="8455" max="8455" width="24.5703125" style="252" customWidth="1"/>
    <col min="8456" max="8456" width="48.7109375" style="252" customWidth="1"/>
    <col min="8457" max="8457" width="8.140625" style="252" customWidth="1"/>
    <col min="8458" max="8458" width="38.7109375" style="252" customWidth="1"/>
    <col min="8459" max="8459" width="21.140625" style="252" customWidth="1"/>
    <col min="8460" max="8460" width="82" style="252" customWidth="1"/>
    <col min="8461" max="8704" width="9.140625" style="252"/>
    <col min="8705" max="8705" width="11.140625" style="252" customWidth="1"/>
    <col min="8706" max="8706" width="77.28515625" style="252" customWidth="1"/>
    <col min="8707" max="8707" width="8.5703125" style="252" customWidth="1"/>
    <col min="8708" max="8708" width="17.5703125" style="252" customWidth="1"/>
    <col min="8709" max="8709" width="15.28515625" style="252" customWidth="1"/>
    <col min="8710" max="8710" width="48.7109375" style="252" customWidth="1"/>
    <col min="8711" max="8711" width="24.5703125" style="252" customWidth="1"/>
    <col min="8712" max="8712" width="48.7109375" style="252" customWidth="1"/>
    <col min="8713" max="8713" width="8.140625" style="252" customWidth="1"/>
    <col min="8714" max="8714" width="38.7109375" style="252" customWidth="1"/>
    <col min="8715" max="8715" width="21.140625" style="252" customWidth="1"/>
    <col min="8716" max="8716" width="82" style="252" customWidth="1"/>
    <col min="8717" max="8960" width="9.140625" style="252"/>
    <col min="8961" max="8961" width="11.140625" style="252" customWidth="1"/>
    <col min="8962" max="8962" width="77.28515625" style="252" customWidth="1"/>
    <col min="8963" max="8963" width="8.5703125" style="252" customWidth="1"/>
    <col min="8964" max="8964" width="17.5703125" style="252" customWidth="1"/>
    <col min="8965" max="8965" width="15.28515625" style="252" customWidth="1"/>
    <col min="8966" max="8966" width="48.7109375" style="252" customWidth="1"/>
    <col min="8967" max="8967" width="24.5703125" style="252" customWidth="1"/>
    <col min="8968" max="8968" width="48.7109375" style="252" customWidth="1"/>
    <col min="8969" max="8969" width="8.140625" style="252" customWidth="1"/>
    <col min="8970" max="8970" width="38.7109375" style="252" customWidth="1"/>
    <col min="8971" max="8971" width="21.140625" style="252" customWidth="1"/>
    <col min="8972" max="8972" width="82" style="252" customWidth="1"/>
    <col min="8973" max="9216" width="9.140625" style="252"/>
    <col min="9217" max="9217" width="11.140625" style="252" customWidth="1"/>
    <col min="9218" max="9218" width="77.28515625" style="252" customWidth="1"/>
    <col min="9219" max="9219" width="8.5703125" style="252" customWidth="1"/>
    <col min="9220" max="9220" width="17.5703125" style="252" customWidth="1"/>
    <col min="9221" max="9221" width="15.28515625" style="252" customWidth="1"/>
    <col min="9222" max="9222" width="48.7109375" style="252" customWidth="1"/>
    <col min="9223" max="9223" width="24.5703125" style="252" customWidth="1"/>
    <col min="9224" max="9224" width="48.7109375" style="252" customWidth="1"/>
    <col min="9225" max="9225" width="8.140625" style="252" customWidth="1"/>
    <col min="9226" max="9226" width="38.7109375" style="252" customWidth="1"/>
    <col min="9227" max="9227" width="21.140625" style="252" customWidth="1"/>
    <col min="9228" max="9228" width="82" style="252" customWidth="1"/>
    <col min="9229" max="9472" width="9.140625" style="252"/>
    <col min="9473" max="9473" width="11.140625" style="252" customWidth="1"/>
    <col min="9474" max="9474" width="77.28515625" style="252" customWidth="1"/>
    <col min="9475" max="9475" width="8.5703125" style="252" customWidth="1"/>
    <col min="9476" max="9476" width="17.5703125" style="252" customWidth="1"/>
    <col min="9477" max="9477" width="15.28515625" style="252" customWidth="1"/>
    <col min="9478" max="9478" width="48.7109375" style="252" customWidth="1"/>
    <col min="9479" max="9479" width="24.5703125" style="252" customWidth="1"/>
    <col min="9480" max="9480" width="48.7109375" style="252" customWidth="1"/>
    <col min="9481" max="9481" width="8.140625" style="252" customWidth="1"/>
    <col min="9482" max="9482" width="38.7109375" style="252" customWidth="1"/>
    <col min="9483" max="9483" width="21.140625" style="252" customWidth="1"/>
    <col min="9484" max="9484" width="82" style="252" customWidth="1"/>
    <col min="9485" max="9728" width="9.140625" style="252"/>
    <col min="9729" max="9729" width="11.140625" style="252" customWidth="1"/>
    <col min="9730" max="9730" width="77.28515625" style="252" customWidth="1"/>
    <col min="9731" max="9731" width="8.5703125" style="252" customWidth="1"/>
    <col min="9732" max="9732" width="17.5703125" style="252" customWidth="1"/>
    <col min="9733" max="9733" width="15.28515625" style="252" customWidth="1"/>
    <col min="9734" max="9734" width="48.7109375" style="252" customWidth="1"/>
    <col min="9735" max="9735" width="24.5703125" style="252" customWidth="1"/>
    <col min="9736" max="9736" width="48.7109375" style="252" customWidth="1"/>
    <col min="9737" max="9737" width="8.140625" style="252" customWidth="1"/>
    <col min="9738" max="9738" width="38.7109375" style="252" customWidth="1"/>
    <col min="9739" max="9739" width="21.140625" style="252" customWidth="1"/>
    <col min="9740" max="9740" width="82" style="252" customWidth="1"/>
    <col min="9741" max="9984" width="9.140625" style="252"/>
    <col min="9985" max="9985" width="11.140625" style="252" customWidth="1"/>
    <col min="9986" max="9986" width="77.28515625" style="252" customWidth="1"/>
    <col min="9987" max="9987" width="8.5703125" style="252" customWidth="1"/>
    <col min="9988" max="9988" width="17.5703125" style="252" customWidth="1"/>
    <col min="9989" max="9989" width="15.28515625" style="252" customWidth="1"/>
    <col min="9990" max="9990" width="48.7109375" style="252" customWidth="1"/>
    <col min="9991" max="9991" width="24.5703125" style="252" customWidth="1"/>
    <col min="9992" max="9992" width="48.7109375" style="252" customWidth="1"/>
    <col min="9993" max="9993" width="8.140625" style="252" customWidth="1"/>
    <col min="9994" max="9994" width="38.7109375" style="252" customWidth="1"/>
    <col min="9995" max="9995" width="21.140625" style="252" customWidth="1"/>
    <col min="9996" max="9996" width="82" style="252" customWidth="1"/>
    <col min="9997" max="10240" width="9.140625" style="252"/>
    <col min="10241" max="10241" width="11.140625" style="252" customWidth="1"/>
    <col min="10242" max="10242" width="77.28515625" style="252" customWidth="1"/>
    <col min="10243" max="10243" width="8.5703125" style="252" customWidth="1"/>
    <col min="10244" max="10244" width="17.5703125" style="252" customWidth="1"/>
    <col min="10245" max="10245" width="15.28515625" style="252" customWidth="1"/>
    <col min="10246" max="10246" width="48.7109375" style="252" customWidth="1"/>
    <col min="10247" max="10247" width="24.5703125" style="252" customWidth="1"/>
    <col min="10248" max="10248" width="48.7109375" style="252" customWidth="1"/>
    <col min="10249" max="10249" width="8.140625" style="252" customWidth="1"/>
    <col min="10250" max="10250" width="38.7109375" style="252" customWidth="1"/>
    <col min="10251" max="10251" width="21.140625" style="252" customWidth="1"/>
    <col min="10252" max="10252" width="82" style="252" customWidth="1"/>
    <col min="10253" max="10496" width="9.140625" style="252"/>
    <col min="10497" max="10497" width="11.140625" style="252" customWidth="1"/>
    <col min="10498" max="10498" width="77.28515625" style="252" customWidth="1"/>
    <col min="10499" max="10499" width="8.5703125" style="252" customWidth="1"/>
    <col min="10500" max="10500" width="17.5703125" style="252" customWidth="1"/>
    <col min="10501" max="10501" width="15.28515625" style="252" customWidth="1"/>
    <col min="10502" max="10502" width="48.7109375" style="252" customWidth="1"/>
    <col min="10503" max="10503" width="24.5703125" style="252" customWidth="1"/>
    <col min="10504" max="10504" width="48.7109375" style="252" customWidth="1"/>
    <col min="10505" max="10505" width="8.140625" style="252" customWidth="1"/>
    <col min="10506" max="10506" width="38.7109375" style="252" customWidth="1"/>
    <col min="10507" max="10507" width="21.140625" style="252" customWidth="1"/>
    <col min="10508" max="10508" width="82" style="252" customWidth="1"/>
    <col min="10509" max="10752" width="9.140625" style="252"/>
    <col min="10753" max="10753" width="11.140625" style="252" customWidth="1"/>
    <col min="10754" max="10754" width="77.28515625" style="252" customWidth="1"/>
    <col min="10755" max="10755" width="8.5703125" style="252" customWidth="1"/>
    <col min="10756" max="10756" width="17.5703125" style="252" customWidth="1"/>
    <col min="10757" max="10757" width="15.28515625" style="252" customWidth="1"/>
    <col min="10758" max="10758" width="48.7109375" style="252" customWidth="1"/>
    <col min="10759" max="10759" width="24.5703125" style="252" customWidth="1"/>
    <col min="10760" max="10760" width="48.7109375" style="252" customWidth="1"/>
    <col min="10761" max="10761" width="8.140625" style="252" customWidth="1"/>
    <col min="10762" max="10762" width="38.7109375" style="252" customWidth="1"/>
    <col min="10763" max="10763" width="21.140625" style="252" customWidth="1"/>
    <col min="10764" max="10764" width="82" style="252" customWidth="1"/>
    <col min="10765" max="11008" width="9.140625" style="252"/>
    <col min="11009" max="11009" width="11.140625" style="252" customWidth="1"/>
    <col min="11010" max="11010" width="77.28515625" style="252" customWidth="1"/>
    <col min="11011" max="11011" width="8.5703125" style="252" customWidth="1"/>
    <col min="11012" max="11012" width="17.5703125" style="252" customWidth="1"/>
    <col min="11013" max="11013" width="15.28515625" style="252" customWidth="1"/>
    <col min="11014" max="11014" width="48.7109375" style="252" customWidth="1"/>
    <col min="11015" max="11015" width="24.5703125" style="252" customWidth="1"/>
    <col min="11016" max="11016" width="48.7109375" style="252" customWidth="1"/>
    <col min="11017" max="11017" width="8.140625" style="252" customWidth="1"/>
    <col min="11018" max="11018" width="38.7109375" style="252" customWidth="1"/>
    <col min="11019" max="11019" width="21.140625" style="252" customWidth="1"/>
    <col min="11020" max="11020" width="82" style="252" customWidth="1"/>
    <col min="11021" max="11264" width="9.140625" style="252"/>
    <col min="11265" max="11265" width="11.140625" style="252" customWidth="1"/>
    <col min="11266" max="11266" width="77.28515625" style="252" customWidth="1"/>
    <col min="11267" max="11267" width="8.5703125" style="252" customWidth="1"/>
    <col min="11268" max="11268" width="17.5703125" style="252" customWidth="1"/>
    <col min="11269" max="11269" width="15.28515625" style="252" customWidth="1"/>
    <col min="11270" max="11270" width="48.7109375" style="252" customWidth="1"/>
    <col min="11271" max="11271" width="24.5703125" style="252" customWidth="1"/>
    <col min="11272" max="11272" width="48.7109375" style="252" customWidth="1"/>
    <col min="11273" max="11273" width="8.140625" style="252" customWidth="1"/>
    <col min="11274" max="11274" width="38.7109375" style="252" customWidth="1"/>
    <col min="11275" max="11275" width="21.140625" style="252" customWidth="1"/>
    <col min="11276" max="11276" width="82" style="252" customWidth="1"/>
    <col min="11277" max="11520" width="9.140625" style="252"/>
    <col min="11521" max="11521" width="11.140625" style="252" customWidth="1"/>
    <col min="11522" max="11522" width="77.28515625" style="252" customWidth="1"/>
    <col min="11523" max="11523" width="8.5703125" style="252" customWidth="1"/>
    <col min="11524" max="11524" width="17.5703125" style="252" customWidth="1"/>
    <col min="11525" max="11525" width="15.28515625" style="252" customWidth="1"/>
    <col min="11526" max="11526" width="48.7109375" style="252" customWidth="1"/>
    <col min="11527" max="11527" width="24.5703125" style="252" customWidth="1"/>
    <col min="11528" max="11528" width="48.7109375" style="252" customWidth="1"/>
    <col min="11529" max="11529" width="8.140625" style="252" customWidth="1"/>
    <col min="11530" max="11530" width="38.7109375" style="252" customWidth="1"/>
    <col min="11531" max="11531" width="21.140625" style="252" customWidth="1"/>
    <col min="11532" max="11532" width="82" style="252" customWidth="1"/>
    <col min="11533" max="11776" width="9.140625" style="252"/>
    <col min="11777" max="11777" width="11.140625" style="252" customWidth="1"/>
    <col min="11778" max="11778" width="77.28515625" style="252" customWidth="1"/>
    <col min="11779" max="11779" width="8.5703125" style="252" customWidth="1"/>
    <col min="11780" max="11780" width="17.5703125" style="252" customWidth="1"/>
    <col min="11781" max="11781" width="15.28515625" style="252" customWidth="1"/>
    <col min="11782" max="11782" width="48.7109375" style="252" customWidth="1"/>
    <col min="11783" max="11783" width="24.5703125" style="252" customWidth="1"/>
    <col min="11784" max="11784" width="48.7109375" style="252" customWidth="1"/>
    <col min="11785" max="11785" width="8.140625" style="252" customWidth="1"/>
    <col min="11786" max="11786" width="38.7109375" style="252" customWidth="1"/>
    <col min="11787" max="11787" width="21.140625" style="252" customWidth="1"/>
    <col min="11788" max="11788" width="82" style="252" customWidth="1"/>
    <col min="11789" max="12032" width="9.140625" style="252"/>
    <col min="12033" max="12033" width="11.140625" style="252" customWidth="1"/>
    <col min="12034" max="12034" width="77.28515625" style="252" customWidth="1"/>
    <col min="12035" max="12035" width="8.5703125" style="252" customWidth="1"/>
    <col min="12036" max="12036" width="17.5703125" style="252" customWidth="1"/>
    <col min="12037" max="12037" width="15.28515625" style="252" customWidth="1"/>
    <col min="12038" max="12038" width="48.7109375" style="252" customWidth="1"/>
    <col min="12039" max="12039" width="24.5703125" style="252" customWidth="1"/>
    <col min="12040" max="12040" width="48.7109375" style="252" customWidth="1"/>
    <col min="12041" max="12041" width="8.140625" style="252" customWidth="1"/>
    <col min="12042" max="12042" width="38.7109375" style="252" customWidth="1"/>
    <col min="12043" max="12043" width="21.140625" style="252" customWidth="1"/>
    <col min="12044" max="12044" width="82" style="252" customWidth="1"/>
    <col min="12045" max="12288" width="9.140625" style="252"/>
    <col min="12289" max="12289" width="11.140625" style="252" customWidth="1"/>
    <col min="12290" max="12290" width="77.28515625" style="252" customWidth="1"/>
    <col min="12291" max="12291" width="8.5703125" style="252" customWidth="1"/>
    <col min="12292" max="12292" width="17.5703125" style="252" customWidth="1"/>
    <col min="12293" max="12293" width="15.28515625" style="252" customWidth="1"/>
    <col min="12294" max="12294" width="48.7109375" style="252" customWidth="1"/>
    <col min="12295" max="12295" width="24.5703125" style="252" customWidth="1"/>
    <col min="12296" max="12296" width="48.7109375" style="252" customWidth="1"/>
    <col min="12297" max="12297" width="8.140625" style="252" customWidth="1"/>
    <col min="12298" max="12298" width="38.7109375" style="252" customWidth="1"/>
    <col min="12299" max="12299" width="21.140625" style="252" customWidth="1"/>
    <col min="12300" max="12300" width="82" style="252" customWidth="1"/>
    <col min="12301" max="12544" width="9.140625" style="252"/>
    <col min="12545" max="12545" width="11.140625" style="252" customWidth="1"/>
    <col min="12546" max="12546" width="77.28515625" style="252" customWidth="1"/>
    <col min="12547" max="12547" width="8.5703125" style="252" customWidth="1"/>
    <col min="12548" max="12548" width="17.5703125" style="252" customWidth="1"/>
    <col min="12549" max="12549" width="15.28515625" style="252" customWidth="1"/>
    <col min="12550" max="12550" width="48.7109375" style="252" customWidth="1"/>
    <col min="12551" max="12551" width="24.5703125" style="252" customWidth="1"/>
    <col min="12552" max="12552" width="48.7109375" style="252" customWidth="1"/>
    <col min="12553" max="12553" width="8.140625" style="252" customWidth="1"/>
    <col min="12554" max="12554" width="38.7109375" style="252" customWidth="1"/>
    <col min="12555" max="12555" width="21.140625" style="252" customWidth="1"/>
    <col min="12556" max="12556" width="82" style="252" customWidth="1"/>
    <col min="12557" max="12800" width="9.140625" style="252"/>
    <col min="12801" max="12801" width="11.140625" style="252" customWidth="1"/>
    <col min="12802" max="12802" width="77.28515625" style="252" customWidth="1"/>
    <col min="12803" max="12803" width="8.5703125" style="252" customWidth="1"/>
    <col min="12804" max="12804" width="17.5703125" style="252" customWidth="1"/>
    <col min="12805" max="12805" width="15.28515625" style="252" customWidth="1"/>
    <col min="12806" max="12806" width="48.7109375" style="252" customWidth="1"/>
    <col min="12807" max="12807" width="24.5703125" style="252" customWidth="1"/>
    <col min="12808" max="12808" width="48.7109375" style="252" customWidth="1"/>
    <col min="12809" max="12809" width="8.140625" style="252" customWidth="1"/>
    <col min="12810" max="12810" width="38.7109375" style="252" customWidth="1"/>
    <col min="12811" max="12811" width="21.140625" style="252" customWidth="1"/>
    <col min="12812" max="12812" width="82" style="252" customWidth="1"/>
    <col min="12813" max="13056" width="9.140625" style="252"/>
    <col min="13057" max="13057" width="11.140625" style="252" customWidth="1"/>
    <col min="13058" max="13058" width="77.28515625" style="252" customWidth="1"/>
    <col min="13059" max="13059" width="8.5703125" style="252" customWidth="1"/>
    <col min="13060" max="13060" width="17.5703125" style="252" customWidth="1"/>
    <col min="13061" max="13061" width="15.28515625" style="252" customWidth="1"/>
    <col min="13062" max="13062" width="48.7109375" style="252" customWidth="1"/>
    <col min="13063" max="13063" width="24.5703125" style="252" customWidth="1"/>
    <col min="13064" max="13064" width="48.7109375" style="252" customWidth="1"/>
    <col min="13065" max="13065" width="8.140625" style="252" customWidth="1"/>
    <col min="13066" max="13066" width="38.7109375" style="252" customWidth="1"/>
    <col min="13067" max="13067" width="21.140625" style="252" customWidth="1"/>
    <col min="13068" max="13068" width="82" style="252" customWidth="1"/>
    <col min="13069" max="13312" width="9.140625" style="252"/>
    <col min="13313" max="13313" width="11.140625" style="252" customWidth="1"/>
    <col min="13314" max="13314" width="77.28515625" style="252" customWidth="1"/>
    <col min="13315" max="13315" width="8.5703125" style="252" customWidth="1"/>
    <col min="13316" max="13316" width="17.5703125" style="252" customWidth="1"/>
    <col min="13317" max="13317" width="15.28515625" style="252" customWidth="1"/>
    <col min="13318" max="13318" width="48.7109375" style="252" customWidth="1"/>
    <col min="13319" max="13319" width="24.5703125" style="252" customWidth="1"/>
    <col min="13320" max="13320" width="48.7109375" style="252" customWidth="1"/>
    <col min="13321" max="13321" width="8.140625" style="252" customWidth="1"/>
    <col min="13322" max="13322" width="38.7109375" style="252" customWidth="1"/>
    <col min="13323" max="13323" width="21.140625" style="252" customWidth="1"/>
    <col min="13324" max="13324" width="82" style="252" customWidth="1"/>
    <col min="13325" max="13568" width="9.140625" style="252"/>
    <col min="13569" max="13569" width="11.140625" style="252" customWidth="1"/>
    <col min="13570" max="13570" width="77.28515625" style="252" customWidth="1"/>
    <col min="13571" max="13571" width="8.5703125" style="252" customWidth="1"/>
    <col min="13572" max="13572" width="17.5703125" style="252" customWidth="1"/>
    <col min="13573" max="13573" width="15.28515625" style="252" customWidth="1"/>
    <col min="13574" max="13574" width="48.7109375" style="252" customWidth="1"/>
    <col min="13575" max="13575" width="24.5703125" style="252" customWidth="1"/>
    <col min="13576" max="13576" width="48.7109375" style="252" customWidth="1"/>
    <col min="13577" max="13577" width="8.140625" style="252" customWidth="1"/>
    <col min="13578" max="13578" width="38.7109375" style="252" customWidth="1"/>
    <col min="13579" max="13579" width="21.140625" style="252" customWidth="1"/>
    <col min="13580" max="13580" width="82" style="252" customWidth="1"/>
    <col min="13581" max="13824" width="9.140625" style="252"/>
    <col min="13825" max="13825" width="11.140625" style="252" customWidth="1"/>
    <col min="13826" max="13826" width="77.28515625" style="252" customWidth="1"/>
    <col min="13827" max="13827" width="8.5703125" style="252" customWidth="1"/>
    <col min="13828" max="13828" width="17.5703125" style="252" customWidth="1"/>
    <col min="13829" max="13829" width="15.28515625" style="252" customWidth="1"/>
    <col min="13830" max="13830" width="48.7109375" style="252" customWidth="1"/>
    <col min="13831" max="13831" width="24.5703125" style="252" customWidth="1"/>
    <col min="13832" max="13832" width="48.7109375" style="252" customWidth="1"/>
    <col min="13833" max="13833" width="8.140625" style="252" customWidth="1"/>
    <col min="13834" max="13834" width="38.7109375" style="252" customWidth="1"/>
    <col min="13835" max="13835" width="21.140625" style="252" customWidth="1"/>
    <col min="13836" max="13836" width="82" style="252" customWidth="1"/>
    <col min="13837" max="14080" width="9.140625" style="252"/>
    <col min="14081" max="14081" width="11.140625" style="252" customWidth="1"/>
    <col min="14082" max="14082" width="77.28515625" style="252" customWidth="1"/>
    <col min="14083" max="14083" width="8.5703125" style="252" customWidth="1"/>
    <col min="14084" max="14084" width="17.5703125" style="252" customWidth="1"/>
    <col min="14085" max="14085" width="15.28515625" style="252" customWidth="1"/>
    <col min="14086" max="14086" width="48.7109375" style="252" customWidth="1"/>
    <col min="14087" max="14087" width="24.5703125" style="252" customWidth="1"/>
    <col min="14088" max="14088" width="48.7109375" style="252" customWidth="1"/>
    <col min="14089" max="14089" width="8.140625" style="252" customWidth="1"/>
    <col min="14090" max="14090" width="38.7109375" style="252" customWidth="1"/>
    <col min="14091" max="14091" width="21.140625" style="252" customWidth="1"/>
    <col min="14092" max="14092" width="82" style="252" customWidth="1"/>
    <col min="14093" max="14336" width="9.140625" style="252"/>
    <col min="14337" max="14337" width="11.140625" style="252" customWidth="1"/>
    <col min="14338" max="14338" width="77.28515625" style="252" customWidth="1"/>
    <col min="14339" max="14339" width="8.5703125" style="252" customWidth="1"/>
    <col min="14340" max="14340" width="17.5703125" style="252" customWidth="1"/>
    <col min="14341" max="14341" width="15.28515625" style="252" customWidth="1"/>
    <col min="14342" max="14342" width="48.7109375" style="252" customWidth="1"/>
    <col min="14343" max="14343" width="24.5703125" style="252" customWidth="1"/>
    <col min="14344" max="14344" width="48.7109375" style="252" customWidth="1"/>
    <col min="14345" max="14345" width="8.140625" style="252" customWidth="1"/>
    <col min="14346" max="14346" width="38.7109375" style="252" customWidth="1"/>
    <col min="14347" max="14347" width="21.140625" style="252" customWidth="1"/>
    <col min="14348" max="14348" width="82" style="252" customWidth="1"/>
    <col min="14349" max="14592" width="9.140625" style="252"/>
    <col min="14593" max="14593" width="11.140625" style="252" customWidth="1"/>
    <col min="14594" max="14594" width="77.28515625" style="252" customWidth="1"/>
    <col min="14595" max="14595" width="8.5703125" style="252" customWidth="1"/>
    <col min="14596" max="14596" width="17.5703125" style="252" customWidth="1"/>
    <col min="14597" max="14597" width="15.28515625" style="252" customWidth="1"/>
    <col min="14598" max="14598" width="48.7109375" style="252" customWidth="1"/>
    <col min="14599" max="14599" width="24.5703125" style="252" customWidth="1"/>
    <col min="14600" max="14600" width="48.7109375" style="252" customWidth="1"/>
    <col min="14601" max="14601" width="8.140625" style="252" customWidth="1"/>
    <col min="14602" max="14602" width="38.7109375" style="252" customWidth="1"/>
    <col min="14603" max="14603" width="21.140625" style="252" customWidth="1"/>
    <col min="14604" max="14604" width="82" style="252" customWidth="1"/>
    <col min="14605" max="14848" width="9.140625" style="252"/>
    <col min="14849" max="14849" width="11.140625" style="252" customWidth="1"/>
    <col min="14850" max="14850" width="77.28515625" style="252" customWidth="1"/>
    <col min="14851" max="14851" width="8.5703125" style="252" customWidth="1"/>
    <col min="14852" max="14852" width="17.5703125" style="252" customWidth="1"/>
    <col min="14853" max="14853" width="15.28515625" style="252" customWidth="1"/>
    <col min="14854" max="14854" width="48.7109375" style="252" customWidth="1"/>
    <col min="14855" max="14855" width="24.5703125" style="252" customWidth="1"/>
    <col min="14856" max="14856" width="48.7109375" style="252" customWidth="1"/>
    <col min="14857" max="14857" width="8.140625" style="252" customWidth="1"/>
    <col min="14858" max="14858" width="38.7109375" style="252" customWidth="1"/>
    <col min="14859" max="14859" width="21.140625" style="252" customWidth="1"/>
    <col min="14860" max="14860" width="82" style="252" customWidth="1"/>
    <col min="14861" max="15104" width="9.140625" style="252"/>
    <col min="15105" max="15105" width="11.140625" style="252" customWidth="1"/>
    <col min="15106" max="15106" width="77.28515625" style="252" customWidth="1"/>
    <col min="15107" max="15107" width="8.5703125" style="252" customWidth="1"/>
    <col min="15108" max="15108" width="17.5703125" style="252" customWidth="1"/>
    <col min="15109" max="15109" width="15.28515625" style="252" customWidth="1"/>
    <col min="15110" max="15110" width="48.7109375" style="252" customWidth="1"/>
    <col min="15111" max="15111" width="24.5703125" style="252" customWidth="1"/>
    <col min="15112" max="15112" width="48.7109375" style="252" customWidth="1"/>
    <col min="15113" max="15113" width="8.140625" style="252" customWidth="1"/>
    <col min="15114" max="15114" width="38.7109375" style="252" customWidth="1"/>
    <col min="15115" max="15115" width="21.140625" style="252" customWidth="1"/>
    <col min="15116" max="15116" width="82" style="252" customWidth="1"/>
    <col min="15117" max="15360" width="9.140625" style="252"/>
    <col min="15361" max="15361" width="11.140625" style="252" customWidth="1"/>
    <col min="15362" max="15362" width="77.28515625" style="252" customWidth="1"/>
    <col min="15363" max="15363" width="8.5703125" style="252" customWidth="1"/>
    <col min="15364" max="15364" width="17.5703125" style="252" customWidth="1"/>
    <col min="15365" max="15365" width="15.28515625" style="252" customWidth="1"/>
    <col min="15366" max="15366" width="48.7109375" style="252" customWidth="1"/>
    <col min="15367" max="15367" width="24.5703125" style="252" customWidth="1"/>
    <col min="15368" max="15368" width="48.7109375" style="252" customWidth="1"/>
    <col min="15369" max="15369" width="8.140625" style="252" customWidth="1"/>
    <col min="15370" max="15370" width="38.7109375" style="252" customWidth="1"/>
    <col min="15371" max="15371" width="21.140625" style="252" customWidth="1"/>
    <col min="15372" max="15372" width="82" style="252" customWidth="1"/>
    <col min="15373" max="15616" width="9.140625" style="252"/>
    <col min="15617" max="15617" width="11.140625" style="252" customWidth="1"/>
    <col min="15618" max="15618" width="77.28515625" style="252" customWidth="1"/>
    <col min="15619" max="15619" width="8.5703125" style="252" customWidth="1"/>
    <col min="15620" max="15620" width="17.5703125" style="252" customWidth="1"/>
    <col min="15621" max="15621" width="15.28515625" style="252" customWidth="1"/>
    <col min="15622" max="15622" width="48.7109375" style="252" customWidth="1"/>
    <col min="15623" max="15623" width="24.5703125" style="252" customWidth="1"/>
    <col min="15624" max="15624" width="48.7109375" style="252" customWidth="1"/>
    <col min="15625" max="15625" width="8.140625" style="252" customWidth="1"/>
    <col min="15626" max="15626" width="38.7109375" style="252" customWidth="1"/>
    <col min="15627" max="15627" width="21.140625" style="252" customWidth="1"/>
    <col min="15628" max="15628" width="82" style="252" customWidth="1"/>
    <col min="15629" max="15872" width="9.140625" style="252"/>
    <col min="15873" max="15873" width="11.140625" style="252" customWidth="1"/>
    <col min="15874" max="15874" width="77.28515625" style="252" customWidth="1"/>
    <col min="15875" max="15875" width="8.5703125" style="252" customWidth="1"/>
    <col min="15876" max="15876" width="17.5703125" style="252" customWidth="1"/>
    <col min="15877" max="15877" width="15.28515625" style="252" customWidth="1"/>
    <col min="15878" max="15878" width="48.7109375" style="252" customWidth="1"/>
    <col min="15879" max="15879" width="24.5703125" style="252" customWidth="1"/>
    <col min="15880" max="15880" width="48.7109375" style="252" customWidth="1"/>
    <col min="15881" max="15881" width="8.140625" style="252" customWidth="1"/>
    <col min="15882" max="15882" width="38.7109375" style="252" customWidth="1"/>
    <col min="15883" max="15883" width="21.140625" style="252" customWidth="1"/>
    <col min="15884" max="15884" width="82" style="252" customWidth="1"/>
    <col min="15885" max="16128" width="9.140625" style="252"/>
    <col min="16129" max="16129" width="11.140625" style="252" customWidth="1"/>
    <col min="16130" max="16130" width="77.28515625" style="252" customWidth="1"/>
    <col min="16131" max="16131" width="8.5703125" style="252" customWidth="1"/>
    <col min="16132" max="16132" width="17.5703125" style="252" customWidth="1"/>
    <col min="16133" max="16133" width="15.28515625" style="252" customWidth="1"/>
    <col min="16134" max="16134" width="48.7109375" style="252" customWidth="1"/>
    <col min="16135" max="16135" width="24.5703125" style="252" customWidth="1"/>
    <col min="16136" max="16136" width="48.7109375" style="252" customWidth="1"/>
    <col min="16137" max="16137" width="8.140625" style="252" customWidth="1"/>
    <col min="16138" max="16138" width="38.7109375" style="252" customWidth="1"/>
    <col min="16139" max="16139" width="21.140625" style="252" customWidth="1"/>
    <col min="16140" max="16140" width="82" style="252" customWidth="1"/>
    <col min="16141" max="16384" width="9.140625" style="252"/>
  </cols>
  <sheetData>
    <row r="1" spans="1:5" s="248" customFormat="1" ht="13.9" customHeight="1">
      <c r="A1" s="249" t="s">
        <v>13519</v>
      </c>
      <c r="B1" s="250"/>
      <c r="C1" s="250"/>
      <c r="D1" s="250"/>
      <c r="E1" s="250"/>
    </row>
    <row r="2" spans="1:5" s="248" customFormat="1" ht="13.9" customHeight="1">
      <c r="A2" s="249" t="s">
        <v>13520</v>
      </c>
      <c r="B2" s="250"/>
      <c r="C2" s="250"/>
      <c r="D2" s="250"/>
      <c r="E2" s="250"/>
    </row>
    <row r="3" spans="1:5" s="248" customFormat="1" ht="15">
      <c r="A3" s="249" t="s">
        <v>18647</v>
      </c>
      <c r="B3" s="250"/>
      <c r="C3" s="250"/>
      <c r="D3" s="250"/>
      <c r="E3" s="250"/>
    </row>
    <row r="4" spans="1:5" s="248" customFormat="1" ht="15">
      <c r="A4" s="250"/>
      <c r="B4" s="250"/>
      <c r="C4" s="250"/>
      <c r="D4" s="250"/>
      <c r="E4" s="250"/>
    </row>
    <row r="5" spans="1:5" s="248" customFormat="1" ht="15">
      <c r="A5" s="251" t="s">
        <v>13521</v>
      </c>
      <c r="B5" s="251" t="s">
        <v>298</v>
      </c>
      <c r="C5" s="251" t="s">
        <v>299</v>
      </c>
      <c r="D5" s="251" t="s">
        <v>157</v>
      </c>
      <c r="E5" s="250" t="s">
        <v>5108</v>
      </c>
    </row>
    <row r="6" spans="1:5" ht="15">
      <c r="A6" s="254"/>
      <c r="B6" s="254"/>
      <c r="C6" s="254"/>
      <c r="D6" s="254"/>
      <c r="E6" s="254"/>
    </row>
    <row r="7" spans="1:5" ht="27">
      <c r="A7" s="258">
        <v>97141</v>
      </c>
      <c r="B7" s="257" t="s">
        <v>4545</v>
      </c>
      <c r="C7" s="257" t="s">
        <v>5</v>
      </c>
      <c r="D7" s="259" t="s">
        <v>13522</v>
      </c>
      <c r="E7" s="210" t="s">
        <v>201</v>
      </c>
    </row>
    <row r="8" spans="1:5" ht="27">
      <c r="A8" s="258">
        <v>97142</v>
      </c>
      <c r="B8" s="257" t="s">
        <v>4546</v>
      </c>
      <c r="C8" s="257" t="s">
        <v>5</v>
      </c>
      <c r="D8" s="259" t="s">
        <v>13523</v>
      </c>
      <c r="E8" s="210" t="s">
        <v>201</v>
      </c>
    </row>
    <row r="9" spans="1:5" ht="27">
      <c r="A9" s="258">
        <v>97143</v>
      </c>
      <c r="B9" s="257" t="s">
        <v>4547</v>
      </c>
      <c r="C9" s="257" t="s">
        <v>5</v>
      </c>
      <c r="D9" s="259" t="s">
        <v>13524</v>
      </c>
      <c r="E9" s="210" t="s">
        <v>201</v>
      </c>
    </row>
    <row r="10" spans="1:5" ht="27">
      <c r="A10" s="258">
        <v>97144</v>
      </c>
      <c r="B10" s="257" t="s">
        <v>4548</v>
      </c>
      <c r="C10" s="257" t="s">
        <v>5</v>
      </c>
      <c r="D10" s="259" t="s">
        <v>13525</v>
      </c>
      <c r="E10" s="210" t="s">
        <v>201</v>
      </c>
    </row>
    <row r="11" spans="1:5" ht="27">
      <c r="A11" s="258">
        <v>97145</v>
      </c>
      <c r="B11" s="257" t="s">
        <v>4549</v>
      </c>
      <c r="C11" s="257" t="s">
        <v>5</v>
      </c>
      <c r="D11" s="259" t="s">
        <v>13526</v>
      </c>
      <c r="E11" s="210" t="s">
        <v>201</v>
      </c>
    </row>
    <row r="12" spans="1:5" ht="27">
      <c r="A12" s="258">
        <v>97146</v>
      </c>
      <c r="B12" s="257" t="s">
        <v>4550</v>
      </c>
      <c r="C12" s="257" t="s">
        <v>5</v>
      </c>
      <c r="D12" s="259" t="s">
        <v>13527</v>
      </c>
      <c r="E12" s="210" t="s">
        <v>201</v>
      </c>
    </row>
    <row r="13" spans="1:5" ht="27">
      <c r="A13" s="258">
        <v>97147</v>
      </c>
      <c r="B13" s="257" t="s">
        <v>4551</v>
      </c>
      <c r="C13" s="257" t="s">
        <v>5</v>
      </c>
      <c r="D13" s="259" t="s">
        <v>13528</v>
      </c>
      <c r="E13" s="210" t="s">
        <v>201</v>
      </c>
    </row>
    <row r="14" spans="1:5" ht="27">
      <c r="A14" s="258">
        <v>97148</v>
      </c>
      <c r="B14" s="257" t="s">
        <v>4552</v>
      </c>
      <c r="C14" s="257" t="s">
        <v>5</v>
      </c>
      <c r="D14" s="259" t="s">
        <v>13529</v>
      </c>
      <c r="E14" s="210" t="s">
        <v>201</v>
      </c>
    </row>
    <row r="15" spans="1:5" ht="27">
      <c r="A15" s="258">
        <v>97149</v>
      </c>
      <c r="B15" s="257" t="s">
        <v>4553</v>
      </c>
      <c r="C15" s="257" t="s">
        <v>5</v>
      </c>
      <c r="D15" s="259" t="s">
        <v>13530</v>
      </c>
      <c r="E15" s="210" t="s">
        <v>201</v>
      </c>
    </row>
    <row r="16" spans="1:5" ht="27">
      <c r="A16" s="258">
        <v>97150</v>
      </c>
      <c r="B16" s="257" t="s">
        <v>4554</v>
      </c>
      <c r="C16" s="257" t="s">
        <v>5</v>
      </c>
      <c r="D16" s="259" t="s">
        <v>13531</v>
      </c>
      <c r="E16" s="210" t="s">
        <v>201</v>
      </c>
    </row>
    <row r="17" spans="1:5" ht="27">
      <c r="A17" s="258">
        <v>97151</v>
      </c>
      <c r="B17" s="257" t="s">
        <v>4555</v>
      </c>
      <c r="C17" s="257" t="s">
        <v>5</v>
      </c>
      <c r="D17" s="259" t="s">
        <v>13532</v>
      </c>
      <c r="E17" s="210" t="s">
        <v>201</v>
      </c>
    </row>
    <row r="18" spans="1:5" ht="27">
      <c r="A18" s="258">
        <v>97152</v>
      </c>
      <c r="B18" s="257" t="s">
        <v>4556</v>
      </c>
      <c r="C18" s="257" t="s">
        <v>5</v>
      </c>
      <c r="D18" s="259" t="s">
        <v>13533</v>
      </c>
      <c r="E18" s="210" t="s">
        <v>201</v>
      </c>
    </row>
    <row r="19" spans="1:5" ht="27">
      <c r="A19" s="258">
        <v>97153</v>
      </c>
      <c r="B19" s="257" t="s">
        <v>4557</v>
      </c>
      <c r="C19" s="257" t="s">
        <v>5</v>
      </c>
      <c r="D19" s="259" t="s">
        <v>13534</v>
      </c>
      <c r="E19" s="210" t="s">
        <v>201</v>
      </c>
    </row>
    <row r="20" spans="1:5" ht="27">
      <c r="A20" s="258">
        <v>97154</v>
      </c>
      <c r="B20" s="257" t="s">
        <v>4558</v>
      </c>
      <c r="C20" s="257" t="s">
        <v>5</v>
      </c>
      <c r="D20" s="259" t="s">
        <v>13535</v>
      </c>
      <c r="E20" s="210" t="s">
        <v>201</v>
      </c>
    </row>
    <row r="21" spans="1:5" ht="27">
      <c r="A21" s="258">
        <v>97155</v>
      </c>
      <c r="B21" s="257" t="s">
        <v>4559</v>
      </c>
      <c r="C21" s="257" t="s">
        <v>5</v>
      </c>
      <c r="D21" s="259" t="s">
        <v>13536</v>
      </c>
      <c r="E21" s="210" t="s">
        <v>201</v>
      </c>
    </row>
    <row r="22" spans="1:5" ht="27">
      <c r="A22" s="258">
        <v>97156</v>
      </c>
      <c r="B22" s="257" t="s">
        <v>4560</v>
      </c>
      <c r="C22" s="257" t="s">
        <v>5</v>
      </c>
      <c r="D22" s="259" t="s">
        <v>13537</v>
      </c>
      <c r="E22" s="210" t="s">
        <v>201</v>
      </c>
    </row>
    <row r="23" spans="1:5" ht="27">
      <c r="A23" s="258">
        <v>97157</v>
      </c>
      <c r="B23" s="257" t="s">
        <v>4561</v>
      </c>
      <c r="C23" s="257" t="s">
        <v>5</v>
      </c>
      <c r="D23" s="259" t="s">
        <v>13538</v>
      </c>
      <c r="E23" s="210" t="s">
        <v>201</v>
      </c>
    </row>
    <row r="24" spans="1:5" ht="27">
      <c r="A24" s="258">
        <v>97158</v>
      </c>
      <c r="B24" s="257" t="s">
        <v>4562</v>
      </c>
      <c r="C24" s="257" t="s">
        <v>5</v>
      </c>
      <c r="D24" s="259" t="s">
        <v>13539</v>
      </c>
      <c r="E24" s="210" t="s">
        <v>201</v>
      </c>
    </row>
    <row r="25" spans="1:5" ht="27">
      <c r="A25" s="258">
        <v>97159</v>
      </c>
      <c r="B25" s="257" t="s">
        <v>4563</v>
      </c>
      <c r="C25" s="257" t="s">
        <v>5</v>
      </c>
      <c r="D25" s="259" t="s">
        <v>13540</v>
      </c>
      <c r="E25" s="210" t="s">
        <v>201</v>
      </c>
    </row>
    <row r="26" spans="1:5" ht="27">
      <c r="A26" s="258">
        <v>97160</v>
      </c>
      <c r="B26" s="257" t="s">
        <v>4564</v>
      </c>
      <c r="C26" s="257" t="s">
        <v>5</v>
      </c>
      <c r="D26" s="259" t="s">
        <v>13541</v>
      </c>
      <c r="E26" s="210" t="s">
        <v>201</v>
      </c>
    </row>
    <row r="27" spans="1:5" ht="27">
      <c r="A27" s="258">
        <v>97161</v>
      </c>
      <c r="B27" s="257" t="s">
        <v>4565</v>
      </c>
      <c r="C27" s="257" t="s">
        <v>5</v>
      </c>
      <c r="D27" s="259" t="s">
        <v>13542</v>
      </c>
      <c r="E27" s="210" t="s">
        <v>201</v>
      </c>
    </row>
    <row r="28" spans="1:5" ht="27">
      <c r="A28" s="258">
        <v>97162</v>
      </c>
      <c r="B28" s="257" t="s">
        <v>4566</v>
      </c>
      <c r="C28" s="257" t="s">
        <v>5</v>
      </c>
      <c r="D28" s="259" t="s">
        <v>13543</v>
      </c>
      <c r="E28" s="210" t="s">
        <v>201</v>
      </c>
    </row>
    <row r="29" spans="1:5" ht="27">
      <c r="A29" s="258">
        <v>97163</v>
      </c>
      <c r="B29" s="257" t="s">
        <v>4567</v>
      </c>
      <c r="C29" s="257" t="s">
        <v>5</v>
      </c>
      <c r="D29" s="259" t="s">
        <v>13544</v>
      </c>
      <c r="E29" s="210" t="s">
        <v>201</v>
      </c>
    </row>
    <row r="30" spans="1:5" ht="27">
      <c r="A30" s="258">
        <v>97164</v>
      </c>
      <c r="B30" s="257" t="s">
        <v>4568</v>
      </c>
      <c r="C30" s="257" t="s">
        <v>5</v>
      </c>
      <c r="D30" s="259" t="s">
        <v>13545</v>
      </c>
      <c r="E30" s="210" t="s">
        <v>201</v>
      </c>
    </row>
    <row r="31" spans="1:5" ht="27">
      <c r="A31" s="258">
        <v>97165</v>
      </c>
      <c r="B31" s="257" t="s">
        <v>4569</v>
      </c>
      <c r="C31" s="257" t="s">
        <v>5</v>
      </c>
      <c r="D31" s="259" t="s">
        <v>13546</v>
      </c>
      <c r="E31" s="210" t="s">
        <v>201</v>
      </c>
    </row>
    <row r="32" spans="1:5" ht="27">
      <c r="A32" s="258">
        <v>97166</v>
      </c>
      <c r="B32" s="257" t="s">
        <v>4570</v>
      </c>
      <c r="C32" s="257" t="s">
        <v>5</v>
      </c>
      <c r="D32" s="259" t="s">
        <v>13547</v>
      </c>
      <c r="E32" s="210" t="s">
        <v>201</v>
      </c>
    </row>
    <row r="33" spans="1:5" ht="27">
      <c r="A33" s="258">
        <v>97167</v>
      </c>
      <c r="B33" s="257" t="s">
        <v>4571</v>
      </c>
      <c r="C33" s="257" t="s">
        <v>5</v>
      </c>
      <c r="D33" s="259" t="s">
        <v>13548</v>
      </c>
      <c r="E33" s="210" t="s">
        <v>201</v>
      </c>
    </row>
    <row r="34" spans="1:5" ht="27">
      <c r="A34" s="258">
        <v>97168</v>
      </c>
      <c r="B34" s="257" t="s">
        <v>4572</v>
      </c>
      <c r="C34" s="257" t="s">
        <v>5</v>
      </c>
      <c r="D34" s="259" t="s">
        <v>13549</v>
      </c>
      <c r="E34" s="210" t="s">
        <v>201</v>
      </c>
    </row>
    <row r="35" spans="1:5" ht="27">
      <c r="A35" s="258">
        <v>97169</v>
      </c>
      <c r="B35" s="257" t="s">
        <v>4573</v>
      </c>
      <c r="C35" s="257" t="s">
        <v>5</v>
      </c>
      <c r="D35" s="259" t="s">
        <v>13550</v>
      </c>
      <c r="E35" s="210" t="s">
        <v>201</v>
      </c>
    </row>
    <row r="36" spans="1:5" ht="27">
      <c r="A36" s="258">
        <v>97170</v>
      </c>
      <c r="B36" s="257" t="s">
        <v>4574</v>
      </c>
      <c r="C36" s="257" t="s">
        <v>5</v>
      </c>
      <c r="D36" s="259" t="s">
        <v>13551</v>
      </c>
      <c r="E36" s="210" t="s">
        <v>201</v>
      </c>
    </row>
    <row r="37" spans="1:5" ht="27">
      <c r="A37" s="258">
        <v>97171</v>
      </c>
      <c r="B37" s="257" t="s">
        <v>4575</v>
      </c>
      <c r="C37" s="257" t="s">
        <v>5</v>
      </c>
      <c r="D37" s="259" t="s">
        <v>13552</v>
      </c>
      <c r="E37" s="210" t="s">
        <v>201</v>
      </c>
    </row>
    <row r="38" spans="1:5" ht="27">
      <c r="A38" s="258">
        <v>97172</v>
      </c>
      <c r="B38" s="257" t="s">
        <v>4576</v>
      </c>
      <c r="C38" s="257" t="s">
        <v>5</v>
      </c>
      <c r="D38" s="259" t="s">
        <v>13553</v>
      </c>
      <c r="E38" s="210" t="s">
        <v>201</v>
      </c>
    </row>
    <row r="39" spans="1:5" ht="27">
      <c r="A39" s="258">
        <v>97173</v>
      </c>
      <c r="B39" s="257" t="s">
        <v>4577</v>
      </c>
      <c r="C39" s="257" t="s">
        <v>5</v>
      </c>
      <c r="D39" s="259" t="s">
        <v>13554</v>
      </c>
      <c r="E39" s="210" t="s">
        <v>201</v>
      </c>
    </row>
    <row r="40" spans="1:5" ht="27">
      <c r="A40" s="258">
        <v>97174</v>
      </c>
      <c r="B40" s="257" t="s">
        <v>4578</v>
      </c>
      <c r="C40" s="257" t="s">
        <v>5</v>
      </c>
      <c r="D40" s="259" t="s">
        <v>13555</v>
      </c>
      <c r="E40" s="210" t="s">
        <v>201</v>
      </c>
    </row>
    <row r="41" spans="1:5" ht="27">
      <c r="A41" s="258">
        <v>97175</v>
      </c>
      <c r="B41" s="257" t="s">
        <v>4579</v>
      </c>
      <c r="C41" s="257" t="s">
        <v>5</v>
      </c>
      <c r="D41" s="259" t="s">
        <v>13556</v>
      </c>
      <c r="E41" s="210" t="s">
        <v>201</v>
      </c>
    </row>
    <row r="42" spans="1:5" ht="27">
      <c r="A42" s="258">
        <v>97176</v>
      </c>
      <c r="B42" s="257" t="s">
        <v>4580</v>
      </c>
      <c r="C42" s="257" t="s">
        <v>5</v>
      </c>
      <c r="D42" s="259" t="s">
        <v>13557</v>
      </c>
      <c r="E42" s="210" t="s">
        <v>201</v>
      </c>
    </row>
    <row r="43" spans="1:5" ht="40.5">
      <c r="A43" s="258">
        <v>97177</v>
      </c>
      <c r="B43" s="257" t="s">
        <v>4581</v>
      </c>
      <c r="C43" s="257" t="s">
        <v>5</v>
      </c>
      <c r="D43" s="259" t="s">
        <v>13558</v>
      </c>
      <c r="E43" s="210" t="s">
        <v>201</v>
      </c>
    </row>
    <row r="44" spans="1:5" ht="40.5">
      <c r="A44" s="258">
        <v>97178</v>
      </c>
      <c r="B44" s="257" t="s">
        <v>4582</v>
      </c>
      <c r="C44" s="257" t="s">
        <v>5</v>
      </c>
      <c r="D44" s="259" t="s">
        <v>13559</v>
      </c>
      <c r="E44" s="210" t="s">
        <v>201</v>
      </c>
    </row>
    <row r="45" spans="1:5" ht="40.5">
      <c r="A45" s="258">
        <v>97179</v>
      </c>
      <c r="B45" s="257" t="s">
        <v>4583</v>
      </c>
      <c r="C45" s="257" t="s">
        <v>5</v>
      </c>
      <c r="D45" s="259" t="s">
        <v>13560</v>
      </c>
      <c r="E45" s="210" t="s">
        <v>201</v>
      </c>
    </row>
    <row r="46" spans="1:5" ht="40.5">
      <c r="A46" s="258">
        <v>97180</v>
      </c>
      <c r="B46" s="257" t="s">
        <v>4584</v>
      </c>
      <c r="C46" s="257" t="s">
        <v>5</v>
      </c>
      <c r="D46" s="259" t="s">
        <v>13561</v>
      </c>
      <c r="E46" s="210" t="s">
        <v>201</v>
      </c>
    </row>
    <row r="47" spans="1:5" ht="40.5">
      <c r="A47" s="258">
        <v>97181</v>
      </c>
      <c r="B47" s="257" t="s">
        <v>4585</v>
      </c>
      <c r="C47" s="257" t="s">
        <v>5</v>
      </c>
      <c r="D47" s="259" t="s">
        <v>13562</v>
      </c>
      <c r="E47" s="210" t="s">
        <v>201</v>
      </c>
    </row>
    <row r="48" spans="1:5" ht="40.5">
      <c r="A48" s="258">
        <v>97182</v>
      </c>
      <c r="B48" s="257" t="s">
        <v>4586</v>
      </c>
      <c r="C48" s="257" t="s">
        <v>5</v>
      </c>
      <c r="D48" s="259" t="s">
        <v>13563</v>
      </c>
      <c r="E48" s="210" t="s">
        <v>201</v>
      </c>
    </row>
    <row r="49" spans="1:5" ht="27">
      <c r="A49" s="258">
        <v>97183</v>
      </c>
      <c r="B49" s="257" t="s">
        <v>4587</v>
      </c>
      <c r="C49" s="257" t="s">
        <v>5</v>
      </c>
      <c r="D49" s="259" t="s">
        <v>13564</v>
      </c>
      <c r="E49" s="210" t="s">
        <v>201</v>
      </c>
    </row>
    <row r="50" spans="1:5" ht="27">
      <c r="A50" s="258">
        <v>97184</v>
      </c>
      <c r="B50" s="257" t="s">
        <v>4588</v>
      </c>
      <c r="C50" s="257" t="s">
        <v>5</v>
      </c>
      <c r="D50" s="259" t="s">
        <v>13565</v>
      </c>
      <c r="E50" s="210" t="s">
        <v>201</v>
      </c>
    </row>
    <row r="51" spans="1:5" ht="27">
      <c r="A51" s="258">
        <v>97185</v>
      </c>
      <c r="B51" s="257" t="s">
        <v>4589</v>
      </c>
      <c r="C51" s="257" t="s">
        <v>5</v>
      </c>
      <c r="D51" s="259" t="s">
        <v>13566</v>
      </c>
      <c r="E51" s="210" t="s">
        <v>201</v>
      </c>
    </row>
    <row r="52" spans="1:5" ht="27">
      <c r="A52" s="258">
        <v>97186</v>
      </c>
      <c r="B52" s="257" t="s">
        <v>4590</v>
      </c>
      <c r="C52" s="257" t="s">
        <v>5</v>
      </c>
      <c r="D52" s="259" t="s">
        <v>13567</v>
      </c>
      <c r="E52" s="210" t="s">
        <v>201</v>
      </c>
    </row>
    <row r="53" spans="1:5" ht="40.5">
      <c r="A53" s="258">
        <v>97187</v>
      </c>
      <c r="B53" s="257" t="s">
        <v>5109</v>
      </c>
      <c r="C53" s="257" t="s">
        <v>5</v>
      </c>
      <c r="D53" s="259" t="s">
        <v>13568</v>
      </c>
      <c r="E53" s="210" t="s">
        <v>201</v>
      </c>
    </row>
    <row r="54" spans="1:5" ht="40.5">
      <c r="A54" s="258">
        <v>97188</v>
      </c>
      <c r="B54" s="257" t="s">
        <v>4591</v>
      </c>
      <c r="C54" s="257" t="s">
        <v>5</v>
      </c>
      <c r="D54" s="259" t="s">
        <v>13569</v>
      </c>
      <c r="E54" s="210" t="s">
        <v>201</v>
      </c>
    </row>
    <row r="55" spans="1:5" ht="40.5">
      <c r="A55" s="258">
        <v>97189</v>
      </c>
      <c r="B55" s="257" t="s">
        <v>4592</v>
      </c>
      <c r="C55" s="257" t="s">
        <v>5</v>
      </c>
      <c r="D55" s="259" t="s">
        <v>13570</v>
      </c>
      <c r="E55" s="210" t="s">
        <v>201</v>
      </c>
    </row>
    <row r="56" spans="1:5" ht="40.5">
      <c r="A56" s="258">
        <v>97190</v>
      </c>
      <c r="B56" s="257" t="s">
        <v>4593</v>
      </c>
      <c r="C56" s="257" t="s">
        <v>5</v>
      </c>
      <c r="D56" s="259" t="s">
        <v>13571</v>
      </c>
      <c r="E56" s="210" t="s">
        <v>201</v>
      </c>
    </row>
    <row r="57" spans="1:5" ht="40.5">
      <c r="A57" s="258">
        <v>97191</v>
      </c>
      <c r="B57" s="257" t="s">
        <v>4594</v>
      </c>
      <c r="C57" s="257" t="s">
        <v>5</v>
      </c>
      <c r="D57" s="259" t="s">
        <v>13572</v>
      </c>
      <c r="E57" s="210" t="s">
        <v>201</v>
      </c>
    </row>
    <row r="58" spans="1:5" ht="40.5">
      <c r="A58" s="258">
        <v>97192</v>
      </c>
      <c r="B58" s="257" t="s">
        <v>4595</v>
      </c>
      <c r="C58" s="257" t="s">
        <v>5</v>
      </c>
      <c r="D58" s="259" t="s">
        <v>13573</v>
      </c>
      <c r="E58" s="210" t="s">
        <v>201</v>
      </c>
    </row>
    <row r="59" spans="1:5" ht="40.5">
      <c r="A59" s="258">
        <v>90694</v>
      </c>
      <c r="B59" s="257" t="s">
        <v>273</v>
      </c>
      <c r="C59" s="257" t="s">
        <v>5</v>
      </c>
      <c r="D59" s="259" t="s">
        <v>13574</v>
      </c>
      <c r="E59" s="210" t="s">
        <v>201</v>
      </c>
    </row>
    <row r="60" spans="1:5" ht="40.5">
      <c r="A60" s="258">
        <v>90695</v>
      </c>
      <c r="B60" s="257" t="s">
        <v>300</v>
      </c>
      <c r="C60" s="257" t="s">
        <v>5</v>
      </c>
      <c r="D60" s="259" t="s">
        <v>13575</v>
      </c>
      <c r="E60" s="210" t="s">
        <v>201</v>
      </c>
    </row>
    <row r="61" spans="1:5" ht="40.5">
      <c r="A61" s="258">
        <v>90696</v>
      </c>
      <c r="B61" s="257" t="s">
        <v>301</v>
      </c>
      <c r="C61" s="257" t="s">
        <v>5</v>
      </c>
      <c r="D61" s="259" t="s">
        <v>13576</v>
      </c>
      <c r="E61" s="210" t="s">
        <v>201</v>
      </c>
    </row>
    <row r="62" spans="1:5" ht="40.5">
      <c r="A62" s="258">
        <v>90697</v>
      </c>
      <c r="B62" s="257" t="s">
        <v>302</v>
      </c>
      <c r="C62" s="257" t="s">
        <v>5</v>
      </c>
      <c r="D62" s="259" t="s">
        <v>13577</v>
      </c>
      <c r="E62" s="210" t="s">
        <v>201</v>
      </c>
    </row>
    <row r="63" spans="1:5" ht="40.5">
      <c r="A63" s="258">
        <v>90698</v>
      </c>
      <c r="B63" s="257" t="s">
        <v>303</v>
      </c>
      <c r="C63" s="257" t="s">
        <v>5</v>
      </c>
      <c r="D63" s="259" t="s">
        <v>13578</v>
      </c>
      <c r="E63" s="210" t="s">
        <v>201</v>
      </c>
    </row>
    <row r="64" spans="1:5" ht="40.5">
      <c r="A64" s="258">
        <v>90699</v>
      </c>
      <c r="B64" s="257" t="s">
        <v>304</v>
      </c>
      <c r="C64" s="257" t="s">
        <v>5</v>
      </c>
      <c r="D64" s="259" t="s">
        <v>13579</v>
      </c>
      <c r="E64" s="210" t="s">
        <v>201</v>
      </c>
    </row>
    <row r="65" spans="1:5" ht="40.5">
      <c r="A65" s="258">
        <v>90700</v>
      </c>
      <c r="B65" s="257" t="s">
        <v>305</v>
      </c>
      <c r="C65" s="257" t="s">
        <v>5</v>
      </c>
      <c r="D65" s="259" t="s">
        <v>13580</v>
      </c>
      <c r="E65" s="210" t="s">
        <v>201</v>
      </c>
    </row>
    <row r="66" spans="1:5" ht="40.5">
      <c r="A66" s="258">
        <v>90701</v>
      </c>
      <c r="B66" s="257" t="s">
        <v>306</v>
      </c>
      <c r="C66" s="257" t="s">
        <v>5</v>
      </c>
      <c r="D66" s="259" t="s">
        <v>13581</v>
      </c>
      <c r="E66" s="210" t="s">
        <v>201</v>
      </c>
    </row>
    <row r="67" spans="1:5" ht="40.5">
      <c r="A67" s="258">
        <v>90702</v>
      </c>
      <c r="B67" s="257" t="s">
        <v>307</v>
      </c>
      <c r="C67" s="257" t="s">
        <v>5</v>
      </c>
      <c r="D67" s="259" t="s">
        <v>13582</v>
      </c>
      <c r="E67" s="210" t="s">
        <v>201</v>
      </c>
    </row>
    <row r="68" spans="1:5" ht="40.5">
      <c r="A68" s="258">
        <v>90703</v>
      </c>
      <c r="B68" s="257" t="s">
        <v>308</v>
      </c>
      <c r="C68" s="257" t="s">
        <v>5</v>
      </c>
      <c r="D68" s="259" t="s">
        <v>13583</v>
      </c>
      <c r="E68" s="210" t="s">
        <v>201</v>
      </c>
    </row>
    <row r="69" spans="1:5" ht="40.5">
      <c r="A69" s="258">
        <v>90704</v>
      </c>
      <c r="B69" s="257" t="s">
        <v>309</v>
      </c>
      <c r="C69" s="257" t="s">
        <v>5</v>
      </c>
      <c r="D69" s="259" t="s">
        <v>13584</v>
      </c>
      <c r="E69" s="210" t="s">
        <v>201</v>
      </c>
    </row>
    <row r="70" spans="1:5" ht="40.5">
      <c r="A70" s="258">
        <v>90705</v>
      </c>
      <c r="B70" s="257" t="s">
        <v>310</v>
      </c>
      <c r="C70" s="257" t="s">
        <v>5</v>
      </c>
      <c r="D70" s="259" t="s">
        <v>13585</v>
      </c>
      <c r="E70" s="210" t="s">
        <v>201</v>
      </c>
    </row>
    <row r="71" spans="1:5" ht="40.5">
      <c r="A71" s="258">
        <v>90706</v>
      </c>
      <c r="B71" s="257" t="s">
        <v>311</v>
      </c>
      <c r="C71" s="257" t="s">
        <v>5</v>
      </c>
      <c r="D71" s="259" t="s">
        <v>13586</v>
      </c>
      <c r="E71" s="210" t="s">
        <v>201</v>
      </c>
    </row>
    <row r="72" spans="1:5" ht="40.5">
      <c r="A72" s="258">
        <v>90708</v>
      </c>
      <c r="B72" s="257" t="s">
        <v>312</v>
      </c>
      <c r="C72" s="257" t="s">
        <v>5</v>
      </c>
      <c r="D72" s="259" t="s">
        <v>13587</v>
      </c>
      <c r="E72" s="210" t="s">
        <v>201</v>
      </c>
    </row>
    <row r="73" spans="1:5" ht="27">
      <c r="A73" s="258">
        <v>90709</v>
      </c>
      <c r="B73" s="257" t="s">
        <v>313</v>
      </c>
      <c r="C73" s="257" t="s">
        <v>5</v>
      </c>
      <c r="D73" s="259" t="s">
        <v>13588</v>
      </c>
      <c r="E73" s="210" t="s">
        <v>201</v>
      </c>
    </row>
    <row r="74" spans="1:5" ht="27">
      <c r="A74" s="258">
        <v>90710</v>
      </c>
      <c r="B74" s="257" t="s">
        <v>314</v>
      </c>
      <c r="C74" s="257" t="s">
        <v>5</v>
      </c>
      <c r="D74" s="259" t="s">
        <v>13589</v>
      </c>
      <c r="E74" s="210" t="s">
        <v>201</v>
      </c>
    </row>
    <row r="75" spans="1:5" ht="27">
      <c r="A75" s="258">
        <v>90711</v>
      </c>
      <c r="B75" s="257" t="s">
        <v>315</v>
      </c>
      <c r="C75" s="257" t="s">
        <v>5</v>
      </c>
      <c r="D75" s="259" t="s">
        <v>13590</v>
      </c>
      <c r="E75" s="210" t="s">
        <v>201</v>
      </c>
    </row>
    <row r="76" spans="1:5" ht="27">
      <c r="A76" s="258">
        <v>90712</v>
      </c>
      <c r="B76" s="257" t="s">
        <v>316</v>
      </c>
      <c r="C76" s="257" t="s">
        <v>5</v>
      </c>
      <c r="D76" s="259" t="s">
        <v>13591</v>
      </c>
      <c r="E76" s="210" t="s">
        <v>201</v>
      </c>
    </row>
    <row r="77" spans="1:5" ht="27">
      <c r="A77" s="258">
        <v>90713</v>
      </c>
      <c r="B77" s="257" t="s">
        <v>317</v>
      </c>
      <c r="C77" s="257" t="s">
        <v>5</v>
      </c>
      <c r="D77" s="259" t="s">
        <v>13592</v>
      </c>
      <c r="E77" s="210" t="s">
        <v>201</v>
      </c>
    </row>
    <row r="78" spans="1:5" ht="27">
      <c r="A78" s="258">
        <v>90714</v>
      </c>
      <c r="B78" s="257" t="s">
        <v>318</v>
      </c>
      <c r="C78" s="257" t="s">
        <v>5</v>
      </c>
      <c r="D78" s="259" t="s">
        <v>13593</v>
      </c>
      <c r="E78" s="210" t="s">
        <v>201</v>
      </c>
    </row>
    <row r="79" spans="1:5" ht="27">
      <c r="A79" s="258">
        <v>90715</v>
      </c>
      <c r="B79" s="257" t="s">
        <v>319</v>
      </c>
      <c r="C79" s="257" t="s">
        <v>5</v>
      </c>
      <c r="D79" s="259" t="s">
        <v>13594</v>
      </c>
      <c r="E79" s="210" t="s">
        <v>201</v>
      </c>
    </row>
    <row r="80" spans="1:5" ht="40.5">
      <c r="A80" s="258">
        <v>90716</v>
      </c>
      <c r="B80" s="257" t="s">
        <v>320</v>
      </c>
      <c r="C80" s="257" t="s">
        <v>5</v>
      </c>
      <c r="D80" s="259" t="s">
        <v>13595</v>
      </c>
      <c r="E80" s="210" t="s">
        <v>201</v>
      </c>
    </row>
    <row r="81" spans="1:5" ht="40.5">
      <c r="A81" s="258">
        <v>90717</v>
      </c>
      <c r="B81" s="257" t="s">
        <v>321</v>
      </c>
      <c r="C81" s="257" t="s">
        <v>5</v>
      </c>
      <c r="D81" s="259" t="s">
        <v>13596</v>
      </c>
      <c r="E81" s="210" t="s">
        <v>201</v>
      </c>
    </row>
    <row r="82" spans="1:5" ht="40.5">
      <c r="A82" s="258">
        <v>90718</v>
      </c>
      <c r="B82" s="257" t="s">
        <v>322</v>
      </c>
      <c r="C82" s="257" t="s">
        <v>5</v>
      </c>
      <c r="D82" s="259" t="s">
        <v>13597</v>
      </c>
      <c r="E82" s="210" t="s">
        <v>201</v>
      </c>
    </row>
    <row r="83" spans="1:5" ht="40.5">
      <c r="A83" s="258">
        <v>90719</v>
      </c>
      <c r="B83" s="257" t="s">
        <v>323</v>
      </c>
      <c r="C83" s="257" t="s">
        <v>5</v>
      </c>
      <c r="D83" s="259" t="s">
        <v>13598</v>
      </c>
      <c r="E83" s="210" t="s">
        <v>201</v>
      </c>
    </row>
    <row r="84" spans="1:5" ht="40.5">
      <c r="A84" s="258">
        <v>90720</v>
      </c>
      <c r="B84" s="257" t="s">
        <v>324</v>
      </c>
      <c r="C84" s="257" t="s">
        <v>5</v>
      </c>
      <c r="D84" s="259" t="s">
        <v>13599</v>
      </c>
      <c r="E84" s="210" t="s">
        <v>201</v>
      </c>
    </row>
    <row r="85" spans="1:5" ht="40.5">
      <c r="A85" s="258">
        <v>90721</v>
      </c>
      <c r="B85" s="257" t="s">
        <v>325</v>
      </c>
      <c r="C85" s="257" t="s">
        <v>5</v>
      </c>
      <c r="D85" s="259" t="s">
        <v>13600</v>
      </c>
      <c r="E85" s="210" t="s">
        <v>201</v>
      </c>
    </row>
    <row r="86" spans="1:5" ht="40.5">
      <c r="A86" s="258">
        <v>90723</v>
      </c>
      <c r="B86" s="257" t="s">
        <v>326</v>
      </c>
      <c r="C86" s="257" t="s">
        <v>5</v>
      </c>
      <c r="D86" s="259" t="s">
        <v>13601</v>
      </c>
      <c r="E86" s="210" t="s">
        <v>201</v>
      </c>
    </row>
    <row r="87" spans="1:5" ht="27">
      <c r="A87" s="258">
        <v>90724</v>
      </c>
      <c r="B87" s="257" t="s">
        <v>327</v>
      </c>
      <c r="C87" s="257" t="s">
        <v>90</v>
      </c>
      <c r="D87" s="259" t="s">
        <v>13602</v>
      </c>
      <c r="E87" s="210" t="s">
        <v>201</v>
      </c>
    </row>
    <row r="88" spans="1:5" ht="27">
      <c r="A88" s="258">
        <v>90725</v>
      </c>
      <c r="B88" s="257" t="s">
        <v>328</v>
      </c>
      <c r="C88" s="257" t="s">
        <v>90</v>
      </c>
      <c r="D88" s="259" t="s">
        <v>13603</v>
      </c>
      <c r="E88" s="210" t="s">
        <v>201</v>
      </c>
    </row>
    <row r="89" spans="1:5" ht="27">
      <c r="A89" s="258">
        <v>90726</v>
      </c>
      <c r="B89" s="257" t="s">
        <v>329</v>
      </c>
      <c r="C89" s="257" t="s">
        <v>90</v>
      </c>
      <c r="D89" s="259" t="s">
        <v>13604</v>
      </c>
      <c r="E89" s="210" t="s">
        <v>201</v>
      </c>
    </row>
    <row r="90" spans="1:5" ht="27">
      <c r="A90" s="258">
        <v>90727</v>
      </c>
      <c r="B90" s="257" t="s">
        <v>330</v>
      </c>
      <c r="C90" s="257" t="s">
        <v>90</v>
      </c>
      <c r="D90" s="259" t="s">
        <v>13605</v>
      </c>
      <c r="E90" s="210" t="s">
        <v>201</v>
      </c>
    </row>
    <row r="91" spans="1:5" ht="27">
      <c r="A91" s="258">
        <v>90728</v>
      </c>
      <c r="B91" s="257" t="s">
        <v>331</v>
      </c>
      <c r="C91" s="257" t="s">
        <v>90</v>
      </c>
      <c r="D91" s="259" t="s">
        <v>13606</v>
      </c>
      <c r="E91" s="210" t="s">
        <v>201</v>
      </c>
    </row>
    <row r="92" spans="1:5" ht="27">
      <c r="A92" s="258">
        <v>90729</v>
      </c>
      <c r="B92" s="257" t="s">
        <v>332</v>
      </c>
      <c r="C92" s="257" t="s">
        <v>90</v>
      </c>
      <c r="D92" s="259" t="s">
        <v>13607</v>
      </c>
      <c r="E92" s="210" t="s">
        <v>201</v>
      </c>
    </row>
    <row r="93" spans="1:5" ht="27">
      <c r="A93" s="258">
        <v>90730</v>
      </c>
      <c r="B93" s="257" t="s">
        <v>333</v>
      </c>
      <c r="C93" s="257" t="s">
        <v>90</v>
      </c>
      <c r="D93" s="259" t="s">
        <v>13608</v>
      </c>
      <c r="E93" s="210" t="s">
        <v>201</v>
      </c>
    </row>
    <row r="94" spans="1:5" ht="27">
      <c r="A94" s="258">
        <v>90731</v>
      </c>
      <c r="B94" s="257" t="s">
        <v>334</v>
      </c>
      <c r="C94" s="257" t="s">
        <v>90</v>
      </c>
      <c r="D94" s="259" t="s">
        <v>13609</v>
      </c>
      <c r="E94" s="210" t="s">
        <v>201</v>
      </c>
    </row>
    <row r="95" spans="1:5" ht="27">
      <c r="A95" s="258">
        <v>90732</v>
      </c>
      <c r="B95" s="257" t="s">
        <v>335</v>
      </c>
      <c r="C95" s="257" t="s">
        <v>90</v>
      </c>
      <c r="D95" s="259" t="s">
        <v>13610</v>
      </c>
      <c r="E95" s="210" t="s">
        <v>201</v>
      </c>
    </row>
    <row r="96" spans="1:5" ht="40.5">
      <c r="A96" s="258">
        <v>90733</v>
      </c>
      <c r="B96" s="257" t="s">
        <v>336</v>
      </c>
      <c r="C96" s="257" t="s">
        <v>5</v>
      </c>
      <c r="D96" s="259" t="s">
        <v>13611</v>
      </c>
      <c r="E96" s="210" t="s">
        <v>201</v>
      </c>
    </row>
    <row r="97" spans="1:5" ht="40.5">
      <c r="A97" s="258">
        <v>90734</v>
      </c>
      <c r="B97" s="257" t="s">
        <v>337</v>
      </c>
      <c r="C97" s="257" t="s">
        <v>5</v>
      </c>
      <c r="D97" s="259" t="s">
        <v>13612</v>
      </c>
      <c r="E97" s="210" t="s">
        <v>201</v>
      </c>
    </row>
    <row r="98" spans="1:5" ht="40.5">
      <c r="A98" s="258">
        <v>90735</v>
      </c>
      <c r="B98" s="257" t="s">
        <v>338</v>
      </c>
      <c r="C98" s="257" t="s">
        <v>5</v>
      </c>
      <c r="D98" s="259" t="s">
        <v>13613</v>
      </c>
      <c r="E98" s="210" t="s">
        <v>201</v>
      </c>
    </row>
    <row r="99" spans="1:5" ht="40.5">
      <c r="A99" s="258">
        <v>90736</v>
      </c>
      <c r="B99" s="257" t="s">
        <v>339</v>
      </c>
      <c r="C99" s="257" t="s">
        <v>5</v>
      </c>
      <c r="D99" s="259" t="s">
        <v>13614</v>
      </c>
      <c r="E99" s="210" t="s">
        <v>201</v>
      </c>
    </row>
    <row r="100" spans="1:5" ht="40.5">
      <c r="A100" s="258">
        <v>90737</v>
      </c>
      <c r="B100" s="257" t="s">
        <v>340</v>
      </c>
      <c r="C100" s="257" t="s">
        <v>5</v>
      </c>
      <c r="D100" s="259" t="s">
        <v>13615</v>
      </c>
      <c r="E100" s="210" t="s">
        <v>201</v>
      </c>
    </row>
    <row r="101" spans="1:5" ht="40.5">
      <c r="A101" s="258">
        <v>90738</v>
      </c>
      <c r="B101" s="257" t="s">
        <v>341</v>
      </c>
      <c r="C101" s="257" t="s">
        <v>5</v>
      </c>
      <c r="D101" s="259" t="s">
        <v>13616</v>
      </c>
      <c r="E101" s="210" t="s">
        <v>201</v>
      </c>
    </row>
    <row r="102" spans="1:5" ht="40.5">
      <c r="A102" s="258">
        <v>90739</v>
      </c>
      <c r="B102" s="257" t="s">
        <v>342</v>
      </c>
      <c r="C102" s="257" t="s">
        <v>5</v>
      </c>
      <c r="D102" s="259" t="s">
        <v>13617</v>
      </c>
      <c r="E102" s="210" t="s">
        <v>201</v>
      </c>
    </row>
    <row r="103" spans="1:5" ht="40.5">
      <c r="A103" s="258">
        <v>90740</v>
      </c>
      <c r="B103" s="257" t="s">
        <v>343</v>
      </c>
      <c r="C103" s="257" t="s">
        <v>5</v>
      </c>
      <c r="D103" s="259" t="s">
        <v>13618</v>
      </c>
      <c r="E103" s="210" t="s">
        <v>201</v>
      </c>
    </row>
    <row r="104" spans="1:5" ht="40.5">
      <c r="A104" s="258">
        <v>90741</v>
      </c>
      <c r="B104" s="257" t="s">
        <v>344</v>
      </c>
      <c r="C104" s="257" t="s">
        <v>5</v>
      </c>
      <c r="D104" s="259" t="s">
        <v>13619</v>
      </c>
      <c r="E104" s="210" t="s">
        <v>201</v>
      </c>
    </row>
    <row r="105" spans="1:5" ht="40.5">
      <c r="A105" s="258">
        <v>90742</v>
      </c>
      <c r="B105" s="257" t="s">
        <v>345</v>
      </c>
      <c r="C105" s="257" t="s">
        <v>5</v>
      </c>
      <c r="D105" s="259" t="s">
        <v>13620</v>
      </c>
      <c r="E105" s="210" t="s">
        <v>201</v>
      </c>
    </row>
    <row r="106" spans="1:5" ht="40.5">
      <c r="A106" s="258">
        <v>90743</v>
      </c>
      <c r="B106" s="257" t="s">
        <v>346</v>
      </c>
      <c r="C106" s="257" t="s">
        <v>5</v>
      </c>
      <c r="D106" s="259" t="s">
        <v>13621</v>
      </c>
      <c r="E106" s="210" t="s">
        <v>201</v>
      </c>
    </row>
    <row r="107" spans="1:5" ht="40.5">
      <c r="A107" s="258">
        <v>90744</v>
      </c>
      <c r="B107" s="257" t="s">
        <v>347</v>
      </c>
      <c r="C107" s="257" t="s">
        <v>5</v>
      </c>
      <c r="D107" s="259" t="s">
        <v>13622</v>
      </c>
      <c r="E107" s="210" t="s">
        <v>201</v>
      </c>
    </row>
    <row r="108" spans="1:5" ht="40.5">
      <c r="A108" s="258">
        <v>90745</v>
      </c>
      <c r="B108" s="257" t="s">
        <v>348</v>
      </c>
      <c r="C108" s="257" t="s">
        <v>5</v>
      </c>
      <c r="D108" s="259" t="s">
        <v>13623</v>
      </c>
      <c r="E108" s="210" t="s">
        <v>201</v>
      </c>
    </row>
    <row r="109" spans="1:5" ht="40.5">
      <c r="A109" s="258">
        <v>90746</v>
      </c>
      <c r="B109" s="257" t="s">
        <v>349</v>
      </c>
      <c r="C109" s="257" t="s">
        <v>5</v>
      </c>
      <c r="D109" s="259" t="s">
        <v>13624</v>
      </c>
      <c r="E109" s="210" t="s">
        <v>201</v>
      </c>
    </row>
    <row r="110" spans="1:5" ht="40.5">
      <c r="A110" s="258">
        <v>90747</v>
      </c>
      <c r="B110" s="257" t="s">
        <v>350</v>
      </c>
      <c r="C110" s="257" t="s">
        <v>5</v>
      </c>
      <c r="D110" s="259" t="s">
        <v>13625</v>
      </c>
      <c r="E110" s="210" t="s">
        <v>201</v>
      </c>
    </row>
    <row r="111" spans="1:5" ht="40.5">
      <c r="A111" s="258">
        <v>90748</v>
      </c>
      <c r="B111" s="257" t="s">
        <v>351</v>
      </c>
      <c r="C111" s="257" t="s">
        <v>5</v>
      </c>
      <c r="D111" s="259" t="s">
        <v>13626</v>
      </c>
      <c r="E111" s="210" t="s">
        <v>201</v>
      </c>
    </row>
    <row r="112" spans="1:5" ht="40.5">
      <c r="A112" s="258">
        <v>90749</v>
      </c>
      <c r="B112" s="257" t="s">
        <v>352</v>
      </c>
      <c r="C112" s="257" t="s">
        <v>5</v>
      </c>
      <c r="D112" s="259" t="s">
        <v>13627</v>
      </c>
      <c r="E112" s="210" t="s">
        <v>201</v>
      </c>
    </row>
    <row r="113" spans="1:5" ht="40.5">
      <c r="A113" s="258">
        <v>90750</v>
      </c>
      <c r="B113" s="257" t="s">
        <v>353</v>
      </c>
      <c r="C113" s="257" t="s">
        <v>5</v>
      </c>
      <c r="D113" s="259" t="s">
        <v>13628</v>
      </c>
      <c r="E113" s="210" t="s">
        <v>201</v>
      </c>
    </row>
    <row r="114" spans="1:5" ht="40.5">
      <c r="A114" s="258">
        <v>90751</v>
      </c>
      <c r="B114" s="257" t="s">
        <v>354</v>
      </c>
      <c r="C114" s="257" t="s">
        <v>5</v>
      </c>
      <c r="D114" s="259" t="s">
        <v>13629</v>
      </c>
      <c r="E114" s="210" t="s">
        <v>201</v>
      </c>
    </row>
    <row r="115" spans="1:5" ht="40.5">
      <c r="A115" s="258">
        <v>90752</v>
      </c>
      <c r="B115" s="257" t="s">
        <v>355</v>
      </c>
      <c r="C115" s="257" t="s">
        <v>5</v>
      </c>
      <c r="D115" s="259" t="s">
        <v>13630</v>
      </c>
      <c r="E115" s="210" t="s">
        <v>201</v>
      </c>
    </row>
    <row r="116" spans="1:5" ht="40.5">
      <c r="A116" s="258">
        <v>90753</v>
      </c>
      <c r="B116" s="257" t="s">
        <v>356</v>
      </c>
      <c r="C116" s="257" t="s">
        <v>5</v>
      </c>
      <c r="D116" s="259" t="s">
        <v>13631</v>
      </c>
      <c r="E116" s="210" t="s">
        <v>201</v>
      </c>
    </row>
    <row r="117" spans="1:5" ht="40.5">
      <c r="A117" s="258">
        <v>90754</v>
      </c>
      <c r="B117" s="257" t="s">
        <v>357</v>
      </c>
      <c r="C117" s="257" t="s">
        <v>5</v>
      </c>
      <c r="D117" s="259" t="s">
        <v>13632</v>
      </c>
      <c r="E117" s="210" t="s">
        <v>201</v>
      </c>
    </row>
    <row r="118" spans="1:5" ht="40.5">
      <c r="A118" s="258">
        <v>90755</v>
      </c>
      <c r="B118" s="257" t="s">
        <v>358</v>
      </c>
      <c r="C118" s="257" t="s">
        <v>5</v>
      </c>
      <c r="D118" s="259" t="s">
        <v>13633</v>
      </c>
      <c r="E118" s="210" t="s">
        <v>201</v>
      </c>
    </row>
    <row r="119" spans="1:5" ht="40.5">
      <c r="A119" s="258">
        <v>90756</v>
      </c>
      <c r="B119" s="257" t="s">
        <v>359</v>
      </c>
      <c r="C119" s="257" t="s">
        <v>5</v>
      </c>
      <c r="D119" s="259" t="s">
        <v>13634</v>
      </c>
      <c r="E119" s="210" t="s">
        <v>201</v>
      </c>
    </row>
    <row r="120" spans="1:5" ht="40.5">
      <c r="A120" s="258">
        <v>90757</v>
      </c>
      <c r="B120" s="257" t="s">
        <v>360</v>
      </c>
      <c r="C120" s="257" t="s">
        <v>5</v>
      </c>
      <c r="D120" s="259" t="s">
        <v>13635</v>
      </c>
      <c r="E120" s="210" t="s">
        <v>201</v>
      </c>
    </row>
    <row r="121" spans="1:5" ht="40.5">
      <c r="A121" s="258">
        <v>90758</v>
      </c>
      <c r="B121" s="257" t="s">
        <v>361</v>
      </c>
      <c r="C121" s="257" t="s">
        <v>5</v>
      </c>
      <c r="D121" s="259" t="s">
        <v>13636</v>
      </c>
      <c r="E121" s="210" t="s">
        <v>201</v>
      </c>
    </row>
    <row r="122" spans="1:5" ht="40.5">
      <c r="A122" s="258">
        <v>90759</v>
      </c>
      <c r="B122" s="257" t="s">
        <v>362</v>
      </c>
      <c r="C122" s="257" t="s">
        <v>5</v>
      </c>
      <c r="D122" s="259" t="s">
        <v>13637</v>
      </c>
      <c r="E122" s="210" t="s">
        <v>201</v>
      </c>
    </row>
    <row r="123" spans="1:5" ht="40.5">
      <c r="A123" s="258">
        <v>90760</v>
      </c>
      <c r="B123" s="257" t="s">
        <v>363</v>
      </c>
      <c r="C123" s="257" t="s">
        <v>5</v>
      </c>
      <c r="D123" s="259" t="s">
        <v>13638</v>
      </c>
      <c r="E123" s="210" t="s">
        <v>201</v>
      </c>
    </row>
    <row r="124" spans="1:5" ht="40.5">
      <c r="A124" s="258">
        <v>90761</v>
      </c>
      <c r="B124" s="257" t="s">
        <v>364</v>
      </c>
      <c r="C124" s="257" t="s">
        <v>5</v>
      </c>
      <c r="D124" s="259" t="s">
        <v>13614</v>
      </c>
      <c r="E124" s="210" t="s">
        <v>201</v>
      </c>
    </row>
    <row r="125" spans="1:5" ht="40.5">
      <c r="A125" s="258">
        <v>90762</v>
      </c>
      <c r="B125" s="257" t="s">
        <v>365</v>
      </c>
      <c r="C125" s="257" t="s">
        <v>5</v>
      </c>
      <c r="D125" s="259" t="s">
        <v>13639</v>
      </c>
      <c r="E125" s="210" t="s">
        <v>201</v>
      </c>
    </row>
    <row r="126" spans="1:5" ht="40.5">
      <c r="A126" s="258">
        <v>94869</v>
      </c>
      <c r="B126" s="257" t="s">
        <v>366</v>
      </c>
      <c r="C126" s="257" t="s">
        <v>5</v>
      </c>
      <c r="D126" s="259" t="s">
        <v>13640</v>
      </c>
      <c r="E126" s="210" t="s">
        <v>201</v>
      </c>
    </row>
    <row r="127" spans="1:5" ht="40.5">
      <c r="A127" s="258">
        <v>94870</v>
      </c>
      <c r="B127" s="257" t="s">
        <v>367</v>
      </c>
      <c r="C127" s="257" t="s">
        <v>5</v>
      </c>
      <c r="D127" s="259" t="s">
        <v>13641</v>
      </c>
      <c r="E127" s="210" t="s">
        <v>201</v>
      </c>
    </row>
    <row r="128" spans="1:5" ht="40.5">
      <c r="A128" s="258">
        <v>94871</v>
      </c>
      <c r="B128" s="257" t="s">
        <v>368</v>
      </c>
      <c r="C128" s="257" t="s">
        <v>5</v>
      </c>
      <c r="D128" s="259" t="s">
        <v>13642</v>
      </c>
      <c r="E128" s="210" t="s">
        <v>201</v>
      </c>
    </row>
    <row r="129" spans="1:5" ht="40.5">
      <c r="A129" s="258">
        <v>94872</v>
      </c>
      <c r="B129" s="257" t="s">
        <v>369</v>
      </c>
      <c r="C129" s="257" t="s">
        <v>5</v>
      </c>
      <c r="D129" s="259" t="s">
        <v>13643</v>
      </c>
      <c r="E129" s="210" t="s">
        <v>201</v>
      </c>
    </row>
    <row r="130" spans="1:5" ht="40.5">
      <c r="A130" s="258">
        <v>94875</v>
      </c>
      <c r="B130" s="257" t="s">
        <v>370</v>
      </c>
      <c r="C130" s="257" t="s">
        <v>5</v>
      </c>
      <c r="D130" s="259" t="s">
        <v>13644</v>
      </c>
      <c r="E130" s="210" t="s">
        <v>201</v>
      </c>
    </row>
    <row r="131" spans="1:5" ht="40.5">
      <c r="A131" s="258">
        <v>94876</v>
      </c>
      <c r="B131" s="257" t="s">
        <v>371</v>
      </c>
      <c r="C131" s="257" t="s">
        <v>5</v>
      </c>
      <c r="D131" s="259" t="s">
        <v>13645</v>
      </c>
      <c r="E131" s="210" t="s">
        <v>201</v>
      </c>
    </row>
    <row r="132" spans="1:5" ht="40.5">
      <c r="A132" s="258">
        <v>94878</v>
      </c>
      <c r="B132" s="257" t="s">
        <v>372</v>
      </c>
      <c r="C132" s="257" t="s">
        <v>5</v>
      </c>
      <c r="D132" s="259" t="s">
        <v>13646</v>
      </c>
      <c r="E132" s="210" t="s">
        <v>201</v>
      </c>
    </row>
    <row r="133" spans="1:5" ht="40.5">
      <c r="A133" s="258">
        <v>94879</v>
      </c>
      <c r="B133" s="257" t="s">
        <v>373</v>
      </c>
      <c r="C133" s="257" t="s">
        <v>5</v>
      </c>
      <c r="D133" s="259" t="s">
        <v>13647</v>
      </c>
      <c r="E133" s="210" t="s">
        <v>201</v>
      </c>
    </row>
    <row r="134" spans="1:5" ht="40.5">
      <c r="A134" s="258">
        <v>94880</v>
      </c>
      <c r="B134" s="257" t="s">
        <v>374</v>
      </c>
      <c r="C134" s="257" t="s">
        <v>5</v>
      </c>
      <c r="D134" s="259" t="s">
        <v>13648</v>
      </c>
      <c r="E134" s="210" t="s">
        <v>201</v>
      </c>
    </row>
    <row r="135" spans="1:5" ht="40.5">
      <c r="A135" s="258">
        <v>94881</v>
      </c>
      <c r="B135" s="257" t="s">
        <v>375</v>
      </c>
      <c r="C135" s="257" t="s">
        <v>5</v>
      </c>
      <c r="D135" s="260" t="s">
        <v>13649</v>
      </c>
      <c r="E135" s="210" t="s">
        <v>201</v>
      </c>
    </row>
    <row r="136" spans="1:5" ht="40.5">
      <c r="A136" s="258">
        <v>94882</v>
      </c>
      <c r="B136" s="257" t="s">
        <v>376</v>
      </c>
      <c r="C136" s="257" t="s">
        <v>5</v>
      </c>
      <c r="D136" s="259" t="s">
        <v>13650</v>
      </c>
      <c r="E136" s="210" t="s">
        <v>201</v>
      </c>
    </row>
    <row r="137" spans="1:5" ht="40.5">
      <c r="A137" s="258">
        <v>94884</v>
      </c>
      <c r="B137" s="257" t="s">
        <v>377</v>
      </c>
      <c r="C137" s="257" t="s">
        <v>5</v>
      </c>
      <c r="D137" s="259" t="s">
        <v>13651</v>
      </c>
      <c r="E137" s="210" t="s">
        <v>201</v>
      </c>
    </row>
    <row r="138" spans="1:5" ht="40.5">
      <c r="A138" s="258">
        <v>94885</v>
      </c>
      <c r="B138" s="257" t="s">
        <v>378</v>
      </c>
      <c r="C138" s="257" t="s">
        <v>5</v>
      </c>
      <c r="D138" s="259" t="s">
        <v>13652</v>
      </c>
      <c r="E138" s="210" t="s">
        <v>201</v>
      </c>
    </row>
    <row r="139" spans="1:5" ht="40.5">
      <c r="A139" s="258">
        <v>94886</v>
      </c>
      <c r="B139" s="257" t="s">
        <v>379</v>
      </c>
      <c r="C139" s="257" t="s">
        <v>5</v>
      </c>
      <c r="D139" s="259" t="s">
        <v>13653</v>
      </c>
      <c r="E139" s="210" t="s">
        <v>201</v>
      </c>
    </row>
    <row r="140" spans="1:5" ht="40.5">
      <c r="A140" s="258">
        <v>94887</v>
      </c>
      <c r="B140" s="257" t="s">
        <v>380</v>
      </c>
      <c r="C140" s="257" t="s">
        <v>5</v>
      </c>
      <c r="D140" s="259" t="s">
        <v>13654</v>
      </c>
      <c r="E140" s="210" t="s">
        <v>201</v>
      </c>
    </row>
    <row r="141" spans="1:5" ht="40.5">
      <c r="A141" s="258">
        <v>94888</v>
      </c>
      <c r="B141" s="257" t="s">
        <v>381</v>
      </c>
      <c r="C141" s="257" t="s">
        <v>5</v>
      </c>
      <c r="D141" s="259" t="s">
        <v>13655</v>
      </c>
      <c r="E141" s="210" t="s">
        <v>201</v>
      </c>
    </row>
    <row r="142" spans="1:5" ht="40.5">
      <c r="A142" s="258">
        <v>94891</v>
      </c>
      <c r="B142" s="257" t="s">
        <v>382</v>
      </c>
      <c r="C142" s="257" t="s">
        <v>5</v>
      </c>
      <c r="D142" s="259" t="s">
        <v>13656</v>
      </c>
      <c r="E142" s="210" t="s">
        <v>201</v>
      </c>
    </row>
    <row r="143" spans="1:5" ht="40.5">
      <c r="A143" s="258">
        <v>94892</v>
      </c>
      <c r="B143" s="257" t="s">
        <v>383</v>
      </c>
      <c r="C143" s="257" t="s">
        <v>5</v>
      </c>
      <c r="D143" s="259" t="s">
        <v>13657</v>
      </c>
      <c r="E143" s="210" t="s">
        <v>201</v>
      </c>
    </row>
    <row r="144" spans="1:5" ht="40.5">
      <c r="A144" s="258">
        <v>94894</v>
      </c>
      <c r="B144" s="257" t="s">
        <v>384</v>
      </c>
      <c r="C144" s="257" t="s">
        <v>5</v>
      </c>
      <c r="D144" s="259" t="s">
        <v>13658</v>
      </c>
      <c r="E144" s="210" t="s">
        <v>201</v>
      </c>
    </row>
    <row r="145" spans="1:5" ht="40.5">
      <c r="A145" s="258">
        <v>94895</v>
      </c>
      <c r="B145" s="257" t="s">
        <v>385</v>
      </c>
      <c r="C145" s="257" t="s">
        <v>5</v>
      </c>
      <c r="D145" s="259" t="s">
        <v>13659</v>
      </c>
      <c r="E145" s="210" t="s">
        <v>201</v>
      </c>
    </row>
    <row r="146" spans="1:5" ht="40.5">
      <c r="A146" s="258">
        <v>94896</v>
      </c>
      <c r="B146" s="257" t="s">
        <v>386</v>
      </c>
      <c r="C146" s="257" t="s">
        <v>5</v>
      </c>
      <c r="D146" s="259" t="s">
        <v>13660</v>
      </c>
      <c r="E146" s="210" t="s">
        <v>201</v>
      </c>
    </row>
    <row r="147" spans="1:5" ht="40.5">
      <c r="A147" s="258">
        <v>94897</v>
      </c>
      <c r="B147" s="257" t="s">
        <v>387</v>
      </c>
      <c r="C147" s="257" t="s">
        <v>5</v>
      </c>
      <c r="D147" s="260" t="s">
        <v>13661</v>
      </c>
      <c r="E147" s="210" t="s">
        <v>201</v>
      </c>
    </row>
    <row r="148" spans="1:5" ht="40.5">
      <c r="A148" s="258">
        <v>94898</v>
      </c>
      <c r="B148" s="257" t="s">
        <v>388</v>
      </c>
      <c r="C148" s="257" t="s">
        <v>5</v>
      </c>
      <c r="D148" s="259" t="s">
        <v>13662</v>
      </c>
      <c r="E148" s="210" t="s">
        <v>201</v>
      </c>
    </row>
    <row r="149" spans="1:5" ht="40.5">
      <c r="A149" s="258">
        <v>94900</v>
      </c>
      <c r="B149" s="257" t="s">
        <v>389</v>
      </c>
      <c r="C149" s="257" t="s">
        <v>5</v>
      </c>
      <c r="D149" s="259" t="s">
        <v>13663</v>
      </c>
      <c r="E149" s="210" t="s">
        <v>201</v>
      </c>
    </row>
    <row r="150" spans="1:5" ht="27">
      <c r="A150" s="258">
        <v>97121</v>
      </c>
      <c r="B150" s="257" t="s">
        <v>4596</v>
      </c>
      <c r="C150" s="257" t="s">
        <v>5</v>
      </c>
      <c r="D150" s="259" t="s">
        <v>13664</v>
      </c>
      <c r="E150" s="210" t="s">
        <v>201</v>
      </c>
    </row>
    <row r="151" spans="1:5" ht="27">
      <c r="A151" s="258">
        <v>97122</v>
      </c>
      <c r="B151" s="257" t="s">
        <v>4597</v>
      </c>
      <c r="C151" s="257" t="s">
        <v>5</v>
      </c>
      <c r="D151" s="259" t="s">
        <v>13665</v>
      </c>
      <c r="E151" s="210" t="s">
        <v>201</v>
      </c>
    </row>
    <row r="152" spans="1:5" ht="27">
      <c r="A152" s="258">
        <v>97123</v>
      </c>
      <c r="B152" s="257" t="s">
        <v>4598</v>
      </c>
      <c r="C152" s="257" t="s">
        <v>5</v>
      </c>
      <c r="D152" s="259" t="s">
        <v>13666</v>
      </c>
      <c r="E152" s="210" t="s">
        <v>201</v>
      </c>
    </row>
    <row r="153" spans="1:5" ht="27">
      <c r="A153" s="258">
        <v>97124</v>
      </c>
      <c r="B153" s="257" t="s">
        <v>4599</v>
      </c>
      <c r="C153" s="257" t="s">
        <v>5</v>
      </c>
      <c r="D153" s="259" t="s">
        <v>13667</v>
      </c>
      <c r="E153" s="210" t="s">
        <v>201</v>
      </c>
    </row>
    <row r="154" spans="1:5" ht="27">
      <c r="A154" s="258">
        <v>97125</v>
      </c>
      <c r="B154" s="257" t="s">
        <v>4600</v>
      </c>
      <c r="C154" s="257" t="s">
        <v>5</v>
      </c>
      <c r="D154" s="259" t="s">
        <v>13668</v>
      </c>
      <c r="E154" s="210" t="s">
        <v>201</v>
      </c>
    </row>
    <row r="155" spans="1:5" ht="27">
      <c r="A155" s="258">
        <v>97126</v>
      </c>
      <c r="B155" s="257" t="s">
        <v>4601</v>
      </c>
      <c r="C155" s="257" t="s">
        <v>5</v>
      </c>
      <c r="D155" s="259" t="s">
        <v>13669</v>
      </c>
      <c r="E155" s="210" t="s">
        <v>201</v>
      </c>
    </row>
    <row r="156" spans="1:5" ht="40.5">
      <c r="A156" s="258">
        <v>92833</v>
      </c>
      <c r="B156" s="257" t="s">
        <v>390</v>
      </c>
      <c r="C156" s="257" t="s">
        <v>5</v>
      </c>
      <c r="D156" s="259" t="s">
        <v>13670</v>
      </c>
      <c r="E156" s="210" t="s">
        <v>201</v>
      </c>
    </row>
    <row r="157" spans="1:5" ht="40.5">
      <c r="A157" s="258">
        <v>92834</v>
      </c>
      <c r="B157" s="257" t="s">
        <v>391</v>
      </c>
      <c r="C157" s="257" t="s">
        <v>5</v>
      </c>
      <c r="D157" s="259" t="s">
        <v>13671</v>
      </c>
      <c r="E157" s="210" t="s">
        <v>201</v>
      </c>
    </row>
    <row r="158" spans="1:5" ht="40.5">
      <c r="A158" s="258">
        <v>92835</v>
      </c>
      <c r="B158" s="257" t="s">
        <v>392</v>
      </c>
      <c r="C158" s="257" t="s">
        <v>5</v>
      </c>
      <c r="D158" s="259" t="s">
        <v>13672</v>
      </c>
      <c r="E158" s="210" t="s">
        <v>201</v>
      </c>
    </row>
    <row r="159" spans="1:5" ht="40.5">
      <c r="A159" s="258">
        <v>92836</v>
      </c>
      <c r="B159" s="257" t="s">
        <v>393</v>
      </c>
      <c r="C159" s="257" t="s">
        <v>5</v>
      </c>
      <c r="D159" s="259" t="s">
        <v>13673</v>
      </c>
      <c r="E159" s="210" t="s">
        <v>201</v>
      </c>
    </row>
    <row r="160" spans="1:5" ht="40.5">
      <c r="A160" s="258">
        <v>92837</v>
      </c>
      <c r="B160" s="257" t="s">
        <v>394</v>
      </c>
      <c r="C160" s="257" t="s">
        <v>5</v>
      </c>
      <c r="D160" s="259" t="s">
        <v>13674</v>
      </c>
      <c r="E160" s="210" t="s">
        <v>201</v>
      </c>
    </row>
    <row r="161" spans="1:5" ht="40.5">
      <c r="A161" s="258">
        <v>92838</v>
      </c>
      <c r="B161" s="257" t="s">
        <v>395</v>
      </c>
      <c r="C161" s="257" t="s">
        <v>5</v>
      </c>
      <c r="D161" s="259" t="s">
        <v>13675</v>
      </c>
      <c r="E161" s="210" t="s">
        <v>201</v>
      </c>
    </row>
    <row r="162" spans="1:5" ht="40.5">
      <c r="A162" s="258">
        <v>92839</v>
      </c>
      <c r="B162" s="257" t="s">
        <v>396</v>
      </c>
      <c r="C162" s="257" t="s">
        <v>5</v>
      </c>
      <c r="D162" s="259" t="s">
        <v>13676</v>
      </c>
      <c r="E162" s="210" t="s">
        <v>201</v>
      </c>
    </row>
    <row r="163" spans="1:5" ht="40.5">
      <c r="A163" s="258">
        <v>92840</v>
      </c>
      <c r="B163" s="257" t="s">
        <v>397</v>
      </c>
      <c r="C163" s="257" t="s">
        <v>5</v>
      </c>
      <c r="D163" s="259" t="s">
        <v>13677</v>
      </c>
      <c r="E163" s="210" t="s">
        <v>201</v>
      </c>
    </row>
    <row r="164" spans="1:5" ht="40.5">
      <c r="A164" s="258">
        <v>92841</v>
      </c>
      <c r="B164" s="257" t="s">
        <v>398</v>
      </c>
      <c r="C164" s="257" t="s">
        <v>5</v>
      </c>
      <c r="D164" s="259" t="s">
        <v>13678</v>
      </c>
      <c r="E164" s="210" t="s">
        <v>201</v>
      </c>
    </row>
    <row r="165" spans="1:5" ht="40.5">
      <c r="A165" s="258">
        <v>92842</v>
      </c>
      <c r="B165" s="257" t="s">
        <v>399</v>
      </c>
      <c r="C165" s="257" t="s">
        <v>5</v>
      </c>
      <c r="D165" s="259" t="s">
        <v>13679</v>
      </c>
      <c r="E165" s="210" t="s">
        <v>201</v>
      </c>
    </row>
    <row r="166" spans="1:5" ht="40.5">
      <c r="A166" s="258">
        <v>92844</v>
      </c>
      <c r="B166" s="257" t="s">
        <v>400</v>
      </c>
      <c r="C166" s="257" t="s">
        <v>5</v>
      </c>
      <c r="D166" s="259" t="s">
        <v>13680</v>
      </c>
      <c r="E166" s="210" t="s">
        <v>201</v>
      </c>
    </row>
    <row r="167" spans="1:5" ht="40.5">
      <c r="A167" s="258">
        <v>92846</v>
      </c>
      <c r="B167" s="257" t="s">
        <v>401</v>
      </c>
      <c r="C167" s="257" t="s">
        <v>5</v>
      </c>
      <c r="D167" s="259" t="s">
        <v>13681</v>
      </c>
      <c r="E167" s="210" t="s">
        <v>201</v>
      </c>
    </row>
    <row r="168" spans="1:5" ht="40.5">
      <c r="A168" s="258">
        <v>92847</v>
      </c>
      <c r="B168" s="257" t="s">
        <v>402</v>
      </c>
      <c r="C168" s="257" t="s">
        <v>5</v>
      </c>
      <c r="D168" s="259" t="s">
        <v>13682</v>
      </c>
      <c r="E168" s="210" t="s">
        <v>201</v>
      </c>
    </row>
    <row r="169" spans="1:5" ht="40.5">
      <c r="A169" s="258">
        <v>92848</v>
      </c>
      <c r="B169" s="257" t="s">
        <v>403</v>
      </c>
      <c r="C169" s="257" t="s">
        <v>5</v>
      </c>
      <c r="D169" s="259" t="s">
        <v>13683</v>
      </c>
      <c r="E169" s="210" t="s">
        <v>201</v>
      </c>
    </row>
    <row r="170" spans="1:5" ht="40.5">
      <c r="A170" s="258">
        <v>92849</v>
      </c>
      <c r="B170" s="257" t="s">
        <v>404</v>
      </c>
      <c r="C170" s="257" t="s">
        <v>5</v>
      </c>
      <c r="D170" s="259" t="s">
        <v>13684</v>
      </c>
      <c r="E170" s="210" t="s">
        <v>201</v>
      </c>
    </row>
    <row r="171" spans="1:5" ht="40.5">
      <c r="A171" s="258">
        <v>92850</v>
      </c>
      <c r="B171" s="257" t="s">
        <v>405</v>
      </c>
      <c r="C171" s="257" t="s">
        <v>5</v>
      </c>
      <c r="D171" s="259" t="s">
        <v>13685</v>
      </c>
      <c r="E171" s="210" t="s">
        <v>201</v>
      </c>
    </row>
    <row r="172" spans="1:5" ht="40.5">
      <c r="A172" s="258">
        <v>92851</v>
      </c>
      <c r="B172" s="257" t="s">
        <v>406</v>
      </c>
      <c r="C172" s="257" t="s">
        <v>5</v>
      </c>
      <c r="D172" s="259" t="s">
        <v>13686</v>
      </c>
      <c r="E172" s="210" t="s">
        <v>201</v>
      </c>
    </row>
    <row r="173" spans="1:5" ht="40.5">
      <c r="A173" s="258">
        <v>92852</v>
      </c>
      <c r="B173" s="257" t="s">
        <v>407</v>
      </c>
      <c r="C173" s="257" t="s">
        <v>5</v>
      </c>
      <c r="D173" s="259" t="s">
        <v>13687</v>
      </c>
      <c r="E173" s="210" t="s">
        <v>201</v>
      </c>
    </row>
    <row r="174" spans="1:5" ht="40.5">
      <c r="A174" s="258">
        <v>92853</v>
      </c>
      <c r="B174" s="257" t="s">
        <v>408</v>
      </c>
      <c r="C174" s="257" t="s">
        <v>5</v>
      </c>
      <c r="D174" s="259" t="s">
        <v>13688</v>
      </c>
      <c r="E174" s="210" t="s">
        <v>201</v>
      </c>
    </row>
    <row r="175" spans="1:5" ht="40.5">
      <c r="A175" s="258">
        <v>92854</v>
      </c>
      <c r="B175" s="257" t="s">
        <v>409</v>
      </c>
      <c r="C175" s="257" t="s">
        <v>5</v>
      </c>
      <c r="D175" s="259" t="s">
        <v>13689</v>
      </c>
      <c r="E175" s="210" t="s">
        <v>201</v>
      </c>
    </row>
    <row r="176" spans="1:5" ht="40.5">
      <c r="A176" s="258">
        <v>92855</v>
      </c>
      <c r="B176" s="257" t="s">
        <v>410</v>
      </c>
      <c r="C176" s="257" t="s">
        <v>5</v>
      </c>
      <c r="D176" s="259" t="s">
        <v>13690</v>
      </c>
      <c r="E176" s="210" t="s">
        <v>201</v>
      </c>
    </row>
    <row r="177" spans="1:5" ht="40.5">
      <c r="A177" s="258">
        <v>92856</v>
      </c>
      <c r="B177" s="257" t="s">
        <v>411</v>
      </c>
      <c r="C177" s="257" t="s">
        <v>5</v>
      </c>
      <c r="D177" s="259" t="s">
        <v>13691</v>
      </c>
      <c r="E177" s="210" t="s">
        <v>201</v>
      </c>
    </row>
    <row r="178" spans="1:5" ht="40.5">
      <c r="A178" s="258">
        <v>92857</v>
      </c>
      <c r="B178" s="257" t="s">
        <v>412</v>
      </c>
      <c r="C178" s="257" t="s">
        <v>5</v>
      </c>
      <c r="D178" s="259" t="s">
        <v>13692</v>
      </c>
      <c r="E178" s="210" t="s">
        <v>201</v>
      </c>
    </row>
    <row r="179" spans="1:5" ht="40.5">
      <c r="A179" s="258">
        <v>92858</v>
      </c>
      <c r="B179" s="257" t="s">
        <v>413</v>
      </c>
      <c r="C179" s="257" t="s">
        <v>5</v>
      </c>
      <c r="D179" s="259" t="s">
        <v>13693</v>
      </c>
      <c r="E179" s="210" t="s">
        <v>201</v>
      </c>
    </row>
    <row r="180" spans="1:5" ht="40.5">
      <c r="A180" s="258">
        <v>92860</v>
      </c>
      <c r="B180" s="257" t="s">
        <v>414</v>
      </c>
      <c r="C180" s="257" t="s">
        <v>5</v>
      </c>
      <c r="D180" s="259" t="s">
        <v>13694</v>
      </c>
      <c r="E180" s="210" t="s">
        <v>201</v>
      </c>
    </row>
    <row r="181" spans="1:5" ht="40.5">
      <c r="A181" s="258">
        <v>92862</v>
      </c>
      <c r="B181" s="257" t="s">
        <v>415</v>
      </c>
      <c r="C181" s="257" t="s">
        <v>5</v>
      </c>
      <c r="D181" s="259" t="s">
        <v>13695</v>
      </c>
      <c r="E181" s="210" t="s">
        <v>201</v>
      </c>
    </row>
    <row r="182" spans="1:5" ht="40.5">
      <c r="A182" s="258">
        <v>92863</v>
      </c>
      <c r="B182" s="257" t="s">
        <v>416</v>
      </c>
      <c r="C182" s="257" t="s">
        <v>5</v>
      </c>
      <c r="D182" s="259" t="s">
        <v>13696</v>
      </c>
      <c r="E182" s="210" t="s">
        <v>201</v>
      </c>
    </row>
    <row r="183" spans="1:5" ht="40.5">
      <c r="A183" s="258">
        <v>92864</v>
      </c>
      <c r="B183" s="257" t="s">
        <v>417</v>
      </c>
      <c r="C183" s="257" t="s">
        <v>5</v>
      </c>
      <c r="D183" s="259" t="s">
        <v>13697</v>
      </c>
      <c r="E183" s="210" t="s">
        <v>201</v>
      </c>
    </row>
    <row r="184" spans="1:5" ht="40.5">
      <c r="A184" s="258">
        <v>92210</v>
      </c>
      <c r="B184" s="257" t="s">
        <v>275</v>
      </c>
      <c r="C184" s="257" t="s">
        <v>5</v>
      </c>
      <c r="D184" s="259" t="s">
        <v>13698</v>
      </c>
      <c r="E184" s="210" t="s">
        <v>201</v>
      </c>
    </row>
    <row r="185" spans="1:5" ht="40.5">
      <c r="A185" s="258">
        <v>92211</v>
      </c>
      <c r="B185" s="257" t="s">
        <v>418</v>
      </c>
      <c r="C185" s="257" t="s">
        <v>5</v>
      </c>
      <c r="D185" s="259" t="s">
        <v>13699</v>
      </c>
      <c r="E185" s="210" t="s">
        <v>201</v>
      </c>
    </row>
    <row r="186" spans="1:5" ht="40.5">
      <c r="A186" s="258">
        <v>92212</v>
      </c>
      <c r="B186" s="257" t="s">
        <v>419</v>
      </c>
      <c r="C186" s="257" t="s">
        <v>5</v>
      </c>
      <c r="D186" s="259" t="s">
        <v>13700</v>
      </c>
      <c r="E186" s="210" t="s">
        <v>201</v>
      </c>
    </row>
    <row r="187" spans="1:5" ht="40.5">
      <c r="A187" s="258">
        <v>92213</v>
      </c>
      <c r="B187" s="257" t="s">
        <v>420</v>
      </c>
      <c r="C187" s="257" t="s">
        <v>5</v>
      </c>
      <c r="D187" s="259" t="s">
        <v>13701</v>
      </c>
      <c r="E187" s="210" t="s">
        <v>201</v>
      </c>
    </row>
    <row r="188" spans="1:5" ht="40.5">
      <c r="A188" s="258">
        <v>92214</v>
      </c>
      <c r="B188" s="257" t="s">
        <v>421</v>
      </c>
      <c r="C188" s="257" t="s">
        <v>5</v>
      </c>
      <c r="D188" s="259" t="s">
        <v>13702</v>
      </c>
      <c r="E188" s="210" t="s">
        <v>201</v>
      </c>
    </row>
    <row r="189" spans="1:5" ht="40.5">
      <c r="A189" s="258">
        <v>92215</v>
      </c>
      <c r="B189" s="257" t="s">
        <v>422</v>
      </c>
      <c r="C189" s="257" t="s">
        <v>5</v>
      </c>
      <c r="D189" s="259" t="s">
        <v>13703</v>
      </c>
      <c r="E189" s="210" t="s">
        <v>201</v>
      </c>
    </row>
    <row r="190" spans="1:5" ht="40.5">
      <c r="A190" s="258">
        <v>92216</v>
      </c>
      <c r="B190" s="257" t="s">
        <v>423</v>
      </c>
      <c r="C190" s="257" t="s">
        <v>5</v>
      </c>
      <c r="D190" s="259" t="s">
        <v>13704</v>
      </c>
      <c r="E190" s="210" t="s">
        <v>201</v>
      </c>
    </row>
    <row r="191" spans="1:5" ht="27">
      <c r="A191" s="258">
        <v>92219</v>
      </c>
      <c r="B191" s="257" t="s">
        <v>424</v>
      </c>
      <c r="C191" s="257" t="s">
        <v>5</v>
      </c>
      <c r="D191" s="259" t="s">
        <v>13705</v>
      </c>
      <c r="E191" s="210" t="s">
        <v>201</v>
      </c>
    </row>
    <row r="192" spans="1:5" ht="27">
      <c r="A192" s="258">
        <v>92220</v>
      </c>
      <c r="B192" s="257" t="s">
        <v>425</v>
      </c>
      <c r="C192" s="257" t="s">
        <v>5</v>
      </c>
      <c r="D192" s="259" t="s">
        <v>13706</v>
      </c>
      <c r="E192" s="210" t="s">
        <v>201</v>
      </c>
    </row>
    <row r="193" spans="1:5" ht="27">
      <c r="A193" s="258">
        <v>92221</v>
      </c>
      <c r="B193" s="257" t="s">
        <v>426</v>
      </c>
      <c r="C193" s="257" t="s">
        <v>5</v>
      </c>
      <c r="D193" s="259" t="s">
        <v>13707</v>
      </c>
      <c r="E193" s="210" t="s">
        <v>201</v>
      </c>
    </row>
    <row r="194" spans="1:5" ht="27">
      <c r="A194" s="258">
        <v>92222</v>
      </c>
      <c r="B194" s="257" t="s">
        <v>427</v>
      </c>
      <c r="C194" s="257" t="s">
        <v>5</v>
      </c>
      <c r="D194" s="259" t="s">
        <v>13708</v>
      </c>
      <c r="E194" s="210" t="s">
        <v>201</v>
      </c>
    </row>
    <row r="195" spans="1:5" ht="27">
      <c r="A195" s="258">
        <v>92223</v>
      </c>
      <c r="B195" s="257" t="s">
        <v>428</v>
      </c>
      <c r="C195" s="257" t="s">
        <v>5</v>
      </c>
      <c r="D195" s="259" t="s">
        <v>13709</v>
      </c>
      <c r="E195" s="210" t="s">
        <v>201</v>
      </c>
    </row>
    <row r="196" spans="1:5" ht="27">
      <c r="A196" s="258">
        <v>92224</v>
      </c>
      <c r="B196" s="257" t="s">
        <v>429</v>
      </c>
      <c r="C196" s="257" t="s">
        <v>5</v>
      </c>
      <c r="D196" s="259" t="s">
        <v>13710</v>
      </c>
      <c r="E196" s="210" t="s">
        <v>201</v>
      </c>
    </row>
    <row r="197" spans="1:5" ht="27">
      <c r="A197" s="258">
        <v>92226</v>
      </c>
      <c r="B197" s="257" t="s">
        <v>430</v>
      </c>
      <c r="C197" s="257" t="s">
        <v>5</v>
      </c>
      <c r="D197" s="259" t="s">
        <v>13711</v>
      </c>
      <c r="E197" s="210" t="s">
        <v>201</v>
      </c>
    </row>
    <row r="198" spans="1:5" ht="40.5">
      <c r="A198" s="258">
        <v>92808</v>
      </c>
      <c r="B198" s="257" t="s">
        <v>431</v>
      </c>
      <c r="C198" s="257" t="s">
        <v>5</v>
      </c>
      <c r="D198" s="259" t="s">
        <v>13712</v>
      </c>
      <c r="E198" s="210" t="s">
        <v>201</v>
      </c>
    </row>
    <row r="199" spans="1:5" ht="40.5">
      <c r="A199" s="258">
        <v>92809</v>
      </c>
      <c r="B199" s="257" t="s">
        <v>432</v>
      </c>
      <c r="C199" s="257" t="s">
        <v>5</v>
      </c>
      <c r="D199" s="259" t="s">
        <v>13713</v>
      </c>
      <c r="E199" s="210" t="s">
        <v>201</v>
      </c>
    </row>
    <row r="200" spans="1:5" ht="40.5">
      <c r="A200" s="258">
        <v>92810</v>
      </c>
      <c r="B200" s="257" t="s">
        <v>433</v>
      </c>
      <c r="C200" s="257" t="s">
        <v>5</v>
      </c>
      <c r="D200" s="259" t="s">
        <v>13714</v>
      </c>
      <c r="E200" s="210" t="s">
        <v>201</v>
      </c>
    </row>
    <row r="201" spans="1:5" ht="40.5">
      <c r="A201" s="258">
        <v>92811</v>
      </c>
      <c r="B201" s="257" t="s">
        <v>434</v>
      </c>
      <c r="C201" s="257" t="s">
        <v>5</v>
      </c>
      <c r="D201" s="259" t="s">
        <v>13715</v>
      </c>
      <c r="E201" s="210" t="s">
        <v>201</v>
      </c>
    </row>
    <row r="202" spans="1:5" ht="40.5">
      <c r="A202" s="258">
        <v>92812</v>
      </c>
      <c r="B202" s="257" t="s">
        <v>435</v>
      </c>
      <c r="C202" s="257" t="s">
        <v>5</v>
      </c>
      <c r="D202" s="259" t="s">
        <v>13716</v>
      </c>
      <c r="E202" s="210" t="s">
        <v>201</v>
      </c>
    </row>
    <row r="203" spans="1:5" ht="40.5">
      <c r="A203" s="258">
        <v>92813</v>
      </c>
      <c r="B203" s="257" t="s">
        <v>436</v>
      </c>
      <c r="C203" s="257" t="s">
        <v>5</v>
      </c>
      <c r="D203" s="259" t="s">
        <v>13717</v>
      </c>
      <c r="E203" s="210" t="s">
        <v>201</v>
      </c>
    </row>
    <row r="204" spans="1:5" ht="40.5">
      <c r="A204" s="258">
        <v>92814</v>
      </c>
      <c r="B204" s="257" t="s">
        <v>437</v>
      </c>
      <c r="C204" s="257" t="s">
        <v>5</v>
      </c>
      <c r="D204" s="259" t="s">
        <v>13718</v>
      </c>
      <c r="E204" s="210" t="s">
        <v>201</v>
      </c>
    </row>
    <row r="205" spans="1:5" ht="40.5">
      <c r="A205" s="258">
        <v>92815</v>
      </c>
      <c r="B205" s="257" t="s">
        <v>438</v>
      </c>
      <c r="C205" s="257" t="s">
        <v>5</v>
      </c>
      <c r="D205" s="259" t="s">
        <v>13719</v>
      </c>
      <c r="E205" s="210" t="s">
        <v>201</v>
      </c>
    </row>
    <row r="206" spans="1:5" ht="40.5">
      <c r="A206" s="258">
        <v>92816</v>
      </c>
      <c r="B206" s="257" t="s">
        <v>439</v>
      </c>
      <c r="C206" s="257" t="s">
        <v>5</v>
      </c>
      <c r="D206" s="259" t="s">
        <v>13720</v>
      </c>
      <c r="E206" s="210" t="s">
        <v>201</v>
      </c>
    </row>
    <row r="207" spans="1:5" ht="40.5">
      <c r="A207" s="258">
        <v>92817</v>
      </c>
      <c r="B207" s="257" t="s">
        <v>440</v>
      </c>
      <c r="C207" s="257" t="s">
        <v>5</v>
      </c>
      <c r="D207" s="259" t="s">
        <v>13721</v>
      </c>
      <c r="E207" s="210" t="s">
        <v>201</v>
      </c>
    </row>
    <row r="208" spans="1:5" ht="40.5">
      <c r="A208" s="258">
        <v>92818</v>
      </c>
      <c r="B208" s="257" t="s">
        <v>441</v>
      </c>
      <c r="C208" s="257" t="s">
        <v>5</v>
      </c>
      <c r="D208" s="259" t="s">
        <v>13722</v>
      </c>
      <c r="E208" s="210" t="s">
        <v>201</v>
      </c>
    </row>
    <row r="209" spans="1:5" ht="40.5">
      <c r="A209" s="258">
        <v>92819</v>
      </c>
      <c r="B209" s="257" t="s">
        <v>442</v>
      </c>
      <c r="C209" s="257" t="s">
        <v>5</v>
      </c>
      <c r="D209" s="259" t="s">
        <v>13723</v>
      </c>
      <c r="E209" s="210" t="s">
        <v>201</v>
      </c>
    </row>
    <row r="210" spans="1:5" ht="40.5">
      <c r="A210" s="258">
        <v>92820</v>
      </c>
      <c r="B210" s="257" t="s">
        <v>443</v>
      </c>
      <c r="C210" s="257" t="s">
        <v>5</v>
      </c>
      <c r="D210" s="259" t="s">
        <v>13724</v>
      </c>
      <c r="E210" s="210" t="s">
        <v>201</v>
      </c>
    </row>
    <row r="211" spans="1:5" ht="40.5">
      <c r="A211" s="258">
        <v>92821</v>
      </c>
      <c r="B211" s="257" t="s">
        <v>444</v>
      </c>
      <c r="C211" s="257" t="s">
        <v>5</v>
      </c>
      <c r="D211" s="259" t="s">
        <v>13725</v>
      </c>
      <c r="E211" s="210" t="s">
        <v>201</v>
      </c>
    </row>
    <row r="212" spans="1:5" ht="40.5">
      <c r="A212" s="258">
        <v>92822</v>
      </c>
      <c r="B212" s="257" t="s">
        <v>445</v>
      </c>
      <c r="C212" s="257" t="s">
        <v>5</v>
      </c>
      <c r="D212" s="259" t="s">
        <v>13726</v>
      </c>
      <c r="E212" s="210" t="s">
        <v>201</v>
      </c>
    </row>
    <row r="213" spans="1:5" ht="40.5">
      <c r="A213" s="258">
        <v>92824</v>
      </c>
      <c r="B213" s="257" t="s">
        <v>446</v>
      </c>
      <c r="C213" s="257" t="s">
        <v>5</v>
      </c>
      <c r="D213" s="259" t="s">
        <v>13727</v>
      </c>
      <c r="E213" s="210" t="s">
        <v>201</v>
      </c>
    </row>
    <row r="214" spans="1:5" ht="40.5">
      <c r="A214" s="258">
        <v>92825</v>
      </c>
      <c r="B214" s="257" t="s">
        <v>447</v>
      </c>
      <c r="C214" s="257" t="s">
        <v>5</v>
      </c>
      <c r="D214" s="259" t="s">
        <v>13728</v>
      </c>
      <c r="E214" s="210" t="s">
        <v>201</v>
      </c>
    </row>
    <row r="215" spans="1:5" ht="40.5">
      <c r="A215" s="258">
        <v>92826</v>
      </c>
      <c r="B215" s="257" t="s">
        <v>448</v>
      </c>
      <c r="C215" s="257" t="s">
        <v>5</v>
      </c>
      <c r="D215" s="259" t="s">
        <v>13729</v>
      </c>
      <c r="E215" s="210" t="s">
        <v>201</v>
      </c>
    </row>
    <row r="216" spans="1:5" ht="40.5">
      <c r="A216" s="258">
        <v>92827</v>
      </c>
      <c r="B216" s="257" t="s">
        <v>449</v>
      </c>
      <c r="C216" s="257" t="s">
        <v>5</v>
      </c>
      <c r="D216" s="259" t="s">
        <v>13730</v>
      </c>
      <c r="E216" s="210" t="s">
        <v>201</v>
      </c>
    </row>
    <row r="217" spans="1:5" ht="40.5">
      <c r="A217" s="258">
        <v>92828</v>
      </c>
      <c r="B217" s="257" t="s">
        <v>450</v>
      </c>
      <c r="C217" s="257" t="s">
        <v>5</v>
      </c>
      <c r="D217" s="259" t="s">
        <v>13731</v>
      </c>
      <c r="E217" s="210" t="s">
        <v>201</v>
      </c>
    </row>
    <row r="218" spans="1:5" ht="27">
      <c r="A218" s="258">
        <v>92829</v>
      </c>
      <c r="B218" s="257" t="s">
        <v>451</v>
      </c>
      <c r="C218" s="257" t="s">
        <v>5</v>
      </c>
      <c r="D218" s="259" t="s">
        <v>13732</v>
      </c>
      <c r="E218" s="210" t="s">
        <v>201</v>
      </c>
    </row>
    <row r="219" spans="1:5" ht="40.5">
      <c r="A219" s="258">
        <v>92830</v>
      </c>
      <c r="B219" s="257" t="s">
        <v>452</v>
      </c>
      <c r="C219" s="257" t="s">
        <v>5</v>
      </c>
      <c r="D219" s="259" t="s">
        <v>13733</v>
      </c>
      <c r="E219" s="210" t="s">
        <v>201</v>
      </c>
    </row>
    <row r="220" spans="1:5" ht="27">
      <c r="A220" s="258">
        <v>92831</v>
      </c>
      <c r="B220" s="257" t="s">
        <v>453</v>
      </c>
      <c r="C220" s="257" t="s">
        <v>5</v>
      </c>
      <c r="D220" s="259" t="s">
        <v>13734</v>
      </c>
      <c r="E220" s="210" t="s">
        <v>201</v>
      </c>
    </row>
    <row r="221" spans="1:5" ht="40.5">
      <c r="A221" s="258">
        <v>92832</v>
      </c>
      <c r="B221" s="257" t="s">
        <v>454</v>
      </c>
      <c r="C221" s="257" t="s">
        <v>5</v>
      </c>
      <c r="D221" s="259" t="s">
        <v>13735</v>
      </c>
      <c r="E221" s="210" t="s">
        <v>201</v>
      </c>
    </row>
    <row r="222" spans="1:5" ht="40.5">
      <c r="A222" s="258">
        <v>95565</v>
      </c>
      <c r="B222" s="257" t="s">
        <v>274</v>
      </c>
      <c r="C222" s="257" t="s">
        <v>5</v>
      </c>
      <c r="D222" s="259" t="s">
        <v>13736</v>
      </c>
      <c r="E222" s="210" t="s">
        <v>201</v>
      </c>
    </row>
    <row r="223" spans="1:5" ht="27">
      <c r="A223" s="258">
        <v>95566</v>
      </c>
      <c r="B223" s="257" t="s">
        <v>455</v>
      </c>
      <c r="C223" s="257" t="s">
        <v>5</v>
      </c>
      <c r="D223" s="259" t="s">
        <v>13737</v>
      </c>
      <c r="E223" s="210" t="s">
        <v>201</v>
      </c>
    </row>
    <row r="224" spans="1:5" ht="40.5">
      <c r="A224" s="258">
        <v>95567</v>
      </c>
      <c r="B224" s="257" t="s">
        <v>456</v>
      </c>
      <c r="C224" s="257" t="s">
        <v>5</v>
      </c>
      <c r="D224" s="259" t="s">
        <v>13738</v>
      </c>
      <c r="E224" s="210" t="s">
        <v>201</v>
      </c>
    </row>
    <row r="225" spans="1:5" ht="40.5">
      <c r="A225" s="258">
        <v>95568</v>
      </c>
      <c r="B225" s="257" t="s">
        <v>457</v>
      </c>
      <c r="C225" s="257" t="s">
        <v>5</v>
      </c>
      <c r="D225" s="259" t="s">
        <v>13739</v>
      </c>
      <c r="E225" s="210" t="s">
        <v>201</v>
      </c>
    </row>
    <row r="226" spans="1:5" ht="40.5">
      <c r="A226" s="258">
        <v>95569</v>
      </c>
      <c r="B226" s="257" t="s">
        <v>458</v>
      </c>
      <c r="C226" s="257" t="s">
        <v>5</v>
      </c>
      <c r="D226" s="259" t="s">
        <v>13740</v>
      </c>
      <c r="E226" s="210" t="s">
        <v>201</v>
      </c>
    </row>
    <row r="227" spans="1:5" ht="40.5">
      <c r="A227" s="258">
        <v>95570</v>
      </c>
      <c r="B227" s="257" t="s">
        <v>459</v>
      </c>
      <c r="C227" s="257" t="s">
        <v>5</v>
      </c>
      <c r="D227" s="259" t="s">
        <v>13741</v>
      </c>
      <c r="E227" s="210" t="s">
        <v>201</v>
      </c>
    </row>
    <row r="228" spans="1:5" ht="40.5">
      <c r="A228" s="258">
        <v>95571</v>
      </c>
      <c r="B228" s="257" t="s">
        <v>460</v>
      </c>
      <c r="C228" s="257" t="s">
        <v>5</v>
      </c>
      <c r="D228" s="259" t="s">
        <v>13742</v>
      </c>
      <c r="E228" s="210" t="s">
        <v>201</v>
      </c>
    </row>
    <row r="229" spans="1:5" ht="40.5">
      <c r="A229" s="258">
        <v>95572</v>
      </c>
      <c r="B229" s="257" t="s">
        <v>461</v>
      </c>
      <c r="C229" s="257" t="s">
        <v>5</v>
      </c>
      <c r="D229" s="259" t="s">
        <v>13743</v>
      </c>
      <c r="E229" s="210" t="s">
        <v>201</v>
      </c>
    </row>
    <row r="230" spans="1:5" ht="13.5">
      <c r="A230" s="258">
        <v>73606</v>
      </c>
      <c r="B230" s="257" t="s">
        <v>462</v>
      </c>
      <c r="C230" s="257" t="s">
        <v>90</v>
      </c>
      <c r="D230" s="259" t="s">
        <v>13744</v>
      </c>
      <c r="E230" s="210" t="s">
        <v>201</v>
      </c>
    </row>
    <row r="231" spans="1:5" ht="13.5">
      <c r="A231" s="258">
        <v>73607</v>
      </c>
      <c r="B231" s="257" t="s">
        <v>463</v>
      </c>
      <c r="C231" s="257" t="s">
        <v>90</v>
      </c>
      <c r="D231" s="259" t="s">
        <v>13745</v>
      </c>
      <c r="E231" s="210" t="s">
        <v>201</v>
      </c>
    </row>
    <row r="232" spans="1:5" ht="13.5">
      <c r="A232" s="258">
        <v>83623</v>
      </c>
      <c r="B232" s="257" t="s">
        <v>240</v>
      </c>
      <c r="C232" s="257" t="s">
        <v>5</v>
      </c>
      <c r="D232" s="259" t="s">
        <v>13746</v>
      </c>
      <c r="E232" s="210" t="s">
        <v>201</v>
      </c>
    </row>
    <row r="233" spans="1:5" ht="13.5">
      <c r="A233" s="258">
        <v>83624</v>
      </c>
      <c r="B233" s="257" t="s">
        <v>464</v>
      </c>
      <c r="C233" s="257" t="s">
        <v>5</v>
      </c>
      <c r="D233" s="259" t="s">
        <v>13747</v>
      </c>
      <c r="E233" s="210" t="s">
        <v>201</v>
      </c>
    </row>
    <row r="234" spans="1:5" ht="13.5">
      <c r="A234" s="258">
        <v>83626</v>
      </c>
      <c r="B234" s="257" t="s">
        <v>465</v>
      </c>
      <c r="C234" s="257" t="s">
        <v>5</v>
      </c>
      <c r="D234" s="259" t="s">
        <v>13748</v>
      </c>
      <c r="E234" s="210" t="s">
        <v>201</v>
      </c>
    </row>
    <row r="235" spans="1:5" ht="40.5">
      <c r="A235" s="258">
        <v>83627</v>
      </c>
      <c r="B235" s="257" t="s">
        <v>466</v>
      </c>
      <c r="C235" s="257" t="s">
        <v>90</v>
      </c>
      <c r="D235" s="259" t="s">
        <v>13749</v>
      </c>
      <c r="E235" s="210" t="s">
        <v>201</v>
      </c>
    </row>
    <row r="236" spans="1:5" ht="27">
      <c r="A236" s="258">
        <v>83724</v>
      </c>
      <c r="B236" s="257" t="s">
        <v>467</v>
      </c>
      <c r="C236" s="257" t="s">
        <v>89</v>
      </c>
      <c r="D236" s="259" t="s">
        <v>13664</v>
      </c>
      <c r="E236" s="210" t="s">
        <v>201</v>
      </c>
    </row>
    <row r="237" spans="1:5" ht="27">
      <c r="A237" s="258">
        <v>83725</v>
      </c>
      <c r="B237" s="257" t="s">
        <v>468</v>
      </c>
      <c r="C237" s="257" t="s">
        <v>89</v>
      </c>
      <c r="D237" s="259" t="s">
        <v>13750</v>
      </c>
      <c r="E237" s="210" t="s">
        <v>201</v>
      </c>
    </row>
    <row r="238" spans="1:5" ht="27">
      <c r="A238" s="258">
        <v>83726</v>
      </c>
      <c r="B238" s="257" t="s">
        <v>469</v>
      </c>
      <c r="C238" s="257" t="s">
        <v>89</v>
      </c>
      <c r="D238" s="259" t="s">
        <v>13751</v>
      </c>
      <c r="E238" s="210" t="s">
        <v>201</v>
      </c>
    </row>
    <row r="239" spans="1:5" ht="40.5">
      <c r="A239" s="258">
        <v>97127</v>
      </c>
      <c r="B239" s="257" t="s">
        <v>4602</v>
      </c>
      <c r="C239" s="257" t="s">
        <v>5</v>
      </c>
      <c r="D239" s="259" t="s">
        <v>13752</v>
      </c>
      <c r="E239" s="210" t="s">
        <v>201</v>
      </c>
    </row>
    <row r="240" spans="1:5" ht="40.5">
      <c r="A240" s="258">
        <v>97128</v>
      </c>
      <c r="B240" s="257" t="s">
        <v>4603</v>
      </c>
      <c r="C240" s="257" t="s">
        <v>5</v>
      </c>
      <c r="D240" s="259" t="s">
        <v>13753</v>
      </c>
      <c r="E240" s="210" t="s">
        <v>201</v>
      </c>
    </row>
    <row r="241" spans="1:5" ht="40.5">
      <c r="A241" s="258">
        <v>97129</v>
      </c>
      <c r="B241" s="257" t="s">
        <v>4604</v>
      </c>
      <c r="C241" s="257" t="s">
        <v>5</v>
      </c>
      <c r="D241" s="259" t="s">
        <v>13754</v>
      </c>
      <c r="E241" s="210" t="s">
        <v>201</v>
      </c>
    </row>
    <row r="242" spans="1:5" ht="40.5">
      <c r="A242" s="258">
        <v>97130</v>
      </c>
      <c r="B242" s="257" t="s">
        <v>4605</v>
      </c>
      <c r="C242" s="257" t="s">
        <v>5</v>
      </c>
      <c r="D242" s="259" t="s">
        <v>13755</v>
      </c>
      <c r="E242" s="210" t="s">
        <v>201</v>
      </c>
    </row>
    <row r="243" spans="1:5" ht="40.5">
      <c r="A243" s="258">
        <v>97131</v>
      </c>
      <c r="B243" s="257" t="s">
        <v>4606</v>
      </c>
      <c r="C243" s="257" t="s">
        <v>5</v>
      </c>
      <c r="D243" s="259" t="s">
        <v>13756</v>
      </c>
      <c r="E243" s="210" t="s">
        <v>201</v>
      </c>
    </row>
    <row r="244" spans="1:5" ht="40.5">
      <c r="A244" s="258">
        <v>97132</v>
      </c>
      <c r="B244" s="257" t="s">
        <v>4607</v>
      </c>
      <c r="C244" s="257" t="s">
        <v>5</v>
      </c>
      <c r="D244" s="259" t="s">
        <v>13757</v>
      </c>
      <c r="E244" s="210" t="s">
        <v>201</v>
      </c>
    </row>
    <row r="245" spans="1:5" ht="40.5">
      <c r="A245" s="258">
        <v>97133</v>
      </c>
      <c r="B245" s="257" t="s">
        <v>4608</v>
      </c>
      <c r="C245" s="257" t="s">
        <v>5</v>
      </c>
      <c r="D245" s="259" t="s">
        <v>13758</v>
      </c>
      <c r="E245" s="210" t="s">
        <v>201</v>
      </c>
    </row>
    <row r="246" spans="1:5" ht="40.5">
      <c r="A246" s="258">
        <v>97134</v>
      </c>
      <c r="B246" s="257" t="s">
        <v>4609</v>
      </c>
      <c r="C246" s="257" t="s">
        <v>5</v>
      </c>
      <c r="D246" s="259" t="s">
        <v>13759</v>
      </c>
      <c r="E246" s="210" t="s">
        <v>201</v>
      </c>
    </row>
    <row r="247" spans="1:5" ht="40.5">
      <c r="A247" s="258">
        <v>97135</v>
      </c>
      <c r="B247" s="257" t="s">
        <v>4610</v>
      </c>
      <c r="C247" s="257" t="s">
        <v>5</v>
      </c>
      <c r="D247" s="259" t="s">
        <v>13760</v>
      </c>
      <c r="E247" s="210" t="s">
        <v>201</v>
      </c>
    </row>
    <row r="248" spans="1:5" ht="40.5">
      <c r="A248" s="258">
        <v>97136</v>
      </c>
      <c r="B248" s="257" t="s">
        <v>4611</v>
      </c>
      <c r="C248" s="257" t="s">
        <v>5</v>
      </c>
      <c r="D248" s="259" t="s">
        <v>13761</v>
      </c>
      <c r="E248" s="210" t="s">
        <v>201</v>
      </c>
    </row>
    <row r="249" spans="1:5" ht="40.5">
      <c r="A249" s="258">
        <v>97137</v>
      </c>
      <c r="B249" s="257" t="s">
        <v>4612</v>
      </c>
      <c r="C249" s="257" t="s">
        <v>5</v>
      </c>
      <c r="D249" s="259" t="s">
        <v>13762</v>
      </c>
      <c r="E249" s="210" t="s">
        <v>201</v>
      </c>
    </row>
    <row r="250" spans="1:5" ht="40.5">
      <c r="A250" s="258">
        <v>97138</v>
      </c>
      <c r="B250" s="257" t="s">
        <v>4613</v>
      </c>
      <c r="C250" s="257" t="s">
        <v>5</v>
      </c>
      <c r="D250" s="259" t="s">
        <v>13763</v>
      </c>
      <c r="E250" s="210" t="s">
        <v>201</v>
      </c>
    </row>
    <row r="251" spans="1:5" ht="40.5">
      <c r="A251" s="258">
        <v>97139</v>
      </c>
      <c r="B251" s="257" t="s">
        <v>4614</v>
      </c>
      <c r="C251" s="257" t="s">
        <v>5</v>
      </c>
      <c r="D251" s="259" t="s">
        <v>13764</v>
      </c>
      <c r="E251" s="210" t="s">
        <v>201</v>
      </c>
    </row>
    <row r="252" spans="1:5" ht="40.5">
      <c r="A252" s="258">
        <v>97140</v>
      </c>
      <c r="B252" s="257" t="s">
        <v>4615</v>
      </c>
      <c r="C252" s="257" t="s">
        <v>5</v>
      </c>
      <c r="D252" s="259" t="s">
        <v>13765</v>
      </c>
      <c r="E252" s="210" t="s">
        <v>201</v>
      </c>
    </row>
    <row r="253" spans="1:5" ht="13.5">
      <c r="A253" s="258">
        <v>83520</v>
      </c>
      <c r="B253" s="257" t="s">
        <v>470</v>
      </c>
      <c r="C253" s="257" t="s">
        <v>90</v>
      </c>
      <c r="D253" s="259" t="s">
        <v>13766</v>
      </c>
      <c r="E253" s="210" t="s">
        <v>201</v>
      </c>
    </row>
    <row r="254" spans="1:5" ht="13.5">
      <c r="A254" s="258">
        <v>83531</v>
      </c>
      <c r="B254" s="257" t="s">
        <v>471</v>
      </c>
      <c r="C254" s="257" t="s">
        <v>90</v>
      </c>
      <c r="D254" s="259" t="s">
        <v>13767</v>
      </c>
      <c r="E254" s="210" t="s">
        <v>201</v>
      </c>
    </row>
    <row r="255" spans="1:5" ht="13.5">
      <c r="A255" s="258">
        <v>83535</v>
      </c>
      <c r="B255" s="257" t="s">
        <v>472</v>
      </c>
      <c r="C255" s="257" t="s">
        <v>90</v>
      </c>
      <c r="D255" s="259" t="s">
        <v>13768</v>
      </c>
      <c r="E255" s="210" t="s">
        <v>201</v>
      </c>
    </row>
    <row r="256" spans="1:5" ht="27">
      <c r="A256" s="257">
        <v>92235</v>
      </c>
      <c r="B256" s="257" t="s">
        <v>162</v>
      </c>
      <c r="C256" s="257" t="s">
        <v>150</v>
      </c>
      <c r="D256" s="259" t="s">
        <v>13769</v>
      </c>
      <c r="E256" s="210" t="s">
        <v>201</v>
      </c>
    </row>
    <row r="257" spans="1:5" ht="27">
      <c r="A257" s="257">
        <v>93206</v>
      </c>
      <c r="B257" s="257" t="s">
        <v>473</v>
      </c>
      <c r="C257" s="257" t="s">
        <v>150</v>
      </c>
      <c r="D257" s="259" t="s">
        <v>13770</v>
      </c>
      <c r="E257" s="210" t="s">
        <v>201</v>
      </c>
    </row>
    <row r="258" spans="1:5" ht="27">
      <c r="A258" s="257">
        <v>93207</v>
      </c>
      <c r="B258" s="257" t="s">
        <v>207</v>
      </c>
      <c r="C258" s="257" t="s">
        <v>150</v>
      </c>
      <c r="D258" s="259" t="s">
        <v>13771</v>
      </c>
      <c r="E258" s="210" t="s">
        <v>201</v>
      </c>
    </row>
    <row r="259" spans="1:5" ht="27">
      <c r="A259" s="257">
        <v>93208</v>
      </c>
      <c r="B259" s="257" t="s">
        <v>474</v>
      </c>
      <c r="C259" s="257" t="s">
        <v>150</v>
      </c>
      <c r="D259" s="259" t="s">
        <v>13772</v>
      </c>
      <c r="E259" s="210" t="s">
        <v>201</v>
      </c>
    </row>
    <row r="260" spans="1:5" ht="13.5">
      <c r="A260" s="257">
        <v>93209</v>
      </c>
      <c r="B260" s="257" t="s">
        <v>475</v>
      </c>
      <c r="C260" s="257" t="s">
        <v>150</v>
      </c>
      <c r="D260" s="259" t="s">
        <v>13773</v>
      </c>
      <c r="E260" s="210" t="s">
        <v>201</v>
      </c>
    </row>
    <row r="261" spans="1:5" ht="27">
      <c r="A261" s="257">
        <v>93210</v>
      </c>
      <c r="B261" s="257" t="s">
        <v>208</v>
      </c>
      <c r="C261" s="257" t="s">
        <v>150</v>
      </c>
      <c r="D261" s="259" t="s">
        <v>13774</v>
      </c>
      <c r="E261" s="210" t="s">
        <v>201</v>
      </c>
    </row>
    <row r="262" spans="1:5" ht="27">
      <c r="A262" s="257">
        <v>93211</v>
      </c>
      <c r="B262" s="257" t="s">
        <v>476</v>
      </c>
      <c r="C262" s="257" t="s">
        <v>150</v>
      </c>
      <c r="D262" s="259" t="s">
        <v>13775</v>
      </c>
      <c r="E262" s="210" t="s">
        <v>201</v>
      </c>
    </row>
    <row r="263" spans="1:5" ht="27">
      <c r="A263" s="257">
        <v>93212</v>
      </c>
      <c r="B263" s="257" t="s">
        <v>209</v>
      </c>
      <c r="C263" s="257" t="s">
        <v>150</v>
      </c>
      <c r="D263" s="259" t="s">
        <v>13776</v>
      </c>
      <c r="E263" s="210" t="s">
        <v>201</v>
      </c>
    </row>
    <row r="264" spans="1:5" ht="27">
      <c r="A264" s="257">
        <v>93213</v>
      </c>
      <c r="B264" s="257" t="s">
        <v>477</v>
      </c>
      <c r="C264" s="257" t="s">
        <v>150</v>
      </c>
      <c r="D264" s="259" t="s">
        <v>13777</v>
      </c>
      <c r="E264" s="210" t="s">
        <v>201</v>
      </c>
    </row>
    <row r="265" spans="1:5" ht="27">
      <c r="A265" s="257">
        <v>93214</v>
      </c>
      <c r="B265" s="257" t="s">
        <v>131</v>
      </c>
      <c r="C265" s="257" t="s">
        <v>90</v>
      </c>
      <c r="D265" s="259" t="s">
        <v>13778</v>
      </c>
      <c r="E265" s="210" t="s">
        <v>201</v>
      </c>
    </row>
    <row r="266" spans="1:5" ht="27">
      <c r="A266" s="257">
        <v>93243</v>
      </c>
      <c r="B266" s="257" t="s">
        <v>4616</v>
      </c>
      <c r="C266" s="257" t="s">
        <v>90</v>
      </c>
      <c r="D266" s="259" t="s">
        <v>13779</v>
      </c>
      <c r="E266" s="210" t="s">
        <v>201</v>
      </c>
    </row>
    <row r="267" spans="1:5" ht="27">
      <c r="A267" s="257">
        <v>93582</v>
      </c>
      <c r="B267" s="257" t="s">
        <v>210</v>
      </c>
      <c r="C267" s="257" t="s">
        <v>150</v>
      </c>
      <c r="D267" s="260" t="s">
        <v>13780</v>
      </c>
      <c r="E267" s="210" t="s">
        <v>201</v>
      </c>
    </row>
    <row r="268" spans="1:5" ht="27">
      <c r="A268" s="257">
        <v>93583</v>
      </c>
      <c r="B268" s="257" t="s">
        <v>211</v>
      </c>
      <c r="C268" s="257" t="s">
        <v>150</v>
      </c>
      <c r="D268" s="260" t="s">
        <v>13781</v>
      </c>
      <c r="E268" s="210" t="s">
        <v>201</v>
      </c>
    </row>
    <row r="269" spans="1:5" ht="27">
      <c r="A269" s="257">
        <v>93584</v>
      </c>
      <c r="B269" s="257" t="s">
        <v>212</v>
      </c>
      <c r="C269" s="257" t="s">
        <v>150</v>
      </c>
      <c r="D269" s="260" t="s">
        <v>13782</v>
      </c>
      <c r="E269" s="210" t="s">
        <v>201</v>
      </c>
    </row>
    <row r="270" spans="1:5" ht="27">
      <c r="A270" s="257">
        <v>93585</v>
      </c>
      <c r="B270" s="257" t="s">
        <v>478</v>
      </c>
      <c r="C270" s="257" t="s">
        <v>150</v>
      </c>
      <c r="D270" s="260" t="s">
        <v>13783</v>
      </c>
      <c r="E270" s="210" t="s">
        <v>201</v>
      </c>
    </row>
    <row r="271" spans="1:5" ht="27">
      <c r="A271" s="257">
        <v>98441</v>
      </c>
      <c r="B271" s="257" t="s">
        <v>5110</v>
      </c>
      <c r="C271" s="257" t="s">
        <v>150</v>
      </c>
      <c r="D271" s="260" t="s">
        <v>13784</v>
      </c>
      <c r="E271" s="210" t="s">
        <v>201</v>
      </c>
    </row>
    <row r="272" spans="1:5" ht="27">
      <c r="A272" s="257">
        <v>98442</v>
      </c>
      <c r="B272" s="257" t="s">
        <v>5111</v>
      </c>
      <c r="C272" s="257" t="s">
        <v>150</v>
      </c>
      <c r="D272" s="259" t="s">
        <v>13785</v>
      </c>
      <c r="E272" s="210" t="s">
        <v>201</v>
      </c>
    </row>
    <row r="273" spans="1:5" ht="27">
      <c r="A273" s="257">
        <v>98443</v>
      </c>
      <c r="B273" s="257" t="s">
        <v>5112</v>
      </c>
      <c r="C273" s="257" t="s">
        <v>150</v>
      </c>
      <c r="D273" s="259" t="s">
        <v>13786</v>
      </c>
      <c r="E273" s="210" t="s">
        <v>201</v>
      </c>
    </row>
    <row r="274" spans="1:5" ht="27">
      <c r="A274" s="257">
        <v>98444</v>
      </c>
      <c r="B274" s="257" t="s">
        <v>5113</v>
      </c>
      <c r="C274" s="257" t="s">
        <v>150</v>
      </c>
      <c r="D274" s="259" t="s">
        <v>13787</v>
      </c>
      <c r="E274" s="210" t="s">
        <v>201</v>
      </c>
    </row>
    <row r="275" spans="1:5" ht="27">
      <c r="A275" s="257">
        <v>98445</v>
      </c>
      <c r="B275" s="257" t="s">
        <v>5114</v>
      </c>
      <c r="C275" s="257" t="s">
        <v>150</v>
      </c>
      <c r="D275" s="259" t="s">
        <v>13788</v>
      </c>
      <c r="E275" s="210" t="s">
        <v>201</v>
      </c>
    </row>
    <row r="276" spans="1:5" ht="27">
      <c r="A276" s="257">
        <v>98446</v>
      </c>
      <c r="B276" s="257" t="s">
        <v>5115</v>
      </c>
      <c r="C276" s="257" t="s">
        <v>150</v>
      </c>
      <c r="D276" s="259" t="s">
        <v>13789</v>
      </c>
      <c r="E276" s="210" t="s">
        <v>201</v>
      </c>
    </row>
    <row r="277" spans="1:5" ht="27">
      <c r="A277" s="257">
        <v>98447</v>
      </c>
      <c r="B277" s="257" t="s">
        <v>5116</v>
      </c>
      <c r="C277" s="257" t="s">
        <v>150</v>
      </c>
      <c r="D277" s="259" t="s">
        <v>13790</v>
      </c>
      <c r="E277" s="210" t="s">
        <v>201</v>
      </c>
    </row>
    <row r="278" spans="1:5" ht="27">
      <c r="A278" s="257">
        <v>98448</v>
      </c>
      <c r="B278" s="257" t="s">
        <v>5117</v>
      </c>
      <c r="C278" s="257" t="s">
        <v>150</v>
      </c>
      <c r="D278" s="259" t="s">
        <v>13791</v>
      </c>
      <c r="E278" s="210" t="s">
        <v>201</v>
      </c>
    </row>
    <row r="279" spans="1:5" ht="27">
      <c r="A279" s="257">
        <v>98449</v>
      </c>
      <c r="B279" s="257" t="s">
        <v>5118</v>
      </c>
      <c r="C279" s="257" t="s">
        <v>150</v>
      </c>
      <c r="D279" s="259" t="s">
        <v>13792</v>
      </c>
      <c r="E279" s="210" t="s">
        <v>201</v>
      </c>
    </row>
    <row r="280" spans="1:5" ht="27">
      <c r="A280" s="257">
        <v>98450</v>
      </c>
      <c r="B280" s="257" t="s">
        <v>5119</v>
      </c>
      <c r="C280" s="257" t="s">
        <v>150</v>
      </c>
      <c r="D280" s="259" t="s">
        <v>13793</v>
      </c>
      <c r="E280" s="210" t="s">
        <v>201</v>
      </c>
    </row>
    <row r="281" spans="1:5" ht="27">
      <c r="A281" s="257">
        <v>98451</v>
      </c>
      <c r="B281" s="257" t="s">
        <v>5120</v>
      </c>
      <c r="C281" s="257" t="s">
        <v>150</v>
      </c>
      <c r="D281" s="259" t="s">
        <v>13794</v>
      </c>
      <c r="E281" s="210" t="s">
        <v>201</v>
      </c>
    </row>
    <row r="282" spans="1:5" ht="27">
      <c r="A282" s="257">
        <v>98452</v>
      </c>
      <c r="B282" s="257" t="s">
        <v>5121</v>
      </c>
      <c r="C282" s="257" t="s">
        <v>150</v>
      </c>
      <c r="D282" s="259" t="s">
        <v>13795</v>
      </c>
      <c r="E282" s="210" t="s">
        <v>201</v>
      </c>
    </row>
    <row r="283" spans="1:5" ht="27">
      <c r="A283" s="257">
        <v>98453</v>
      </c>
      <c r="B283" s="257" t="s">
        <v>5122</v>
      </c>
      <c r="C283" s="257" t="s">
        <v>150</v>
      </c>
      <c r="D283" s="259" t="s">
        <v>13796</v>
      </c>
      <c r="E283" s="210" t="s">
        <v>201</v>
      </c>
    </row>
    <row r="284" spans="1:5" ht="27">
      <c r="A284" s="258">
        <v>98454</v>
      </c>
      <c r="B284" s="257" t="s">
        <v>5123</v>
      </c>
      <c r="C284" s="257" t="s">
        <v>150</v>
      </c>
      <c r="D284" s="259" t="s">
        <v>13797</v>
      </c>
      <c r="E284" s="210" t="s">
        <v>201</v>
      </c>
    </row>
    <row r="285" spans="1:5" ht="27">
      <c r="A285" s="258">
        <v>98455</v>
      </c>
      <c r="B285" s="257" t="s">
        <v>5124</v>
      </c>
      <c r="C285" s="257" t="s">
        <v>150</v>
      </c>
      <c r="D285" s="259" t="s">
        <v>13598</v>
      </c>
      <c r="E285" s="210" t="s">
        <v>201</v>
      </c>
    </row>
    <row r="286" spans="1:5" ht="27">
      <c r="A286" s="258">
        <v>98456</v>
      </c>
      <c r="B286" s="257" t="s">
        <v>5125</v>
      </c>
      <c r="C286" s="257" t="s">
        <v>150</v>
      </c>
      <c r="D286" s="259" t="s">
        <v>13798</v>
      </c>
      <c r="E286" s="210" t="s">
        <v>201</v>
      </c>
    </row>
    <row r="287" spans="1:5" ht="13.5">
      <c r="A287" s="258">
        <v>98458</v>
      </c>
      <c r="B287" s="257" t="s">
        <v>5126</v>
      </c>
      <c r="C287" s="257" t="s">
        <v>150</v>
      </c>
      <c r="D287" s="259" t="s">
        <v>13799</v>
      </c>
      <c r="E287" s="210" t="s">
        <v>201</v>
      </c>
    </row>
    <row r="288" spans="1:5" ht="13.5">
      <c r="A288" s="258">
        <v>98459</v>
      </c>
      <c r="B288" s="257" t="s">
        <v>5127</v>
      </c>
      <c r="C288" s="257" t="s">
        <v>150</v>
      </c>
      <c r="D288" s="259" t="s">
        <v>13800</v>
      </c>
      <c r="E288" s="210" t="s">
        <v>201</v>
      </c>
    </row>
    <row r="289" spans="1:5" ht="13.5">
      <c r="A289" s="258">
        <v>98460</v>
      </c>
      <c r="B289" s="257" t="s">
        <v>5128</v>
      </c>
      <c r="C289" s="257" t="s">
        <v>150</v>
      </c>
      <c r="D289" s="259" t="s">
        <v>13801</v>
      </c>
      <c r="E289" s="210" t="s">
        <v>201</v>
      </c>
    </row>
    <row r="290" spans="1:5" ht="27">
      <c r="A290" s="258">
        <v>98461</v>
      </c>
      <c r="B290" s="257" t="s">
        <v>5129</v>
      </c>
      <c r="C290" s="257" t="s">
        <v>90</v>
      </c>
      <c r="D290" s="259" t="s">
        <v>13802</v>
      </c>
      <c r="E290" s="210" t="s">
        <v>201</v>
      </c>
    </row>
    <row r="291" spans="1:5" ht="27">
      <c r="A291" s="258">
        <v>98462</v>
      </c>
      <c r="B291" s="257" t="s">
        <v>5130</v>
      </c>
      <c r="C291" s="257" t="s">
        <v>90</v>
      </c>
      <c r="D291" s="259" t="s">
        <v>13803</v>
      </c>
      <c r="E291" s="210" t="s">
        <v>201</v>
      </c>
    </row>
    <row r="292" spans="1:5" ht="13.5">
      <c r="A292" s="258" t="s">
        <v>479</v>
      </c>
      <c r="B292" s="257" t="s">
        <v>132</v>
      </c>
      <c r="C292" s="257" t="s">
        <v>150</v>
      </c>
      <c r="D292" s="259" t="s">
        <v>13804</v>
      </c>
      <c r="E292" s="210" t="s">
        <v>201</v>
      </c>
    </row>
    <row r="293" spans="1:5" ht="27">
      <c r="A293" s="258">
        <v>5631</v>
      </c>
      <c r="B293" s="257" t="s">
        <v>481</v>
      </c>
      <c r="C293" s="257" t="s">
        <v>178</v>
      </c>
      <c r="D293" s="260" t="s">
        <v>13805</v>
      </c>
      <c r="E293" s="210" t="s">
        <v>6305</v>
      </c>
    </row>
    <row r="294" spans="1:5" ht="40.5">
      <c r="A294" s="258">
        <v>5678</v>
      </c>
      <c r="B294" s="257" t="s">
        <v>482</v>
      </c>
      <c r="C294" s="257" t="s">
        <v>178</v>
      </c>
      <c r="D294" s="260" t="s">
        <v>13806</v>
      </c>
      <c r="E294" s="210" t="s">
        <v>6305</v>
      </c>
    </row>
    <row r="295" spans="1:5" ht="40.5">
      <c r="A295" s="258">
        <v>5680</v>
      </c>
      <c r="B295" s="257" t="s">
        <v>483</v>
      </c>
      <c r="C295" s="257" t="s">
        <v>178</v>
      </c>
      <c r="D295" s="259" t="s">
        <v>13807</v>
      </c>
      <c r="E295" s="210" t="s">
        <v>6305</v>
      </c>
    </row>
    <row r="296" spans="1:5" ht="27">
      <c r="A296" s="258">
        <v>5684</v>
      </c>
      <c r="B296" s="257" t="s">
        <v>484</v>
      </c>
      <c r="C296" s="257" t="s">
        <v>178</v>
      </c>
      <c r="D296" s="259" t="s">
        <v>13808</v>
      </c>
      <c r="E296" s="210" t="s">
        <v>6305</v>
      </c>
    </row>
    <row r="297" spans="1:5" ht="27">
      <c r="A297" s="258">
        <v>5689</v>
      </c>
      <c r="B297" s="257" t="s">
        <v>485</v>
      </c>
      <c r="C297" s="257" t="s">
        <v>178</v>
      </c>
      <c r="D297" s="259" t="s">
        <v>13809</v>
      </c>
      <c r="E297" s="210" t="s">
        <v>6305</v>
      </c>
    </row>
    <row r="298" spans="1:5" ht="13.5">
      <c r="A298" s="258">
        <v>5795</v>
      </c>
      <c r="B298" s="257" t="s">
        <v>486</v>
      </c>
      <c r="C298" s="257" t="s">
        <v>178</v>
      </c>
      <c r="D298" s="259" t="s">
        <v>13810</v>
      </c>
      <c r="E298" s="210" t="s">
        <v>6305</v>
      </c>
    </row>
    <row r="299" spans="1:5" ht="27">
      <c r="A299" s="257">
        <v>5811</v>
      </c>
      <c r="B299" s="257" t="s">
        <v>487</v>
      </c>
      <c r="C299" s="257" t="s">
        <v>178</v>
      </c>
      <c r="D299" s="259" t="s">
        <v>13811</v>
      </c>
      <c r="E299" s="210" t="s">
        <v>6305</v>
      </c>
    </row>
    <row r="300" spans="1:5" ht="27">
      <c r="A300" s="257">
        <v>5823</v>
      </c>
      <c r="B300" s="257" t="s">
        <v>488</v>
      </c>
      <c r="C300" s="257" t="s">
        <v>178</v>
      </c>
      <c r="D300" s="259" t="s">
        <v>13812</v>
      </c>
      <c r="E300" s="210" t="s">
        <v>6305</v>
      </c>
    </row>
    <row r="301" spans="1:5" ht="40.5">
      <c r="A301" s="258">
        <v>5824</v>
      </c>
      <c r="B301" s="257" t="s">
        <v>489</v>
      </c>
      <c r="C301" s="257" t="s">
        <v>178</v>
      </c>
      <c r="D301" s="259" t="s">
        <v>13813</v>
      </c>
      <c r="E301" s="210" t="s">
        <v>6305</v>
      </c>
    </row>
    <row r="302" spans="1:5" ht="27">
      <c r="A302" s="258">
        <v>5835</v>
      </c>
      <c r="B302" s="257" t="s">
        <v>490</v>
      </c>
      <c r="C302" s="257" t="s">
        <v>178</v>
      </c>
      <c r="D302" s="259" t="s">
        <v>13814</v>
      </c>
      <c r="E302" s="210" t="s">
        <v>6305</v>
      </c>
    </row>
    <row r="303" spans="1:5" ht="27">
      <c r="A303" s="258">
        <v>5839</v>
      </c>
      <c r="B303" s="257" t="s">
        <v>491</v>
      </c>
      <c r="C303" s="257" t="s">
        <v>178</v>
      </c>
      <c r="D303" s="259" t="s">
        <v>13815</v>
      </c>
      <c r="E303" s="210" t="s">
        <v>6305</v>
      </c>
    </row>
    <row r="304" spans="1:5" ht="27">
      <c r="A304" s="258">
        <v>5843</v>
      </c>
      <c r="B304" s="257" t="s">
        <v>492</v>
      </c>
      <c r="C304" s="257" t="s">
        <v>178</v>
      </c>
      <c r="D304" s="259" t="s">
        <v>13816</v>
      </c>
      <c r="E304" s="210" t="s">
        <v>6305</v>
      </c>
    </row>
    <row r="305" spans="1:5" ht="27">
      <c r="A305" s="258">
        <v>5847</v>
      </c>
      <c r="B305" s="257" t="s">
        <v>493</v>
      </c>
      <c r="C305" s="257" t="s">
        <v>178</v>
      </c>
      <c r="D305" s="259" t="s">
        <v>13817</v>
      </c>
      <c r="E305" s="210" t="s">
        <v>6305</v>
      </c>
    </row>
    <row r="306" spans="1:5" ht="27">
      <c r="A306" s="258">
        <v>5851</v>
      </c>
      <c r="B306" s="257" t="s">
        <v>494</v>
      </c>
      <c r="C306" s="257" t="s">
        <v>178</v>
      </c>
      <c r="D306" s="259" t="s">
        <v>13818</v>
      </c>
      <c r="E306" s="210" t="s">
        <v>6305</v>
      </c>
    </row>
    <row r="307" spans="1:5" ht="27">
      <c r="A307" s="258">
        <v>5855</v>
      </c>
      <c r="B307" s="257" t="s">
        <v>495</v>
      </c>
      <c r="C307" s="257" t="s">
        <v>178</v>
      </c>
      <c r="D307" s="259" t="s">
        <v>13819</v>
      </c>
      <c r="E307" s="210" t="s">
        <v>6305</v>
      </c>
    </row>
    <row r="308" spans="1:5" ht="27">
      <c r="A308" s="258">
        <v>5863</v>
      </c>
      <c r="B308" s="257" t="s">
        <v>496</v>
      </c>
      <c r="C308" s="257" t="s">
        <v>178</v>
      </c>
      <c r="D308" s="259" t="s">
        <v>13820</v>
      </c>
      <c r="E308" s="210" t="s">
        <v>6305</v>
      </c>
    </row>
    <row r="309" spans="1:5" ht="27">
      <c r="A309" s="258">
        <v>5867</v>
      </c>
      <c r="B309" s="257" t="s">
        <v>497</v>
      </c>
      <c r="C309" s="257" t="s">
        <v>178</v>
      </c>
      <c r="D309" s="259" t="s">
        <v>13821</v>
      </c>
      <c r="E309" s="210" t="s">
        <v>6305</v>
      </c>
    </row>
    <row r="310" spans="1:5" ht="40.5">
      <c r="A310" s="258">
        <v>5875</v>
      </c>
      <c r="B310" s="257" t="s">
        <v>498</v>
      </c>
      <c r="C310" s="257" t="s">
        <v>178</v>
      </c>
      <c r="D310" s="259" t="s">
        <v>13822</v>
      </c>
      <c r="E310" s="210" t="s">
        <v>6305</v>
      </c>
    </row>
    <row r="311" spans="1:5" ht="27">
      <c r="A311" s="258">
        <v>5879</v>
      </c>
      <c r="B311" s="257" t="s">
        <v>499</v>
      </c>
      <c r="C311" s="257" t="s">
        <v>178</v>
      </c>
      <c r="D311" s="259" t="s">
        <v>13823</v>
      </c>
      <c r="E311" s="210" t="s">
        <v>6305</v>
      </c>
    </row>
    <row r="312" spans="1:5" ht="40.5">
      <c r="A312" s="258">
        <v>5882</v>
      </c>
      <c r="B312" s="257" t="s">
        <v>500</v>
      </c>
      <c r="C312" s="257" t="s">
        <v>178</v>
      </c>
      <c r="D312" s="259" t="s">
        <v>13824</v>
      </c>
      <c r="E312" s="210" t="s">
        <v>6305</v>
      </c>
    </row>
    <row r="313" spans="1:5" ht="27">
      <c r="A313" s="258">
        <v>5890</v>
      </c>
      <c r="B313" s="257" t="s">
        <v>501</v>
      </c>
      <c r="C313" s="257" t="s">
        <v>178</v>
      </c>
      <c r="D313" s="259" t="s">
        <v>13825</v>
      </c>
      <c r="E313" s="210" t="s">
        <v>6305</v>
      </c>
    </row>
    <row r="314" spans="1:5" ht="27">
      <c r="A314" s="258">
        <v>5894</v>
      </c>
      <c r="B314" s="257" t="s">
        <v>502</v>
      </c>
      <c r="C314" s="257" t="s">
        <v>178</v>
      </c>
      <c r="D314" s="259" t="s">
        <v>13826</v>
      </c>
      <c r="E314" s="210" t="s">
        <v>6305</v>
      </c>
    </row>
    <row r="315" spans="1:5" ht="40.5">
      <c r="A315" s="258">
        <v>5901</v>
      </c>
      <c r="B315" s="257" t="s">
        <v>503</v>
      </c>
      <c r="C315" s="257" t="s">
        <v>178</v>
      </c>
      <c r="D315" s="259" t="s">
        <v>13827</v>
      </c>
      <c r="E315" s="210" t="s">
        <v>6305</v>
      </c>
    </row>
    <row r="316" spans="1:5" ht="27">
      <c r="A316" s="258">
        <v>5909</v>
      </c>
      <c r="B316" s="257" t="s">
        <v>504</v>
      </c>
      <c r="C316" s="257" t="s">
        <v>178</v>
      </c>
      <c r="D316" s="259" t="s">
        <v>13828</v>
      </c>
      <c r="E316" s="210" t="s">
        <v>6305</v>
      </c>
    </row>
    <row r="317" spans="1:5" ht="27">
      <c r="A317" s="258">
        <v>5921</v>
      </c>
      <c r="B317" s="257" t="s">
        <v>505</v>
      </c>
      <c r="C317" s="257" t="s">
        <v>178</v>
      </c>
      <c r="D317" s="259" t="s">
        <v>13829</v>
      </c>
      <c r="E317" s="210" t="s">
        <v>6305</v>
      </c>
    </row>
    <row r="318" spans="1:5" ht="40.5">
      <c r="A318" s="258">
        <v>5928</v>
      </c>
      <c r="B318" s="257" t="s">
        <v>296</v>
      </c>
      <c r="C318" s="257" t="s">
        <v>178</v>
      </c>
      <c r="D318" s="259" t="s">
        <v>13830</v>
      </c>
      <c r="E318" s="210" t="s">
        <v>6305</v>
      </c>
    </row>
    <row r="319" spans="1:5" ht="27">
      <c r="A319" s="258">
        <v>5932</v>
      </c>
      <c r="B319" s="257" t="s">
        <v>506</v>
      </c>
      <c r="C319" s="257" t="s">
        <v>178</v>
      </c>
      <c r="D319" s="259" t="s">
        <v>13831</v>
      </c>
      <c r="E319" s="210" t="s">
        <v>6305</v>
      </c>
    </row>
    <row r="320" spans="1:5" ht="27">
      <c r="A320" s="258">
        <v>5940</v>
      </c>
      <c r="B320" s="257" t="s">
        <v>507</v>
      </c>
      <c r="C320" s="257" t="s">
        <v>178</v>
      </c>
      <c r="D320" s="259" t="s">
        <v>13832</v>
      </c>
      <c r="E320" s="210" t="s">
        <v>6305</v>
      </c>
    </row>
    <row r="321" spans="1:5" ht="27">
      <c r="A321" s="258">
        <v>5944</v>
      </c>
      <c r="B321" s="257" t="s">
        <v>508</v>
      </c>
      <c r="C321" s="257" t="s">
        <v>178</v>
      </c>
      <c r="D321" s="259" t="s">
        <v>13833</v>
      </c>
      <c r="E321" s="210" t="s">
        <v>6305</v>
      </c>
    </row>
    <row r="322" spans="1:5" ht="27">
      <c r="A322" s="258">
        <v>5953</v>
      </c>
      <c r="B322" s="257" t="s">
        <v>509</v>
      </c>
      <c r="C322" s="257" t="s">
        <v>178</v>
      </c>
      <c r="D322" s="259" t="s">
        <v>13834</v>
      </c>
      <c r="E322" s="210" t="s">
        <v>6305</v>
      </c>
    </row>
    <row r="323" spans="1:5" ht="27">
      <c r="A323" s="258">
        <v>6259</v>
      </c>
      <c r="B323" s="257" t="s">
        <v>510</v>
      </c>
      <c r="C323" s="257" t="s">
        <v>178</v>
      </c>
      <c r="D323" s="259" t="s">
        <v>13835</v>
      </c>
      <c r="E323" s="210" t="s">
        <v>6305</v>
      </c>
    </row>
    <row r="324" spans="1:5" ht="27">
      <c r="A324" s="258">
        <v>6879</v>
      </c>
      <c r="B324" s="257" t="s">
        <v>511</v>
      </c>
      <c r="C324" s="257" t="s">
        <v>178</v>
      </c>
      <c r="D324" s="259" t="s">
        <v>13836</v>
      </c>
      <c r="E324" s="210" t="s">
        <v>6305</v>
      </c>
    </row>
    <row r="325" spans="1:5" ht="13.5">
      <c r="A325" s="258">
        <v>7030</v>
      </c>
      <c r="B325" s="257" t="s">
        <v>512</v>
      </c>
      <c r="C325" s="257" t="s">
        <v>178</v>
      </c>
      <c r="D325" s="259" t="s">
        <v>13837</v>
      </c>
      <c r="E325" s="210" t="s">
        <v>6305</v>
      </c>
    </row>
    <row r="326" spans="1:5" ht="40.5">
      <c r="A326" s="258">
        <v>7042</v>
      </c>
      <c r="B326" s="257" t="s">
        <v>513</v>
      </c>
      <c r="C326" s="257" t="s">
        <v>178</v>
      </c>
      <c r="D326" s="259" t="s">
        <v>13838</v>
      </c>
      <c r="E326" s="210" t="s">
        <v>6305</v>
      </c>
    </row>
    <row r="327" spans="1:5" ht="40.5">
      <c r="A327" s="258">
        <v>7049</v>
      </c>
      <c r="B327" s="257" t="s">
        <v>514</v>
      </c>
      <c r="C327" s="257" t="s">
        <v>178</v>
      </c>
      <c r="D327" s="259" t="s">
        <v>13839</v>
      </c>
      <c r="E327" s="210" t="s">
        <v>6305</v>
      </c>
    </row>
    <row r="328" spans="1:5" ht="40.5">
      <c r="A328" s="258">
        <v>67826</v>
      </c>
      <c r="B328" s="257" t="s">
        <v>515</v>
      </c>
      <c r="C328" s="257" t="s">
        <v>178</v>
      </c>
      <c r="D328" s="259" t="s">
        <v>13840</v>
      </c>
      <c r="E328" s="210" t="s">
        <v>6305</v>
      </c>
    </row>
    <row r="329" spans="1:5" ht="13.5">
      <c r="A329" s="258">
        <v>73417</v>
      </c>
      <c r="B329" s="257" t="s">
        <v>516</v>
      </c>
      <c r="C329" s="257" t="s">
        <v>178</v>
      </c>
      <c r="D329" s="259" t="s">
        <v>13841</v>
      </c>
      <c r="E329" s="210" t="s">
        <v>6305</v>
      </c>
    </row>
    <row r="330" spans="1:5" ht="27">
      <c r="A330" s="258">
        <v>73436</v>
      </c>
      <c r="B330" s="257" t="s">
        <v>517</v>
      </c>
      <c r="C330" s="257" t="s">
        <v>178</v>
      </c>
      <c r="D330" s="259" t="s">
        <v>13842</v>
      </c>
      <c r="E330" s="210" t="s">
        <v>6305</v>
      </c>
    </row>
    <row r="331" spans="1:5" ht="40.5">
      <c r="A331" s="258">
        <v>73467</v>
      </c>
      <c r="B331" s="257" t="s">
        <v>518</v>
      </c>
      <c r="C331" s="257" t="s">
        <v>178</v>
      </c>
      <c r="D331" s="259" t="s">
        <v>13843</v>
      </c>
      <c r="E331" s="210" t="s">
        <v>6305</v>
      </c>
    </row>
    <row r="332" spans="1:5" ht="27">
      <c r="A332" s="258">
        <v>73536</v>
      </c>
      <c r="B332" s="257" t="s">
        <v>519</v>
      </c>
      <c r="C332" s="257" t="s">
        <v>178</v>
      </c>
      <c r="D332" s="259" t="s">
        <v>13844</v>
      </c>
      <c r="E332" s="210" t="s">
        <v>6305</v>
      </c>
    </row>
    <row r="333" spans="1:5" ht="40.5">
      <c r="A333" s="258">
        <v>83362</v>
      </c>
      <c r="B333" s="257" t="s">
        <v>520</v>
      </c>
      <c r="C333" s="257" t="s">
        <v>178</v>
      </c>
      <c r="D333" s="259" t="s">
        <v>13845</v>
      </c>
      <c r="E333" s="210" t="s">
        <v>6305</v>
      </c>
    </row>
    <row r="334" spans="1:5" ht="27">
      <c r="A334" s="258">
        <v>83765</v>
      </c>
      <c r="B334" s="257" t="s">
        <v>521</v>
      </c>
      <c r="C334" s="257" t="s">
        <v>178</v>
      </c>
      <c r="D334" s="259" t="s">
        <v>13846</v>
      </c>
      <c r="E334" s="210" t="s">
        <v>6305</v>
      </c>
    </row>
    <row r="335" spans="1:5" ht="27">
      <c r="A335" s="258">
        <v>87445</v>
      </c>
      <c r="B335" s="257" t="s">
        <v>522</v>
      </c>
      <c r="C335" s="257" t="s">
        <v>178</v>
      </c>
      <c r="D335" s="259" t="s">
        <v>13847</v>
      </c>
      <c r="E335" s="210" t="s">
        <v>6305</v>
      </c>
    </row>
    <row r="336" spans="1:5" ht="27">
      <c r="A336" s="258">
        <v>88386</v>
      </c>
      <c r="B336" s="257" t="s">
        <v>523</v>
      </c>
      <c r="C336" s="257" t="s">
        <v>178</v>
      </c>
      <c r="D336" s="259" t="s">
        <v>13848</v>
      </c>
      <c r="E336" s="210" t="s">
        <v>6305</v>
      </c>
    </row>
    <row r="337" spans="1:5" ht="27">
      <c r="A337" s="258">
        <v>88393</v>
      </c>
      <c r="B337" s="257" t="s">
        <v>524</v>
      </c>
      <c r="C337" s="257" t="s">
        <v>178</v>
      </c>
      <c r="D337" s="259" t="s">
        <v>13849</v>
      </c>
      <c r="E337" s="210" t="s">
        <v>6305</v>
      </c>
    </row>
    <row r="338" spans="1:5" ht="27">
      <c r="A338" s="258">
        <v>88399</v>
      </c>
      <c r="B338" s="257" t="s">
        <v>525</v>
      </c>
      <c r="C338" s="257" t="s">
        <v>178</v>
      </c>
      <c r="D338" s="259" t="s">
        <v>13850</v>
      </c>
      <c r="E338" s="210" t="s">
        <v>6305</v>
      </c>
    </row>
    <row r="339" spans="1:5" ht="27">
      <c r="A339" s="258">
        <v>88418</v>
      </c>
      <c r="B339" s="257" t="s">
        <v>526</v>
      </c>
      <c r="C339" s="257" t="s">
        <v>178</v>
      </c>
      <c r="D339" s="259" t="s">
        <v>13851</v>
      </c>
      <c r="E339" s="210" t="s">
        <v>6305</v>
      </c>
    </row>
    <row r="340" spans="1:5" ht="27">
      <c r="A340" s="258">
        <v>88433</v>
      </c>
      <c r="B340" s="257" t="s">
        <v>527</v>
      </c>
      <c r="C340" s="257" t="s">
        <v>178</v>
      </c>
      <c r="D340" s="259" t="s">
        <v>13852</v>
      </c>
      <c r="E340" s="210" t="s">
        <v>6305</v>
      </c>
    </row>
    <row r="341" spans="1:5" ht="27">
      <c r="A341" s="258">
        <v>88830</v>
      </c>
      <c r="B341" s="257" t="s">
        <v>528</v>
      </c>
      <c r="C341" s="257" t="s">
        <v>178</v>
      </c>
      <c r="D341" s="259" t="s">
        <v>13853</v>
      </c>
      <c r="E341" s="210" t="s">
        <v>6305</v>
      </c>
    </row>
    <row r="342" spans="1:5" ht="27">
      <c r="A342" s="258">
        <v>88843</v>
      </c>
      <c r="B342" s="257" t="s">
        <v>529</v>
      </c>
      <c r="C342" s="257" t="s">
        <v>178</v>
      </c>
      <c r="D342" s="259" t="s">
        <v>13854</v>
      </c>
      <c r="E342" s="210" t="s">
        <v>6305</v>
      </c>
    </row>
    <row r="343" spans="1:5" ht="27">
      <c r="A343" s="258">
        <v>88907</v>
      </c>
      <c r="B343" s="257" t="s">
        <v>530</v>
      </c>
      <c r="C343" s="257" t="s">
        <v>178</v>
      </c>
      <c r="D343" s="259" t="s">
        <v>13855</v>
      </c>
      <c r="E343" s="210" t="s">
        <v>6305</v>
      </c>
    </row>
    <row r="344" spans="1:5" ht="27">
      <c r="A344" s="258">
        <v>89021</v>
      </c>
      <c r="B344" s="257" t="s">
        <v>531</v>
      </c>
      <c r="C344" s="257" t="s">
        <v>178</v>
      </c>
      <c r="D344" s="259" t="s">
        <v>13856</v>
      </c>
      <c r="E344" s="210" t="s">
        <v>6305</v>
      </c>
    </row>
    <row r="345" spans="1:5" ht="13.5">
      <c r="A345" s="258">
        <v>89028</v>
      </c>
      <c r="B345" s="257" t="s">
        <v>532</v>
      </c>
      <c r="C345" s="257" t="s">
        <v>178</v>
      </c>
      <c r="D345" s="259" t="s">
        <v>13857</v>
      </c>
      <c r="E345" s="210" t="s">
        <v>6305</v>
      </c>
    </row>
    <row r="346" spans="1:5" ht="27">
      <c r="A346" s="258">
        <v>89032</v>
      </c>
      <c r="B346" s="257" t="s">
        <v>533</v>
      </c>
      <c r="C346" s="257" t="s">
        <v>178</v>
      </c>
      <c r="D346" s="259" t="s">
        <v>13858</v>
      </c>
      <c r="E346" s="210" t="s">
        <v>6305</v>
      </c>
    </row>
    <row r="347" spans="1:5" ht="27">
      <c r="A347" s="258">
        <v>89035</v>
      </c>
      <c r="B347" s="257" t="s">
        <v>534</v>
      </c>
      <c r="C347" s="257" t="s">
        <v>178</v>
      </c>
      <c r="D347" s="259" t="s">
        <v>13859</v>
      </c>
      <c r="E347" s="210" t="s">
        <v>6305</v>
      </c>
    </row>
    <row r="348" spans="1:5" ht="27">
      <c r="A348" s="258">
        <v>89225</v>
      </c>
      <c r="B348" s="257" t="s">
        <v>535</v>
      </c>
      <c r="C348" s="257" t="s">
        <v>178</v>
      </c>
      <c r="D348" s="259" t="s">
        <v>13860</v>
      </c>
      <c r="E348" s="210" t="s">
        <v>6305</v>
      </c>
    </row>
    <row r="349" spans="1:5" ht="27">
      <c r="A349" s="258">
        <v>89234</v>
      </c>
      <c r="B349" s="257" t="s">
        <v>536</v>
      </c>
      <c r="C349" s="257" t="s">
        <v>178</v>
      </c>
      <c r="D349" s="259" t="s">
        <v>13861</v>
      </c>
      <c r="E349" s="210" t="s">
        <v>6305</v>
      </c>
    </row>
    <row r="350" spans="1:5" ht="27">
      <c r="A350" s="258">
        <v>89242</v>
      </c>
      <c r="B350" s="257" t="s">
        <v>537</v>
      </c>
      <c r="C350" s="257" t="s">
        <v>178</v>
      </c>
      <c r="D350" s="259" t="s">
        <v>13862</v>
      </c>
      <c r="E350" s="210" t="s">
        <v>6305</v>
      </c>
    </row>
    <row r="351" spans="1:5" ht="27">
      <c r="A351" s="258">
        <v>89250</v>
      </c>
      <c r="B351" s="257" t="s">
        <v>538</v>
      </c>
      <c r="C351" s="257" t="s">
        <v>178</v>
      </c>
      <c r="D351" s="259" t="s">
        <v>13863</v>
      </c>
      <c r="E351" s="210" t="s">
        <v>6305</v>
      </c>
    </row>
    <row r="352" spans="1:5" ht="27">
      <c r="A352" s="258">
        <v>89257</v>
      </c>
      <c r="B352" s="257" t="s">
        <v>539</v>
      </c>
      <c r="C352" s="257" t="s">
        <v>178</v>
      </c>
      <c r="D352" s="259" t="s">
        <v>13864</v>
      </c>
      <c r="E352" s="210" t="s">
        <v>6305</v>
      </c>
    </row>
    <row r="353" spans="1:5" ht="27">
      <c r="A353" s="258">
        <v>89272</v>
      </c>
      <c r="B353" s="257" t="s">
        <v>289</v>
      </c>
      <c r="C353" s="257" t="s">
        <v>178</v>
      </c>
      <c r="D353" s="259" t="s">
        <v>13865</v>
      </c>
      <c r="E353" s="210" t="s">
        <v>6305</v>
      </c>
    </row>
    <row r="354" spans="1:5" ht="27">
      <c r="A354" s="258">
        <v>89278</v>
      </c>
      <c r="B354" s="257" t="s">
        <v>540</v>
      </c>
      <c r="C354" s="257" t="s">
        <v>178</v>
      </c>
      <c r="D354" s="259" t="s">
        <v>13637</v>
      </c>
      <c r="E354" s="210" t="s">
        <v>6305</v>
      </c>
    </row>
    <row r="355" spans="1:5" ht="27">
      <c r="A355" s="258">
        <v>89843</v>
      </c>
      <c r="B355" s="257" t="s">
        <v>541</v>
      </c>
      <c r="C355" s="257" t="s">
        <v>178</v>
      </c>
      <c r="D355" s="259" t="s">
        <v>13866</v>
      </c>
      <c r="E355" s="210" t="s">
        <v>6305</v>
      </c>
    </row>
    <row r="356" spans="1:5" ht="40.5">
      <c r="A356" s="258">
        <v>89876</v>
      </c>
      <c r="B356" s="257" t="s">
        <v>542</v>
      </c>
      <c r="C356" s="257" t="s">
        <v>178</v>
      </c>
      <c r="D356" s="259" t="s">
        <v>13867</v>
      </c>
      <c r="E356" s="210" t="s">
        <v>6305</v>
      </c>
    </row>
    <row r="357" spans="1:5" ht="40.5">
      <c r="A357" s="258">
        <v>89883</v>
      </c>
      <c r="B357" s="257" t="s">
        <v>543</v>
      </c>
      <c r="C357" s="257" t="s">
        <v>178</v>
      </c>
      <c r="D357" s="259" t="s">
        <v>13868</v>
      </c>
      <c r="E357" s="210" t="s">
        <v>6305</v>
      </c>
    </row>
    <row r="358" spans="1:5" ht="27">
      <c r="A358" s="258">
        <v>90586</v>
      </c>
      <c r="B358" s="257" t="s">
        <v>544</v>
      </c>
      <c r="C358" s="257" t="s">
        <v>178</v>
      </c>
      <c r="D358" s="259" t="s">
        <v>13869</v>
      </c>
      <c r="E358" s="210" t="s">
        <v>6305</v>
      </c>
    </row>
    <row r="359" spans="1:5" ht="27">
      <c r="A359" s="258">
        <v>90625</v>
      </c>
      <c r="B359" s="257" t="s">
        <v>545</v>
      </c>
      <c r="C359" s="257" t="s">
        <v>178</v>
      </c>
      <c r="D359" s="259" t="s">
        <v>13870</v>
      </c>
      <c r="E359" s="210" t="s">
        <v>6305</v>
      </c>
    </row>
    <row r="360" spans="1:5" ht="27">
      <c r="A360" s="258">
        <v>90631</v>
      </c>
      <c r="B360" s="257" t="s">
        <v>546</v>
      </c>
      <c r="C360" s="257" t="s">
        <v>178</v>
      </c>
      <c r="D360" s="259" t="s">
        <v>13871</v>
      </c>
      <c r="E360" s="210" t="s">
        <v>6305</v>
      </c>
    </row>
    <row r="361" spans="1:5" ht="27">
      <c r="A361" s="258">
        <v>90637</v>
      </c>
      <c r="B361" s="257" t="s">
        <v>547</v>
      </c>
      <c r="C361" s="257" t="s">
        <v>178</v>
      </c>
      <c r="D361" s="259" t="s">
        <v>13872</v>
      </c>
      <c r="E361" s="210" t="s">
        <v>6305</v>
      </c>
    </row>
    <row r="362" spans="1:5" ht="27">
      <c r="A362" s="258">
        <v>90643</v>
      </c>
      <c r="B362" s="257" t="s">
        <v>548</v>
      </c>
      <c r="C362" s="257" t="s">
        <v>178</v>
      </c>
      <c r="D362" s="259" t="s">
        <v>13873</v>
      </c>
      <c r="E362" s="210" t="s">
        <v>6305</v>
      </c>
    </row>
    <row r="363" spans="1:5" ht="27">
      <c r="A363" s="258">
        <v>90650</v>
      </c>
      <c r="B363" s="257" t="s">
        <v>549</v>
      </c>
      <c r="C363" s="257" t="s">
        <v>178</v>
      </c>
      <c r="D363" s="259" t="s">
        <v>13874</v>
      </c>
      <c r="E363" s="210" t="s">
        <v>6305</v>
      </c>
    </row>
    <row r="364" spans="1:5" ht="13.5">
      <c r="A364" s="258">
        <v>90656</v>
      </c>
      <c r="B364" s="257" t="s">
        <v>550</v>
      </c>
      <c r="C364" s="257" t="s">
        <v>178</v>
      </c>
      <c r="D364" s="259" t="s">
        <v>13875</v>
      </c>
      <c r="E364" s="210" t="s">
        <v>6305</v>
      </c>
    </row>
    <row r="365" spans="1:5" ht="13.5">
      <c r="A365" s="258">
        <v>90662</v>
      </c>
      <c r="B365" s="257" t="s">
        <v>551</v>
      </c>
      <c r="C365" s="257" t="s">
        <v>178</v>
      </c>
      <c r="D365" s="259" t="s">
        <v>13876</v>
      </c>
      <c r="E365" s="210" t="s">
        <v>6305</v>
      </c>
    </row>
    <row r="366" spans="1:5" ht="40.5">
      <c r="A366" s="258">
        <v>90668</v>
      </c>
      <c r="B366" s="257" t="s">
        <v>552</v>
      </c>
      <c r="C366" s="257" t="s">
        <v>178</v>
      </c>
      <c r="D366" s="259" t="s">
        <v>13877</v>
      </c>
      <c r="E366" s="210" t="s">
        <v>6305</v>
      </c>
    </row>
    <row r="367" spans="1:5" ht="40.5">
      <c r="A367" s="258">
        <v>90674</v>
      </c>
      <c r="B367" s="257" t="s">
        <v>553</v>
      </c>
      <c r="C367" s="257" t="s">
        <v>178</v>
      </c>
      <c r="D367" s="259" t="s">
        <v>13878</v>
      </c>
      <c r="E367" s="210" t="s">
        <v>6305</v>
      </c>
    </row>
    <row r="368" spans="1:5" ht="40.5">
      <c r="A368" s="258">
        <v>90680</v>
      </c>
      <c r="B368" s="257" t="s">
        <v>554</v>
      </c>
      <c r="C368" s="257" t="s">
        <v>178</v>
      </c>
      <c r="D368" s="259" t="s">
        <v>13879</v>
      </c>
      <c r="E368" s="210" t="s">
        <v>6305</v>
      </c>
    </row>
    <row r="369" spans="1:5" ht="27">
      <c r="A369" s="258">
        <v>90686</v>
      </c>
      <c r="B369" s="257" t="s">
        <v>555</v>
      </c>
      <c r="C369" s="257" t="s">
        <v>178</v>
      </c>
      <c r="D369" s="259" t="s">
        <v>13880</v>
      </c>
      <c r="E369" s="210" t="s">
        <v>6305</v>
      </c>
    </row>
    <row r="370" spans="1:5" ht="27">
      <c r="A370" s="258">
        <v>90692</v>
      </c>
      <c r="B370" s="257" t="s">
        <v>556</v>
      </c>
      <c r="C370" s="257" t="s">
        <v>178</v>
      </c>
      <c r="D370" s="259" t="s">
        <v>13881</v>
      </c>
      <c r="E370" s="210" t="s">
        <v>6305</v>
      </c>
    </row>
    <row r="371" spans="1:5" ht="27">
      <c r="A371" s="258">
        <v>90964</v>
      </c>
      <c r="B371" s="257" t="s">
        <v>557</v>
      </c>
      <c r="C371" s="257" t="s">
        <v>178</v>
      </c>
      <c r="D371" s="259" t="s">
        <v>13882</v>
      </c>
      <c r="E371" s="210" t="s">
        <v>6305</v>
      </c>
    </row>
    <row r="372" spans="1:5" ht="27">
      <c r="A372" s="258">
        <v>90972</v>
      </c>
      <c r="B372" s="257" t="s">
        <v>558</v>
      </c>
      <c r="C372" s="257" t="s">
        <v>178</v>
      </c>
      <c r="D372" s="259" t="s">
        <v>13883</v>
      </c>
      <c r="E372" s="210" t="s">
        <v>6305</v>
      </c>
    </row>
    <row r="373" spans="1:5" ht="27">
      <c r="A373" s="258">
        <v>90979</v>
      </c>
      <c r="B373" s="257" t="s">
        <v>559</v>
      </c>
      <c r="C373" s="257" t="s">
        <v>178</v>
      </c>
      <c r="D373" s="259" t="s">
        <v>13884</v>
      </c>
      <c r="E373" s="210" t="s">
        <v>6305</v>
      </c>
    </row>
    <row r="374" spans="1:5" ht="27">
      <c r="A374" s="258">
        <v>90991</v>
      </c>
      <c r="B374" s="257" t="s">
        <v>560</v>
      </c>
      <c r="C374" s="257" t="s">
        <v>178</v>
      </c>
      <c r="D374" s="259" t="s">
        <v>13885</v>
      </c>
      <c r="E374" s="210" t="s">
        <v>6305</v>
      </c>
    </row>
    <row r="375" spans="1:5" ht="27">
      <c r="A375" s="258">
        <v>90999</v>
      </c>
      <c r="B375" s="257" t="s">
        <v>561</v>
      </c>
      <c r="C375" s="257" t="s">
        <v>178</v>
      </c>
      <c r="D375" s="259" t="s">
        <v>13886</v>
      </c>
      <c r="E375" s="210" t="s">
        <v>6305</v>
      </c>
    </row>
    <row r="376" spans="1:5" ht="27">
      <c r="A376" s="258">
        <v>91031</v>
      </c>
      <c r="B376" s="257" t="s">
        <v>562</v>
      </c>
      <c r="C376" s="257" t="s">
        <v>178</v>
      </c>
      <c r="D376" s="259" t="s">
        <v>13887</v>
      </c>
      <c r="E376" s="210" t="s">
        <v>6305</v>
      </c>
    </row>
    <row r="377" spans="1:5" ht="27">
      <c r="A377" s="258">
        <v>91277</v>
      </c>
      <c r="B377" s="257" t="s">
        <v>205</v>
      </c>
      <c r="C377" s="257" t="s">
        <v>178</v>
      </c>
      <c r="D377" s="259" t="s">
        <v>13888</v>
      </c>
      <c r="E377" s="210" t="s">
        <v>6305</v>
      </c>
    </row>
    <row r="378" spans="1:5" ht="40.5">
      <c r="A378" s="258">
        <v>91283</v>
      </c>
      <c r="B378" s="257" t="s">
        <v>563</v>
      </c>
      <c r="C378" s="257" t="s">
        <v>178</v>
      </c>
      <c r="D378" s="259" t="s">
        <v>13889</v>
      </c>
      <c r="E378" s="210" t="s">
        <v>6305</v>
      </c>
    </row>
    <row r="379" spans="1:5" ht="40.5">
      <c r="A379" s="258">
        <v>91386</v>
      </c>
      <c r="B379" s="257" t="s">
        <v>564</v>
      </c>
      <c r="C379" s="257" t="s">
        <v>178</v>
      </c>
      <c r="D379" s="259" t="s">
        <v>13890</v>
      </c>
      <c r="E379" s="210" t="s">
        <v>6305</v>
      </c>
    </row>
    <row r="380" spans="1:5" ht="27">
      <c r="A380" s="258">
        <v>91533</v>
      </c>
      <c r="B380" s="257" t="s">
        <v>565</v>
      </c>
      <c r="C380" s="257" t="s">
        <v>178</v>
      </c>
      <c r="D380" s="259" t="s">
        <v>13891</v>
      </c>
      <c r="E380" s="210" t="s">
        <v>6305</v>
      </c>
    </row>
    <row r="381" spans="1:5" ht="40.5">
      <c r="A381" s="258">
        <v>91634</v>
      </c>
      <c r="B381" s="257" t="s">
        <v>566</v>
      </c>
      <c r="C381" s="257" t="s">
        <v>178</v>
      </c>
      <c r="D381" s="259" t="s">
        <v>13892</v>
      </c>
      <c r="E381" s="210" t="s">
        <v>6305</v>
      </c>
    </row>
    <row r="382" spans="1:5" ht="40.5">
      <c r="A382" s="258">
        <v>91645</v>
      </c>
      <c r="B382" s="257" t="s">
        <v>567</v>
      </c>
      <c r="C382" s="257" t="s">
        <v>178</v>
      </c>
      <c r="D382" s="259" t="s">
        <v>13893</v>
      </c>
      <c r="E382" s="210" t="s">
        <v>6305</v>
      </c>
    </row>
    <row r="383" spans="1:5" ht="27">
      <c r="A383" s="258">
        <v>91692</v>
      </c>
      <c r="B383" s="257" t="s">
        <v>568</v>
      </c>
      <c r="C383" s="257" t="s">
        <v>178</v>
      </c>
      <c r="D383" s="259" t="s">
        <v>13894</v>
      </c>
      <c r="E383" s="210" t="s">
        <v>6305</v>
      </c>
    </row>
    <row r="384" spans="1:5" ht="27">
      <c r="A384" s="258">
        <v>92043</v>
      </c>
      <c r="B384" s="257" t="s">
        <v>569</v>
      </c>
      <c r="C384" s="257" t="s">
        <v>178</v>
      </c>
      <c r="D384" s="259" t="s">
        <v>13895</v>
      </c>
      <c r="E384" s="210" t="s">
        <v>6305</v>
      </c>
    </row>
    <row r="385" spans="1:5" ht="40.5">
      <c r="A385" s="258">
        <v>92106</v>
      </c>
      <c r="B385" s="257" t="s">
        <v>570</v>
      </c>
      <c r="C385" s="257" t="s">
        <v>178</v>
      </c>
      <c r="D385" s="259" t="s">
        <v>13896</v>
      </c>
      <c r="E385" s="210" t="s">
        <v>6305</v>
      </c>
    </row>
    <row r="386" spans="1:5" ht="27">
      <c r="A386" s="258">
        <v>92112</v>
      </c>
      <c r="B386" s="257" t="s">
        <v>571</v>
      </c>
      <c r="C386" s="257" t="s">
        <v>178</v>
      </c>
      <c r="D386" s="259" t="s">
        <v>13897</v>
      </c>
      <c r="E386" s="210" t="s">
        <v>6305</v>
      </c>
    </row>
    <row r="387" spans="1:5" ht="13.5">
      <c r="A387" s="258">
        <v>92118</v>
      </c>
      <c r="B387" s="257" t="s">
        <v>572</v>
      </c>
      <c r="C387" s="257" t="s">
        <v>178</v>
      </c>
      <c r="D387" s="259" t="s">
        <v>13898</v>
      </c>
      <c r="E387" s="210" t="s">
        <v>6305</v>
      </c>
    </row>
    <row r="388" spans="1:5" ht="13.5">
      <c r="A388" s="258">
        <v>92138</v>
      </c>
      <c r="B388" s="257" t="s">
        <v>573</v>
      </c>
      <c r="C388" s="257" t="s">
        <v>178</v>
      </c>
      <c r="D388" s="259" t="s">
        <v>13899</v>
      </c>
      <c r="E388" s="210" t="s">
        <v>6305</v>
      </c>
    </row>
    <row r="389" spans="1:5" ht="27">
      <c r="A389" s="258">
        <v>92145</v>
      </c>
      <c r="B389" s="257" t="s">
        <v>574</v>
      </c>
      <c r="C389" s="257" t="s">
        <v>178</v>
      </c>
      <c r="D389" s="259" t="s">
        <v>13900</v>
      </c>
      <c r="E389" s="210" t="s">
        <v>6305</v>
      </c>
    </row>
    <row r="390" spans="1:5" ht="40.5">
      <c r="A390" s="258">
        <v>92242</v>
      </c>
      <c r="B390" s="257" t="s">
        <v>575</v>
      </c>
      <c r="C390" s="257" t="s">
        <v>178</v>
      </c>
      <c r="D390" s="259" t="s">
        <v>13901</v>
      </c>
      <c r="E390" s="210" t="s">
        <v>6305</v>
      </c>
    </row>
    <row r="391" spans="1:5" ht="27">
      <c r="A391" s="258">
        <v>92716</v>
      </c>
      <c r="B391" s="257" t="s">
        <v>576</v>
      </c>
      <c r="C391" s="257" t="s">
        <v>178</v>
      </c>
      <c r="D391" s="259" t="s">
        <v>13902</v>
      </c>
      <c r="E391" s="210" t="s">
        <v>6305</v>
      </c>
    </row>
    <row r="392" spans="1:5" ht="27">
      <c r="A392" s="258">
        <v>92960</v>
      </c>
      <c r="B392" s="257" t="s">
        <v>577</v>
      </c>
      <c r="C392" s="257" t="s">
        <v>178</v>
      </c>
      <c r="D392" s="259" t="s">
        <v>13903</v>
      </c>
      <c r="E392" s="210" t="s">
        <v>6305</v>
      </c>
    </row>
    <row r="393" spans="1:5" ht="13.5">
      <c r="A393" s="258">
        <v>92966</v>
      </c>
      <c r="B393" s="257" t="s">
        <v>578</v>
      </c>
      <c r="C393" s="257" t="s">
        <v>178</v>
      </c>
      <c r="D393" s="259" t="s">
        <v>13904</v>
      </c>
      <c r="E393" s="210" t="s">
        <v>6305</v>
      </c>
    </row>
    <row r="394" spans="1:5" ht="40.5">
      <c r="A394" s="258">
        <v>93224</v>
      </c>
      <c r="B394" s="257" t="s">
        <v>579</v>
      </c>
      <c r="C394" s="257" t="s">
        <v>178</v>
      </c>
      <c r="D394" s="259" t="s">
        <v>13905</v>
      </c>
      <c r="E394" s="210" t="s">
        <v>6305</v>
      </c>
    </row>
    <row r="395" spans="1:5" ht="27">
      <c r="A395" s="258">
        <v>93233</v>
      </c>
      <c r="B395" s="257" t="s">
        <v>580</v>
      </c>
      <c r="C395" s="257" t="s">
        <v>178</v>
      </c>
      <c r="D395" s="259" t="s">
        <v>13906</v>
      </c>
      <c r="E395" s="210" t="s">
        <v>6305</v>
      </c>
    </row>
    <row r="396" spans="1:5" ht="27">
      <c r="A396" s="258">
        <v>93272</v>
      </c>
      <c r="B396" s="257" t="s">
        <v>581</v>
      </c>
      <c r="C396" s="257" t="s">
        <v>178</v>
      </c>
      <c r="D396" s="259" t="s">
        <v>13907</v>
      </c>
      <c r="E396" s="210" t="s">
        <v>6305</v>
      </c>
    </row>
    <row r="397" spans="1:5" ht="27">
      <c r="A397" s="258">
        <v>93281</v>
      </c>
      <c r="B397" s="257" t="s">
        <v>182</v>
      </c>
      <c r="C397" s="257" t="s">
        <v>178</v>
      </c>
      <c r="D397" s="259" t="s">
        <v>13908</v>
      </c>
      <c r="E397" s="210" t="s">
        <v>6305</v>
      </c>
    </row>
    <row r="398" spans="1:5" ht="27">
      <c r="A398" s="258">
        <v>93287</v>
      </c>
      <c r="B398" s="257" t="s">
        <v>179</v>
      </c>
      <c r="C398" s="257" t="s">
        <v>178</v>
      </c>
      <c r="D398" s="259" t="s">
        <v>13909</v>
      </c>
      <c r="E398" s="210" t="s">
        <v>6305</v>
      </c>
    </row>
    <row r="399" spans="1:5" ht="40.5">
      <c r="A399" s="258">
        <v>93402</v>
      </c>
      <c r="B399" s="257" t="s">
        <v>582</v>
      </c>
      <c r="C399" s="257" t="s">
        <v>178</v>
      </c>
      <c r="D399" s="259" t="s">
        <v>13910</v>
      </c>
      <c r="E399" s="210" t="s">
        <v>6305</v>
      </c>
    </row>
    <row r="400" spans="1:5" ht="40.5">
      <c r="A400" s="258">
        <v>93408</v>
      </c>
      <c r="B400" s="257" t="s">
        <v>13911</v>
      </c>
      <c r="C400" s="257" t="s">
        <v>178</v>
      </c>
      <c r="D400" s="259" t="s">
        <v>13912</v>
      </c>
      <c r="E400" s="210" t="s">
        <v>6305</v>
      </c>
    </row>
    <row r="401" spans="1:5" ht="27">
      <c r="A401" s="258">
        <v>93415</v>
      </c>
      <c r="B401" s="257" t="s">
        <v>583</v>
      </c>
      <c r="C401" s="257" t="s">
        <v>178</v>
      </c>
      <c r="D401" s="259" t="s">
        <v>13913</v>
      </c>
      <c r="E401" s="210" t="s">
        <v>6305</v>
      </c>
    </row>
    <row r="402" spans="1:5" ht="13.5">
      <c r="A402" s="258">
        <v>93421</v>
      </c>
      <c r="B402" s="257" t="s">
        <v>584</v>
      </c>
      <c r="C402" s="257" t="s">
        <v>178</v>
      </c>
      <c r="D402" s="259" t="s">
        <v>13914</v>
      </c>
      <c r="E402" s="210" t="s">
        <v>6305</v>
      </c>
    </row>
    <row r="403" spans="1:5" ht="13.5">
      <c r="A403" s="258">
        <v>93427</v>
      </c>
      <c r="B403" s="257" t="s">
        <v>585</v>
      </c>
      <c r="C403" s="257" t="s">
        <v>178</v>
      </c>
      <c r="D403" s="259" t="s">
        <v>13915</v>
      </c>
      <c r="E403" s="210" t="s">
        <v>6305</v>
      </c>
    </row>
    <row r="404" spans="1:5" ht="27">
      <c r="A404" s="258">
        <v>93433</v>
      </c>
      <c r="B404" s="257" t="s">
        <v>586</v>
      </c>
      <c r="C404" s="257" t="s">
        <v>178</v>
      </c>
      <c r="D404" s="259" t="s">
        <v>13916</v>
      </c>
      <c r="E404" s="210" t="s">
        <v>6305</v>
      </c>
    </row>
    <row r="405" spans="1:5" ht="27">
      <c r="A405" s="258">
        <v>93439</v>
      </c>
      <c r="B405" s="257" t="s">
        <v>587</v>
      </c>
      <c r="C405" s="257" t="s">
        <v>178</v>
      </c>
      <c r="D405" s="259" t="s">
        <v>13652</v>
      </c>
      <c r="E405" s="210" t="s">
        <v>6305</v>
      </c>
    </row>
    <row r="406" spans="1:5" ht="27">
      <c r="A406" s="258">
        <v>95121</v>
      </c>
      <c r="B406" s="257" t="s">
        <v>588</v>
      </c>
      <c r="C406" s="257" t="s">
        <v>178</v>
      </c>
      <c r="D406" s="259" t="s">
        <v>13917</v>
      </c>
      <c r="E406" s="210" t="s">
        <v>6305</v>
      </c>
    </row>
    <row r="407" spans="1:5" ht="27">
      <c r="A407" s="258">
        <v>95127</v>
      </c>
      <c r="B407" s="257" t="s">
        <v>589</v>
      </c>
      <c r="C407" s="257" t="s">
        <v>178</v>
      </c>
      <c r="D407" s="259" t="s">
        <v>13918</v>
      </c>
      <c r="E407" s="210" t="s">
        <v>6305</v>
      </c>
    </row>
    <row r="408" spans="1:5" ht="27">
      <c r="A408" s="258">
        <v>95133</v>
      </c>
      <c r="B408" s="257" t="s">
        <v>590</v>
      </c>
      <c r="C408" s="257" t="s">
        <v>178</v>
      </c>
      <c r="D408" s="259" t="s">
        <v>13919</v>
      </c>
      <c r="E408" s="210" t="s">
        <v>6305</v>
      </c>
    </row>
    <row r="409" spans="1:5" ht="13.5">
      <c r="A409" s="258">
        <v>95139</v>
      </c>
      <c r="B409" s="257" t="s">
        <v>591</v>
      </c>
      <c r="C409" s="257" t="s">
        <v>178</v>
      </c>
      <c r="D409" s="259" t="s">
        <v>13920</v>
      </c>
      <c r="E409" s="210" t="s">
        <v>6305</v>
      </c>
    </row>
    <row r="410" spans="1:5" ht="27">
      <c r="A410" s="258">
        <v>95212</v>
      </c>
      <c r="B410" s="257" t="s">
        <v>592</v>
      </c>
      <c r="C410" s="257" t="s">
        <v>178</v>
      </c>
      <c r="D410" s="259" t="s">
        <v>13921</v>
      </c>
      <c r="E410" s="210" t="s">
        <v>6305</v>
      </c>
    </row>
    <row r="411" spans="1:5" ht="27">
      <c r="A411" s="258">
        <v>95218</v>
      </c>
      <c r="B411" s="257" t="s">
        <v>593</v>
      </c>
      <c r="C411" s="257" t="s">
        <v>178</v>
      </c>
      <c r="D411" s="259" t="s">
        <v>13922</v>
      </c>
      <c r="E411" s="210" t="s">
        <v>6305</v>
      </c>
    </row>
    <row r="412" spans="1:5" ht="13.5">
      <c r="A412" s="258">
        <v>95258</v>
      </c>
      <c r="B412" s="257" t="s">
        <v>594</v>
      </c>
      <c r="C412" s="257" t="s">
        <v>178</v>
      </c>
      <c r="D412" s="260" t="s">
        <v>13923</v>
      </c>
      <c r="E412" s="210" t="s">
        <v>6305</v>
      </c>
    </row>
    <row r="413" spans="1:5" ht="27">
      <c r="A413" s="258">
        <v>95264</v>
      </c>
      <c r="B413" s="257" t="s">
        <v>595</v>
      </c>
      <c r="C413" s="257" t="s">
        <v>178</v>
      </c>
      <c r="D413" s="259" t="s">
        <v>13924</v>
      </c>
      <c r="E413" s="210" t="s">
        <v>6305</v>
      </c>
    </row>
    <row r="414" spans="1:5" ht="27">
      <c r="A414" s="258">
        <v>95270</v>
      </c>
      <c r="B414" s="257" t="s">
        <v>596</v>
      </c>
      <c r="C414" s="257" t="s">
        <v>178</v>
      </c>
      <c r="D414" s="259" t="s">
        <v>13925</v>
      </c>
      <c r="E414" s="210" t="s">
        <v>6305</v>
      </c>
    </row>
    <row r="415" spans="1:5" ht="27">
      <c r="A415" s="258">
        <v>95276</v>
      </c>
      <c r="B415" s="257" t="s">
        <v>277</v>
      </c>
      <c r="C415" s="257" t="s">
        <v>178</v>
      </c>
      <c r="D415" s="259" t="s">
        <v>13926</v>
      </c>
      <c r="E415" s="210" t="s">
        <v>6305</v>
      </c>
    </row>
    <row r="416" spans="1:5" ht="27">
      <c r="A416" s="258">
        <v>95282</v>
      </c>
      <c r="B416" s="257" t="s">
        <v>597</v>
      </c>
      <c r="C416" s="257" t="s">
        <v>178</v>
      </c>
      <c r="D416" s="259" t="s">
        <v>13927</v>
      </c>
      <c r="E416" s="210" t="s">
        <v>6305</v>
      </c>
    </row>
    <row r="417" spans="1:5" ht="27">
      <c r="A417" s="258">
        <v>95620</v>
      </c>
      <c r="B417" s="257" t="s">
        <v>598</v>
      </c>
      <c r="C417" s="257" t="s">
        <v>178</v>
      </c>
      <c r="D417" s="259" t="s">
        <v>13928</v>
      </c>
      <c r="E417" s="210" t="s">
        <v>6305</v>
      </c>
    </row>
    <row r="418" spans="1:5" ht="27">
      <c r="A418" s="258">
        <v>95631</v>
      </c>
      <c r="B418" s="257" t="s">
        <v>599</v>
      </c>
      <c r="C418" s="257" t="s">
        <v>178</v>
      </c>
      <c r="D418" s="259" t="s">
        <v>13929</v>
      </c>
      <c r="E418" s="210" t="s">
        <v>6305</v>
      </c>
    </row>
    <row r="419" spans="1:5" ht="27">
      <c r="A419" s="258">
        <v>95702</v>
      </c>
      <c r="B419" s="257" t="s">
        <v>600</v>
      </c>
      <c r="C419" s="257" t="s">
        <v>178</v>
      </c>
      <c r="D419" s="259" t="s">
        <v>13930</v>
      </c>
      <c r="E419" s="210" t="s">
        <v>6305</v>
      </c>
    </row>
    <row r="420" spans="1:5" ht="27">
      <c r="A420" s="258">
        <v>95708</v>
      </c>
      <c r="B420" s="257" t="s">
        <v>601</v>
      </c>
      <c r="C420" s="257" t="s">
        <v>178</v>
      </c>
      <c r="D420" s="259" t="s">
        <v>13931</v>
      </c>
      <c r="E420" s="210" t="s">
        <v>6305</v>
      </c>
    </row>
    <row r="421" spans="1:5" ht="27">
      <c r="A421" s="258">
        <v>95714</v>
      </c>
      <c r="B421" s="257" t="s">
        <v>602</v>
      </c>
      <c r="C421" s="257" t="s">
        <v>178</v>
      </c>
      <c r="D421" s="259" t="s">
        <v>13932</v>
      </c>
      <c r="E421" s="210" t="s">
        <v>6305</v>
      </c>
    </row>
    <row r="422" spans="1:5" ht="40.5">
      <c r="A422" s="258">
        <v>95720</v>
      </c>
      <c r="B422" s="257" t="s">
        <v>603</v>
      </c>
      <c r="C422" s="257" t="s">
        <v>178</v>
      </c>
      <c r="D422" s="259" t="s">
        <v>13933</v>
      </c>
      <c r="E422" s="210" t="s">
        <v>6305</v>
      </c>
    </row>
    <row r="423" spans="1:5" ht="27">
      <c r="A423" s="258">
        <v>95872</v>
      </c>
      <c r="B423" s="257" t="s">
        <v>604</v>
      </c>
      <c r="C423" s="257" t="s">
        <v>178</v>
      </c>
      <c r="D423" s="259" t="s">
        <v>13934</v>
      </c>
      <c r="E423" s="210" t="s">
        <v>6305</v>
      </c>
    </row>
    <row r="424" spans="1:5" ht="27">
      <c r="A424" s="258">
        <v>96013</v>
      </c>
      <c r="B424" s="257" t="s">
        <v>605</v>
      </c>
      <c r="C424" s="257" t="s">
        <v>178</v>
      </c>
      <c r="D424" s="259" t="s">
        <v>13935</v>
      </c>
      <c r="E424" s="210" t="s">
        <v>6305</v>
      </c>
    </row>
    <row r="425" spans="1:5" ht="27">
      <c r="A425" s="258">
        <v>96020</v>
      </c>
      <c r="B425" s="257" t="s">
        <v>606</v>
      </c>
      <c r="C425" s="257" t="s">
        <v>178</v>
      </c>
      <c r="D425" s="259" t="s">
        <v>13936</v>
      </c>
      <c r="E425" s="210" t="s">
        <v>6305</v>
      </c>
    </row>
    <row r="426" spans="1:5" ht="27">
      <c r="A426" s="258">
        <v>96028</v>
      </c>
      <c r="B426" s="257" t="s">
        <v>607</v>
      </c>
      <c r="C426" s="257" t="s">
        <v>178</v>
      </c>
      <c r="D426" s="259" t="s">
        <v>13937</v>
      </c>
      <c r="E426" s="210" t="s">
        <v>6305</v>
      </c>
    </row>
    <row r="427" spans="1:5" ht="27">
      <c r="A427" s="258">
        <v>96035</v>
      </c>
      <c r="B427" s="257" t="s">
        <v>608</v>
      </c>
      <c r="C427" s="257" t="s">
        <v>178</v>
      </c>
      <c r="D427" s="259" t="s">
        <v>13938</v>
      </c>
      <c r="E427" s="210" t="s">
        <v>6305</v>
      </c>
    </row>
    <row r="428" spans="1:5" ht="27">
      <c r="A428" s="258">
        <v>96157</v>
      </c>
      <c r="B428" s="257" t="s">
        <v>609</v>
      </c>
      <c r="C428" s="257" t="s">
        <v>178</v>
      </c>
      <c r="D428" s="259" t="s">
        <v>13939</v>
      </c>
      <c r="E428" s="210" t="s">
        <v>6305</v>
      </c>
    </row>
    <row r="429" spans="1:5" ht="27">
      <c r="A429" s="258">
        <v>96158</v>
      </c>
      <c r="B429" s="257" t="s">
        <v>610</v>
      </c>
      <c r="C429" s="257" t="s">
        <v>178</v>
      </c>
      <c r="D429" s="259" t="s">
        <v>13940</v>
      </c>
      <c r="E429" s="210" t="s">
        <v>6305</v>
      </c>
    </row>
    <row r="430" spans="1:5" ht="27">
      <c r="A430" s="258">
        <v>96245</v>
      </c>
      <c r="B430" s="257" t="s">
        <v>611</v>
      </c>
      <c r="C430" s="257" t="s">
        <v>178</v>
      </c>
      <c r="D430" s="259" t="s">
        <v>13941</v>
      </c>
      <c r="E430" s="210" t="s">
        <v>6305</v>
      </c>
    </row>
    <row r="431" spans="1:5" ht="27">
      <c r="A431" s="258">
        <v>96303</v>
      </c>
      <c r="B431" s="257" t="s">
        <v>612</v>
      </c>
      <c r="C431" s="257" t="s">
        <v>178</v>
      </c>
      <c r="D431" s="259" t="s">
        <v>13942</v>
      </c>
      <c r="E431" s="210" t="s">
        <v>6305</v>
      </c>
    </row>
    <row r="432" spans="1:5" ht="27">
      <c r="A432" s="258">
        <v>96309</v>
      </c>
      <c r="B432" s="257" t="s">
        <v>613</v>
      </c>
      <c r="C432" s="257" t="s">
        <v>178</v>
      </c>
      <c r="D432" s="259" t="s">
        <v>13943</v>
      </c>
      <c r="E432" s="210" t="s">
        <v>6305</v>
      </c>
    </row>
    <row r="433" spans="1:5" ht="27">
      <c r="A433" s="258">
        <v>96463</v>
      </c>
      <c r="B433" s="257" t="s">
        <v>614</v>
      </c>
      <c r="C433" s="257" t="s">
        <v>178</v>
      </c>
      <c r="D433" s="259" t="s">
        <v>13944</v>
      </c>
      <c r="E433" s="210" t="s">
        <v>6305</v>
      </c>
    </row>
    <row r="434" spans="1:5" ht="27">
      <c r="A434" s="258">
        <v>98764</v>
      </c>
      <c r="B434" s="257" t="s">
        <v>5131</v>
      </c>
      <c r="C434" s="257" t="s">
        <v>178</v>
      </c>
      <c r="D434" s="259" t="s">
        <v>13945</v>
      </c>
      <c r="E434" s="210" t="s">
        <v>6305</v>
      </c>
    </row>
    <row r="435" spans="1:5" ht="27">
      <c r="A435" s="258">
        <v>99833</v>
      </c>
      <c r="B435" s="257" t="s">
        <v>5132</v>
      </c>
      <c r="C435" s="257" t="s">
        <v>178</v>
      </c>
      <c r="D435" s="259" t="s">
        <v>13946</v>
      </c>
      <c r="E435" s="210" t="s">
        <v>6305</v>
      </c>
    </row>
    <row r="436" spans="1:5" ht="27">
      <c r="A436" s="258">
        <v>100641</v>
      </c>
      <c r="B436" s="257" t="s">
        <v>6897</v>
      </c>
      <c r="C436" s="257" t="s">
        <v>178</v>
      </c>
      <c r="D436" s="259" t="s">
        <v>13947</v>
      </c>
      <c r="E436" s="210" t="s">
        <v>6305</v>
      </c>
    </row>
    <row r="437" spans="1:5" ht="13.5">
      <c r="A437" s="258">
        <v>100647</v>
      </c>
      <c r="B437" s="257" t="s">
        <v>6898</v>
      </c>
      <c r="C437" s="257" t="s">
        <v>178</v>
      </c>
      <c r="D437" s="259" t="s">
        <v>13948</v>
      </c>
      <c r="E437" s="210" t="s">
        <v>6305</v>
      </c>
    </row>
    <row r="438" spans="1:5" ht="27">
      <c r="A438" s="258">
        <v>5632</v>
      </c>
      <c r="B438" s="257" t="s">
        <v>615</v>
      </c>
      <c r="C438" s="257" t="s">
        <v>181</v>
      </c>
      <c r="D438" s="259" t="s">
        <v>13949</v>
      </c>
      <c r="E438" s="210" t="s">
        <v>6305</v>
      </c>
    </row>
    <row r="439" spans="1:5" ht="40.5">
      <c r="A439" s="258">
        <v>5679</v>
      </c>
      <c r="B439" s="257" t="s">
        <v>616</v>
      </c>
      <c r="C439" s="257" t="s">
        <v>181</v>
      </c>
      <c r="D439" s="259" t="s">
        <v>13950</v>
      </c>
      <c r="E439" s="210" t="s">
        <v>6305</v>
      </c>
    </row>
    <row r="440" spans="1:5" ht="40.5">
      <c r="A440" s="258">
        <v>5681</v>
      </c>
      <c r="B440" s="257" t="s">
        <v>617</v>
      </c>
      <c r="C440" s="257" t="s">
        <v>181</v>
      </c>
      <c r="D440" s="259" t="s">
        <v>13951</v>
      </c>
      <c r="E440" s="210" t="s">
        <v>6305</v>
      </c>
    </row>
    <row r="441" spans="1:5" ht="27">
      <c r="A441" s="258">
        <v>5685</v>
      </c>
      <c r="B441" s="257" t="s">
        <v>618</v>
      </c>
      <c r="C441" s="257" t="s">
        <v>181</v>
      </c>
      <c r="D441" s="259" t="s">
        <v>13952</v>
      </c>
      <c r="E441" s="210" t="s">
        <v>6305</v>
      </c>
    </row>
    <row r="442" spans="1:5" ht="27">
      <c r="A442" s="258">
        <v>5690</v>
      </c>
      <c r="B442" s="257" t="s">
        <v>619</v>
      </c>
      <c r="C442" s="257" t="s">
        <v>181</v>
      </c>
      <c r="D442" s="259" t="s">
        <v>13953</v>
      </c>
      <c r="E442" s="210" t="s">
        <v>6305</v>
      </c>
    </row>
    <row r="443" spans="1:5" ht="27">
      <c r="A443" s="258">
        <v>5806</v>
      </c>
      <c r="B443" s="257" t="s">
        <v>620</v>
      </c>
      <c r="C443" s="257" t="s">
        <v>181</v>
      </c>
      <c r="D443" s="259" t="s">
        <v>13954</v>
      </c>
      <c r="E443" s="210" t="s">
        <v>6305</v>
      </c>
    </row>
    <row r="444" spans="1:5" ht="40.5">
      <c r="A444" s="258">
        <v>5826</v>
      </c>
      <c r="B444" s="257" t="s">
        <v>621</v>
      </c>
      <c r="C444" s="257" t="s">
        <v>181</v>
      </c>
      <c r="D444" s="259" t="s">
        <v>13955</v>
      </c>
      <c r="E444" s="210" t="s">
        <v>6305</v>
      </c>
    </row>
    <row r="445" spans="1:5" ht="27">
      <c r="A445" s="258">
        <v>5829</v>
      </c>
      <c r="B445" s="257" t="s">
        <v>622</v>
      </c>
      <c r="C445" s="257" t="s">
        <v>181</v>
      </c>
      <c r="D445" s="259" t="s">
        <v>13956</v>
      </c>
      <c r="E445" s="210" t="s">
        <v>6305</v>
      </c>
    </row>
    <row r="446" spans="1:5" ht="27">
      <c r="A446" s="258">
        <v>5837</v>
      </c>
      <c r="B446" s="257" t="s">
        <v>623</v>
      </c>
      <c r="C446" s="257" t="s">
        <v>181</v>
      </c>
      <c r="D446" s="259" t="s">
        <v>13957</v>
      </c>
      <c r="E446" s="210" t="s">
        <v>6305</v>
      </c>
    </row>
    <row r="447" spans="1:5" ht="27">
      <c r="A447" s="258">
        <v>5841</v>
      </c>
      <c r="B447" s="257" t="s">
        <v>624</v>
      </c>
      <c r="C447" s="257" t="s">
        <v>181</v>
      </c>
      <c r="D447" s="259" t="s">
        <v>13958</v>
      </c>
      <c r="E447" s="210" t="s">
        <v>6305</v>
      </c>
    </row>
    <row r="448" spans="1:5" ht="27">
      <c r="A448" s="258">
        <v>5845</v>
      </c>
      <c r="B448" s="257" t="s">
        <v>625</v>
      </c>
      <c r="C448" s="257" t="s">
        <v>181</v>
      </c>
      <c r="D448" s="259" t="s">
        <v>13959</v>
      </c>
      <c r="E448" s="210" t="s">
        <v>6305</v>
      </c>
    </row>
    <row r="449" spans="1:5" ht="27">
      <c r="A449" s="258">
        <v>5849</v>
      </c>
      <c r="B449" s="257" t="s">
        <v>626</v>
      </c>
      <c r="C449" s="257" t="s">
        <v>181</v>
      </c>
      <c r="D449" s="259" t="s">
        <v>13960</v>
      </c>
      <c r="E449" s="210" t="s">
        <v>6305</v>
      </c>
    </row>
    <row r="450" spans="1:5" ht="27">
      <c r="A450" s="258">
        <v>5853</v>
      </c>
      <c r="B450" s="257" t="s">
        <v>627</v>
      </c>
      <c r="C450" s="257" t="s">
        <v>181</v>
      </c>
      <c r="D450" s="259" t="s">
        <v>13961</v>
      </c>
      <c r="E450" s="210" t="s">
        <v>6305</v>
      </c>
    </row>
    <row r="451" spans="1:5" ht="27">
      <c r="A451" s="258">
        <v>5857</v>
      </c>
      <c r="B451" s="257" t="s">
        <v>628</v>
      </c>
      <c r="C451" s="257" t="s">
        <v>181</v>
      </c>
      <c r="D451" s="259" t="s">
        <v>13962</v>
      </c>
      <c r="E451" s="210" t="s">
        <v>6305</v>
      </c>
    </row>
    <row r="452" spans="1:5" ht="27">
      <c r="A452" s="258">
        <v>5865</v>
      </c>
      <c r="B452" s="257" t="s">
        <v>629</v>
      </c>
      <c r="C452" s="257" t="s">
        <v>181</v>
      </c>
      <c r="D452" s="259" t="s">
        <v>13963</v>
      </c>
      <c r="E452" s="210" t="s">
        <v>6305</v>
      </c>
    </row>
    <row r="453" spans="1:5" ht="27">
      <c r="A453" s="258">
        <v>5869</v>
      </c>
      <c r="B453" s="257" t="s">
        <v>630</v>
      </c>
      <c r="C453" s="257" t="s">
        <v>181</v>
      </c>
      <c r="D453" s="259" t="s">
        <v>13964</v>
      </c>
      <c r="E453" s="210" t="s">
        <v>6305</v>
      </c>
    </row>
    <row r="454" spans="1:5" ht="40.5">
      <c r="A454" s="258">
        <v>5877</v>
      </c>
      <c r="B454" s="257" t="s">
        <v>631</v>
      </c>
      <c r="C454" s="257" t="s">
        <v>181</v>
      </c>
      <c r="D454" s="259" t="s">
        <v>13965</v>
      </c>
      <c r="E454" s="210" t="s">
        <v>6305</v>
      </c>
    </row>
    <row r="455" spans="1:5" ht="27">
      <c r="A455" s="258">
        <v>5881</v>
      </c>
      <c r="B455" s="257" t="s">
        <v>632</v>
      </c>
      <c r="C455" s="257" t="s">
        <v>181</v>
      </c>
      <c r="D455" s="259" t="s">
        <v>13966</v>
      </c>
      <c r="E455" s="210" t="s">
        <v>6305</v>
      </c>
    </row>
    <row r="456" spans="1:5" ht="40.5">
      <c r="A456" s="258">
        <v>5884</v>
      </c>
      <c r="B456" s="257" t="s">
        <v>633</v>
      </c>
      <c r="C456" s="257" t="s">
        <v>181</v>
      </c>
      <c r="D456" s="259" t="s">
        <v>13967</v>
      </c>
      <c r="E456" s="210" t="s">
        <v>6305</v>
      </c>
    </row>
    <row r="457" spans="1:5" ht="27">
      <c r="A457" s="258">
        <v>5892</v>
      </c>
      <c r="B457" s="257" t="s">
        <v>634</v>
      </c>
      <c r="C457" s="257" t="s">
        <v>181</v>
      </c>
      <c r="D457" s="259" t="s">
        <v>13968</v>
      </c>
      <c r="E457" s="210" t="s">
        <v>6305</v>
      </c>
    </row>
    <row r="458" spans="1:5" ht="27">
      <c r="A458" s="258">
        <v>5896</v>
      </c>
      <c r="B458" s="257" t="s">
        <v>635</v>
      </c>
      <c r="C458" s="257" t="s">
        <v>181</v>
      </c>
      <c r="D458" s="259" t="s">
        <v>13969</v>
      </c>
      <c r="E458" s="210" t="s">
        <v>6305</v>
      </c>
    </row>
    <row r="459" spans="1:5" ht="40.5">
      <c r="A459" s="258">
        <v>5903</v>
      </c>
      <c r="B459" s="257" t="s">
        <v>636</v>
      </c>
      <c r="C459" s="257" t="s">
        <v>181</v>
      </c>
      <c r="D459" s="259" t="s">
        <v>13970</v>
      </c>
      <c r="E459" s="210" t="s">
        <v>6305</v>
      </c>
    </row>
    <row r="460" spans="1:5" ht="27">
      <c r="A460" s="258">
        <v>5911</v>
      </c>
      <c r="B460" s="257" t="s">
        <v>637</v>
      </c>
      <c r="C460" s="257" t="s">
        <v>181</v>
      </c>
      <c r="D460" s="259" t="s">
        <v>13971</v>
      </c>
      <c r="E460" s="210" t="s">
        <v>6305</v>
      </c>
    </row>
    <row r="461" spans="1:5" ht="27">
      <c r="A461" s="258">
        <v>5923</v>
      </c>
      <c r="B461" s="257" t="s">
        <v>638</v>
      </c>
      <c r="C461" s="257" t="s">
        <v>181</v>
      </c>
      <c r="D461" s="259" t="s">
        <v>13664</v>
      </c>
      <c r="E461" s="210" t="s">
        <v>6305</v>
      </c>
    </row>
    <row r="462" spans="1:5" ht="40.5">
      <c r="A462" s="258">
        <v>5930</v>
      </c>
      <c r="B462" s="257" t="s">
        <v>639</v>
      </c>
      <c r="C462" s="257" t="s">
        <v>181</v>
      </c>
      <c r="D462" s="259" t="s">
        <v>13972</v>
      </c>
      <c r="E462" s="210" t="s">
        <v>6305</v>
      </c>
    </row>
    <row r="463" spans="1:5" ht="27">
      <c r="A463" s="258">
        <v>5934</v>
      </c>
      <c r="B463" s="257" t="s">
        <v>640</v>
      </c>
      <c r="C463" s="257" t="s">
        <v>181</v>
      </c>
      <c r="D463" s="259" t="s">
        <v>13973</v>
      </c>
      <c r="E463" s="210" t="s">
        <v>6305</v>
      </c>
    </row>
    <row r="464" spans="1:5" ht="27">
      <c r="A464" s="258">
        <v>5942</v>
      </c>
      <c r="B464" s="257" t="s">
        <v>641</v>
      </c>
      <c r="C464" s="257" t="s">
        <v>181</v>
      </c>
      <c r="D464" s="259" t="s">
        <v>13974</v>
      </c>
      <c r="E464" s="210" t="s">
        <v>6305</v>
      </c>
    </row>
    <row r="465" spans="1:5" ht="27">
      <c r="A465" s="258">
        <v>5946</v>
      </c>
      <c r="B465" s="257" t="s">
        <v>642</v>
      </c>
      <c r="C465" s="257" t="s">
        <v>181</v>
      </c>
      <c r="D465" s="259" t="s">
        <v>13975</v>
      </c>
      <c r="E465" s="210" t="s">
        <v>6305</v>
      </c>
    </row>
    <row r="466" spans="1:5" ht="13.5">
      <c r="A466" s="258">
        <v>5952</v>
      </c>
      <c r="B466" s="257" t="s">
        <v>643</v>
      </c>
      <c r="C466" s="257" t="s">
        <v>181</v>
      </c>
      <c r="D466" s="259" t="s">
        <v>13976</v>
      </c>
      <c r="E466" s="210" t="s">
        <v>6305</v>
      </c>
    </row>
    <row r="467" spans="1:5" ht="27">
      <c r="A467" s="258">
        <v>5954</v>
      </c>
      <c r="B467" s="257" t="s">
        <v>644</v>
      </c>
      <c r="C467" s="257" t="s">
        <v>181</v>
      </c>
      <c r="D467" s="259" t="s">
        <v>13977</v>
      </c>
      <c r="E467" s="210" t="s">
        <v>6305</v>
      </c>
    </row>
    <row r="468" spans="1:5" ht="27">
      <c r="A468" s="258">
        <v>5961</v>
      </c>
      <c r="B468" s="257" t="s">
        <v>645</v>
      </c>
      <c r="C468" s="257" t="s">
        <v>181</v>
      </c>
      <c r="D468" s="259" t="s">
        <v>13978</v>
      </c>
      <c r="E468" s="210" t="s">
        <v>6305</v>
      </c>
    </row>
    <row r="469" spans="1:5" ht="27">
      <c r="A469" s="258">
        <v>6260</v>
      </c>
      <c r="B469" s="257" t="s">
        <v>646</v>
      </c>
      <c r="C469" s="257" t="s">
        <v>181</v>
      </c>
      <c r="D469" s="259" t="s">
        <v>13979</v>
      </c>
      <c r="E469" s="210" t="s">
        <v>6305</v>
      </c>
    </row>
    <row r="470" spans="1:5" ht="27">
      <c r="A470" s="258">
        <v>6880</v>
      </c>
      <c r="B470" s="257" t="s">
        <v>647</v>
      </c>
      <c r="C470" s="257" t="s">
        <v>181</v>
      </c>
      <c r="D470" s="259" t="s">
        <v>13980</v>
      </c>
      <c r="E470" s="210" t="s">
        <v>6305</v>
      </c>
    </row>
    <row r="471" spans="1:5" ht="13.5">
      <c r="A471" s="258">
        <v>7031</v>
      </c>
      <c r="B471" s="257" t="s">
        <v>648</v>
      </c>
      <c r="C471" s="257" t="s">
        <v>181</v>
      </c>
      <c r="D471" s="259" t="s">
        <v>13981</v>
      </c>
      <c r="E471" s="210" t="s">
        <v>6305</v>
      </c>
    </row>
    <row r="472" spans="1:5" ht="40.5">
      <c r="A472" s="258">
        <v>7043</v>
      </c>
      <c r="B472" s="257" t="s">
        <v>649</v>
      </c>
      <c r="C472" s="257" t="s">
        <v>181</v>
      </c>
      <c r="D472" s="259" t="s">
        <v>13982</v>
      </c>
      <c r="E472" s="210" t="s">
        <v>6305</v>
      </c>
    </row>
    <row r="473" spans="1:5" ht="40.5">
      <c r="A473" s="258">
        <v>7050</v>
      </c>
      <c r="B473" s="257" t="s">
        <v>650</v>
      </c>
      <c r="C473" s="257" t="s">
        <v>181</v>
      </c>
      <c r="D473" s="259" t="s">
        <v>13983</v>
      </c>
      <c r="E473" s="210" t="s">
        <v>6305</v>
      </c>
    </row>
    <row r="474" spans="1:5" ht="40.5">
      <c r="A474" s="258">
        <v>67827</v>
      </c>
      <c r="B474" s="257" t="s">
        <v>651</v>
      </c>
      <c r="C474" s="257" t="s">
        <v>181</v>
      </c>
      <c r="D474" s="259" t="s">
        <v>13984</v>
      </c>
      <c r="E474" s="210" t="s">
        <v>6305</v>
      </c>
    </row>
    <row r="475" spans="1:5" ht="13.5">
      <c r="A475" s="258">
        <v>73395</v>
      </c>
      <c r="B475" s="257" t="s">
        <v>652</v>
      </c>
      <c r="C475" s="257" t="s">
        <v>181</v>
      </c>
      <c r="D475" s="259" t="s">
        <v>13985</v>
      </c>
      <c r="E475" s="210" t="s">
        <v>6305</v>
      </c>
    </row>
    <row r="476" spans="1:5" ht="27">
      <c r="A476" s="258">
        <v>83766</v>
      </c>
      <c r="B476" s="257" t="s">
        <v>653</v>
      </c>
      <c r="C476" s="257" t="s">
        <v>181</v>
      </c>
      <c r="D476" s="259" t="s">
        <v>13697</v>
      </c>
      <c r="E476" s="210" t="s">
        <v>6305</v>
      </c>
    </row>
    <row r="477" spans="1:5" ht="27">
      <c r="A477" s="258">
        <v>84013</v>
      </c>
      <c r="B477" s="257" t="s">
        <v>654</v>
      </c>
      <c r="C477" s="257" t="s">
        <v>181</v>
      </c>
      <c r="D477" s="259" t="s">
        <v>13986</v>
      </c>
      <c r="E477" s="210" t="s">
        <v>6305</v>
      </c>
    </row>
    <row r="478" spans="1:5" ht="27">
      <c r="A478" s="258">
        <v>87446</v>
      </c>
      <c r="B478" s="257" t="s">
        <v>655</v>
      </c>
      <c r="C478" s="257" t="s">
        <v>181</v>
      </c>
      <c r="D478" s="259" t="s">
        <v>13987</v>
      </c>
      <c r="E478" s="210" t="s">
        <v>6305</v>
      </c>
    </row>
    <row r="479" spans="1:5" ht="27">
      <c r="A479" s="258">
        <v>88392</v>
      </c>
      <c r="B479" s="257" t="s">
        <v>656</v>
      </c>
      <c r="C479" s="257" t="s">
        <v>181</v>
      </c>
      <c r="D479" s="259" t="s">
        <v>13988</v>
      </c>
      <c r="E479" s="210" t="s">
        <v>6305</v>
      </c>
    </row>
    <row r="480" spans="1:5" ht="27">
      <c r="A480" s="258">
        <v>88398</v>
      </c>
      <c r="B480" s="257" t="s">
        <v>657</v>
      </c>
      <c r="C480" s="257" t="s">
        <v>181</v>
      </c>
      <c r="D480" s="259" t="s">
        <v>13653</v>
      </c>
      <c r="E480" s="210" t="s">
        <v>6305</v>
      </c>
    </row>
    <row r="481" spans="1:5" ht="27">
      <c r="A481" s="258">
        <v>88404</v>
      </c>
      <c r="B481" s="257" t="s">
        <v>658</v>
      </c>
      <c r="C481" s="257" t="s">
        <v>181</v>
      </c>
      <c r="D481" s="259" t="s">
        <v>13989</v>
      </c>
      <c r="E481" s="210" t="s">
        <v>6305</v>
      </c>
    </row>
    <row r="482" spans="1:5" ht="27">
      <c r="A482" s="258">
        <v>88430</v>
      </c>
      <c r="B482" s="257" t="s">
        <v>659</v>
      </c>
      <c r="C482" s="257" t="s">
        <v>181</v>
      </c>
      <c r="D482" s="259" t="s">
        <v>13990</v>
      </c>
      <c r="E482" s="210" t="s">
        <v>6305</v>
      </c>
    </row>
    <row r="483" spans="1:5" ht="27">
      <c r="A483" s="258">
        <v>88438</v>
      </c>
      <c r="B483" s="257" t="s">
        <v>660</v>
      </c>
      <c r="C483" s="257" t="s">
        <v>181</v>
      </c>
      <c r="D483" s="259" t="s">
        <v>13991</v>
      </c>
      <c r="E483" s="210" t="s">
        <v>6305</v>
      </c>
    </row>
    <row r="484" spans="1:5" ht="27">
      <c r="A484" s="258">
        <v>88831</v>
      </c>
      <c r="B484" s="257" t="s">
        <v>661</v>
      </c>
      <c r="C484" s="257" t="s">
        <v>181</v>
      </c>
      <c r="D484" s="259" t="s">
        <v>13992</v>
      </c>
      <c r="E484" s="210" t="s">
        <v>6305</v>
      </c>
    </row>
    <row r="485" spans="1:5" ht="27">
      <c r="A485" s="258">
        <v>88844</v>
      </c>
      <c r="B485" s="257" t="s">
        <v>662</v>
      </c>
      <c r="C485" s="257" t="s">
        <v>181</v>
      </c>
      <c r="D485" s="259" t="s">
        <v>13993</v>
      </c>
      <c r="E485" s="210" t="s">
        <v>6305</v>
      </c>
    </row>
    <row r="486" spans="1:5" ht="27">
      <c r="A486" s="258">
        <v>88908</v>
      </c>
      <c r="B486" s="257" t="s">
        <v>663</v>
      </c>
      <c r="C486" s="257" t="s">
        <v>181</v>
      </c>
      <c r="D486" s="259" t="s">
        <v>13994</v>
      </c>
      <c r="E486" s="210" t="s">
        <v>6305</v>
      </c>
    </row>
    <row r="487" spans="1:5" ht="27">
      <c r="A487" s="258">
        <v>89022</v>
      </c>
      <c r="B487" s="257" t="s">
        <v>664</v>
      </c>
      <c r="C487" s="257" t="s">
        <v>181</v>
      </c>
      <c r="D487" s="259" t="s">
        <v>13995</v>
      </c>
      <c r="E487" s="210" t="s">
        <v>6305</v>
      </c>
    </row>
    <row r="488" spans="1:5" ht="13.5">
      <c r="A488" s="258">
        <v>89027</v>
      </c>
      <c r="B488" s="257" t="s">
        <v>665</v>
      </c>
      <c r="C488" s="257" t="s">
        <v>181</v>
      </c>
      <c r="D488" s="259" t="s">
        <v>13996</v>
      </c>
      <c r="E488" s="210" t="s">
        <v>6305</v>
      </c>
    </row>
    <row r="489" spans="1:5" ht="27">
      <c r="A489" s="258">
        <v>89031</v>
      </c>
      <c r="B489" s="257" t="s">
        <v>666</v>
      </c>
      <c r="C489" s="257" t="s">
        <v>181</v>
      </c>
      <c r="D489" s="259" t="s">
        <v>13997</v>
      </c>
      <c r="E489" s="210" t="s">
        <v>6305</v>
      </c>
    </row>
    <row r="490" spans="1:5" ht="27">
      <c r="A490" s="258">
        <v>89036</v>
      </c>
      <c r="B490" s="257" t="s">
        <v>667</v>
      </c>
      <c r="C490" s="257" t="s">
        <v>181</v>
      </c>
      <c r="D490" s="259" t="s">
        <v>13998</v>
      </c>
      <c r="E490" s="210" t="s">
        <v>6305</v>
      </c>
    </row>
    <row r="491" spans="1:5" ht="27">
      <c r="A491" s="258">
        <v>89218</v>
      </c>
      <c r="B491" s="257" t="s">
        <v>668</v>
      </c>
      <c r="C491" s="257" t="s">
        <v>181</v>
      </c>
      <c r="D491" s="259" t="s">
        <v>13999</v>
      </c>
      <c r="E491" s="210" t="s">
        <v>6305</v>
      </c>
    </row>
    <row r="492" spans="1:5" ht="27">
      <c r="A492" s="258">
        <v>89226</v>
      </c>
      <c r="B492" s="257" t="s">
        <v>669</v>
      </c>
      <c r="C492" s="257" t="s">
        <v>181</v>
      </c>
      <c r="D492" s="259" t="s">
        <v>14000</v>
      </c>
      <c r="E492" s="210" t="s">
        <v>6305</v>
      </c>
    </row>
    <row r="493" spans="1:5" ht="27">
      <c r="A493" s="258">
        <v>89235</v>
      </c>
      <c r="B493" s="257" t="s">
        <v>670</v>
      </c>
      <c r="C493" s="257" t="s">
        <v>181</v>
      </c>
      <c r="D493" s="259" t="s">
        <v>14001</v>
      </c>
      <c r="E493" s="210" t="s">
        <v>6305</v>
      </c>
    </row>
    <row r="494" spans="1:5" ht="27">
      <c r="A494" s="258">
        <v>89243</v>
      </c>
      <c r="B494" s="257" t="s">
        <v>671</v>
      </c>
      <c r="C494" s="257" t="s">
        <v>181</v>
      </c>
      <c r="D494" s="259" t="s">
        <v>14002</v>
      </c>
      <c r="E494" s="210" t="s">
        <v>6305</v>
      </c>
    </row>
    <row r="495" spans="1:5" ht="27">
      <c r="A495" s="258">
        <v>89251</v>
      </c>
      <c r="B495" s="257" t="s">
        <v>672</v>
      </c>
      <c r="C495" s="257" t="s">
        <v>181</v>
      </c>
      <c r="D495" s="259" t="s">
        <v>14003</v>
      </c>
      <c r="E495" s="210" t="s">
        <v>6305</v>
      </c>
    </row>
    <row r="496" spans="1:5" ht="27">
      <c r="A496" s="258">
        <v>89258</v>
      </c>
      <c r="B496" s="257" t="s">
        <v>673</v>
      </c>
      <c r="C496" s="257" t="s">
        <v>181</v>
      </c>
      <c r="D496" s="259" t="s">
        <v>14004</v>
      </c>
      <c r="E496" s="210" t="s">
        <v>6305</v>
      </c>
    </row>
    <row r="497" spans="1:5" ht="27">
      <c r="A497" s="258">
        <v>89273</v>
      </c>
      <c r="B497" s="257" t="s">
        <v>674</v>
      </c>
      <c r="C497" s="257" t="s">
        <v>181</v>
      </c>
      <c r="D497" s="259" t="s">
        <v>14005</v>
      </c>
      <c r="E497" s="210" t="s">
        <v>6305</v>
      </c>
    </row>
    <row r="498" spans="1:5" ht="27">
      <c r="A498" s="258">
        <v>89279</v>
      </c>
      <c r="B498" s="257" t="s">
        <v>675</v>
      </c>
      <c r="C498" s="257" t="s">
        <v>181</v>
      </c>
      <c r="D498" s="259" t="s">
        <v>14006</v>
      </c>
      <c r="E498" s="210" t="s">
        <v>6305</v>
      </c>
    </row>
    <row r="499" spans="1:5" ht="40.5">
      <c r="A499" s="258">
        <v>89877</v>
      </c>
      <c r="B499" s="257" t="s">
        <v>676</v>
      </c>
      <c r="C499" s="257" t="s">
        <v>181</v>
      </c>
      <c r="D499" s="259" t="s">
        <v>14007</v>
      </c>
      <c r="E499" s="210" t="s">
        <v>6305</v>
      </c>
    </row>
    <row r="500" spans="1:5" ht="40.5">
      <c r="A500" s="258">
        <v>89884</v>
      </c>
      <c r="B500" s="257" t="s">
        <v>677</v>
      </c>
      <c r="C500" s="257" t="s">
        <v>181</v>
      </c>
      <c r="D500" s="259" t="s">
        <v>13589</v>
      </c>
      <c r="E500" s="210" t="s">
        <v>6305</v>
      </c>
    </row>
    <row r="501" spans="1:5" ht="27">
      <c r="A501" s="258">
        <v>90587</v>
      </c>
      <c r="B501" s="257" t="s">
        <v>678</v>
      </c>
      <c r="C501" s="257" t="s">
        <v>181</v>
      </c>
      <c r="D501" s="259" t="s">
        <v>14008</v>
      </c>
      <c r="E501" s="210" t="s">
        <v>6305</v>
      </c>
    </row>
    <row r="502" spans="1:5" ht="27">
      <c r="A502" s="258">
        <v>90626</v>
      </c>
      <c r="B502" s="257" t="s">
        <v>679</v>
      </c>
      <c r="C502" s="257" t="s">
        <v>181</v>
      </c>
      <c r="D502" s="259" t="s">
        <v>14009</v>
      </c>
      <c r="E502" s="210" t="s">
        <v>6305</v>
      </c>
    </row>
    <row r="503" spans="1:5" ht="27">
      <c r="A503" s="258">
        <v>90632</v>
      </c>
      <c r="B503" s="257" t="s">
        <v>680</v>
      </c>
      <c r="C503" s="257" t="s">
        <v>181</v>
      </c>
      <c r="D503" s="259" t="s">
        <v>14010</v>
      </c>
      <c r="E503" s="210" t="s">
        <v>6305</v>
      </c>
    </row>
    <row r="504" spans="1:5" ht="27">
      <c r="A504" s="258">
        <v>90638</v>
      </c>
      <c r="B504" s="257" t="s">
        <v>681</v>
      </c>
      <c r="C504" s="257" t="s">
        <v>181</v>
      </c>
      <c r="D504" s="259" t="s">
        <v>14011</v>
      </c>
      <c r="E504" s="210" t="s">
        <v>6305</v>
      </c>
    </row>
    <row r="505" spans="1:5" ht="27">
      <c r="A505" s="258">
        <v>90644</v>
      </c>
      <c r="B505" s="257" t="s">
        <v>682</v>
      </c>
      <c r="C505" s="257" t="s">
        <v>181</v>
      </c>
      <c r="D505" s="259" t="s">
        <v>14012</v>
      </c>
      <c r="E505" s="210" t="s">
        <v>6305</v>
      </c>
    </row>
    <row r="506" spans="1:5" ht="27">
      <c r="A506" s="258">
        <v>90651</v>
      </c>
      <c r="B506" s="257" t="s">
        <v>683</v>
      </c>
      <c r="C506" s="257" t="s">
        <v>181</v>
      </c>
      <c r="D506" s="259" t="s">
        <v>14013</v>
      </c>
      <c r="E506" s="210" t="s">
        <v>6305</v>
      </c>
    </row>
    <row r="507" spans="1:5" ht="13.5">
      <c r="A507" s="258">
        <v>90657</v>
      </c>
      <c r="B507" s="257" t="s">
        <v>684</v>
      </c>
      <c r="C507" s="257" t="s">
        <v>181</v>
      </c>
      <c r="D507" s="259" t="s">
        <v>14014</v>
      </c>
      <c r="E507" s="210" t="s">
        <v>6305</v>
      </c>
    </row>
    <row r="508" spans="1:5" ht="13.5">
      <c r="A508" s="258">
        <v>90663</v>
      </c>
      <c r="B508" s="257" t="s">
        <v>685</v>
      </c>
      <c r="C508" s="257" t="s">
        <v>181</v>
      </c>
      <c r="D508" s="259" t="s">
        <v>13860</v>
      </c>
      <c r="E508" s="210" t="s">
        <v>6305</v>
      </c>
    </row>
    <row r="509" spans="1:5" ht="40.5">
      <c r="A509" s="258">
        <v>90669</v>
      </c>
      <c r="B509" s="257" t="s">
        <v>686</v>
      </c>
      <c r="C509" s="257" t="s">
        <v>181</v>
      </c>
      <c r="D509" s="259" t="s">
        <v>14015</v>
      </c>
      <c r="E509" s="210" t="s">
        <v>6305</v>
      </c>
    </row>
    <row r="510" spans="1:5" ht="40.5">
      <c r="A510" s="258">
        <v>90675</v>
      </c>
      <c r="B510" s="257" t="s">
        <v>687</v>
      </c>
      <c r="C510" s="257" t="s">
        <v>181</v>
      </c>
      <c r="D510" s="259" t="s">
        <v>14016</v>
      </c>
      <c r="E510" s="210" t="s">
        <v>6305</v>
      </c>
    </row>
    <row r="511" spans="1:5" ht="40.5">
      <c r="A511" s="258">
        <v>90681</v>
      </c>
      <c r="B511" s="257" t="s">
        <v>688</v>
      </c>
      <c r="C511" s="257" t="s">
        <v>181</v>
      </c>
      <c r="D511" s="259" t="s">
        <v>14017</v>
      </c>
      <c r="E511" s="210" t="s">
        <v>6305</v>
      </c>
    </row>
    <row r="512" spans="1:5" ht="27">
      <c r="A512" s="258">
        <v>90687</v>
      </c>
      <c r="B512" s="257" t="s">
        <v>689</v>
      </c>
      <c r="C512" s="257" t="s">
        <v>181</v>
      </c>
      <c r="D512" s="259" t="s">
        <v>14018</v>
      </c>
      <c r="E512" s="210" t="s">
        <v>6305</v>
      </c>
    </row>
    <row r="513" spans="1:5" ht="27">
      <c r="A513" s="258">
        <v>90693</v>
      </c>
      <c r="B513" s="257" t="s">
        <v>690</v>
      </c>
      <c r="C513" s="257" t="s">
        <v>181</v>
      </c>
      <c r="D513" s="259" t="s">
        <v>14019</v>
      </c>
      <c r="E513" s="210" t="s">
        <v>6305</v>
      </c>
    </row>
    <row r="514" spans="1:5" ht="27">
      <c r="A514" s="258">
        <v>90965</v>
      </c>
      <c r="B514" s="257" t="s">
        <v>691</v>
      </c>
      <c r="C514" s="257" t="s">
        <v>181</v>
      </c>
      <c r="D514" s="259" t="s">
        <v>14020</v>
      </c>
      <c r="E514" s="210" t="s">
        <v>6305</v>
      </c>
    </row>
    <row r="515" spans="1:5" ht="27">
      <c r="A515" s="258">
        <v>90973</v>
      </c>
      <c r="B515" s="257" t="s">
        <v>692</v>
      </c>
      <c r="C515" s="257" t="s">
        <v>181</v>
      </c>
      <c r="D515" s="259" t="s">
        <v>14021</v>
      </c>
      <c r="E515" s="210" t="s">
        <v>6305</v>
      </c>
    </row>
    <row r="516" spans="1:5" ht="27">
      <c r="A516" s="258">
        <v>90982</v>
      </c>
      <c r="B516" s="257" t="s">
        <v>693</v>
      </c>
      <c r="C516" s="257" t="s">
        <v>181</v>
      </c>
      <c r="D516" s="259" t="s">
        <v>14022</v>
      </c>
      <c r="E516" s="210" t="s">
        <v>6305</v>
      </c>
    </row>
    <row r="517" spans="1:5" ht="27">
      <c r="A517" s="258">
        <v>91001</v>
      </c>
      <c r="B517" s="257" t="s">
        <v>694</v>
      </c>
      <c r="C517" s="257" t="s">
        <v>181</v>
      </c>
      <c r="D517" s="259" t="s">
        <v>14023</v>
      </c>
      <c r="E517" s="210" t="s">
        <v>6305</v>
      </c>
    </row>
    <row r="518" spans="1:5" ht="27">
      <c r="A518" s="258">
        <v>91032</v>
      </c>
      <c r="B518" s="257" t="s">
        <v>695</v>
      </c>
      <c r="C518" s="257" t="s">
        <v>181</v>
      </c>
      <c r="D518" s="259" t="s">
        <v>14024</v>
      </c>
      <c r="E518" s="210" t="s">
        <v>6305</v>
      </c>
    </row>
    <row r="519" spans="1:5" ht="27">
      <c r="A519" s="258">
        <v>91278</v>
      </c>
      <c r="B519" s="257" t="s">
        <v>206</v>
      </c>
      <c r="C519" s="257" t="s">
        <v>181</v>
      </c>
      <c r="D519" s="259" t="s">
        <v>14025</v>
      </c>
      <c r="E519" s="210" t="s">
        <v>6305</v>
      </c>
    </row>
    <row r="520" spans="1:5" ht="40.5">
      <c r="A520" s="258">
        <v>91285</v>
      </c>
      <c r="B520" s="257" t="s">
        <v>696</v>
      </c>
      <c r="C520" s="257" t="s">
        <v>181</v>
      </c>
      <c r="D520" s="259" t="s">
        <v>14026</v>
      </c>
      <c r="E520" s="210" t="s">
        <v>6305</v>
      </c>
    </row>
    <row r="521" spans="1:5" ht="40.5">
      <c r="A521" s="258">
        <v>91387</v>
      </c>
      <c r="B521" s="257" t="s">
        <v>697</v>
      </c>
      <c r="C521" s="257" t="s">
        <v>181</v>
      </c>
      <c r="D521" s="259" t="s">
        <v>14027</v>
      </c>
      <c r="E521" s="210" t="s">
        <v>6305</v>
      </c>
    </row>
    <row r="522" spans="1:5" ht="40.5">
      <c r="A522" s="258">
        <v>91395</v>
      </c>
      <c r="B522" s="257" t="s">
        <v>698</v>
      </c>
      <c r="C522" s="257" t="s">
        <v>181</v>
      </c>
      <c r="D522" s="259" t="s">
        <v>14028</v>
      </c>
      <c r="E522" s="210" t="s">
        <v>6305</v>
      </c>
    </row>
    <row r="523" spans="1:5" ht="40.5">
      <c r="A523" s="258">
        <v>91486</v>
      </c>
      <c r="B523" s="257" t="s">
        <v>699</v>
      </c>
      <c r="C523" s="257" t="s">
        <v>181</v>
      </c>
      <c r="D523" s="259" t="s">
        <v>14029</v>
      </c>
      <c r="E523" s="210" t="s">
        <v>6305</v>
      </c>
    </row>
    <row r="524" spans="1:5" ht="27">
      <c r="A524" s="258">
        <v>91534</v>
      </c>
      <c r="B524" s="257" t="s">
        <v>700</v>
      </c>
      <c r="C524" s="257" t="s">
        <v>181</v>
      </c>
      <c r="D524" s="259" t="s">
        <v>14030</v>
      </c>
      <c r="E524" s="210" t="s">
        <v>6305</v>
      </c>
    </row>
    <row r="525" spans="1:5" ht="40.5">
      <c r="A525" s="258">
        <v>91635</v>
      </c>
      <c r="B525" s="257" t="s">
        <v>701</v>
      </c>
      <c r="C525" s="257" t="s">
        <v>181</v>
      </c>
      <c r="D525" s="259" t="s">
        <v>14031</v>
      </c>
      <c r="E525" s="210" t="s">
        <v>6305</v>
      </c>
    </row>
    <row r="526" spans="1:5" ht="40.5">
      <c r="A526" s="258">
        <v>91646</v>
      </c>
      <c r="B526" s="257" t="s">
        <v>702</v>
      </c>
      <c r="C526" s="257" t="s">
        <v>181</v>
      </c>
      <c r="D526" s="259" t="s">
        <v>14032</v>
      </c>
      <c r="E526" s="210" t="s">
        <v>6305</v>
      </c>
    </row>
    <row r="527" spans="1:5" ht="27">
      <c r="A527" s="258">
        <v>91693</v>
      </c>
      <c r="B527" s="257" t="s">
        <v>703</v>
      </c>
      <c r="C527" s="257" t="s">
        <v>181</v>
      </c>
      <c r="D527" s="259" t="s">
        <v>14033</v>
      </c>
      <c r="E527" s="210" t="s">
        <v>6305</v>
      </c>
    </row>
    <row r="528" spans="1:5" ht="27">
      <c r="A528" s="258">
        <v>92044</v>
      </c>
      <c r="B528" s="257" t="s">
        <v>704</v>
      </c>
      <c r="C528" s="257" t="s">
        <v>181</v>
      </c>
      <c r="D528" s="259" t="s">
        <v>14034</v>
      </c>
      <c r="E528" s="210" t="s">
        <v>6305</v>
      </c>
    </row>
    <row r="529" spans="1:5" ht="40.5">
      <c r="A529" s="258">
        <v>92107</v>
      </c>
      <c r="B529" s="257" t="s">
        <v>705</v>
      </c>
      <c r="C529" s="257" t="s">
        <v>181</v>
      </c>
      <c r="D529" s="259" t="s">
        <v>14035</v>
      </c>
      <c r="E529" s="210" t="s">
        <v>6305</v>
      </c>
    </row>
    <row r="530" spans="1:5" ht="27">
      <c r="A530" s="258">
        <v>92113</v>
      </c>
      <c r="B530" s="257" t="s">
        <v>706</v>
      </c>
      <c r="C530" s="257" t="s">
        <v>181</v>
      </c>
      <c r="D530" s="259" t="s">
        <v>14036</v>
      </c>
      <c r="E530" s="210" t="s">
        <v>6305</v>
      </c>
    </row>
    <row r="531" spans="1:5" ht="13.5">
      <c r="A531" s="258">
        <v>92119</v>
      </c>
      <c r="B531" s="257" t="s">
        <v>707</v>
      </c>
      <c r="C531" s="257" t="s">
        <v>181</v>
      </c>
      <c r="D531" s="259" t="s">
        <v>14037</v>
      </c>
      <c r="E531" s="210" t="s">
        <v>6305</v>
      </c>
    </row>
    <row r="532" spans="1:5" ht="13.5">
      <c r="A532" s="258">
        <v>92139</v>
      </c>
      <c r="B532" s="257" t="s">
        <v>708</v>
      </c>
      <c r="C532" s="257" t="s">
        <v>181</v>
      </c>
      <c r="D532" s="259" t="s">
        <v>14038</v>
      </c>
      <c r="E532" s="210" t="s">
        <v>6305</v>
      </c>
    </row>
    <row r="533" spans="1:5" ht="27">
      <c r="A533" s="258">
        <v>92146</v>
      </c>
      <c r="B533" s="257" t="s">
        <v>709</v>
      </c>
      <c r="C533" s="257" t="s">
        <v>181</v>
      </c>
      <c r="D533" s="259" t="s">
        <v>14039</v>
      </c>
      <c r="E533" s="210" t="s">
        <v>6305</v>
      </c>
    </row>
    <row r="534" spans="1:5" ht="40.5">
      <c r="A534" s="258">
        <v>92243</v>
      </c>
      <c r="B534" s="257" t="s">
        <v>710</v>
      </c>
      <c r="C534" s="257" t="s">
        <v>181</v>
      </c>
      <c r="D534" s="259" t="s">
        <v>14040</v>
      </c>
      <c r="E534" s="210" t="s">
        <v>6305</v>
      </c>
    </row>
    <row r="535" spans="1:5" ht="27">
      <c r="A535" s="258">
        <v>92717</v>
      </c>
      <c r="B535" s="257" t="s">
        <v>711</v>
      </c>
      <c r="C535" s="257" t="s">
        <v>181</v>
      </c>
      <c r="D535" s="259" t="s">
        <v>14041</v>
      </c>
      <c r="E535" s="210" t="s">
        <v>6305</v>
      </c>
    </row>
    <row r="536" spans="1:5" ht="27">
      <c r="A536" s="258">
        <v>92961</v>
      </c>
      <c r="B536" s="257" t="s">
        <v>712</v>
      </c>
      <c r="C536" s="257" t="s">
        <v>181</v>
      </c>
      <c r="D536" s="259" t="s">
        <v>14042</v>
      </c>
      <c r="E536" s="210" t="s">
        <v>6305</v>
      </c>
    </row>
    <row r="537" spans="1:5" ht="13.5">
      <c r="A537" s="258">
        <v>92967</v>
      </c>
      <c r="B537" s="257" t="s">
        <v>713</v>
      </c>
      <c r="C537" s="257" t="s">
        <v>181</v>
      </c>
      <c r="D537" s="259" t="s">
        <v>14043</v>
      </c>
      <c r="E537" s="210" t="s">
        <v>6305</v>
      </c>
    </row>
    <row r="538" spans="1:5" ht="40.5">
      <c r="A538" s="258">
        <v>93225</v>
      </c>
      <c r="B538" s="257" t="s">
        <v>714</v>
      </c>
      <c r="C538" s="257" t="s">
        <v>181</v>
      </c>
      <c r="D538" s="259" t="s">
        <v>14044</v>
      </c>
      <c r="E538" s="210" t="s">
        <v>6305</v>
      </c>
    </row>
    <row r="539" spans="1:5" ht="27">
      <c r="A539" s="258">
        <v>93234</v>
      </c>
      <c r="B539" s="257" t="s">
        <v>715</v>
      </c>
      <c r="C539" s="257" t="s">
        <v>181</v>
      </c>
      <c r="D539" s="259" t="s">
        <v>14045</v>
      </c>
      <c r="E539" s="210" t="s">
        <v>6305</v>
      </c>
    </row>
    <row r="540" spans="1:5" ht="27">
      <c r="A540" s="258">
        <v>93244</v>
      </c>
      <c r="B540" s="257" t="s">
        <v>716</v>
      </c>
      <c r="C540" s="257" t="s">
        <v>181</v>
      </c>
      <c r="D540" s="259" t="s">
        <v>14046</v>
      </c>
      <c r="E540" s="210" t="s">
        <v>6305</v>
      </c>
    </row>
    <row r="541" spans="1:5" ht="27">
      <c r="A541" s="258">
        <v>93274</v>
      </c>
      <c r="B541" s="257" t="s">
        <v>717</v>
      </c>
      <c r="C541" s="257" t="s">
        <v>181</v>
      </c>
      <c r="D541" s="259" t="s">
        <v>14047</v>
      </c>
      <c r="E541" s="210" t="s">
        <v>6305</v>
      </c>
    </row>
    <row r="542" spans="1:5" ht="27">
      <c r="A542" s="258">
        <v>93282</v>
      </c>
      <c r="B542" s="257" t="s">
        <v>183</v>
      </c>
      <c r="C542" s="257" t="s">
        <v>181</v>
      </c>
      <c r="D542" s="259" t="s">
        <v>14048</v>
      </c>
      <c r="E542" s="210" t="s">
        <v>6305</v>
      </c>
    </row>
    <row r="543" spans="1:5" ht="27">
      <c r="A543" s="258">
        <v>93288</v>
      </c>
      <c r="B543" s="257" t="s">
        <v>180</v>
      </c>
      <c r="C543" s="257" t="s">
        <v>181</v>
      </c>
      <c r="D543" s="259" t="s">
        <v>14049</v>
      </c>
      <c r="E543" s="210" t="s">
        <v>6305</v>
      </c>
    </row>
    <row r="544" spans="1:5" ht="40.5">
      <c r="A544" s="258">
        <v>93403</v>
      </c>
      <c r="B544" s="257" t="s">
        <v>718</v>
      </c>
      <c r="C544" s="257" t="s">
        <v>181</v>
      </c>
      <c r="D544" s="259" t="s">
        <v>14031</v>
      </c>
      <c r="E544" s="210" t="s">
        <v>6305</v>
      </c>
    </row>
    <row r="545" spans="1:5" ht="40.5">
      <c r="A545" s="258">
        <v>93409</v>
      </c>
      <c r="B545" s="257" t="s">
        <v>14050</v>
      </c>
      <c r="C545" s="257" t="s">
        <v>181</v>
      </c>
      <c r="D545" s="259" t="s">
        <v>14051</v>
      </c>
      <c r="E545" s="210" t="s">
        <v>6305</v>
      </c>
    </row>
    <row r="546" spans="1:5" ht="27">
      <c r="A546" s="258">
        <v>93416</v>
      </c>
      <c r="B546" s="257" t="s">
        <v>719</v>
      </c>
      <c r="C546" s="257" t="s">
        <v>181</v>
      </c>
      <c r="D546" s="259" t="s">
        <v>14052</v>
      </c>
      <c r="E546" s="210" t="s">
        <v>6305</v>
      </c>
    </row>
    <row r="547" spans="1:5" ht="13.5">
      <c r="A547" s="258">
        <v>93422</v>
      </c>
      <c r="B547" s="257" t="s">
        <v>720</v>
      </c>
      <c r="C547" s="257" t="s">
        <v>181</v>
      </c>
      <c r="D547" s="259" t="s">
        <v>14053</v>
      </c>
      <c r="E547" s="210" t="s">
        <v>6305</v>
      </c>
    </row>
    <row r="548" spans="1:5" ht="13.5">
      <c r="A548" s="258">
        <v>93428</v>
      </c>
      <c r="B548" s="257" t="s">
        <v>721</v>
      </c>
      <c r="C548" s="257" t="s">
        <v>181</v>
      </c>
      <c r="D548" s="259" t="s">
        <v>14054</v>
      </c>
      <c r="E548" s="210" t="s">
        <v>6305</v>
      </c>
    </row>
    <row r="549" spans="1:5" ht="27">
      <c r="A549" s="258">
        <v>93434</v>
      </c>
      <c r="B549" s="257" t="s">
        <v>722</v>
      </c>
      <c r="C549" s="257" t="s">
        <v>181</v>
      </c>
      <c r="D549" s="259" t="s">
        <v>14055</v>
      </c>
      <c r="E549" s="210" t="s">
        <v>6305</v>
      </c>
    </row>
    <row r="550" spans="1:5" ht="27">
      <c r="A550" s="258">
        <v>93440</v>
      </c>
      <c r="B550" s="257" t="s">
        <v>723</v>
      </c>
      <c r="C550" s="257" t="s">
        <v>181</v>
      </c>
      <c r="D550" s="259" t="s">
        <v>14056</v>
      </c>
      <c r="E550" s="210" t="s">
        <v>6305</v>
      </c>
    </row>
    <row r="551" spans="1:5" ht="27">
      <c r="A551" s="258">
        <v>95122</v>
      </c>
      <c r="B551" s="257" t="s">
        <v>724</v>
      </c>
      <c r="C551" s="257" t="s">
        <v>181</v>
      </c>
      <c r="D551" s="259" t="s">
        <v>14057</v>
      </c>
      <c r="E551" s="210" t="s">
        <v>6305</v>
      </c>
    </row>
    <row r="552" spans="1:5" ht="27">
      <c r="A552" s="258">
        <v>95128</v>
      </c>
      <c r="B552" s="257" t="s">
        <v>725</v>
      </c>
      <c r="C552" s="257" t="s">
        <v>181</v>
      </c>
      <c r="D552" s="259" t="s">
        <v>14058</v>
      </c>
      <c r="E552" s="210" t="s">
        <v>6305</v>
      </c>
    </row>
    <row r="553" spans="1:5" ht="13.5">
      <c r="A553" s="258">
        <v>95140</v>
      </c>
      <c r="B553" s="257" t="s">
        <v>726</v>
      </c>
      <c r="C553" s="257" t="s">
        <v>181</v>
      </c>
      <c r="D553" s="259" t="s">
        <v>14059</v>
      </c>
      <c r="E553" s="210" t="s">
        <v>6305</v>
      </c>
    </row>
    <row r="554" spans="1:5" ht="27">
      <c r="A554" s="258">
        <v>95213</v>
      </c>
      <c r="B554" s="257" t="s">
        <v>727</v>
      </c>
      <c r="C554" s="257" t="s">
        <v>181</v>
      </c>
      <c r="D554" s="259" t="s">
        <v>14060</v>
      </c>
      <c r="E554" s="210" t="s">
        <v>6305</v>
      </c>
    </row>
    <row r="555" spans="1:5" ht="27">
      <c r="A555" s="258">
        <v>95219</v>
      </c>
      <c r="B555" s="257" t="s">
        <v>728</v>
      </c>
      <c r="C555" s="257" t="s">
        <v>181</v>
      </c>
      <c r="D555" s="259" t="s">
        <v>14061</v>
      </c>
      <c r="E555" s="210" t="s">
        <v>6305</v>
      </c>
    </row>
    <row r="556" spans="1:5" ht="13.5">
      <c r="A556" s="258">
        <v>95259</v>
      </c>
      <c r="B556" s="257" t="s">
        <v>729</v>
      </c>
      <c r="C556" s="257" t="s">
        <v>181</v>
      </c>
      <c r="D556" s="259" t="s">
        <v>14062</v>
      </c>
      <c r="E556" s="210" t="s">
        <v>6305</v>
      </c>
    </row>
    <row r="557" spans="1:5" ht="27">
      <c r="A557" s="258">
        <v>95265</v>
      </c>
      <c r="B557" s="257" t="s">
        <v>730</v>
      </c>
      <c r="C557" s="257" t="s">
        <v>181</v>
      </c>
      <c r="D557" s="259" t="s">
        <v>14063</v>
      </c>
      <c r="E557" s="210" t="s">
        <v>6305</v>
      </c>
    </row>
    <row r="558" spans="1:5" ht="27">
      <c r="A558" s="258">
        <v>95271</v>
      </c>
      <c r="B558" s="257" t="s">
        <v>731</v>
      </c>
      <c r="C558" s="257" t="s">
        <v>181</v>
      </c>
      <c r="D558" s="259" t="s">
        <v>14064</v>
      </c>
      <c r="E558" s="210" t="s">
        <v>6305</v>
      </c>
    </row>
    <row r="559" spans="1:5" ht="27">
      <c r="A559" s="258">
        <v>95277</v>
      </c>
      <c r="B559" s="257" t="s">
        <v>278</v>
      </c>
      <c r="C559" s="257" t="s">
        <v>181</v>
      </c>
      <c r="D559" s="259" t="s">
        <v>14064</v>
      </c>
      <c r="E559" s="210" t="s">
        <v>6305</v>
      </c>
    </row>
    <row r="560" spans="1:5" ht="27">
      <c r="A560" s="258">
        <v>95283</v>
      </c>
      <c r="B560" s="257" t="s">
        <v>732</v>
      </c>
      <c r="C560" s="257" t="s">
        <v>181</v>
      </c>
      <c r="D560" s="259" t="s">
        <v>14065</v>
      </c>
      <c r="E560" s="210" t="s">
        <v>6305</v>
      </c>
    </row>
    <row r="561" spans="1:5" ht="27">
      <c r="A561" s="258">
        <v>95621</v>
      </c>
      <c r="B561" s="257" t="s">
        <v>733</v>
      </c>
      <c r="C561" s="257" t="s">
        <v>181</v>
      </c>
      <c r="D561" s="259" t="s">
        <v>14066</v>
      </c>
      <c r="E561" s="210" t="s">
        <v>6305</v>
      </c>
    </row>
    <row r="562" spans="1:5" ht="27">
      <c r="A562" s="258">
        <v>95632</v>
      </c>
      <c r="B562" s="257" t="s">
        <v>734</v>
      </c>
      <c r="C562" s="257" t="s">
        <v>181</v>
      </c>
      <c r="D562" s="259" t="s">
        <v>14067</v>
      </c>
      <c r="E562" s="210" t="s">
        <v>6305</v>
      </c>
    </row>
    <row r="563" spans="1:5" ht="27">
      <c r="A563" s="258">
        <v>95703</v>
      </c>
      <c r="B563" s="257" t="s">
        <v>735</v>
      </c>
      <c r="C563" s="257" t="s">
        <v>181</v>
      </c>
      <c r="D563" s="259" t="s">
        <v>14068</v>
      </c>
      <c r="E563" s="210" t="s">
        <v>6305</v>
      </c>
    </row>
    <row r="564" spans="1:5" ht="27">
      <c r="A564" s="258">
        <v>95709</v>
      </c>
      <c r="B564" s="257" t="s">
        <v>736</v>
      </c>
      <c r="C564" s="257" t="s">
        <v>181</v>
      </c>
      <c r="D564" s="259" t="s">
        <v>14069</v>
      </c>
      <c r="E564" s="210" t="s">
        <v>6305</v>
      </c>
    </row>
    <row r="565" spans="1:5" ht="27">
      <c r="A565" s="258">
        <v>95715</v>
      </c>
      <c r="B565" s="257" t="s">
        <v>737</v>
      </c>
      <c r="C565" s="257" t="s">
        <v>181</v>
      </c>
      <c r="D565" s="259" t="s">
        <v>14070</v>
      </c>
      <c r="E565" s="210" t="s">
        <v>6305</v>
      </c>
    </row>
    <row r="566" spans="1:5" ht="40.5">
      <c r="A566" s="258">
        <v>95721</v>
      </c>
      <c r="B566" s="257" t="s">
        <v>738</v>
      </c>
      <c r="C566" s="257" t="s">
        <v>181</v>
      </c>
      <c r="D566" s="259" t="s">
        <v>14071</v>
      </c>
      <c r="E566" s="210" t="s">
        <v>6305</v>
      </c>
    </row>
    <row r="567" spans="1:5" ht="27">
      <c r="A567" s="258">
        <v>95873</v>
      </c>
      <c r="B567" s="257" t="s">
        <v>739</v>
      </c>
      <c r="C567" s="257" t="s">
        <v>181</v>
      </c>
      <c r="D567" s="259" t="s">
        <v>14072</v>
      </c>
      <c r="E567" s="210" t="s">
        <v>6305</v>
      </c>
    </row>
    <row r="568" spans="1:5" ht="27">
      <c r="A568" s="258">
        <v>96014</v>
      </c>
      <c r="B568" s="257" t="s">
        <v>740</v>
      </c>
      <c r="C568" s="257" t="s">
        <v>181</v>
      </c>
      <c r="D568" s="259" t="s">
        <v>14073</v>
      </c>
      <c r="E568" s="210" t="s">
        <v>6305</v>
      </c>
    </row>
    <row r="569" spans="1:5" ht="27">
      <c r="A569" s="258">
        <v>96021</v>
      </c>
      <c r="B569" s="257" t="s">
        <v>741</v>
      </c>
      <c r="C569" s="257" t="s">
        <v>181</v>
      </c>
      <c r="D569" s="259" t="s">
        <v>14074</v>
      </c>
      <c r="E569" s="210" t="s">
        <v>6305</v>
      </c>
    </row>
    <row r="570" spans="1:5" ht="27">
      <c r="A570" s="258">
        <v>96029</v>
      </c>
      <c r="B570" s="257" t="s">
        <v>742</v>
      </c>
      <c r="C570" s="257" t="s">
        <v>181</v>
      </c>
      <c r="D570" s="259" t="s">
        <v>14075</v>
      </c>
      <c r="E570" s="210" t="s">
        <v>6305</v>
      </c>
    </row>
    <row r="571" spans="1:5" ht="27">
      <c r="A571" s="258">
        <v>96036</v>
      </c>
      <c r="B571" s="257" t="s">
        <v>743</v>
      </c>
      <c r="C571" s="257" t="s">
        <v>181</v>
      </c>
      <c r="D571" s="259" t="s">
        <v>14076</v>
      </c>
      <c r="E571" s="210" t="s">
        <v>6305</v>
      </c>
    </row>
    <row r="572" spans="1:5" ht="27">
      <c r="A572" s="258">
        <v>96155</v>
      </c>
      <c r="B572" s="257" t="s">
        <v>744</v>
      </c>
      <c r="C572" s="257" t="s">
        <v>181</v>
      </c>
      <c r="D572" s="259" t="s">
        <v>14077</v>
      </c>
      <c r="E572" s="210" t="s">
        <v>6305</v>
      </c>
    </row>
    <row r="573" spans="1:5" ht="27">
      <c r="A573" s="258">
        <v>96156</v>
      </c>
      <c r="B573" s="257" t="s">
        <v>745</v>
      </c>
      <c r="C573" s="257" t="s">
        <v>181</v>
      </c>
      <c r="D573" s="259" t="s">
        <v>14078</v>
      </c>
      <c r="E573" s="210" t="s">
        <v>6305</v>
      </c>
    </row>
    <row r="574" spans="1:5" ht="27">
      <c r="A574" s="258">
        <v>96159</v>
      </c>
      <c r="B574" s="257" t="s">
        <v>746</v>
      </c>
      <c r="C574" s="257" t="s">
        <v>181</v>
      </c>
      <c r="D574" s="259" t="s">
        <v>14079</v>
      </c>
      <c r="E574" s="210" t="s">
        <v>6305</v>
      </c>
    </row>
    <row r="575" spans="1:5" ht="27">
      <c r="A575" s="258">
        <v>96246</v>
      </c>
      <c r="B575" s="257" t="s">
        <v>747</v>
      </c>
      <c r="C575" s="257" t="s">
        <v>181</v>
      </c>
      <c r="D575" s="259" t="s">
        <v>14080</v>
      </c>
      <c r="E575" s="210" t="s">
        <v>6305</v>
      </c>
    </row>
    <row r="576" spans="1:5" ht="27">
      <c r="A576" s="258">
        <v>96302</v>
      </c>
      <c r="B576" s="257" t="s">
        <v>748</v>
      </c>
      <c r="C576" s="257" t="s">
        <v>181</v>
      </c>
      <c r="D576" s="259" t="s">
        <v>14081</v>
      </c>
      <c r="E576" s="210" t="s">
        <v>6305</v>
      </c>
    </row>
    <row r="577" spans="1:5" ht="27">
      <c r="A577" s="258">
        <v>96308</v>
      </c>
      <c r="B577" s="257" t="s">
        <v>749</v>
      </c>
      <c r="C577" s="257" t="s">
        <v>181</v>
      </c>
      <c r="D577" s="259" t="s">
        <v>14082</v>
      </c>
      <c r="E577" s="210" t="s">
        <v>6305</v>
      </c>
    </row>
    <row r="578" spans="1:5" ht="27">
      <c r="A578" s="258">
        <v>96464</v>
      </c>
      <c r="B578" s="257" t="s">
        <v>750</v>
      </c>
      <c r="C578" s="257" t="s">
        <v>181</v>
      </c>
      <c r="D578" s="259" t="s">
        <v>14083</v>
      </c>
      <c r="E578" s="210" t="s">
        <v>6305</v>
      </c>
    </row>
    <row r="579" spans="1:5" ht="27">
      <c r="A579" s="258">
        <v>98765</v>
      </c>
      <c r="B579" s="257" t="s">
        <v>5133</v>
      </c>
      <c r="C579" s="257" t="s">
        <v>181</v>
      </c>
      <c r="D579" s="259" t="s">
        <v>14084</v>
      </c>
      <c r="E579" s="210" t="s">
        <v>6305</v>
      </c>
    </row>
    <row r="580" spans="1:5" ht="27">
      <c r="A580" s="258">
        <v>99834</v>
      </c>
      <c r="B580" s="257" t="s">
        <v>5134</v>
      </c>
      <c r="C580" s="257" t="s">
        <v>181</v>
      </c>
      <c r="D580" s="259" t="s">
        <v>14085</v>
      </c>
      <c r="E580" s="210" t="s">
        <v>6305</v>
      </c>
    </row>
    <row r="581" spans="1:5" ht="27">
      <c r="A581" s="258">
        <v>100642</v>
      </c>
      <c r="B581" s="257" t="s">
        <v>6899</v>
      </c>
      <c r="C581" s="257" t="s">
        <v>181</v>
      </c>
      <c r="D581" s="259" t="s">
        <v>14086</v>
      </c>
      <c r="E581" s="210" t="s">
        <v>6305</v>
      </c>
    </row>
    <row r="582" spans="1:5" ht="13.5">
      <c r="A582" s="258">
        <v>100648</v>
      </c>
      <c r="B582" s="257" t="s">
        <v>6900</v>
      </c>
      <c r="C582" s="257" t="s">
        <v>181</v>
      </c>
      <c r="D582" s="259" t="s">
        <v>14087</v>
      </c>
      <c r="E582" s="210" t="s">
        <v>6305</v>
      </c>
    </row>
    <row r="583" spans="1:5" ht="27">
      <c r="A583" s="258">
        <v>5089</v>
      </c>
      <c r="B583" s="257" t="s">
        <v>751</v>
      </c>
      <c r="C583" s="257" t="s">
        <v>167</v>
      </c>
      <c r="D583" s="259" t="s">
        <v>14088</v>
      </c>
      <c r="E583" s="210" t="s">
        <v>6305</v>
      </c>
    </row>
    <row r="584" spans="1:5" ht="27">
      <c r="A584" s="258">
        <v>5627</v>
      </c>
      <c r="B584" s="257" t="s">
        <v>752</v>
      </c>
      <c r="C584" s="257" t="s">
        <v>167</v>
      </c>
      <c r="D584" s="259" t="s">
        <v>14089</v>
      </c>
      <c r="E584" s="210" t="s">
        <v>6305</v>
      </c>
    </row>
    <row r="585" spans="1:5" ht="27">
      <c r="A585" s="258">
        <v>5628</v>
      </c>
      <c r="B585" s="257" t="s">
        <v>753</v>
      </c>
      <c r="C585" s="257" t="s">
        <v>167</v>
      </c>
      <c r="D585" s="259" t="s">
        <v>14090</v>
      </c>
      <c r="E585" s="210" t="s">
        <v>6305</v>
      </c>
    </row>
    <row r="586" spans="1:5" ht="27">
      <c r="A586" s="258">
        <v>5629</v>
      </c>
      <c r="B586" s="257" t="s">
        <v>754</v>
      </c>
      <c r="C586" s="257" t="s">
        <v>167</v>
      </c>
      <c r="D586" s="259" t="s">
        <v>14091</v>
      </c>
      <c r="E586" s="210" t="s">
        <v>6305</v>
      </c>
    </row>
    <row r="587" spans="1:5" ht="27">
      <c r="A587" s="258">
        <v>5630</v>
      </c>
      <c r="B587" s="257" t="s">
        <v>755</v>
      </c>
      <c r="C587" s="257" t="s">
        <v>167</v>
      </c>
      <c r="D587" s="259" t="s">
        <v>14092</v>
      </c>
      <c r="E587" s="210" t="s">
        <v>6305</v>
      </c>
    </row>
    <row r="588" spans="1:5" ht="27">
      <c r="A588" s="258">
        <v>5658</v>
      </c>
      <c r="B588" s="257" t="s">
        <v>756</v>
      </c>
      <c r="C588" s="257" t="s">
        <v>167</v>
      </c>
      <c r="D588" s="259" t="s">
        <v>14093</v>
      </c>
      <c r="E588" s="210" t="s">
        <v>6305</v>
      </c>
    </row>
    <row r="589" spans="1:5" ht="40.5">
      <c r="A589" s="258">
        <v>5664</v>
      </c>
      <c r="B589" s="257" t="s">
        <v>757</v>
      </c>
      <c r="C589" s="257" t="s">
        <v>167</v>
      </c>
      <c r="D589" s="259" t="s">
        <v>14094</v>
      </c>
      <c r="E589" s="210" t="s">
        <v>6305</v>
      </c>
    </row>
    <row r="590" spans="1:5" ht="40.5">
      <c r="A590" s="258">
        <v>5667</v>
      </c>
      <c r="B590" s="257" t="s">
        <v>758</v>
      </c>
      <c r="C590" s="257" t="s">
        <v>167</v>
      </c>
      <c r="D590" s="259" t="s">
        <v>14095</v>
      </c>
      <c r="E590" s="210" t="s">
        <v>6305</v>
      </c>
    </row>
    <row r="591" spans="1:5" ht="40.5">
      <c r="A591" s="258">
        <v>5668</v>
      </c>
      <c r="B591" s="257" t="s">
        <v>759</v>
      </c>
      <c r="C591" s="257" t="s">
        <v>167</v>
      </c>
      <c r="D591" s="259" t="s">
        <v>14096</v>
      </c>
      <c r="E591" s="210" t="s">
        <v>6305</v>
      </c>
    </row>
    <row r="592" spans="1:5" ht="27">
      <c r="A592" s="258">
        <v>5674</v>
      </c>
      <c r="B592" s="257" t="s">
        <v>760</v>
      </c>
      <c r="C592" s="257" t="s">
        <v>167</v>
      </c>
      <c r="D592" s="259" t="s">
        <v>14097</v>
      </c>
      <c r="E592" s="210" t="s">
        <v>6305</v>
      </c>
    </row>
    <row r="593" spans="1:5" ht="27">
      <c r="A593" s="258">
        <v>5692</v>
      </c>
      <c r="B593" s="257" t="s">
        <v>761</v>
      </c>
      <c r="C593" s="257" t="s">
        <v>167</v>
      </c>
      <c r="D593" s="259" t="s">
        <v>13954</v>
      </c>
      <c r="E593" s="210" t="s">
        <v>6305</v>
      </c>
    </row>
    <row r="594" spans="1:5" ht="27">
      <c r="A594" s="258">
        <v>5693</v>
      </c>
      <c r="B594" s="257" t="s">
        <v>762</v>
      </c>
      <c r="C594" s="257" t="s">
        <v>167</v>
      </c>
      <c r="D594" s="259" t="s">
        <v>14098</v>
      </c>
      <c r="E594" s="210" t="s">
        <v>6305</v>
      </c>
    </row>
    <row r="595" spans="1:5" ht="27">
      <c r="A595" s="258">
        <v>5695</v>
      </c>
      <c r="B595" s="257" t="s">
        <v>763</v>
      </c>
      <c r="C595" s="257" t="s">
        <v>167</v>
      </c>
      <c r="D595" s="259" t="s">
        <v>14099</v>
      </c>
      <c r="E595" s="210" t="s">
        <v>6305</v>
      </c>
    </row>
    <row r="596" spans="1:5" ht="27">
      <c r="A596" s="258">
        <v>5703</v>
      </c>
      <c r="B596" s="257" t="s">
        <v>764</v>
      </c>
      <c r="C596" s="257" t="s">
        <v>167</v>
      </c>
      <c r="D596" s="259" t="s">
        <v>14100</v>
      </c>
      <c r="E596" s="210" t="s">
        <v>6305</v>
      </c>
    </row>
    <row r="597" spans="1:5" ht="40.5">
      <c r="A597" s="258">
        <v>5705</v>
      </c>
      <c r="B597" s="257" t="s">
        <v>765</v>
      </c>
      <c r="C597" s="257" t="s">
        <v>167</v>
      </c>
      <c r="D597" s="259" t="s">
        <v>14101</v>
      </c>
      <c r="E597" s="210" t="s">
        <v>6305</v>
      </c>
    </row>
    <row r="598" spans="1:5" ht="27">
      <c r="A598" s="258">
        <v>5707</v>
      </c>
      <c r="B598" s="257" t="s">
        <v>766</v>
      </c>
      <c r="C598" s="257" t="s">
        <v>167</v>
      </c>
      <c r="D598" s="259" t="s">
        <v>14102</v>
      </c>
      <c r="E598" s="210" t="s">
        <v>6305</v>
      </c>
    </row>
    <row r="599" spans="1:5" ht="27">
      <c r="A599" s="258">
        <v>5710</v>
      </c>
      <c r="B599" s="257" t="s">
        <v>767</v>
      </c>
      <c r="C599" s="257" t="s">
        <v>167</v>
      </c>
      <c r="D599" s="259" t="s">
        <v>14103</v>
      </c>
      <c r="E599" s="210" t="s">
        <v>6305</v>
      </c>
    </row>
    <row r="600" spans="1:5" ht="27">
      <c r="A600" s="258">
        <v>5711</v>
      </c>
      <c r="B600" s="257" t="s">
        <v>768</v>
      </c>
      <c r="C600" s="257" t="s">
        <v>167</v>
      </c>
      <c r="D600" s="259" t="s">
        <v>14104</v>
      </c>
      <c r="E600" s="210" t="s">
        <v>6305</v>
      </c>
    </row>
    <row r="601" spans="1:5" ht="27">
      <c r="A601" s="258">
        <v>5714</v>
      </c>
      <c r="B601" s="257" t="s">
        <v>769</v>
      </c>
      <c r="C601" s="257" t="s">
        <v>167</v>
      </c>
      <c r="D601" s="259" t="s">
        <v>14105</v>
      </c>
      <c r="E601" s="210" t="s">
        <v>6305</v>
      </c>
    </row>
    <row r="602" spans="1:5" ht="27">
      <c r="A602" s="258">
        <v>5715</v>
      </c>
      <c r="B602" s="257" t="s">
        <v>770</v>
      </c>
      <c r="C602" s="257" t="s">
        <v>167</v>
      </c>
      <c r="D602" s="259" t="s">
        <v>14106</v>
      </c>
      <c r="E602" s="210" t="s">
        <v>6305</v>
      </c>
    </row>
    <row r="603" spans="1:5" ht="27">
      <c r="A603" s="258">
        <v>5718</v>
      </c>
      <c r="B603" s="257" t="s">
        <v>771</v>
      </c>
      <c r="C603" s="257" t="s">
        <v>167</v>
      </c>
      <c r="D603" s="259" t="s">
        <v>14107</v>
      </c>
      <c r="E603" s="210" t="s">
        <v>6305</v>
      </c>
    </row>
    <row r="604" spans="1:5" ht="27">
      <c r="A604" s="258">
        <v>5721</v>
      </c>
      <c r="B604" s="257" t="s">
        <v>772</v>
      </c>
      <c r="C604" s="257" t="s">
        <v>167</v>
      </c>
      <c r="D604" s="259" t="s">
        <v>14108</v>
      </c>
      <c r="E604" s="210" t="s">
        <v>6305</v>
      </c>
    </row>
    <row r="605" spans="1:5" ht="27">
      <c r="A605" s="258">
        <v>5722</v>
      </c>
      <c r="B605" s="257" t="s">
        <v>773</v>
      </c>
      <c r="C605" s="257" t="s">
        <v>167</v>
      </c>
      <c r="D605" s="259" t="s">
        <v>14109</v>
      </c>
      <c r="E605" s="210" t="s">
        <v>6305</v>
      </c>
    </row>
    <row r="606" spans="1:5" ht="27">
      <c r="A606" s="258">
        <v>5724</v>
      </c>
      <c r="B606" s="257" t="s">
        <v>774</v>
      </c>
      <c r="C606" s="257" t="s">
        <v>167</v>
      </c>
      <c r="D606" s="259" t="s">
        <v>14110</v>
      </c>
      <c r="E606" s="210" t="s">
        <v>6305</v>
      </c>
    </row>
    <row r="607" spans="1:5" ht="27">
      <c r="A607" s="258">
        <v>5727</v>
      </c>
      <c r="B607" s="257" t="s">
        <v>775</v>
      </c>
      <c r="C607" s="257" t="s">
        <v>167</v>
      </c>
      <c r="D607" s="259" t="s">
        <v>14111</v>
      </c>
      <c r="E607" s="210" t="s">
        <v>6305</v>
      </c>
    </row>
    <row r="608" spans="1:5" ht="27">
      <c r="A608" s="258">
        <v>5729</v>
      </c>
      <c r="B608" s="257" t="s">
        <v>776</v>
      </c>
      <c r="C608" s="257" t="s">
        <v>167</v>
      </c>
      <c r="D608" s="259" t="s">
        <v>14112</v>
      </c>
      <c r="E608" s="210" t="s">
        <v>6305</v>
      </c>
    </row>
    <row r="609" spans="1:5" ht="27">
      <c r="A609" s="258">
        <v>5730</v>
      </c>
      <c r="B609" s="257" t="s">
        <v>777</v>
      </c>
      <c r="C609" s="257" t="s">
        <v>167</v>
      </c>
      <c r="D609" s="259" t="s">
        <v>14113</v>
      </c>
      <c r="E609" s="210" t="s">
        <v>6305</v>
      </c>
    </row>
    <row r="610" spans="1:5" ht="40.5">
      <c r="A610" s="258">
        <v>5735</v>
      </c>
      <c r="B610" s="257" t="s">
        <v>778</v>
      </c>
      <c r="C610" s="257" t="s">
        <v>167</v>
      </c>
      <c r="D610" s="259" t="s">
        <v>14114</v>
      </c>
      <c r="E610" s="210" t="s">
        <v>6305</v>
      </c>
    </row>
    <row r="611" spans="1:5" ht="40.5">
      <c r="A611" s="258">
        <v>5736</v>
      </c>
      <c r="B611" s="257" t="s">
        <v>779</v>
      </c>
      <c r="C611" s="257" t="s">
        <v>167</v>
      </c>
      <c r="D611" s="259" t="s">
        <v>14115</v>
      </c>
      <c r="E611" s="210" t="s">
        <v>6305</v>
      </c>
    </row>
    <row r="612" spans="1:5" ht="27">
      <c r="A612" s="258">
        <v>5738</v>
      </c>
      <c r="B612" s="257" t="s">
        <v>780</v>
      </c>
      <c r="C612" s="257" t="s">
        <v>167</v>
      </c>
      <c r="D612" s="259" t="s">
        <v>14116</v>
      </c>
      <c r="E612" s="210" t="s">
        <v>6305</v>
      </c>
    </row>
    <row r="613" spans="1:5" ht="27">
      <c r="A613" s="258">
        <v>5739</v>
      </c>
      <c r="B613" s="257" t="s">
        <v>781</v>
      </c>
      <c r="C613" s="257" t="s">
        <v>167</v>
      </c>
      <c r="D613" s="259" t="s">
        <v>14117</v>
      </c>
      <c r="E613" s="210" t="s">
        <v>6305</v>
      </c>
    </row>
    <row r="614" spans="1:5" ht="40.5">
      <c r="A614" s="258">
        <v>5741</v>
      </c>
      <c r="B614" s="257" t="s">
        <v>782</v>
      </c>
      <c r="C614" s="257" t="s">
        <v>167</v>
      </c>
      <c r="D614" s="259" t="s">
        <v>14118</v>
      </c>
      <c r="E614" s="210" t="s">
        <v>6305</v>
      </c>
    </row>
    <row r="615" spans="1:5" ht="40.5">
      <c r="A615" s="258">
        <v>5742</v>
      </c>
      <c r="B615" s="257" t="s">
        <v>783</v>
      </c>
      <c r="C615" s="257" t="s">
        <v>167</v>
      </c>
      <c r="D615" s="259" t="s">
        <v>14119</v>
      </c>
      <c r="E615" s="210" t="s">
        <v>6305</v>
      </c>
    </row>
    <row r="616" spans="1:5" ht="40.5">
      <c r="A616" s="258">
        <v>5747</v>
      </c>
      <c r="B616" s="257" t="s">
        <v>784</v>
      </c>
      <c r="C616" s="257" t="s">
        <v>167</v>
      </c>
      <c r="D616" s="259" t="s">
        <v>14120</v>
      </c>
      <c r="E616" s="210" t="s">
        <v>6305</v>
      </c>
    </row>
    <row r="617" spans="1:5" ht="27">
      <c r="A617" s="258">
        <v>5751</v>
      </c>
      <c r="B617" s="257" t="s">
        <v>785</v>
      </c>
      <c r="C617" s="257" t="s">
        <v>167</v>
      </c>
      <c r="D617" s="259" t="s">
        <v>14121</v>
      </c>
      <c r="E617" s="210" t="s">
        <v>6305</v>
      </c>
    </row>
    <row r="618" spans="1:5" ht="27">
      <c r="A618" s="258">
        <v>5754</v>
      </c>
      <c r="B618" s="257" t="s">
        <v>786</v>
      </c>
      <c r="C618" s="257" t="s">
        <v>167</v>
      </c>
      <c r="D618" s="259" t="s">
        <v>14122</v>
      </c>
      <c r="E618" s="210" t="s">
        <v>6305</v>
      </c>
    </row>
    <row r="619" spans="1:5" ht="40.5">
      <c r="A619" s="258">
        <v>5763</v>
      </c>
      <c r="B619" s="257" t="s">
        <v>787</v>
      </c>
      <c r="C619" s="257" t="s">
        <v>167</v>
      </c>
      <c r="D619" s="259" t="s">
        <v>14123</v>
      </c>
      <c r="E619" s="210" t="s">
        <v>6305</v>
      </c>
    </row>
    <row r="620" spans="1:5" ht="27">
      <c r="A620" s="258">
        <v>5765</v>
      </c>
      <c r="B620" s="257" t="s">
        <v>788</v>
      </c>
      <c r="C620" s="257" t="s">
        <v>167</v>
      </c>
      <c r="D620" s="259" t="s">
        <v>14124</v>
      </c>
      <c r="E620" s="210" t="s">
        <v>6305</v>
      </c>
    </row>
    <row r="621" spans="1:5" ht="27">
      <c r="A621" s="258">
        <v>5766</v>
      </c>
      <c r="B621" s="257" t="s">
        <v>789</v>
      </c>
      <c r="C621" s="257" t="s">
        <v>167</v>
      </c>
      <c r="D621" s="259" t="s">
        <v>14125</v>
      </c>
      <c r="E621" s="210" t="s">
        <v>6305</v>
      </c>
    </row>
    <row r="622" spans="1:5" ht="27">
      <c r="A622" s="258">
        <v>5779</v>
      </c>
      <c r="B622" s="257" t="s">
        <v>790</v>
      </c>
      <c r="C622" s="257" t="s">
        <v>167</v>
      </c>
      <c r="D622" s="259" t="s">
        <v>14126</v>
      </c>
      <c r="E622" s="210" t="s">
        <v>6305</v>
      </c>
    </row>
    <row r="623" spans="1:5" ht="27">
      <c r="A623" s="258">
        <v>5787</v>
      </c>
      <c r="B623" s="257" t="s">
        <v>791</v>
      </c>
      <c r="C623" s="257" t="s">
        <v>167</v>
      </c>
      <c r="D623" s="259" t="s">
        <v>14127</v>
      </c>
      <c r="E623" s="210" t="s">
        <v>6305</v>
      </c>
    </row>
    <row r="624" spans="1:5" ht="27">
      <c r="A624" s="258">
        <v>5797</v>
      </c>
      <c r="B624" s="257" t="s">
        <v>792</v>
      </c>
      <c r="C624" s="257" t="s">
        <v>167</v>
      </c>
      <c r="D624" s="259" t="s">
        <v>14128</v>
      </c>
      <c r="E624" s="210" t="s">
        <v>6305</v>
      </c>
    </row>
    <row r="625" spans="1:5" ht="27">
      <c r="A625" s="258">
        <v>5800</v>
      </c>
      <c r="B625" s="257" t="s">
        <v>793</v>
      </c>
      <c r="C625" s="257" t="s">
        <v>167</v>
      </c>
      <c r="D625" s="259" t="s">
        <v>14129</v>
      </c>
      <c r="E625" s="210" t="s">
        <v>6305</v>
      </c>
    </row>
    <row r="626" spans="1:5" ht="13.5">
      <c r="A626" s="258">
        <v>7032</v>
      </c>
      <c r="B626" s="257" t="s">
        <v>794</v>
      </c>
      <c r="C626" s="257" t="s">
        <v>167</v>
      </c>
      <c r="D626" s="259" t="s">
        <v>14130</v>
      </c>
      <c r="E626" s="210" t="s">
        <v>6305</v>
      </c>
    </row>
    <row r="627" spans="1:5" ht="13.5">
      <c r="A627" s="258">
        <v>7033</v>
      </c>
      <c r="B627" s="257" t="s">
        <v>795</v>
      </c>
      <c r="C627" s="257" t="s">
        <v>167</v>
      </c>
      <c r="D627" s="259" t="s">
        <v>14131</v>
      </c>
      <c r="E627" s="210" t="s">
        <v>6305</v>
      </c>
    </row>
    <row r="628" spans="1:5" ht="13.5">
      <c r="A628" s="258">
        <v>7034</v>
      </c>
      <c r="B628" s="257" t="s">
        <v>796</v>
      </c>
      <c r="C628" s="257" t="s">
        <v>167</v>
      </c>
      <c r="D628" s="259" t="s">
        <v>14132</v>
      </c>
      <c r="E628" s="210" t="s">
        <v>6305</v>
      </c>
    </row>
    <row r="629" spans="1:5" ht="27">
      <c r="A629" s="258">
        <v>7035</v>
      </c>
      <c r="B629" s="257" t="s">
        <v>797</v>
      </c>
      <c r="C629" s="257" t="s">
        <v>167</v>
      </c>
      <c r="D629" s="259" t="s">
        <v>14133</v>
      </c>
      <c r="E629" s="210" t="s">
        <v>6305</v>
      </c>
    </row>
    <row r="630" spans="1:5" ht="27">
      <c r="A630" s="258">
        <v>7038</v>
      </c>
      <c r="B630" s="257" t="s">
        <v>798</v>
      </c>
      <c r="C630" s="257" t="s">
        <v>167</v>
      </c>
      <c r="D630" s="259" t="s">
        <v>14134</v>
      </c>
      <c r="E630" s="210" t="s">
        <v>6305</v>
      </c>
    </row>
    <row r="631" spans="1:5" ht="27">
      <c r="A631" s="258">
        <v>7039</v>
      </c>
      <c r="B631" s="257" t="s">
        <v>799</v>
      </c>
      <c r="C631" s="257" t="s">
        <v>167</v>
      </c>
      <c r="D631" s="259" t="s">
        <v>14135</v>
      </c>
      <c r="E631" s="210" t="s">
        <v>6305</v>
      </c>
    </row>
    <row r="632" spans="1:5" ht="27">
      <c r="A632" s="258">
        <v>7040</v>
      </c>
      <c r="B632" s="257" t="s">
        <v>800</v>
      </c>
      <c r="C632" s="257" t="s">
        <v>167</v>
      </c>
      <c r="D632" s="259" t="s">
        <v>14136</v>
      </c>
      <c r="E632" s="210" t="s">
        <v>6305</v>
      </c>
    </row>
    <row r="633" spans="1:5" ht="40.5">
      <c r="A633" s="258">
        <v>7044</v>
      </c>
      <c r="B633" s="257" t="s">
        <v>801</v>
      </c>
      <c r="C633" s="257" t="s">
        <v>167</v>
      </c>
      <c r="D633" s="259" t="s">
        <v>13898</v>
      </c>
      <c r="E633" s="210" t="s">
        <v>6305</v>
      </c>
    </row>
    <row r="634" spans="1:5" ht="27">
      <c r="A634" s="258">
        <v>7045</v>
      </c>
      <c r="B634" s="257" t="s">
        <v>802</v>
      </c>
      <c r="C634" s="257" t="s">
        <v>167</v>
      </c>
      <c r="D634" s="259" t="s">
        <v>14137</v>
      </c>
      <c r="E634" s="210" t="s">
        <v>6305</v>
      </c>
    </row>
    <row r="635" spans="1:5" ht="40.5">
      <c r="A635" s="258">
        <v>7046</v>
      </c>
      <c r="B635" s="257" t="s">
        <v>803</v>
      </c>
      <c r="C635" s="257" t="s">
        <v>167</v>
      </c>
      <c r="D635" s="259" t="s">
        <v>13982</v>
      </c>
      <c r="E635" s="210" t="s">
        <v>6305</v>
      </c>
    </row>
    <row r="636" spans="1:5" ht="40.5">
      <c r="A636" s="258">
        <v>7047</v>
      </c>
      <c r="B636" s="257" t="s">
        <v>804</v>
      </c>
      <c r="C636" s="257" t="s">
        <v>167</v>
      </c>
      <c r="D636" s="259" t="s">
        <v>14138</v>
      </c>
      <c r="E636" s="210" t="s">
        <v>6305</v>
      </c>
    </row>
    <row r="637" spans="1:5" ht="40.5">
      <c r="A637" s="258">
        <v>7051</v>
      </c>
      <c r="B637" s="257" t="s">
        <v>805</v>
      </c>
      <c r="C637" s="257" t="s">
        <v>167</v>
      </c>
      <c r="D637" s="259" t="s">
        <v>14139</v>
      </c>
      <c r="E637" s="210" t="s">
        <v>6305</v>
      </c>
    </row>
    <row r="638" spans="1:5" ht="40.5">
      <c r="A638" s="258">
        <v>7052</v>
      </c>
      <c r="B638" s="257" t="s">
        <v>806</v>
      </c>
      <c r="C638" s="257" t="s">
        <v>167</v>
      </c>
      <c r="D638" s="259" t="s">
        <v>14140</v>
      </c>
      <c r="E638" s="210" t="s">
        <v>6305</v>
      </c>
    </row>
    <row r="639" spans="1:5" ht="40.5">
      <c r="A639" s="258">
        <v>7053</v>
      </c>
      <c r="B639" s="257" t="s">
        <v>807</v>
      </c>
      <c r="C639" s="257" t="s">
        <v>167</v>
      </c>
      <c r="D639" s="259" t="s">
        <v>14141</v>
      </c>
      <c r="E639" s="210" t="s">
        <v>6305</v>
      </c>
    </row>
    <row r="640" spans="1:5" ht="40.5">
      <c r="A640" s="258">
        <v>7054</v>
      </c>
      <c r="B640" s="257" t="s">
        <v>808</v>
      </c>
      <c r="C640" s="257" t="s">
        <v>167</v>
      </c>
      <c r="D640" s="259" t="s">
        <v>14142</v>
      </c>
      <c r="E640" s="210" t="s">
        <v>6305</v>
      </c>
    </row>
    <row r="641" spans="1:5" ht="40.5">
      <c r="A641" s="258">
        <v>7058</v>
      </c>
      <c r="B641" s="257" t="s">
        <v>809</v>
      </c>
      <c r="C641" s="257" t="s">
        <v>167</v>
      </c>
      <c r="D641" s="259" t="s">
        <v>14143</v>
      </c>
      <c r="E641" s="210" t="s">
        <v>6305</v>
      </c>
    </row>
    <row r="642" spans="1:5" ht="27">
      <c r="A642" s="258">
        <v>7059</v>
      </c>
      <c r="B642" s="257" t="s">
        <v>810</v>
      </c>
      <c r="C642" s="257" t="s">
        <v>167</v>
      </c>
      <c r="D642" s="259" t="s">
        <v>14144</v>
      </c>
      <c r="E642" s="210" t="s">
        <v>6305</v>
      </c>
    </row>
    <row r="643" spans="1:5" ht="40.5">
      <c r="A643" s="258">
        <v>7060</v>
      </c>
      <c r="B643" s="257" t="s">
        <v>811</v>
      </c>
      <c r="C643" s="257" t="s">
        <v>167</v>
      </c>
      <c r="D643" s="259" t="s">
        <v>14145</v>
      </c>
      <c r="E643" s="210" t="s">
        <v>6305</v>
      </c>
    </row>
    <row r="644" spans="1:5" ht="40.5">
      <c r="A644" s="258">
        <v>7061</v>
      </c>
      <c r="B644" s="257" t="s">
        <v>812</v>
      </c>
      <c r="C644" s="257" t="s">
        <v>167</v>
      </c>
      <c r="D644" s="259" t="s">
        <v>14146</v>
      </c>
      <c r="E644" s="210" t="s">
        <v>6305</v>
      </c>
    </row>
    <row r="645" spans="1:5" ht="27">
      <c r="A645" s="258">
        <v>7063</v>
      </c>
      <c r="B645" s="257" t="s">
        <v>813</v>
      </c>
      <c r="C645" s="257" t="s">
        <v>167</v>
      </c>
      <c r="D645" s="259" t="s">
        <v>14147</v>
      </c>
      <c r="E645" s="210" t="s">
        <v>6305</v>
      </c>
    </row>
    <row r="646" spans="1:5" ht="13.5">
      <c r="A646" s="258">
        <v>7064</v>
      </c>
      <c r="B646" s="257" t="s">
        <v>814</v>
      </c>
      <c r="C646" s="257" t="s">
        <v>167</v>
      </c>
      <c r="D646" s="259" t="s">
        <v>14148</v>
      </c>
      <c r="E646" s="210" t="s">
        <v>6305</v>
      </c>
    </row>
    <row r="647" spans="1:5" ht="27">
      <c r="A647" s="258">
        <v>7065</v>
      </c>
      <c r="B647" s="257" t="s">
        <v>815</v>
      </c>
      <c r="C647" s="257" t="s">
        <v>167</v>
      </c>
      <c r="D647" s="259" t="s">
        <v>13872</v>
      </c>
      <c r="E647" s="210" t="s">
        <v>6305</v>
      </c>
    </row>
    <row r="648" spans="1:5" ht="27">
      <c r="A648" s="258">
        <v>7066</v>
      </c>
      <c r="B648" s="257" t="s">
        <v>816</v>
      </c>
      <c r="C648" s="257" t="s">
        <v>167</v>
      </c>
      <c r="D648" s="259" t="s">
        <v>14149</v>
      </c>
      <c r="E648" s="210" t="s">
        <v>6305</v>
      </c>
    </row>
    <row r="649" spans="1:5" ht="40.5">
      <c r="A649" s="258">
        <v>53786</v>
      </c>
      <c r="B649" s="257" t="s">
        <v>817</v>
      </c>
      <c r="C649" s="257" t="s">
        <v>167</v>
      </c>
      <c r="D649" s="259" t="s">
        <v>14150</v>
      </c>
      <c r="E649" s="210" t="s">
        <v>6305</v>
      </c>
    </row>
    <row r="650" spans="1:5" ht="40.5">
      <c r="A650" s="258">
        <v>53788</v>
      </c>
      <c r="B650" s="257" t="s">
        <v>818</v>
      </c>
      <c r="C650" s="257" t="s">
        <v>167</v>
      </c>
      <c r="D650" s="259" t="s">
        <v>14151</v>
      </c>
      <c r="E650" s="210" t="s">
        <v>6305</v>
      </c>
    </row>
    <row r="651" spans="1:5" ht="40.5">
      <c r="A651" s="258">
        <v>53792</v>
      </c>
      <c r="B651" s="257" t="s">
        <v>819</v>
      </c>
      <c r="C651" s="257" t="s">
        <v>167</v>
      </c>
      <c r="D651" s="259" t="s">
        <v>14152</v>
      </c>
      <c r="E651" s="210" t="s">
        <v>6305</v>
      </c>
    </row>
    <row r="652" spans="1:5" ht="27">
      <c r="A652" s="258">
        <v>53794</v>
      </c>
      <c r="B652" s="257" t="s">
        <v>820</v>
      </c>
      <c r="C652" s="257" t="s">
        <v>167</v>
      </c>
      <c r="D652" s="259" t="s">
        <v>14153</v>
      </c>
      <c r="E652" s="210" t="s">
        <v>6305</v>
      </c>
    </row>
    <row r="653" spans="1:5" ht="40.5">
      <c r="A653" s="258">
        <v>53797</v>
      </c>
      <c r="B653" s="257" t="s">
        <v>821</v>
      </c>
      <c r="C653" s="257" t="s">
        <v>167</v>
      </c>
      <c r="D653" s="259" t="s">
        <v>14154</v>
      </c>
      <c r="E653" s="210" t="s">
        <v>6305</v>
      </c>
    </row>
    <row r="654" spans="1:5" ht="27">
      <c r="A654" s="258">
        <v>53804</v>
      </c>
      <c r="B654" s="257" t="s">
        <v>822</v>
      </c>
      <c r="C654" s="257" t="s">
        <v>167</v>
      </c>
      <c r="D654" s="259" t="s">
        <v>14155</v>
      </c>
      <c r="E654" s="210" t="s">
        <v>6305</v>
      </c>
    </row>
    <row r="655" spans="1:5" ht="27">
      <c r="A655" s="258">
        <v>53806</v>
      </c>
      <c r="B655" s="257" t="s">
        <v>823</v>
      </c>
      <c r="C655" s="257" t="s">
        <v>167</v>
      </c>
      <c r="D655" s="259" t="s">
        <v>14156</v>
      </c>
      <c r="E655" s="210" t="s">
        <v>6305</v>
      </c>
    </row>
    <row r="656" spans="1:5" ht="27">
      <c r="A656" s="258">
        <v>53810</v>
      </c>
      <c r="B656" s="257" t="s">
        <v>824</v>
      </c>
      <c r="C656" s="257" t="s">
        <v>167</v>
      </c>
      <c r="D656" s="259" t="s">
        <v>14157</v>
      </c>
      <c r="E656" s="210" t="s">
        <v>6305</v>
      </c>
    </row>
    <row r="657" spans="1:5" ht="27">
      <c r="A657" s="258">
        <v>53814</v>
      </c>
      <c r="B657" s="257" t="s">
        <v>825</v>
      </c>
      <c r="C657" s="257" t="s">
        <v>167</v>
      </c>
      <c r="D657" s="259" t="s">
        <v>14158</v>
      </c>
      <c r="E657" s="210" t="s">
        <v>6305</v>
      </c>
    </row>
    <row r="658" spans="1:5" ht="27">
      <c r="A658" s="258">
        <v>53817</v>
      </c>
      <c r="B658" s="257" t="s">
        <v>826</v>
      </c>
      <c r="C658" s="257" t="s">
        <v>167</v>
      </c>
      <c r="D658" s="259" t="s">
        <v>14159</v>
      </c>
      <c r="E658" s="210" t="s">
        <v>6305</v>
      </c>
    </row>
    <row r="659" spans="1:5" ht="27">
      <c r="A659" s="258">
        <v>53818</v>
      </c>
      <c r="B659" s="257" t="s">
        <v>827</v>
      </c>
      <c r="C659" s="257" t="s">
        <v>167</v>
      </c>
      <c r="D659" s="259" t="s">
        <v>13870</v>
      </c>
      <c r="E659" s="210" t="s">
        <v>6305</v>
      </c>
    </row>
    <row r="660" spans="1:5" ht="27">
      <c r="A660" s="258">
        <v>53827</v>
      </c>
      <c r="B660" s="257" t="s">
        <v>828</v>
      </c>
      <c r="C660" s="257" t="s">
        <v>167</v>
      </c>
      <c r="D660" s="259" t="s">
        <v>14160</v>
      </c>
      <c r="E660" s="210" t="s">
        <v>6305</v>
      </c>
    </row>
    <row r="661" spans="1:5" ht="27">
      <c r="A661" s="258">
        <v>53829</v>
      </c>
      <c r="B661" s="257" t="s">
        <v>829</v>
      </c>
      <c r="C661" s="257" t="s">
        <v>167</v>
      </c>
      <c r="D661" s="259" t="s">
        <v>14154</v>
      </c>
      <c r="E661" s="210" t="s">
        <v>6305</v>
      </c>
    </row>
    <row r="662" spans="1:5" ht="40.5">
      <c r="A662" s="258">
        <v>53831</v>
      </c>
      <c r="B662" s="257" t="s">
        <v>830</v>
      </c>
      <c r="C662" s="257" t="s">
        <v>167</v>
      </c>
      <c r="D662" s="259" t="s">
        <v>14161</v>
      </c>
      <c r="E662" s="210" t="s">
        <v>6305</v>
      </c>
    </row>
    <row r="663" spans="1:5" ht="27">
      <c r="A663" s="258">
        <v>53840</v>
      </c>
      <c r="B663" s="257" t="s">
        <v>831</v>
      </c>
      <c r="C663" s="257" t="s">
        <v>167</v>
      </c>
      <c r="D663" s="259" t="s">
        <v>14162</v>
      </c>
      <c r="E663" s="210" t="s">
        <v>6305</v>
      </c>
    </row>
    <row r="664" spans="1:5" ht="27">
      <c r="A664" s="258">
        <v>53841</v>
      </c>
      <c r="B664" s="257" t="s">
        <v>832</v>
      </c>
      <c r="C664" s="257" t="s">
        <v>167</v>
      </c>
      <c r="D664" s="259" t="s">
        <v>14163</v>
      </c>
      <c r="E664" s="210" t="s">
        <v>6305</v>
      </c>
    </row>
    <row r="665" spans="1:5" ht="27">
      <c r="A665" s="258">
        <v>53849</v>
      </c>
      <c r="B665" s="257" t="s">
        <v>833</v>
      </c>
      <c r="C665" s="257" t="s">
        <v>167</v>
      </c>
      <c r="D665" s="259" t="s">
        <v>14164</v>
      </c>
      <c r="E665" s="210" t="s">
        <v>6305</v>
      </c>
    </row>
    <row r="666" spans="1:5" ht="27">
      <c r="A666" s="258">
        <v>53857</v>
      </c>
      <c r="B666" s="257" t="s">
        <v>834</v>
      </c>
      <c r="C666" s="257" t="s">
        <v>167</v>
      </c>
      <c r="D666" s="259" t="s">
        <v>14165</v>
      </c>
      <c r="E666" s="210" t="s">
        <v>6305</v>
      </c>
    </row>
    <row r="667" spans="1:5" ht="27">
      <c r="A667" s="258">
        <v>53858</v>
      </c>
      <c r="B667" s="257" t="s">
        <v>835</v>
      </c>
      <c r="C667" s="257" t="s">
        <v>167</v>
      </c>
      <c r="D667" s="259" t="s">
        <v>14166</v>
      </c>
      <c r="E667" s="210" t="s">
        <v>6305</v>
      </c>
    </row>
    <row r="668" spans="1:5" ht="27">
      <c r="A668" s="258">
        <v>53861</v>
      </c>
      <c r="B668" s="257" t="s">
        <v>836</v>
      </c>
      <c r="C668" s="257" t="s">
        <v>167</v>
      </c>
      <c r="D668" s="259" t="s">
        <v>14167</v>
      </c>
      <c r="E668" s="210" t="s">
        <v>6305</v>
      </c>
    </row>
    <row r="669" spans="1:5" ht="13.5">
      <c r="A669" s="258">
        <v>53863</v>
      </c>
      <c r="B669" s="257" t="s">
        <v>837</v>
      </c>
      <c r="C669" s="257" t="s">
        <v>167</v>
      </c>
      <c r="D669" s="259" t="s">
        <v>13943</v>
      </c>
      <c r="E669" s="210" t="s">
        <v>6305</v>
      </c>
    </row>
    <row r="670" spans="1:5" ht="27">
      <c r="A670" s="258">
        <v>53865</v>
      </c>
      <c r="B670" s="257" t="s">
        <v>838</v>
      </c>
      <c r="C670" s="257" t="s">
        <v>167</v>
      </c>
      <c r="D670" s="259" t="s">
        <v>14168</v>
      </c>
      <c r="E670" s="210" t="s">
        <v>6305</v>
      </c>
    </row>
    <row r="671" spans="1:5" ht="27">
      <c r="A671" s="258">
        <v>53866</v>
      </c>
      <c r="B671" s="257" t="s">
        <v>839</v>
      </c>
      <c r="C671" s="257" t="s">
        <v>167</v>
      </c>
      <c r="D671" s="259" t="s">
        <v>14169</v>
      </c>
      <c r="E671" s="210" t="s">
        <v>6305</v>
      </c>
    </row>
    <row r="672" spans="1:5" ht="27">
      <c r="A672" s="258">
        <v>53882</v>
      </c>
      <c r="B672" s="257" t="s">
        <v>840</v>
      </c>
      <c r="C672" s="257" t="s">
        <v>167</v>
      </c>
      <c r="D672" s="259" t="s">
        <v>14170</v>
      </c>
      <c r="E672" s="210" t="s">
        <v>6305</v>
      </c>
    </row>
    <row r="673" spans="1:5" ht="27">
      <c r="A673" s="258">
        <v>55263</v>
      </c>
      <c r="B673" s="257" t="s">
        <v>841</v>
      </c>
      <c r="C673" s="257" t="s">
        <v>167</v>
      </c>
      <c r="D673" s="259" t="s">
        <v>14092</v>
      </c>
      <c r="E673" s="210" t="s">
        <v>6305</v>
      </c>
    </row>
    <row r="674" spans="1:5" ht="13.5">
      <c r="A674" s="258">
        <v>73303</v>
      </c>
      <c r="B674" s="257" t="s">
        <v>842</v>
      </c>
      <c r="C674" s="257" t="s">
        <v>167</v>
      </c>
      <c r="D674" s="259" t="s">
        <v>14171</v>
      </c>
      <c r="E674" s="210" t="s">
        <v>6305</v>
      </c>
    </row>
    <row r="675" spans="1:5" ht="13.5">
      <c r="A675" s="258">
        <v>73307</v>
      </c>
      <c r="B675" s="257" t="s">
        <v>843</v>
      </c>
      <c r="C675" s="257" t="s">
        <v>167</v>
      </c>
      <c r="D675" s="259" t="s">
        <v>14172</v>
      </c>
      <c r="E675" s="210" t="s">
        <v>6305</v>
      </c>
    </row>
    <row r="676" spans="1:5" ht="27">
      <c r="A676" s="258">
        <v>73309</v>
      </c>
      <c r="B676" s="257" t="s">
        <v>844</v>
      </c>
      <c r="C676" s="257" t="s">
        <v>167</v>
      </c>
      <c r="D676" s="259" t="s">
        <v>14173</v>
      </c>
      <c r="E676" s="210" t="s">
        <v>6305</v>
      </c>
    </row>
    <row r="677" spans="1:5" ht="13.5">
      <c r="A677" s="258">
        <v>73311</v>
      </c>
      <c r="B677" s="257" t="s">
        <v>845</v>
      </c>
      <c r="C677" s="257" t="s">
        <v>167</v>
      </c>
      <c r="D677" s="259" t="s">
        <v>14174</v>
      </c>
      <c r="E677" s="210" t="s">
        <v>6305</v>
      </c>
    </row>
    <row r="678" spans="1:5" ht="27">
      <c r="A678" s="258">
        <v>73313</v>
      </c>
      <c r="B678" s="257" t="s">
        <v>846</v>
      </c>
      <c r="C678" s="257" t="s">
        <v>167</v>
      </c>
      <c r="D678" s="259" t="s">
        <v>14175</v>
      </c>
      <c r="E678" s="210" t="s">
        <v>6305</v>
      </c>
    </row>
    <row r="679" spans="1:5" ht="27">
      <c r="A679" s="258">
        <v>73315</v>
      </c>
      <c r="B679" s="257" t="s">
        <v>847</v>
      </c>
      <c r="C679" s="257" t="s">
        <v>167</v>
      </c>
      <c r="D679" s="259" t="s">
        <v>14151</v>
      </c>
      <c r="E679" s="210" t="s">
        <v>6305</v>
      </c>
    </row>
    <row r="680" spans="1:5" ht="40.5">
      <c r="A680" s="258">
        <v>73335</v>
      </c>
      <c r="B680" s="257" t="s">
        <v>848</v>
      </c>
      <c r="C680" s="257" t="s">
        <v>167</v>
      </c>
      <c r="D680" s="259" t="s">
        <v>13683</v>
      </c>
      <c r="E680" s="210" t="s">
        <v>6305</v>
      </c>
    </row>
    <row r="681" spans="1:5" ht="40.5">
      <c r="A681" s="258">
        <v>73340</v>
      </c>
      <c r="B681" s="257" t="s">
        <v>849</v>
      </c>
      <c r="C681" s="257" t="s">
        <v>167</v>
      </c>
      <c r="D681" s="259" t="s">
        <v>14146</v>
      </c>
      <c r="E681" s="210" t="s">
        <v>6305</v>
      </c>
    </row>
    <row r="682" spans="1:5" ht="40.5">
      <c r="A682" s="258">
        <v>83361</v>
      </c>
      <c r="B682" s="257" t="s">
        <v>850</v>
      </c>
      <c r="C682" s="257" t="s">
        <v>167</v>
      </c>
      <c r="D682" s="259" t="s">
        <v>14176</v>
      </c>
      <c r="E682" s="210" t="s">
        <v>6305</v>
      </c>
    </row>
    <row r="683" spans="1:5" ht="27">
      <c r="A683" s="258">
        <v>83761</v>
      </c>
      <c r="B683" s="257" t="s">
        <v>851</v>
      </c>
      <c r="C683" s="257" t="s">
        <v>167</v>
      </c>
      <c r="D683" s="259" t="s">
        <v>14177</v>
      </c>
      <c r="E683" s="210" t="s">
        <v>6305</v>
      </c>
    </row>
    <row r="684" spans="1:5" ht="27">
      <c r="A684" s="258">
        <v>83762</v>
      </c>
      <c r="B684" s="257" t="s">
        <v>852</v>
      </c>
      <c r="C684" s="257" t="s">
        <v>167</v>
      </c>
      <c r="D684" s="259" t="s">
        <v>14178</v>
      </c>
      <c r="E684" s="210" t="s">
        <v>6305</v>
      </c>
    </row>
    <row r="685" spans="1:5" ht="27">
      <c r="A685" s="258">
        <v>83763</v>
      </c>
      <c r="B685" s="257" t="s">
        <v>853</v>
      </c>
      <c r="C685" s="257" t="s">
        <v>167</v>
      </c>
      <c r="D685" s="259" t="s">
        <v>14179</v>
      </c>
      <c r="E685" s="210" t="s">
        <v>6305</v>
      </c>
    </row>
    <row r="686" spans="1:5" ht="27">
      <c r="A686" s="258">
        <v>83764</v>
      </c>
      <c r="B686" s="257" t="s">
        <v>854</v>
      </c>
      <c r="C686" s="257" t="s">
        <v>167</v>
      </c>
      <c r="D686" s="259" t="s">
        <v>13750</v>
      </c>
      <c r="E686" s="210" t="s">
        <v>6305</v>
      </c>
    </row>
    <row r="687" spans="1:5" ht="27">
      <c r="A687" s="258">
        <v>87026</v>
      </c>
      <c r="B687" s="257" t="s">
        <v>855</v>
      </c>
      <c r="C687" s="257" t="s">
        <v>167</v>
      </c>
      <c r="D687" s="259" t="s">
        <v>13898</v>
      </c>
      <c r="E687" s="210" t="s">
        <v>6305</v>
      </c>
    </row>
    <row r="688" spans="1:5" ht="27">
      <c r="A688" s="258">
        <v>87441</v>
      </c>
      <c r="B688" s="257" t="s">
        <v>856</v>
      </c>
      <c r="C688" s="257" t="s">
        <v>167</v>
      </c>
      <c r="D688" s="259" t="s">
        <v>14180</v>
      </c>
      <c r="E688" s="210" t="s">
        <v>6305</v>
      </c>
    </row>
    <row r="689" spans="1:5" ht="27">
      <c r="A689" s="258">
        <v>87442</v>
      </c>
      <c r="B689" s="257" t="s">
        <v>857</v>
      </c>
      <c r="C689" s="257" t="s">
        <v>167</v>
      </c>
      <c r="D689" s="259" t="s">
        <v>14059</v>
      </c>
      <c r="E689" s="210" t="s">
        <v>6305</v>
      </c>
    </row>
    <row r="690" spans="1:5" ht="27">
      <c r="A690" s="258">
        <v>87443</v>
      </c>
      <c r="B690" s="257" t="s">
        <v>858</v>
      </c>
      <c r="C690" s="257" t="s">
        <v>167</v>
      </c>
      <c r="D690" s="259" t="s">
        <v>14181</v>
      </c>
      <c r="E690" s="210" t="s">
        <v>6305</v>
      </c>
    </row>
    <row r="691" spans="1:5" ht="27">
      <c r="A691" s="258">
        <v>87444</v>
      </c>
      <c r="B691" s="257" t="s">
        <v>859</v>
      </c>
      <c r="C691" s="257" t="s">
        <v>167</v>
      </c>
      <c r="D691" s="259" t="s">
        <v>14182</v>
      </c>
      <c r="E691" s="210" t="s">
        <v>6305</v>
      </c>
    </row>
    <row r="692" spans="1:5" ht="27">
      <c r="A692" s="258">
        <v>88387</v>
      </c>
      <c r="B692" s="257" t="s">
        <v>860</v>
      </c>
      <c r="C692" s="257" t="s">
        <v>167</v>
      </c>
      <c r="D692" s="259" t="s">
        <v>14183</v>
      </c>
      <c r="E692" s="210" t="s">
        <v>6305</v>
      </c>
    </row>
    <row r="693" spans="1:5" ht="27">
      <c r="A693" s="258">
        <v>88389</v>
      </c>
      <c r="B693" s="257" t="s">
        <v>861</v>
      </c>
      <c r="C693" s="257" t="s">
        <v>167</v>
      </c>
      <c r="D693" s="259" t="s">
        <v>14084</v>
      </c>
      <c r="E693" s="210" t="s">
        <v>6305</v>
      </c>
    </row>
    <row r="694" spans="1:5" ht="27">
      <c r="A694" s="258">
        <v>88390</v>
      </c>
      <c r="B694" s="257" t="s">
        <v>862</v>
      </c>
      <c r="C694" s="257" t="s">
        <v>167</v>
      </c>
      <c r="D694" s="259" t="s">
        <v>14184</v>
      </c>
      <c r="E694" s="210" t="s">
        <v>6305</v>
      </c>
    </row>
    <row r="695" spans="1:5" ht="27">
      <c r="A695" s="258">
        <v>88391</v>
      </c>
      <c r="B695" s="257" t="s">
        <v>863</v>
      </c>
      <c r="C695" s="257" t="s">
        <v>167</v>
      </c>
      <c r="D695" s="259" t="s">
        <v>14185</v>
      </c>
      <c r="E695" s="210" t="s">
        <v>6305</v>
      </c>
    </row>
    <row r="696" spans="1:5" ht="27">
      <c r="A696" s="258">
        <v>88394</v>
      </c>
      <c r="B696" s="257" t="s">
        <v>864</v>
      </c>
      <c r="C696" s="257" t="s">
        <v>167</v>
      </c>
      <c r="D696" s="259" t="s">
        <v>14186</v>
      </c>
      <c r="E696" s="210" t="s">
        <v>6305</v>
      </c>
    </row>
    <row r="697" spans="1:5" ht="27">
      <c r="A697" s="258">
        <v>88395</v>
      </c>
      <c r="B697" s="257" t="s">
        <v>865</v>
      </c>
      <c r="C697" s="257" t="s">
        <v>167</v>
      </c>
      <c r="D697" s="259" t="s">
        <v>14187</v>
      </c>
      <c r="E697" s="210" t="s">
        <v>6305</v>
      </c>
    </row>
    <row r="698" spans="1:5" ht="27">
      <c r="A698" s="258">
        <v>88396</v>
      </c>
      <c r="B698" s="257" t="s">
        <v>866</v>
      </c>
      <c r="C698" s="257" t="s">
        <v>167</v>
      </c>
      <c r="D698" s="259" t="s">
        <v>14188</v>
      </c>
      <c r="E698" s="210" t="s">
        <v>6305</v>
      </c>
    </row>
    <row r="699" spans="1:5" ht="27">
      <c r="A699" s="258">
        <v>88397</v>
      </c>
      <c r="B699" s="257" t="s">
        <v>867</v>
      </c>
      <c r="C699" s="257" t="s">
        <v>167</v>
      </c>
      <c r="D699" s="259" t="s">
        <v>13613</v>
      </c>
      <c r="E699" s="210" t="s">
        <v>6305</v>
      </c>
    </row>
    <row r="700" spans="1:5" ht="27">
      <c r="A700" s="258">
        <v>88400</v>
      </c>
      <c r="B700" s="257" t="s">
        <v>868</v>
      </c>
      <c r="C700" s="257" t="s">
        <v>167</v>
      </c>
      <c r="D700" s="259" t="s">
        <v>14189</v>
      </c>
      <c r="E700" s="210" t="s">
        <v>6305</v>
      </c>
    </row>
    <row r="701" spans="1:5" ht="27">
      <c r="A701" s="258">
        <v>88401</v>
      </c>
      <c r="B701" s="257" t="s">
        <v>869</v>
      </c>
      <c r="C701" s="257" t="s">
        <v>167</v>
      </c>
      <c r="D701" s="259" t="s">
        <v>14084</v>
      </c>
      <c r="E701" s="210" t="s">
        <v>6305</v>
      </c>
    </row>
    <row r="702" spans="1:5" ht="27">
      <c r="A702" s="258">
        <v>88402</v>
      </c>
      <c r="B702" s="257" t="s">
        <v>870</v>
      </c>
      <c r="C702" s="257" t="s">
        <v>167</v>
      </c>
      <c r="D702" s="259" t="s">
        <v>14190</v>
      </c>
      <c r="E702" s="210" t="s">
        <v>6305</v>
      </c>
    </row>
    <row r="703" spans="1:5" ht="27">
      <c r="A703" s="258">
        <v>88403</v>
      </c>
      <c r="B703" s="257" t="s">
        <v>871</v>
      </c>
      <c r="C703" s="257" t="s">
        <v>167</v>
      </c>
      <c r="D703" s="259" t="s">
        <v>13643</v>
      </c>
      <c r="E703" s="210" t="s">
        <v>6305</v>
      </c>
    </row>
    <row r="704" spans="1:5" ht="27">
      <c r="A704" s="258">
        <v>88419</v>
      </c>
      <c r="B704" s="257" t="s">
        <v>872</v>
      </c>
      <c r="C704" s="257" t="s">
        <v>167</v>
      </c>
      <c r="D704" s="259" t="s">
        <v>14191</v>
      </c>
      <c r="E704" s="210" t="s">
        <v>6305</v>
      </c>
    </row>
    <row r="705" spans="1:5" ht="27">
      <c r="A705" s="258">
        <v>88422</v>
      </c>
      <c r="B705" s="257" t="s">
        <v>873</v>
      </c>
      <c r="C705" s="257" t="s">
        <v>167</v>
      </c>
      <c r="D705" s="259" t="s">
        <v>14192</v>
      </c>
      <c r="E705" s="210" t="s">
        <v>6305</v>
      </c>
    </row>
    <row r="706" spans="1:5" ht="27">
      <c r="A706" s="258">
        <v>88425</v>
      </c>
      <c r="B706" s="257" t="s">
        <v>874</v>
      </c>
      <c r="C706" s="257" t="s">
        <v>167</v>
      </c>
      <c r="D706" s="259" t="s">
        <v>14193</v>
      </c>
      <c r="E706" s="210" t="s">
        <v>6305</v>
      </c>
    </row>
    <row r="707" spans="1:5" ht="27">
      <c r="A707" s="258">
        <v>88427</v>
      </c>
      <c r="B707" s="257" t="s">
        <v>875</v>
      </c>
      <c r="C707" s="257" t="s">
        <v>167</v>
      </c>
      <c r="D707" s="259" t="s">
        <v>14194</v>
      </c>
      <c r="E707" s="210" t="s">
        <v>6305</v>
      </c>
    </row>
    <row r="708" spans="1:5" ht="27">
      <c r="A708" s="258">
        <v>88434</v>
      </c>
      <c r="B708" s="257" t="s">
        <v>876</v>
      </c>
      <c r="C708" s="257" t="s">
        <v>167</v>
      </c>
      <c r="D708" s="259" t="s">
        <v>14195</v>
      </c>
      <c r="E708" s="210" t="s">
        <v>6305</v>
      </c>
    </row>
    <row r="709" spans="1:5" ht="27">
      <c r="A709" s="258">
        <v>88435</v>
      </c>
      <c r="B709" s="257" t="s">
        <v>877</v>
      </c>
      <c r="C709" s="257" t="s">
        <v>167</v>
      </c>
      <c r="D709" s="259" t="s">
        <v>14026</v>
      </c>
      <c r="E709" s="210" t="s">
        <v>6305</v>
      </c>
    </row>
    <row r="710" spans="1:5" ht="27">
      <c r="A710" s="258">
        <v>88436</v>
      </c>
      <c r="B710" s="257" t="s">
        <v>878</v>
      </c>
      <c r="C710" s="257" t="s">
        <v>167</v>
      </c>
      <c r="D710" s="259" t="s">
        <v>14196</v>
      </c>
      <c r="E710" s="210" t="s">
        <v>6305</v>
      </c>
    </row>
    <row r="711" spans="1:5" ht="27">
      <c r="A711" s="258">
        <v>88437</v>
      </c>
      <c r="B711" s="257" t="s">
        <v>879</v>
      </c>
      <c r="C711" s="257" t="s">
        <v>167</v>
      </c>
      <c r="D711" s="259" t="s">
        <v>14194</v>
      </c>
      <c r="E711" s="210" t="s">
        <v>6305</v>
      </c>
    </row>
    <row r="712" spans="1:5" ht="27">
      <c r="A712" s="258">
        <v>88569</v>
      </c>
      <c r="B712" s="257" t="s">
        <v>880</v>
      </c>
      <c r="C712" s="257" t="s">
        <v>167</v>
      </c>
      <c r="D712" s="259" t="s">
        <v>14197</v>
      </c>
      <c r="E712" s="210" t="s">
        <v>6305</v>
      </c>
    </row>
    <row r="713" spans="1:5" ht="27">
      <c r="A713" s="258">
        <v>88570</v>
      </c>
      <c r="B713" s="257" t="s">
        <v>881</v>
      </c>
      <c r="C713" s="257" t="s">
        <v>167</v>
      </c>
      <c r="D713" s="259" t="s">
        <v>14198</v>
      </c>
      <c r="E713" s="210" t="s">
        <v>6305</v>
      </c>
    </row>
    <row r="714" spans="1:5" ht="27">
      <c r="A714" s="258">
        <v>88826</v>
      </c>
      <c r="B714" s="257" t="s">
        <v>882</v>
      </c>
      <c r="C714" s="257" t="s">
        <v>167</v>
      </c>
      <c r="D714" s="259" t="s">
        <v>14199</v>
      </c>
      <c r="E714" s="210" t="s">
        <v>6305</v>
      </c>
    </row>
    <row r="715" spans="1:5" ht="27">
      <c r="A715" s="258">
        <v>88827</v>
      </c>
      <c r="B715" s="257" t="s">
        <v>883</v>
      </c>
      <c r="C715" s="257" t="s">
        <v>167</v>
      </c>
      <c r="D715" s="259" t="s">
        <v>14137</v>
      </c>
      <c r="E715" s="210" t="s">
        <v>6305</v>
      </c>
    </row>
    <row r="716" spans="1:5" ht="27">
      <c r="A716" s="258">
        <v>88828</v>
      </c>
      <c r="B716" s="257" t="s">
        <v>884</v>
      </c>
      <c r="C716" s="257" t="s">
        <v>167</v>
      </c>
      <c r="D716" s="259" t="s">
        <v>14052</v>
      </c>
      <c r="E716" s="210" t="s">
        <v>6305</v>
      </c>
    </row>
    <row r="717" spans="1:5" ht="27">
      <c r="A717" s="258">
        <v>88829</v>
      </c>
      <c r="B717" s="257" t="s">
        <v>885</v>
      </c>
      <c r="C717" s="257" t="s">
        <v>167</v>
      </c>
      <c r="D717" s="259" t="s">
        <v>14186</v>
      </c>
      <c r="E717" s="210" t="s">
        <v>6305</v>
      </c>
    </row>
    <row r="718" spans="1:5" ht="27">
      <c r="A718" s="258">
        <v>88832</v>
      </c>
      <c r="B718" s="257" t="s">
        <v>886</v>
      </c>
      <c r="C718" s="257" t="s">
        <v>167</v>
      </c>
      <c r="D718" s="259" t="s">
        <v>14200</v>
      </c>
      <c r="E718" s="210" t="s">
        <v>6305</v>
      </c>
    </row>
    <row r="719" spans="1:5" ht="27">
      <c r="A719" s="258">
        <v>88834</v>
      </c>
      <c r="B719" s="257" t="s">
        <v>887</v>
      </c>
      <c r="C719" s="257" t="s">
        <v>167</v>
      </c>
      <c r="D719" s="259" t="s">
        <v>14201</v>
      </c>
      <c r="E719" s="210" t="s">
        <v>6305</v>
      </c>
    </row>
    <row r="720" spans="1:5" ht="27">
      <c r="A720" s="258">
        <v>88835</v>
      </c>
      <c r="B720" s="257" t="s">
        <v>888</v>
      </c>
      <c r="C720" s="257" t="s">
        <v>167</v>
      </c>
      <c r="D720" s="259" t="s">
        <v>14202</v>
      </c>
      <c r="E720" s="210" t="s">
        <v>6305</v>
      </c>
    </row>
    <row r="721" spans="1:5" ht="27">
      <c r="A721" s="258">
        <v>88836</v>
      </c>
      <c r="B721" s="257" t="s">
        <v>889</v>
      </c>
      <c r="C721" s="257" t="s">
        <v>167</v>
      </c>
      <c r="D721" s="259" t="s">
        <v>14203</v>
      </c>
      <c r="E721" s="210" t="s">
        <v>6305</v>
      </c>
    </row>
    <row r="722" spans="1:5" ht="27">
      <c r="A722" s="258">
        <v>88839</v>
      </c>
      <c r="B722" s="257" t="s">
        <v>890</v>
      </c>
      <c r="C722" s="257" t="s">
        <v>167</v>
      </c>
      <c r="D722" s="259" t="s">
        <v>14204</v>
      </c>
      <c r="E722" s="210" t="s">
        <v>6305</v>
      </c>
    </row>
    <row r="723" spans="1:5" ht="27">
      <c r="A723" s="258">
        <v>88840</v>
      </c>
      <c r="B723" s="257" t="s">
        <v>891</v>
      </c>
      <c r="C723" s="257" t="s">
        <v>167</v>
      </c>
      <c r="D723" s="259" t="s">
        <v>14205</v>
      </c>
      <c r="E723" s="210" t="s">
        <v>6305</v>
      </c>
    </row>
    <row r="724" spans="1:5" ht="27">
      <c r="A724" s="258">
        <v>88841</v>
      </c>
      <c r="B724" s="257" t="s">
        <v>892</v>
      </c>
      <c r="C724" s="257" t="s">
        <v>167</v>
      </c>
      <c r="D724" s="259" t="s">
        <v>14206</v>
      </c>
      <c r="E724" s="210" t="s">
        <v>6305</v>
      </c>
    </row>
    <row r="725" spans="1:5" ht="27">
      <c r="A725" s="258">
        <v>88842</v>
      </c>
      <c r="B725" s="257" t="s">
        <v>893</v>
      </c>
      <c r="C725" s="257" t="s">
        <v>167</v>
      </c>
      <c r="D725" s="259" t="s">
        <v>14207</v>
      </c>
      <c r="E725" s="210" t="s">
        <v>6305</v>
      </c>
    </row>
    <row r="726" spans="1:5" ht="40.5">
      <c r="A726" s="258">
        <v>88847</v>
      </c>
      <c r="B726" s="257" t="s">
        <v>894</v>
      </c>
      <c r="C726" s="257" t="s">
        <v>167</v>
      </c>
      <c r="D726" s="259" t="s">
        <v>14208</v>
      </c>
      <c r="E726" s="210" t="s">
        <v>6305</v>
      </c>
    </row>
    <row r="727" spans="1:5" ht="40.5">
      <c r="A727" s="258">
        <v>88848</v>
      </c>
      <c r="B727" s="257" t="s">
        <v>895</v>
      </c>
      <c r="C727" s="257" t="s">
        <v>167</v>
      </c>
      <c r="D727" s="259" t="s">
        <v>14209</v>
      </c>
      <c r="E727" s="210" t="s">
        <v>6305</v>
      </c>
    </row>
    <row r="728" spans="1:5" ht="27">
      <c r="A728" s="258">
        <v>88853</v>
      </c>
      <c r="B728" s="257" t="s">
        <v>896</v>
      </c>
      <c r="C728" s="257" t="s">
        <v>167</v>
      </c>
      <c r="D728" s="259" t="s">
        <v>14210</v>
      </c>
      <c r="E728" s="210" t="s">
        <v>6305</v>
      </c>
    </row>
    <row r="729" spans="1:5" ht="27">
      <c r="A729" s="258">
        <v>88854</v>
      </c>
      <c r="B729" s="257" t="s">
        <v>897</v>
      </c>
      <c r="C729" s="257" t="s">
        <v>167</v>
      </c>
      <c r="D729" s="259" t="s">
        <v>14211</v>
      </c>
      <c r="E729" s="210" t="s">
        <v>6305</v>
      </c>
    </row>
    <row r="730" spans="1:5" ht="27">
      <c r="A730" s="258">
        <v>88855</v>
      </c>
      <c r="B730" s="257" t="s">
        <v>898</v>
      </c>
      <c r="C730" s="257" t="s">
        <v>167</v>
      </c>
      <c r="D730" s="259" t="s">
        <v>14212</v>
      </c>
      <c r="E730" s="210" t="s">
        <v>6305</v>
      </c>
    </row>
    <row r="731" spans="1:5" ht="27">
      <c r="A731" s="258">
        <v>88856</v>
      </c>
      <c r="B731" s="257" t="s">
        <v>899</v>
      </c>
      <c r="C731" s="257" t="s">
        <v>167</v>
      </c>
      <c r="D731" s="259" t="s">
        <v>14199</v>
      </c>
      <c r="E731" s="210" t="s">
        <v>6305</v>
      </c>
    </row>
    <row r="732" spans="1:5" ht="40.5">
      <c r="A732" s="258">
        <v>88857</v>
      </c>
      <c r="B732" s="257" t="s">
        <v>900</v>
      </c>
      <c r="C732" s="257" t="s">
        <v>167</v>
      </c>
      <c r="D732" s="259" t="s">
        <v>14213</v>
      </c>
      <c r="E732" s="210" t="s">
        <v>6305</v>
      </c>
    </row>
    <row r="733" spans="1:5" ht="40.5">
      <c r="A733" s="258">
        <v>88858</v>
      </c>
      <c r="B733" s="257" t="s">
        <v>901</v>
      </c>
      <c r="C733" s="257" t="s">
        <v>167</v>
      </c>
      <c r="D733" s="259" t="s">
        <v>14214</v>
      </c>
      <c r="E733" s="210" t="s">
        <v>6305</v>
      </c>
    </row>
    <row r="734" spans="1:5" ht="40.5">
      <c r="A734" s="258">
        <v>88859</v>
      </c>
      <c r="B734" s="257" t="s">
        <v>902</v>
      </c>
      <c r="C734" s="257" t="s">
        <v>167</v>
      </c>
      <c r="D734" s="259" t="s">
        <v>14215</v>
      </c>
      <c r="E734" s="210" t="s">
        <v>6305</v>
      </c>
    </row>
    <row r="735" spans="1:5" ht="40.5">
      <c r="A735" s="258">
        <v>88860</v>
      </c>
      <c r="B735" s="257" t="s">
        <v>903</v>
      </c>
      <c r="C735" s="257" t="s">
        <v>167</v>
      </c>
      <c r="D735" s="259" t="s">
        <v>14216</v>
      </c>
      <c r="E735" s="210" t="s">
        <v>6305</v>
      </c>
    </row>
    <row r="736" spans="1:5" ht="27">
      <c r="A736" s="258">
        <v>88900</v>
      </c>
      <c r="B736" s="257" t="s">
        <v>904</v>
      </c>
      <c r="C736" s="257" t="s">
        <v>167</v>
      </c>
      <c r="D736" s="259" t="s">
        <v>14217</v>
      </c>
      <c r="E736" s="210" t="s">
        <v>6305</v>
      </c>
    </row>
    <row r="737" spans="1:5" ht="27">
      <c r="A737" s="258">
        <v>88902</v>
      </c>
      <c r="B737" s="257" t="s">
        <v>905</v>
      </c>
      <c r="C737" s="257" t="s">
        <v>167</v>
      </c>
      <c r="D737" s="259" t="s">
        <v>14218</v>
      </c>
      <c r="E737" s="210" t="s">
        <v>6305</v>
      </c>
    </row>
    <row r="738" spans="1:5" ht="27">
      <c r="A738" s="258">
        <v>88903</v>
      </c>
      <c r="B738" s="257" t="s">
        <v>906</v>
      </c>
      <c r="C738" s="257" t="s">
        <v>167</v>
      </c>
      <c r="D738" s="259" t="s">
        <v>14219</v>
      </c>
      <c r="E738" s="210" t="s">
        <v>6305</v>
      </c>
    </row>
    <row r="739" spans="1:5" ht="27">
      <c r="A739" s="258">
        <v>88904</v>
      </c>
      <c r="B739" s="257" t="s">
        <v>907</v>
      </c>
      <c r="C739" s="257" t="s">
        <v>167</v>
      </c>
      <c r="D739" s="259" t="s">
        <v>14220</v>
      </c>
      <c r="E739" s="210" t="s">
        <v>6305</v>
      </c>
    </row>
    <row r="740" spans="1:5" ht="27">
      <c r="A740" s="258">
        <v>89009</v>
      </c>
      <c r="B740" s="257" t="s">
        <v>908</v>
      </c>
      <c r="C740" s="257" t="s">
        <v>167</v>
      </c>
      <c r="D740" s="259" t="s">
        <v>14221</v>
      </c>
      <c r="E740" s="210" t="s">
        <v>6305</v>
      </c>
    </row>
    <row r="741" spans="1:5" ht="27">
      <c r="A741" s="258">
        <v>89010</v>
      </c>
      <c r="B741" s="257" t="s">
        <v>909</v>
      </c>
      <c r="C741" s="257" t="s">
        <v>167</v>
      </c>
      <c r="D741" s="259" t="s">
        <v>14222</v>
      </c>
      <c r="E741" s="210" t="s">
        <v>6305</v>
      </c>
    </row>
    <row r="742" spans="1:5" ht="40.5">
      <c r="A742" s="258">
        <v>89011</v>
      </c>
      <c r="B742" s="257" t="s">
        <v>910</v>
      </c>
      <c r="C742" s="257" t="s">
        <v>167</v>
      </c>
      <c r="D742" s="259" t="s">
        <v>14223</v>
      </c>
      <c r="E742" s="210" t="s">
        <v>6305</v>
      </c>
    </row>
    <row r="743" spans="1:5" ht="40.5">
      <c r="A743" s="258">
        <v>89012</v>
      </c>
      <c r="B743" s="257" t="s">
        <v>911</v>
      </c>
      <c r="C743" s="257" t="s">
        <v>167</v>
      </c>
      <c r="D743" s="259" t="s">
        <v>14224</v>
      </c>
      <c r="E743" s="210" t="s">
        <v>6305</v>
      </c>
    </row>
    <row r="744" spans="1:5" ht="27">
      <c r="A744" s="258">
        <v>89013</v>
      </c>
      <c r="B744" s="257" t="s">
        <v>912</v>
      </c>
      <c r="C744" s="257" t="s">
        <v>167</v>
      </c>
      <c r="D744" s="259" t="s">
        <v>14225</v>
      </c>
      <c r="E744" s="210" t="s">
        <v>6305</v>
      </c>
    </row>
    <row r="745" spans="1:5" ht="27">
      <c r="A745" s="258">
        <v>89014</v>
      </c>
      <c r="B745" s="257" t="s">
        <v>913</v>
      </c>
      <c r="C745" s="257" t="s">
        <v>167</v>
      </c>
      <c r="D745" s="259" t="s">
        <v>14226</v>
      </c>
      <c r="E745" s="210" t="s">
        <v>6305</v>
      </c>
    </row>
    <row r="746" spans="1:5" ht="27">
      <c r="A746" s="258">
        <v>89015</v>
      </c>
      <c r="B746" s="257" t="s">
        <v>914</v>
      </c>
      <c r="C746" s="257" t="s">
        <v>167</v>
      </c>
      <c r="D746" s="259" t="s">
        <v>14227</v>
      </c>
      <c r="E746" s="210" t="s">
        <v>6305</v>
      </c>
    </row>
    <row r="747" spans="1:5" ht="27">
      <c r="A747" s="258">
        <v>89016</v>
      </c>
      <c r="B747" s="257" t="s">
        <v>915</v>
      </c>
      <c r="C747" s="257" t="s">
        <v>167</v>
      </c>
      <c r="D747" s="259" t="s">
        <v>13992</v>
      </c>
      <c r="E747" s="210" t="s">
        <v>6305</v>
      </c>
    </row>
    <row r="748" spans="1:5" ht="27">
      <c r="A748" s="258">
        <v>89017</v>
      </c>
      <c r="B748" s="257" t="s">
        <v>916</v>
      </c>
      <c r="C748" s="257" t="s">
        <v>167</v>
      </c>
      <c r="D748" s="259" t="s">
        <v>14228</v>
      </c>
      <c r="E748" s="210" t="s">
        <v>6305</v>
      </c>
    </row>
    <row r="749" spans="1:5" ht="27">
      <c r="A749" s="258">
        <v>89018</v>
      </c>
      <c r="B749" s="257" t="s">
        <v>917</v>
      </c>
      <c r="C749" s="257" t="s">
        <v>167</v>
      </c>
      <c r="D749" s="259" t="s">
        <v>14229</v>
      </c>
      <c r="E749" s="210" t="s">
        <v>6305</v>
      </c>
    </row>
    <row r="750" spans="1:5" ht="27">
      <c r="A750" s="258">
        <v>89019</v>
      </c>
      <c r="B750" s="257" t="s">
        <v>918</v>
      </c>
      <c r="C750" s="257" t="s">
        <v>167</v>
      </c>
      <c r="D750" s="259" t="s">
        <v>14230</v>
      </c>
      <c r="E750" s="210" t="s">
        <v>6305</v>
      </c>
    </row>
    <row r="751" spans="1:5" ht="27">
      <c r="A751" s="258">
        <v>89020</v>
      </c>
      <c r="B751" s="257" t="s">
        <v>919</v>
      </c>
      <c r="C751" s="257" t="s">
        <v>167</v>
      </c>
      <c r="D751" s="259" t="s">
        <v>14231</v>
      </c>
      <c r="E751" s="210" t="s">
        <v>6305</v>
      </c>
    </row>
    <row r="752" spans="1:5" ht="13.5">
      <c r="A752" s="258">
        <v>89023</v>
      </c>
      <c r="B752" s="257" t="s">
        <v>920</v>
      </c>
      <c r="C752" s="257" t="s">
        <v>167</v>
      </c>
      <c r="D752" s="259" t="s">
        <v>14232</v>
      </c>
      <c r="E752" s="210" t="s">
        <v>6305</v>
      </c>
    </row>
    <row r="753" spans="1:5" ht="13.5">
      <c r="A753" s="258">
        <v>89024</v>
      </c>
      <c r="B753" s="257" t="s">
        <v>921</v>
      </c>
      <c r="C753" s="257" t="s">
        <v>167</v>
      </c>
      <c r="D753" s="259" t="s">
        <v>14233</v>
      </c>
      <c r="E753" s="210" t="s">
        <v>6305</v>
      </c>
    </row>
    <row r="754" spans="1:5" ht="13.5">
      <c r="A754" s="258">
        <v>89025</v>
      </c>
      <c r="B754" s="257" t="s">
        <v>922</v>
      </c>
      <c r="C754" s="257" t="s">
        <v>167</v>
      </c>
      <c r="D754" s="259" t="s">
        <v>14234</v>
      </c>
      <c r="E754" s="210" t="s">
        <v>6305</v>
      </c>
    </row>
    <row r="755" spans="1:5" ht="27">
      <c r="A755" s="258">
        <v>89026</v>
      </c>
      <c r="B755" s="257" t="s">
        <v>923</v>
      </c>
      <c r="C755" s="257" t="s">
        <v>167</v>
      </c>
      <c r="D755" s="259" t="s">
        <v>14235</v>
      </c>
      <c r="E755" s="210" t="s">
        <v>6305</v>
      </c>
    </row>
    <row r="756" spans="1:5" ht="27">
      <c r="A756" s="258">
        <v>89029</v>
      </c>
      <c r="B756" s="257" t="s">
        <v>924</v>
      </c>
      <c r="C756" s="257" t="s">
        <v>167</v>
      </c>
      <c r="D756" s="259" t="s">
        <v>14236</v>
      </c>
      <c r="E756" s="210" t="s">
        <v>6305</v>
      </c>
    </row>
    <row r="757" spans="1:5" ht="27">
      <c r="A757" s="258">
        <v>89030</v>
      </c>
      <c r="B757" s="257" t="s">
        <v>925</v>
      </c>
      <c r="C757" s="257" t="s">
        <v>167</v>
      </c>
      <c r="D757" s="259" t="s">
        <v>14237</v>
      </c>
      <c r="E757" s="210" t="s">
        <v>6305</v>
      </c>
    </row>
    <row r="758" spans="1:5" ht="27">
      <c r="A758" s="258">
        <v>89033</v>
      </c>
      <c r="B758" s="257" t="s">
        <v>926</v>
      </c>
      <c r="C758" s="257" t="s">
        <v>167</v>
      </c>
      <c r="D758" s="259" t="s">
        <v>14238</v>
      </c>
      <c r="E758" s="210" t="s">
        <v>6305</v>
      </c>
    </row>
    <row r="759" spans="1:5" ht="13.5">
      <c r="A759" s="258">
        <v>89034</v>
      </c>
      <c r="B759" s="257" t="s">
        <v>927</v>
      </c>
      <c r="C759" s="257" t="s">
        <v>167</v>
      </c>
      <c r="D759" s="259" t="s">
        <v>13750</v>
      </c>
      <c r="E759" s="210" t="s">
        <v>6305</v>
      </c>
    </row>
    <row r="760" spans="1:5" ht="27">
      <c r="A760" s="258">
        <v>89128</v>
      </c>
      <c r="B760" s="257" t="s">
        <v>928</v>
      </c>
      <c r="C760" s="257" t="s">
        <v>167</v>
      </c>
      <c r="D760" s="259" t="s">
        <v>14239</v>
      </c>
      <c r="E760" s="210" t="s">
        <v>6305</v>
      </c>
    </row>
    <row r="761" spans="1:5" ht="27">
      <c r="A761" s="258">
        <v>89129</v>
      </c>
      <c r="B761" s="257" t="s">
        <v>929</v>
      </c>
      <c r="C761" s="257" t="s">
        <v>167</v>
      </c>
      <c r="D761" s="259" t="s">
        <v>14240</v>
      </c>
      <c r="E761" s="210" t="s">
        <v>6305</v>
      </c>
    </row>
    <row r="762" spans="1:5" ht="27">
      <c r="A762" s="258">
        <v>89130</v>
      </c>
      <c r="B762" s="257" t="s">
        <v>930</v>
      </c>
      <c r="C762" s="257" t="s">
        <v>167</v>
      </c>
      <c r="D762" s="259" t="s">
        <v>14241</v>
      </c>
      <c r="E762" s="210" t="s">
        <v>6305</v>
      </c>
    </row>
    <row r="763" spans="1:5" ht="27">
      <c r="A763" s="258">
        <v>89131</v>
      </c>
      <c r="B763" s="257" t="s">
        <v>931</v>
      </c>
      <c r="C763" s="257" t="s">
        <v>167</v>
      </c>
      <c r="D763" s="259" t="s">
        <v>14242</v>
      </c>
      <c r="E763" s="210" t="s">
        <v>6305</v>
      </c>
    </row>
    <row r="764" spans="1:5" ht="27">
      <c r="A764" s="258">
        <v>89210</v>
      </c>
      <c r="B764" s="257" t="s">
        <v>932</v>
      </c>
      <c r="C764" s="257" t="s">
        <v>167</v>
      </c>
      <c r="D764" s="259" t="s">
        <v>14243</v>
      </c>
      <c r="E764" s="210" t="s">
        <v>6305</v>
      </c>
    </row>
    <row r="765" spans="1:5" ht="27">
      <c r="A765" s="258">
        <v>89211</v>
      </c>
      <c r="B765" s="257" t="s">
        <v>933</v>
      </c>
      <c r="C765" s="257" t="s">
        <v>167</v>
      </c>
      <c r="D765" s="259" t="s">
        <v>13665</v>
      </c>
      <c r="E765" s="210" t="s">
        <v>6305</v>
      </c>
    </row>
    <row r="766" spans="1:5" ht="27">
      <c r="A766" s="258">
        <v>89212</v>
      </c>
      <c r="B766" s="257" t="s">
        <v>934</v>
      </c>
      <c r="C766" s="257" t="s">
        <v>167</v>
      </c>
      <c r="D766" s="259" t="s">
        <v>14244</v>
      </c>
      <c r="E766" s="210" t="s">
        <v>6305</v>
      </c>
    </row>
    <row r="767" spans="1:5" ht="27">
      <c r="A767" s="258">
        <v>89213</v>
      </c>
      <c r="B767" s="257" t="s">
        <v>935</v>
      </c>
      <c r="C767" s="257" t="s">
        <v>167</v>
      </c>
      <c r="D767" s="259" t="s">
        <v>14245</v>
      </c>
      <c r="E767" s="210" t="s">
        <v>6305</v>
      </c>
    </row>
    <row r="768" spans="1:5" ht="27">
      <c r="A768" s="258">
        <v>89214</v>
      </c>
      <c r="B768" s="257" t="s">
        <v>936</v>
      </c>
      <c r="C768" s="257" t="s">
        <v>167</v>
      </c>
      <c r="D768" s="259" t="s">
        <v>14246</v>
      </c>
      <c r="E768" s="210" t="s">
        <v>6305</v>
      </c>
    </row>
    <row r="769" spans="1:5" ht="27">
      <c r="A769" s="258">
        <v>89215</v>
      </c>
      <c r="B769" s="257" t="s">
        <v>937</v>
      </c>
      <c r="C769" s="257" t="s">
        <v>167</v>
      </c>
      <c r="D769" s="259" t="s">
        <v>14247</v>
      </c>
      <c r="E769" s="210" t="s">
        <v>6305</v>
      </c>
    </row>
    <row r="770" spans="1:5" ht="27">
      <c r="A770" s="258">
        <v>89221</v>
      </c>
      <c r="B770" s="257" t="s">
        <v>938</v>
      </c>
      <c r="C770" s="257" t="s">
        <v>167</v>
      </c>
      <c r="D770" s="259" t="s">
        <v>13750</v>
      </c>
      <c r="E770" s="210" t="s">
        <v>6305</v>
      </c>
    </row>
    <row r="771" spans="1:5" ht="27">
      <c r="A771" s="258">
        <v>89222</v>
      </c>
      <c r="B771" s="257" t="s">
        <v>939</v>
      </c>
      <c r="C771" s="257" t="s">
        <v>167</v>
      </c>
      <c r="D771" s="259" t="s">
        <v>14248</v>
      </c>
      <c r="E771" s="210" t="s">
        <v>6305</v>
      </c>
    </row>
    <row r="772" spans="1:5" ht="27">
      <c r="A772" s="258">
        <v>89223</v>
      </c>
      <c r="B772" s="257" t="s">
        <v>940</v>
      </c>
      <c r="C772" s="257" t="s">
        <v>167</v>
      </c>
      <c r="D772" s="259" t="s">
        <v>14249</v>
      </c>
      <c r="E772" s="210" t="s">
        <v>6305</v>
      </c>
    </row>
    <row r="773" spans="1:5" ht="27">
      <c r="A773" s="258">
        <v>89224</v>
      </c>
      <c r="B773" s="257" t="s">
        <v>941</v>
      </c>
      <c r="C773" s="257" t="s">
        <v>167</v>
      </c>
      <c r="D773" s="259" t="s">
        <v>14250</v>
      </c>
      <c r="E773" s="210" t="s">
        <v>6305</v>
      </c>
    </row>
    <row r="774" spans="1:5" ht="27">
      <c r="A774" s="258">
        <v>89228</v>
      </c>
      <c r="B774" s="257" t="s">
        <v>942</v>
      </c>
      <c r="C774" s="257" t="s">
        <v>167</v>
      </c>
      <c r="D774" s="259" t="s">
        <v>14251</v>
      </c>
      <c r="E774" s="210" t="s">
        <v>6305</v>
      </c>
    </row>
    <row r="775" spans="1:5" ht="27">
      <c r="A775" s="258">
        <v>89229</v>
      </c>
      <c r="B775" s="257" t="s">
        <v>943</v>
      </c>
      <c r="C775" s="257" t="s">
        <v>167</v>
      </c>
      <c r="D775" s="259" t="s">
        <v>14252</v>
      </c>
      <c r="E775" s="210" t="s">
        <v>6305</v>
      </c>
    </row>
    <row r="776" spans="1:5" ht="27">
      <c r="A776" s="258">
        <v>89230</v>
      </c>
      <c r="B776" s="257" t="s">
        <v>944</v>
      </c>
      <c r="C776" s="257" t="s">
        <v>167</v>
      </c>
      <c r="D776" s="259" t="s">
        <v>14253</v>
      </c>
      <c r="E776" s="210" t="s">
        <v>6305</v>
      </c>
    </row>
    <row r="777" spans="1:5" ht="27">
      <c r="A777" s="258">
        <v>89231</v>
      </c>
      <c r="B777" s="257" t="s">
        <v>945</v>
      </c>
      <c r="C777" s="257" t="s">
        <v>167</v>
      </c>
      <c r="D777" s="259" t="s">
        <v>14254</v>
      </c>
      <c r="E777" s="210" t="s">
        <v>6305</v>
      </c>
    </row>
    <row r="778" spans="1:5" ht="27">
      <c r="A778" s="258">
        <v>89232</v>
      </c>
      <c r="B778" s="257" t="s">
        <v>946</v>
      </c>
      <c r="C778" s="257" t="s">
        <v>167</v>
      </c>
      <c r="D778" s="259" t="s">
        <v>14255</v>
      </c>
      <c r="E778" s="210" t="s">
        <v>6305</v>
      </c>
    </row>
    <row r="779" spans="1:5" ht="27">
      <c r="A779" s="258">
        <v>89233</v>
      </c>
      <c r="B779" s="257" t="s">
        <v>947</v>
      </c>
      <c r="C779" s="257" t="s">
        <v>167</v>
      </c>
      <c r="D779" s="259" t="s">
        <v>14256</v>
      </c>
      <c r="E779" s="210" t="s">
        <v>6305</v>
      </c>
    </row>
    <row r="780" spans="1:5" ht="27">
      <c r="A780" s="258">
        <v>89236</v>
      </c>
      <c r="B780" s="257" t="s">
        <v>948</v>
      </c>
      <c r="C780" s="257" t="s">
        <v>167</v>
      </c>
      <c r="D780" s="259" t="s">
        <v>14257</v>
      </c>
      <c r="E780" s="210" t="s">
        <v>6305</v>
      </c>
    </row>
    <row r="781" spans="1:5" ht="27">
      <c r="A781" s="258">
        <v>89237</v>
      </c>
      <c r="B781" s="257" t="s">
        <v>949</v>
      </c>
      <c r="C781" s="257" t="s">
        <v>167</v>
      </c>
      <c r="D781" s="259" t="s">
        <v>14258</v>
      </c>
      <c r="E781" s="210" t="s">
        <v>6305</v>
      </c>
    </row>
    <row r="782" spans="1:5" ht="27">
      <c r="A782" s="258">
        <v>89238</v>
      </c>
      <c r="B782" s="257" t="s">
        <v>950</v>
      </c>
      <c r="C782" s="257" t="s">
        <v>167</v>
      </c>
      <c r="D782" s="259" t="s">
        <v>14259</v>
      </c>
      <c r="E782" s="210" t="s">
        <v>6305</v>
      </c>
    </row>
    <row r="783" spans="1:5" ht="27">
      <c r="A783" s="258">
        <v>89239</v>
      </c>
      <c r="B783" s="257" t="s">
        <v>951</v>
      </c>
      <c r="C783" s="257" t="s">
        <v>167</v>
      </c>
      <c r="D783" s="259" t="s">
        <v>14260</v>
      </c>
      <c r="E783" s="210" t="s">
        <v>6305</v>
      </c>
    </row>
    <row r="784" spans="1:5" ht="27">
      <c r="A784" s="258">
        <v>89240</v>
      </c>
      <c r="B784" s="257" t="s">
        <v>952</v>
      </c>
      <c r="C784" s="257" t="s">
        <v>167</v>
      </c>
      <c r="D784" s="259" t="s">
        <v>14261</v>
      </c>
      <c r="E784" s="210" t="s">
        <v>6305</v>
      </c>
    </row>
    <row r="785" spans="1:5" ht="27">
      <c r="A785" s="258">
        <v>89241</v>
      </c>
      <c r="B785" s="257" t="s">
        <v>953</v>
      </c>
      <c r="C785" s="257" t="s">
        <v>167</v>
      </c>
      <c r="D785" s="259" t="s">
        <v>14262</v>
      </c>
      <c r="E785" s="210" t="s">
        <v>6305</v>
      </c>
    </row>
    <row r="786" spans="1:5" ht="27">
      <c r="A786" s="258">
        <v>89246</v>
      </c>
      <c r="B786" s="257" t="s">
        <v>954</v>
      </c>
      <c r="C786" s="257" t="s">
        <v>167</v>
      </c>
      <c r="D786" s="259" t="s">
        <v>14263</v>
      </c>
      <c r="E786" s="210" t="s">
        <v>6305</v>
      </c>
    </row>
    <row r="787" spans="1:5" ht="27">
      <c r="A787" s="258">
        <v>89247</v>
      </c>
      <c r="B787" s="257" t="s">
        <v>955</v>
      </c>
      <c r="C787" s="257" t="s">
        <v>167</v>
      </c>
      <c r="D787" s="259" t="s">
        <v>14264</v>
      </c>
      <c r="E787" s="210" t="s">
        <v>6305</v>
      </c>
    </row>
    <row r="788" spans="1:5" ht="27">
      <c r="A788" s="258">
        <v>89248</v>
      </c>
      <c r="B788" s="257" t="s">
        <v>956</v>
      </c>
      <c r="C788" s="257" t="s">
        <v>167</v>
      </c>
      <c r="D788" s="259" t="s">
        <v>14265</v>
      </c>
      <c r="E788" s="210" t="s">
        <v>6305</v>
      </c>
    </row>
    <row r="789" spans="1:5" ht="27">
      <c r="A789" s="258">
        <v>89249</v>
      </c>
      <c r="B789" s="257" t="s">
        <v>957</v>
      </c>
      <c r="C789" s="257" t="s">
        <v>167</v>
      </c>
      <c r="D789" s="259" t="s">
        <v>14266</v>
      </c>
      <c r="E789" s="210" t="s">
        <v>6305</v>
      </c>
    </row>
    <row r="790" spans="1:5" ht="27">
      <c r="A790" s="258">
        <v>89253</v>
      </c>
      <c r="B790" s="257" t="s">
        <v>958</v>
      </c>
      <c r="C790" s="257" t="s">
        <v>167</v>
      </c>
      <c r="D790" s="259" t="s">
        <v>14267</v>
      </c>
      <c r="E790" s="210" t="s">
        <v>6305</v>
      </c>
    </row>
    <row r="791" spans="1:5" ht="27">
      <c r="A791" s="258">
        <v>89254</v>
      </c>
      <c r="B791" s="257" t="s">
        <v>959</v>
      </c>
      <c r="C791" s="257" t="s">
        <v>167</v>
      </c>
      <c r="D791" s="259" t="s">
        <v>14268</v>
      </c>
      <c r="E791" s="210" t="s">
        <v>6305</v>
      </c>
    </row>
    <row r="792" spans="1:5" ht="27">
      <c r="A792" s="258">
        <v>89255</v>
      </c>
      <c r="B792" s="257" t="s">
        <v>960</v>
      </c>
      <c r="C792" s="257" t="s">
        <v>167</v>
      </c>
      <c r="D792" s="259" t="s">
        <v>14269</v>
      </c>
      <c r="E792" s="210" t="s">
        <v>6305</v>
      </c>
    </row>
    <row r="793" spans="1:5" ht="27">
      <c r="A793" s="258">
        <v>89256</v>
      </c>
      <c r="B793" s="257" t="s">
        <v>961</v>
      </c>
      <c r="C793" s="257" t="s">
        <v>167</v>
      </c>
      <c r="D793" s="259" t="s">
        <v>14270</v>
      </c>
      <c r="E793" s="210" t="s">
        <v>6305</v>
      </c>
    </row>
    <row r="794" spans="1:5" ht="40.5">
      <c r="A794" s="258">
        <v>89259</v>
      </c>
      <c r="B794" s="257" t="s">
        <v>962</v>
      </c>
      <c r="C794" s="257" t="s">
        <v>167</v>
      </c>
      <c r="D794" s="259" t="s">
        <v>14271</v>
      </c>
      <c r="E794" s="210" t="s">
        <v>6305</v>
      </c>
    </row>
    <row r="795" spans="1:5" ht="40.5">
      <c r="A795" s="258">
        <v>89260</v>
      </c>
      <c r="B795" s="257" t="s">
        <v>963</v>
      </c>
      <c r="C795" s="257" t="s">
        <v>167</v>
      </c>
      <c r="D795" s="259" t="s">
        <v>13611</v>
      </c>
      <c r="E795" s="210" t="s">
        <v>6305</v>
      </c>
    </row>
    <row r="796" spans="1:5" ht="40.5">
      <c r="A796" s="258">
        <v>89262</v>
      </c>
      <c r="B796" s="257" t="s">
        <v>964</v>
      </c>
      <c r="C796" s="257" t="s">
        <v>167</v>
      </c>
      <c r="D796" s="259" t="s">
        <v>14272</v>
      </c>
      <c r="E796" s="210" t="s">
        <v>6305</v>
      </c>
    </row>
    <row r="797" spans="1:5" ht="40.5">
      <c r="A797" s="258">
        <v>89264</v>
      </c>
      <c r="B797" s="257" t="s">
        <v>965</v>
      </c>
      <c r="C797" s="257" t="s">
        <v>167</v>
      </c>
      <c r="D797" s="259" t="s">
        <v>14273</v>
      </c>
      <c r="E797" s="210" t="s">
        <v>6305</v>
      </c>
    </row>
    <row r="798" spans="1:5" ht="40.5">
      <c r="A798" s="258">
        <v>89265</v>
      </c>
      <c r="B798" s="257" t="s">
        <v>966</v>
      </c>
      <c r="C798" s="257" t="s">
        <v>167</v>
      </c>
      <c r="D798" s="259" t="s">
        <v>14274</v>
      </c>
      <c r="E798" s="210" t="s">
        <v>6305</v>
      </c>
    </row>
    <row r="799" spans="1:5" ht="40.5">
      <c r="A799" s="258">
        <v>89266</v>
      </c>
      <c r="B799" s="257" t="s">
        <v>967</v>
      </c>
      <c r="C799" s="257" t="s">
        <v>167</v>
      </c>
      <c r="D799" s="259" t="s">
        <v>14026</v>
      </c>
      <c r="E799" s="210" t="s">
        <v>6305</v>
      </c>
    </row>
    <row r="800" spans="1:5" ht="27">
      <c r="A800" s="258">
        <v>89267</v>
      </c>
      <c r="B800" s="257" t="s">
        <v>968</v>
      </c>
      <c r="C800" s="257" t="s">
        <v>167</v>
      </c>
      <c r="D800" s="259" t="s">
        <v>14275</v>
      </c>
      <c r="E800" s="210" t="s">
        <v>6305</v>
      </c>
    </row>
    <row r="801" spans="1:5" ht="27">
      <c r="A801" s="258">
        <v>89268</v>
      </c>
      <c r="B801" s="257" t="s">
        <v>969</v>
      </c>
      <c r="C801" s="257" t="s">
        <v>167</v>
      </c>
      <c r="D801" s="259" t="s">
        <v>14276</v>
      </c>
      <c r="E801" s="210" t="s">
        <v>6305</v>
      </c>
    </row>
    <row r="802" spans="1:5" ht="27">
      <c r="A802" s="258">
        <v>89269</v>
      </c>
      <c r="B802" s="257" t="s">
        <v>970</v>
      </c>
      <c r="C802" s="257" t="s">
        <v>167</v>
      </c>
      <c r="D802" s="259" t="s">
        <v>14277</v>
      </c>
      <c r="E802" s="210" t="s">
        <v>6305</v>
      </c>
    </row>
    <row r="803" spans="1:5" ht="27">
      <c r="A803" s="258">
        <v>89270</v>
      </c>
      <c r="B803" s="257" t="s">
        <v>971</v>
      </c>
      <c r="C803" s="257" t="s">
        <v>167</v>
      </c>
      <c r="D803" s="259" t="s">
        <v>14040</v>
      </c>
      <c r="E803" s="210" t="s">
        <v>6305</v>
      </c>
    </row>
    <row r="804" spans="1:5" ht="27">
      <c r="A804" s="258">
        <v>89271</v>
      </c>
      <c r="B804" s="257" t="s">
        <v>972</v>
      </c>
      <c r="C804" s="257" t="s">
        <v>167</v>
      </c>
      <c r="D804" s="259" t="s">
        <v>14278</v>
      </c>
      <c r="E804" s="210" t="s">
        <v>6305</v>
      </c>
    </row>
    <row r="805" spans="1:5" ht="27">
      <c r="A805" s="258">
        <v>89274</v>
      </c>
      <c r="B805" s="257" t="s">
        <v>973</v>
      </c>
      <c r="C805" s="257" t="s">
        <v>167</v>
      </c>
      <c r="D805" s="259" t="s">
        <v>13669</v>
      </c>
      <c r="E805" s="210" t="s">
        <v>6305</v>
      </c>
    </row>
    <row r="806" spans="1:5" ht="27">
      <c r="A806" s="258">
        <v>89275</v>
      </c>
      <c r="B806" s="257" t="s">
        <v>974</v>
      </c>
      <c r="C806" s="257" t="s">
        <v>167</v>
      </c>
      <c r="D806" s="259" t="s">
        <v>14279</v>
      </c>
      <c r="E806" s="210" t="s">
        <v>6305</v>
      </c>
    </row>
    <row r="807" spans="1:5" ht="27">
      <c r="A807" s="258">
        <v>89276</v>
      </c>
      <c r="B807" s="257" t="s">
        <v>975</v>
      </c>
      <c r="C807" s="257" t="s">
        <v>167</v>
      </c>
      <c r="D807" s="259" t="s">
        <v>14280</v>
      </c>
      <c r="E807" s="210" t="s">
        <v>6305</v>
      </c>
    </row>
    <row r="808" spans="1:5" ht="27">
      <c r="A808" s="258">
        <v>89277</v>
      </c>
      <c r="B808" s="257" t="s">
        <v>976</v>
      </c>
      <c r="C808" s="257" t="s">
        <v>167</v>
      </c>
      <c r="D808" s="259" t="s">
        <v>13630</v>
      </c>
      <c r="E808" s="210" t="s">
        <v>6305</v>
      </c>
    </row>
    <row r="809" spans="1:5" ht="27">
      <c r="A809" s="258">
        <v>89280</v>
      </c>
      <c r="B809" s="257" t="s">
        <v>977</v>
      </c>
      <c r="C809" s="257" t="s">
        <v>167</v>
      </c>
      <c r="D809" s="259" t="s">
        <v>14281</v>
      </c>
      <c r="E809" s="210" t="s">
        <v>6305</v>
      </c>
    </row>
    <row r="810" spans="1:5" ht="27">
      <c r="A810" s="258">
        <v>89281</v>
      </c>
      <c r="B810" s="257" t="s">
        <v>978</v>
      </c>
      <c r="C810" s="257" t="s">
        <v>167</v>
      </c>
      <c r="D810" s="259" t="s">
        <v>14282</v>
      </c>
      <c r="E810" s="210" t="s">
        <v>6305</v>
      </c>
    </row>
    <row r="811" spans="1:5" ht="40.5">
      <c r="A811" s="258">
        <v>89870</v>
      </c>
      <c r="B811" s="257" t="s">
        <v>979</v>
      </c>
      <c r="C811" s="257" t="s">
        <v>167</v>
      </c>
      <c r="D811" s="259" t="s">
        <v>14283</v>
      </c>
      <c r="E811" s="210" t="s">
        <v>6305</v>
      </c>
    </row>
    <row r="812" spans="1:5" ht="27">
      <c r="A812" s="258">
        <v>89871</v>
      </c>
      <c r="B812" s="257" t="s">
        <v>980</v>
      </c>
      <c r="C812" s="257" t="s">
        <v>167</v>
      </c>
      <c r="D812" s="259" t="s">
        <v>14284</v>
      </c>
      <c r="E812" s="210" t="s">
        <v>6305</v>
      </c>
    </row>
    <row r="813" spans="1:5" ht="40.5">
      <c r="A813" s="258">
        <v>89872</v>
      </c>
      <c r="B813" s="257" t="s">
        <v>981</v>
      </c>
      <c r="C813" s="257" t="s">
        <v>167</v>
      </c>
      <c r="D813" s="259" t="s">
        <v>14285</v>
      </c>
      <c r="E813" s="210" t="s">
        <v>6305</v>
      </c>
    </row>
    <row r="814" spans="1:5" ht="40.5">
      <c r="A814" s="258">
        <v>89873</v>
      </c>
      <c r="B814" s="257" t="s">
        <v>982</v>
      </c>
      <c r="C814" s="257" t="s">
        <v>167</v>
      </c>
      <c r="D814" s="259" t="s">
        <v>14286</v>
      </c>
      <c r="E814" s="210" t="s">
        <v>6305</v>
      </c>
    </row>
    <row r="815" spans="1:5" ht="40.5">
      <c r="A815" s="258">
        <v>89874</v>
      </c>
      <c r="B815" s="257" t="s">
        <v>983</v>
      </c>
      <c r="C815" s="257" t="s">
        <v>167</v>
      </c>
      <c r="D815" s="259" t="s">
        <v>14287</v>
      </c>
      <c r="E815" s="210" t="s">
        <v>6305</v>
      </c>
    </row>
    <row r="816" spans="1:5" ht="40.5">
      <c r="A816" s="258">
        <v>89878</v>
      </c>
      <c r="B816" s="257" t="s">
        <v>984</v>
      </c>
      <c r="C816" s="257" t="s">
        <v>167</v>
      </c>
      <c r="D816" s="259" t="s">
        <v>14288</v>
      </c>
      <c r="E816" s="210" t="s">
        <v>6305</v>
      </c>
    </row>
    <row r="817" spans="1:5" ht="27">
      <c r="A817" s="258">
        <v>89879</v>
      </c>
      <c r="B817" s="257" t="s">
        <v>985</v>
      </c>
      <c r="C817" s="257" t="s">
        <v>167</v>
      </c>
      <c r="D817" s="259" t="s">
        <v>14289</v>
      </c>
      <c r="E817" s="210" t="s">
        <v>6305</v>
      </c>
    </row>
    <row r="818" spans="1:5" ht="40.5">
      <c r="A818" s="258">
        <v>89880</v>
      </c>
      <c r="B818" s="257" t="s">
        <v>986</v>
      </c>
      <c r="C818" s="257" t="s">
        <v>167</v>
      </c>
      <c r="D818" s="259" t="s">
        <v>14290</v>
      </c>
      <c r="E818" s="210" t="s">
        <v>6305</v>
      </c>
    </row>
    <row r="819" spans="1:5" ht="40.5">
      <c r="A819" s="258">
        <v>89881</v>
      </c>
      <c r="B819" s="257" t="s">
        <v>987</v>
      </c>
      <c r="C819" s="257" t="s">
        <v>167</v>
      </c>
      <c r="D819" s="259" t="s">
        <v>14291</v>
      </c>
      <c r="E819" s="210" t="s">
        <v>6305</v>
      </c>
    </row>
    <row r="820" spans="1:5" ht="40.5">
      <c r="A820" s="258">
        <v>89882</v>
      </c>
      <c r="B820" s="257" t="s">
        <v>988</v>
      </c>
      <c r="C820" s="257" t="s">
        <v>167</v>
      </c>
      <c r="D820" s="259" t="s">
        <v>14292</v>
      </c>
      <c r="E820" s="210" t="s">
        <v>6305</v>
      </c>
    </row>
    <row r="821" spans="1:5" ht="27">
      <c r="A821" s="258">
        <v>90582</v>
      </c>
      <c r="B821" s="257" t="s">
        <v>989</v>
      </c>
      <c r="C821" s="257" t="s">
        <v>167</v>
      </c>
      <c r="D821" s="259" t="s">
        <v>14129</v>
      </c>
      <c r="E821" s="210" t="s">
        <v>6305</v>
      </c>
    </row>
    <row r="822" spans="1:5" ht="27">
      <c r="A822" s="258">
        <v>90583</v>
      </c>
      <c r="B822" s="257" t="s">
        <v>990</v>
      </c>
      <c r="C822" s="257" t="s">
        <v>167</v>
      </c>
      <c r="D822" s="259" t="s">
        <v>14231</v>
      </c>
      <c r="E822" s="210" t="s">
        <v>6305</v>
      </c>
    </row>
    <row r="823" spans="1:5" ht="27">
      <c r="A823" s="258">
        <v>90584</v>
      </c>
      <c r="B823" s="257" t="s">
        <v>991</v>
      </c>
      <c r="C823" s="257" t="s">
        <v>167</v>
      </c>
      <c r="D823" s="259" t="s">
        <v>14293</v>
      </c>
      <c r="E823" s="210" t="s">
        <v>6305</v>
      </c>
    </row>
    <row r="824" spans="1:5" ht="27">
      <c r="A824" s="258">
        <v>90585</v>
      </c>
      <c r="B824" s="257" t="s">
        <v>992</v>
      </c>
      <c r="C824" s="257" t="s">
        <v>167</v>
      </c>
      <c r="D824" s="259" t="s">
        <v>14186</v>
      </c>
      <c r="E824" s="210" t="s">
        <v>6305</v>
      </c>
    </row>
    <row r="825" spans="1:5" ht="27">
      <c r="A825" s="258">
        <v>90621</v>
      </c>
      <c r="B825" s="257" t="s">
        <v>993</v>
      </c>
      <c r="C825" s="257" t="s">
        <v>167</v>
      </c>
      <c r="D825" s="259" t="s">
        <v>14294</v>
      </c>
      <c r="E825" s="210" t="s">
        <v>6305</v>
      </c>
    </row>
    <row r="826" spans="1:5" ht="27">
      <c r="A826" s="258">
        <v>90622</v>
      </c>
      <c r="B826" s="257" t="s">
        <v>994</v>
      </c>
      <c r="C826" s="257" t="s">
        <v>167</v>
      </c>
      <c r="D826" s="259" t="s">
        <v>14085</v>
      </c>
      <c r="E826" s="210" t="s">
        <v>6305</v>
      </c>
    </row>
    <row r="827" spans="1:5" ht="27">
      <c r="A827" s="258">
        <v>90623</v>
      </c>
      <c r="B827" s="257" t="s">
        <v>995</v>
      </c>
      <c r="C827" s="257" t="s">
        <v>167</v>
      </c>
      <c r="D827" s="259" t="s">
        <v>14295</v>
      </c>
      <c r="E827" s="210" t="s">
        <v>6305</v>
      </c>
    </row>
    <row r="828" spans="1:5" ht="27">
      <c r="A828" s="258">
        <v>90624</v>
      </c>
      <c r="B828" s="257" t="s">
        <v>996</v>
      </c>
      <c r="C828" s="257" t="s">
        <v>167</v>
      </c>
      <c r="D828" s="259" t="s">
        <v>14185</v>
      </c>
      <c r="E828" s="210" t="s">
        <v>6305</v>
      </c>
    </row>
    <row r="829" spans="1:5" ht="27">
      <c r="A829" s="258">
        <v>90627</v>
      </c>
      <c r="B829" s="257" t="s">
        <v>997</v>
      </c>
      <c r="C829" s="257" t="s">
        <v>167</v>
      </c>
      <c r="D829" s="259" t="s">
        <v>14296</v>
      </c>
      <c r="E829" s="210" t="s">
        <v>6305</v>
      </c>
    </row>
    <row r="830" spans="1:5" ht="27">
      <c r="A830" s="258">
        <v>90628</v>
      </c>
      <c r="B830" s="257" t="s">
        <v>998</v>
      </c>
      <c r="C830" s="257" t="s">
        <v>167</v>
      </c>
      <c r="D830" s="259" t="s">
        <v>14297</v>
      </c>
      <c r="E830" s="210" t="s">
        <v>6305</v>
      </c>
    </row>
    <row r="831" spans="1:5" ht="27">
      <c r="A831" s="258">
        <v>90629</v>
      </c>
      <c r="B831" s="257" t="s">
        <v>999</v>
      </c>
      <c r="C831" s="257" t="s">
        <v>167</v>
      </c>
      <c r="D831" s="259" t="s">
        <v>14298</v>
      </c>
      <c r="E831" s="210" t="s">
        <v>6305</v>
      </c>
    </row>
    <row r="832" spans="1:5" ht="27">
      <c r="A832" s="258">
        <v>90630</v>
      </c>
      <c r="B832" s="257" t="s">
        <v>1000</v>
      </c>
      <c r="C832" s="257" t="s">
        <v>167</v>
      </c>
      <c r="D832" s="259" t="s">
        <v>14299</v>
      </c>
      <c r="E832" s="210" t="s">
        <v>6305</v>
      </c>
    </row>
    <row r="833" spans="1:5" ht="27">
      <c r="A833" s="258">
        <v>90633</v>
      </c>
      <c r="B833" s="257" t="s">
        <v>1001</v>
      </c>
      <c r="C833" s="257" t="s">
        <v>167</v>
      </c>
      <c r="D833" s="259" t="s">
        <v>14300</v>
      </c>
      <c r="E833" s="210" t="s">
        <v>6305</v>
      </c>
    </row>
    <row r="834" spans="1:5" ht="27">
      <c r="A834" s="258">
        <v>90634</v>
      </c>
      <c r="B834" s="257" t="s">
        <v>1002</v>
      </c>
      <c r="C834" s="257" t="s">
        <v>167</v>
      </c>
      <c r="D834" s="259" t="s">
        <v>14301</v>
      </c>
      <c r="E834" s="210" t="s">
        <v>6305</v>
      </c>
    </row>
    <row r="835" spans="1:5" ht="27">
      <c r="A835" s="258">
        <v>90635</v>
      </c>
      <c r="B835" s="257" t="s">
        <v>1003</v>
      </c>
      <c r="C835" s="257" t="s">
        <v>167</v>
      </c>
      <c r="D835" s="259" t="s">
        <v>13614</v>
      </c>
      <c r="E835" s="210" t="s">
        <v>6305</v>
      </c>
    </row>
    <row r="836" spans="1:5" ht="40.5">
      <c r="A836" s="258">
        <v>90636</v>
      </c>
      <c r="B836" s="257" t="s">
        <v>1004</v>
      </c>
      <c r="C836" s="257" t="s">
        <v>167</v>
      </c>
      <c r="D836" s="259" t="s">
        <v>14302</v>
      </c>
      <c r="E836" s="210" t="s">
        <v>6305</v>
      </c>
    </row>
    <row r="837" spans="1:5" ht="27">
      <c r="A837" s="258">
        <v>90639</v>
      </c>
      <c r="B837" s="257" t="s">
        <v>1005</v>
      </c>
      <c r="C837" s="257" t="s">
        <v>167</v>
      </c>
      <c r="D837" s="259" t="s">
        <v>13870</v>
      </c>
      <c r="E837" s="210" t="s">
        <v>6305</v>
      </c>
    </row>
    <row r="838" spans="1:5" ht="27">
      <c r="A838" s="258">
        <v>90640</v>
      </c>
      <c r="B838" s="257" t="s">
        <v>1006</v>
      </c>
      <c r="C838" s="257" t="s">
        <v>167</v>
      </c>
      <c r="D838" s="259" t="s">
        <v>14025</v>
      </c>
      <c r="E838" s="210" t="s">
        <v>6305</v>
      </c>
    </row>
    <row r="839" spans="1:5" ht="27">
      <c r="A839" s="258">
        <v>90641</v>
      </c>
      <c r="B839" s="257" t="s">
        <v>1007</v>
      </c>
      <c r="C839" s="257" t="s">
        <v>167</v>
      </c>
      <c r="D839" s="259" t="s">
        <v>14303</v>
      </c>
      <c r="E839" s="210" t="s">
        <v>6305</v>
      </c>
    </row>
    <row r="840" spans="1:5" ht="27">
      <c r="A840" s="258">
        <v>90642</v>
      </c>
      <c r="B840" s="257" t="s">
        <v>1008</v>
      </c>
      <c r="C840" s="257" t="s">
        <v>167</v>
      </c>
      <c r="D840" s="259" t="s">
        <v>13631</v>
      </c>
      <c r="E840" s="210" t="s">
        <v>6305</v>
      </c>
    </row>
    <row r="841" spans="1:5" ht="27">
      <c r="A841" s="258">
        <v>90646</v>
      </c>
      <c r="B841" s="257" t="s">
        <v>1009</v>
      </c>
      <c r="C841" s="257" t="s">
        <v>167</v>
      </c>
      <c r="D841" s="259" t="s">
        <v>14198</v>
      </c>
      <c r="E841" s="210" t="s">
        <v>6305</v>
      </c>
    </row>
    <row r="842" spans="1:5" ht="27">
      <c r="A842" s="258">
        <v>90647</v>
      </c>
      <c r="B842" s="257" t="s">
        <v>1010</v>
      </c>
      <c r="C842" s="257" t="s">
        <v>167</v>
      </c>
      <c r="D842" s="259" t="s">
        <v>13920</v>
      </c>
      <c r="E842" s="210" t="s">
        <v>6305</v>
      </c>
    </row>
    <row r="843" spans="1:5" ht="27">
      <c r="A843" s="258">
        <v>90648</v>
      </c>
      <c r="B843" s="257" t="s">
        <v>1011</v>
      </c>
      <c r="C843" s="257" t="s">
        <v>167</v>
      </c>
      <c r="D843" s="259" t="s">
        <v>14304</v>
      </c>
      <c r="E843" s="210" t="s">
        <v>6305</v>
      </c>
    </row>
    <row r="844" spans="1:5" ht="27">
      <c r="A844" s="258">
        <v>90649</v>
      </c>
      <c r="B844" s="257" t="s">
        <v>1012</v>
      </c>
      <c r="C844" s="257" t="s">
        <v>167</v>
      </c>
      <c r="D844" s="259" t="s">
        <v>14305</v>
      </c>
      <c r="E844" s="210" t="s">
        <v>6305</v>
      </c>
    </row>
    <row r="845" spans="1:5" ht="13.5">
      <c r="A845" s="258">
        <v>90652</v>
      </c>
      <c r="B845" s="257" t="s">
        <v>1013</v>
      </c>
      <c r="C845" s="257" t="s">
        <v>167</v>
      </c>
      <c r="D845" s="259" t="s">
        <v>14306</v>
      </c>
      <c r="E845" s="210" t="s">
        <v>6305</v>
      </c>
    </row>
    <row r="846" spans="1:5" ht="13.5">
      <c r="A846" s="258">
        <v>90653</v>
      </c>
      <c r="B846" s="257" t="s">
        <v>1014</v>
      </c>
      <c r="C846" s="257" t="s">
        <v>167</v>
      </c>
      <c r="D846" s="259" t="s">
        <v>14307</v>
      </c>
      <c r="E846" s="210" t="s">
        <v>6305</v>
      </c>
    </row>
    <row r="847" spans="1:5" ht="13.5">
      <c r="A847" s="258">
        <v>90654</v>
      </c>
      <c r="B847" s="257" t="s">
        <v>1015</v>
      </c>
      <c r="C847" s="257" t="s">
        <v>167</v>
      </c>
      <c r="D847" s="259" t="s">
        <v>14308</v>
      </c>
      <c r="E847" s="210" t="s">
        <v>6305</v>
      </c>
    </row>
    <row r="848" spans="1:5" ht="27">
      <c r="A848" s="258">
        <v>90655</v>
      </c>
      <c r="B848" s="257" t="s">
        <v>1016</v>
      </c>
      <c r="C848" s="257" t="s">
        <v>167</v>
      </c>
      <c r="D848" s="259" t="s">
        <v>14309</v>
      </c>
      <c r="E848" s="210" t="s">
        <v>6305</v>
      </c>
    </row>
    <row r="849" spans="1:5" ht="13.5">
      <c r="A849" s="258">
        <v>90658</v>
      </c>
      <c r="B849" s="257" t="s">
        <v>1017</v>
      </c>
      <c r="C849" s="257" t="s">
        <v>167</v>
      </c>
      <c r="D849" s="259" t="s">
        <v>14310</v>
      </c>
      <c r="E849" s="210" t="s">
        <v>6305</v>
      </c>
    </row>
    <row r="850" spans="1:5" ht="13.5">
      <c r="A850" s="258">
        <v>90659</v>
      </c>
      <c r="B850" s="257" t="s">
        <v>1018</v>
      </c>
      <c r="C850" s="257" t="s">
        <v>167</v>
      </c>
      <c r="D850" s="259" t="s">
        <v>14233</v>
      </c>
      <c r="E850" s="210" t="s">
        <v>6305</v>
      </c>
    </row>
    <row r="851" spans="1:5" ht="13.5">
      <c r="A851" s="258">
        <v>90660</v>
      </c>
      <c r="B851" s="257" t="s">
        <v>1019</v>
      </c>
      <c r="C851" s="257" t="s">
        <v>167</v>
      </c>
      <c r="D851" s="259" t="s">
        <v>14020</v>
      </c>
      <c r="E851" s="210" t="s">
        <v>6305</v>
      </c>
    </row>
    <row r="852" spans="1:5" ht="27">
      <c r="A852" s="258">
        <v>90661</v>
      </c>
      <c r="B852" s="257" t="s">
        <v>1020</v>
      </c>
      <c r="C852" s="257" t="s">
        <v>167</v>
      </c>
      <c r="D852" s="259" t="s">
        <v>14309</v>
      </c>
      <c r="E852" s="210" t="s">
        <v>6305</v>
      </c>
    </row>
    <row r="853" spans="1:5" ht="40.5">
      <c r="A853" s="258">
        <v>90664</v>
      </c>
      <c r="B853" s="257" t="s">
        <v>1021</v>
      </c>
      <c r="C853" s="257" t="s">
        <v>167</v>
      </c>
      <c r="D853" s="259" t="s">
        <v>14311</v>
      </c>
      <c r="E853" s="210" t="s">
        <v>6305</v>
      </c>
    </row>
    <row r="854" spans="1:5" ht="40.5">
      <c r="A854" s="258">
        <v>90665</v>
      </c>
      <c r="B854" s="257" t="s">
        <v>1022</v>
      </c>
      <c r="C854" s="257" t="s">
        <v>167</v>
      </c>
      <c r="D854" s="259" t="s">
        <v>14065</v>
      </c>
      <c r="E854" s="210" t="s">
        <v>6305</v>
      </c>
    </row>
    <row r="855" spans="1:5" ht="40.5">
      <c r="A855" s="258">
        <v>90666</v>
      </c>
      <c r="B855" s="257" t="s">
        <v>1023</v>
      </c>
      <c r="C855" s="257" t="s">
        <v>167</v>
      </c>
      <c r="D855" s="259" t="s">
        <v>13627</v>
      </c>
      <c r="E855" s="210" t="s">
        <v>6305</v>
      </c>
    </row>
    <row r="856" spans="1:5" ht="40.5">
      <c r="A856" s="258">
        <v>90667</v>
      </c>
      <c r="B856" s="257" t="s">
        <v>1024</v>
      </c>
      <c r="C856" s="257" t="s">
        <v>167</v>
      </c>
      <c r="D856" s="259" t="s">
        <v>14312</v>
      </c>
      <c r="E856" s="210" t="s">
        <v>6305</v>
      </c>
    </row>
    <row r="857" spans="1:5" ht="40.5">
      <c r="A857" s="258">
        <v>90670</v>
      </c>
      <c r="B857" s="257" t="s">
        <v>1025</v>
      </c>
      <c r="C857" s="257" t="s">
        <v>167</v>
      </c>
      <c r="D857" s="259" t="s">
        <v>14313</v>
      </c>
      <c r="E857" s="210" t="s">
        <v>6305</v>
      </c>
    </row>
    <row r="858" spans="1:5" ht="40.5">
      <c r="A858" s="258">
        <v>90671</v>
      </c>
      <c r="B858" s="257" t="s">
        <v>1026</v>
      </c>
      <c r="C858" s="257" t="s">
        <v>167</v>
      </c>
      <c r="D858" s="259" t="s">
        <v>14314</v>
      </c>
      <c r="E858" s="210" t="s">
        <v>6305</v>
      </c>
    </row>
    <row r="859" spans="1:5" ht="40.5">
      <c r="A859" s="258">
        <v>90672</v>
      </c>
      <c r="B859" s="257" t="s">
        <v>1027</v>
      </c>
      <c r="C859" s="257" t="s">
        <v>167</v>
      </c>
      <c r="D859" s="259" t="s">
        <v>14315</v>
      </c>
      <c r="E859" s="210" t="s">
        <v>6305</v>
      </c>
    </row>
    <row r="860" spans="1:5" ht="40.5">
      <c r="A860" s="258">
        <v>90673</v>
      </c>
      <c r="B860" s="257" t="s">
        <v>1028</v>
      </c>
      <c r="C860" s="257" t="s">
        <v>167</v>
      </c>
      <c r="D860" s="259" t="s">
        <v>14316</v>
      </c>
      <c r="E860" s="210" t="s">
        <v>6305</v>
      </c>
    </row>
    <row r="861" spans="1:5" ht="40.5">
      <c r="A861" s="258">
        <v>90676</v>
      </c>
      <c r="B861" s="257" t="s">
        <v>1029</v>
      </c>
      <c r="C861" s="257" t="s">
        <v>167</v>
      </c>
      <c r="D861" s="259" t="s">
        <v>14317</v>
      </c>
      <c r="E861" s="210" t="s">
        <v>6305</v>
      </c>
    </row>
    <row r="862" spans="1:5" ht="40.5">
      <c r="A862" s="258">
        <v>90677</v>
      </c>
      <c r="B862" s="257" t="s">
        <v>1030</v>
      </c>
      <c r="C862" s="257" t="s">
        <v>167</v>
      </c>
      <c r="D862" s="259" t="s">
        <v>14318</v>
      </c>
      <c r="E862" s="210" t="s">
        <v>6305</v>
      </c>
    </row>
    <row r="863" spans="1:5" ht="40.5">
      <c r="A863" s="258">
        <v>90678</v>
      </c>
      <c r="B863" s="257" t="s">
        <v>1031</v>
      </c>
      <c r="C863" s="257" t="s">
        <v>167</v>
      </c>
      <c r="D863" s="259" t="s">
        <v>14319</v>
      </c>
      <c r="E863" s="210" t="s">
        <v>6305</v>
      </c>
    </row>
    <row r="864" spans="1:5" ht="40.5">
      <c r="A864" s="258">
        <v>90679</v>
      </c>
      <c r="B864" s="257" t="s">
        <v>1032</v>
      </c>
      <c r="C864" s="257" t="s">
        <v>167</v>
      </c>
      <c r="D864" s="259" t="s">
        <v>14320</v>
      </c>
      <c r="E864" s="210" t="s">
        <v>6305</v>
      </c>
    </row>
    <row r="865" spans="1:5" ht="27">
      <c r="A865" s="258">
        <v>90682</v>
      </c>
      <c r="B865" s="257" t="s">
        <v>1033</v>
      </c>
      <c r="C865" s="257" t="s">
        <v>167</v>
      </c>
      <c r="D865" s="259" t="s">
        <v>14321</v>
      </c>
      <c r="E865" s="210" t="s">
        <v>6305</v>
      </c>
    </row>
    <row r="866" spans="1:5" ht="27">
      <c r="A866" s="258">
        <v>90683</v>
      </c>
      <c r="B866" s="257" t="s">
        <v>1034</v>
      </c>
      <c r="C866" s="257" t="s">
        <v>167</v>
      </c>
      <c r="D866" s="259" t="s">
        <v>14322</v>
      </c>
      <c r="E866" s="210" t="s">
        <v>6305</v>
      </c>
    </row>
    <row r="867" spans="1:5" ht="27">
      <c r="A867" s="258">
        <v>90684</v>
      </c>
      <c r="B867" s="257" t="s">
        <v>1035</v>
      </c>
      <c r="C867" s="257" t="s">
        <v>167</v>
      </c>
      <c r="D867" s="259" t="s">
        <v>14323</v>
      </c>
      <c r="E867" s="210" t="s">
        <v>6305</v>
      </c>
    </row>
    <row r="868" spans="1:5" ht="27">
      <c r="A868" s="258">
        <v>90685</v>
      </c>
      <c r="B868" s="257" t="s">
        <v>1036</v>
      </c>
      <c r="C868" s="257" t="s">
        <v>167</v>
      </c>
      <c r="D868" s="259" t="s">
        <v>14324</v>
      </c>
      <c r="E868" s="210" t="s">
        <v>6305</v>
      </c>
    </row>
    <row r="869" spans="1:5" ht="27">
      <c r="A869" s="258">
        <v>90688</v>
      </c>
      <c r="B869" s="257" t="s">
        <v>1037</v>
      </c>
      <c r="C869" s="257" t="s">
        <v>167</v>
      </c>
      <c r="D869" s="259" t="s">
        <v>14325</v>
      </c>
      <c r="E869" s="210" t="s">
        <v>6305</v>
      </c>
    </row>
    <row r="870" spans="1:5" ht="27">
      <c r="A870" s="258">
        <v>90689</v>
      </c>
      <c r="B870" s="257" t="s">
        <v>1038</v>
      </c>
      <c r="C870" s="257" t="s">
        <v>167</v>
      </c>
      <c r="D870" s="259" t="s">
        <v>14326</v>
      </c>
      <c r="E870" s="210" t="s">
        <v>6305</v>
      </c>
    </row>
    <row r="871" spans="1:5" ht="27">
      <c r="A871" s="258">
        <v>90690</v>
      </c>
      <c r="B871" s="257" t="s">
        <v>1039</v>
      </c>
      <c r="C871" s="257" t="s">
        <v>167</v>
      </c>
      <c r="D871" s="259" t="s">
        <v>14327</v>
      </c>
      <c r="E871" s="210" t="s">
        <v>6305</v>
      </c>
    </row>
    <row r="872" spans="1:5" ht="27">
      <c r="A872" s="258">
        <v>90691</v>
      </c>
      <c r="B872" s="257" t="s">
        <v>1040</v>
      </c>
      <c r="C872" s="257" t="s">
        <v>167</v>
      </c>
      <c r="D872" s="259" t="s">
        <v>14328</v>
      </c>
      <c r="E872" s="210" t="s">
        <v>6305</v>
      </c>
    </row>
    <row r="873" spans="1:5" ht="27">
      <c r="A873" s="258">
        <v>90957</v>
      </c>
      <c r="B873" s="257" t="s">
        <v>1041</v>
      </c>
      <c r="C873" s="257" t="s">
        <v>167</v>
      </c>
      <c r="D873" s="259" t="s">
        <v>14329</v>
      </c>
      <c r="E873" s="210" t="s">
        <v>6305</v>
      </c>
    </row>
    <row r="874" spans="1:5" ht="27">
      <c r="A874" s="258">
        <v>90958</v>
      </c>
      <c r="B874" s="257" t="s">
        <v>1042</v>
      </c>
      <c r="C874" s="257" t="s">
        <v>167</v>
      </c>
      <c r="D874" s="259" t="s">
        <v>14008</v>
      </c>
      <c r="E874" s="210" t="s">
        <v>6305</v>
      </c>
    </row>
    <row r="875" spans="1:5" ht="27">
      <c r="A875" s="258">
        <v>90960</v>
      </c>
      <c r="B875" s="257" t="s">
        <v>1043</v>
      </c>
      <c r="C875" s="257" t="s">
        <v>167</v>
      </c>
      <c r="D875" s="259" t="s">
        <v>14300</v>
      </c>
      <c r="E875" s="210" t="s">
        <v>6305</v>
      </c>
    </row>
    <row r="876" spans="1:5" ht="27">
      <c r="A876" s="258">
        <v>90961</v>
      </c>
      <c r="B876" s="257" t="s">
        <v>1044</v>
      </c>
      <c r="C876" s="257" t="s">
        <v>167</v>
      </c>
      <c r="D876" s="259" t="s">
        <v>14065</v>
      </c>
      <c r="E876" s="210" t="s">
        <v>6305</v>
      </c>
    </row>
    <row r="877" spans="1:5" ht="27">
      <c r="A877" s="258">
        <v>90962</v>
      </c>
      <c r="B877" s="257" t="s">
        <v>1045</v>
      </c>
      <c r="C877" s="257" t="s">
        <v>167</v>
      </c>
      <c r="D877" s="259" t="s">
        <v>14330</v>
      </c>
      <c r="E877" s="210" t="s">
        <v>6305</v>
      </c>
    </row>
    <row r="878" spans="1:5" ht="27">
      <c r="A878" s="258">
        <v>90963</v>
      </c>
      <c r="B878" s="257" t="s">
        <v>1046</v>
      </c>
      <c r="C878" s="257" t="s">
        <v>167</v>
      </c>
      <c r="D878" s="259" t="s">
        <v>14312</v>
      </c>
      <c r="E878" s="210" t="s">
        <v>6305</v>
      </c>
    </row>
    <row r="879" spans="1:5" ht="27">
      <c r="A879" s="258">
        <v>90968</v>
      </c>
      <c r="B879" s="257" t="s">
        <v>1047</v>
      </c>
      <c r="C879" s="257" t="s">
        <v>167</v>
      </c>
      <c r="D879" s="259" t="s">
        <v>14331</v>
      </c>
      <c r="E879" s="210" t="s">
        <v>6305</v>
      </c>
    </row>
    <row r="880" spans="1:5" ht="27">
      <c r="A880" s="258">
        <v>90969</v>
      </c>
      <c r="B880" s="257" t="s">
        <v>1048</v>
      </c>
      <c r="C880" s="257" t="s">
        <v>167</v>
      </c>
      <c r="D880" s="259" t="s">
        <v>14065</v>
      </c>
      <c r="E880" s="210" t="s">
        <v>6305</v>
      </c>
    </row>
    <row r="881" spans="1:5" ht="27">
      <c r="A881" s="258">
        <v>90970</v>
      </c>
      <c r="B881" s="257" t="s">
        <v>1049</v>
      </c>
      <c r="C881" s="257" t="s">
        <v>167</v>
      </c>
      <c r="D881" s="259" t="s">
        <v>14332</v>
      </c>
      <c r="E881" s="210" t="s">
        <v>6305</v>
      </c>
    </row>
    <row r="882" spans="1:5" ht="27">
      <c r="A882" s="258">
        <v>90971</v>
      </c>
      <c r="B882" s="257" t="s">
        <v>1050</v>
      </c>
      <c r="C882" s="257" t="s">
        <v>167</v>
      </c>
      <c r="D882" s="259" t="s">
        <v>14333</v>
      </c>
      <c r="E882" s="210" t="s">
        <v>6305</v>
      </c>
    </row>
    <row r="883" spans="1:5" ht="27">
      <c r="A883" s="258">
        <v>90975</v>
      </c>
      <c r="B883" s="257" t="s">
        <v>1051</v>
      </c>
      <c r="C883" s="257" t="s">
        <v>167</v>
      </c>
      <c r="D883" s="259" t="s">
        <v>14334</v>
      </c>
      <c r="E883" s="210" t="s">
        <v>6305</v>
      </c>
    </row>
    <row r="884" spans="1:5" ht="27">
      <c r="A884" s="258">
        <v>90976</v>
      </c>
      <c r="B884" s="257" t="s">
        <v>1052</v>
      </c>
      <c r="C884" s="257" t="s">
        <v>167</v>
      </c>
      <c r="D884" s="259" t="s">
        <v>14335</v>
      </c>
      <c r="E884" s="210" t="s">
        <v>6305</v>
      </c>
    </row>
    <row r="885" spans="1:5" ht="27">
      <c r="A885" s="258">
        <v>90977</v>
      </c>
      <c r="B885" s="257" t="s">
        <v>1053</v>
      </c>
      <c r="C885" s="257" t="s">
        <v>167</v>
      </c>
      <c r="D885" s="259" t="s">
        <v>14336</v>
      </c>
      <c r="E885" s="210" t="s">
        <v>6305</v>
      </c>
    </row>
    <row r="886" spans="1:5" ht="27">
      <c r="A886" s="258">
        <v>90978</v>
      </c>
      <c r="B886" s="257" t="s">
        <v>1054</v>
      </c>
      <c r="C886" s="257" t="s">
        <v>167</v>
      </c>
      <c r="D886" s="259" t="s">
        <v>14337</v>
      </c>
      <c r="E886" s="210" t="s">
        <v>6305</v>
      </c>
    </row>
    <row r="887" spans="1:5" ht="27">
      <c r="A887" s="258">
        <v>90992</v>
      </c>
      <c r="B887" s="257" t="s">
        <v>1055</v>
      </c>
      <c r="C887" s="257" t="s">
        <v>167</v>
      </c>
      <c r="D887" s="259" t="s">
        <v>14338</v>
      </c>
      <c r="E887" s="210" t="s">
        <v>6305</v>
      </c>
    </row>
    <row r="888" spans="1:5" ht="27">
      <c r="A888" s="258">
        <v>90993</v>
      </c>
      <c r="B888" s="257" t="s">
        <v>1056</v>
      </c>
      <c r="C888" s="257" t="s">
        <v>167</v>
      </c>
      <c r="D888" s="259" t="s">
        <v>14339</v>
      </c>
      <c r="E888" s="210" t="s">
        <v>6305</v>
      </c>
    </row>
    <row r="889" spans="1:5" ht="27">
      <c r="A889" s="258">
        <v>90994</v>
      </c>
      <c r="B889" s="257" t="s">
        <v>1057</v>
      </c>
      <c r="C889" s="257" t="s">
        <v>167</v>
      </c>
      <c r="D889" s="259" t="s">
        <v>14340</v>
      </c>
      <c r="E889" s="210" t="s">
        <v>6305</v>
      </c>
    </row>
    <row r="890" spans="1:5" ht="27">
      <c r="A890" s="258">
        <v>90995</v>
      </c>
      <c r="B890" s="257" t="s">
        <v>1058</v>
      </c>
      <c r="C890" s="257" t="s">
        <v>167</v>
      </c>
      <c r="D890" s="259" t="s">
        <v>14341</v>
      </c>
      <c r="E890" s="210" t="s">
        <v>6305</v>
      </c>
    </row>
    <row r="891" spans="1:5" ht="40.5">
      <c r="A891" s="258">
        <v>91021</v>
      </c>
      <c r="B891" s="257" t="s">
        <v>1059</v>
      </c>
      <c r="C891" s="257" t="s">
        <v>167</v>
      </c>
      <c r="D891" s="259" t="s">
        <v>14342</v>
      </c>
      <c r="E891" s="210" t="s">
        <v>6305</v>
      </c>
    </row>
    <row r="892" spans="1:5" ht="27">
      <c r="A892" s="258">
        <v>91026</v>
      </c>
      <c r="B892" s="257" t="s">
        <v>1060</v>
      </c>
      <c r="C892" s="257" t="s">
        <v>167</v>
      </c>
      <c r="D892" s="259" t="s">
        <v>14343</v>
      </c>
      <c r="E892" s="210" t="s">
        <v>6305</v>
      </c>
    </row>
    <row r="893" spans="1:5" ht="27">
      <c r="A893" s="258">
        <v>91027</v>
      </c>
      <c r="B893" s="257" t="s">
        <v>1061</v>
      </c>
      <c r="C893" s="257" t="s">
        <v>167</v>
      </c>
      <c r="D893" s="259" t="s">
        <v>14344</v>
      </c>
      <c r="E893" s="210" t="s">
        <v>6305</v>
      </c>
    </row>
    <row r="894" spans="1:5" ht="27">
      <c r="A894" s="258">
        <v>91028</v>
      </c>
      <c r="B894" s="257" t="s">
        <v>1062</v>
      </c>
      <c r="C894" s="257" t="s">
        <v>167</v>
      </c>
      <c r="D894" s="259" t="s">
        <v>14345</v>
      </c>
      <c r="E894" s="210" t="s">
        <v>6305</v>
      </c>
    </row>
    <row r="895" spans="1:5" ht="27">
      <c r="A895" s="258">
        <v>91029</v>
      </c>
      <c r="B895" s="257" t="s">
        <v>1063</v>
      </c>
      <c r="C895" s="257" t="s">
        <v>167</v>
      </c>
      <c r="D895" s="259" t="s">
        <v>14346</v>
      </c>
      <c r="E895" s="210" t="s">
        <v>6305</v>
      </c>
    </row>
    <row r="896" spans="1:5" ht="27">
      <c r="A896" s="258">
        <v>91030</v>
      </c>
      <c r="B896" s="257" t="s">
        <v>1064</v>
      </c>
      <c r="C896" s="257" t="s">
        <v>167</v>
      </c>
      <c r="D896" s="259" t="s">
        <v>14347</v>
      </c>
      <c r="E896" s="210" t="s">
        <v>6305</v>
      </c>
    </row>
    <row r="897" spans="1:5" ht="27">
      <c r="A897" s="258">
        <v>91273</v>
      </c>
      <c r="B897" s="257" t="s">
        <v>1065</v>
      </c>
      <c r="C897" s="257" t="s">
        <v>167</v>
      </c>
      <c r="D897" s="259" t="s">
        <v>14348</v>
      </c>
      <c r="E897" s="210" t="s">
        <v>6305</v>
      </c>
    </row>
    <row r="898" spans="1:5" ht="27">
      <c r="A898" s="258">
        <v>91274</v>
      </c>
      <c r="B898" s="257" t="s">
        <v>1066</v>
      </c>
      <c r="C898" s="257" t="s">
        <v>167</v>
      </c>
      <c r="D898" s="259" t="s">
        <v>13920</v>
      </c>
      <c r="E898" s="210" t="s">
        <v>6305</v>
      </c>
    </row>
    <row r="899" spans="1:5" ht="27">
      <c r="A899" s="258">
        <v>91275</v>
      </c>
      <c r="B899" s="257" t="s">
        <v>1067</v>
      </c>
      <c r="C899" s="257" t="s">
        <v>167</v>
      </c>
      <c r="D899" s="259" t="s">
        <v>14349</v>
      </c>
      <c r="E899" s="210" t="s">
        <v>6305</v>
      </c>
    </row>
    <row r="900" spans="1:5" ht="27">
      <c r="A900" s="258">
        <v>91276</v>
      </c>
      <c r="B900" s="257" t="s">
        <v>1068</v>
      </c>
      <c r="C900" s="257" t="s">
        <v>167</v>
      </c>
      <c r="D900" s="259" t="s">
        <v>14098</v>
      </c>
      <c r="E900" s="210" t="s">
        <v>6305</v>
      </c>
    </row>
    <row r="901" spans="1:5" ht="40.5">
      <c r="A901" s="258">
        <v>91279</v>
      </c>
      <c r="B901" s="257" t="s">
        <v>1069</v>
      </c>
      <c r="C901" s="257" t="s">
        <v>167</v>
      </c>
      <c r="D901" s="259" t="s">
        <v>14350</v>
      </c>
      <c r="E901" s="210" t="s">
        <v>6305</v>
      </c>
    </row>
    <row r="902" spans="1:5" ht="40.5">
      <c r="A902" s="258">
        <v>91280</v>
      </c>
      <c r="B902" s="257" t="s">
        <v>1070</v>
      </c>
      <c r="C902" s="257" t="s">
        <v>167</v>
      </c>
      <c r="D902" s="259" t="s">
        <v>13920</v>
      </c>
      <c r="E902" s="210" t="s">
        <v>6305</v>
      </c>
    </row>
    <row r="903" spans="1:5" ht="40.5">
      <c r="A903" s="258">
        <v>91281</v>
      </c>
      <c r="B903" s="257" t="s">
        <v>1071</v>
      </c>
      <c r="C903" s="257" t="s">
        <v>167</v>
      </c>
      <c r="D903" s="259" t="s">
        <v>14351</v>
      </c>
      <c r="E903" s="210" t="s">
        <v>6305</v>
      </c>
    </row>
    <row r="904" spans="1:5" ht="40.5">
      <c r="A904" s="258">
        <v>91282</v>
      </c>
      <c r="B904" s="257" t="s">
        <v>1072</v>
      </c>
      <c r="C904" s="257" t="s">
        <v>167</v>
      </c>
      <c r="D904" s="259" t="s">
        <v>14352</v>
      </c>
      <c r="E904" s="210" t="s">
        <v>6305</v>
      </c>
    </row>
    <row r="905" spans="1:5" ht="27">
      <c r="A905" s="258">
        <v>91354</v>
      </c>
      <c r="B905" s="257" t="s">
        <v>1073</v>
      </c>
      <c r="C905" s="257" t="s">
        <v>167</v>
      </c>
      <c r="D905" s="259" t="s">
        <v>14353</v>
      </c>
      <c r="E905" s="210" t="s">
        <v>6305</v>
      </c>
    </row>
    <row r="906" spans="1:5" ht="27">
      <c r="A906" s="258">
        <v>91355</v>
      </c>
      <c r="B906" s="257" t="s">
        <v>1074</v>
      </c>
      <c r="C906" s="257" t="s">
        <v>167</v>
      </c>
      <c r="D906" s="259" t="s">
        <v>14354</v>
      </c>
      <c r="E906" s="210" t="s">
        <v>6305</v>
      </c>
    </row>
    <row r="907" spans="1:5" ht="27">
      <c r="A907" s="258">
        <v>91356</v>
      </c>
      <c r="B907" s="257" t="s">
        <v>1075</v>
      </c>
      <c r="C907" s="257" t="s">
        <v>167</v>
      </c>
      <c r="D907" s="259" t="s">
        <v>14355</v>
      </c>
      <c r="E907" s="210" t="s">
        <v>6305</v>
      </c>
    </row>
    <row r="908" spans="1:5" ht="27">
      <c r="A908" s="258">
        <v>91359</v>
      </c>
      <c r="B908" s="257" t="s">
        <v>1076</v>
      </c>
      <c r="C908" s="257" t="s">
        <v>167</v>
      </c>
      <c r="D908" s="259" t="s">
        <v>14356</v>
      </c>
      <c r="E908" s="210" t="s">
        <v>6305</v>
      </c>
    </row>
    <row r="909" spans="1:5" ht="27">
      <c r="A909" s="258">
        <v>91360</v>
      </c>
      <c r="B909" s="257" t="s">
        <v>1077</v>
      </c>
      <c r="C909" s="257" t="s">
        <v>167</v>
      </c>
      <c r="D909" s="259" t="s">
        <v>14357</v>
      </c>
      <c r="E909" s="210" t="s">
        <v>6305</v>
      </c>
    </row>
    <row r="910" spans="1:5" ht="40.5">
      <c r="A910" s="258">
        <v>91361</v>
      </c>
      <c r="B910" s="257" t="s">
        <v>1078</v>
      </c>
      <c r="C910" s="257" t="s">
        <v>167</v>
      </c>
      <c r="D910" s="259" t="s">
        <v>14186</v>
      </c>
      <c r="E910" s="210" t="s">
        <v>6305</v>
      </c>
    </row>
    <row r="911" spans="1:5" ht="27">
      <c r="A911" s="258">
        <v>91367</v>
      </c>
      <c r="B911" s="257" t="s">
        <v>1079</v>
      </c>
      <c r="C911" s="257" t="s">
        <v>167</v>
      </c>
      <c r="D911" s="259" t="s">
        <v>14358</v>
      </c>
      <c r="E911" s="210" t="s">
        <v>6305</v>
      </c>
    </row>
    <row r="912" spans="1:5" ht="27">
      <c r="A912" s="258">
        <v>91368</v>
      </c>
      <c r="B912" s="257" t="s">
        <v>1080</v>
      </c>
      <c r="C912" s="257" t="s">
        <v>167</v>
      </c>
      <c r="D912" s="259" t="s">
        <v>14344</v>
      </c>
      <c r="E912" s="210" t="s">
        <v>6305</v>
      </c>
    </row>
    <row r="913" spans="1:5" ht="40.5">
      <c r="A913" s="258">
        <v>91369</v>
      </c>
      <c r="B913" s="257" t="s">
        <v>1081</v>
      </c>
      <c r="C913" s="257" t="s">
        <v>167</v>
      </c>
      <c r="D913" s="259" t="s">
        <v>14345</v>
      </c>
      <c r="E913" s="210" t="s">
        <v>6305</v>
      </c>
    </row>
    <row r="914" spans="1:5" ht="27">
      <c r="A914" s="258">
        <v>91375</v>
      </c>
      <c r="B914" s="257" t="s">
        <v>1082</v>
      </c>
      <c r="C914" s="257" t="s">
        <v>167</v>
      </c>
      <c r="D914" s="259" t="s">
        <v>14359</v>
      </c>
      <c r="E914" s="210" t="s">
        <v>6305</v>
      </c>
    </row>
    <row r="915" spans="1:5" ht="27">
      <c r="A915" s="258">
        <v>91376</v>
      </c>
      <c r="B915" s="257" t="s">
        <v>1083</v>
      </c>
      <c r="C915" s="257" t="s">
        <v>167</v>
      </c>
      <c r="D915" s="259" t="s">
        <v>13664</v>
      </c>
      <c r="E915" s="210" t="s">
        <v>6305</v>
      </c>
    </row>
    <row r="916" spans="1:5" ht="27">
      <c r="A916" s="258">
        <v>91377</v>
      </c>
      <c r="B916" s="257" t="s">
        <v>1084</v>
      </c>
      <c r="C916" s="257" t="s">
        <v>167</v>
      </c>
      <c r="D916" s="259" t="s">
        <v>14013</v>
      </c>
      <c r="E916" s="210" t="s">
        <v>6305</v>
      </c>
    </row>
    <row r="917" spans="1:5" ht="40.5">
      <c r="A917" s="258">
        <v>91380</v>
      </c>
      <c r="B917" s="257" t="s">
        <v>1085</v>
      </c>
      <c r="C917" s="257" t="s">
        <v>167</v>
      </c>
      <c r="D917" s="259" t="s">
        <v>14360</v>
      </c>
      <c r="E917" s="210" t="s">
        <v>6305</v>
      </c>
    </row>
    <row r="918" spans="1:5" ht="40.5">
      <c r="A918" s="258">
        <v>91381</v>
      </c>
      <c r="B918" s="257" t="s">
        <v>1086</v>
      </c>
      <c r="C918" s="257" t="s">
        <v>167</v>
      </c>
      <c r="D918" s="259" t="s">
        <v>14361</v>
      </c>
      <c r="E918" s="210" t="s">
        <v>6305</v>
      </c>
    </row>
    <row r="919" spans="1:5" ht="40.5">
      <c r="A919" s="258">
        <v>91382</v>
      </c>
      <c r="B919" s="257" t="s">
        <v>1087</v>
      </c>
      <c r="C919" s="257" t="s">
        <v>167</v>
      </c>
      <c r="D919" s="259" t="s">
        <v>14362</v>
      </c>
      <c r="E919" s="210" t="s">
        <v>6305</v>
      </c>
    </row>
    <row r="920" spans="1:5" ht="40.5">
      <c r="A920" s="258">
        <v>91383</v>
      </c>
      <c r="B920" s="257" t="s">
        <v>1088</v>
      </c>
      <c r="C920" s="257" t="s">
        <v>167</v>
      </c>
      <c r="D920" s="259" t="s">
        <v>13660</v>
      </c>
      <c r="E920" s="210" t="s">
        <v>6305</v>
      </c>
    </row>
    <row r="921" spans="1:5" ht="40.5">
      <c r="A921" s="258">
        <v>91384</v>
      </c>
      <c r="B921" s="257" t="s">
        <v>1089</v>
      </c>
      <c r="C921" s="257" t="s">
        <v>167</v>
      </c>
      <c r="D921" s="259" t="s">
        <v>14363</v>
      </c>
      <c r="E921" s="210" t="s">
        <v>6305</v>
      </c>
    </row>
    <row r="922" spans="1:5" ht="40.5">
      <c r="A922" s="258">
        <v>91390</v>
      </c>
      <c r="B922" s="257" t="s">
        <v>1090</v>
      </c>
      <c r="C922" s="257" t="s">
        <v>167</v>
      </c>
      <c r="D922" s="259" t="s">
        <v>14364</v>
      </c>
      <c r="E922" s="210" t="s">
        <v>6305</v>
      </c>
    </row>
    <row r="923" spans="1:5" ht="40.5">
      <c r="A923" s="258">
        <v>91391</v>
      </c>
      <c r="B923" s="257" t="s">
        <v>1091</v>
      </c>
      <c r="C923" s="257" t="s">
        <v>167</v>
      </c>
      <c r="D923" s="259" t="s">
        <v>14365</v>
      </c>
      <c r="E923" s="210" t="s">
        <v>6305</v>
      </c>
    </row>
    <row r="924" spans="1:5" ht="40.5">
      <c r="A924" s="258">
        <v>91392</v>
      </c>
      <c r="B924" s="257" t="s">
        <v>1092</v>
      </c>
      <c r="C924" s="257" t="s">
        <v>167</v>
      </c>
      <c r="D924" s="259" t="s">
        <v>14366</v>
      </c>
      <c r="E924" s="210" t="s">
        <v>6305</v>
      </c>
    </row>
    <row r="925" spans="1:5" ht="40.5">
      <c r="A925" s="258">
        <v>91396</v>
      </c>
      <c r="B925" s="257" t="s">
        <v>1093</v>
      </c>
      <c r="C925" s="257" t="s">
        <v>167</v>
      </c>
      <c r="D925" s="259" t="s">
        <v>14367</v>
      </c>
      <c r="E925" s="210" t="s">
        <v>6305</v>
      </c>
    </row>
    <row r="926" spans="1:5" ht="40.5">
      <c r="A926" s="258">
        <v>91397</v>
      </c>
      <c r="B926" s="257" t="s">
        <v>1094</v>
      </c>
      <c r="C926" s="257" t="s">
        <v>167</v>
      </c>
      <c r="D926" s="259" t="s">
        <v>14368</v>
      </c>
      <c r="E926" s="210" t="s">
        <v>6305</v>
      </c>
    </row>
    <row r="927" spans="1:5" ht="40.5">
      <c r="A927" s="258">
        <v>91398</v>
      </c>
      <c r="B927" s="257" t="s">
        <v>1095</v>
      </c>
      <c r="C927" s="257" t="s">
        <v>167</v>
      </c>
      <c r="D927" s="259" t="s">
        <v>13750</v>
      </c>
      <c r="E927" s="210" t="s">
        <v>6305</v>
      </c>
    </row>
    <row r="928" spans="1:5" ht="40.5">
      <c r="A928" s="258">
        <v>91402</v>
      </c>
      <c r="B928" s="257" t="s">
        <v>1096</v>
      </c>
      <c r="C928" s="257" t="s">
        <v>167</v>
      </c>
      <c r="D928" s="259" t="s">
        <v>14369</v>
      </c>
      <c r="E928" s="210" t="s">
        <v>6305</v>
      </c>
    </row>
    <row r="929" spans="1:5" ht="40.5">
      <c r="A929" s="258">
        <v>91466</v>
      </c>
      <c r="B929" s="257" t="s">
        <v>1097</v>
      </c>
      <c r="C929" s="257" t="s">
        <v>167</v>
      </c>
      <c r="D929" s="259" t="s">
        <v>14370</v>
      </c>
      <c r="E929" s="210" t="s">
        <v>6305</v>
      </c>
    </row>
    <row r="930" spans="1:5" ht="40.5">
      <c r="A930" s="258">
        <v>91467</v>
      </c>
      <c r="B930" s="257" t="s">
        <v>1098</v>
      </c>
      <c r="C930" s="257" t="s">
        <v>167</v>
      </c>
      <c r="D930" s="259" t="s">
        <v>14120</v>
      </c>
      <c r="E930" s="210" t="s">
        <v>6305</v>
      </c>
    </row>
    <row r="931" spans="1:5" ht="40.5">
      <c r="A931" s="258">
        <v>91468</v>
      </c>
      <c r="B931" s="257" t="s">
        <v>1099</v>
      </c>
      <c r="C931" s="257" t="s">
        <v>167</v>
      </c>
      <c r="D931" s="259" t="s">
        <v>14371</v>
      </c>
      <c r="E931" s="210" t="s">
        <v>6305</v>
      </c>
    </row>
    <row r="932" spans="1:5" ht="40.5">
      <c r="A932" s="258">
        <v>91469</v>
      </c>
      <c r="B932" s="257" t="s">
        <v>1100</v>
      </c>
      <c r="C932" s="257" t="s">
        <v>167</v>
      </c>
      <c r="D932" s="259" t="s">
        <v>14372</v>
      </c>
      <c r="E932" s="210" t="s">
        <v>6305</v>
      </c>
    </row>
    <row r="933" spans="1:5" ht="40.5">
      <c r="A933" s="258">
        <v>91484</v>
      </c>
      <c r="B933" s="257" t="s">
        <v>1101</v>
      </c>
      <c r="C933" s="257" t="s">
        <v>167</v>
      </c>
      <c r="D933" s="259" t="s">
        <v>14163</v>
      </c>
      <c r="E933" s="210" t="s">
        <v>6305</v>
      </c>
    </row>
    <row r="934" spans="1:5" ht="40.5">
      <c r="A934" s="258">
        <v>91485</v>
      </c>
      <c r="B934" s="257" t="s">
        <v>1102</v>
      </c>
      <c r="C934" s="257" t="s">
        <v>167</v>
      </c>
      <c r="D934" s="259" t="s">
        <v>14373</v>
      </c>
      <c r="E934" s="210" t="s">
        <v>6305</v>
      </c>
    </row>
    <row r="935" spans="1:5" ht="27">
      <c r="A935" s="258">
        <v>91529</v>
      </c>
      <c r="B935" s="257" t="s">
        <v>1103</v>
      </c>
      <c r="C935" s="257" t="s">
        <v>167</v>
      </c>
      <c r="D935" s="259" t="s">
        <v>13988</v>
      </c>
      <c r="E935" s="210" t="s">
        <v>6305</v>
      </c>
    </row>
    <row r="936" spans="1:5" ht="27">
      <c r="A936" s="258">
        <v>91530</v>
      </c>
      <c r="B936" s="257" t="s">
        <v>1104</v>
      </c>
      <c r="C936" s="257" t="s">
        <v>167</v>
      </c>
      <c r="D936" s="259" t="s">
        <v>14374</v>
      </c>
      <c r="E936" s="210" t="s">
        <v>6305</v>
      </c>
    </row>
    <row r="937" spans="1:5" ht="27">
      <c r="A937" s="258">
        <v>91531</v>
      </c>
      <c r="B937" s="257" t="s">
        <v>1105</v>
      </c>
      <c r="C937" s="257" t="s">
        <v>167</v>
      </c>
      <c r="D937" s="259" t="s">
        <v>14345</v>
      </c>
      <c r="E937" s="210" t="s">
        <v>6305</v>
      </c>
    </row>
    <row r="938" spans="1:5" ht="27">
      <c r="A938" s="258">
        <v>91532</v>
      </c>
      <c r="B938" s="257" t="s">
        <v>1106</v>
      </c>
      <c r="C938" s="257" t="s">
        <v>167</v>
      </c>
      <c r="D938" s="259" t="s">
        <v>14340</v>
      </c>
      <c r="E938" s="210" t="s">
        <v>6305</v>
      </c>
    </row>
    <row r="939" spans="1:5" ht="40.5">
      <c r="A939" s="258">
        <v>91629</v>
      </c>
      <c r="B939" s="257" t="s">
        <v>1107</v>
      </c>
      <c r="C939" s="257" t="s">
        <v>167</v>
      </c>
      <c r="D939" s="259" t="s">
        <v>14375</v>
      </c>
      <c r="E939" s="210" t="s">
        <v>6305</v>
      </c>
    </row>
    <row r="940" spans="1:5" ht="40.5">
      <c r="A940" s="258">
        <v>91630</v>
      </c>
      <c r="B940" s="257" t="s">
        <v>1108</v>
      </c>
      <c r="C940" s="257" t="s">
        <v>167</v>
      </c>
      <c r="D940" s="259" t="s">
        <v>14376</v>
      </c>
      <c r="E940" s="210" t="s">
        <v>6305</v>
      </c>
    </row>
    <row r="941" spans="1:5" ht="40.5">
      <c r="A941" s="258">
        <v>91631</v>
      </c>
      <c r="B941" s="257" t="s">
        <v>1109</v>
      </c>
      <c r="C941" s="257" t="s">
        <v>167</v>
      </c>
      <c r="D941" s="259" t="s">
        <v>13751</v>
      </c>
      <c r="E941" s="210" t="s">
        <v>6305</v>
      </c>
    </row>
    <row r="942" spans="1:5" ht="40.5">
      <c r="A942" s="258">
        <v>91632</v>
      </c>
      <c r="B942" s="257" t="s">
        <v>1110</v>
      </c>
      <c r="C942" s="257" t="s">
        <v>167</v>
      </c>
      <c r="D942" s="259" t="s">
        <v>14377</v>
      </c>
      <c r="E942" s="210" t="s">
        <v>6305</v>
      </c>
    </row>
    <row r="943" spans="1:5" ht="40.5">
      <c r="A943" s="258">
        <v>91633</v>
      </c>
      <c r="B943" s="257" t="s">
        <v>1111</v>
      </c>
      <c r="C943" s="257" t="s">
        <v>167</v>
      </c>
      <c r="D943" s="259" t="s">
        <v>14378</v>
      </c>
      <c r="E943" s="210" t="s">
        <v>6305</v>
      </c>
    </row>
    <row r="944" spans="1:5" ht="40.5">
      <c r="A944" s="258">
        <v>91640</v>
      </c>
      <c r="B944" s="257" t="s">
        <v>1112</v>
      </c>
      <c r="C944" s="257" t="s">
        <v>167</v>
      </c>
      <c r="D944" s="259" t="s">
        <v>14379</v>
      </c>
      <c r="E944" s="210" t="s">
        <v>6305</v>
      </c>
    </row>
    <row r="945" spans="1:5" ht="40.5">
      <c r="A945" s="258">
        <v>91641</v>
      </c>
      <c r="B945" s="257" t="s">
        <v>1113</v>
      </c>
      <c r="C945" s="257" t="s">
        <v>167</v>
      </c>
      <c r="D945" s="259" t="s">
        <v>13616</v>
      </c>
      <c r="E945" s="210" t="s">
        <v>6305</v>
      </c>
    </row>
    <row r="946" spans="1:5" ht="40.5">
      <c r="A946" s="258">
        <v>91642</v>
      </c>
      <c r="B946" s="257" t="s">
        <v>1114</v>
      </c>
      <c r="C946" s="257" t="s">
        <v>167</v>
      </c>
      <c r="D946" s="259" t="s">
        <v>14380</v>
      </c>
      <c r="E946" s="210" t="s">
        <v>6305</v>
      </c>
    </row>
    <row r="947" spans="1:5" ht="40.5">
      <c r="A947" s="258">
        <v>91643</v>
      </c>
      <c r="B947" s="257" t="s">
        <v>1115</v>
      </c>
      <c r="C947" s="257" t="s">
        <v>167</v>
      </c>
      <c r="D947" s="259" t="s">
        <v>14381</v>
      </c>
      <c r="E947" s="210" t="s">
        <v>6305</v>
      </c>
    </row>
    <row r="948" spans="1:5" ht="40.5">
      <c r="A948" s="258">
        <v>91644</v>
      </c>
      <c r="B948" s="257" t="s">
        <v>1116</v>
      </c>
      <c r="C948" s="257" t="s">
        <v>167</v>
      </c>
      <c r="D948" s="259" t="s">
        <v>14382</v>
      </c>
      <c r="E948" s="210" t="s">
        <v>6305</v>
      </c>
    </row>
    <row r="949" spans="1:5" ht="27">
      <c r="A949" s="258">
        <v>91688</v>
      </c>
      <c r="B949" s="257" t="s">
        <v>1117</v>
      </c>
      <c r="C949" s="257" t="s">
        <v>167</v>
      </c>
      <c r="D949" s="259" t="s">
        <v>13920</v>
      </c>
      <c r="E949" s="210" t="s">
        <v>6305</v>
      </c>
    </row>
    <row r="950" spans="1:5" ht="27">
      <c r="A950" s="258">
        <v>91689</v>
      </c>
      <c r="B950" s="257" t="s">
        <v>1118</v>
      </c>
      <c r="C950" s="257" t="s">
        <v>167</v>
      </c>
      <c r="D950" s="259" t="s">
        <v>14211</v>
      </c>
      <c r="E950" s="210" t="s">
        <v>6305</v>
      </c>
    </row>
    <row r="951" spans="1:5" ht="27">
      <c r="A951" s="258">
        <v>91690</v>
      </c>
      <c r="B951" s="257" t="s">
        <v>1119</v>
      </c>
      <c r="C951" s="257" t="s">
        <v>167</v>
      </c>
      <c r="D951" s="259" t="s">
        <v>14059</v>
      </c>
      <c r="E951" s="210" t="s">
        <v>6305</v>
      </c>
    </row>
    <row r="952" spans="1:5" ht="27">
      <c r="A952" s="258">
        <v>91691</v>
      </c>
      <c r="B952" s="257" t="s">
        <v>1120</v>
      </c>
      <c r="C952" s="257" t="s">
        <v>167</v>
      </c>
      <c r="D952" s="259" t="s">
        <v>14383</v>
      </c>
      <c r="E952" s="210" t="s">
        <v>6305</v>
      </c>
    </row>
    <row r="953" spans="1:5" ht="27">
      <c r="A953" s="258">
        <v>92040</v>
      </c>
      <c r="B953" s="257" t="s">
        <v>1121</v>
      </c>
      <c r="C953" s="257" t="s">
        <v>167</v>
      </c>
      <c r="D953" s="259" t="s">
        <v>14384</v>
      </c>
      <c r="E953" s="210" t="s">
        <v>6305</v>
      </c>
    </row>
    <row r="954" spans="1:5" ht="27">
      <c r="A954" s="258">
        <v>92041</v>
      </c>
      <c r="B954" s="257" t="s">
        <v>1122</v>
      </c>
      <c r="C954" s="257" t="s">
        <v>167</v>
      </c>
      <c r="D954" s="259" t="s">
        <v>14065</v>
      </c>
      <c r="E954" s="210" t="s">
        <v>6305</v>
      </c>
    </row>
    <row r="955" spans="1:5" ht="27">
      <c r="A955" s="258">
        <v>92042</v>
      </c>
      <c r="B955" s="257" t="s">
        <v>1123</v>
      </c>
      <c r="C955" s="257" t="s">
        <v>167</v>
      </c>
      <c r="D955" s="259" t="s">
        <v>14385</v>
      </c>
      <c r="E955" s="210" t="s">
        <v>6305</v>
      </c>
    </row>
    <row r="956" spans="1:5" ht="40.5">
      <c r="A956" s="258">
        <v>92101</v>
      </c>
      <c r="B956" s="257" t="s">
        <v>1124</v>
      </c>
      <c r="C956" s="257" t="s">
        <v>167</v>
      </c>
      <c r="D956" s="259" t="s">
        <v>14386</v>
      </c>
      <c r="E956" s="210" t="s">
        <v>6305</v>
      </c>
    </row>
    <row r="957" spans="1:5" ht="40.5">
      <c r="A957" s="258">
        <v>92102</v>
      </c>
      <c r="B957" s="257" t="s">
        <v>1125</v>
      </c>
      <c r="C957" s="257" t="s">
        <v>167</v>
      </c>
      <c r="D957" s="259" t="s">
        <v>13613</v>
      </c>
      <c r="E957" s="210" t="s">
        <v>6305</v>
      </c>
    </row>
    <row r="958" spans="1:5" ht="40.5">
      <c r="A958" s="258">
        <v>92103</v>
      </c>
      <c r="B958" s="257" t="s">
        <v>1126</v>
      </c>
      <c r="C958" s="257" t="s">
        <v>167</v>
      </c>
      <c r="D958" s="259" t="s">
        <v>14387</v>
      </c>
      <c r="E958" s="210" t="s">
        <v>6305</v>
      </c>
    </row>
    <row r="959" spans="1:5" ht="40.5">
      <c r="A959" s="258">
        <v>92104</v>
      </c>
      <c r="B959" s="257" t="s">
        <v>1127</v>
      </c>
      <c r="C959" s="257" t="s">
        <v>167</v>
      </c>
      <c r="D959" s="259" t="s">
        <v>14388</v>
      </c>
      <c r="E959" s="210" t="s">
        <v>6305</v>
      </c>
    </row>
    <row r="960" spans="1:5" ht="40.5">
      <c r="A960" s="258">
        <v>92105</v>
      </c>
      <c r="B960" s="257" t="s">
        <v>5135</v>
      </c>
      <c r="C960" s="257" t="s">
        <v>167</v>
      </c>
      <c r="D960" s="259" t="s">
        <v>14161</v>
      </c>
      <c r="E960" s="210" t="s">
        <v>6305</v>
      </c>
    </row>
    <row r="961" spans="1:5" ht="27">
      <c r="A961" s="258">
        <v>92108</v>
      </c>
      <c r="B961" s="257" t="s">
        <v>1128</v>
      </c>
      <c r="C961" s="257" t="s">
        <v>167</v>
      </c>
      <c r="D961" s="259" t="s">
        <v>13988</v>
      </c>
      <c r="E961" s="210" t="s">
        <v>6305</v>
      </c>
    </row>
    <row r="962" spans="1:5" ht="27">
      <c r="A962" s="258">
        <v>92109</v>
      </c>
      <c r="B962" s="257" t="s">
        <v>1129</v>
      </c>
      <c r="C962" s="257" t="s">
        <v>167</v>
      </c>
      <c r="D962" s="259" t="s">
        <v>14037</v>
      </c>
      <c r="E962" s="210" t="s">
        <v>6305</v>
      </c>
    </row>
    <row r="963" spans="1:5" ht="27">
      <c r="A963" s="258">
        <v>92110</v>
      </c>
      <c r="B963" s="257" t="s">
        <v>1130</v>
      </c>
      <c r="C963" s="257" t="s">
        <v>167</v>
      </c>
      <c r="D963" s="259" t="s">
        <v>14389</v>
      </c>
      <c r="E963" s="210" t="s">
        <v>6305</v>
      </c>
    </row>
    <row r="964" spans="1:5" ht="27">
      <c r="A964" s="258">
        <v>92111</v>
      </c>
      <c r="B964" s="257" t="s">
        <v>1131</v>
      </c>
      <c r="C964" s="257" t="s">
        <v>167</v>
      </c>
      <c r="D964" s="259" t="s">
        <v>14186</v>
      </c>
      <c r="E964" s="210" t="s">
        <v>6305</v>
      </c>
    </row>
    <row r="965" spans="1:5" ht="13.5">
      <c r="A965" s="258">
        <v>92114</v>
      </c>
      <c r="B965" s="257" t="s">
        <v>1132</v>
      </c>
      <c r="C965" s="257" t="s">
        <v>167</v>
      </c>
      <c r="D965" s="259" t="s">
        <v>14037</v>
      </c>
      <c r="E965" s="210" t="s">
        <v>6305</v>
      </c>
    </row>
    <row r="966" spans="1:5" ht="13.5">
      <c r="A966" s="258">
        <v>92115</v>
      </c>
      <c r="B966" s="257" t="s">
        <v>1133</v>
      </c>
      <c r="C966" s="257" t="s">
        <v>167</v>
      </c>
      <c r="D966" s="259" t="s">
        <v>14390</v>
      </c>
      <c r="E966" s="210" t="s">
        <v>6305</v>
      </c>
    </row>
    <row r="967" spans="1:5" ht="13.5">
      <c r="A967" s="258">
        <v>92116</v>
      </c>
      <c r="B967" s="257" t="s">
        <v>1134</v>
      </c>
      <c r="C967" s="257" t="s">
        <v>167</v>
      </c>
      <c r="D967" s="259" t="s">
        <v>14374</v>
      </c>
      <c r="E967" s="210" t="s">
        <v>6305</v>
      </c>
    </row>
    <row r="968" spans="1:5" ht="13.5">
      <c r="A968" s="258">
        <v>92133</v>
      </c>
      <c r="B968" s="257" t="s">
        <v>1135</v>
      </c>
      <c r="C968" s="257" t="s">
        <v>167</v>
      </c>
      <c r="D968" s="259" t="s">
        <v>14391</v>
      </c>
      <c r="E968" s="210" t="s">
        <v>6305</v>
      </c>
    </row>
    <row r="969" spans="1:5" ht="13.5">
      <c r="A969" s="258">
        <v>92134</v>
      </c>
      <c r="B969" s="257" t="s">
        <v>1136</v>
      </c>
      <c r="C969" s="257" t="s">
        <v>167</v>
      </c>
      <c r="D969" s="259" t="s">
        <v>14326</v>
      </c>
      <c r="E969" s="210" t="s">
        <v>6305</v>
      </c>
    </row>
    <row r="970" spans="1:5" ht="27">
      <c r="A970" s="258">
        <v>92135</v>
      </c>
      <c r="B970" s="257" t="s">
        <v>1137</v>
      </c>
      <c r="C970" s="257" t="s">
        <v>167</v>
      </c>
      <c r="D970" s="259" t="s">
        <v>14131</v>
      </c>
      <c r="E970" s="210" t="s">
        <v>6305</v>
      </c>
    </row>
    <row r="971" spans="1:5" ht="13.5">
      <c r="A971" s="258">
        <v>92136</v>
      </c>
      <c r="B971" s="257" t="s">
        <v>1138</v>
      </c>
      <c r="C971" s="257" t="s">
        <v>167</v>
      </c>
      <c r="D971" s="259" t="s">
        <v>14364</v>
      </c>
      <c r="E971" s="210" t="s">
        <v>6305</v>
      </c>
    </row>
    <row r="972" spans="1:5" ht="27">
      <c r="A972" s="258">
        <v>92137</v>
      </c>
      <c r="B972" s="257" t="s">
        <v>1139</v>
      </c>
      <c r="C972" s="257" t="s">
        <v>167</v>
      </c>
      <c r="D972" s="259" t="s">
        <v>14392</v>
      </c>
      <c r="E972" s="210" t="s">
        <v>6305</v>
      </c>
    </row>
    <row r="973" spans="1:5" ht="27">
      <c r="A973" s="258">
        <v>92140</v>
      </c>
      <c r="B973" s="257" t="s">
        <v>1140</v>
      </c>
      <c r="C973" s="257" t="s">
        <v>167</v>
      </c>
      <c r="D973" s="259" t="s">
        <v>14393</v>
      </c>
      <c r="E973" s="210" t="s">
        <v>6305</v>
      </c>
    </row>
    <row r="974" spans="1:5" ht="27">
      <c r="A974" s="258">
        <v>92141</v>
      </c>
      <c r="B974" s="257" t="s">
        <v>1141</v>
      </c>
      <c r="C974" s="257" t="s">
        <v>167</v>
      </c>
      <c r="D974" s="259" t="s">
        <v>14307</v>
      </c>
      <c r="E974" s="210" t="s">
        <v>6305</v>
      </c>
    </row>
    <row r="975" spans="1:5" ht="27">
      <c r="A975" s="258">
        <v>92142</v>
      </c>
      <c r="B975" s="257" t="s">
        <v>1142</v>
      </c>
      <c r="C975" s="257" t="s">
        <v>167</v>
      </c>
      <c r="D975" s="259" t="s">
        <v>14279</v>
      </c>
      <c r="E975" s="210" t="s">
        <v>6305</v>
      </c>
    </row>
    <row r="976" spans="1:5" ht="27">
      <c r="A976" s="258">
        <v>92143</v>
      </c>
      <c r="B976" s="257" t="s">
        <v>1143</v>
      </c>
      <c r="C976" s="257" t="s">
        <v>167</v>
      </c>
      <c r="D976" s="259" t="s">
        <v>14394</v>
      </c>
      <c r="E976" s="210" t="s">
        <v>6305</v>
      </c>
    </row>
    <row r="977" spans="1:5" ht="27">
      <c r="A977" s="258">
        <v>92144</v>
      </c>
      <c r="B977" s="257" t="s">
        <v>1144</v>
      </c>
      <c r="C977" s="257" t="s">
        <v>167</v>
      </c>
      <c r="D977" s="259" t="s">
        <v>14395</v>
      </c>
      <c r="E977" s="210" t="s">
        <v>6305</v>
      </c>
    </row>
    <row r="978" spans="1:5" ht="40.5">
      <c r="A978" s="258">
        <v>92237</v>
      </c>
      <c r="B978" s="257" t="s">
        <v>1145</v>
      </c>
      <c r="C978" s="257" t="s">
        <v>167</v>
      </c>
      <c r="D978" s="259" t="s">
        <v>14396</v>
      </c>
      <c r="E978" s="210" t="s">
        <v>6305</v>
      </c>
    </row>
    <row r="979" spans="1:5" ht="40.5">
      <c r="A979" s="258">
        <v>92238</v>
      </c>
      <c r="B979" s="257" t="s">
        <v>1146</v>
      </c>
      <c r="C979" s="257" t="s">
        <v>167</v>
      </c>
      <c r="D979" s="259" t="s">
        <v>14397</v>
      </c>
      <c r="E979" s="210" t="s">
        <v>6305</v>
      </c>
    </row>
    <row r="980" spans="1:5" ht="40.5">
      <c r="A980" s="258">
        <v>92239</v>
      </c>
      <c r="B980" s="257" t="s">
        <v>1147</v>
      </c>
      <c r="C980" s="257" t="s">
        <v>167</v>
      </c>
      <c r="D980" s="259" t="s">
        <v>13669</v>
      </c>
      <c r="E980" s="210" t="s">
        <v>6305</v>
      </c>
    </row>
    <row r="981" spans="1:5" ht="40.5">
      <c r="A981" s="258">
        <v>92240</v>
      </c>
      <c r="B981" s="257" t="s">
        <v>1148</v>
      </c>
      <c r="C981" s="257" t="s">
        <v>167</v>
      </c>
      <c r="D981" s="259" t="s">
        <v>14202</v>
      </c>
      <c r="E981" s="210" t="s">
        <v>6305</v>
      </c>
    </row>
    <row r="982" spans="1:5" ht="40.5">
      <c r="A982" s="258">
        <v>92241</v>
      </c>
      <c r="B982" s="257" t="s">
        <v>1149</v>
      </c>
      <c r="C982" s="257" t="s">
        <v>167</v>
      </c>
      <c r="D982" s="259" t="s">
        <v>14398</v>
      </c>
      <c r="E982" s="210" t="s">
        <v>6305</v>
      </c>
    </row>
    <row r="983" spans="1:5" ht="27">
      <c r="A983" s="258">
        <v>92712</v>
      </c>
      <c r="B983" s="257" t="s">
        <v>1150</v>
      </c>
      <c r="C983" s="257" t="s">
        <v>167</v>
      </c>
      <c r="D983" s="259" t="s">
        <v>13954</v>
      </c>
      <c r="E983" s="210" t="s">
        <v>6305</v>
      </c>
    </row>
    <row r="984" spans="1:5" ht="27">
      <c r="A984" s="258">
        <v>92713</v>
      </c>
      <c r="B984" s="257" t="s">
        <v>1151</v>
      </c>
      <c r="C984" s="257" t="s">
        <v>167</v>
      </c>
      <c r="D984" s="259" t="s">
        <v>14211</v>
      </c>
      <c r="E984" s="210" t="s">
        <v>6305</v>
      </c>
    </row>
    <row r="985" spans="1:5" ht="27">
      <c r="A985" s="258">
        <v>92714</v>
      </c>
      <c r="B985" s="257" t="s">
        <v>1152</v>
      </c>
      <c r="C985" s="257" t="s">
        <v>167</v>
      </c>
      <c r="D985" s="259" t="s">
        <v>14399</v>
      </c>
      <c r="E985" s="210" t="s">
        <v>6305</v>
      </c>
    </row>
    <row r="986" spans="1:5" ht="27">
      <c r="A986" s="258">
        <v>92715</v>
      </c>
      <c r="B986" s="257" t="s">
        <v>1153</v>
      </c>
      <c r="C986" s="257" t="s">
        <v>167</v>
      </c>
      <c r="D986" s="259" t="s">
        <v>14400</v>
      </c>
      <c r="E986" s="210" t="s">
        <v>6305</v>
      </c>
    </row>
    <row r="987" spans="1:5" ht="27">
      <c r="A987" s="258">
        <v>92956</v>
      </c>
      <c r="B987" s="257" t="s">
        <v>1154</v>
      </c>
      <c r="C987" s="257" t="s">
        <v>167</v>
      </c>
      <c r="D987" s="259" t="s">
        <v>13619</v>
      </c>
      <c r="E987" s="210" t="s">
        <v>6305</v>
      </c>
    </row>
    <row r="988" spans="1:5" ht="27">
      <c r="A988" s="258">
        <v>92957</v>
      </c>
      <c r="B988" s="257" t="s">
        <v>1155</v>
      </c>
      <c r="C988" s="257" t="s">
        <v>167</v>
      </c>
      <c r="D988" s="259" t="s">
        <v>14013</v>
      </c>
      <c r="E988" s="210" t="s">
        <v>6305</v>
      </c>
    </row>
    <row r="989" spans="1:5" ht="27">
      <c r="A989" s="258">
        <v>92958</v>
      </c>
      <c r="B989" s="257" t="s">
        <v>1156</v>
      </c>
      <c r="C989" s="257" t="s">
        <v>167</v>
      </c>
      <c r="D989" s="259" t="s">
        <v>13630</v>
      </c>
      <c r="E989" s="210" t="s">
        <v>6305</v>
      </c>
    </row>
    <row r="990" spans="1:5" ht="27">
      <c r="A990" s="258">
        <v>92959</v>
      </c>
      <c r="B990" s="257" t="s">
        <v>1157</v>
      </c>
      <c r="C990" s="257" t="s">
        <v>167</v>
      </c>
      <c r="D990" s="259" t="s">
        <v>14401</v>
      </c>
      <c r="E990" s="210" t="s">
        <v>6305</v>
      </c>
    </row>
    <row r="991" spans="1:5" ht="13.5">
      <c r="A991" s="258">
        <v>92963</v>
      </c>
      <c r="B991" s="257" t="s">
        <v>1158</v>
      </c>
      <c r="C991" s="257" t="s">
        <v>167</v>
      </c>
      <c r="D991" s="259" t="s">
        <v>13653</v>
      </c>
      <c r="E991" s="210" t="s">
        <v>6305</v>
      </c>
    </row>
    <row r="992" spans="1:5" ht="13.5">
      <c r="A992" s="258">
        <v>92964</v>
      </c>
      <c r="B992" s="257" t="s">
        <v>1159</v>
      </c>
      <c r="C992" s="257" t="s">
        <v>167</v>
      </c>
      <c r="D992" s="259" t="s">
        <v>14374</v>
      </c>
      <c r="E992" s="210" t="s">
        <v>6305</v>
      </c>
    </row>
    <row r="993" spans="1:5" ht="13.5">
      <c r="A993" s="258">
        <v>92965</v>
      </c>
      <c r="B993" s="257" t="s">
        <v>1160</v>
      </c>
      <c r="C993" s="257" t="s">
        <v>167</v>
      </c>
      <c r="D993" s="259" t="s">
        <v>14402</v>
      </c>
      <c r="E993" s="210" t="s">
        <v>6305</v>
      </c>
    </row>
    <row r="994" spans="1:5" ht="40.5">
      <c r="A994" s="258">
        <v>93220</v>
      </c>
      <c r="B994" s="257" t="s">
        <v>1161</v>
      </c>
      <c r="C994" s="257" t="s">
        <v>167</v>
      </c>
      <c r="D994" s="259" t="s">
        <v>14403</v>
      </c>
      <c r="E994" s="210" t="s">
        <v>6305</v>
      </c>
    </row>
    <row r="995" spans="1:5" ht="40.5">
      <c r="A995" s="258">
        <v>93221</v>
      </c>
      <c r="B995" s="257" t="s">
        <v>1162</v>
      </c>
      <c r="C995" s="257" t="s">
        <v>167</v>
      </c>
      <c r="D995" s="259" t="s">
        <v>14404</v>
      </c>
      <c r="E995" s="210" t="s">
        <v>6305</v>
      </c>
    </row>
    <row r="996" spans="1:5" ht="40.5">
      <c r="A996" s="258">
        <v>93222</v>
      </c>
      <c r="B996" s="257" t="s">
        <v>1163</v>
      </c>
      <c r="C996" s="257" t="s">
        <v>167</v>
      </c>
      <c r="D996" s="259" t="s">
        <v>14405</v>
      </c>
      <c r="E996" s="210" t="s">
        <v>6305</v>
      </c>
    </row>
    <row r="997" spans="1:5" ht="40.5">
      <c r="A997" s="258">
        <v>93223</v>
      </c>
      <c r="B997" s="257" t="s">
        <v>1164</v>
      </c>
      <c r="C997" s="257" t="s">
        <v>167</v>
      </c>
      <c r="D997" s="259" t="s">
        <v>14406</v>
      </c>
      <c r="E997" s="210" t="s">
        <v>6305</v>
      </c>
    </row>
    <row r="998" spans="1:5" ht="27">
      <c r="A998" s="258">
        <v>93229</v>
      </c>
      <c r="B998" s="257" t="s">
        <v>1165</v>
      </c>
      <c r="C998" s="257" t="s">
        <v>167</v>
      </c>
      <c r="D998" s="259" t="s">
        <v>14181</v>
      </c>
      <c r="E998" s="210" t="s">
        <v>6305</v>
      </c>
    </row>
    <row r="999" spans="1:5" ht="27">
      <c r="A999" s="258">
        <v>93230</v>
      </c>
      <c r="B999" s="257" t="s">
        <v>1166</v>
      </c>
      <c r="C999" s="257" t="s">
        <v>167</v>
      </c>
      <c r="D999" s="259" t="s">
        <v>14231</v>
      </c>
      <c r="E999" s="210" t="s">
        <v>6305</v>
      </c>
    </row>
    <row r="1000" spans="1:5" ht="27">
      <c r="A1000" s="258">
        <v>93231</v>
      </c>
      <c r="B1000" s="257" t="s">
        <v>1167</v>
      </c>
      <c r="C1000" s="257" t="s">
        <v>167</v>
      </c>
      <c r="D1000" s="259" t="s">
        <v>14129</v>
      </c>
      <c r="E1000" s="210" t="s">
        <v>6305</v>
      </c>
    </row>
    <row r="1001" spans="1:5" ht="27">
      <c r="A1001" s="258">
        <v>93232</v>
      </c>
      <c r="B1001" s="257" t="s">
        <v>1168</v>
      </c>
      <c r="C1001" s="257" t="s">
        <v>167</v>
      </c>
      <c r="D1001" s="259" t="s">
        <v>14407</v>
      </c>
      <c r="E1001" s="210" t="s">
        <v>6305</v>
      </c>
    </row>
    <row r="1002" spans="1:5" ht="13.5">
      <c r="A1002" s="258">
        <v>93235</v>
      </c>
      <c r="B1002" s="257" t="s">
        <v>1169</v>
      </c>
      <c r="C1002" s="257" t="s">
        <v>167</v>
      </c>
      <c r="D1002" s="259" t="s">
        <v>14366</v>
      </c>
      <c r="E1002" s="210" t="s">
        <v>6305</v>
      </c>
    </row>
    <row r="1003" spans="1:5" ht="27">
      <c r="A1003" s="258">
        <v>93238</v>
      </c>
      <c r="B1003" s="257" t="s">
        <v>1170</v>
      </c>
      <c r="C1003" s="257" t="s">
        <v>167</v>
      </c>
      <c r="D1003" s="259" t="s">
        <v>14408</v>
      </c>
      <c r="E1003" s="210" t="s">
        <v>6305</v>
      </c>
    </row>
    <row r="1004" spans="1:5" ht="27">
      <c r="A1004" s="258">
        <v>93239</v>
      </c>
      <c r="B1004" s="257" t="s">
        <v>1171</v>
      </c>
      <c r="C1004" s="257" t="s">
        <v>167</v>
      </c>
      <c r="D1004" s="259" t="s">
        <v>14409</v>
      </c>
      <c r="E1004" s="210" t="s">
        <v>6305</v>
      </c>
    </row>
    <row r="1005" spans="1:5" ht="27">
      <c r="A1005" s="258">
        <v>93240</v>
      </c>
      <c r="B1005" s="257" t="s">
        <v>1172</v>
      </c>
      <c r="C1005" s="257" t="s">
        <v>167</v>
      </c>
      <c r="D1005" s="259" t="s">
        <v>14410</v>
      </c>
      <c r="E1005" s="210" t="s">
        <v>6305</v>
      </c>
    </row>
    <row r="1006" spans="1:5" ht="27">
      <c r="A1006" s="258">
        <v>93267</v>
      </c>
      <c r="B1006" s="257" t="s">
        <v>1173</v>
      </c>
      <c r="C1006" s="257" t="s">
        <v>167</v>
      </c>
      <c r="D1006" s="259" t="s">
        <v>14411</v>
      </c>
      <c r="E1006" s="210" t="s">
        <v>6305</v>
      </c>
    </row>
    <row r="1007" spans="1:5" ht="27">
      <c r="A1007" s="258">
        <v>93269</v>
      </c>
      <c r="B1007" s="257" t="s">
        <v>1174</v>
      </c>
      <c r="C1007" s="257" t="s">
        <v>167</v>
      </c>
      <c r="D1007" s="259" t="s">
        <v>14412</v>
      </c>
      <c r="E1007" s="210" t="s">
        <v>6305</v>
      </c>
    </row>
    <row r="1008" spans="1:5" ht="27">
      <c r="A1008" s="258">
        <v>93270</v>
      </c>
      <c r="B1008" s="257" t="s">
        <v>1175</v>
      </c>
      <c r="C1008" s="257" t="s">
        <v>167</v>
      </c>
      <c r="D1008" s="259" t="s">
        <v>14413</v>
      </c>
      <c r="E1008" s="210" t="s">
        <v>6305</v>
      </c>
    </row>
    <row r="1009" spans="1:5" ht="27">
      <c r="A1009" s="258">
        <v>93271</v>
      </c>
      <c r="B1009" s="257" t="s">
        <v>1176</v>
      </c>
      <c r="C1009" s="257" t="s">
        <v>167</v>
      </c>
      <c r="D1009" s="259" t="s">
        <v>14414</v>
      </c>
      <c r="E1009" s="210" t="s">
        <v>6305</v>
      </c>
    </row>
    <row r="1010" spans="1:5" ht="27">
      <c r="A1010" s="258">
        <v>93277</v>
      </c>
      <c r="B1010" s="257" t="s">
        <v>1177</v>
      </c>
      <c r="C1010" s="257" t="s">
        <v>167</v>
      </c>
      <c r="D1010" s="259" t="s">
        <v>14230</v>
      </c>
      <c r="E1010" s="210" t="s">
        <v>6305</v>
      </c>
    </row>
    <row r="1011" spans="1:5" ht="27">
      <c r="A1011" s="258">
        <v>93278</v>
      </c>
      <c r="B1011" s="257" t="s">
        <v>1178</v>
      </c>
      <c r="C1011" s="257" t="s">
        <v>167</v>
      </c>
      <c r="D1011" s="259" t="s">
        <v>14231</v>
      </c>
      <c r="E1011" s="210" t="s">
        <v>6305</v>
      </c>
    </row>
    <row r="1012" spans="1:5" ht="27">
      <c r="A1012" s="258">
        <v>93279</v>
      </c>
      <c r="B1012" s="257" t="s">
        <v>1179</v>
      </c>
      <c r="C1012" s="257" t="s">
        <v>167</v>
      </c>
      <c r="D1012" s="259" t="s">
        <v>13992</v>
      </c>
      <c r="E1012" s="210" t="s">
        <v>6305</v>
      </c>
    </row>
    <row r="1013" spans="1:5" ht="27">
      <c r="A1013" s="258">
        <v>93280</v>
      </c>
      <c r="B1013" s="257" t="s">
        <v>1180</v>
      </c>
      <c r="C1013" s="257" t="s">
        <v>167</v>
      </c>
      <c r="D1013" s="259" t="s">
        <v>14348</v>
      </c>
      <c r="E1013" s="210" t="s">
        <v>6305</v>
      </c>
    </row>
    <row r="1014" spans="1:5" ht="27">
      <c r="A1014" s="258">
        <v>93283</v>
      </c>
      <c r="B1014" s="257" t="s">
        <v>1181</v>
      </c>
      <c r="C1014" s="257" t="s">
        <v>167</v>
      </c>
      <c r="D1014" s="259" t="s">
        <v>14415</v>
      </c>
      <c r="E1014" s="210" t="s">
        <v>6305</v>
      </c>
    </row>
    <row r="1015" spans="1:5" ht="27">
      <c r="A1015" s="258">
        <v>93284</v>
      </c>
      <c r="B1015" s="257" t="s">
        <v>1182</v>
      </c>
      <c r="C1015" s="257" t="s">
        <v>167</v>
      </c>
      <c r="D1015" s="259" t="s">
        <v>14312</v>
      </c>
      <c r="E1015" s="210" t="s">
        <v>6305</v>
      </c>
    </row>
    <row r="1016" spans="1:5" ht="27">
      <c r="A1016" s="258">
        <v>93285</v>
      </c>
      <c r="B1016" s="257" t="s">
        <v>1183</v>
      </c>
      <c r="C1016" s="257" t="s">
        <v>167</v>
      </c>
      <c r="D1016" s="259" t="s">
        <v>14416</v>
      </c>
      <c r="E1016" s="210" t="s">
        <v>6305</v>
      </c>
    </row>
    <row r="1017" spans="1:5" ht="27">
      <c r="A1017" s="258">
        <v>93286</v>
      </c>
      <c r="B1017" s="257" t="s">
        <v>1184</v>
      </c>
      <c r="C1017" s="257" t="s">
        <v>167</v>
      </c>
      <c r="D1017" s="259" t="s">
        <v>14417</v>
      </c>
      <c r="E1017" s="210" t="s">
        <v>6305</v>
      </c>
    </row>
    <row r="1018" spans="1:5" ht="27">
      <c r="A1018" s="258">
        <v>93296</v>
      </c>
      <c r="B1018" s="257" t="s">
        <v>1185</v>
      </c>
      <c r="C1018" s="257" t="s">
        <v>167</v>
      </c>
      <c r="D1018" s="259" t="s">
        <v>14021</v>
      </c>
      <c r="E1018" s="210" t="s">
        <v>6305</v>
      </c>
    </row>
    <row r="1019" spans="1:5" ht="40.5">
      <c r="A1019" s="258">
        <v>93397</v>
      </c>
      <c r="B1019" s="257" t="s">
        <v>1186</v>
      </c>
      <c r="C1019" s="257" t="s">
        <v>167</v>
      </c>
      <c r="D1019" s="259" t="s">
        <v>14375</v>
      </c>
      <c r="E1019" s="210" t="s">
        <v>6305</v>
      </c>
    </row>
    <row r="1020" spans="1:5" ht="40.5">
      <c r="A1020" s="258">
        <v>93398</v>
      </c>
      <c r="B1020" s="257" t="s">
        <v>1187</v>
      </c>
      <c r="C1020" s="257" t="s">
        <v>167</v>
      </c>
      <c r="D1020" s="259" t="s">
        <v>14376</v>
      </c>
      <c r="E1020" s="210" t="s">
        <v>6305</v>
      </c>
    </row>
    <row r="1021" spans="1:5" ht="40.5">
      <c r="A1021" s="258">
        <v>93399</v>
      </c>
      <c r="B1021" s="257" t="s">
        <v>1188</v>
      </c>
      <c r="C1021" s="257" t="s">
        <v>167</v>
      </c>
      <c r="D1021" s="259" t="s">
        <v>13751</v>
      </c>
      <c r="E1021" s="210" t="s">
        <v>6305</v>
      </c>
    </row>
    <row r="1022" spans="1:5" ht="40.5">
      <c r="A1022" s="258">
        <v>93400</v>
      </c>
      <c r="B1022" s="257" t="s">
        <v>1189</v>
      </c>
      <c r="C1022" s="257" t="s">
        <v>167</v>
      </c>
      <c r="D1022" s="259" t="s">
        <v>14377</v>
      </c>
      <c r="E1022" s="210" t="s">
        <v>6305</v>
      </c>
    </row>
    <row r="1023" spans="1:5" ht="40.5">
      <c r="A1023" s="258">
        <v>93401</v>
      </c>
      <c r="B1023" s="257" t="s">
        <v>1190</v>
      </c>
      <c r="C1023" s="257" t="s">
        <v>167</v>
      </c>
      <c r="D1023" s="259" t="s">
        <v>14120</v>
      </c>
      <c r="E1023" s="210" t="s">
        <v>6305</v>
      </c>
    </row>
    <row r="1024" spans="1:5" ht="40.5">
      <c r="A1024" s="258">
        <v>93404</v>
      </c>
      <c r="B1024" s="257" t="s">
        <v>14418</v>
      </c>
      <c r="C1024" s="257" t="s">
        <v>167</v>
      </c>
      <c r="D1024" s="259" t="s">
        <v>14419</v>
      </c>
      <c r="E1024" s="210" t="s">
        <v>6305</v>
      </c>
    </row>
    <row r="1025" spans="1:5" ht="40.5">
      <c r="A1025" s="258">
        <v>93405</v>
      </c>
      <c r="B1025" s="257" t="s">
        <v>14420</v>
      </c>
      <c r="C1025" s="257" t="s">
        <v>167</v>
      </c>
      <c r="D1025" s="259" t="s">
        <v>14421</v>
      </c>
      <c r="E1025" s="210" t="s">
        <v>6305</v>
      </c>
    </row>
    <row r="1026" spans="1:5" ht="40.5">
      <c r="A1026" s="258">
        <v>93406</v>
      </c>
      <c r="B1026" s="257" t="s">
        <v>14422</v>
      </c>
      <c r="C1026" s="257" t="s">
        <v>167</v>
      </c>
      <c r="D1026" s="259" t="s">
        <v>14423</v>
      </c>
      <c r="E1026" s="210" t="s">
        <v>6305</v>
      </c>
    </row>
    <row r="1027" spans="1:5" ht="40.5">
      <c r="A1027" s="258">
        <v>93407</v>
      </c>
      <c r="B1027" s="257" t="s">
        <v>14424</v>
      </c>
      <c r="C1027" s="257" t="s">
        <v>167</v>
      </c>
      <c r="D1027" s="259" t="s">
        <v>14168</v>
      </c>
      <c r="E1027" s="210" t="s">
        <v>6305</v>
      </c>
    </row>
    <row r="1028" spans="1:5" ht="27">
      <c r="A1028" s="258">
        <v>93411</v>
      </c>
      <c r="B1028" s="257" t="s">
        <v>1191</v>
      </c>
      <c r="C1028" s="257" t="s">
        <v>167</v>
      </c>
      <c r="D1028" s="259" t="s">
        <v>13982</v>
      </c>
      <c r="E1028" s="210" t="s">
        <v>6305</v>
      </c>
    </row>
    <row r="1029" spans="1:5" ht="27">
      <c r="A1029" s="258">
        <v>93412</v>
      </c>
      <c r="B1029" s="257" t="s">
        <v>1192</v>
      </c>
      <c r="C1029" s="257" t="s">
        <v>167</v>
      </c>
      <c r="D1029" s="259" t="s">
        <v>14231</v>
      </c>
      <c r="E1029" s="210" t="s">
        <v>6305</v>
      </c>
    </row>
    <row r="1030" spans="1:5" ht="27">
      <c r="A1030" s="258">
        <v>93413</v>
      </c>
      <c r="B1030" s="257" t="s">
        <v>1193</v>
      </c>
      <c r="C1030" s="257" t="s">
        <v>167</v>
      </c>
      <c r="D1030" s="259" t="s">
        <v>14041</v>
      </c>
      <c r="E1030" s="210" t="s">
        <v>6305</v>
      </c>
    </row>
    <row r="1031" spans="1:5" ht="27">
      <c r="A1031" s="258">
        <v>93414</v>
      </c>
      <c r="B1031" s="257" t="s">
        <v>1194</v>
      </c>
      <c r="C1031" s="257" t="s">
        <v>167</v>
      </c>
      <c r="D1031" s="259" t="s">
        <v>14425</v>
      </c>
      <c r="E1031" s="210" t="s">
        <v>6305</v>
      </c>
    </row>
    <row r="1032" spans="1:5" ht="13.5">
      <c r="A1032" s="258">
        <v>93417</v>
      </c>
      <c r="B1032" s="257" t="s">
        <v>1195</v>
      </c>
      <c r="C1032" s="257" t="s">
        <v>167</v>
      </c>
      <c r="D1032" s="259" t="s">
        <v>14282</v>
      </c>
      <c r="E1032" s="210" t="s">
        <v>6305</v>
      </c>
    </row>
    <row r="1033" spans="1:5" ht="13.5">
      <c r="A1033" s="258">
        <v>93418</v>
      </c>
      <c r="B1033" s="257" t="s">
        <v>1196</v>
      </c>
      <c r="C1033" s="257" t="s">
        <v>167</v>
      </c>
      <c r="D1033" s="259" t="s">
        <v>14426</v>
      </c>
      <c r="E1033" s="210" t="s">
        <v>6305</v>
      </c>
    </row>
    <row r="1034" spans="1:5" ht="13.5">
      <c r="A1034" s="258">
        <v>93419</v>
      </c>
      <c r="B1034" s="257" t="s">
        <v>1197</v>
      </c>
      <c r="C1034" s="257" t="s">
        <v>167</v>
      </c>
      <c r="D1034" s="259" t="s">
        <v>14427</v>
      </c>
      <c r="E1034" s="210" t="s">
        <v>6305</v>
      </c>
    </row>
    <row r="1035" spans="1:5" ht="13.5">
      <c r="A1035" s="258">
        <v>93420</v>
      </c>
      <c r="B1035" s="257" t="s">
        <v>1198</v>
      </c>
      <c r="C1035" s="257" t="s">
        <v>167</v>
      </c>
      <c r="D1035" s="259" t="s">
        <v>14428</v>
      </c>
      <c r="E1035" s="210" t="s">
        <v>6305</v>
      </c>
    </row>
    <row r="1036" spans="1:5" ht="13.5">
      <c r="A1036" s="258">
        <v>93423</v>
      </c>
      <c r="B1036" s="257" t="s">
        <v>1199</v>
      </c>
      <c r="C1036" s="257" t="s">
        <v>167</v>
      </c>
      <c r="D1036" s="259" t="s">
        <v>14429</v>
      </c>
      <c r="E1036" s="210" t="s">
        <v>6305</v>
      </c>
    </row>
    <row r="1037" spans="1:5" ht="13.5">
      <c r="A1037" s="258">
        <v>93424</v>
      </c>
      <c r="B1037" s="257" t="s">
        <v>1200</v>
      </c>
      <c r="C1037" s="257" t="s">
        <v>167</v>
      </c>
      <c r="D1037" s="259" t="s">
        <v>14063</v>
      </c>
      <c r="E1037" s="210" t="s">
        <v>6305</v>
      </c>
    </row>
    <row r="1038" spans="1:5" ht="13.5">
      <c r="A1038" s="258">
        <v>93425</v>
      </c>
      <c r="B1038" s="257" t="s">
        <v>1201</v>
      </c>
      <c r="C1038" s="257" t="s">
        <v>167</v>
      </c>
      <c r="D1038" s="259" t="s">
        <v>14430</v>
      </c>
      <c r="E1038" s="210" t="s">
        <v>6305</v>
      </c>
    </row>
    <row r="1039" spans="1:5" ht="27">
      <c r="A1039" s="258">
        <v>93426</v>
      </c>
      <c r="B1039" s="257" t="s">
        <v>1202</v>
      </c>
      <c r="C1039" s="257" t="s">
        <v>167</v>
      </c>
      <c r="D1039" s="259" t="s">
        <v>14431</v>
      </c>
      <c r="E1039" s="210" t="s">
        <v>6305</v>
      </c>
    </row>
    <row r="1040" spans="1:5" ht="27">
      <c r="A1040" s="258">
        <v>93429</v>
      </c>
      <c r="B1040" s="257" t="s">
        <v>1203</v>
      </c>
      <c r="C1040" s="257" t="s">
        <v>167</v>
      </c>
      <c r="D1040" s="259" t="s">
        <v>14432</v>
      </c>
      <c r="E1040" s="210" t="s">
        <v>6305</v>
      </c>
    </row>
    <row r="1041" spans="1:5" ht="27">
      <c r="A1041" s="258">
        <v>93430</v>
      </c>
      <c r="B1041" s="257" t="s">
        <v>1204</v>
      </c>
      <c r="C1041" s="257" t="s">
        <v>167</v>
      </c>
      <c r="D1041" s="259" t="s">
        <v>14433</v>
      </c>
      <c r="E1041" s="210" t="s">
        <v>6305</v>
      </c>
    </row>
    <row r="1042" spans="1:5" ht="27">
      <c r="A1042" s="258">
        <v>93431</v>
      </c>
      <c r="B1042" s="257" t="s">
        <v>1205</v>
      </c>
      <c r="C1042" s="257" t="s">
        <v>167</v>
      </c>
      <c r="D1042" s="259" t="s">
        <v>14434</v>
      </c>
      <c r="E1042" s="210" t="s">
        <v>6305</v>
      </c>
    </row>
    <row r="1043" spans="1:5" ht="27">
      <c r="A1043" s="258">
        <v>93432</v>
      </c>
      <c r="B1043" s="257" t="s">
        <v>1206</v>
      </c>
      <c r="C1043" s="257" t="s">
        <v>167</v>
      </c>
      <c r="D1043" s="260" t="s">
        <v>14435</v>
      </c>
      <c r="E1043" s="210" t="s">
        <v>6305</v>
      </c>
    </row>
    <row r="1044" spans="1:5" ht="27">
      <c r="A1044" s="258">
        <v>93435</v>
      </c>
      <c r="B1044" s="257" t="s">
        <v>1207</v>
      </c>
      <c r="C1044" s="257" t="s">
        <v>167</v>
      </c>
      <c r="D1044" s="259" t="s">
        <v>14436</v>
      </c>
      <c r="E1044" s="210" t="s">
        <v>6305</v>
      </c>
    </row>
    <row r="1045" spans="1:5" ht="27">
      <c r="A1045" s="258">
        <v>93436</v>
      </c>
      <c r="B1045" s="257" t="s">
        <v>1208</v>
      </c>
      <c r="C1045" s="257" t="s">
        <v>167</v>
      </c>
      <c r="D1045" s="259" t="s">
        <v>14351</v>
      </c>
      <c r="E1045" s="210" t="s">
        <v>6305</v>
      </c>
    </row>
    <row r="1046" spans="1:5" ht="27">
      <c r="A1046" s="258">
        <v>93437</v>
      </c>
      <c r="B1046" s="257" t="s">
        <v>1209</v>
      </c>
      <c r="C1046" s="257" t="s">
        <v>167</v>
      </c>
      <c r="D1046" s="259" t="s">
        <v>14098</v>
      </c>
      <c r="E1046" s="210" t="s">
        <v>6305</v>
      </c>
    </row>
    <row r="1047" spans="1:5" ht="27">
      <c r="A1047" s="258">
        <v>93438</v>
      </c>
      <c r="B1047" s="257" t="s">
        <v>1210</v>
      </c>
      <c r="C1047" s="257" t="s">
        <v>167</v>
      </c>
      <c r="D1047" s="259" t="s">
        <v>14437</v>
      </c>
      <c r="E1047" s="210" t="s">
        <v>6305</v>
      </c>
    </row>
    <row r="1048" spans="1:5" ht="13.5">
      <c r="A1048" s="258">
        <v>95114</v>
      </c>
      <c r="B1048" s="257" t="s">
        <v>1211</v>
      </c>
      <c r="C1048" s="257" t="s">
        <v>167</v>
      </c>
      <c r="D1048" s="259" t="s">
        <v>14369</v>
      </c>
      <c r="E1048" s="210" t="s">
        <v>6305</v>
      </c>
    </row>
    <row r="1049" spans="1:5" ht="13.5">
      <c r="A1049" s="258">
        <v>95115</v>
      </c>
      <c r="B1049" s="257" t="s">
        <v>1212</v>
      </c>
      <c r="C1049" s="257" t="s">
        <v>167</v>
      </c>
      <c r="D1049" s="259" t="s">
        <v>14374</v>
      </c>
      <c r="E1049" s="210" t="s">
        <v>6305</v>
      </c>
    </row>
    <row r="1050" spans="1:5" ht="27">
      <c r="A1050" s="258">
        <v>95116</v>
      </c>
      <c r="B1050" s="257" t="s">
        <v>1213</v>
      </c>
      <c r="C1050" s="257" t="s">
        <v>167</v>
      </c>
      <c r="D1050" s="259" t="s">
        <v>14438</v>
      </c>
      <c r="E1050" s="210" t="s">
        <v>6305</v>
      </c>
    </row>
    <row r="1051" spans="1:5" ht="13.5">
      <c r="A1051" s="258">
        <v>95117</v>
      </c>
      <c r="B1051" s="257" t="s">
        <v>1214</v>
      </c>
      <c r="C1051" s="257" t="s">
        <v>167</v>
      </c>
      <c r="D1051" s="259" t="s">
        <v>14439</v>
      </c>
      <c r="E1051" s="210" t="s">
        <v>6305</v>
      </c>
    </row>
    <row r="1052" spans="1:5" ht="27">
      <c r="A1052" s="258">
        <v>95118</v>
      </c>
      <c r="B1052" s="257" t="s">
        <v>1215</v>
      </c>
      <c r="C1052" s="257" t="s">
        <v>167</v>
      </c>
      <c r="D1052" s="259" t="s">
        <v>14440</v>
      </c>
      <c r="E1052" s="210" t="s">
        <v>6305</v>
      </c>
    </row>
    <row r="1053" spans="1:5" ht="13.5">
      <c r="A1053" s="258">
        <v>95119</v>
      </c>
      <c r="B1053" s="257" t="s">
        <v>1216</v>
      </c>
      <c r="C1053" s="257" t="s">
        <v>167</v>
      </c>
      <c r="D1053" s="259" t="s">
        <v>14441</v>
      </c>
      <c r="E1053" s="210" t="s">
        <v>6305</v>
      </c>
    </row>
    <row r="1054" spans="1:5" ht="27">
      <c r="A1054" s="258">
        <v>95120</v>
      </c>
      <c r="B1054" s="257" t="s">
        <v>1217</v>
      </c>
      <c r="C1054" s="257" t="s">
        <v>167</v>
      </c>
      <c r="D1054" s="259" t="s">
        <v>14442</v>
      </c>
      <c r="E1054" s="210" t="s">
        <v>6305</v>
      </c>
    </row>
    <row r="1055" spans="1:5" ht="27">
      <c r="A1055" s="258">
        <v>95123</v>
      </c>
      <c r="B1055" s="257" t="s">
        <v>1218</v>
      </c>
      <c r="C1055" s="257" t="s">
        <v>167</v>
      </c>
      <c r="D1055" s="259" t="s">
        <v>14443</v>
      </c>
      <c r="E1055" s="210" t="s">
        <v>6305</v>
      </c>
    </row>
    <row r="1056" spans="1:5" ht="27">
      <c r="A1056" s="258">
        <v>95124</v>
      </c>
      <c r="B1056" s="257" t="s">
        <v>1219</v>
      </c>
      <c r="C1056" s="257" t="s">
        <v>167</v>
      </c>
      <c r="D1056" s="259" t="s">
        <v>13856</v>
      </c>
      <c r="E1056" s="210" t="s">
        <v>6305</v>
      </c>
    </row>
    <row r="1057" spans="1:5" ht="27">
      <c r="A1057" s="258">
        <v>95125</v>
      </c>
      <c r="B1057" s="257" t="s">
        <v>1220</v>
      </c>
      <c r="C1057" s="257" t="s">
        <v>167</v>
      </c>
      <c r="D1057" s="259" t="s">
        <v>14444</v>
      </c>
      <c r="E1057" s="210" t="s">
        <v>6305</v>
      </c>
    </row>
    <row r="1058" spans="1:5" ht="27">
      <c r="A1058" s="258">
        <v>95126</v>
      </c>
      <c r="B1058" s="257" t="s">
        <v>1221</v>
      </c>
      <c r="C1058" s="257" t="s">
        <v>167</v>
      </c>
      <c r="D1058" s="259" t="s">
        <v>14445</v>
      </c>
      <c r="E1058" s="210" t="s">
        <v>6305</v>
      </c>
    </row>
    <row r="1059" spans="1:5" ht="27">
      <c r="A1059" s="258">
        <v>95129</v>
      </c>
      <c r="B1059" s="257" t="s">
        <v>1222</v>
      </c>
      <c r="C1059" s="257" t="s">
        <v>167</v>
      </c>
      <c r="D1059" s="259" t="s">
        <v>14446</v>
      </c>
      <c r="E1059" s="210" t="s">
        <v>6305</v>
      </c>
    </row>
    <row r="1060" spans="1:5" ht="27">
      <c r="A1060" s="258">
        <v>95130</v>
      </c>
      <c r="B1060" s="257" t="s">
        <v>1223</v>
      </c>
      <c r="C1060" s="257" t="s">
        <v>167</v>
      </c>
      <c r="D1060" s="259" t="s">
        <v>14447</v>
      </c>
      <c r="E1060" s="210" t="s">
        <v>6305</v>
      </c>
    </row>
    <row r="1061" spans="1:5" ht="27">
      <c r="A1061" s="258">
        <v>95131</v>
      </c>
      <c r="B1061" s="257" t="s">
        <v>1224</v>
      </c>
      <c r="C1061" s="257" t="s">
        <v>167</v>
      </c>
      <c r="D1061" s="259" t="s">
        <v>14448</v>
      </c>
      <c r="E1061" s="210" t="s">
        <v>6305</v>
      </c>
    </row>
    <row r="1062" spans="1:5" ht="27">
      <c r="A1062" s="258">
        <v>95132</v>
      </c>
      <c r="B1062" s="257" t="s">
        <v>1225</v>
      </c>
      <c r="C1062" s="257" t="s">
        <v>167</v>
      </c>
      <c r="D1062" s="259" t="s">
        <v>14449</v>
      </c>
      <c r="E1062" s="210" t="s">
        <v>6305</v>
      </c>
    </row>
    <row r="1063" spans="1:5" ht="13.5">
      <c r="A1063" s="258">
        <v>95136</v>
      </c>
      <c r="B1063" s="257" t="s">
        <v>1226</v>
      </c>
      <c r="C1063" s="257" t="s">
        <v>167</v>
      </c>
      <c r="D1063" s="259" t="s">
        <v>14231</v>
      </c>
      <c r="E1063" s="210" t="s">
        <v>6305</v>
      </c>
    </row>
    <row r="1064" spans="1:5" ht="13.5">
      <c r="A1064" s="258">
        <v>95137</v>
      </c>
      <c r="B1064" s="257" t="s">
        <v>1227</v>
      </c>
      <c r="C1064" s="257" t="s">
        <v>167</v>
      </c>
      <c r="D1064" s="259" t="s">
        <v>14211</v>
      </c>
      <c r="E1064" s="210" t="s">
        <v>6305</v>
      </c>
    </row>
    <row r="1065" spans="1:5" ht="13.5">
      <c r="A1065" s="258">
        <v>95138</v>
      </c>
      <c r="B1065" s="257" t="s">
        <v>1228</v>
      </c>
      <c r="C1065" s="257" t="s">
        <v>167</v>
      </c>
      <c r="D1065" s="259" t="s">
        <v>14137</v>
      </c>
      <c r="E1065" s="210" t="s">
        <v>6305</v>
      </c>
    </row>
    <row r="1066" spans="1:5" ht="27">
      <c r="A1066" s="258">
        <v>95208</v>
      </c>
      <c r="B1066" s="257" t="s">
        <v>1229</v>
      </c>
      <c r="C1066" s="257" t="s">
        <v>167</v>
      </c>
      <c r="D1066" s="259" t="s">
        <v>14450</v>
      </c>
      <c r="E1066" s="210" t="s">
        <v>6305</v>
      </c>
    </row>
    <row r="1067" spans="1:5" ht="27">
      <c r="A1067" s="258">
        <v>95209</v>
      </c>
      <c r="B1067" s="257" t="s">
        <v>1230</v>
      </c>
      <c r="C1067" s="257" t="s">
        <v>167</v>
      </c>
      <c r="D1067" s="259" t="s">
        <v>14451</v>
      </c>
      <c r="E1067" s="210" t="s">
        <v>6305</v>
      </c>
    </row>
    <row r="1068" spans="1:5" ht="27">
      <c r="A1068" s="258">
        <v>95210</v>
      </c>
      <c r="B1068" s="257" t="s">
        <v>1231</v>
      </c>
      <c r="C1068" s="257" t="s">
        <v>167</v>
      </c>
      <c r="D1068" s="259" t="s">
        <v>14452</v>
      </c>
      <c r="E1068" s="210" t="s">
        <v>6305</v>
      </c>
    </row>
    <row r="1069" spans="1:5" ht="27">
      <c r="A1069" s="258">
        <v>95211</v>
      </c>
      <c r="B1069" s="257" t="s">
        <v>1232</v>
      </c>
      <c r="C1069" s="257" t="s">
        <v>167</v>
      </c>
      <c r="D1069" s="259" t="s">
        <v>14414</v>
      </c>
      <c r="E1069" s="210" t="s">
        <v>6305</v>
      </c>
    </row>
    <row r="1070" spans="1:5" ht="27">
      <c r="A1070" s="258">
        <v>95214</v>
      </c>
      <c r="B1070" s="257" t="s">
        <v>1233</v>
      </c>
      <c r="C1070" s="257" t="s">
        <v>167</v>
      </c>
      <c r="D1070" s="259" t="s">
        <v>14293</v>
      </c>
      <c r="E1070" s="210" t="s">
        <v>6305</v>
      </c>
    </row>
    <row r="1071" spans="1:5" ht="13.5">
      <c r="A1071" s="258">
        <v>95215</v>
      </c>
      <c r="B1071" s="257" t="s">
        <v>1234</v>
      </c>
      <c r="C1071" s="257" t="s">
        <v>167</v>
      </c>
      <c r="D1071" s="259" t="s">
        <v>14137</v>
      </c>
      <c r="E1071" s="210" t="s">
        <v>6305</v>
      </c>
    </row>
    <row r="1072" spans="1:5" ht="27">
      <c r="A1072" s="258">
        <v>95216</v>
      </c>
      <c r="B1072" s="257" t="s">
        <v>1235</v>
      </c>
      <c r="C1072" s="257" t="s">
        <v>167</v>
      </c>
      <c r="D1072" s="259" t="s">
        <v>14210</v>
      </c>
      <c r="E1072" s="210" t="s">
        <v>6305</v>
      </c>
    </row>
    <row r="1073" spans="1:5" ht="27">
      <c r="A1073" s="258">
        <v>95217</v>
      </c>
      <c r="B1073" s="257" t="s">
        <v>1236</v>
      </c>
      <c r="C1073" s="257" t="s">
        <v>167</v>
      </c>
      <c r="D1073" s="259" t="s">
        <v>14064</v>
      </c>
      <c r="E1073" s="210" t="s">
        <v>6305</v>
      </c>
    </row>
    <row r="1074" spans="1:5" ht="13.5">
      <c r="A1074" s="258">
        <v>95255</v>
      </c>
      <c r="B1074" s="257" t="s">
        <v>1237</v>
      </c>
      <c r="C1074" s="257" t="s">
        <v>167</v>
      </c>
      <c r="D1074" s="259" t="s">
        <v>14366</v>
      </c>
      <c r="E1074" s="210" t="s">
        <v>6305</v>
      </c>
    </row>
    <row r="1075" spans="1:5" ht="13.5">
      <c r="A1075" s="258">
        <v>95256</v>
      </c>
      <c r="B1075" s="257" t="s">
        <v>1238</v>
      </c>
      <c r="C1075" s="257" t="s">
        <v>167</v>
      </c>
      <c r="D1075" s="259" t="s">
        <v>14037</v>
      </c>
      <c r="E1075" s="210" t="s">
        <v>6305</v>
      </c>
    </row>
    <row r="1076" spans="1:5" ht="13.5">
      <c r="A1076" s="258">
        <v>95257</v>
      </c>
      <c r="B1076" s="257" t="s">
        <v>1239</v>
      </c>
      <c r="C1076" s="257" t="s">
        <v>167</v>
      </c>
      <c r="D1076" s="259" t="s">
        <v>14249</v>
      </c>
      <c r="E1076" s="210" t="s">
        <v>6305</v>
      </c>
    </row>
    <row r="1077" spans="1:5" ht="27">
      <c r="A1077" s="258">
        <v>95260</v>
      </c>
      <c r="B1077" s="257" t="s">
        <v>1240</v>
      </c>
      <c r="C1077" s="257" t="s">
        <v>167</v>
      </c>
      <c r="D1077" s="259" t="s">
        <v>14304</v>
      </c>
      <c r="E1077" s="210" t="s">
        <v>6305</v>
      </c>
    </row>
    <row r="1078" spans="1:5" ht="27">
      <c r="A1078" s="258">
        <v>95261</v>
      </c>
      <c r="B1078" s="257" t="s">
        <v>1241</v>
      </c>
      <c r="C1078" s="257" t="s">
        <v>167</v>
      </c>
      <c r="D1078" s="259" t="s">
        <v>14037</v>
      </c>
      <c r="E1078" s="210" t="s">
        <v>6305</v>
      </c>
    </row>
    <row r="1079" spans="1:5" ht="27">
      <c r="A1079" s="258">
        <v>95262</v>
      </c>
      <c r="B1079" s="257" t="s">
        <v>1242</v>
      </c>
      <c r="C1079" s="257" t="s">
        <v>167</v>
      </c>
      <c r="D1079" s="259" t="s">
        <v>14186</v>
      </c>
      <c r="E1079" s="210" t="s">
        <v>6305</v>
      </c>
    </row>
    <row r="1080" spans="1:5" ht="27">
      <c r="A1080" s="258">
        <v>95263</v>
      </c>
      <c r="B1080" s="257" t="s">
        <v>1243</v>
      </c>
      <c r="C1080" s="257" t="s">
        <v>167</v>
      </c>
      <c r="D1080" s="259" t="s">
        <v>14453</v>
      </c>
      <c r="E1080" s="210" t="s">
        <v>6305</v>
      </c>
    </row>
    <row r="1081" spans="1:5" ht="27">
      <c r="A1081" s="258">
        <v>95266</v>
      </c>
      <c r="B1081" s="257" t="s">
        <v>1244</v>
      </c>
      <c r="C1081" s="257" t="s">
        <v>167</v>
      </c>
      <c r="D1081" s="259" t="s">
        <v>14301</v>
      </c>
      <c r="E1081" s="210" t="s">
        <v>6305</v>
      </c>
    </row>
    <row r="1082" spans="1:5" ht="27">
      <c r="A1082" s="258">
        <v>95267</v>
      </c>
      <c r="B1082" s="257" t="s">
        <v>1245</v>
      </c>
      <c r="C1082" s="257" t="s">
        <v>167</v>
      </c>
      <c r="D1082" s="259" t="s">
        <v>14231</v>
      </c>
      <c r="E1082" s="210" t="s">
        <v>6305</v>
      </c>
    </row>
    <row r="1083" spans="1:5" ht="27">
      <c r="A1083" s="258">
        <v>95268</v>
      </c>
      <c r="B1083" s="257" t="s">
        <v>1246</v>
      </c>
      <c r="C1083" s="257" t="s">
        <v>167</v>
      </c>
      <c r="D1083" s="259" t="s">
        <v>14307</v>
      </c>
      <c r="E1083" s="210" t="s">
        <v>6305</v>
      </c>
    </row>
    <row r="1084" spans="1:5" ht="27">
      <c r="A1084" s="258">
        <v>95269</v>
      </c>
      <c r="B1084" s="257" t="s">
        <v>1247</v>
      </c>
      <c r="C1084" s="257" t="s">
        <v>167</v>
      </c>
      <c r="D1084" s="259" t="s">
        <v>14407</v>
      </c>
      <c r="E1084" s="210" t="s">
        <v>6305</v>
      </c>
    </row>
    <row r="1085" spans="1:5" ht="27">
      <c r="A1085" s="258">
        <v>95272</v>
      </c>
      <c r="B1085" s="257" t="s">
        <v>1248</v>
      </c>
      <c r="C1085" s="257" t="s">
        <v>167</v>
      </c>
      <c r="D1085" s="259" t="s">
        <v>14307</v>
      </c>
      <c r="E1085" s="210" t="s">
        <v>6305</v>
      </c>
    </row>
    <row r="1086" spans="1:5" ht="27">
      <c r="A1086" s="258">
        <v>95273</v>
      </c>
      <c r="B1086" s="257" t="s">
        <v>1249</v>
      </c>
      <c r="C1086" s="257" t="s">
        <v>167</v>
      </c>
      <c r="D1086" s="259" t="s">
        <v>14059</v>
      </c>
      <c r="E1086" s="210" t="s">
        <v>6305</v>
      </c>
    </row>
    <row r="1087" spans="1:5" ht="27">
      <c r="A1087" s="258">
        <v>95274</v>
      </c>
      <c r="B1087" s="257" t="s">
        <v>1250</v>
      </c>
      <c r="C1087" s="257" t="s">
        <v>167</v>
      </c>
      <c r="D1087" s="259" t="s">
        <v>14454</v>
      </c>
      <c r="E1087" s="210" t="s">
        <v>6305</v>
      </c>
    </row>
    <row r="1088" spans="1:5" ht="27">
      <c r="A1088" s="258">
        <v>95275</v>
      </c>
      <c r="B1088" s="257" t="s">
        <v>1251</v>
      </c>
      <c r="C1088" s="257" t="s">
        <v>167</v>
      </c>
      <c r="D1088" s="259" t="s">
        <v>14455</v>
      </c>
      <c r="E1088" s="210" t="s">
        <v>6305</v>
      </c>
    </row>
    <row r="1089" spans="1:5" ht="27">
      <c r="A1089" s="258">
        <v>95278</v>
      </c>
      <c r="B1089" s="257" t="s">
        <v>1252</v>
      </c>
      <c r="C1089" s="257" t="s">
        <v>167</v>
      </c>
      <c r="D1089" s="259" t="s">
        <v>14064</v>
      </c>
      <c r="E1089" s="210" t="s">
        <v>6305</v>
      </c>
    </row>
    <row r="1090" spans="1:5" ht="27">
      <c r="A1090" s="258">
        <v>95279</v>
      </c>
      <c r="B1090" s="257" t="s">
        <v>1253</v>
      </c>
      <c r="C1090" s="257" t="s">
        <v>167</v>
      </c>
      <c r="D1090" s="259" t="s">
        <v>14059</v>
      </c>
      <c r="E1090" s="210" t="s">
        <v>6305</v>
      </c>
    </row>
    <row r="1091" spans="1:5" ht="27">
      <c r="A1091" s="258">
        <v>95280</v>
      </c>
      <c r="B1091" s="257" t="s">
        <v>1254</v>
      </c>
      <c r="C1091" s="257" t="s">
        <v>167</v>
      </c>
      <c r="D1091" s="259" t="s">
        <v>13995</v>
      </c>
      <c r="E1091" s="210" t="s">
        <v>6305</v>
      </c>
    </row>
    <row r="1092" spans="1:5" ht="27">
      <c r="A1092" s="258">
        <v>95281</v>
      </c>
      <c r="B1092" s="257" t="s">
        <v>1255</v>
      </c>
      <c r="C1092" s="257" t="s">
        <v>167</v>
      </c>
      <c r="D1092" s="259" t="s">
        <v>14407</v>
      </c>
      <c r="E1092" s="210" t="s">
        <v>6305</v>
      </c>
    </row>
    <row r="1093" spans="1:5" ht="27">
      <c r="A1093" s="258">
        <v>95617</v>
      </c>
      <c r="B1093" s="257" t="s">
        <v>1256</v>
      </c>
      <c r="C1093" s="257" t="s">
        <v>167</v>
      </c>
      <c r="D1093" s="259" t="s">
        <v>14189</v>
      </c>
      <c r="E1093" s="210" t="s">
        <v>6305</v>
      </c>
    </row>
    <row r="1094" spans="1:5" ht="27">
      <c r="A1094" s="258">
        <v>95618</v>
      </c>
      <c r="B1094" s="257" t="s">
        <v>1257</v>
      </c>
      <c r="C1094" s="257" t="s">
        <v>167</v>
      </c>
      <c r="D1094" s="259" t="s">
        <v>14084</v>
      </c>
      <c r="E1094" s="210" t="s">
        <v>6305</v>
      </c>
    </row>
    <row r="1095" spans="1:5" ht="27">
      <c r="A1095" s="258">
        <v>95619</v>
      </c>
      <c r="B1095" s="257" t="s">
        <v>1258</v>
      </c>
      <c r="C1095" s="257" t="s">
        <v>167</v>
      </c>
      <c r="D1095" s="259" t="s">
        <v>14190</v>
      </c>
      <c r="E1095" s="210" t="s">
        <v>6305</v>
      </c>
    </row>
    <row r="1096" spans="1:5" ht="27">
      <c r="A1096" s="258">
        <v>95627</v>
      </c>
      <c r="B1096" s="257" t="s">
        <v>1259</v>
      </c>
      <c r="C1096" s="257" t="s">
        <v>167</v>
      </c>
      <c r="D1096" s="259" t="s">
        <v>14221</v>
      </c>
      <c r="E1096" s="210" t="s">
        <v>6305</v>
      </c>
    </row>
    <row r="1097" spans="1:5" ht="27">
      <c r="A1097" s="258">
        <v>95628</v>
      </c>
      <c r="B1097" s="257" t="s">
        <v>1260</v>
      </c>
      <c r="C1097" s="257" t="s">
        <v>167</v>
      </c>
      <c r="D1097" s="259" t="s">
        <v>14125</v>
      </c>
      <c r="E1097" s="210" t="s">
        <v>6305</v>
      </c>
    </row>
    <row r="1098" spans="1:5" ht="27">
      <c r="A1098" s="258">
        <v>95629</v>
      </c>
      <c r="B1098" s="257" t="s">
        <v>1261</v>
      </c>
      <c r="C1098" s="257" t="s">
        <v>167</v>
      </c>
      <c r="D1098" s="259" t="s">
        <v>14456</v>
      </c>
      <c r="E1098" s="210" t="s">
        <v>6305</v>
      </c>
    </row>
    <row r="1099" spans="1:5" ht="27">
      <c r="A1099" s="258">
        <v>95630</v>
      </c>
      <c r="B1099" s="257" t="s">
        <v>1262</v>
      </c>
      <c r="C1099" s="257" t="s">
        <v>167</v>
      </c>
      <c r="D1099" s="259" t="s">
        <v>14142</v>
      </c>
      <c r="E1099" s="210" t="s">
        <v>6305</v>
      </c>
    </row>
    <row r="1100" spans="1:5" ht="27">
      <c r="A1100" s="258">
        <v>95698</v>
      </c>
      <c r="B1100" s="257" t="s">
        <v>1263</v>
      </c>
      <c r="C1100" s="257" t="s">
        <v>167</v>
      </c>
      <c r="D1100" s="259" t="s">
        <v>14457</v>
      </c>
      <c r="E1100" s="210" t="s">
        <v>6305</v>
      </c>
    </row>
    <row r="1101" spans="1:5" ht="27">
      <c r="A1101" s="258">
        <v>95699</v>
      </c>
      <c r="B1101" s="257" t="s">
        <v>1264</v>
      </c>
      <c r="C1101" s="257" t="s">
        <v>167</v>
      </c>
      <c r="D1101" s="259" t="s">
        <v>14129</v>
      </c>
      <c r="E1101" s="210" t="s">
        <v>6305</v>
      </c>
    </row>
    <row r="1102" spans="1:5" ht="27">
      <c r="A1102" s="258">
        <v>95700</v>
      </c>
      <c r="B1102" s="257" t="s">
        <v>1265</v>
      </c>
      <c r="C1102" s="257" t="s">
        <v>167</v>
      </c>
      <c r="D1102" s="259" t="s">
        <v>13809</v>
      </c>
      <c r="E1102" s="210" t="s">
        <v>6305</v>
      </c>
    </row>
    <row r="1103" spans="1:5" ht="27">
      <c r="A1103" s="258">
        <v>95701</v>
      </c>
      <c r="B1103" s="257" t="s">
        <v>1266</v>
      </c>
      <c r="C1103" s="257" t="s">
        <v>167</v>
      </c>
      <c r="D1103" s="259" t="s">
        <v>14185</v>
      </c>
      <c r="E1103" s="210" t="s">
        <v>6305</v>
      </c>
    </row>
    <row r="1104" spans="1:5" ht="27">
      <c r="A1104" s="258">
        <v>95704</v>
      </c>
      <c r="B1104" s="257" t="s">
        <v>1267</v>
      </c>
      <c r="C1104" s="257" t="s">
        <v>167</v>
      </c>
      <c r="D1104" s="259" t="s">
        <v>14458</v>
      </c>
      <c r="E1104" s="210" t="s">
        <v>6305</v>
      </c>
    </row>
    <row r="1105" spans="1:5" ht="27">
      <c r="A1105" s="258">
        <v>95705</v>
      </c>
      <c r="B1105" s="257" t="s">
        <v>1268</v>
      </c>
      <c r="C1105" s="257" t="s">
        <v>167</v>
      </c>
      <c r="D1105" s="259" t="s">
        <v>14459</v>
      </c>
      <c r="E1105" s="210" t="s">
        <v>6305</v>
      </c>
    </row>
    <row r="1106" spans="1:5" ht="27">
      <c r="A1106" s="258">
        <v>95706</v>
      </c>
      <c r="B1106" s="257" t="s">
        <v>1269</v>
      </c>
      <c r="C1106" s="257" t="s">
        <v>167</v>
      </c>
      <c r="D1106" s="259" t="s">
        <v>14460</v>
      </c>
      <c r="E1106" s="210" t="s">
        <v>6305</v>
      </c>
    </row>
    <row r="1107" spans="1:5" ht="27">
      <c r="A1107" s="258">
        <v>95707</v>
      </c>
      <c r="B1107" s="257" t="s">
        <v>1270</v>
      </c>
      <c r="C1107" s="257" t="s">
        <v>167</v>
      </c>
      <c r="D1107" s="259" t="s">
        <v>14461</v>
      </c>
      <c r="E1107" s="210" t="s">
        <v>6305</v>
      </c>
    </row>
    <row r="1108" spans="1:5" ht="27">
      <c r="A1108" s="258">
        <v>95710</v>
      </c>
      <c r="B1108" s="257" t="s">
        <v>1271</v>
      </c>
      <c r="C1108" s="257" t="s">
        <v>167</v>
      </c>
      <c r="D1108" s="259" t="s">
        <v>13650</v>
      </c>
      <c r="E1108" s="210" t="s">
        <v>6305</v>
      </c>
    </row>
    <row r="1109" spans="1:5" ht="27">
      <c r="A1109" s="258">
        <v>95711</v>
      </c>
      <c r="B1109" s="257" t="s">
        <v>1272</v>
      </c>
      <c r="C1109" s="257" t="s">
        <v>167</v>
      </c>
      <c r="D1109" s="259" t="s">
        <v>14462</v>
      </c>
      <c r="E1109" s="210" t="s">
        <v>6305</v>
      </c>
    </row>
    <row r="1110" spans="1:5" ht="27">
      <c r="A1110" s="258">
        <v>95712</v>
      </c>
      <c r="B1110" s="257" t="s">
        <v>1273</v>
      </c>
      <c r="C1110" s="257" t="s">
        <v>167</v>
      </c>
      <c r="D1110" s="259" t="s">
        <v>14463</v>
      </c>
      <c r="E1110" s="210" t="s">
        <v>6305</v>
      </c>
    </row>
    <row r="1111" spans="1:5" ht="40.5">
      <c r="A1111" s="258">
        <v>95713</v>
      </c>
      <c r="B1111" s="257" t="s">
        <v>1274</v>
      </c>
      <c r="C1111" s="257" t="s">
        <v>167</v>
      </c>
      <c r="D1111" s="259" t="s">
        <v>14220</v>
      </c>
      <c r="E1111" s="210" t="s">
        <v>6305</v>
      </c>
    </row>
    <row r="1112" spans="1:5" ht="40.5">
      <c r="A1112" s="258">
        <v>95716</v>
      </c>
      <c r="B1112" s="257" t="s">
        <v>1275</v>
      </c>
      <c r="C1112" s="257" t="s">
        <v>167</v>
      </c>
      <c r="D1112" s="259" t="s">
        <v>14464</v>
      </c>
      <c r="E1112" s="210" t="s">
        <v>6305</v>
      </c>
    </row>
    <row r="1113" spans="1:5" ht="40.5">
      <c r="A1113" s="258">
        <v>95717</v>
      </c>
      <c r="B1113" s="257" t="s">
        <v>1276</v>
      </c>
      <c r="C1113" s="257" t="s">
        <v>167</v>
      </c>
      <c r="D1113" s="259" t="s">
        <v>13860</v>
      </c>
      <c r="E1113" s="210" t="s">
        <v>6305</v>
      </c>
    </row>
    <row r="1114" spans="1:5" ht="40.5">
      <c r="A1114" s="258">
        <v>95718</v>
      </c>
      <c r="B1114" s="257" t="s">
        <v>1277</v>
      </c>
      <c r="C1114" s="257" t="s">
        <v>167</v>
      </c>
      <c r="D1114" s="259" t="s">
        <v>14465</v>
      </c>
      <c r="E1114" s="210" t="s">
        <v>6305</v>
      </c>
    </row>
    <row r="1115" spans="1:5" ht="40.5">
      <c r="A1115" s="258">
        <v>95719</v>
      </c>
      <c r="B1115" s="257" t="s">
        <v>1278</v>
      </c>
      <c r="C1115" s="257" t="s">
        <v>167</v>
      </c>
      <c r="D1115" s="259" t="s">
        <v>14220</v>
      </c>
      <c r="E1115" s="210" t="s">
        <v>6305</v>
      </c>
    </row>
    <row r="1116" spans="1:5" ht="27">
      <c r="A1116" s="258">
        <v>95869</v>
      </c>
      <c r="B1116" s="257" t="s">
        <v>1279</v>
      </c>
      <c r="C1116" s="257" t="s">
        <v>167</v>
      </c>
      <c r="D1116" s="259" t="s">
        <v>14466</v>
      </c>
      <c r="E1116" s="210" t="s">
        <v>6305</v>
      </c>
    </row>
    <row r="1117" spans="1:5" ht="27">
      <c r="A1117" s="258">
        <v>95870</v>
      </c>
      <c r="B1117" s="257" t="s">
        <v>1280</v>
      </c>
      <c r="C1117" s="257" t="s">
        <v>167</v>
      </c>
      <c r="D1117" s="259" t="s">
        <v>14467</v>
      </c>
      <c r="E1117" s="210" t="s">
        <v>6305</v>
      </c>
    </row>
    <row r="1118" spans="1:5" ht="27">
      <c r="A1118" s="258">
        <v>95871</v>
      </c>
      <c r="B1118" s="257" t="s">
        <v>1281</v>
      </c>
      <c r="C1118" s="257" t="s">
        <v>167</v>
      </c>
      <c r="D1118" s="259" t="s">
        <v>14468</v>
      </c>
      <c r="E1118" s="210" t="s">
        <v>6305</v>
      </c>
    </row>
    <row r="1119" spans="1:5" ht="27">
      <c r="A1119" s="258">
        <v>95874</v>
      </c>
      <c r="B1119" s="257" t="s">
        <v>1282</v>
      </c>
      <c r="C1119" s="257" t="s">
        <v>167</v>
      </c>
      <c r="D1119" s="259" t="s">
        <v>13631</v>
      </c>
      <c r="E1119" s="210" t="s">
        <v>6305</v>
      </c>
    </row>
    <row r="1120" spans="1:5" ht="27">
      <c r="A1120" s="258">
        <v>96008</v>
      </c>
      <c r="B1120" s="257" t="s">
        <v>1283</v>
      </c>
      <c r="C1120" s="257" t="s">
        <v>167</v>
      </c>
      <c r="D1120" s="259" t="s">
        <v>14469</v>
      </c>
      <c r="E1120" s="210" t="s">
        <v>6305</v>
      </c>
    </row>
    <row r="1121" spans="1:5" ht="27">
      <c r="A1121" s="258">
        <v>96009</v>
      </c>
      <c r="B1121" s="257" t="s">
        <v>1284</v>
      </c>
      <c r="C1121" s="257" t="s">
        <v>167</v>
      </c>
      <c r="D1121" s="259" t="s">
        <v>14274</v>
      </c>
      <c r="E1121" s="210" t="s">
        <v>6305</v>
      </c>
    </row>
    <row r="1122" spans="1:5" ht="27">
      <c r="A1122" s="258">
        <v>96011</v>
      </c>
      <c r="B1122" s="257" t="s">
        <v>1285</v>
      </c>
      <c r="C1122" s="257" t="s">
        <v>167</v>
      </c>
      <c r="D1122" s="259" t="s">
        <v>14470</v>
      </c>
      <c r="E1122" s="210" t="s">
        <v>6305</v>
      </c>
    </row>
    <row r="1123" spans="1:5" ht="27">
      <c r="A1123" s="258">
        <v>96012</v>
      </c>
      <c r="B1123" s="257" t="s">
        <v>1286</v>
      </c>
      <c r="C1123" s="257" t="s">
        <v>167</v>
      </c>
      <c r="D1123" s="259" t="s">
        <v>14149</v>
      </c>
      <c r="E1123" s="210" t="s">
        <v>6305</v>
      </c>
    </row>
    <row r="1124" spans="1:5" ht="27">
      <c r="A1124" s="258">
        <v>96015</v>
      </c>
      <c r="B1124" s="257" t="s">
        <v>1287</v>
      </c>
      <c r="C1124" s="257" t="s">
        <v>167</v>
      </c>
      <c r="D1124" s="259" t="s">
        <v>14471</v>
      </c>
      <c r="E1124" s="210" t="s">
        <v>6305</v>
      </c>
    </row>
    <row r="1125" spans="1:5" ht="27">
      <c r="A1125" s="258">
        <v>96016</v>
      </c>
      <c r="B1125" s="257" t="s">
        <v>1288</v>
      </c>
      <c r="C1125" s="257" t="s">
        <v>167</v>
      </c>
      <c r="D1125" s="259" t="s">
        <v>14472</v>
      </c>
      <c r="E1125" s="210" t="s">
        <v>6305</v>
      </c>
    </row>
    <row r="1126" spans="1:5" ht="27">
      <c r="A1126" s="258">
        <v>96018</v>
      </c>
      <c r="B1126" s="257" t="s">
        <v>1289</v>
      </c>
      <c r="C1126" s="257" t="s">
        <v>167</v>
      </c>
      <c r="D1126" s="259" t="s">
        <v>14473</v>
      </c>
      <c r="E1126" s="210" t="s">
        <v>6305</v>
      </c>
    </row>
    <row r="1127" spans="1:5" ht="27">
      <c r="A1127" s="258">
        <v>96019</v>
      </c>
      <c r="B1127" s="257" t="s">
        <v>1290</v>
      </c>
      <c r="C1127" s="257" t="s">
        <v>167</v>
      </c>
      <c r="D1127" s="259" t="s">
        <v>14149</v>
      </c>
      <c r="E1127" s="210" t="s">
        <v>6305</v>
      </c>
    </row>
    <row r="1128" spans="1:5" ht="27">
      <c r="A1128" s="258">
        <v>96023</v>
      </c>
      <c r="B1128" s="257" t="s">
        <v>1291</v>
      </c>
      <c r="C1128" s="257" t="s">
        <v>167</v>
      </c>
      <c r="D1128" s="259" t="s">
        <v>14474</v>
      </c>
      <c r="E1128" s="210" t="s">
        <v>6305</v>
      </c>
    </row>
    <row r="1129" spans="1:5" ht="27">
      <c r="A1129" s="258">
        <v>96024</v>
      </c>
      <c r="B1129" s="257" t="s">
        <v>1292</v>
      </c>
      <c r="C1129" s="257" t="s">
        <v>167</v>
      </c>
      <c r="D1129" s="259" t="s">
        <v>14475</v>
      </c>
      <c r="E1129" s="210" t="s">
        <v>6305</v>
      </c>
    </row>
    <row r="1130" spans="1:5" ht="27">
      <c r="A1130" s="258">
        <v>96026</v>
      </c>
      <c r="B1130" s="257" t="s">
        <v>1293</v>
      </c>
      <c r="C1130" s="257" t="s">
        <v>167</v>
      </c>
      <c r="D1130" s="259" t="s">
        <v>14476</v>
      </c>
      <c r="E1130" s="210" t="s">
        <v>6305</v>
      </c>
    </row>
    <row r="1131" spans="1:5" ht="27">
      <c r="A1131" s="258">
        <v>96027</v>
      </c>
      <c r="B1131" s="257" t="s">
        <v>1294</v>
      </c>
      <c r="C1131" s="257" t="s">
        <v>167</v>
      </c>
      <c r="D1131" s="259" t="s">
        <v>14106</v>
      </c>
      <c r="E1131" s="210" t="s">
        <v>6305</v>
      </c>
    </row>
    <row r="1132" spans="1:5" ht="27">
      <c r="A1132" s="258">
        <v>96030</v>
      </c>
      <c r="B1132" s="257" t="s">
        <v>1295</v>
      </c>
      <c r="C1132" s="257" t="s">
        <v>167</v>
      </c>
      <c r="D1132" s="259" t="s">
        <v>14477</v>
      </c>
      <c r="E1132" s="210" t="s">
        <v>6305</v>
      </c>
    </row>
    <row r="1133" spans="1:5" ht="27">
      <c r="A1133" s="258">
        <v>96031</v>
      </c>
      <c r="B1133" s="257" t="s">
        <v>1296</v>
      </c>
      <c r="C1133" s="257" t="s">
        <v>167</v>
      </c>
      <c r="D1133" s="259" t="s">
        <v>13945</v>
      </c>
      <c r="E1133" s="210" t="s">
        <v>6305</v>
      </c>
    </row>
    <row r="1134" spans="1:5" ht="27">
      <c r="A1134" s="258">
        <v>96032</v>
      </c>
      <c r="B1134" s="257" t="s">
        <v>1297</v>
      </c>
      <c r="C1134" s="257" t="s">
        <v>167</v>
      </c>
      <c r="D1134" s="259" t="s">
        <v>14326</v>
      </c>
      <c r="E1134" s="210" t="s">
        <v>6305</v>
      </c>
    </row>
    <row r="1135" spans="1:5" ht="27">
      <c r="A1135" s="258">
        <v>96033</v>
      </c>
      <c r="B1135" s="257" t="s">
        <v>1298</v>
      </c>
      <c r="C1135" s="257" t="s">
        <v>167</v>
      </c>
      <c r="D1135" s="259" t="s">
        <v>14478</v>
      </c>
      <c r="E1135" s="210" t="s">
        <v>6305</v>
      </c>
    </row>
    <row r="1136" spans="1:5" ht="27">
      <c r="A1136" s="258">
        <v>96034</v>
      </c>
      <c r="B1136" s="257" t="s">
        <v>1299</v>
      </c>
      <c r="C1136" s="257" t="s">
        <v>167</v>
      </c>
      <c r="D1136" s="259" t="s">
        <v>14363</v>
      </c>
      <c r="E1136" s="210" t="s">
        <v>6305</v>
      </c>
    </row>
    <row r="1137" spans="1:5" ht="27">
      <c r="A1137" s="258">
        <v>96053</v>
      </c>
      <c r="B1137" s="257" t="s">
        <v>1300</v>
      </c>
      <c r="C1137" s="257" t="s">
        <v>167</v>
      </c>
      <c r="D1137" s="259" t="s">
        <v>14479</v>
      </c>
      <c r="E1137" s="210" t="s">
        <v>6305</v>
      </c>
    </row>
    <row r="1138" spans="1:5" ht="27">
      <c r="A1138" s="258">
        <v>96054</v>
      </c>
      <c r="B1138" s="257" t="s">
        <v>1301</v>
      </c>
      <c r="C1138" s="257" t="s">
        <v>167</v>
      </c>
      <c r="D1138" s="259" t="s">
        <v>14480</v>
      </c>
      <c r="E1138" s="210" t="s">
        <v>6305</v>
      </c>
    </row>
    <row r="1139" spans="1:5" ht="27">
      <c r="A1139" s="258">
        <v>96055</v>
      </c>
      <c r="B1139" s="257" t="s">
        <v>1302</v>
      </c>
      <c r="C1139" s="257" t="s">
        <v>167</v>
      </c>
      <c r="D1139" s="259" t="s">
        <v>14009</v>
      </c>
      <c r="E1139" s="210" t="s">
        <v>6305</v>
      </c>
    </row>
    <row r="1140" spans="1:5" ht="27">
      <c r="A1140" s="258">
        <v>96056</v>
      </c>
      <c r="B1140" s="257" t="s">
        <v>1303</v>
      </c>
      <c r="C1140" s="257" t="s">
        <v>167</v>
      </c>
      <c r="D1140" s="259" t="s">
        <v>14481</v>
      </c>
      <c r="E1140" s="210" t="s">
        <v>6305</v>
      </c>
    </row>
    <row r="1141" spans="1:5" ht="27">
      <c r="A1141" s="258">
        <v>96057</v>
      </c>
      <c r="B1141" s="257" t="s">
        <v>1304</v>
      </c>
      <c r="C1141" s="257" t="s">
        <v>167</v>
      </c>
      <c r="D1141" s="259" t="s">
        <v>14106</v>
      </c>
      <c r="E1141" s="210" t="s">
        <v>6305</v>
      </c>
    </row>
    <row r="1142" spans="1:5" ht="27">
      <c r="A1142" s="258">
        <v>96060</v>
      </c>
      <c r="B1142" s="257" t="s">
        <v>1305</v>
      </c>
      <c r="C1142" s="257" t="s">
        <v>167</v>
      </c>
      <c r="D1142" s="259" t="s">
        <v>14482</v>
      </c>
      <c r="E1142" s="210" t="s">
        <v>6305</v>
      </c>
    </row>
    <row r="1143" spans="1:5" ht="27">
      <c r="A1143" s="258">
        <v>96061</v>
      </c>
      <c r="B1143" s="257" t="s">
        <v>1306</v>
      </c>
      <c r="C1143" s="257" t="s">
        <v>167</v>
      </c>
      <c r="D1143" s="259" t="s">
        <v>14483</v>
      </c>
      <c r="E1143" s="210" t="s">
        <v>6305</v>
      </c>
    </row>
    <row r="1144" spans="1:5" ht="27">
      <c r="A1144" s="258">
        <v>96062</v>
      </c>
      <c r="B1144" s="257" t="s">
        <v>1307</v>
      </c>
      <c r="C1144" s="257" t="s">
        <v>167</v>
      </c>
      <c r="D1144" s="259" t="s">
        <v>14328</v>
      </c>
      <c r="E1144" s="210" t="s">
        <v>6305</v>
      </c>
    </row>
    <row r="1145" spans="1:5" ht="27">
      <c r="A1145" s="258">
        <v>96241</v>
      </c>
      <c r="B1145" s="257" t="s">
        <v>1308</v>
      </c>
      <c r="C1145" s="257" t="s">
        <v>167</v>
      </c>
      <c r="D1145" s="259" t="s">
        <v>14484</v>
      </c>
      <c r="E1145" s="210" t="s">
        <v>6305</v>
      </c>
    </row>
    <row r="1146" spans="1:5" ht="27">
      <c r="A1146" s="258">
        <v>96242</v>
      </c>
      <c r="B1146" s="257" t="s">
        <v>1309</v>
      </c>
      <c r="C1146" s="257" t="s">
        <v>167</v>
      </c>
      <c r="D1146" s="259" t="s">
        <v>14380</v>
      </c>
      <c r="E1146" s="210" t="s">
        <v>6305</v>
      </c>
    </row>
    <row r="1147" spans="1:5" ht="27">
      <c r="A1147" s="258">
        <v>96243</v>
      </c>
      <c r="B1147" s="257" t="s">
        <v>1310</v>
      </c>
      <c r="C1147" s="257" t="s">
        <v>167</v>
      </c>
      <c r="D1147" s="259" t="s">
        <v>14485</v>
      </c>
      <c r="E1147" s="210" t="s">
        <v>6305</v>
      </c>
    </row>
    <row r="1148" spans="1:5" ht="27">
      <c r="A1148" s="258">
        <v>96244</v>
      </c>
      <c r="B1148" s="257" t="s">
        <v>1311</v>
      </c>
      <c r="C1148" s="257" t="s">
        <v>167</v>
      </c>
      <c r="D1148" s="259" t="s">
        <v>14486</v>
      </c>
      <c r="E1148" s="210" t="s">
        <v>6305</v>
      </c>
    </row>
    <row r="1149" spans="1:5" ht="27">
      <c r="A1149" s="258">
        <v>96298</v>
      </c>
      <c r="B1149" s="257" t="s">
        <v>1312</v>
      </c>
      <c r="C1149" s="257" t="s">
        <v>167</v>
      </c>
      <c r="D1149" s="259" t="s">
        <v>14029</v>
      </c>
      <c r="E1149" s="210" t="s">
        <v>6305</v>
      </c>
    </row>
    <row r="1150" spans="1:5" ht="27">
      <c r="A1150" s="258">
        <v>96299</v>
      </c>
      <c r="B1150" s="257" t="s">
        <v>1313</v>
      </c>
      <c r="C1150" s="257" t="s">
        <v>167</v>
      </c>
      <c r="D1150" s="259" t="s">
        <v>13540</v>
      </c>
      <c r="E1150" s="210" t="s">
        <v>6305</v>
      </c>
    </row>
    <row r="1151" spans="1:5" ht="27">
      <c r="A1151" s="258">
        <v>96300</v>
      </c>
      <c r="B1151" s="257" t="s">
        <v>1314</v>
      </c>
      <c r="C1151" s="257" t="s">
        <v>167</v>
      </c>
      <c r="D1151" s="259" t="s">
        <v>14010</v>
      </c>
      <c r="E1151" s="210" t="s">
        <v>6305</v>
      </c>
    </row>
    <row r="1152" spans="1:5" ht="27">
      <c r="A1152" s="258">
        <v>96301</v>
      </c>
      <c r="B1152" s="257" t="s">
        <v>1315</v>
      </c>
      <c r="C1152" s="257" t="s">
        <v>167</v>
      </c>
      <c r="D1152" s="259" t="s">
        <v>14487</v>
      </c>
      <c r="E1152" s="210" t="s">
        <v>6305</v>
      </c>
    </row>
    <row r="1153" spans="1:5" ht="27">
      <c r="A1153" s="258">
        <v>96304</v>
      </c>
      <c r="B1153" s="257" t="s">
        <v>1316</v>
      </c>
      <c r="C1153" s="257" t="s">
        <v>167</v>
      </c>
      <c r="D1153" s="259" t="s">
        <v>14248</v>
      </c>
      <c r="E1153" s="210" t="s">
        <v>6305</v>
      </c>
    </row>
    <row r="1154" spans="1:5" ht="27">
      <c r="A1154" s="258">
        <v>96305</v>
      </c>
      <c r="B1154" s="257" t="s">
        <v>1317</v>
      </c>
      <c r="C1154" s="257" t="s">
        <v>167</v>
      </c>
      <c r="D1154" s="259" t="s">
        <v>14211</v>
      </c>
      <c r="E1154" s="210" t="s">
        <v>6305</v>
      </c>
    </row>
    <row r="1155" spans="1:5" ht="27">
      <c r="A1155" s="258">
        <v>96306</v>
      </c>
      <c r="B1155" s="257" t="s">
        <v>1318</v>
      </c>
      <c r="C1155" s="257" t="s">
        <v>167</v>
      </c>
      <c r="D1155" s="259" t="s">
        <v>14279</v>
      </c>
      <c r="E1155" s="210" t="s">
        <v>6305</v>
      </c>
    </row>
    <row r="1156" spans="1:5" ht="27">
      <c r="A1156" s="258">
        <v>96307</v>
      </c>
      <c r="B1156" s="257" t="s">
        <v>1319</v>
      </c>
      <c r="C1156" s="257" t="s">
        <v>167</v>
      </c>
      <c r="D1156" s="259" t="s">
        <v>14036</v>
      </c>
      <c r="E1156" s="210" t="s">
        <v>6305</v>
      </c>
    </row>
    <row r="1157" spans="1:5" ht="27">
      <c r="A1157" s="258">
        <v>96457</v>
      </c>
      <c r="B1157" s="257" t="s">
        <v>1320</v>
      </c>
      <c r="C1157" s="257" t="s">
        <v>167</v>
      </c>
      <c r="D1157" s="259" t="s">
        <v>14203</v>
      </c>
      <c r="E1157" s="210" t="s">
        <v>6305</v>
      </c>
    </row>
    <row r="1158" spans="1:5" ht="27">
      <c r="A1158" s="258">
        <v>96458</v>
      </c>
      <c r="B1158" s="257" t="s">
        <v>1321</v>
      </c>
      <c r="C1158" s="257" t="s">
        <v>167</v>
      </c>
      <c r="D1158" s="259" t="s">
        <v>14488</v>
      </c>
      <c r="E1158" s="210" t="s">
        <v>6305</v>
      </c>
    </row>
    <row r="1159" spans="1:5" ht="27">
      <c r="A1159" s="258">
        <v>96459</v>
      </c>
      <c r="B1159" s="257" t="s">
        <v>1322</v>
      </c>
      <c r="C1159" s="257" t="s">
        <v>167</v>
      </c>
      <c r="D1159" s="259" t="s">
        <v>14020</v>
      </c>
      <c r="E1159" s="210" t="s">
        <v>6305</v>
      </c>
    </row>
    <row r="1160" spans="1:5" ht="27">
      <c r="A1160" s="258">
        <v>96460</v>
      </c>
      <c r="B1160" s="257" t="s">
        <v>1323</v>
      </c>
      <c r="C1160" s="257" t="s">
        <v>167</v>
      </c>
      <c r="D1160" s="259" t="s">
        <v>14489</v>
      </c>
      <c r="E1160" s="210" t="s">
        <v>6305</v>
      </c>
    </row>
    <row r="1161" spans="1:5" ht="27">
      <c r="A1161" s="258">
        <v>98760</v>
      </c>
      <c r="B1161" s="257" t="s">
        <v>5136</v>
      </c>
      <c r="C1161" s="257" t="s">
        <v>167</v>
      </c>
      <c r="D1161" s="259" t="s">
        <v>13920</v>
      </c>
      <c r="E1161" s="210" t="s">
        <v>6305</v>
      </c>
    </row>
    <row r="1162" spans="1:5" ht="27">
      <c r="A1162" s="258">
        <v>98761</v>
      </c>
      <c r="B1162" s="257" t="s">
        <v>5137</v>
      </c>
      <c r="C1162" s="257" t="s">
        <v>167</v>
      </c>
      <c r="D1162" s="259" t="s">
        <v>14211</v>
      </c>
      <c r="E1162" s="210" t="s">
        <v>6305</v>
      </c>
    </row>
    <row r="1163" spans="1:5" ht="27">
      <c r="A1163" s="258">
        <v>98762</v>
      </c>
      <c r="B1163" s="257" t="s">
        <v>5138</v>
      </c>
      <c r="C1163" s="257" t="s">
        <v>167</v>
      </c>
      <c r="D1163" s="259" t="s">
        <v>14084</v>
      </c>
      <c r="E1163" s="210" t="s">
        <v>6305</v>
      </c>
    </row>
    <row r="1164" spans="1:5" ht="27">
      <c r="A1164" s="258">
        <v>98763</v>
      </c>
      <c r="B1164" s="257" t="s">
        <v>5139</v>
      </c>
      <c r="C1164" s="257" t="s">
        <v>167</v>
      </c>
      <c r="D1164" s="259" t="s">
        <v>14490</v>
      </c>
      <c r="E1164" s="210" t="s">
        <v>6305</v>
      </c>
    </row>
    <row r="1165" spans="1:5" ht="27">
      <c r="A1165" s="258">
        <v>99829</v>
      </c>
      <c r="B1165" s="257" t="s">
        <v>5140</v>
      </c>
      <c r="C1165" s="257" t="s">
        <v>167</v>
      </c>
      <c r="D1165" s="259" t="s">
        <v>14082</v>
      </c>
      <c r="E1165" s="210" t="s">
        <v>6305</v>
      </c>
    </row>
    <row r="1166" spans="1:5" ht="27">
      <c r="A1166" s="258">
        <v>99830</v>
      </c>
      <c r="B1166" s="257" t="s">
        <v>5141</v>
      </c>
      <c r="C1166" s="257" t="s">
        <v>167</v>
      </c>
      <c r="D1166" s="259" t="s">
        <v>14211</v>
      </c>
      <c r="E1166" s="210" t="s">
        <v>6305</v>
      </c>
    </row>
    <row r="1167" spans="1:5" ht="27">
      <c r="A1167" s="258">
        <v>99831</v>
      </c>
      <c r="B1167" s="257" t="s">
        <v>5142</v>
      </c>
      <c r="C1167" s="257" t="s">
        <v>167</v>
      </c>
      <c r="D1167" s="259" t="s">
        <v>14041</v>
      </c>
      <c r="E1167" s="210" t="s">
        <v>6305</v>
      </c>
    </row>
    <row r="1168" spans="1:5" ht="27">
      <c r="A1168" s="258">
        <v>99832</v>
      </c>
      <c r="B1168" s="257" t="s">
        <v>5143</v>
      </c>
      <c r="C1168" s="257" t="s">
        <v>167</v>
      </c>
      <c r="D1168" s="259" t="s">
        <v>14491</v>
      </c>
      <c r="E1168" s="210" t="s">
        <v>6305</v>
      </c>
    </row>
    <row r="1169" spans="1:5" ht="27">
      <c r="A1169" s="258">
        <v>100637</v>
      </c>
      <c r="B1169" s="257" t="s">
        <v>6901</v>
      </c>
      <c r="C1169" s="257" t="s">
        <v>167</v>
      </c>
      <c r="D1169" s="259" t="s">
        <v>14492</v>
      </c>
      <c r="E1169" s="210" t="s">
        <v>6305</v>
      </c>
    </row>
    <row r="1170" spans="1:5" ht="27">
      <c r="A1170" s="258">
        <v>100638</v>
      </c>
      <c r="B1170" s="257" t="s">
        <v>6902</v>
      </c>
      <c r="C1170" s="257" t="s">
        <v>167</v>
      </c>
      <c r="D1170" s="259" t="s">
        <v>14493</v>
      </c>
      <c r="E1170" s="210" t="s">
        <v>6305</v>
      </c>
    </row>
    <row r="1171" spans="1:5" ht="27">
      <c r="A1171" s="258">
        <v>100639</v>
      </c>
      <c r="B1171" s="257" t="s">
        <v>6903</v>
      </c>
      <c r="C1171" s="257" t="s">
        <v>167</v>
      </c>
      <c r="D1171" s="259" t="s">
        <v>14494</v>
      </c>
      <c r="E1171" s="210" t="s">
        <v>6305</v>
      </c>
    </row>
    <row r="1172" spans="1:5" ht="27">
      <c r="A1172" s="258">
        <v>100640</v>
      </c>
      <c r="B1172" s="257" t="s">
        <v>6904</v>
      </c>
      <c r="C1172" s="257" t="s">
        <v>167</v>
      </c>
      <c r="D1172" s="259" t="s">
        <v>14495</v>
      </c>
      <c r="E1172" s="210" t="s">
        <v>6305</v>
      </c>
    </row>
    <row r="1173" spans="1:5" ht="13.5">
      <c r="A1173" s="258">
        <v>100643</v>
      </c>
      <c r="B1173" s="257" t="s">
        <v>6905</v>
      </c>
      <c r="C1173" s="257" t="s">
        <v>167</v>
      </c>
      <c r="D1173" s="259" t="s">
        <v>14496</v>
      </c>
      <c r="E1173" s="210" t="s">
        <v>6305</v>
      </c>
    </row>
    <row r="1174" spans="1:5" ht="13.5">
      <c r="A1174" s="258">
        <v>100644</v>
      </c>
      <c r="B1174" s="257" t="s">
        <v>6906</v>
      </c>
      <c r="C1174" s="257" t="s">
        <v>167</v>
      </c>
      <c r="D1174" s="259" t="s">
        <v>14497</v>
      </c>
      <c r="E1174" s="210" t="s">
        <v>6305</v>
      </c>
    </row>
    <row r="1175" spans="1:5" ht="13.5">
      <c r="A1175" s="258">
        <v>100645</v>
      </c>
      <c r="B1175" s="257" t="s">
        <v>6907</v>
      </c>
      <c r="C1175" s="257" t="s">
        <v>167</v>
      </c>
      <c r="D1175" s="259" t="s">
        <v>14498</v>
      </c>
      <c r="E1175" s="210" t="s">
        <v>6305</v>
      </c>
    </row>
    <row r="1176" spans="1:5" ht="13.5">
      <c r="A1176" s="258">
        <v>100646</v>
      </c>
      <c r="B1176" s="257" t="s">
        <v>6908</v>
      </c>
      <c r="C1176" s="257" t="s">
        <v>167</v>
      </c>
      <c r="D1176" s="259" t="s">
        <v>14499</v>
      </c>
      <c r="E1176" s="210" t="s">
        <v>6305</v>
      </c>
    </row>
    <row r="1177" spans="1:5" ht="13.5">
      <c r="A1177" s="258">
        <v>55960</v>
      </c>
      <c r="B1177" s="257" t="s">
        <v>1324</v>
      </c>
      <c r="C1177" s="257" t="s">
        <v>150</v>
      </c>
      <c r="D1177" s="259" t="s">
        <v>14195</v>
      </c>
      <c r="E1177" s="210" t="s">
        <v>201</v>
      </c>
    </row>
    <row r="1178" spans="1:5" ht="27">
      <c r="A1178" s="258">
        <v>92259</v>
      </c>
      <c r="B1178" s="257" t="s">
        <v>5144</v>
      </c>
      <c r="C1178" s="257" t="s">
        <v>90</v>
      </c>
      <c r="D1178" s="260" t="s">
        <v>14500</v>
      </c>
      <c r="E1178" s="210" t="s">
        <v>201</v>
      </c>
    </row>
    <row r="1179" spans="1:5" ht="27">
      <c r="A1179" s="258">
        <v>92260</v>
      </c>
      <c r="B1179" s="257" t="s">
        <v>5145</v>
      </c>
      <c r="C1179" s="257" t="s">
        <v>90</v>
      </c>
      <c r="D1179" s="260" t="s">
        <v>14501</v>
      </c>
      <c r="E1179" s="210" t="s">
        <v>201</v>
      </c>
    </row>
    <row r="1180" spans="1:5" ht="27">
      <c r="A1180" s="258">
        <v>92261</v>
      </c>
      <c r="B1180" s="257" t="s">
        <v>5146</v>
      </c>
      <c r="C1180" s="257" t="s">
        <v>90</v>
      </c>
      <c r="D1180" s="260" t="s">
        <v>14502</v>
      </c>
      <c r="E1180" s="210" t="s">
        <v>201</v>
      </c>
    </row>
    <row r="1181" spans="1:5" ht="27">
      <c r="A1181" s="258">
        <v>92262</v>
      </c>
      <c r="B1181" s="257" t="s">
        <v>5147</v>
      </c>
      <c r="C1181" s="257" t="s">
        <v>90</v>
      </c>
      <c r="D1181" s="260" t="s">
        <v>14503</v>
      </c>
      <c r="E1181" s="210" t="s">
        <v>201</v>
      </c>
    </row>
    <row r="1182" spans="1:5" ht="27">
      <c r="A1182" s="258">
        <v>92539</v>
      </c>
      <c r="B1182" s="257" t="s">
        <v>5148</v>
      </c>
      <c r="C1182" s="257" t="s">
        <v>150</v>
      </c>
      <c r="D1182" s="260" t="s">
        <v>14504</v>
      </c>
      <c r="E1182" s="210" t="s">
        <v>201</v>
      </c>
    </row>
    <row r="1183" spans="1:5" ht="27">
      <c r="A1183" s="258">
        <v>92540</v>
      </c>
      <c r="B1183" s="257" t="s">
        <v>5149</v>
      </c>
      <c r="C1183" s="257" t="s">
        <v>150</v>
      </c>
      <c r="D1183" s="260" t="s">
        <v>14505</v>
      </c>
      <c r="E1183" s="210" t="s">
        <v>201</v>
      </c>
    </row>
    <row r="1184" spans="1:5" ht="27">
      <c r="A1184" s="258">
        <v>92541</v>
      </c>
      <c r="B1184" s="257" t="s">
        <v>5150</v>
      </c>
      <c r="C1184" s="257" t="s">
        <v>150</v>
      </c>
      <c r="D1184" s="259" t="s">
        <v>14506</v>
      </c>
      <c r="E1184" s="210" t="s">
        <v>201</v>
      </c>
    </row>
    <row r="1185" spans="1:5" ht="27">
      <c r="A1185" s="258">
        <v>92542</v>
      </c>
      <c r="B1185" s="257" t="s">
        <v>5151</v>
      </c>
      <c r="C1185" s="257" t="s">
        <v>150</v>
      </c>
      <c r="D1185" s="259" t="s">
        <v>14507</v>
      </c>
      <c r="E1185" s="210" t="s">
        <v>201</v>
      </c>
    </row>
    <row r="1186" spans="1:5" ht="27">
      <c r="A1186" s="258">
        <v>92543</v>
      </c>
      <c r="B1186" s="257" t="s">
        <v>5152</v>
      </c>
      <c r="C1186" s="257" t="s">
        <v>150</v>
      </c>
      <c r="D1186" s="259" t="s">
        <v>14508</v>
      </c>
      <c r="E1186" s="210" t="s">
        <v>201</v>
      </c>
    </row>
    <row r="1187" spans="1:5" ht="27">
      <c r="A1187" s="258">
        <v>92544</v>
      </c>
      <c r="B1187" s="257" t="s">
        <v>5153</v>
      </c>
      <c r="C1187" s="257" t="s">
        <v>150</v>
      </c>
      <c r="D1187" s="259" t="s">
        <v>14509</v>
      </c>
      <c r="E1187" s="210" t="s">
        <v>201</v>
      </c>
    </row>
    <row r="1188" spans="1:5" ht="27">
      <c r="A1188" s="258">
        <v>92545</v>
      </c>
      <c r="B1188" s="257" t="s">
        <v>5154</v>
      </c>
      <c r="C1188" s="257" t="s">
        <v>90</v>
      </c>
      <c r="D1188" s="260" t="s">
        <v>14510</v>
      </c>
      <c r="E1188" s="210" t="s">
        <v>201</v>
      </c>
    </row>
    <row r="1189" spans="1:5" ht="27">
      <c r="A1189" s="258">
        <v>92546</v>
      </c>
      <c r="B1189" s="257" t="s">
        <v>5155</v>
      </c>
      <c r="C1189" s="257" t="s">
        <v>90</v>
      </c>
      <c r="D1189" s="260" t="s">
        <v>14511</v>
      </c>
      <c r="E1189" s="210" t="s">
        <v>201</v>
      </c>
    </row>
    <row r="1190" spans="1:5" ht="27">
      <c r="A1190" s="258">
        <v>92547</v>
      </c>
      <c r="B1190" s="257" t="s">
        <v>5156</v>
      </c>
      <c r="C1190" s="257" t="s">
        <v>90</v>
      </c>
      <c r="D1190" s="260" t="s">
        <v>14512</v>
      </c>
      <c r="E1190" s="210" t="s">
        <v>201</v>
      </c>
    </row>
    <row r="1191" spans="1:5" ht="27">
      <c r="A1191" s="258">
        <v>92548</v>
      </c>
      <c r="B1191" s="257" t="s">
        <v>5157</v>
      </c>
      <c r="C1191" s="257" t="s">
        <v>90</v>
      </c>
      <c r="D1191" s="260" t="s">
        <v>14513</v>
      </c>
      <c r="E1191" s="210" t="s">
        <v>201</v>
      </c>
    </row>
    <row r="1192" spans="1:5" ht="27">
      <c r="A1192" s="258">
        <v>92549</v>
      </c>
      <c r="B1192" s="257" t="s">
        <v>5158</v>
      </c>
      <c r="C1192" s="257" t="s">
        <v>90</v>
      </c>
      <c r="D1192" s="260" t="s">
        <v>14514</v>
      </c>
      <c r="E1192" s="210" t="s">
        <v>201</v>
      </c>
    </row>
    <row r="1193" spans="1:5" ht="27">
      <c r="A1193" s="258">
        <v>92550</v>
      </c>
      <c r="B1193" s="257" t="s">
        <v>5159</v>
      </c>
      <c r="C1193" s="257" t="s">
        <v>90</v>
      </c>
      <c r="D1193" s="260" t="s">
        <v>14515</v>
      </c>
      <c r="E1193" s="210" t="s">
        <v>201</v>
      </c>
    </row>
    <row r="1194" spans="1:5" ht="27">
      <c r="A1194" s="258">
        <v>92551</v>
      </c>
      <c r="B1194" s="257" t="s">
        <v>5160</v>
      </c>
      <c r="C1194" s="257" t="s">
        <v>90</v>
      </c>
      <c r="D1194" s="259" t="s">
        <v>14516</v>
      </c>
      <c r="E1194" s="210" t="s">
        <v>201</v>
      </c>
    </row>
    <row r="1195" spans="1:5" ht="27">
      <c r="A1195" s="258">
        <v>92552</v>
      </c>
      <c r="B1195" s="257" t="s">
        <v>5161</v>
      </c>
      <c r="C1195" s="257" t="s">
        <v>90</v>
      </c>
      <c r="D1195" s="259" t="s">
        <v>14517</v>
      </c>
      <c r="E1195" s="210" t="s">
        <v>201</v>
      </c>
    </row>
    <row r="1196" spans="1:5" ht="27">
      <c r="A1196" s="258">
        <v>92553</v>
      </c>
      <c r="B1196" s="257" t="s">
        <v>5162</v>
      </c>
      <c r="C1196" s="257" t="s">
        <v>90</v>
      </c>
      <c r="D1196" s="259" t="s">
        <v>14518</v>
      </c>
      <c r="E1196" s="210" t="s">
        <v>201</v>
      </c>
    </row>
    <row r="1197" spans="1:5" ht="27">
      <c r="A1197" s="258">
        <v>92554</v>
      </c>
      <c r="B1197" s="257" t="s">
        <v>5163</v>
      </c>
      <c r="C1197" s="257" t="s">
        <v>90</v>
      </c>
      <c r="D1197" s="259" t="s">
        <v>14519</v>
      </c>
      <c r="E1197" s="210" t="s">
        <v>201</v>
      </c>
    </row>
    <row r="1198" spans="1:5" ht="27">
      <c r="A1198" s="258">
        <v>92555</v>
      </c>
      <c r="B1198" s="257" t="s">
        <v>5164</v>
      </c>
      <c r="C1198" s="257" t="s">
        <v>90</v>
      </c>
      <c r="D1198" s="259" t="s">
        <v>14520</v>
      </c>
      <c r="E1198" s="210" t="s">
        <v>201</v>
      </c>
    </row>
    <row r="1199" spans="1:5" ht="27">
      <c r="A1199" s="258">
        <v>92556</v>
      </c>
      <c r="B1199" s="257" t="s">
        <v>5165</v>
      </c>
      <c r="C1199" s="257" t="s">
        <v>90</v>
      </c>
      <c r="D1199" s="259" t="s">
        <v>14521</v>
      </c>
      <c r="E1199" s="210" t="s">
        <v>201</v>
      </c>
    </row>
    <row r="1200" spans="1:5" ht="27">
      <c r="A1200" s="258">
        <v>92557</v>
      </c>
      <c r="B1200" s="257" t="s">
        <v>5166</v>
      </c>
      <c r="C1200" s="257" t="s">
        <v>90</v>
      </c>
      <c r="D1200" s="259" t="s">
        <v>14522</v>
      </c>
      <c r="E1200" s="210" t="s">
        <v>201</v>
      </c>
    </row>
    <row r="1201" spans="1:5" ht="27">
      <c r="A1201" s="258">
        <v>92558</v>
      </c>
      <c r="B1201" s="257" t="s">
        <v>5167</v>
      </c>
      <c r="C1201" s="257" t="s">
        <v>90</v>
      </c>
      <c r="D1201" s="259" t="s">
        <v>14523</v>
      </c>
      <c r="E1201" s="210" t="s">
        <v>201</v>
      </c>
    </row>
    <row r="1202" spans="1:5" ht="27">
      <c r="A1202" s="258">
        <v>92559</v>
      </c>
      <c r="B1202" s="257" t="s">
        <v>5168</v>
      </c>
      <c r="C1202" s="257" t="s">
        <v>90</v>
      </c>
      <c r="D1202" s="259" t="s">
        <v>14524</v>
      </c>
      <c r="E1202" s="210" t="s">
        <v>201</v>
      </c>
    </row>
    <row r="1203" spans="1:5" ht="27">
      <c r="A1203" s="258">
        <v>92560</v>
      </c>
      <c r="B1203" s="257" t="s">
        <v>5169</v>
      </c>
      <c r="C1203" s="257" t="s">
        <v>90</v>
      </c>
      <c r="D1203" s="259" t="s">
        <v>14525</v>
      </c>
      <c r="E1203" s="210" t="s">
        <v>201</v>
      </c>
    </row>
    <row r="1204" spans="1:5" ht="27">
      <c r="A1204" s="258">
        <v>92561</v>
      </c>
      <c r="B1204" s="257" t="s">
        <v>5170</v>
      </c>
      <c r="C1204" s="257" t="s">
        <v>90</v>
      </c>
      <c r="D1204" s="259" t="s">
        <v>14526</v>
      </c>
      <c r="E1204" s="210" t="s">
        <v>201</v>
      </c>
    </row>
    <row r="1205" spans="1:5" ht="27">
      <c r="A1205" s="258">
        <v>92562</v>
      </c>
      <c r="B1205" s="257" t="s">
        <v>5171</v>
      </c>
      <c r="C1205" s="257" t="s">
        <v>90</v>
      </c>
      <c r="D1205" s="259" t="s">
        <v>14527</v>
      </c>
      <c r="E1205" s="210" t="s">
        <v>201</v>
      </c>
    </row>
    <row r="1206" spans="1:5" ht="27">
      <c r="A1206" s="258">
        <v>92563</v>
      </c>
      <c r="B1206" s="257" t="s">
        <v>5172</v>
      </c>
      <c r="C1206" s="257" t="s">
        <v>90</v>
      </c>
      <c r="D1206" s="259" t="s">
        <v>14528</v>
      </c>
      <c r="E1206" s="210" t="s">
        <v>201</v>
      </c>
    </row>
    <row r="1207" spans="1:5" ht="27">
      <c r="A1207" s="258">
        <v>92564</v>
      </c>
      <c r="B1207" s="257" t="s">
        <v>5173</v>
      </c>
      <c r="C1207" s="257" t="s">
        <v>90</v>
      </c>
      <c r="D1207" s="259" t="s">
        <v>14529</v>
      </c>
      <c r="E1207" s="210" t="s">
        <v>201</v>
      </c>
    </row>
    <row r="1208" spans="1:5" ht="27">
      <c r="A1208" s="258">
        <v>92565</v>
      </c>
      <c r="B1208" s="257" t="s">
        <v>1325</v>
      </c>
      <c r="C1208" s="257" t="s">
        <v>150</v>
      </c>
      <c r="D1208" s="259" t="s">
        <v>14530</v>
      </c>
      <c r="E1208" s="210" t="s">
        <v>201</v>
      </c>
    </row>
    <row r="1209" spans="1:5" ht="40.5">
      <c r="A1209" s="258">
        <v>92566</v>
      </c>
      <c r="B1209" s="257" t="s">
        <v>1326</v>
      </c>
      <c r="C1209" s="257" t="s">
        <v>150</v>
      </c>
      <c r="D1209" s="259" t="s">
        <v>14531</v>
      </c>
      <c r="E1209" s="210" t="s">
        <v>201</v>
      </c>
    </row>
    <row r="1210" spans="1:5" ht="40.5">
      <c r="A1210" s="258">
        <v>92567</v>
      </c>
      <c r="B1210" s="257" t="s">
        <v>1327</v>
      </c>
      <c r="C1210" s="257" t="s">
        <v>150</v>
      </c>
      <c r="D1210" s="259" t="s">
        <v>14532</v>
      </c>
      <c r="E1210" s="210" t="s">
        <v>201</v>
      </c>
    </row>
    <row r="1211" spans="1:5" ht="40.5">
      <c r="A1211" s="258">
        <v>100379</v>
      </c>
      <c r="B1211" s="257" t="s">
        <v>5174</v>
      </c>
      <c r="C1211" s="257" t="s">
        <v>150</v>
      </c>
      <c r="D1211" s="259" t="s">
        <v>14530</v>
      </c>
      <c r="E1211" s="210" t="s">
        <v>201</v>
      </c>
    </row>
    <row r="1212" spans="1:5" ht="40.5">
      <c r="A1212" s="258">
        <v>100380</v>
      </c>
      <c r="B1212" s="257" t="s">
        <v>5175</v>
      </c>
      <c r="C1212" s="257" t="s">
        <v>150</v>
      </c>
      <c r="D1212" s="259" t="s">
        <v>14533</v>
      </c>
      <c r="E1212" s="210" t="s">
        <v>201</v>
      </c>
    </row>
    <row r="1213" spans="1:5" ht="40.5">
      <c r="A1213" s="258">
        <v>100381</v>
      </c>
      <c r="B1213" s="257" t="s">
        <v>5176</v>
      </c>
      <c r="C1213" s="257" t="s">
        <v>150</v>
      </c>
      <c r="D1213" s="259" t="s">
        <v>14534</v>
      </c>
      <c r="E1213" s="210" t="s">
        <v>201</v>
      </c>
    </row>
    <row r="1214" spans="1:5" ht="40.5">
      <c r="A1214" s="258">
        <v>100383</v>
      </c>
      <c r="B1214" s="257" t="s">
        <v>5177</v>
      </c>
      <c r="C1214" s="257" t="s">
        <v>150</v>
      </c>
      <c r="D1214" s="259" t="s">
        <v>14535</v>
      </c>
      <c r="E1214" s="210" t="s">
        <v>201</v>
      </c>
    </row>
    <row r="1215" spans="1:5" ht="40.5">
      <c r="A1215" s="258">
        <v>100384</v>
      </c>
      <c r="B1215" s="257" t="s">
        <v>5178</v>
      </c>
      <c r="C1215" s="257" t="s">
        <v>150</v>
      </c>
      <c r="D1215" s="259" t="s">
        <v>14536</v>
      </c>
      <c r="E1215" s="210" t="s">
        <v>201</v>
      </c>
    </row>
    <row r="1216" spans="1:5" ht="40.5">
      <c r="A1216" s="258">
        <v>100385</v>
      </c>
      <c r="B1216" s="257" t="s">
        <v>5179</v>
      </c>
      <c r="C1216" s="257" t="s">
        <v>150</v>
      </c>
      <c r="D1216" s="259" t="s">
        <v>14532</v>
      </c>
      <c r="E1216" s="210" t="s">
        <v>201</v>
      </c>
    </row>
    <row r="1217" spans="1:5" ht="40.5">
      <c r="A1217" s="258">
        <v>100386</v>
      </c>
      <c r="B1217" s="257" t="s">
        <v>5180</v>
      </c>
      <c r="C1217" s="257" t="s">
        <v>150</v>
      </c>
      <c r="D1217" s="259" t="s">
        <v>14537</v>
      </c>
      <c r="E1217" s="210" t="s">
        <v>201</v>
      </c>
    </row>
    <row r="1218" spans="1:5" ht="40.5">
      <c r="A1218" s="258">
        <v>100387</v>
      </c>
      <c r="B1218" s="257" t="s">
        <v>5181</v>
      </c>
      <c r="C1218" s="257" t="s">
        <v>150</v>
      </c>
      <c r="D1218" s="259" t="s">
        <v>14538</v>
      </c>
      <c r="E1218" s="210" t="s">
        <v>201</v>
      </c>
    </row>
    <row r="1219" spans="1:5" ht="27">
      <c r="A1219" s="258">
        <v>100388</v>
      </c>
      <c r="B1219" s="257" t="s">
        <v>5182</v>
      </c>
      <c r="C1219" s="257" t="s">
        <v>150</v>
      </c>
      <c r="D1219" s="259" t="s">
        <v>14539</v>
      </c>
      <c r="E1219" s="210" t="s">
        <v>201</v>
      </c>
    </row>
    <row r="1220" spans="1:5" ht="27">
      <c r="A1220" s="257">
        <v>100389</v>
      </c>
      <c r="B1220" s="257" t="s">
        <v>5183</v>
      </c>
      <c r="C1220" s="257" t="s">
        <v>150</v>
      </c>
      <c r="D1220" s="259" t="s">
        <v>14213</v>
      </c>
      <c r="E1220" s="210" t="s">
        <v>201</v>
      </c>
    </row>
    <row r="1221" spans="1:5" ht="27">
      <c r="A1221" s="257">
        <v>100390</v>
      </c>
      <c r="B1221" s="257" t="s">
        <v>5184</v>
      </c>
      <c r="C1221" s="257" t="s">
        <v>150</v>
      </c>
      <c r="D1221" s="259" t="s">
        <v>14540</v>
      </c>
      <c r="E1221" s="210" t="s">
        <v>201</v>
      </c>
    </row>
    <row r="1222" spans="1:5" ht="27">
      <c r="A1222" s="257">
        <v>100391</v>
      </c>
      <c r="B1222" s="257" t="s">
        <v>5185</v>
      </c>
      <c r="C1222" s="257" t="s">
        <v>150</v>
      </c>
      <c r="D1222" s="259" t="s">
        <v>14400</v>
      </c>
      <c r="E1222" s="210" t="s">
        <v>201</v>
      </c>
    </row>
    <row r="1223" spans="1:5" ht="27">
      <c r="A1223" s="257">
        <v>100392</v>
      </c>
      <c r="B1223" s="257" t="s">
        <v>5186</v>
      </c>
      <c r="C1223" s="257" t="s">
        <v>150</v>
      </c>
      <c r="D1223" s="259" t="s">
        <v>14541</v>
      </c>
      <c r="E1223" s="210" t="s">
        <v>201</v>
      </c>
    </row>
    <row r="1224" spans="1:5" ht="27">
      <c r="A1224" s="257">
        <v>100393</v>
      </c>
      <c r="B1224" s="257" t="s">
        <v>5187</v>
      </c>
      <c r="C1224" s="257" t="s">
        <v>150</v>
      </c>
      <c r="D1224" s="259" t="s">
        <v>14542</v>
      </c>
      <c r="E1224" s="210" t="s">
        <v>201</v>
      </c>
    </row>
    <row r="1225" spans="1:5" ht="27">
      <c r="A1225" s="257">
        <v>100394</v>
      </c>
      <c r="B1225" s="257" t="s">
        <v>5188</v>
      </c>
      <c r="C1225" s="257" t="s">
        <v>150</v>
      </c>
      <c r="D1225" s="259" t="s">
        <v>14314</v>
      </c>
      <c r="E1225" s="210" t="s">
        <v>201</v>
      </c>
    </row>
    <row r="1226" spans="1:5" ht="27">
      <c r="A1226" s="257">
        <v>100395</v>
      </c>
      <c r="B1226" s="257" t="s">
        <v>5189</v>
      </c>
      <c r="C1226" s="257" t="s">
        <v>150</v>
      </c>
      <c r="D1226" s="259" t="s">
        <v>13602</v>
      </c>
      <c r="E1226" s="210" t="s">
        <v>201</v>
      </c>
    </row>
    <row r="1227" spans="1:5" ht="27">
      <c r="A1227" s="257">
        <v>94189</v>
      </c>
      <c r="B1227" s="257" t="s">
        <v>5190</v>
      </c>
      <c r="C1227" s="257" t="s">
        <v>150</v>
      </c>
      <c r="D1227" s="259" t="s">
        <v>14543</v>
      </c>
      <c r="E1227" s="210" t="s">
        <v>201</v>
      </c>
    </row>
    <row r="1228" spans="1:5" ht="27">
      <c r="A1228" s="257">
        <v>94192</v>
      </c>
      <c r="B1228" s="257" t="s">
        <v>5191</v>
      </c>
      <c r="C1228" s="257" t="s">
        <v>150</v>
      </c>
      <c r="D1228" s="259" t="s">
        <v>14544</v>
      </c>
      <c r="E1228" s="210" t="s">
        <v>201</v>
      </c>
    </row>
    <row r="1229" spans="1:5" ht="27">
      <c r="A1229" s="257">
        <v>94195</v>
      </c>
      <c r="B1229" s="257" t="s">
        <v>5192</v>
      </c>
      <c r="C1229" s="257" t="s">
        <v>150</v>
      </c>
      <c r="D1229" s="259" t="s">
        <v>14545</v>
      </c>
      <c r="E1229" s="210" t="s">
        <v>201</v>
      </c>
    </row>
    <row r="1230" spans="1:5" ht="27">
      <c r="A1230" s="258">
        <v>94198</v>
      </c>
      <c r="B1230" s="257" t="s">
        <v>5193</v>
      </c>
      <c r="C1230" s="257" t="s">
        <v>150</v>
      </c>
      <c r="D1230" s="259" t="s">
        <v>14546</v>
      </c>
      <c r="E1230" s="210" t="s">
        <v>201</v>
      </c>
    </row>
    <row r="1231" spans="1:5" ht="27">
      <c r="A1231" s="258">
        <v>94201</v>
      </c>
      <c r="B1231" s="257" t="s">
        <v>5194</v>
      </c>
      <c r="C1231" s="257" t="s">
        <v>150</v>
      </c>
      <c r="D1231" s="259" t="s">
        <v>14547</v>
      </c>
      <c r="E1231" s="210" t="s">
        <v>201</v>
      </c>
    </row>
    <row r="1232" spans="1:5" ht="27">
      <c r="A1232" s="258">
        <v>94204</v>
      </c>
      <c r="B1232" s="257" t="s">
        <v>5195</v>
      </c>
      <c r="C1232" s="257" t="s">
        <v>150</v>
      </c>
      <c r="D1232" s="259" t="s">
        <v>14548</v>
      </c>
      <c r="E1232" s="210" t="s">
        <v>201</v>
      </c>
    </row>
    <row r="1233" spans="1:5" ht="13.5">
      <c r="A1233" s="258">
        <v>94224</v>
      </c>
      <c r="B1233" s="257" t="s">
        <v>5196</v>
      </c>
      <c r="C1233" s="257" t="s">
        <v>5</v>
      </c>
      <c r="D1233" s="259" t="s">
        <v>14549</v>
      </c>
      <c r="E1233" s="210" t="s">
        <v>201</v>
      </c>
    </row>
    <row r="1234" spans="1:5" ht="27">
      <c r="A1234" s="258">
        <v>94225</v>
      </c>
      <c r="B1234" s="257" t="s">
        <v>5197</v>
      </c>
      <c r="C1234" s="257" t="s">
        <v>150</v>
      </c>
      <c r="D1234" s="259" t="s">
        <v>14550</v>
      </c>
      <c r="E1234" s="210" t="s">
        <v>201</v>
      </c>
    </row>
    <row r="1235" spans="1:5" ht="27">
      <c r="A1235" s="258">
        <v>94226</v>
      </c>
      <c r="B1235" s="257" t="s">
        <v>5198</v>
      </c>
      <c r="C1235" s="257" t="s">
        <v>150</v>
      </c>
      <c r="D1235" s="259" t="s">
        <v>14551</v>
      </c>
      <c r="E1235" s="210" t="s">
        <v>201</v>
      </c>
    </row>
    <row r="1236" spans="1:5" ht="13.5">
      <c r="A1236" s="258">
        <v>94232</v>
      </c>
      <c r="B1236" s="257" t="s">
        <v>5199</v>
      </c>
      <c r="C1236" s="257" t="s">
        <v>90</v>
      </c>
      <c r="D1236" s="259" t="s">
        <v>14552</v>
      </c>
      <c r="E1236" s="210" t="s">
        <v>201</v>
      </c>
    </row>
    <row r="1237" spans="1:5" ht="27">
      <c r="A1237" s="257">
        <v>94440</v>
      </c>
      <c r="B1237" s="257" t="s">
        <v>5200</v>
      </c>
      <c r="C1237" s="257" t="s">
        <v>150</v>
      </c>
      <c r="D1237" s="259" t="s">
        <v>14545</v>
      </c>
      <c r="E1237" s="210" t="s">
        <v>201</v>
      </c>
    </row>
    <row r="1238" spans="1:5" ht="27">
      <c r="A1238" s="258">
        <v>94441</v>
      </c>
      <c r="B1238" s="257" t="s">
        <v>5201</v>
      </c>
      <c r="C1238" s="257" t="s">
        <v>150</v>
      </c>
      <c r="D1238" s="259" t="s">
        <v>14546</v>
      </c>
      <c r="E1238" s="210" t="s">
        <v>201</v>
      </c>
    </row>
    <row r="1239" spans="1:5" ht="27">
      <c r="A1239" s="258">
        <v>94442</v>
      </c>
      <c r="B1239" s="257" t="s">
        <v>5202</v>
      </c>
      <c r="C1239" s="257" t="s">
        <v>150</v>
      </c>
      <c r="D1239" s="259" t="s">
        <v>14545</v>
      </c>
      <c r="E1239" s="210" t="s">
        <v>201</v>
      </c>
    </row>
    <row r="1240" spans="1:5" ht="27">
      <c r="A1240" s="258">
        <v>94443</v>
      </c>
      <c r="B1240" s="257" t="s">
        <v>5203</v>
      </c>
      <c r="C1240" s="257" t="s">
        <v>150</v>
      </c>
      <c r="D1240" s="259" t="s">
        <v>14546</v>
      </c>
      <c r="E1240" s="210" t="s">
        <v>201</v>
      </c>
    </row>
    <row r="1241" spans="1:5" ht="27">
      <c r="A1241" s="258">
        <v>94445</v>
      </c>
      <c r="B1241" s="257" t="s">
        <v>5204</v>
      </c>
      <c r="C1241" s="257" t="s">
        <v>150</v>
      </c>
      <c r="D1241" s="259" t="s">
        <v>14547</v>
      </c>
      <c r="E1241" s="210" t="s">
        <v>201</v>
      </c>
    </row>
    <row r="1242" spans="1:5" ht="27">
      <c r="A1242" s="258">
        <v>94446</v>
      </c>
      <c r="B1242" s="257" t="s">
        <v>5205</v>
      </c>
      <c r="C1242" s="257" t="s">
        <v>150</v>
      </c>
      <c r="D1242" s="259" t="s">
        <v>14548</v>
      </c>
      <c r="E1242" s="210" t="s">
        <v>201</v>
      </c>
    </row>
    <row r="1243" spans="1:5" ht="27">
      <c r="A1243" s="258">
        <v>94447</v>
      </c>
      <c r="B1243" s="257" t="s">
        <v>5206</v>
      </c>
      <c r="C1243" s="257" t="s">
        <v>150</v>
      </c>
      <c r="D1243" s="259" t="s">
        <v>14547</v>
      </c>
      <c r="E1243" s="210" t="s">
        <v>201</v>
      </c>
    </row>
    <row r="1244" spans="1:5" ht="27">
      <c r="A1244" s="258">
        <v>94448</v>
      </c>
      <c r="B1244" s="257" t="s">
        <v>5207</v>
      </c>
      <c r="C1244" s="257" t="s">
        <v>150</v>
      </c>
      <c r="D1244" s="259" t="s">
        <v>14548</v>
      </c>
      <c r="E1244" s="210" t="s">
        <v>201</v>
      </c>
    </row>
    <row r="1245" spans="1:5" ht="27">
      <c r="A1245" s="258">
        <v>94207</v>
      </c>
      <c r="B1245" s="257" t="s">
        <v>5208</v>
      </c>
      <c r="C1245" s="257" t="s">
        <v>150</v>
      </c>
      <c r="D1245" s="259" t="s">
        <v>13695</v>
      </c>
      <c r="E1245" s="210" t="s">
        <v>201</v>
      </c>
    </row>
    <row r="1246" spans="1:5" ht="27">
      <c r="A1246" s="258">
        <v>94210</v>
      </c>
      <c r="B1246" s="257" t="s">
        <v>5209</v>
      </c>
      <c r="C1246" s="257" t="s">
        <v>150</v>
      </c>
      <c r="D1246" s="259" t="s">
        <v>14553</v>
      </c>
      <c r="E1246" s="210" t="s">
        <v>201</v>
      </c>
    </row>
    <row r="1247" spans="1:5" ht="27">
      <c r="A1247" s="258">
        <v>94218</v>
      </c>
      <c r="B1247" s="257" t="s">
        <v>5210</v>
      </c>
      <c r="C1247" s="257" t="s">
        <v>150</v>
      </c>
      <c r="D1247" s="259" t="s">
        <v>14554</v>
      </c>
      <c r="E1247" s="210" t="s">
        <v>201</v>
      </c>
    </row>
    <row r="1248" spans="1:5" ht="27">
      <c r="A1248" s="258">
        <v>94213</v>
      </c>
      <c r="B1248" s="257" t="s">
        <v>5211</v>
      </c>
      <c r="C1248" s="257" t="s">
        <v>150</v>
      </c>
      <c r="D1248" s="259" t="s">
        <v>14555</v>
      </c>
      <c r="E1248" s="210" t="s">
        <v>201</v>
      </c>
    </row>
    <row r="1249" spans="1:5" ht="27">
      <c r="A1249" s="258">
        <v>94216</v>
      </c>
      <c r="B1249" s="257" t="s">
        <v>5212</v>
      </c>
      <c r="C1249" s="257" t="s">
        <v>150</v>
      </c>
      <c r="D1249" s="259" t="s">
        <v>14556</v>
      </c>
      <c r="E1249" s="210" t="s">
        <v>201</v>
      </c>
    </row>
    <row r="1250" spans="1:5" ht="27">
      <c r="A1250" s="258">
        <v>94219</v>
      </c>
      <c r="B1250" s="257" t="s">
        <v>5213</v>
      </c>
      <c r="C1250" s="257" t="s">
        <v>5</v>
      </c>
      <c r="D1250" s="259" t="s">
        <v>14557</v>
      </c>
      <c r="E1250" s="210" t="s">
        <v>201</v>
      </c>
    </row>
    <row r="1251" spans="1:5" ht="27">
      <c r="A1251" s="258">
        <v>94220</v>
      </c>
      <c r="B1251" s="257" t="s">
        <v>5214</v>
      </c>
      <c r="C1251" s="257" t="s">
        <v>5</v>
      </c>
      <c r="D1251" s="259" t="s">
        <v>14558</v>
      </c>
      <c r="E1251" s="210" t="s">
        <v>201</v>
      </c>
    </row>
    <row r="1252" spans="1:5" ht="27">
      <c r="A1252" s="257">
        <v>94221</v>
      </c>
      <c r="B1252" s="257" t="s">
        <v>5215</v>
      </c>
      <c r="C1252" s="257" t="s">
        <v>5</v>
      </c>
      <c r="D1252" s="259" t="s">
        <v>14559</v>
      </c>
      <c r="E1252" s="210" t="s">
        <v>201</v>
      </c>
    </row>
    <row r="1253" spans="1:5" ht="27">
      <c r="A1253" s="257">
        <v>94222</v>
      </c>
      <c r="B1253" s="257" t="s">
        <v>5216</v>
      </c>
      <c r="C1253" s="257" t="s">
        <v>5</v>
      </c>
      <c r="D1253" s="259" t="s">
        <v>14560</v>
      </c>
      <c r="E1253" s="210" t="s">
        <v>201</v>
      </c>
    </row>
    <row r="1254" spans="1:5" ht="27">
      <c r="A1254" s="258">
        <v>94223</v>
      </c>
      <c r="B1254" s="257" t="s">
        <v>5217</v>
      </c>
      <c r="C1254" s="257" t="s">
        <v>5</v>
      </c>
      <c r="D1254" s="259" t="s">
        <v>14561</v>
      </c>
      <c r="E1254" s="210" t="s">
        <v>201</v>
      </c>
    </row>
    <row r="1255" spans="1:5" ht="27">
      <c r="A1255" s="258">
        <v>94451</v>
      </c>
      <c r="B1255" s="257" t="s">
        <v>5218</v>
      </c>
      <c r="C1255" s="257" t="s">
        <v>5</v>
      </c>
      <c r="D1255" s="259" t="s">
        <v>14562</v>
      </c>
      <c r="E1255" s="210" t="s">
        <v>201</v>
      </c>
    </row>
    <row r="1256" spans="1:5" ht="27">
      <c r="A1256" s="258">
        <v>100325</v>
      </c>
      <c r="B1256" s="257" t="s">
        <v>5219</v>
      </c>
      <c r="C1256" s="257" t="s">
        <v>5</v>
      </c>
      <c r="D1256" s="259" t="s">
        <v>14563</v>
      </c>
      <c r="E1256" s="210" t="s">
        <v>201</v>
      </c>
    </row>
    <row r="1257" spans="1:5" ht="27">
      <c r="A1257" s="258">
        <v>100327</v>
      </c>
      <c r="B1257" s="257" t="s">
        <v>5220</v>
      </c>
      <c r="C1257" s="257" t="s">
        <v>5</v>
      </c>
      <c r="D1257" s="259" t="s">
        <v>14564</v>
      </c>
      <c r="E1257" s="210" t="s">
        <v>201</v>
      </c>
    </row>
    <row r="1258" spans="1:5" ht="27">
      <c r="A1258" s="258">
        <v>100328</v>
      </c>
      <c r="B1258" s="257" t="s">
        <v>5221</v>
      </c>
      <c r="C1258" s="257" t="s">
        <v>150</v>
      </c>
      <c r="D1258" s="259" t="s">
        <v>14565</v>
      </c>
      <c r="E1258" s="210" t="s">
        <v>201</v>
      </c>
    </row>
    <row r="1259" spans="1:5" ht="27">
      <c r="A1259" s="258">
        <v>100329</v>
      </c>
      <c r="B1259" s="257" t="s">
        <v>5222</v>
      </c>
      <c r="C1259" s="257" t="s">
        <v>150</v>
      </c>
      <c r="D1259" s="259" t="s">
        <v>14566</v>
      </c>
      <c r="E1259" s="210" t="s">
        <v>201</v>
      </c>
    </row>
    <row r="1260" spans="1:5" ht="27">
      <c r="A1260" s="258">
        <v>100330</v>
      </c>
      <c r="B1260" s="257" t="s">
        <v>5223</v>
      </c>
      <c r="C1260" s="257" t="s">
        <v>150</v>
      </c>
      <c r="D1260" s="259" t="s">
        <v>14246</v>
      </c>
      <c r="E1260" s="210" t="s">
        <v>201</v>
      </c>
    </row>
    <row r="1261" spans="1:5" ht="27">
      <c r="A1261" s="258">
        <v>100331</v>
      </c>
      <c r="B1261" s="257" t="s">
        <v>5224</v>
      </c>
      <c r="C1261" s="257" t="s">
        <v>150</v>
      </c>
      <c r="D1261" s="259" t="s">
        <v>14567</v>
      </c>
      <c r="E1261" s="210" t="s">
        <v>201</v>
      </c>
    </row>
    <row r="1262" spans="1:5" ht="27">
      <c r="A1262" s="258">
        <v>100434</v>
      </c>
      <c r="B1262" s="257" t="s">
        <v>6909</v>
      </c>
      <c r="C1262" s="257" t="s">
        <v>5</v>
      </c>
      <c r="D1262" s="259" t="s">
        <v>14060</v>
      </c>
      <c r="E1262" s="210" t="s">
        <v>201</v>
      </c>
    </row>
    <row r="1263" spans="1:5" ht="27">
      <c r="A1263" s="258">
        <v>100435</v>
      </c>
      <c r="B1263" s="257" t="s">
        <v>6910</v>
      </c>
      <c r="C1263" s="257" t="s">
        <v>5</v>
      </c>
      <c r="D1263" s="259" t="s">
        <v>14068</v>
      </c>
      <c r="E1263" s="210" t="s">
        <v>201</v>
      </c>
    </row>
    <row r="1264" spans="1:5" ht="27">
      <c r="A1264" s="258">
        <v>94227</v>
      </c>
      <c r="B1264" s="257" t="s">
        <v>5225</v>
      </c>
      <c r="C1264" s="257" t="s">
        <v>5</v>
      </c>
      <c r="D1264" s="259" t="s">
        <v>14568</v>
      </c>
      <c r="E1264" s="210" t="s">
        <v>201</v>
      </c>
    </row>
    <row r="1265" spans="1:5" ht="27">
      <c r="A1265" s="258">
        <v>94228</v>
      </c>
      <c r="B1265" s="257" t="s">
        <v>5226</v>
      </c>
      <c r="C1265" s="257" t="s">
        <v>5</v>
      </c>
      <c r="D1265" s="259" t="s">
        <v>14569</v>
      </c>
      <c r="E1265" s="210" t="s">
        <v>201</v>
      </c>
    </row>
    <row r="1266" spans="1:5" ht="27">
      <c r="A1266" s="258">
        <v>94229</v>
      </c>
      <c r="B1266" s="257" t="s">
        <v>5227</v>
      </c>
      <c r="C1266" s="257" t="s">
        <v>5</v>
      </c>
      <c r="D1266" s="259" t="s">
        <v>14570</v>
      </c>
      <c r="E1266" s="210" t="s">
        <v>201</v>
      </c>
    </row>
    <row r="1267" spans="1:5" ht="27">
      <c r="A1267" s="258">
        <v>94231</v>
      </c>
      <c r="B1267" s="257" t="s">
        <v>5228</v>
      </c>
      <c r="C1267" s="257" t="s">
        <v>5</v>
      </c>
      <c r="D1267" s="259" t="s">
        <v>14571</v>
      </c>
      <c r="E1267" s="210" t="s">
        <v>201</v>
      </c>
    </row>
    <row r="1268" spans="1:5" ht="27">
      <c r="A1268" s="258">
        <v>94449</v>
      </c>
      <c r="B1268" s="257" t="s">
        <v>5229</v>
      </c>
      <c r="C1268" s="257" t="s">
        <v>150</v>
      </c>
      <c r="D1268" s="259" t="s">
        <v>14079</v>
      </c>
      <c r="E1268" s="210" t="s">
        <v>201</v>
      </c>
    </row>
    <row r="1269" spans="1:5" ht="27">
      <c r="A1269" s="258">
        <v>92255</v>
      </c>
      <c r="B1269" s="257" t="s">
        <v>5230</v>
      </c>
      <c r="C1269" s="257" t="s">
        <v>90</v>
      </c>
      <c r="D1269" s="259" t="s">
        <v>14572</v>
      </c>
      <c r="E1269" s="210" t="s">
        <v>201</v>
      </c>
    </row>
    <row r="1270" spans="1:5" ht="27">
      <c r="A1270" s="258">
        <v>92256</v>
      </c>
      <c r="B1270" s="257" t="s">
        <v>5231</v>
      </c>
      <c r="C1270" s="257" t="s">
        <v>90</v>
      </c>
      <c r="D1270" s="259" t="s">
        <v>14573</v>
      </c>
      <c r="E1270" s="210" t="s">
        <v>201</v>
      </c>
    </row>
    <row r="1271" spans="1:5" ht="27">
      <c r="A1271" s="258">
        <v>92257</v>
      </c>
      <c r="B1271" s="257" t="s">
        <v>5232</v>
      </c>
      <c r="C1271" s="257" t="s">
        <v>90</v>
      </c>
      <c r="D1271" s="259" t="s">
        <v>14574</v>
      </c>
      <c r="E1271" s="210" t="s">
        <v>201</v>
      </c>
    </row>
    <row r="1272" spans="1:5" ht="27">
      <c r="A1272" s="258">
        <v>92258</v>
      </c>
      <c r="B1272" s="257" t="s">
        <v>5233</v>
      </c>
      <c r="C1272" s="257" t="s">
        <v>90</v>
      </c>
      <c r="D1272" s="259" t="s">
        <v>14575</v>
      </c>
      <c r="E1272" s="210" t="s">
        <v>201</v>
      </c>
    </row>
    <row r="1273" spans="1:5" ht="27">
      <c r="A1273" s="258">
        <v>92568</v>
      </c>
      <c r="B1273" s="257" t="s">
        <v>5234</v>
      </c>
      <c r="C1273" s="257" t="s">
        <v>150</v>
      </c>
      <c r="D1273" s="259" t="s">
        <v>14576</v>
      </c>
      <c r="E1273" s="210" t="s">
        <v>201</v>
      </c>
    </row>
    <row r="1274" spans="1:5" ht="27">
      <c r="A1274" s="258">
        <v>92569</v>
      </c>
      <c r="B1274" s="257" t="s">
        <v>5235</v>
      </c>
      <c r="C1274" s="257" t="s">
        <v>150</v>
      </c>
      <c r="D1274" s="259" t="s">
        <v>14159</v>
      </c>
      <c r="E1274" s="210" t="s">
        <v>201</v>
      </c>
    </row>
    <row r="1275" spans="1:5" ht="27">
      <c r="A1275" s="258">
        <v>92570</v>
      </c>
      <c r="B1275" s="257" t="s">
        <v>5236</v>
      </c>
      <c r="C1275" s="257" t="s">
        <v>150</v>
      </c>
      <c r="D1275" s="259" t="s">
        <v>14543</v>
      </c>
      <c r="E1275" s="210" t="s">
        <v>201</v>
      </c>
    </row>
    <row r="1276" spans="1:5" ht="27">
      <c r="A1276" s="258">
        <v>92571</v>
      </c>
      <c r="B1276" s="257" t="s">
        <v>5237</v>
      </c>
      <c r="C1276" s="257" t="s">
        <v>150</v>
      </c>
      <c r="D1276" s="259" t="s">
        <v>14577</v>
      </c>
      <c r="E1276" s="210" t="s">
        <v>201</v>
      </c>
    </row>
    <row r="1277" spans="1:5" ht="27">
      <c r="A1277" s="258">
        <v>92572</v>
      </c>
      <c r="B1277" s="257" t="s">
        <v>5238</v>
      </c>
      <c r="C1277" s="257" t="s">
        <v>150</v>
      </c>
      <c r="D1277" s="259" t="s">
        <v>14578</v>
      </c>
      <c r="E1277" s="210" t="s">
        <v>201</v>
      </c>
    </row>
    <row r="1278" spans="1:5" ht="27">
      <c r="A1278" s="258">
        <v>92573</v>
      </c>
      <c r="B1278" s="257" t="s">
        <v>5239</v>
      </c>
      <c r="C1278" s="257" t="s">
        <v>150</v>
      </c>
      <c r="D1278" s="259" t="s">
        <v>14579</v>
      </c>
      <c r="E1278" s="210" t="s">
        <v>201</v>
      </c>
    </row>
    <row r="1279" spans="1:5" ht="27">
      <c r="A1279" s="258">
        <v>92574</v>
      </c>
      <c r="B1279" s="257" t="s">
        <v>5240</v>
      </c>
      <c r="C1279" s="257" t="s">
        <v>150</v>
      </c>
      <c r="D1279" s="259" t="s">
        <v>14580</v>
      </c>
      <c r="E1279" s="210" t="s">
        <v>201</v>
      </c>
    </row>
    <row r="1280" spans="1:5" ht="27">
      <c r="A1280" s="258">
        <v>92575</v>
      </c>
      <c r="B1280" s="257" t="s">
        <v>5241</v>
      </c>
      <c r="C1280" s="257" t="s">
        <v>150</v>
      </c>
      <c r="D1280" s="259" t="s">
        <v>14581</v>
      </c>
      <c r="E1280" s="210" t="s">
        <v>201</v>
      </c>
    </row>
    <row r="1281" spans="1:5" ht="27">
      <c r="A1281" s="258">
        <v>92576</v>
      </c>
      <c r="B1281" s="257" t="s">
        <v>5242</v>
      </c>
      <c r="C1281" s="257" t="s">
        <v>150</v>
      </c>
      <c r="D1281" s="260" t="s">
        <v>14582</v>
      </c>
      <c r="E1281" s="210" t="s">
        <v>201</v>
      </c>
    </row>
    <row r="1282" spans="1:5" ht="27">
      <c r="A1282" s="258">
        <v>92577</v>
      </c>
      <c r="B1282" s="257" t="s">
        <v>5243</v>
      </c>
      <c r="C1282" s="257" t="s">
        <v>150</v>
      </c>
      <c r="D1282" s="260" t="s">
        <v>14583</v>
      </c>
      <c r="E1282" s="210" t="s">
        <v>201</v>
      </c>
    </row>
    <row r="1283" spans="1:5" ht="27">
      <c r="A1283" s="258">
        <v>92578</v>
      </c>
      <c r="B1283" s="257" t="s">
        <v>5244</v>
      </c>
      <c r="C1283" s="257" t="s">
        <v>150</v>
      </c>
      <c r="D1283" s="259" t="s">
        <v>14584</v>
      </c>
      <c r="E1283" s="210" t="s">
        <v>201</v>
      </c>
    </row>
    <row r="1284" spans="1:5" ht="27">
      <c r="A1284" s="258">
        <v>92579</v>
      </c>
      <c r="B1284" s="257" t="s">
        <v>5245</v>
      </c>
      <c r="C1284" s="257" t="s">
        <v>150</v>
      </c>
      <c r="D1284" s="259" t="s">
        <v>14585</v>
      </c>
      <c r="E1284" s="210" t="s">
        <v>201</v>
      </c>
    </row>
    <row r="1285" spans="1:5" ht="27">
      <c r="A1285" s="258">
        <v>92580</v>
      </c>
      <c r="B1285" s="257" t="s">
        <v>5246</v>
      </c>
      <c r="C1285" s="257" t="s">
        <v>150</v>
      </c>
      <c r="D1285" s="259" t="s">
        <v>14586</v>
      </c>
      <c r="E1285" s="210" t="s">
        <v>201</v>
      </c>
    </row>
    <row r="1286" spans="1:5" ht="27">
      <c r="A1286" s="258">
        <v>92581</v>
      </c>
      <c r="B1286" s="257" t="s">
        <v>5247</v>
      </c>
      <c r="C1286" s="257" t="s">
        <v>150</v>
      </c>
      <c r="D1286" s="259" t="s">
        <v>14587</v>
      </c>
      <c r="E1286" s="210" t="s">
        <v>201</v>
      </c>
    </row>
    <row r="1287" spans="1:5" ht="27">
      <c r="A1287" s="258">
        <v>92582</v>
      </c>
      <c r="B1287" s="257" t="s">
        <v>1328</v>
      </c>
      <c r="C1287" s="257" t="s">
        <v>90</v>
      </c>
      <c r="D1287" s="259" t="s">
        <v>14588</v>
      </c>
      <c r="E1287" s="210" t="s">
        <v>201</v>
      </c>
    </row>
    <row r="1288" spans="1:5" ht="27">
      <c r="A1288" s="258">
        <v>92584</v>
      </c>
      <c r="B1288" s="257" t="s">
        <v>1329</v>
      </c>
      <c r="C1288" s="257" t="s">
        <v>90</v>
      </c>
      <c r="D1288" s="259" t="s">
        <v>14589</v>
      </c>
      <c r="E1288" s="210" t="s">
        <v>201</v>
      </c>
    </row>
    <row r="1289" spans="1:5" ht="27">
      <c r="A1289" s="258">
        <v>92586</v>
      </c>
      <c r="B1289" s="257" t="s">
        <v>1330</v>
      </c>
      <c r="C1289" s="257" t="s">
        <v>90</v>
      </c>
      <c r="D1289" s="259" t="s">
        <v>14590</v>
      </c>
      <c r="E1289" s="210" t="s">
        <v>201</v>
      </c>
    </row>
    <row r="1290" spans="1:5" ht="27">
      <c r="A1290" s="258">
        <v>92588</v>
      </c>
      <c r="B1290" s="257" t="s">
        <v>1331</v>
      </c>
      <c r="C1290" s="257" t="s">
        <v>90</v>
      </c>
      <c r="D1290" s="259" t="s">
        <v>14591</v>
      </c>
      <c r="E1290" s="210" t="s">
        <v>201</v>
      </c>
    </row>
    <row r="1291" spans="1:5" ht="27">
      <c r="A1291" s="258">
        <v>92590</v>
      </c>
      <c r="B1291" s="257" t="s">
        <v>1332</v>
      </c>
      <c r="C1291" s="257" t="s">
        <v>90</v>
      </c>
      <c r="D1291" s="260" t="s">
        <v>14592</v>
      </c>
      <c r="E1291" s="210" t="s">
        <v>201</v>
      </c>
    </row>
    <row r="1292" spans="1:5" ht="27">
      <c r="A1292" s="258">
        <v>92592</v>
      </c>
      <c r="B1292" s="257" t="s">
        <v>1333</v>
      </c>
      <c r="C1292" s="257" t="s">
        <v>90</v>
      </c>
      <c r="D1292" s="260" t="s">
        <v>14593</v>
      </c>
      <c r="E1292" s="210" t="s">
        <v>201</v>
      </c>
    </row>
    <row r="1293" spans="1:5" ht="27">
      <c r="A1293" s="258">
        <v>92593</v>
      </c>
      <c r="B1293" s="257" t="s">
        <v>1334</v>
      </c>
      <c r="C1293" s="257" t="s">
        <v>89</v>
      </c>
      <c r="D1293" s="259" t="s">
        <v>14594</v>
      </c>
      <c r="E1293" s="210" t="s">
        <v>201</v>
      </c>
    </row>
    <row r="1294" spans="1:5" ht="27">
      <c r="A1294" s="257">
        <v>92594</v>
      </c>
      <c r="B1294" s="257" t="s">
        <v>1335</v>
      </c>
      <c r="C1294" s="257" t="s">
        <v>90</v>
      </c>
      <c r="D1294" s="259" t="s">
        <v>14595</v>
      </c>
      <c r="E1294" s="210" t="s">
        <v>201</v>
      </c>
    </row>
    <row r="1295" spans="1:5" ht="27">
      <c r="A1295" s="257">
        <v>92596</v>
      </c>
      <c r="B1295" s="257" t="s">
        <v>1336</v>
      </c>
      <c r="C1295" s="257" t="s">
        <v>90</v>
      </c>
      <c r="D1295" s="259" t="s">
        <v>14596</v>
      </c>
      <c r="E1295" s="210" t="s">
        <v>201</v>
      </c>
    </row>
    <row r="1296" spans="1:5" ht="27">
      <c r="A1296" s="257">
        <v>92598</v>
      </c>
      <c r="B1296" s="257" t="s">
        <v>1337</v>
      </c>
      <c r="C1296" s="257" t="s">
        <v>90</v>
      </c>
      <c r="D1296" s="259" t="s">
        <v>14597</v>
      </c>
      <c r="E1296" s="210" t="s">
        <v>201</v>
      </c>
    </row>
    <row r="1297" spans="1:5" ht="27">
      <c r="A1297" s="257">
        <v>92600</v>
      </c>
      <c r="B1297" s="257" t="s">
        <v>1338</v>
      </c>
      <c r="C1297" s="257" t="s">
        <v>90</v>
      </c>
      <c r="D1297" s="259" t="s">
        <v>14598</v>
      </c>
      <c r="E1297" s="210" t="s">
        <v>201</v>
      </c>
    </row>
    <row r="1298" spans="1:5" ht="27">
      <c r="A1298" s="257">
        <v>92602</v>
      </c>
      <c r="B1298" s="257" t="s">
        <v>1339</v>
      </c>
      <c r="C1298" s="257" t="s">
        <v>90</v>
      </c>
      <c r="D1298" s="259" t="s">
        <v>14588</v>
      </c>
      <c r="E1298" s="210" t="s">
        <v>201</v>
      </c>
    </row>
    <row r="1299" spans="1:5" ht="27">
      <c r="A1299" s="257">
        <v>92604</v>
      </c>
      <c r="B1299" s="257" t="s">
        <v>1340</v>
      </c>
      <c r="C1299" s="257" t="s">
        <v>90</v>
      </c>
      <c r="D1299" s="259" t="s">
        <v>14599</v>
      </c>
      <c r="E1299" s="210" t="s">
        <v>201</v>
      </c>
    </row>
    <row r="1300" spans="1:5" ht="27">
      <c r="A1300" s="257">
        <v>92606</v>
      </c>
      <c r="B1300" s="257" t="s">
        <v>1341</v>
      </c>
      <c r="C1300" s="257" t="s">
        <v>90</v>
      </c>
      <c r="D1300" s="259" t="s">
        <v>14600</v>
      </c>
      <c r="E1300" s="210" t="s">
        <v>201</v>
      </c>
    </row>
    <row r="1301" spans="1:5" ht="27">
      <c r="A1301" s="257">
        <v>92608</v>
      </c>
      <c r="B1301" s="257" t="s">
        <v>1342</v>
      </c>
      <c r="C1301" s="257" t="s">
        <v>90</v>
      </c>
      <c r="D1301" s="259" t="s">
        <v>14601</v>
      </c>
      <c r="E1301" s="210" t="s">
        <v>201</v>
      </c>
    </row>
    <row r="1302" spans="1:5" ht="27">
      <c r="A1302" s="257">
        <v>92610</v>
      </c>
      <c r="B1302" s="257" t="s">
        <v>1343</v>
      </c>
      <c r="C1302" s="257" t="s">
        <v>90</v>
      </c>
      <c r="D1302" s="259" t="s">
        <v>14602</v>
      </c>
      <c r="E1302" s="210" t="s">
        <v>201</v>
      </c>
    </row>
    <row r="1303" spans="1:5" ht="40.5">
      <c r="A1303" s="257">
        <v>92612</v>
      </c>
      <c r="B1303" s="257" t="s">
        <v>1344</v>
      </c>
      <c r="C1303" s="257" t="s">
        <v>90</v>
      </c>
      <c r="D1303" s="259" t="s">
        <v>14603</v>
      </c>
      <c r="E1303" s="210" t="s">
        <v>201</v>
      </c>
    </row>
    <row r="1304" spans="1:5" ht="27">
      <c r="A1304" s="257">
        <v>92614</v>
      </c>
      <c r="B1304" s="257" t="s">
        <v>1345</v>
      </c>
      <c r="C1304" s="257" t="s">
        <v>90</v>
      </c>
      <c r="D1304" s="259" t="s">
        <v>14604</v>
      </c>
      <c r="E1304" s="210" t="s">
        <v>201</v>
      </c>
    </row>
    <row r="1305" spans="1:5" ht="27">
      <c r="A1305" s="257">
        <v>92616</v>
      </c>
      <c r="B1305" s="257" t="s">
        <v>1346</v>
      </c>
      <c r="C1305" s="257" t="s">
        <v>90</v>
      </c>
      <c r="D1305" s="259" t="s">
        <v>14605</v>
      </c>
      <c r="E1305" s="210" t="s">
        <v>201</v>
      </c>
    </row>
    <row r="1306" spans="1:5" ht="27">
      <c r="A1306" s="257">
        <v>92618</v>
      </c>
      <c r="B1306" s="257" t="s">
        <v>1347</v>
      </c>
      <c r="C1306" s="257" t="s">
        <v>90</v>
      </c>
      <c r="D1306" s="259" t="s">
        <v>14606</v>
      </c>
      <c r="E1306" s="210" t="s">
        <v>201</v>
      </c>
    </row>
    <row r="1307" spans="1:5" ht="27">
      <c r="A1307" s="257">
        <v>92620</v>
      </c>
      <c r="B1307" s="257" t="s">
        <v>1348</v>
      </c>
      <c r="C1307" s="257" t="s">
        <v>90</v>
      </c>
      <c r="D1307" s="259" t="s">
        <v>14607</v>
      </c>
      <c r="E1307" s="210" t="s">
        <v>201</v>
      </c>
    </row>
    <row r="1308" spans="1:5" ht="27">
      <c r="A1308" s="257">
        <v>100357</v>
      </c>
      <c r="B1308" s="257" t="s">
        <v>5248</v>
      </c>
      <c r="C1308" s="257" t="s">
        <v>90</v>
      </c>
      <c r="D1308" s="259" t="s">
        <v>14608</v>
      </c>
      <c r="E1308" s="210" t="s">
        <v>201</v>
      </c>
    </row>
    <row r="1309" spans="1:5" ht="27">
      <c r="A1309" s="257">
        <v>100358</v>
      </c>
      <c r="B1309" s="257" t="s">
        <v>5249</v>
      </c>
      <c r="C1309" s="257" t="s">
        <v>90</v>
      </c>
      <c r="D1309" s="259" t="s">
        <v>14609</v>
      </c>
      <c r="E1309" s="210" t="s">
        <v>201</v>
      </c>
    </row>
    <row r="1310" spans="1:5" ht="27">
      <c r="A1310" s="258">
        <v>100359</v>
      </c>
      <c r="B1310" s="257" t="s">
        <v>5250</v>
      </c>
      <c r="C1310" s="257" t="s">
        <v>90</v>
      </c>
      <c r="D1310" s="259" t="s">
        <v>14610</v>
      </c>
      <c r="E1310" s="210" t="s">
        <v>201</v>
      </c>
    </row>
    <row r="1311" spans="1:5" ht="27">
      <c r="A1311" s="258">
        <v>100360</v>
      </c>
      <c r="B1311" s="257" t="s">
        <v>5251</v>
      </c>
      <c r="C1311" s="257" t="s">
        <v>90</v>
      </c>
      <c r="D1311" s="259" t="s">
        <v>14611</v>
      </c>
      <c r="E1311" s="210" t="s">
        <v>201</v>
      </c>
    </row>
    <row r="1312" spans="1:5" ht="27">
      <c r="A1312" s="258">
        <v>100361</v>
      </c>
      <c r="B1312" s="257" t="s">
        <v>5252</v>
      </c>
      <c r="C1312" s="257" t="s">
        <v>90</v>
      </c>
      <c r="D1312" s="259" t="s">
        <v>14612</v>
      </c>
      <c r="E1312" s="210" t="s">
        <v>201</v>
      </c>
    </row>
    <row r="1313" spans="1:5" ht="27">
      <c r="A1313" s="258">
        <v>100362</v>
      </c>
      <c r="B1313" s="257" t="s">
        <v>5253</v>
      </c>
      <c r="C1313" s="257" t="s">
        <v>90</v>
      </c>
      <c r="D1313" s="259" t="s">
        <v>14613</v>
      </c>
      <c r="E1313" s="210" t="s">
        <v>201</v>
      </c>
    </row>
    <row r="1314" spans="1:5" ht="27">
      <c r="A1314" s="258">
        <v>100363</v>
      </c>
      <c r="B1314" s="257" t="s">
        <v>5254</v>
      </c>
      <c r="C1314" s="257" t="s">
        <v>90</v>
      </c>
      <c r="D1314" s="259" t="s">
        <v>14614</v>
      </c>
      <c r="E1314" s="210" t="s">
        <v>201</v>
      </c>
    </row>
    <row r="1315" spans="1:5" ht="27">
      <c r="A1315" s="258">
        <v>100364</v>
      </c>
      <c r="B1315" s="257" t="s">
        <v>5255</v>
      </c>
      <c r="C1315" s="257" t="s">
        <v>90</v>
      </c>
      <c r="D1315" s="259" t="s">
        <v>14615</v>
      </c>
      <c r="E1315" s="210" t="s">
        <v>201</v>
      </c>
    </row>
    <row r="1316" spans="1:5" ht="27">
      <c r="A1316" s="258">
        <v>100365</v>
      </c>
      <c r="B1316" s="257" t="s">
        <v>5256</v>
      </c>
      <c r="C1316" s="257" t="s">
        <v>90</v>
      </c>
      <c r="D1316" s="259" t="s">
        <v>14616</v>
      </c>
      <c r="E1316" s="210" t="s">
        <v>201</v>
      </c>
    </row>
    <row r="1317" spans="1:5" ht="27">
      <c r="A1317" s="258">
        <v>100366</v>
      </c>
      <c r="B1317" s="257" t="s">
        <v>5257</v>
      </c>
      <c r="C1317" s="257" t="s">
        <v>90</v>
      </c>
      <c r="D1317" s="259" t="s">
        <v>14617</v>
      </c>
      <c r="E1317" s="210" t="s">
        <v>201</v>
      </c>
    </row>
    <row r="1318" spans="1:5" ht="27">
      <c r="A1318" s="258">
        <v>100367</v>
      </c>
      <c r="B1318" s="257" t="s">
        <v>5258</v>
      </c>
      <c r="C1318" s="257" t="s">
        <v>90</v>
      </c>
      <c r="D1318" s="259" t="s">
        <v>14618</v>
      </c>
      <c r="E1318" s="210" t="s">
        <v>201</v>
      </c>
    </row>
    <row r="1319" spans="1:5" ht="27">
      <c r="A1319" s="258">
        <v>100368</v>
      </c>
      <c r="B1319" s="257" t="s">
        <v>5259</v>
      </c>
      <c r="C1319" s="257" t="s">
        <v>90</v>
      </c>
      <c r="D1319" s="259" t="s">
        <v>14619</v>
      </c>
      <c r="E1319" s="210" t="s">
        <v>201</v>
      </c>
    </row>
    <row r="1320" spans="1:5" ht="27">
      <c r="A1320" s="258">
        <v>100369</v>
      </c>
      <c r="B1320" s="257" t="s">
        <v>5260</v>
      </c>
      <c r="C1320" s="257" t="s">
        <v>90</v>
      </c>
      <c r="D1320" s="259" t="s">
        <v>14620</v>
      </c>
      <c r="E1320" s="210" t="s">
        <v>201</v>
      </c>
    </row>
    <row r="1321" spans="1:5" ht="27">
      <c r="A1321" s="258">
        <v>100370</v>
      </c>
      <c r="B1321" s="257" t="s">
        <v>5261</v>
      </c>
      <c r="C1321" s="257" t="s">
        <v>90</v>
      </c>
      <c r="D1321" s="259" t="s">
        <v>14621</v>
      </c>
      <c r="E1321" s="210" t="s">
        <v>201</v>
      </c>
    </row>
    <row r="1322" spans="1:5" ht="27">
      <c r="A1322" s="258">
        <v>100371</v>
      </c>
      <c r="B1322" s="257" t="s">
        <v>5262</v>
      </c>
      <c r="C1322" s="257" t="s">
        <v>90</v>
      </c>
      <c r="D1322" s="259" t="s">
        <v>14622</v>
      </c>
      <c r="E1322" s="210" t="s">
        <v>201</v>
      </c>
    </row>
    <row r="1323" spans="1:5" ht="27">
      <c r="A1323" s="258">
        <v>100372</v>
      </c>
      <c r="B1323" s="257" t="s">
        <v>5263</v>
      </c>
      <c r="C1323" s="257" t="s">
        <v>90</v>
      </c>
      <c r="D1323" s="259" t="s">
        <v>14623</v>
      </c>
      <c r="E1323" s="210" t="s">
        <v>201</v>
      </c>
    </row>
    <row r="1324" spans="1:5" ht="27">
      <c r="A1324" s="258">
        <v>100373</v>
      </c>
      <c r="B1324" s="257" t="s">
        <v>5264</v>
      </c>
      <c r="C1324" s="257" t="s">
        <v>90</v>
      </c>
      <c r="D1324" s="259" t="s">
        <v>14624</v>
      </c>
      <c r="E1324" s="210" t="s">
        <v>201</v>
      </c>
    </row>
    <row r="1325" spans="1:5" ht="40.5">
      <c r="A1325" s="258">
        <v>100374</v>
      </c>
      <c r="B1325" s="257" t="s">
        <v>5265</v>
      </c>
      <c r="C1325" s="257" t="s">
        <v>90</v>
      </c>
      <c r="D1325" s="259" t="s">
        <v>14625</v>
      </c>
      <c r="E1325" s="210" t="s">
        <v>201</v>
      </c>
    </row>
    <row r="1326" spans="1:5" ht="40.5">
      <c r="A1326" s="258">
        <v>100375</v>
      </c>
      <c r="B1326" s="257" t="s">
        <v>5266</v>
      </c>
      <c r="C1326" s="257" t="s">
        <v>90</v>
      </c>
      <c r="D1326" s="259" t="s">
        <v>14626</v>
      </c>
      <c r="E1326" s="210" t="s">
        <v>201</v>
      </c>
    </row>
    <row r="1327" spans="1:5" ht="40.5">
      <c r="A1327" s="258">
        <v>100376</v>
      </c>
      <c r="B1327" s="257" t="s">
        <v>5267</v>
      </c>
      <c r="C1327" s="257" t="s">
        <v>90</v>
      </c>
      <c r="D1327" s="259" t="s">
        <v>14627</v>
      </c>
      <c r="E1327" s="210" t="s">
        <v>201</v>
      </c>
    </row>
    <row r="1328" spans="1:5" ht="27">
      <c r="A1328" s="258">
        <v>100377</v>
      </c>
      <c r="B1328" s="257" t="s">
        <v>6911</v>
      </c>
      <c r="C1328" s="257" t="s">
        <v>89</v>
      </c>
      <c r="D1328" s="259" t="s">
        <v>14628</v>
      </c>
      <c r="E1328" s="210" t="s">
        <v>201</v>
      </c>
    </row>
    <row r="1329" spans="1:5" ht="27">
      <c r="A1329" s="258">
        <v>100378</v>
      </c>
      <c r="B1329" s="257" t="s">
        <v>6912</v>
      </c>
      <c r="C1329" s="257" t="s">
        <v>89</v>
      </c>
      <c r="D1329" s="259" t="s">
        <v>14629</v>
      </c>
      <c r="E1329" s="210" t="s">
        <v>201</v>
      </c>
    </row>
    <row r="1330" spans="1:5" ht="40.5">
      <c r="A1330" s="258">
        <v>100382</v>
      </c>
      <c r="B1330" s="257" t="s">
        <v>5268</v>
      </c>
      <c r="C1330" s="257" t="s">
        <v>150</v>
      </c>
      <c r="D1330" s="259" t="s">
        <v>14531</v>
      </c>
      <c r="E1330" s="210" t="s">
        <v>201</v>
      </c>
    </row>
    <row r="1331" spans="1:5" ht="27">
      <c r="A1331" s="258">
        <v>94444</v>
      </c>
      <c r="B1331" s="257" t="s">
        <v>5269</v>
      </c>
      <c r="C1331" s="257" t="s">
        <v>150</v>
      </c>
      <c r="D1331" s="259" t="s">
        <v>14630</v>
      </c>
      <c r="E1331" s="210" t="s">
        <v>201</v>
      </c>
    </row>
    <row r="1332" spans="1:5" ht="13.5">
      <c r="A1332" s="258" t="s">
        <v>1349</v>
      </c>
      <c r="B1332" s="257" t="s">
        <v>1350</v>
      </c>
      <c r="C1332" s="257" t="s">
        <v>5</v>
      </c>
      <c r="D1332" s="259" t="s">
        <v>14631</v>
      </c>
      <c r="E1332" s="210" t="s">
        <v>201</v>
      </c>
    </row>
    <row r="1333" spans="1:5" ht="13.5">
      <c r="A1333" s="258" t="s">
        <v>1351</v>
      </c>
      <c r="B1333" s="257" t="s">
        <v>1352</v>
      </c>
      <c r="C1333" s="257" t="s">
        <v>5</v>
      </c>
      <c r="D1333" s="259" t="s">
        <v>14632</v>
      </c>
      <c r="E1333" s="210" t="s">
        <v>201</v>
      </c>
    </row>
    <row r="1334" spans="1:5" ht="13.5">
      <c r="A1334" s="258" t="s">
        <v>1353</v>
      </c>
      <c r="B1334" s="257" t="s">
        <v>1354</v>
      </c>
      <c r="C1334" s="257" t="s">
        <v>5</v>
      </c>
      <c r="D1334" s="259" t="s">
        <v>14633</v>
      </c>
      <c r="E1334" s="210" t="s">
        <v>201</v>
      </c>
    </row>
    <row r="1335" spans="1:5" ht="13.5">
      <c r="A1335" s="258" t="s">
        <v>1355</v>
      </c>
      <c r="B1335" s="257" t="s">
        <v>1356</v>
      </c>
      <c r="C1335" s="257" t="s">
        <v>5</v>
      </c>
      <c r="D1335" s="259" t="s">
        <v>14634</v>
      </c>
      <c r="E1335" s="210" t="s">
        <v>201</v>
      </c>
    </row>
    <row r="1336" spans="1:5" ht="13.5">
      <c r="A1336" s="258" t="s">
        <v>1357</v>
      </c>
      <c r="B1336" s="257" t="s">
        <v>1358</v>
      </c>
      <c r="C1336" s="257" t="s">
        <v>150</v>
      </c>
      <c r="D1336" s="259" t="s">
        <v>14635</v>
      </c>
      <c r="E1336" s="210" t="s">
        <v>201</v>
      </c>
    </row>
    <row r="1337" spans="1:5" ht="13.5">
      <c r="A1337" s="257" t="s">
        <v>1359</v>
      </c>
      <c r="B1337" s="257" t="s">
        <v>243</v>
      </c>
      <c r="C1337" s="257" t="s">
        <v>150</v>
      </c>
      <c r="D1337" s="259" t="s">
        <v>14636</v>
      </c>
      <c r="E1337" s="210" t="s">
        <v>201</v>
      </c>
    </row>
    <row r="1338" spans="1:5" ht="13.5">
      <c r="A1338" s="257" t="s">
        <v>1360</v>
      </c>
      <c r="B1338" s="257" t="s">
        <v>1361</v>
      </c>
      <c r="C1338" s="257" t="s">
        <v>172</v>
      </c>
      <c r="D1338" s="259" t="s">
        <v>14637</v>
      </c>
      <c r="E1338" s="210" t="s">
        <v>201</v>
      </c>
    </row>
    <row r="1339" spans="1:5" ht="13.5">
      <c r="A1339" s="258" t="s">
        <v>1362</v>
      </c>
      <c r="B1339" s="257" t="s">
        <v>1363</v>
      </c>
      <c r="C1339" s="257" t="s">
        <v>172</v>
      </c>
      <c r="D1339" s="259" t="s">
        <v>14638</v>
      </c>
      <c r="E1339" s="210" t="s">
        <v>201</v>
      </c>
    </row>
    <row r="1340" spans="1:5" ht="13.5">
      <c r="A1340" s="258" t="s">
        <v>1364</v>
      </c>
      <c r="B1340" s="257" t="s">
        <v>1365</v>
      </c>
      <c r="C1340" s="257" t="s">
        <v>172</v>
      </c>
      <c r="D1340" s="259" t="s">
        <v>13729</v>
      </c>
      <c r="E1340" s="210" t="s">
        <v>201</v>
      </c>
    </row>
    <row r="1341" spans="1:5" ht="27">
      <c r="A1341" s="258" t="s">
        <v>1366</v>
      </c>
      <c r="B1341" s="257" t="s">
        <v>1367</v>
      </c>
      <c r="C1341" s="257" t="s">
        <v>5</v>
      </c>
      <c r="D1341" s="259" t="s">
        <v>14639</v>
      </c>
      <c r="E1341" s="210" t="s">
        <v>201</v>
      </c>
    </row>
    <row r="1342" spans="1:5" ht="27">
      <c r="A1342" s="258" t="s">
        <v>1368</v>
      </c>
      <c r="B1342" s="257" t="s">
        <v>1369</v>
      </c>
      <c r="C1342" s="257" t="s">
        <v>5</v>
      </c>
      <c r="D1342" s="259" t="s">
        <v>14640</v>
      </c>
      <c r="E1342" s="210" t="s">
        <v>201</v>
      </c>
    </row>
    <row r="1343" spans="1:5" ht="27">
      <c r="A1343" s="258" t="s">
        <v>1370</v>
      </c>
      <c r="B1343" s="257" t="s">
        <v>1371</v>
      </c>
      <c r="C1343" s="257" t="s">
        <v>5</v>
      </c>
      <c r="D1343" s="259" t="s">
        <v>14641</v>
      </c>
      <c r="E1343" s="210" t="s">
        <v>201</v>
      </c>
    </row>
    <row r="1344" spans="1:5" ht="13.5">
      <c r="A1344" s="258" t="s">
        <v>1372</v>
      </c>
      <c r="B1344" s="257" t="s">
        <v>1373</v>
      </c>
      <c r="C1344" s="257" t="s">
        <v>5</v>
      </c>
      <c r="D1344" s="259" t="s">
        <v>14642</v>
      </c>
      <c r="E1344" s="210" t="s">
        <v>201</v>
      </c>
    </row>
    <row r="1345" spans="1:5" ht="13.5">
      <c r="A1345" s="258">
        <v>83651</v>
      </c>
      <c r="B1345" s="257" t="s">
        <v>1374</v>
      </c>
      <c r="C1345" s="257" t="s">
        <v>5</v>
      </c>
      <c r="D1345" s="259" t="s">
        <v>14643</v>
      </c>
      <c r="E1345" s="210" t="s">
        <v>201</v>
      </c>
    </row>
    <row r="1346" spans="1:5" ht="27">
      <c r="A1346" s="258">
        <v>83658</v>
      </c>
      <c r="B1346" s="257" t="s">
        <v>1375</v>
      </c>
      <c r="C1346" s="257" t="s">
        <v>5</v>
      </c>
      <c r="D1346" s="260" t="s">
        <v>14644</v>
      </c>
      <c r="E1346" s="210" t="s">
        <v>201</v>
      </c>
    </row>
    <row r="1347" spans="1:5" ht="13.5">
      <c r="A1347" s="258">
        <v>83661</v>
      </c>
      <c r="B1347" s="257" t="s">
        <v>1376</v>
      </c>
      <c r="C1347" s="257" t="s">
        <v>5</v>
      </c>
      <c r="D1347" s="260" t="s">
        <v>14645</v>
      </c>
      <c r="E1347" s="210" t="s">
        <v>201</v>
      </c>
    </row>
    <row r="1348" spans="1:5" ht="13.5">
      <c r="A1348" s="258">
        <v>83662</v>
      </c>
      <c r="B1348" s="257" t="s">
        <v>1377</v>
      </c>
      <c r="C1348" s="257" t="s">
        <v>172</v>
      </c>
      <c r="D1348" s="260" t="s">
        <v>14646</v>
      </c>
      <c r="E1348" s="210" t="s">
        <v>201</v>
      </c>
    </row>
    <row r="1349" spans="1:5" ht="27">
      <c r="A1349" s="258">
        <v>83664</v>
      </c>
      <c r="B1349" s="257" t="s">
        <v>1378</v>
      </c>
      <c r="C1349" s="257" t="s">
        <v>5</v>
      </c>
      <c r="D1349" s="259" t="s">
        <v>14647</v>
      </c>
      <c r="E1349" s="210" t="s">
        <v>201</v>
      </c>
    </row>
    <row r="1350" spans="1:5" ht="13.5">
      <c r="A1350" s="258">
        <v>83665</v>
      </c>
      <c r="B1350" s="257" t="s">
        <v>1379</v>
      </c>
      <c r="C1350" s="257" t="s">
        <v>150</v>
      </c>
      <c r="D1350" s="259" t="s">
        <v>14648</v>
      </c>
      <c r="E1350" s="210" t="s">
        <v>201</v>
      </c>
    </row>
    <row r="1351" spans="1:5" ht="13.5">
      <c r="A1351" s="258">
        <v>83669</v>
      </c>
      <c r="B1351" s="257" t="s">
        <v>1380</v>
      </c>
      <c r="C1351" s="257" t="s">
        <v>150</v>
      </c>
      <c r="D1351" s="259" t="s">
        <v>14649</v>
      </c>
      <c r="E1351" s="210" t="s">
        <v>201</v>
      </c>
    </row>
    <row r="1352" spans="1:5" ht="13.5">
      <c r="A1352" s="258">
        <v>83670</v>
      </c>
      <c r="B1352" s="257" t="s">
        <v>1381</v>
      </c>
      <c r="C1352" s="257" t="s">
        <v>5</v>
      </c>
      <c r="D1352" s="259" t="s">
        <v>14650</v>
      </c>
      <c r="E1352" s="210" t="s">
        <v>201</v>
      </c>
    </row>
    <row r="1353" spans="1:5" ht="13.5">
      <c r="A1353" s="258">
        <v>83671</v>
      </c>
      <c r="B1353" s="257" t="s">
        <v>1382</v>
      </c>
      <c r="C1353" s="257" t="s">
        <v>5</v>
      </c>
      <c r="D1353" s="259" t="s">
        <v>14651</v>
      </c>
      <c r="E1353" s="210" t="s">
        <v>201</v>
      </c>
    </row>
    <row r="1354" spans="1:5" ht="13.5">
      <c r="A1354" s="258">
        <v>83679</v>
      </c>
      <c r="B1354" s="257" t="s">
        <v>1383</v>
      </c>
      <c r="C1354" s="257" t="s">
        <v>5</v>
      </c>
      <c r="D1354" s="259" t="s">
        <v>14652</v>
      </c>
      <c r="E1354" s="210" t="s">
        <v>201</v>
      </c>
    </row>
    <row r="1355" spans="1:5" ht="13.5">
      <c r="A1355" s="257">
        <v>83680</v>
      </c>
      <c r="B1355" s="257" t="s">
        <v>1384</v>
      </c>
      <c r="C1355" s="257" t="s">
        <v>5</v>
      </c>
      <c r="D1355" s="259" t="s">
        <v>14653</v>
      </c>
      <c r="E1355" s="210" t="s">
        <v>201</v>
      </c>
    </row>
    <row r="1356" spans="1:5" ht="13.5">
      <c r="A1356" s="257">
        <v>83681</v>
      </c>
      <c r="B1356" s="257" t="s">
        <v>1385</v>
      </c>
      <c r="C1356" s="257" t="s">
        <v>5</v>
      </c>
      <c r="D1356" s="259" t="s">
        <v>14654</v>
      </c>
      <c r="E1356" s="210" t="s">
        <v>201</v>
      </c>
    </row>
    <row r="1357" spans="1:5" ht="13.5">
      <c r="A1357" s="257">
        <v>83682</v>
      </c>
      <c r="B1357" s="257" t="s">
        <v>1386</v>
      </c>
      <c r="C1357" s="257" t="s">
        <v>172</v>
      </c>
      <c r="D1357" s="259" t="s">
        <v>14655</v>
      </c>
      <c r="E1357" s="210" t="s">
        <v>201</v>
      </c>
    </row>
    <row r="1358" spans="1:5" ht="13.5">
      <c r="A1358" s="257">
        <v>83729</v>
      </c>
      <c r="B1358" s="257" t="s">
        <v>1387</v>
      </c>
      <c r="C1358" s="257" t="s">
        <v>150</v>
      </c>
      <c r="D1358" s="259" t="s">
        <v>14656</v>
      </c>
      <c r="E1358" s="210" t="s">
        <v>201</v>
      </c>
    </row>
    <row r="1359" spans="1:5" ht="13.5">
      <c r="A1359" s="257">
        <v>83739</v>
      </c>
      <c r="B1359" s="257" t="s">
        <v>1388</v>
      </c>
      <c r="C1359" s="257" t="s">
        <v>150</v>
      </c>
      <c r="D1359" s="259" t="s">
        <v>14657</v>
      </c>
      <c r="E1359" s="210" t="s">
        <v>201</v>
      </c>
    </row>
    <row r="1360" spans="1:5" ht="13.5">
      <c r="A1360" s="258">
        <v>6454</v>
      </c>
      <c r="B1360" s="257" t="s">
        <v>1389</v>
      </c>
      <c r="C1360" s="257" t="s">
        <v>172</v>
      </c>
      <c r="D1360" s="259" t="s">
        <v>14658</v>
      </c>
      <c r="E1360" s="210" t="s">
        <v>201</v>
      </c>
    </row>
    <row r="1361" spans="1:5" ht="13.5">
      <c r="A1361" s="258">
        <v>73611</v>
      </c>
      <c r="B1361" s="257" t="s">
        <v>1390</v>
      </c>
      <c r="C1361" s="257" t="s">
        <v>172</v>
      </c>
      <c r="D1361" s="259" t="s">
        <v>14659</v>
      </c>
      <c r="E1361" s="210" t="s">
        <v>201</v>
      </c>
    </row>
    <row r="1362" spans="1:5" ht="13.5">
      <c r="A1362" s="258">
        <v>73697</v>
      </c>
      <c r="B1362" s="257" t="s">
        <v>1391</v>
      </c>
      <c r="C1362" s="257" t="s">
        <v>172</v>
      </c>
      <c r="D1362" s="259" t="s">
        <v>14660</v>
      </c>
      <c r="E1362" s="210" t="s">
        <v>201</v>
      </c>
    </row>
    <row r="1363" spans="1:5" ht="13.5">
      <c r="A1363" s="258">
        <v>73698</v>
      </c>
      <c r="B1363" s="257" t="s">
        <v>1392</v>
      </c>
      <c r="C1363" s="257" t="s">
        <v>172</v>
      </c>
      <c r="D1363" s="259" t="s">
        <v>14661</v>
      </c>
      <c r="E1363" s="210" t="s">
        <v>201</v>
      </c>
    </row>
    <row r="1364" spans="1:5" ht="13.5">
      <c r="A1364" s="258" t="s">
        <v>1393</v>
      </c>
      <c r="B1364" s="257" t="s">
        <v>1394</v>
      </c>
      <c r="C1364" s="257" t="s">
        <v>150</v>
      </c>
      <c r="D1364" s="259" t="s">
        <v>14662</v>
      </c>
      <c r="E1364" s="210" t="s">
        <v>201</v>
      </c>
    </row>
    <row r="1365" spans="1:5" ht="13.5">
      <c r="A1365" s="258" t="s">
        <v>1395</v>
      </c>
      <c r="B1365" s="257" t="s">
        <v>1396</v>
      </c>
      <c r="C1365" s="257" t="s">
        <v>150</v>
      </c>
      <c r="D1365" s="259" t="s">
        <v>14663</v>
      </c>
      <c r="E1365" s="210" t="s">
        <v>201</v>
      </c>
    </row>
    <row r="1366" spans="1:5" ht="40.5">
      <c r="A1366" s="258">
        <v>92743</v>
      </c>
      <c r="B1366" s="257" t="s">
        <v>5270</v>
      </c>
      <c r="C1366" s="257" t="s">
        <v>172</v>
      </c>
      <c r="D1366" s="259" t="s">
        <v>14664</v>
      </c>
      <c r="E1366" s="210" t="s">
        <v>201</v>
      </c>
    </row>
    <row r="1367" spans="1:5" ht="40.5">
      <c r="A1367" s="258">
        <v>92744</v>
      </c>
      <c r="B1367" s="257" t="s">
        <v>5271</v>
      </c>
      <c r="C1367" s="257" t="s">
        <v>172</v>
      </c>
      <c r="D1367" s="259" t="s">
        <v>14665</v>
      </c>
      <c r="E1367" s="210" t="s">
        <v>201</v>
      </c>
    </row>
    <row r="1368" spans="1:5" ht="40.5">
      <c r="A1368" s="258">
        <v>92745</v>
      </c>
      <c r="B1368" s="257" t="s">
        <v>5272</v>
      </c>
      <c r="C1368" s="257" t="s">
        <v>172</v>
      </c>
      <c r="D1368" s="259" t="s">
        <v>14666</v>
      </c>
      <c r="E1368" s="210" t="s">
        <v>201</v>
      </c>
    </row>
    <row r="1369" spans="1:5" ht="40.5">
      <c r="A1369" s="258">
        <v>92746</v>
      </c>
      <c r="B1369" s="257" t="s">
        <v>5273</v>
      </c>
      <c r="C1369" s="257" t="s">
        <v>172</v>
      </c>
      <c r="D1369" s="259" t="s">
        <v>14667</v>
      </c>
      <c r="E1369" s="210" t="s">
        <v>201</v>
      </c>
    </row>
    <row r="1370" spans="1:5" ht="40.5">
      <c r="A1370" s="258">
        <v>92747</v>
      </c>
      <c r="B1370" s="257" t="s">
        <v>5274</v>
      </c>
      <c r="C1370" s="257" t="s">
        <v>172</v>
      </c>
      <c r="D1370" s="259" t="s">
        <v>14668</v>
      </c>
      <c r="E1370" s="210" t="s">
        <v>201</v>
      </c>
    </row>
    <row r="1371" spans="1:5" ht="40.5">
      <c r="A1371" s="258">
        <v>92748</v>
      </c>
      <c r="B1371" s="257" t="s">
        <v>5275</v>
      </c>
      <c r="C1371" s="257" t="s">
        <v>172</v>
      </c>
      <c r="D1371" s="259" t="s">
        <v>14669</v>
      </c>
      <c r="E1371" s="210" t="s">
        <v>201</v>
      </c>
    </row>
    <row r="1372" spans="1:5" ht="27">
      <c r="A1372" s="258">
        <v>92749</v>
      </c>
      <c r="B1372" s="257" t="s">
        <v>5276</v>
      </c>
      <c r="C1372" s="257" t="s">
        <v>172</v>
      </c>
      <c r="D1372" s="259" t="s">
        <v>14670</v>
      </c>
      <c r="E1372" s="210" t="s">
        <v>201</v>
      </c>
    </row>
    <row r="1373" spans="1:5" ht="27">
      <c r="A1373" s="258">
        <v>92750</v>
      </c>
      <c r="B1373" s="257" t="s">
        <v>5277</v>
      </c>
      <c r="C1373" s="257" t="s">
        <v>172</v>
      </c>
      <c r="D1373" s="259" t="s">
        <v>14671</v>
      </c>
      <c r="E1373" s="210" t="s">
        <v>201</v>
      </c>
    </row>
    <row r="1374" spans="1:5" ht="27">
      <c r="A1374" s="258">
        <v>92751</v>
      </c>
      <c r="B1374" s="257" t="s">
        <v>5278</v>
      </c>
      <c r="C1374" s="257" t="s">
        <v>172</v>
      </c>
      <c r="D1374" s="259" t="s">
        <v>14672</v>
      </c>
      <c r="E1374" s="210" t="s">
        <v>201</v>
      </c>
    </row>
    <row r="1375" spans="1:5" ht="27">
      <c r="A1375" s="258">
        <v>92752</v>
      </c>
      <c r="B1375" s="257" t="s">
        <v>5279</v>
      </c>
      <c r="C1375" s="257" t="s">
        <v>172</v>
      </c>
      <c r="D1375" s="259" t="s">
        <v>14673</v>
      </c>
      <c r="E1375" s="210" t="s">
        <v>201</v>
      </c>
    </row>
    <row r="1376" spans="1:5" ht="40.5">
      <c r="A1376" s="258">
        <v>92753</v>
      </c>
      <c r="B1376" s="257" t="s">
        <v>5280</v>
      </c>
      <c r="C1376" s="257" t="s">
        <v>172</v>
      </c>
      <c r="D1376" s="259" t="s">
        <v>14674</v>
      </c>
      <c r="E1376" s="210" t="s">
        <v>201</v>
      </c>
    </row>
    <row r="1377" spans="1:5" ht="40.5">
      <c r="A1377" s="258">
        <v>92754</v>
      </c>
      <c r="B1377" s="257" t="s">
        <v>5281</v>
      </c>
      <c r="C1377" s="257" t="s">
        <v>172</v>
      </c>
      <c r="D1377" s="259" t="s">
        <v>14675</v>
      </c>
      <c r="E1377" s="210" t="s">
        <v>201</v>
      </c>
    </row>
    <row r="1378" spans="1:5" ht="27">
      <c r="A1378" s="258">
        <v>92755</v>
      </c>
      <c r="B1378" s="257" t="s">
        <v>1397</v>
      </c>
      <c r="C1378" s="257" t="s">
        <v>150</v>
      </c>
      <c r="D1378" s="259" t="s">
        <v>14676</v>
      </c>
      <c r="E1378" s="210" t="s">
        <v>201</v>
      </c>
    </row>
    <row r="1379" spans="1:5" ht="27">
      <c r="A1379" s="258">
        <v>92756</v>
      </c>
      <c r="B1379" s="257" t="s">
        <v>1398</v>
      </c>
      <c r="C1379" s="257" t="s">
        <v>150</v>
      </c>
      <c r="D1379" s="259" t="s">
        <v>14677</v>
      </c>
      <c r="E1379" s="210" t="s">
        <v>201</v>
      </c>
    </row>
    <row r="1380" spans="1:5" ht="27">
      <c r="A1380" s="258">
        <v>92757</v>
      </c>
      <c r="B1380" s="257" t="s">
        <v>1399</v>
      </c>
      <c r="C1380" s="257" t="s">
        <v>150</v>
      </c>
      <c r="D1380" s="259" t="s">
        <v>14678</v>
      </c>
      <c r="E1380" s="210" t="s">
        <v>201</v>
      </c>
    </row>
    <row r="1381" spans="1:5" ht="27">
      <c r="A1381" s="258">
        <v>92758</v>
      </c>
      <c r="B1381" s="257" t="s">
        <v>1400</v>
      </c>
      <c r="C1381" s="257" t="s">
        <v>172</v>
      </c>
      <c r="D1381" s="259" t="s">
        <v>14679</v>
      </c>
      <c r="E1381" s="210" t="s">
        <v>201</v>
      </c>
    </row>
    <row r="1382" spans="1:5" ht="40.5">
      <c r="A1382" s="258">
        <v>91069</v>
      </c>
      <c r="B1382" s="257" t="s">
        <v>1401</v>
      </c>
      <c r="C1382" s="257" t="s">
        <v>150</v>
      </c>
      <c r="D1382" s="259" t="s">
        <v>14680</v>
      </c>
      <c r="E1382" s="210" t="s">
        <v>201</v>
      </c>
    </row>
    <row r="1383" spans="1:5" ht="40.5">
      <c r="A1383" s="258">
        <v>91070</v>
      </c>
      <c r="B1383" s="257" t="s">
        <v>1402</v>
      </c>
      <c r="C1383" s="257" t="s">
        <v>150</v>
      </c>
      <c r="D1383" s="259" t="s">
        <v>14681</v>
      </c>
      <c r="E1383" s="210" t="s">
        <v>201</v>
      </c>
    </row>
    <row r="1384" spans="1:5" ht="40.5">
      <c r="A1384" s="258">
        <v>91071</v>
      </c>
      <c r="B1384" s="257" t="s">
        <v>1403</v>
      </c>
      <c r="C1384" s="257" t="s">
        <v>150</v>
      </c>
      <c r="D1384" s="259" t="s">
        <v>14682</v>
      </c>
      <c r="E1384" s="210" t="s">
        <v>201</v>
      </c>
    </row>
    <row r="1385" spans="1:5" ht="40.5">
      <c r="A1385" s="258">
        <v>91072</v>
      </c>
      <c r="B1385" s="257" t="s">
        <v>1404</v>
      </c>
      <c r="C1385" s="257" t="s">
        <v>150</v>
      </c>
      <c r="D1385" s="259" t="s">
        <v>14683</v>
      </c>
      <c r="E1385" s="210" t="s">
        <v>201</v>
      </c>
    </row>
    <row r="1386" spans="1:5" ht="40.5">
      <c r="A1386" s="258">
        <v>91073</v>
      </c>
      <c r="B1386" s="257" t="s">
        <v>1405</v>
      </c>
      <c r="C1386" s="257" t="s">
        <v>150</v>
      </c>
      <c r="D1386" s="259" t="s">
        <v>14684</v>
      </c>
      <c r="E1386" s="210" t="s">
        <v>201</v>
      </c>
    </row>
    <row r="1387" spans="1:5" ht="40.5">
      <c r="A1387" s="258">
        <v>91074</v>
      </c>
      <c r="B1387" s="257" t="s">
        <v>1406</v>
      </c>
      <c r="C1387" s="257" t="s">
        <v>150</v>
      </c>
      <c r="D1387" s="259" t="s">
        <v>14685</v>
      </c>
      <c r="E1387" s="210" t="s">
        <v>201</v>
      </c>
    </row>
    <row r="1388" spans="1:5" ht="40.5">
      <c r="A1388" s="258">
        <v>91075</v>
      </c>
      <c r="B1388" s="257" t="s">
        <v>1407</v>
      </c>
      <c r="C1388" s="257" t="s">
        <v>150</v>
      </c>
      <c r="D1388" s="259" t="s">
        <v>14686</v>
      </c>
      <c r="E1388" s="210" t="s">
        <v>201</v>
      </c>
    </row>
    <row r="1389" spans="1:5" ht="40.5">
      <c r="A1389" s="258">
        <v>91076</v>
      </c>
      <c r="B1389" s="257" t="s">
        <v>1408</v>
      </c>
      <c r="C1389" s="257" t="s">
        <v>150</v>
      </c>
      <c r="D1389" s="259" t="s">
        <v>14687</v>
      </c>
      <c r="E1389" s="210" t="s">
        <v>201</v>
      </c>
    </row>
    <row r="1390" spans="1:5" ht="40.5">
      <c r="A1390" s="258">
        <v>91077</v>
      </c>
      <c r="B1390" s="257" t="s">
        <v>1409</v>
      </c>
      <c r="C1390" s="257" t="s">
        <v>150</v>
      </c>
      <c r="D1390" s="259" t="s">
        <v>14688</v>
      </c>
      <c r="E1390" s="210" t="s">
        <v>201</v>
      </c>
    </row>
    <row r="1391" spans="1:5" ht="40.5">
      <c r="A1391" s="258">
        <v>91078</v>
      </c>
      <c r="B1391" s="257" t="s">
        <v>1410</v>
      </c>
      <c r="C1391" s="257" t="s">
        <v>150</v>
      </c>
      <c r="D1391" s="259" t="s">
        <v>14689</v>
      </c>
      <c r="E1391" s="210" t="s">
        <v>201</v>
      </c>
    </row>
    <row r="1392" spans="1:5" ht="40.5">
      <c r="A1392" s="258">
        <v>91079</v>
      </c>
      <c r="B1392" s="257" t="s">
        <v>1411</v>
      </c>
      <c r="C1392" s="257" t="s">
        <v>150</v>
      </c>
      <c r="D1392" s="259" t="s">
        <v>14690</v>
      </c>
      <c r="E1392" s="210" t="s">
        <v>201</v>
      </c>
    </row>
    <row r="1393" spans="1:5" ht="40.5">
      <c r="A1393" s="258">
        <v>91080</v>
      </c>
      <c r="B1393" s="257" t="s">
        <v>1412</v>
      </c>
      <c r="C1393" s="257" t="s">
        <v>150</v>
      </c>
      <c r="D1393" s="259" t="s">
        <v>14691</v>
      </c>
      <c r="E1393" s="210" t="s">
        <v>201</v>
      </c>
    </row>
    <row r="1394" spans="1:5" ht="40.5">
      <c r="A1394" s="258">
        <v>91081</v>
      </c>
      <c r="B1394" s="257" t="s">
        <v>1413</v>
      </c>
      <c r="C1394" s="257" t="s">
        <v>150</v>
      </c>
      <c r="D1394" s="259" t="s">
        <v>14692</v>
      </c>
      <c r="E1394" s="210" t="s">
        <v>201</v>
      </c>
    </row>
    <row r="1395" spans="1:5" ht="40.5">
      <c r="A1395" s="258">
        <v>91082</v>
      </c>
      <c r="B1395" s="257" t="s">
        <v>1414</v>
      </c>
      <c r="C1395" s="257" t="s">
        <v>150</v>
      </c>
      <c r="D1395" s="259" t="s">
        <v>14693</v>
      </c>
      <c r="E1395" s="210" t="s">
        <v>201</v>
      </c>
    </row>
    <row r="1396" spans="1:5" ht="40.5">
      <c r="A1396" s="258">
        <v>91083</v>
      </c>
      <c r="B1396" s="257" t="s">
        <v>1415</v>
      </c>
      <c r="C1396" s="257" t="s">
        <v>150</v>
      </c>
      <c r="D1396" s="259" t="s">
        <v>14694</v>
      </c>
      <c r="E1396" s="210" t="s">
        <v>201</v>
      </c>
    </row>
    <row r="1397" spans="1:5" ht="40.5">
      <c r="A1397" s="258">
        <v>91084</v>
      </c>
      <c r="B1397" s="257" t="s">
        <v>1416</v>
      </c>
      <c r="C1397" s="257" t="s">
        <v>150</v>
      </c>
      <c r="D1397" s="259" t="s">
        <v>14695</v>
      </c>
      <c r="E1397" s="210" t="s">
        <v>201</v>
      </c>
    </row>
    <row r="1398" spans="1:5" ht="40.5">
      <c r="A1398" s="258">
        <v>91086</v>
      </c>
      <c r="B1398" s="257" t="s">
        <v>1417</v>
      </c>
      <c r="C1398" s="257" t="s">
        <v>150</v>
      </c>
      <c r="D1398" s="259" t="s">
        <v>14696</v>
      </c>
      <c r="E1398" s="210" t="s">
        <v>201</v>
      </c>
    </row>
    <row r="1399" spans="1:5" ht="40.5">
      <c r="A1399" s="258">
        <v>91087</v>
      </c>
      <c r="B1399" s="257" t="s">
        <v>1418</v>
      </c>
      <c r="C1399" s="257" t="s">
        <v>150</v>
      </c>
      <c r="D1399" s="259" t="s">
        <v>14697</v>
      </c>
      <c r="E1399" s="210" t="s">
        <v>201</v>
      </c>
    </row>
    <row r="1400" spans="1:5" ht="40.5">
      <c r="A1400" s="258">
        <v>91088</v>
      </c>
      <c r="B1400" s="257" t="s">
        <v>1419</v>
      </c>
      <c r="C1400" s="257" t="s">
        <v>150</v>
      </c>
      <c r="D1400" s="259" t="s">
        <v>14698</v>
      </c>
      <c r="E1400" s="210" t="s">
        <v>201</v>
      </c>
    </row>
    <row r="1401" spans="1:5" ht="40.5">
      <c r="A1401" s="258">
        <v>91089</v>
      </c>
      <c r="B1401" s="257" t="s">
        <v>1420</v>
      </c>
      <c r="C1401" s="257" t="s">
        <v>150</v>
      </c>
      <c r="D1401" s="259" t="s">
        <v>14699</v>
      </c>
      <c r="E1401" s="210" t="s">
        <v>201</v>
      </c>
    </row>
    <row r="1402" spans="1:5" ht="40.5">
      <c r="A1402" s="258">
        <v>91090</v>
      </c>
      <c r="B1402" s="257" t="s">
        <v>1421</v>
      </c>
      <c r="C1402" s="257" t="s">
        <v>150</v>
      </c>
      <c r="D1402" s="259" t="s">
        <v>14700</v>
      </c>
      <c r="E1402" s="210" t="s">
        <v>201</v>
      </c>
    </row>
    <row r="1403" spans="1:5" ht="40.5">
      <c r="A1403" s="258">
        <v>91091</v>
      </c>
      <c r="B1403" s="257" t="s">
        <v>1422</v>
      </c>
      <c r="C1403" s="257" t="s">
        <v>150</v>
      </c>
      <c r="D1403" s="259" t="s">
        <v>14701</v>
      </c>
      <c r="E1403" s="210" t="s">
        <v>201</v>
      </c>
    </row>
    <row r="1404" spans="1:5" ht="40.5">
      <c r="A1404" s="258">
        <v>91092</v>
      </c>
      <c r="B1404" s="257" t="s">
        <v>1423</v>
      </c>
      <c r="C1404" s="257" t="s">
        <v>150</v>
      </c>
      <c r="D1404" s="259" t="s">
        <v>14702</v>
      </c>
      <c r="E1404" s="210" t="s">
        <v>201</v>
      </c>
    </row>
    <row r="1405" spans="1:5" ht="40.5">
      <c r="A1405" s="258">
        <v>91093</v>
      </c>
      <c r="B1405" s="257" t="s">
        <v>1424</v>
      </c>
      <c r="C1405" s="257" t="s">
        <v>150</v>
      </c>
      <c r="D1405" s="259" t="s">
        <v>14703</v>
      </c>
      <c r="E1405" s="210" t="s">
        <v>201</v>
      </c>
    </row>
    <row r="1406" spans="1:5" ht="40.5">
      <c r="A1406" s="258">
        <v>91094</v>
      </c>
      <c r="B1406" s="257" t="s">
        <v>1425</v>
      </c>
      <c r="C1406" s="257" t="s">
        <v>150</v>
      </c>
      <c r="D1406" s="259" t="s">
        <v>14704</v>
      </c>
      <c r="E1406" s="210" t="s">
        <v>201</v>
      </c>
    </row>
    <row r="1407" spans="1:5" ht="40.5">
      <c r="A1407" s="258">
        <v>91095</v>
      </c>
      <c r="B1407" s="257" t="s">
        <v>1426</v>
      </c>
      <c r="C1407" s="257" t="s">
        <v>150</v>
      </c>
      <c r="D1407" s="259" t="s">
        <v>14705</v>
      </c>
      <c r="E1407" s="210" t="s">
        <v>201</v>
      </c>
    </row>
    <row r="1408" spans="1:5" ht="40.5">
      <c r="A1408" s="258">
        <v>91096</v>
      </c>
      <c r="B1408" s="257" t="s">
        <v>1427</v>
      </c>
      <c r="C1408" s="257" t="s">
        <v>150</v>
      </c>
      <c r="D1408" s="259" t="s">
        <v>14363</v>
      </c>
      <c r="E1408" s="210" t="s">
        <v>201</v>
      </c>
    </row>
    <row r="1409" spans="1:5" ht="40.5">
      <c r="A1409" s="258">
        <v>91097</v>
      </c>
      <c r="B1409" s="257" t="s">
        <v>1428</v>
      </c>
      <c r="C1409" s="257" t="s">
        <v>150</v>
      </c>
      <c r="D1409" s="259" t="s">
        <v>14706</v>
      </c>
      <c r="E1409" s="210" t="s">
        <v>201</v>
      </c>
    </row>
    <row r="1410" spans="1:5" ht="40.5">
      <c r="A1410" s="258">
        <v>91098</v>
      </c>
      <c r="B1410" s="257" t="s">
        <v>1429</v>
      </c>
      <c r="C1410" s="257" t="s">
        <v>150</v>
      </c>
      <c r="D1410" s="259" t="s">
        <v>14337</v>
      </c>
      <c r="E1410" s="210" t="s">
        <v>201</v>
      </c>
    </row>
    <row r="1411" spans="1:5" ht="40.5">
      <c r="A1411" s="258">
        <v>91099</v>
      </c>
      <c r="B1411" s="257" t="s">
        <v>1430</v>
      </c>
      <c r="C1411" s="257" t="s">
        <v>150</v>
      </c>
      <c r="D1411" s="259" t="s">
        <v>14707</v>
      </c>
      <c r="E1411" s="210" t="s">
        <v>201</v>
      </c>
    </row>
    <row r="1412" spans="1:5" ht="40.5">
      <c r="A1412" s="258">
        <v>91100</v>
      </c>
      <c r="B1412" s="257" t="s">
        <v>1431</v>
      </c>
      <c r="C1412" s="257" t="s">
        <v>150</v>
      </c>
      <c r="D1412" s="259" t="s">
        <v>14708</v>
      </c>
      <c r="E1412" s="210" t="s">
        <v>201</v>
      </c>
    </row>
    <row r="1413" spans="1:5" ht="40.5">
      <c r="A1413" s="258">
        <v>91101</v>
      </c>
      <c r="B1413" s="257" t="s">
        <v>1432</v>
      </c>
      <c r="C1413" s="257" t="s">
        <v>150</v>
      </c>
      <c r="D1413" s="259" t="s">
        <v>14709</v>
      </c>
      <c r="E1413" s="210" t="s">
        <v>201</v>
      </c>
    </row>
    <row r="1414" spans="1:5" ht="27">
      <c r="A1414" s="257">
        <v>93952</v>
      </c>
      <c r="B1414" s="257" t="s">
        <v>1433</v>
      </c>
      <c r="C1414" s="257" t="s">
        <v>5</v>
      </c>
      <c r="D1414" s="259" t="s">
        <v>14710</v>
      </c>
      <c r="E1414" s="210" t="s">
        <v>201</v>
      </c>
    </row>
    <row r="1415" spans="1:5" ht="40.5">
      <c r="A1415" s="257">
        <v>93953</v>
      </c>
      <c r="B1415" s="257" t="s">
        <v>1434</v>
      </c>
      <c r="C1415" s="257" t="s">
        <v>5</v>
      </c>
      <c r="D1415" s="259" t="s">
        <v>14711</v>
      </c>
      <c r="E1415" s="210" t="s">
        <v>201</v>
      </c>
    </row>
    <row r="1416" spans="1:5" ht="40.5">
      <c r="A1416" s="257">
        <v>93954</v>
      </c>
      <c r="B1416" s="257" t="s">
        <v>1435</v>
      </c>
      <c r="C1416" s="257" t="s">
        <v>5</v>
      </c>
      <c r="D1416" s="259" t="s">
        <v>13857</v>
      </c>
      <c r="E1416" s="210" t="s">
        <v>201</v>
      </c>
    </row>
    <row r="1417" spans="1:5" ht="40.5">
      <c r="A1417" s="257">
        <v>93955</v>
      </c>
      <c r="B1417" s="257" t="s">
        <v>1436</v>
      </c>
      <c r="C1417" s="257" t="s">
        <v>5</v>
      </c>
      <c r="D1417" s="260" t="s">
        <v>14712</v>
      </c>
      <c r="E1417" s="210" t="s">
        <v>201</v>
      </c>
    </row>
    <row r="1418" spans="1:5" ht="27">
      <c r="A1418" s="257">
        <v>93956</v>
      </c>
      <c r="B1418" s="257" t="s">
        <v>1437</v>
      </c>
      <c r="C1418" s="257" t="s">
        <v>5</v>
      </c>
      <c r="D1418" s="260" t="s">
        <v>14713</v>
      </c>
      <c r="E1418" s="210" t="s">
        <v>201</v>
      </c>
    </row>
    <row r="1419" spans="1:5" ht="27">
      <c r="A1419" s="257">
        <v>93957</v>
      </c>
      <c r="B1419" s="257" t="s">
        <v>1438</v>
      </c>
      <c r="C1419" s="257" t="s">
        <v>5</v>
      </c>
      <c r="D1419" s="260" t="s">
        <v>14714</v>
      </c>
      <c r="E1419" s="210" t="s">
        <v>201</v>
      </c>
    </row>
    <row r="1420" spans="1:5" ht="40.5">
      <c r="A1420" s="257">
        <v>93958</v>
      </c>
      <c r="B1420" s="257" t="s">
        <v>1439</v>
      </c>
      <c r="C1420" s="257" t="s">
        <v>5</v>
      </c>
      <c r="D1420" s="259" t="s">
        <v>14715</v>
      </c>
      <c r="E1420" s="210" t="s">
        <v>201</v>
      </c>
    </row>
    <row r="1421" spans="1:5" ht="40.5">
      <c r="A1421" s="257">
        <v>93959</v>
      </c>
      <c r="B1421" s="257" t="s">
        <v>1440</v>
      </c>
      <c r="C1421" s="257" t="s">
        <v>5</v>
      </c>
      <c r="D1421" s="260" t="s">
        <v>14716</v>
      </c>
      <c r="E1421" s="210" t="s">
        <v>201</v>
      </c>
    </row>
    <row r="1422" spans="1:5" ht="40.5">
      <c r="A1422" s="257">
        <v>93960</v>
      </c>
      <c r="B1422" s="257" t="s">
        <v>1441</v>
      </c>
      <c r="C1422" s="257" t="s">
        <v>5</v>
      </c>
      <c r="D1422" s="260" t="s">
        <v>14717</v>
      </c>
      <c r="E1422" s="210" t="s">
        <v>201</v>
      </c>
    </row>
    <row r="1423" spans="1:5" ht="27">
      <c r="A1423" s="257">
        <v>93961</v>
      </c>
      <c r="B1423" s="257" t="s">
        <v>1442</v>
      </c>
      <c r="C1423" s="257" t="s">
        <v>5</v>
      </c>
      <c r="D1423" s="260" t="s">
        <v>14718</v>
      </c>
      <c r="E1423" s="210" t="s">
        <v>201</v>
      </c>
    </row>
    <row r="1424" spans="1:5" ht="27">
      <c r="A1424" s="257">
        <v>93962</v>
      </c>
      <c r="B1424" s="257" t="s">
        <v>1443</v>
      </c>
      <c r="C1424" s="257" t="s">
        <v>5</v>
      </c>
      <c r="D1424" s="260" t="s">
        <v>14719</v>
      </c>
      <c r="E1424" s="210" t="s">
        <v>201</v>
      </c>
    </row>
    <row r="1425" spans="1:5" ht="40.5">
      <c r="A1425" s="257">
        <v>93963</v>
      </c>
      <c r="B1425" s="257" t="s">
        <v>1444</v>
      </c>
      <c r="C1425" s="257" t="s">
        <v>5</v>
      </c>
      <c r="D1425" s="260" t="s">
        <v>14720</v>
      </c>
      <c r="E1425" s="210" t="s">
        <v>201</v>
      </c>
    </row>
    <row r="1426" spans="1:5" ht="40.5">
      <c r="A1426" s="257">
        <v>93964</v>
      </c>
      <c r="B1426" s="257" t="s">
        <v>1445</v>
      </c>
      <c r="C1426" s="257" t="s">
        <v>5</v>
      </c>
      <c r="D1426" s="260" t="s">
        <v>14721</v>
      </c>
      <c r="E1426" s="210" t="s">
        <v>201</v>
      </c>
    </row>
    <row r="1427" spans="1:5" ht="40.5">
      <c r="A1427" s="257">
        <v>93965</v>
      </c>
      <c r="B1427" s="257" t="s">
        <v>1446</v>
      </c>
      <c r="C1427" s="257" t="s">
        <v>5</v>
      </c>
      <c r="D1427" s="260" t="s">
        <v>14722</v>
      </c>
      <c r="E1427" s="210" t="s">
        <v>201</v>
      </c>
    </row>
    <row r="1428" spans="1:5" ht="27">
      <c r="A1428" s="257">
        <v>93966</v>
      </c>
      <c r="B1428" s="257" t="s">
        <v>1447</v>
      </c>
      <c r="C1428" s="257" t="s">
        <v>5</v>
      </c>
      <c r="D1428" s="260" t="s">
        <v>14723</v>
      </c>
      <c r="E1428" s="210" t="s">
        <v>201</v>
      </c>
    </row>
    <row r="1429" spans="1:5" ht="27">
      <c r="A1429" s="257">
        <v>93967</v>
      </c>
      <c r="B1429" s="257" t="s">
        <v>1448</v>
      </c>
      <c r="C1429" s="257" t="s">
        <v>5</v>
      </c>
      <c r="D1429" s="260" t="s">
        <v>14724</v>
      </c>
      <c r="E1429" s="210" t="s">
        <v>201</v>
      </c>
    </row>
    <row r="1430" spans="1:5" ht="40.5">
      <c r="A1430" s="257">
        <v>93968</v>
      </c>
      <c r="B1430" s="257" t="s">
        <v>1449</v>
      </c>
      <c r="C1430" s="257" t="s">
        <v>5</v>
      </c>
      <c r="D1430" s="259" t="s">
        <v>14725</v>
      </c>
      <c r="E1430" s="210" t="s">
        <v>201</v>
      </c>
    </row>
    <row r="1431" spans="1:5" ht="40.5">
      <c r="A1431" s="257">
        <v>93969</v>
      </c>
      <c r="B1431" s="257" t="s">
        <v>1450</v>
      </c>
      <c r="C1431" s="257" t="s">
        <v>5</v>
      </c>
      <c r="D1431" s="259" t="s">
        <v>14726</v>
      </c>
      <c r="E1431" s="210" t="s">
        <v>201</v>
      </c>
    </row>
    <row r="1432" spans="1:5" ht="40.5">
      <c r="A1432" s="257">
        <v>93970</v>
      </c>
      <c r="B1432" s="257" t="s">
        <v>1451</v>
      </c>
      <c r="C1432" s="257" t="s">
        <v>5</v>
      </c>
      <c r="D1432" s="259" t="s">
        <v>14727</v>
      </c>
      <c r="E1432" s="210" t="s">
        <v>201</v>
      </c>
    </row>
    <row r="1433" spans="1:5" ht="27">
      <c r="A1433" s="257">
        <v>93971</v>
      </c>
      <c r="B1433" s="257" t="s">
        <v>1452</v>
      </c>
      <c r="C1433" s="257" t="s">
        <v>5</v>
      </c>
      <c r="D1433" s="260" t="s">
        <v>14728</v>
      </c>
      <c r="E1433" s="210" t="s">
        <v>201</v>
      </c>
    </row>
    <row r="1434" spans="1:5" ht="27">
      <c r="A1434" s="257">
        <v>95108</v>
      </c>
      <c r="B1434" s="257" t="s">
        <v>1453</v>
      </c>
      <c r="C1434" s="257" t="s">
        <v>90</v>
      </c>
      <c r="D1434" s="260" t="s">
        <v>14729</v>
      </c>
      <c r="E1434" s="210" t="s">
        <v>201</v>
      </c>
    </row>
    <row r="1435" spans="1:5" ht="27">
      <c r="A1435" s="257">
        <v>100332</v>
      </c>
      <c r="B1435" s="257" t="s">
        <v>5282</v>
      </c>
      <c r="C1435" s="257" t="s">
        <v>150</v>
      </c>
      <c r="D1435" s="260" t="s">
        <v>14730</v>
      </c>
      <c r="E1435" s="210" t="s">
        <v>201</v>
      </c>
    </row>
    <row r="1436" spans="1:5" ht="27">
      <c r="A1436" s="257">
        <v>100333</v>
      </c>
      <c r="B1436" s="257" t="s">
        <v>5283</v>
      </c>
      <c r="C1436" s="257" t="s">
        <v>150</v>
      </c>
      <c r="D1436" s="260" t="s">
        <v>14731</v>
      </c>
      <c r="E1436" s="210" t="s">
        <v>201</v>
      </c>
    </row>
    <row r="1437" spans="1:5" ht="27">
      <c r="A1437" s="257">
        <v>100334</v>
      </c>
      <c r="B1437" s="257" t="s">
        <v>5284</v>
      </c>
      <c r="C1437" s="257" t="s">
        <v>150</v>
      </c>
      <c r="D1437" s="260" t="s">
        <v>14732</v>
      </c>
      <c r="E1437" s="210" t="s">
        <v>201</v>
      </c>
    </row>
    <row r="1438" spans="1:5" ht="27">
      <c r="A1438" s="257">
        <v>100335</v>
      </c>
      <c r="B1438" s="257" t="s">
        <v>5285</v>
      </c>
      <c r="C1438" s="257" t="s">
        <v>150</v>
      </c>
      <c r="D1438" s="260" t="s">
        <v>14733</v>
      </c>
      <c r="E1438" s="210" t="s">
        <v>201</v>
      </c>
    </row>
    <row r="1439" spans="1:5" ht="27">
      <c r="A1439" s="257">
        <v>100341</v>
      </c>
      <c r="B1439" s="257" t="s">
        <v>5286</v>
      </c>
      <c r="C1439" s="257" t="s">
        <v>150</v>
      </c>
      <c r="D1439" s="260" t="s">
        <v>14734</v>
      </c>
      <c r="E1439" s="210" t="s">
        <v>201</v>
      </c>
    </row>
    <row r="1440" spans="1:5" ht="27">
      <c r="A1440" s="257">
        <v>100342</v>
      </c>
      <c r="B1440" s="257" t="s">
        <v>5287</v>
      </c>
      <c r="C1440" s="257" t="s">
        <v>89</v>
      </c>
      <c r="D1440" s="260" t="s">
        <v>13545</v>
      </c>
      <c r="E1440" s="210" t="s">
        <v>201</v>
      </c>
    </row>
    <row r="1441" spans="1:5" ht="27">
      <c r="A1441" s="257">
        <v>100343</v>
      </c>
      <c r="B1441" s="257" t="s">
        <v>5288</v>
      </c>
      <c r="C1441" s="257" t="s">
        <v>89</v>
      </c>
      <c r="D1441" s="260" t="s">
        <v>14735</v>
      </c>
      <c r="E1441" s="210" t="s">
        <v>201</v>
      </c>
    </row>
    <row r="1442" spans="1:5" ht="27">
      <c r="A1442" s="257">
        <v>100344</v>
      </c>
      <c r="B1442" s="257" t="s">
        <v>5289</v>
      </c>
      <c r="C1442" s="257" t="s">
        <v>89</v>
      </c>
      <c r="D1442" s="260" t="s">
        <v>14736</v>
      </c>
      <c r="E1442" s="210" t="s">
        <v>201</v>
      </c>
    </row>
    <row r="1443" spans="1:5" ht="27">
      <c r="A1443" s="257">
        <v>100345</v>
      </c>
      <c r="B1443" s="257" t="s">
        <v>5290</v>
      </c>
      <c r="C1443" s="257" t="s">
        <v>89</v>
      </c>
      <c r="D1443" s="260" t="s">
        <v>14737</v>
      </c>
      <c r="E1443" s="210" t="s">
        <v>201</v>
      </c>
    </row>
    <row r="1444" spans="1:5" ht="27">
      <c r="A1444" s="257">
        <v>100346</v>
      </c>
      <c r="B1444" s="257" t="s">
        <v>5291</v>
      </c>
      <c r="C1444" s="257" t="s">
        <v>89</v>
      </c>
      <c r="D1444" s="260" t="s">
        <v>14738</v>
      </c>
      <c r="E1444" s="210" t="s">
        <v>201</v>
      </c>
    </row>
    <row r="1445" spans="1:5" ht="27">
      <c r="A1445" s="257">
        <v>100347</v>
      </c>
      <c r="B1445" s="257" t="s">
        <v>5292</v>
      </c>
      <c r="C1445" s="257" t="s">
        <v>89</v>
      </c>
      <c r="D1445" s="260" t="s">
        <v>14739</v>
      </c>
      <c r="E1445" s="210" t="s">
        <v>201</v>
      </c>
    </row>
    <row r="1446" spans="1:5" ht="27">
      <c r="A1446" s="257">
        <v>100348</v>
      </c>
      <c r="B1446" s="257" t="s">
        <v>5293</v>
      </c>
      <c r="C1446" s="257" t="s">
        <v>89</v>
      </c>
      <c r="D1446" s="260" t="s">
        <v>14740</v>
      </c>
      <c r="E1446" s="210" t="s">
        <v>201</v>
      </c>
    </row>
    <row r="1447" spans="1:5" ht="27">
      <c r="A1447" s="257">
        <v>100349</v>
      </c>
      <c r="B1447" s="257" t="s">
        <v>5294</v>
      </c>
      <c r="C1447" s="257" t="s">
        <v>172</v>
      </c>
      <c r="D1447" s="260" t="s">
        <v>14741</v>
      </c>
      <c r="E1447" s="210" t="s">
        <v>201</v>
      </c>
    </row>
    <row r="1448" spans="1:5" ht="27">
      <c r="A1448" s="257" t="s">
        <v>1454</v>
      </c>
      <c r="B1448" s="257" t="s">
        <v>1455</v>
      </c>
      <c r="C1448" s="257" t="s">
        <v>90</v>
      </c>
      <c r="D1448" s="260" t="s">
        <v>14742</v>
      </c>
      <c r="E1448" s="210" t="s">
        <v>201</v>
      </c>
    </row>
    <row r="1449" spans="1:5" ht="27">
      <c r="A1449" s="257" t="s">
        <v>1456</v>
      </c>
      <c r="B1449" s="257" t="s">
        <v>1457</v>
      </c>
      <c r="C1449" s="257" t="s">
        <v>90</v>
      </c>
      <c r="D1449" s="260" t="s">
        <v>14743</v>
      </c>
      <c r="E1449" s="210" t="s">
        <v>201</v>
      </c>
    </row>
    <row r="1450" spans="1:5" ht="27">
      <c r="A1450" s="257" t="s">
        <v>1458</v>
      </c>
      <c r="B1450" s="257" t="s">
        <v>1459</v>
      </c>
      <c r="C1450" s="257" t="s">
        <v>90</v>
      </c>
      <c r="D1450" s="260" t="s">
        <v>14744</v>
      </c>
      <c r="E1450" s="210" t="s">
        <v>201</v>
      </c>
    </row>
    <row r="1451" spans="1:5" ht="27">
      <c r="A1451" s="257" t="s">
        <v>1460</v>
      </c>
      <c r="B1451" s="257" t="s">
        <v>1461</v>
      </c>
      <c r="C1451" s="257" t="s">
        <v>90</v>
      </c>
      <c r="D1451" s="260" t="s">
        <v>14745</v>
      </c>
      <c r="E1451" s="210" t="s">
        <v>201</v>
      </c>
    </row>
    <row r="1452" spans="1:5" ht="27">
      <c r="A1452" s="257" t="s">
        <v>1462</v>
      </c>
      <c r="B1452" s="257" t="s">
        <v>1463</v>
      </c>
      <c r="C1452" s="257" t="s">
        <v>90</v>
      </c>
      <c r="D1452" s="260" t="s">
        <v>14746</v>
      </c>
      <c r="E1452" s="210" t="s">
        <v>201</v>
      </c>
    </row>
    <row r="1453" spans="1:5" ht="27">
      <c r="A1453" s="257" t="s">
        <v>1464</v>
      </c>
      <c r="B1453" s="257" t="s">
        <v>1465</v>
      </c>
      <c r="C1453" s="257" t="s">
        <v>90</v>
      </c>
      <c r="D1453" s="260" t="s">
        <v>14747</v>
      </c>
      <c r="E1453" s="210" t="s">
        <v>201</v>
      </c>
    </row>
    <row r="1454" spans="1:5" ht="27">
      <c r="A1454" s="257" t="s">
        <v>1466</v>
      </c>
      <c r="B1454" s="257" t="s">
        <v>1467</v>
      </c>
      <c r="C1454" s="257" t="s">
        <v>90</v>
      </c>
      <c r="D1454" s="260" t="s">
        <v>14748</v>
      </c>
      <c r="E1454" s="210" t="s">
        <v>201</v>
      </c>
    </row>
    <row r="1455" spans="1:5" ht="27">
      <c r="A1455" s="257" t="s">
        <v>1468</v>
      </c>
      <c r="B1455" s="257" t="s">
        <v>1469</v>
      </c>
      <c r="C1455" s="257" t="s">
        <v>90</v>
      </c>
      <c r="D1455" s="260" t="s">
        <v>14749</v>
      </c>
      <c r="E1455" s="210" t="s">
        <v>201</v>
      </c>
    </row>
    <row r="1456" spans="1:5" ht="27">
      <c r="A1456" s="257" t="s">
        <v>1470</v>
      </c>
      <c r="B1456" s="257" t="s">
        <v>1471</v>
      </c>
      <c r="C1456" s="257" t="s">
        <v>90</v>
      </c>
      <c r="D1456" s="260" t="s">
        <v>14750</v>
      </c>
      <c r="E1456" s="210" t="s">
        <v>201</v>
      </c>
    </row>
    <row r="1457" spans="1:5" ht="27">
      <c r="A1457" s="257" t="s">
        <v>1472</v>
      </c>
      <c r="B1457" s="257" t="s">
        <v>1473</v>
      </c>
      <c r="C1457" s="257" t="s">
        <v>90</v>
      </c>
      <c r="D1457" s="260" t="s">
        <v>14751</v>
      </c>
      <c r="E1457" s="210" t="s">
        <v>201</v>
      </c>
    </row>
    <row r="1458" spans="1:5" ht="27">
      <c r="A1458" s="257" t="s">
        <v>1474</v>
      </c>
      <c r="B1458" s="257" t="s">
        <v>1475</v>
      </c>
      <c r="C1458" s="257" t="s">
        <v>90</v>
      </c>
      <c r="D1458" s="260" t="s">
        <v>14752</v>
      </c>
      <c r="E1458" s="210" t="s">
        <v>201</v>
      </c>
    </row>
    <row r="1459" spans="1:5" ht="27">
      <c r="A1459" s="257" t="s">
        <v>1476</v>
      </c>
      <c r="B1459" s="257" t="s">
        <v>1477</v>
      </c>
      <c r="C1459" s="257" t="s">
        <v>90</v>
      </c>
      <c r="D1459" s="260" t="s">
        <v>14753</v>
      </c>
      <c r="E1459" s="210" t="s">
        <v>201</v>
      </c>
    </row>
    <row r="1460" spans="1:5" ht="27">
      <c r="A1460" s="257" t="s">
        <v>1478</v>
      </c>
      <c r="B1460" s="257" t="s">
        <v>1479</v>
      </c>
      <c r="C1460" s="257" t="s">
        <v>90</v>
      </c>
      <c r="D1460" s="260" t="s">
        <v>14754</v>
      </c>
      <c r="E1460" s="210" t="s">
        <v>201</v>
      </c>
    </row>
    <row r="1461" spans="1:5" ht="27">
      <c r="A1461" s="257" t="s">
        <v>1480</v>
      </c>
      <c r="B1461" s="257" t="s">
        <v>1481</v>
      </c>
      <c r="C1461" s="257" t="s">
        <v>90</v>
      </c>
      <c r="D1461" s="260" t="s">
        <v>14755</v>
      </c>
      <c r="E1461" s="210" t="s">
        <v>201</v>
      </c>
    </row>
    <row r="1462" spans="1:5" ht="27">
      <c r="A1462" s="257" t="s">
        <v>1482</v>
      </c>
      <c r="B1462" s="257" t="s">
        <v>1483</v>
      </c>
      <c r="C1462" s="257" t="s">
        <v>90</v>
      </c>
      <c r="D1462" s="260" t="s">
        <v>14756</v>
      </c>
      <c r="E1462" s="210" t="s">
        <v>201</v>
      </c>
    </row>
    <row r="1463" spans="1:5" ht="27">
      <c r="A1463" s="257" t="s">
        <v>1484</v>
      </c>
      <c r="B1463" s="257" t="s">
        <v>1485</v>
      </c>
      <c r="C1463" s="257" t="s">
        <v>90</v>
      </c>
      <c r="D1463" s="260" t="s">
        <v>14757</v>
      </c>
      <c r="E1463" s="210" t="s">
        <v>201</v>
      </c>
    </row>
    <row r="1464" spans="1:5" ht="27">
      <c r="A1464" s="257" t="s">
        <v>1486</v>
      </c>
      <c r="B1464" s="257" t="s">
        <v>1487</v>
      </c>
      <c r="C1464" s="257" t="s">
        <v>90</v>
      </c>
      <c r="D1464" s="260" t="s">
        <v>14758</v>
      </c>
      <c r="E1464" s="210" t="s">
        <v>201</v>
      </c>
    </row>
    <row r="1465" spans="1:5" ht="27">
      <c r="A1465" s="257">
        <v>83659</v>
      </c>
      <c r="B1465" s="257" t="s">
        <v>276</v>
      </c>
      <c r="C1465" s="257" t="s">
        <v>90</v>
      </c>
      <c r="D1465" s="260" t="s">
        <v>14759</v>
      </c>
      <c r="E1465" s="210" t="s">
        <v>201</v>
      </c>
    </row>
    <row r="1466" spans="1:5" ht="27">
      <c r="A1466" s="257">
        <v>83716</v>
      </c>
      <c r="B1466" s="257" t="s">
        <v>1488</v>
      </c>
      <c r="C1466" s="257" t="s">
        <v>90</v>
      </c>
      <c r="D1466" s="260" t="s">
        <v>14760</v>
      </c>
      <c r="E1466" s="210" t="s">
        <v>201</v>
      </c>
    </row>
    <row r="1467" spans="1:5" ht="27">
      <c r="A1467" s="257">
        <v>97976</v>
      </c>
      <c r="B1467" s="257" t="s">
        <v>5295</v>
      </c>
      <c r="C1467" s="257" t="s">
        <v>90</v>
      </c>
      <c r="D1467" s="260" t="s">
        <v>14761</v>
      </c>
      <c r="E1467" s="210" t="s">
        <v>201</v>
      </c>
    </row>
    <row r="1468" spans="1:5" ht="27">
      <c r="A1468" s="257">
        <v>97977</v>
      </c>
      <c r="B1468" s="257" t="s">
        <v>5296</v>
      </c>
      <c r="C1468" s="257" t="s">
        <v>90</v>
      </c>
      <c r="D1468" s="260" t="s">
        <v>14762</v>
      </c>
      <c r="E1468" s="210" t="s">
        <v>201</v>
      </c>
    </row>
    <row r="1469" spans="1:5" ht="27">
      <c r="A1469" s="257">
        <v>97980</v>
      </c>
      <c r="B1469" s="257" t="s">
        <v>5297</v>
      </c>
      <c r="C1469" s="257" t="s">
        <v>90</v>
      </c>
      <c r="D1469" s="260" t="s">
        <v>14763</v>
      </c>
      <c r="E1469" s="210" t="s">
        <v>201</v>
      </c>
    </row>
    <row r="1470" spans="1:5" ht="27">
      <c r="A1470" s="257">
        <v>97981</v>
      </c>
      <c r="B1470" s="257" t="s">
        <v>5298</v>
      </c>
      <c r="C1470" s="257" t="s">
        <v>5</v>
      </c>
      <c r="D1470" s="260" t="s">
        <v>14764</v>
      </c>
      <c r="E1470" s="210" t="s">
        <v>201</v>
      </c>
    </row>
    <row r="1471" spans="1:5" ht="27">
      <c r="A1471" s="257">
        <v>97983</v>
      </c>
      <c r="B1471" s="257" t="s">
        <v>5299</v>
      </c>
      <c r="C1471" s="257" t="s">
        <v>5</v>
      </c>
      <c r="D1471" s="260" t="s">
        <v>14765</v>
      </c>
      <c r="E1471" s="210" t="s">
        <v>201</v>
      </c>
    </row>
    <row r="1472" spans="1:5" ht="27">
      <c r="A1472" s="257">
        <v>97985</v>
      </c>
      <c r="B1472" s="257" t="s">
        <v>5300</v>
      </c>
      <c r="C1472" s="257" t="s">
        <v>5</v>
      </c>
      <c r="D1472" s="259" t="s">
        <v>14766</v>
      </c>
      <c r="E1472" s="210" t="s">
        <v>201</v>
      </c>
    </row>
    <row r="1473" spans="1:5" ht="27">
      <c r="A1473" s="257">
        <v>97987</v>
      </c>
      <c r="B1473" s="257" t="s">
        <v>5301</v>
      </c>
      <c r="C1473" s="257" t="s">
        <v>5</v>
      </c>
      <c r="D1473" s="260" t="s">
        <v>14767</v>
      </c>
      <c r="E1473" s="210" t="s">
        <v>201</v>
      </c>
    </row>
    <row r="1474" spans="1:5" ht="27">
      <c r="A1474" s="257">
        <v>97988</v>
      </c>
      <c r="B1474" s="257" t="s">
        <v>5302</v>
      </c>
      <c r="C1474" s="257" t="s">
        <v>90</v>
      </c>
      <c r="D1474" s="260" t="s">
        <v>14768</v>
      </c>
      <c r="E1474" s="210" t="s">
        <v>201</v>
      </c>
    </row>
    <row r="1475" spans="1:5" ht="27">
      <c r="A1475" s="257">
        <v>97989</v>
      </c>
      <c r="B1475" s="257" t="s">
        <v>5303</v>
      </c>
      <c r="C1475" s="257" t="s">
        <v>5</v>
      </c>
      <c r="D1475" s="260" t="s">
        <v>14769</v>
      </c>
      <c r="E1475" s="210" t="s">
        <v>201</v>
      </c>
    </row>
    <row r="1476" spans="1:5" ht="27">
      <c r="A1476" s="257">
        <v>97991</v>
      </c>
      <c r="B1476" s="257" t="s">
        <v>5304</v>
      </c>
      <c r="C1476" s="257" t="s">
        <v>5</v>
      </c>
      <c r="D1476" s="260" t="s">
        <v>14770</v>
      </c>
      <c r="E1476" s="210" t="s">
        <v>201</v>
      </c>
    </row>
    <row r="1477" spans="1:5" ht="27">
      <c r="A1477" s="257">
        <v>97992</v>
      </c>
      <c r="B1477" s="257" t="s">
        <v>5305</v>
      </c>
      <c r="C1477" s="257" t="s">
        <v>90</v>
      </c>
      <c r="D1477" s="260" t="s">
        <v>14771</v>
      </c>
      <c r="E1477" s="210" t="s">
        <v>201</v>
      </c>
    </row>
    <row r="1478" spans="1:5" ht="27">
      <c r="A1478" s="257">
        <v>97993</v>
      </c>
      <c r="B1478" s="257" t="s">
        <v>5306</v>
      </c>
      <c r="C1478" s="257" t="s">
        <v>5</v>
      </c>
      <c r="D1478" s="260" t="s">
        <v>14772</v>
      </c>
      <c r="E1478" s="210" t="s">
        <v>201</v>
      </c>
    </row>
    <row r="1479" spans="1:5" ht="27">
      <c r="A1479" s="257">
        <v>97994</v>
      </c>
      <c r="B1479" s="257" t="s">
        <v>5307</v>
      </c>
      <c r="C1479" s="257" t="s">
        <v>90</v>
      </c>
      <c r="D1479" s="260" t="s">
        <v>14773</v>
      </c>
      <c r="E1479" s="210" t="s">
        <v>201</v>
      </c>
    </row>
    <row r="1480" spans="1:5" ht="27">
      <c r="A1480" s="257">
        <v>97995</v>
      </c>
      <c r="B1480" s="257" t="s">
        <v>5308</v>
      </c>
      <c r="C1480" s="257" t="s">
        <v>5</v>
      </c>
      <c r="D1480" s="260" t="s">
        <v>14774</v>
      </c>
      <c r="E1480" s="210" t="s">
        <v>201</v>
      </c>
    </row>
    <row r="1481" spans="1:5" ht="27">
      <c r="A1481" s="257">
        <v>97996</v>
      </c>
      <c r="B1481" s="257" t="s">
        <v>5309</v>
      </c>
      <c r="C1481" s="257" t="s">
        <v>90</v>
      </c>
      <c r="D1481" s="260" t="s">
        <v>14775</v>
      </c>
      <c r="E1481" s="210" t="s">
        <v>201</v>
      </c>
    </row>
    <row r="1482" spans="1:5" ht="27">
      <c r="A1482" s="257">
        <v>97997</v>
      </c>
      <c r="B1482" s="257" t="s">
        <v>5310</v>
      </c>
      <c r="C1482" s="257" t="s">
        <v>5</v>
      </c>
      <c r="D1482" s="260" t="s">
        <v>14776</v>
      </c>
      <c r="E1482" s="210" t="s">
        <v>201</v>
      </c>
    </row>
    <row r="1483" spans="1:5" ht="27">
      <c r="A1483" s="257">
        <v>97999</v>
      </c>
      <c r="B1483" s="257" t="s">
        <v>5311</v>
      </c>
      <c r="C1483" s="257" t="s">
        <v>5</v>
      </c>
      <c r="D1483" s="260" t="s">
        <v>14777</v>
      </c>
      <c r="E1483" s="210" t="s">
        <v>201</v>
      </c>
    </row>
    <row r="1484" spans="1:5" ht="27">
      <c r="A1484" s="257">
        <v>98001</v>
      </c>
      <c r="B1484" s="257" t="s">
        <v>5312</v>
      </c>
      <c r="C1484" s="257" t="s">
        <v>5</v>
      </c>
      <c r="D1484" s="260" t="s">
        <v>14778</v>
      </c>
      <c r="E1484" s="210" t="s">
        <v>201</v>
      </c>
    </row>
    <row r="1485" spans="1:5" ht="27">
      <c r="A1485" s="257">
        <v>98002</v>
      </c>
      <c r="B1485" s="257" t="s">
        <v>5313</v>
      </c>
      <c r="C1485" s="257" t="s">
        <v>90</v>
      </c>
      <c r="D1485" s="259" t="s">
        <v>14779</v>
      </c>
      <c r="E1485" s="210" t="s">
        <v>201</v>
      </c>
    </row>
    <row r="1486" spans="1:5" ht="27">
      <c r="A1486" s="257">
        <v>98003</v>
      </c>
      <c r="B1486" s="257" t="s">
        <v>5314</v>
      </c>
      <c r="C1486" s="257" t="s">
        <v>5</v>
      </c>
      <c r="D1486" s="260" t="s">
        <v>14780</v>
      </c>
      <c r="E1486" s="210" t="s">
        <v>201</v>
      </c>
    </row>
    <row r="1487" spans="1:5" ht="27">
      <c r="A1487" s="257">
        <v>98005</v>
      </c>
      <c r="B1487" s="257" t="s">
        <v>5315</v>
      </c>
      <c r="C1487" s="257" t="s">
        <v>5</v>
      </c>
      <c r="D1487" s="259" t="s">
        <v>14781</v>
      </c>
      <c r="E1487" s="210" t="s">
        <v>201</v>
      </c>
    </row>
    <row r="1488" spans="1:5" ht="27">
      <c r="A1488" s="257">
        <v>98006</v>
      </c>
      <c r="B1488" s="257" t="s">
        <v>5316</v>
      </c>
      <c r="C1488" s="257" t="s">
        <v>90</v>
      </c>
      <c r="D1488" s="260" t="s">
        <v>14782</v>
      </c>
      <c r="E1488" s="210" t="s">
        <v>201</v>
      </c>
    </row>
    <row r="1489" spans="1:5" ht="27">
      <c r="A1489" s="257">
        <v>98007</v>
      </c>
      <c r="B1489" s="257" t="s">
        <v>5317</v>
      </c>
      <c r="C1489" s="257" t="s">
        <v>5</v>
      </c>
      <c r="D1489" s="260" t="s">
        <v>14783</v>
      </c>
      <c r="E1489" s="210" t="s">
        <v>201</v>
      </c>
    </row>
    <row r="1490" spans="1:5" ht="27">
      <c r="A1490" s="257">
        <v>98008</v>
      </c>
      <c r="B1490" s="257" t="s">
        <v>5318</v>
      </c>
      <c r="C1490" s="257" t="s">
        <v>90</v>
      </c>
      <c r="D1490" s="260" t="s">
        <v>14784</v>
      </c>
      <c r="E1490" s="210" t="s">
        <v>201</v>
      </c>
    </row>
    <row r="1491" spans="1:5" ht="27">
      <c r="A1491" s="257">
        <v>98009</v>
      </c>
      <c r="B1491" s="257" t="s">
        <v>5319</v>
      </c>
      <c r="C1491" s="257" t="s">
        <v>5</v>
      </c>
      <c r="D1491" s="260" t="s">
        <v>14777</v>
      </c>
      <c r="E1491" s="210" t="s">
        <v>201</v>
      </c>
    </row>
    <row r="1492" spans="1:5" ht="27">
      <c r="A1492" s="258">
        <v>98010</v>
      </c>
      <c r="B1492" s="257" t="s">
        <v>5320</v>
      </c>
      <c r="C1492" s="257" t="s">
        <v>90</v>
      </c>
      <c r="D1492" s="259" t="s">
        <v>14785</v>
      </c>
      <c r="E1492" s="210" t="s">
        <v>201</v>
      </c>
    </row>
    <row r="1493" spans="1:5" ht="27">
      <c r="A1493" s="258">
        <v>98011</v>
      </c>
      <c r="B1493" s="257" t="s">
        <v>5321</v>
      </c>
      <c r="C1493" s="257" t="s">
        <v>5</v>
      </c>
      <c r="D1493" s="259" t="s">
        <v>14778</v>
      </c>
      <c r="E1493" s="210" t="s">
        <v>201</v>
      </c>
    </row>
    <row r="1494" spans="1:5" ht="27">
      <c r="A1494" s="258">
        <v>98012</v>
      </c>
      <c r="B1494" s="257" t="s">
        <v>5322</v>
      </c>
      <c r="C1494" s="257" t="s">
        <v>90</v>
      </c>
      <c r="D1494" s="260" t="s">
        <v>14786</v>
      </c>
      <c r="E1494" s="210" t="s">
        <v>201</v>
      </c>
    </row>
    <row r="1495" spans="1:5" ht="27">
      <c r="A1495" s="258">
        <v>98013</v>
      </c>
      <c r="B1495" s="257" t="s">
        <v>5323</v>
      </c>
      <c r="C1495" s="257" t="s">
        <v>5</v>
      </c>
      <c r="D1495" s="260" t="s">
        <v>14780</v>
      </c>
      <c r="E1495" s="210" t="s">
        <v>201</v>
      </c>
    </row>
    <row r="1496" spans="1:5" ht="27">
      <c r="A1496" s="258">
        <v>98014</v>
      </c>
      <c r="B1496" s="257" t="s">
        <v>5324</v>
      </c>
      <c r="C1496" s="257" t="s">
        <v>90</v>
      </c>
      <c r="D1496" s="260" t="s">
        <v>14787</v>
      </c>
      <c r="E1496" s="210" t="s">
        <v>201</v>
      </c>
    </row>
    <row r="1497" spans="1:5" ht="27">
      <c r="A1497" s="258">
        <v>98015</v>
      </c>
      <c r="B1497" s="257" t="s">
        <v>5325</v>
      </c>
      <c r="C1497" s="257" t="s">
        <v>5</v>
      </c>
      <c r="D1497" s="260" t="s">
        <v>14781</v>
      </c>
      <c r="E1497" s="210" t="s">
        <v>201</v>
      </c>
    </row>
    <row r="1498" spans="1:5" ht="27">
      <c r="A1498" s="258">
        <v>98016</v>
      </c>
      <c r="B1498" s="257" t="s">
        <v>5326</v>
      </c>
      <c r="C1498" s="257" t="s">
        <v>90</v>
      </c>
      <c r="D1498" s="260" t="s">
        <v>14788</v>
      </c>
      <c r="E1498" s="210" t="s">
        <v>201</v>
      </c>
    </row>
    <row r="1499" spans="1:5" ht="27">
      <c r="A1499" s="258">
        <v>98017</v>
      </c>
      <c r="B1499" s="257" t="s">
        <v>5327</v>
      </c>
      <c r="C1499" s="257" t="s">
        <v>5</v>
      </c>
      <c r="D1499" s="260" t="s">
        <v>14783</v>
      </c>
      <c r="E1499" s="210" t="s">
        <v>201</v>
      </c>
    </row>
    <row r="1500" spans="1:5" ht="27">
      <c r="A1500" s="258">
        <v>98018</v>
      </c>
      <c r="B1500" s="257" t="s">
        <v>5328</v>
      </c>
      <c r="C1500" s="257" t="s">
        <v>90</v>
      </c>
      <c r="D1500" s="259" t="s">
        <v>14789</v>
      </c>
      <c r="E1500" s="210" t="s">
        <v>201</v>
      </c>
    </row>
    <row r="1501" spans="1:5" ht="27">
      <c r="A1501" s="258">
        <v>98019</v>
      </c>
      <c r="B1501" s="257" t="s">
        <v>5329</v>
      </c>
      <c r="C1501" s="257" t="s">
        <v>5</v>
      </c>
      <c r="D1501" s="259" t="s">
        <v>14790</v>
      </c>
      <c r="E1501" s="210" t="s">
        <v>201</v>
      </c>
    </row>
    <row r="1502" spans="1:5" ht="27">
      <c r="A1502" s="258">
        <v>98020</v>
      </c>
      <c r="B1502" s="257" t="s">
        <v>5330</v>
      </c>
      <c r="C1502" s="257" t="s">
        <v>90</v>
      </c>
      <c r="D1502" s="259" t="s">
        <v>14791</v>
      </c>
      <c r="E1502" s="210" t="s">
        <v>201</v>
      </c>
    </row>
    <row r="1503" spans="1:5" ht="27">
      <c r="A1503" s="258">
        <v>98021</v>
      </c>
      <c r="B1503" s="257" t="s">
        <v>5331</v>
      </c>
      <c r="C1503" s="257" t="s">
        <v>5</v>
      </c>
      <c r="D1503" s="259" t="s">
        <v>14792</v>
      </c>
      <c r="E1503" s="210" t="s">
        <v>201</v>
      </c>
    </row>
    <row r="1504" spans="1:5" ht="27">
      <c r="A1504" s="258">
        <v>98022</v>
      </c>
      <c r="B1504" s="257" t="s">
        <v>5332</v>
      </c>
      <c r="C1504" s="257" t="s">
        <v>90</v>
      </c>
      <c r="D1504" s="259" t="s">
        <v>14793</v>
      </c>
      <c r="E1504" s="210" t="s">
        <v>201</v>
      </c>
    </row>
    <row r="1505" spans="1:5" ht="27">
      <c r="A1505" s="258">
        <v>98023</v>
      </c>
      <c r="B1505" s="257" t="s">
        <v>5333</v>
      </c>
      <c r="C1505" s="257" t="s">
        <v>5</v>
      </c>
      <c r="D1505" s="259" t="s">
        <v>14794</v>
      </c>
      <c r="E1505" s="210" t="s">
        <v>201</v>
      </c>
    </row>
    <row r="1506" spans="1:5" ht="27">
      <c r="A1506" s="258">
        <v>98024</v>
      </c>
      <c r="B1506" s="257" t="s">
        <v>5334</v>
      </c>
      <c r="C1506" s="257" t="s">
        <v>90</v>
      </c>
      <c r="D1506" s="259" t="s">
        <v>14795</v>
      </c>
      <c r="E1506" s="210" t="s">
        <v>201</v>
      </c>
    </row>
    <row r="1507" spans="1:5" ht="27">
      <c r="A1507" s="258">
        <v>98025</v>
      </c>
      <c r="B1507" s="257" t="s">
        <v>5335</v>
      </c>
      <c r="C1507" s="257" t="s">
        <v>5</v>
      </c>
      <c r="D1507" s="259" t="s">
        <v>14796</v>
      </c>
      <c r="E1507" s="210" t="s">
        <v>201</v>
      </c>
    </row>
    <row r="1508" spans="1:5" ht="27">
      <c r="A1508" s="258">
        <v>98026</v>
      </c>
      <c r="B1508" s="257" t="s">
        <v>5336</v>
      </c>
      <c r="C1508" s="257" t="s">
        <v>90</v>
      </c>
      <c r="D1508" s="259" t="s">
        <v>14797</v>
      </c>
      <c r="E1508" s="210" t="s">
        <v>201</v>
      </c>
    </row>
    <row r="1509" spans="1:5" ht="27">
      <c r="A1509" s="258">
        <v>98027</v>
      </c>
      <c r="B1509" s="257" t="s">
        <v>5337</v>
      </c>
      <c r="C1509" s="257" t="s">
        <v>5</v>
      </c>
      <c r="D1509" s="259" t="s">
        <v>14790</v>
      </c>
      <c r="E1509" s="210" t="s">
        <v>201</v>
      </c>
    </row>
    <row r="1510" spans="1:5" ht="27">
      <c r="A1510" s="258">
        <v>98028</v>
      </c>
      <c r="B1510" s="257" t="s">
        <v>5338</v>
      </c>
      <c r="C1510" s="257" t="s">
        <v>90</v>
      </c>
      <c r="D1510" s="259" t="s">
        <v>14798</v>
      </c>
      <c r="E1510" s="210" t="s">
        <v>201</v>
      </c>
    </row>
    <row r="1511" spans="1:5" ht="27">
      <c r="A1511" s="258">
        <v>98029</v>
      </c>
      <c r="B1511" s="257" t="s">
        <v>5339</v>
      </c>
      <c r="C1511" s="257" t="s">
        <v>5</v>
      </c>
      <c r="D1511" s="259" t="s">
        <v>14799</v>
      </c>
      <c r="E1511" s="210" t="s">
        <v>201</v>
      </c>
    </row>
    <row r="1512" spans="1:5" ht="27">
      <c r="A1512" s="258">
        <v>98030</v>
      </c>
      <c r="B1512" s="257" t="s">
        <v>5340</v>
      </c>
      <c r="C1512" s="257" t="s">
        <v>90</v>
      </c>
      <c r="D1512" s="259" t="s">
        <v>14800</v>
      </c>
      <c r="E1512" s="210" t="s">
        <v>201</v>
      </c>
    </row>
    <row r="1513" spans="1:5" ht="27">
      <c r="A1513" s="258">
        <v>98031</v>
      </c>
      <c r="B1513" s="257" t="s">
        <v>5341</v>
      </c>
      <c r="C1513" s="257" t="s">
        <v>5</v>
      </c>
      <c r="D1513" s="259" t="s">
        <v>14801</v>
      </c>
      <c r="E1513" s="210" t="s">
        <v>201</v>
      </c>
    </row>
    <row r="1514" spans="1:5" ht="27">
      <c r="A1514" s="258">
        <v>98032</v>
      </c>
      <c r="B1514" s="257" t="s">
        <v>5342</v>
      </c>
      <c r="C1514" s="257" t="s">
        <v>90</v>
      </c>
      <c r="D1514" s="259" t="s">
        <v>14802</v>
      </c>
      <c r="E1514" s="210" t="s">
        <v>201</v>
      </c>
    </row>
    <row r="1515" spans="1:5" ht="27">
      <c r="A1515" s="258">
        <v>98033</v>
      </c>
      <c r="B1515" s="257" t="s">
        <v>5343</v>
      </c>
      <c r="C1515" s="257" t="s">
        <v>5</v>
      </c>
      <c r="D1515" s="259" t="s">
        <v>14803</v>
      </c>
      <c r="E1515" s="210" t="s">
        <v>201</v>
      </c>
    </row>
    <row r="1516" spans="1:5" ht="27">
      <c r="A1516" s="258">
        <v>98034</v>
      </c>
      <c r="B1516" s="257" t="s">
        <v>5344</v>
      </c>
      <c r="C1516" s="257" t="s">
        <v>90</v>
      </c>
      <c r="D1516" s="259" t="s">
        <v>14804</v>
      </c>
      <c r="E1516" s="210" t="s">
        <v>201</v>
      </c>
    </row>
    <row r="1517" spans="1:5" ht="27">
      <c r="A1517" s="258">
        <v>98035</v>
      </c>
      <c r="B1517" s="257" t="s">
        <v>5345</v>
      </c>
      <c r="C1517" s="257" t="s">
        <v>5</v>
      </c>
      <c r="D1517" s="259" t="s">
        <v>14799</v>
      </c>
      <c r="E1517" s="210" t="s">
        <v>201</v>
      </c>
    </row>
    <row r="1518" spans="1:5" ht="27">
      <c r="A1518" s="258">
        <v>98036</v>
      </c>
      <c r="B1518" s="257" t="s">
        <v>5346</v>
      </c>
      <c r="C1518" s="257" t="s">
        <v>90</v>
      </c>
      <c r="D1518" s="259" t="s">
        <v>14805</v>
      </c>
      <c r="E1518" s="210" t="s">
        <v>201</v>
      </c>
    </row>
    <row r="1519" spans="1:5" ht="27">
      <c r="A1519" s="258">
        <v>98037</v>
      </c>
      <c r="B1519" s="257" t="s">
        <v>5347</v>
      </c>
      <c r="C1519" s="257" t="s">
        <v>5</v>
      </c>
      <c r="D1519" s="259" t="s">
        <v>14806</v>
      </c>
      <c r="E1519" s="210" t="s">
        <v>201</v>
      </c>
    </row>
    <row r="1520" spans="1:5" ht="27">
      <c r="A1520" s="258">
        <v>98038</v>
      </c>
      <c r="B1520" s="257" t="s">
        <v>5348</v>
      </c>
      <c r="C1520" s="257" t="s">
        <v>90</v>
      </c>
      <c r="D1520" s="259" t="s">
        <v>14807</v>
      </c>
      <c r="E1520" s="210" t="s">
        <v>201</v>
      </c>
    </row>
    <row r="1521" spans="1:5" ht="27">
      <c r="A1521" s="258">
        <v>98039</v>
      </c>
      <c r="B1521" s="257" t="s">
        <v>5349</v>
      </c>
      <c r="C1521" s="257" t="s">
        <v>5</v>
      </c>
      <c r="D1521" s="259" t="s">
        <v>14808</v>
      </c>
      <c r="E1521" s="210" t="s">
        <v>201</v>
      </c>
    </row>
    <row r="1522" spans="1:5" ht="27">
      <c r="A1522" s="258">
        <v>98040</v>
      </c>
      <c r="B1522" s="257" t="s">
        <v>5350</v>
      </c>
      <c r="C1522" s="257" t="s">
        <v>90</v>
      </c>
      <c r="D1522" s="259" t="s">
        <v>14809</v>
      </c>
      <c r="E1522" s="210" t="s">
        <v>201</v>
      </c>
    </row>
    <row r="1523" spans="1:5" ht="27">
      <c r="A1523" s="258">
        <v>98041</v>
      </c>
      <c r="B1523" s="257" t="s">
        <v>5351</v>
      </c>
      <c r="C1523" s="257" t="s">
        <v>5</v>
      </c>
      <c r="D1523" s="259" t="s">
        <v>14806</v>
      </c>
      <c r="E1523" s="210" t="s">
        <v>201</v>
      </c>
    </row>
    <row r="1524" spans="1:5" ht="27">
      <c r="A1524" s="258">
        <v>98042</v>
      </c>
      <c r="B1524" s="257" t="s">
        <v>5352</v>
      </c>
      <c r="C1524" s="257" t="s">
        <v>90</v>
      </c>
      <c r="D1524" s="259" t="s">
        <v>14810</v>
      </c>
      <c r="E1524" s="210" t="s">
        <v>201</v>
      </c>
    </row>
    <row r="1525" spans="1:5" ht="27">
      <c r="A1525" s="258">
        <v>98043</v>
      </c>
      <c r="B1525" s="257" t="s">
        <v>5353</v>
      </c>
      <c r="C1525" s="257" t="s">
        <v>5</v>
      </c>
      <c r="D1525" s="259" t="s">
        <v>14811</v>
      </c>
      <c r="E1525" s="210" t="s">
        <v>201</v>
      </c>
    </row>
    <row r="1526" spans="1:5" ht="27">
      <c r="A1526" s="258">
        <v>98044</v>
      </c>
      <c r="B1526" s="257" t="s">
        <v>5354</v>
      </c>
      <c r="C1526" s="257" t="s">
        <v>90</v>
      </c>
      <c r="D1526" s="259" t="s">
        <v>14812</v>
      </c>
      <c r="E1526" s="210" t="s">
        <v>201</v>
      </c>
    </row>
    <row r="1527" spans="1:5" ht="27">
      <c r="A1527" s="258">
        <v>98045</v>
      </c>
      <c r="B1527" s="257" t="s">
        <v>5355</v>
      </c>
      <c r="C1527" s="257" t="s">
        <v>5</v>
      </c>
      <c r="D1527" s="259" t="s">
        <v>14811</v>
      </c>
      <c r="E1527" s="210" t="s">
        <v>201</v>
      </c>
    </row>
    <row r="1528" spans="1:5" ht="27">
      <c r="A1528" s="258">
        <v>98046</v>
      </c>
      <c r="B1528" s="257" t="s">
        <v>5356</v>
      </c>
      <c r="C1528" s="257" t="s">
        <v>90</v>
      </c>
      <c r="D1528" s="259" t="s">
        <v>14813</v>
      </c>
      <c r="E1528" s="210" t="s">
        <v>201</v>
      </c>
    </row>
    <row r="1529" spans="1:5" ht="27">
      <c r="A1529" s="258">
        <v>98047</v>
      </c>
      <c r="B1529" s="257" t="s">
        <v>5357</v>
      </c>
      <c r="C1529" s="257" t="s">
        <v>5</v>
      </c>
      <c r="D1529" s="259" t="s">
        <v>14814</v>
      </c>
      <c r="E1529" s="210" t="s">
        <v>201</v>
      </c>
    </row>
    <row r="1530" spans="1:5" ht="27">
      <c r="A1530" s="258">
        <v>98048</v>
      </c>
      <c r="B1530" s="257" t="s">
        <v>5358</v>
      </c>
      <c r="C1530" s="257" t="s">
        <v>90</v>
      </c>
      <c r="D1530" s="259" t="s">
        <v>14815</v>
      </c>
      <c r="E1530" s="210" t="s">
        <v>201</v>
      </c>
    </row>
    <row r="1531" spans="1:5" ht="27">
      <c r="A1531" s="258">
        <v>98049</v>
      </c>
      <c r="B1531" s="257" t="s">
        <v>5359</v>
      </c>
      <c r="C1531" s="257" t="s">
        <v>5</v>
      </c>
      <c r="D1531" s="259" t="s">
        <v>14816</v>
      </c>
      <c r="E1531" s="210" t="s">
        <v>201</v>
      </c>
    </row>
    <row r="1532" spans="1:5" ht="27">
      <c r="A1532" s="258">
        <v>98050</v>
      </c>
      <c r="B1532" s="257" t="s">
        <v>5360</v>
      </c>
      <c r="C1532" s="257" t="s">
        <v>5</v>
      </c>
      <c r="D1532" s="259" t="s">
        <v>14817</v>
      </c>
      <c r="E1532" s="210" t="s">
        <v>201</v>
      </c>
    </row>
    <row r="1533" spans="1:5" ht="27">
      <c r="A1533" s="258">
        <v>98051</v>
      </c>
      <c r="B1533" s="257" t="s">
        <v>5361</v>
      </c>
      <c r="C1533" s="257" t="s">
        <v>5</v>
      </c>
      <c r="D1533" s="259" t="s">
        <v>14818</v>
      </c>
      <c r="E1533" s="210" t="s">
        <v>201</v>
      </c>
    </row>
    <row r="1534" spans="1:5" ht="27">
      <c r="A1534" s="258">
        <v>98405</v>
      </c>
      <c r="B1534" s="257" t="s">
        <v>5362</v>
      </c>
      <c r="C1534" s="257" t="s">
        <v>90</v>
      </c>
      <c r="D1534" s="259" t="s">
        <v>14819</v>
      </c>
      <c r="E1534" s="210" t="s">
        <v>201</v>
      </c>
    </row>
    <row r="1535" spans="1:5" ht="27">
      <c r="A1535" s="258">
        <v>98406</v>
      </c>
      <c r="B1535" s="257" t="s">
        <v>5363</v>
      </c>
      <c r="C1535" s="257" t="s">
        <v>90</v>
      </c>
      <c r="D1535" s="259" t="s">
        <v>14820</v>
      </c>
      <c r="E1535" s="210" t="s">
        <v>201</v>
      </c>
    </row>
    <row r="1536" spans="1:5" ht="27">
      <c r="A1536" s="258">
        <v>98407</v>
      </c>
      <c r="B1536" s="257" t="s">
        <v>5364</v>
      </c>
      <c r="C1536" s="257" t="s">
        <v>90</v>
      </c>
      <c r="D1536" s="259" t="s">
        <v>14821</v>
      </c>
      <c r="E1536" s="210" t="s">
        <v>201</v>
      </c>
    </row>
    <row r="1537" spans="1:5" ht="27">
      <c r="A1537" s="258">
        <v>98408</v>
      </c>
      <c r="B1537" s="257" t="s">
        <v>5365</v>
      </c>
      <c r="C1537" s="257" t="s">
        <v>90</v>
      </c>
      <c r="D1537" s="259" t="s">
        <v>14822</v>
      </c>
      <c r="E1537" s="210" t="s">
        <v>201</v>
      </c>
    </row>
    <row r="1538" spans="1:5" ht="27">
      <c r="A1538" s="258">
        <v>98409</v>
      </c>
      <c r="B1538" s="257" t="s">
        <v>5366</v>
      </c>
      <c r="C1538" s="257" t="s">
        <v>5</v>
      </c>
      <c r="D1538" s="259" t="s">
        <v>14823</v>
      </c>
      <c r="E1538" s="210" t="s">
        <v>201</v>
      </c>
    </row>
    <row r="1539" spans="1:5" ht="27">
      <c r="A1539" s="258">
        <v>98414</v>
      </c>
      <c r="B1539" s="257" t="s">
        <v>5367</v>
      </c>
      <c r="C1539" s="257" t="s">
        <v>90</v>
      </c>
      <c r="D1539" s="259" t="s">
        <v>14824</v>
      </c>
      <c r="E1539" s="210" t="s">
        <v>201</v>
      </c>
    </row>
    <row r="1540" spans="1:5" ht="27">
      <c r="A1540" s="258">
        <v>98415</v>
      </c>
      <c r="B1540" s="257" t="s">
        <v>5368</v>
      </c>
      <c r="C1540" s="257" t="s">
        <v>90</v>
      </c>
      <c r="D1540" s="259" t="s">
        <v>14824</v>
      </c>
      <c r="E1540" s="210" t="s">
        <v>201</v>
      </c>
    </row>
    <row r="1541" spans="1:5" ht="27">
      <c r="A1541" s="258">
        <v>98416</v>
      </c>
      <c r="B1541" s="257" t="s">
        <v>5369</v>
      </c>
      <c r="C1541" s="257" t="s">
        <v>90</v>
      </c>
      <c r="D1541" s="259" t="s">
        <v>14825</v>
      </c>
      <c r="E1541" s="210" t="s">
        <v>201</v>
      </c>
    </row>
    <row r="1542" spans="1:5" ht="27">
      <c r="A1542" s="258">
        <v>98417</v>
      </c>
      <c r="B1542" s="257" t="s">
        <v>5370</v>
      </c>
      <c r="C1542" s="257" t="s">
        <v>90</v>
      </c>
      <c r="D1542" s="259" t="s">
        <v>14826</v>
      </c>
      <c r="E1542" s="210" t="s">
        <v>201</v>
      </c>
    </row>
    <row r="1543" spans="1:5" ht="27">
      <c r="A1543" s="258">
        <v>98418</v>
      </c>
      <c r="B1543" s="257" t="s">
        <v>5371</v>
      </c>
      <c r="C1543" s="257" t="s">
        <v>90</v>
      </c>
      <c r="D1543" s="259" t="s">
        <v>14827</v>
      </c>
      <c r="E1543" s="210" t="s">
        <v>201</v>
      </c>
    </row>
    <row r="1544" spans="1:5" ht="27">
      <c r="A1544" s="258">
        <v>98419</v>
      </c>
      <c r="B1544" s="257" t="s">
        <v>5372</v>
      </c>
      <c r="C1544" s="257" t="s">
        <v>90</v>
      </c>
      <c r="D1544" s="259" t="s">
        <v>14828</v>
      </c>
      <c r="E1544" s="210" t="s">
        <v>201</v>
      </c>
    </row>
    <row r="1545" spans="1:5" ht="40.5">
      <c r="A1545" s="258">
        <v>98420</v>
      </c>
      <c r="B1545" s="257" t="s">
        <v>5373</v>
      </c>
      <c r="C1545" s="257" t="s">
        <v>90</v>
      </c>
      <c r="D1545" s="259" t="s">
        <v>14829</v>
      </c>
      <c r="E1545" s="210" t="s">
        <v>201</v>
      </c>
    </row>
    <row r="1546" spans="1:5" ht="40.5">
      <c r="A1546" s="258">
        <v>98421</v>
      </c>
      <c r="B1546" s="257" t="s">
        <v>5374</v>
      </c>
      <c r="C1546" s="257" t="s">
        <v>90</v>
      </c>
      <c r="D1546" s="259" t="s">
        <v>14830</v>
      </c>
      <c r="E1546" s="210" t="s">
        <v>201</v>
      </c>
    </row>
    <row r="1547" spans="1:5" ht="40.5">
      <c r="A1547" s="258">
        <v>98422</v>
      </c>
      <c r="B1547" s="257" t="s">
        <v>5375</v>
      </c>
      <c r="C1547" s="257" t="s">
        <v>90</v>
      </c>
      <c r="D1547" s="259" t="s">
        <v>14831</v>
      </c>
      <c r="E1547" s="210" t="s">
        <v>201</v>
      </c>
    </row>
    <row r="1548" spans="1:5" ht="40.5">
      <c r="A1548" s="258">
        <v>98423</v>
      </c>
      <c r="B1548" s="257" t="s">
        <v>5376</v>
      </c>
      <c r="C1548" s="257" t="s">
        <v>90</v>
      </c>
      <c r="D1548" s="259" t="s">
        <v>14832</v>
      </c>
      <c r="E1548" s="210" t="s">
        <v>201</v>
      </c>
    </row>
    <row r="1549" spans="1:5" ht="40.5">
      <c r="A1549" s="258">
        <v>98424</v>
      </c>
      <c r="B1549" s="257" t="s">
        <v>5377</v>
      </c>
      <c r="C1549" s="257" t="s">
        <v>90</v>
      </c>
      <c r="D1549" s="259" t="s">
        <v>14833</v>
      </c>
      <c r="E1549" s="210" t="s">
        <v>201</v>
      </c>
    </row>
    <row r="1550" spans="1:5" ht="40.5">
      <c r="A1550" s="258">
        <v>98425</v>
      </c>
      <c r="B1550" s="257" t="s">
        <v>5378</v>
      </c>
      <c r="C1550" s="257" t="s">
        <v>90</v>
      </c>
      <c r="D1550" s="259" t="s">
        <v>14768</v>
      </c>
      <c r="E1550" s="210" t="s">
        <v>201</v>
      </c>
    </row>
    <row r="1551" spans="1:5" ht="40.5">
      <c r="A1551" s="258">
        <v>98426</v>
      </c>
      <c r="B1551" s="257" t="s">
        <v>5379</v>
      </c>
      <c r="C1551" s="257" t="s">
        <v>90</v>
      </c>
      <c r="D1551" s="259" t="s">
        <v>14834</v>
      </c>
      <c r="E1551" s="210" t="s">
        <v>201</v>
      </c>
    </row>
    <row r="1552" spans="1:5" ht="40.5">
      <c r="A1552" s="258">
        <v>98427</v>
      </c>
      <c r="B1552" s="257" t="s">
        <v>5380</v>
      </c>
      <c r="C1552" s="257" t="s">
        <v>90</v>
      </c>
      <c r="D1552" s="259" t="s">
        <v>14835</v>
      </c>
      <c r="E1552" s="210" t="s">
        <v>201</v>
      </c>
    </row>
    <row r="1553" spans="1:5" ht="40.5">
      <c r="A1553" s="258">
        <v>98428</v>
      </c>
      <c r="B1553" s="257" t="s">
        <v>5381</v>
      </c>
      <c r="C1553" s="257" t="s">
        <v>90</v>
      </c>
      <c r="D1553" s="259" t="s">
        <v>14836</v>
      </c>
      <c r="E1553" s="210" t="s">
        <v>201</v>
      </c>
    </row>
    <row r="1554" spans="1:5" ht="40.5">
      <c r="A1554" s="258">
        <v>98429</v>
      </c>
      <c r="B1554" s="257" t="s">
        <v>5382</v>
      </c>
      <c r="C1554" s="257" t="s">
        <v>90</v>
      </c>
      <c r="D1554" s="259" t="s">
        <v>14837</v>
      </c>
      <c r="E1554" s="210" t="s">
        <v>201</v>
      </c>
    </row>
    <row r="1555" spans="1:5" ht="40.5">
      <c r="A1555" s="257">
        <v>98430</v>
      </c>
      <c r="B1555" s="257" t="s">
        <v>5383</v>
      </c>
      <c r="C1555" s="257" t="s">
        <v>90</v>
      </c>
      <c r="D1555" s="259" t="s">
        <v>14838</v>
      </c>
      <c r="E1555" s="210" t="s">
        <v>201</v>
      </c>
    </row>
    <row r="1556" spans="1:5" ht="40.5">
      <c r="A1556" s="257">
        <v>98431</v>
      </c>
      <c r="B1556" s="257" t="s">
        <v>5384</v>
      </c>
      <c r="C1556" s="257" t="s">
        <v>90</v>
      </c>
      <c r="D1556" s="259" t="s">
        <v>14839</v>
      </c>
      <c r="E1556" s="210" t="s">
        <v>201</v>
      </c>
    </row>
    <row r="1557" spans="1:5" ht="40.5">
      <c r="A1557" s="258">
        <v>98432</v>
      </c>
      <c r="B1557" s="257" t="s">
        <v>5385</v>
      </c>
      <c r="C1557" s="257" t="s">
        <v>90</v>
      </c>
      <c r="D1557" s="259" t="s">
        <v>14840</v>
      </c>
      <c r="E1557" s="210" t="s">
        <v>201</v>
      </c>
    </row>
    <row r="1558" spans="1:5" ht="40.5">
      <c r="A1558" s="258">
        <v>98433</v>
      </c>
      <c r="B1558" s="257" t="s">
        <v>5386</v>
      </c>
      <c r="C1558" s="257" t="s">
        <v>90</v>
      </c>
      <c r="D1558" s="259" t="s">
        <v>14841</v>
      </c>
      <c r="E1558" s="210" t="s">
        <v>201</v>
      </c>
    </row>
    <row r="1559" spans="1:5" ht="40.5">
      <c r="A1559" s="258">
        <v>98434</v>
      </c>
      <c r="B1559" s="257" t="s">
        <v>5387</v>
      </c>
      <c r="C1559" s="257" t="s">
        <v>90</v>
      </c>
      <c r="D1559" s="259" t="s">
        <v>14842</v>
      </c>
      <c r="E1559" s="210" t="s">
        <v>201</v>
      </c>
    </row>
    <row r="1560" spans="1:5" ht="27">
      <c r="A1560" s="258">
        <v>99240</v>
      </c>
      <c r="B1560" s="257" t="s">
        <v>5388</v>
      </c>
      <c r="C1560" s="257" t="s">
        <v>5</v>
      </c>
      <c r="D1560" s="259" t="s">
        <v>14843</v>
      </c>
      <c r="E1560" s="210" t="s">
        <v>201</v>
      </c>
    </row>
    <row r="1561" spans="1:5" ht="27">
      <c r="A1561" s="258">
        <v>99241</v>
      </c>
      <c r="B1561" s="257" t="s">
        <v>5389</v>
      </c>
      <c r="C1561" s="257" t="s">
        <v>5</v>
      </c>
      <c r="D1561" s="259" t="s">
        <v>14844</v>
      </c>
      <c r="E1561" s="210" t="s">
        <v>201</v>
      </c>
    </row>
    <row r="1562" spans="1:5" ht="27">
      <c r="A1562" s="257">
        <v>99242</v>
      </c>
      <c r="B1562" s="257" t="s">
        <v>5390</v>
      </c>
      <c r="C1562" s="257" t="s">
        <v>90</v>
      </c>
      <c r="D1562" s="259" t="s">
        <v>14845</v>
      </c>
      <c r="E1562" s="210" t="s">
        <v>201</v>
      </c>
    </row>
    <row r="1563" spans="1:5" ht="27">
      <c r="A1563" s="257">
        <v>99243</v>
      </c>
      <c r="B1563" s="257" t="s">
        <v>5391</v>
      </c>
      <c r="C1563" s="257" t="s">
        <v>5</v>
      </c>
      <c r="D1563" s="259" t="s">
        <v>14846</v>
      </c>
      <c r="E1563" s="210" t="s">
        <v>201</v>
      </c>
    </row>
    <row r="1564" spans="1:5" ht="27">
      <c r="A1564" s="258">
        <v>99244</v>
      </c>
      <c r="B1564" s="257" t="s">
        <v>5392</v>
      </c>
      <c r="C1564" s="257" t="s">
        <v>90</v>
      </c>
      <c r="D1564" s="259" t="s">
        <v>14847</v>
      </c>
      <c r="E1564" s="210" t="s">
        <v>201</v>
      </c>
    </row>
    <row r="1565" spans="1:5" ht="27">
      <c r="A1565" s="258">
        <v>99246</v>
      </c>
      <c r="B1565" s="257" t="s">
        <v>5393</v>
      </c>
      <c r="C1565" s="257" t="s">
        <v>5</v>
      </c>
      <c r="D1565" s="259" t="s">
        <v>14848</v>
      </c>
      <c r="E1565" s="210" t="s">
        <v>201</v>
      </c>
    </row>
    <row r="1566" spans="1:5" ht="27">
      <c r="A1566" s="258">
        <v>99247</v>
      </c>
      <c r="B1566" s="257" t="s">
        <v>5394</v>
      </c>
      <c r="C1566" s="257" t="s">
        <v>5</v>
      </c>
      <c r="D1566" s="259" t="s">
        <v>14849</v>
      </c>
      <c r="E1566" s="210" t="s">
        <v>201</v>
      </c>
    </row>
    <row r="1567" spans="1:5" ht="27">
      <c r="A1567" s="258">
        <v>99248</v>
      </c>
      <c r="B1567" s="257" t="s">
        <v>5395</v>
      </c>
      <c r="C1567" s="257" t="s">
        <v>90</v>
      </c>
      <c r="D1567" s="259" t="s">
        <v>14850</v>
      </c>
      <c r="E1567" s="210" t="s">
        <v>201</v>
      </c>
    </row>
    <row r="1568" spans="1:5" ht="27">
      <c r="A1568" s="258">
        <v>99249</v>
      </c>
      <c r="B1568" s="257" t="s">
        <v>5396</v>
      </c>
      <c r="C1568" s="257" t="s">
        <v>5</v>
      </c>
      <c r="D1568" s="259" t="s">
        <v>14851</v>
      </c>
      <c r="E1568" s="210" t="s">
        <v>201</v>
      </c>
    </row>
    <row r="1569" spans="1:5" ht="27">
      <c r="A1569" s="258">
        <v>99252</v>
      </c>
      <c r="B1569" s="257" t="s">
        <v>5397</v>
      </c>
      <c r="C1569" s="257" t="s">
        <v>90</v>
      </c>
      <c r="D1569" s="259" t="s">
        <v>14852</v>
      </c>
      <c r="E1569" s="210" t="s">
        <v>201</v>
      </c>
    </row>
    <row r="1570" spans="1:5" ht="27">
      <c r="A1570" s="258">
        <v>99254</v>
      </c>
      <c r="B1570" s="257" t="s">
        <v>5398</v>
      </c>
      <c r="C1570" s="257" t="s">
        <v>5</v>
      </c>
      <c r="D1570" s="259" t="s">
        <v>14853</v>
      </c>
      <c r="E1570" s="210" t="s">
        <v>201</v>
      </c>
    </row>
    <row r="1571" spans="1:5" ht="27">
      <c r="A1571" s="258">
        <v>99256</v>
      </c>
      <c r="B1571" s="257" t="s">
        <v>5399</v>
      </c>
      <c r="C1571" s="257" t="s">
        <v>90</v>
      </c>
      <c r="D1571" s="259" t="s">
        <v>14854</v>
      </c>
      <c r="E1571" s="210" t="s">
        <v>201</v>
      </c>
    </row>
    <row r="1572" spans="1:5" ht="27">
      <c r="A1572" s="258">
        <v>99259</v>
      </c>
      <c r="B1572" s="257" t="s">
        <v>5400</v>
      </c>
      <c r="C1572" s="257" t="s">
        <v>90</v>
      </c>
      <c r="D1572" s="259" t="s">
        <v>14855</v>
      </c>
      <c r="E1572" s="210" t="s">
        <v>201</v>
      </c>
    </row>
    <row r="1573" spans="1:5" ht="27">
      <c r="A1573" s="258">
        <v>99261</v>
      </c>
      <c r="B1573" s="257" t="s">
        <v>5401</v>
      </c>
      <c r="C1573" s="257" t="s">
        <v>5</v>
      </c>
      <c r="D1573" s="259" t="s">
        <v>14856</v>
      </c>
      <c r="E1573" s="210" t="s">
        <v>201</v>
      </c>
    </row>
    <row r="1574" spans="1:5" ht="27">
      <c r="A1574" s="258">
        <v>99263</v>
      </c>
      <c r="B1574" s="257" t="s">
        <v>5402</v>
      </c>
      <c r="C1574" s="257" t="s">
        <v>5</v>
      </c>
      <c r="D1574" s="259" t="s">
        <v>14857</v>
      </c>
      <c r="E1574" s="210" t="s">
        <v>201</v>
      </c>
    </row>
    <row r="1575" spans="1:5" ht="27">
      <c r="A1575" s="258">
        <v>99265</v>
      </c>
      <c r="B1575" s="257" t="s">
        <v>5403</v>
      </c>
      <c r="C1575" s="257" t="s">
        <v>90</v>
      </c>
      <c r="D1575" s="259" t="s">
        <v>14858</v>
      </c>
      <c r="E1575" s="210" t="s">
        <v>201</v>
      </c>
    </row>
    <row r="1576" spans="1:5" ht="27">
      <c r="A1576" s="258">
        <v>99266</v>
      </c>
      <c r="B1576" s="257" t="s">
        <v>5404</v>
      </c>
      <c r="C1576" s="257" t="s">
        <v>5</v>
      </c>
      <c r="D1576" s="259" t="s">
        <v>14844</v>
      </c>
      <c r="E1576" s="210" t="s">
        <v>201</v>
      </c>
    </row>
    <row r="1577" spans="1:5" ht="27">
      <c r="A1577" s="258">
        <v>99267</v>
      </c>
      <c r="B1577" s="257" t="s">
        <v>5405</v>
      </c>
      <c r="C1577" s="257" t="s">
        <v>90</v>
      </c>
      <c r="D1577" s="259" t="s">
        <v>14859</v>
      </c>
      <c r="E1577" s="210" t="s">
        <v>201</v>
      </c>
    </row>
    <row r="1578" spans="1:5" ht="27">
      <c r="A1578" s="258">
        <v>99269</v>
      </c>
      <c r="B1578" s="257" t="s">
        <v>5406</v>
      </c>
      <c r="C1578" s="257" t="s">
        <v>5</v>
      </c>
      <c r="D1578" s="259" t="s">
        <v>14849</v>
      </c>
      <c r="E1578" s="210" t="s">
        <v>201</v>
      </c>
    </row>
    <row r="1579" spans="1:5" ht="27">
      <c r="A1579" s="258">
        <v>99271</v>
      </c>
      <c r="B1579" s="257" t="s">
        <v>5407</v>
      </c>
      <c r="C1579" s="257" t="s">
        <v>90</v>
      </c>
      <c r="D1579" s="259" t="s">
        <v>14860</v>
      </c>
      <c r="E1579" s="210" t="s">
        <v>201</v>
      </c>
    </row>
    <row r="1580" spans="1:5" ht="27">
      <c r="A1580" s="258">
        <v>99272</v>
      </c>
      <c r="B1580" s="257" t="s">
        <v>5408</v>
      </c>
      <c r="C1580" s="257" t="s">
        <v>90</v>
      </c>
      <c r="D1580" s="259" t="s">
        <v>14861</v>
      </c>
      <c r="E1580" s="210" t="s">
        <v>201</v>
      </c>
    </row>
    <row r="1581" spans="1:5" ht="27">
      <c r="A1581" s="258">
        <v>99273</v>
      </c>
      <c r="B1581" s="257" t="s">
        <v>5409</v>
      </c>
      <c r="C1581" s="257" t="s">
        <v>90</v>
      </c>
      <c r="D1581" s="259" t="s">
        <v>14862</v>
      </c>
      <c r="E1581" s="210" t="s">
        <v>201</v>
      </c>
    </row>
    <row r="1582" spans="1:5" ht="27">
      <c r="A1582" s="258">
        <v>99274</v>
      </c>
      <c r="B1582" s="257" t="s">
        <v>5410</v>
      </c>
      <c r="C1582" s="257" t="s">
        <v>90</v>
      </c>
      <c r="D1582" s="259" t="s">
        <v>14863</v>
      </c>
      <c r="E1582" s="210" t="s">
        <v>201</v>
      </c>
    </row>
    <row r="1583" spans="1:5" ht="27">
      <c r="A1583" s="258">
        <v>99276</v>
      </c>
      <c r="B1583" s="257" t="s">
        <v>5411</v>
      </c>
      <c r="C1583" s="257" t="s">
        <v>5</v>
      </c>
      <c r="D1583" s="259" t="s">
        <v>14864</v>
      </c>
      <c r="E1583" s="210" t="s">
        <v>201</v>
      </c>
    </row>
    <row r="1584" spans="1:5" ht="27">
      <c r="A1584" s="258">
        <v>99277</v>
      </c>
      <c r="B1584" s="257" t="s">
        <v>5412</v>
      </c>
      <c r="C1584" s="257" t="s">
        <v>5</v>
      </c>
      <c r="D1584" s="259" t="s">
        <v>14857</v>
      </c>
      <c r="E1584" s="210" t="s">
        <v>201</v>
      </c>
    </row>
    <row r="1585" spans="1:5" ht="27">
      <c r="A1585" s="258">
        <v>99278</v>
      </c>
      <c r="B1585" s="257" t="s">
        <v>5413</v>
      </c>
      <c r="C1585" s="257" t="s">
        <v>5</v>
      </c>
      <c r="D1585" s="259" t="s">
        <v>14865</v>
      </c>
      <c r="E1585" s="210" t="s">
        <v>201</v>
      </c>
    </row>
    <row r="1586" spans="1:5" ht="27">
      <c r="A1586" s="258">
        <v>99279</v>
      </c>
      <c r="B1586" s="257" t="s">
        <v>5414</v>
      </c>
      <c r="C1586" s="257" t="s">
        <v>90</v>
      </c>
      <c r="D1586" s="259" t="s">
        <v>14866</v>
      </c>
      <c r="E1586" s="210" t="s">
        <v>201</v>
      </c>
    </row>
    <row r="1587" spans="1:5" ht="27">
      <c r="A1587" s="258">
        <v>99280</v>
      </c>
      <c r="B1587" s="257" t="s">
        <v>5415</v>
      </c>
      <c r="C1587" s="257" t="s">
        <v>90</v>
      </c>
      <c r="D1587" s="259" t="s">
        <v>14867</v>
      </c>
      <c r="E1587" s="210" t="s">
        <v>201</v>
      </c>
    </row>
    <row r="1588" spans="1:5" ht="27">
      <c r="A1588" s="258">
        <v>99281</v>
      </c>
      <c r="B1588" s="257" t="s">
        <v>5416</v>
      </c>
      <c r="C1588" s="257" t="s">
        <v>5</v>
      </c>
      <c r="D1588" s="259" t="s">
        <v>14864</v>
      </c>
      <c r="E1588" s="210" t="s">
        <v>201</v>
      </c>
    </row>
    <row r="1589" spans="1:5" ht="27">
      <c r="A1589" s="258">
        <v>99282</v>
      </c>
      <c r="B1589" s="257" t="s">
        <v>5417</v>
      </c>
      <c r="C1589" s="257" t="s">
        <v>5</v>
      </c>
      <c r="D1589" s="259" t="s">
        <v>14868</v>
      </c>
      <c r="E1589" s="210" t="s">
        <v>201</v>
      </c>
    </row>
    <row r="1590" spans="1:5" ht="27">
      <c r="A1590" s="258">
        <v>99283</v>
      </c>
      <c r="B1590" s="257" t="s">
        <v>5418</v>
      </c>
      <c r="C1590" s="257" t="s">
        <v>5</v>
      </c>
      <c r="D1590" s="259" t="s">
        <v>14869</v>
      </c>
      <c r="E1590" s="210" t="s">
        <v>201</v>
      </c>
    </row>
    <row r="1591" spans="1:5" ht="27">
      <c r="A1591" s="258">
        <v>99284</v>
      </c>
      <c r="B1591" s="257" t="s">
        <v>5419</v>
      </c>
      <c r="C1591" s="257" t="s">
        <v>90</v>
      </c>
      <c r="D1591" s="259" t="s">
        <v>14870</v>
      </c>
      <c r="E1591" s="210" t="s">
        <v>201</v>
      </c>
    </row>
    <row r="1592" spans="1:5" ht="27">
      <c r="A1592" s="258">
        <v>99286</v>
      </c>
      <c r="B1592" s="257" t="s">
        <v>5420</v>
      </c>
      <c r="C1592" s="257" t="s">
        <v>90</v>
      </c>
      <c r="D1592" s="259" t="s">
        <v>14871</v>
      </c>
      <c r="E1592" s="210" t="s">
        <v>201</v>
      </c>
    </row>
    <row r="1593" spans="1:5" ht="27">
      <c r="A1593" s="258">
        <v>99287</v>
      </c>
      <c r="B1593" s="257" t="s">
        <v>5421</v>
      </c>
      <c r="C1593" s="257" t="s">
        <v>90</v>
      </c>
      <c r="D1593" s="259" t="s">
        <v>14872</v>
      </c>
      <c r="E1593" s="210" t="s">
        <v>201</v>
      </c>
    </row>
    <row r="1594" spans="1:5" ht="27">
      <c r="A1594" s="258">
        <v>99288</v>
      </c>
      <c r="B1594" s="257" t="s">
        <v>5422</v>
      </c>
      <c r="C1594" s="257" t="s">
        <v>5</v>
      </c>
      <c r="D1594" s="259" t="s">
        <v>14873</v>
      </c>
      <c r="E1594" s="210" t="s">
        <v>201</v>
      </c>
    </row>
    <row r="1595" spans="1:5" ht="27">
      <c r="A1595" s="258">
        <v>99289</v>
      </c>
      <c r="B1595" s="257" t="s">
        <v>5423</v>
      </c>
      <c r="C1595" s="257" t="s">
        <v>5</v>
      </c>
      <c r="D1595" s="259" t="s">
        <v>14874</v>
      </c>
      <c r="E1595" s="210" t="s">
        <v>201</v>
      </c>
    </row>
    <row r="1596" spans="1:5" ht="27">
      <c r="A1596" s="258">
        <v>99290</v>
      </c>
      <c r="B1596" s="257" t="s">
        <v>5424</v>
      </c>
      <c r="C1596" s="257" t="s">
        <v>90</v>
      </c>
      <c r="D1596" s="259" t="s">
        <v>14875</v>
      </c>
      <c r="E1596" s="210" t="s">
        <v>201</v>
      </c>
    </row>
    <row r="1597" spans="1:5" ht="27">
      <c r="A1597" s="258">
        <v>99291</v>
      </c>
      <c r="B1597" s="257" t="s">
        <v>5425</v>
      </c>
      <c r="C1597" s="257" t="s">
        <v>5</v>
      </c>
      <c r="D1597" s="259" t="s">
        <v>14874</v>
      </c>
      <c r="E1597" s="210" t="s">
        <v>201</v>
      </c>
    </row>
    <row r="1598" spans="1:5" ht="27">
      <c r="A1598" s="258">
        <v>99292</v>
      </c>
      <c r="B1598" s="257" t="s">
        <v>5426</v>
      </c>
      <c r="C1598" s="257" t="s">
        <v>90</v>
      </c>
      <c r="D1598" s="259" t="s">
        <v>14876</v>
      </c>
      <c r="E1598" s="210" t="s">
        <v>201</v>
      </c>
    </row>
    <row r="1599" spans="1:5" ht="27">
      <c r="A1599" s="258">
        <v>99293</v>
      </c>
      <c r="B1599" s="257" t="s">
        <v>5427</v>
      </c>
      <c r="C1599" s="257" t="s">
        <v>5</v>
      </c>
      <c r="D1599" s="259" t="s">
        <v>14877</v>
      </c>
      <c r="E1599" s="210" t="s">
        <v>201</v>
      </c>
    </row>
    <row r="1600" spans="1:5" ht="27">
      <c r="A1600" s="258">
        <v>99294</v>
      </c>
      <c r="B1600" s="257" t="s">
        <v>5428</v>
      </c>
      <c r="C1600" s="257" t="s">
        <v>90</v>
      </c>
      <c r="D1600" s="259" t="s">
        <v>14878</v>
      </c>
      <c r="E1600" s="210" t="s">
        <v>201</v>
      </c>
    </row>
    <row r="1601" spans="1:5" ht="27">
      <c r="A1601" s="258">
        <v>99296</v>
      </c>
      <c r="B1601" s="257" t="s">
        <v>5429</v>
      </c>
      <c r="C1601" s="257" t="s">
        <v>5</v>
      </c>
      <c r="D1601" s="259" t="s">
        <v>14879</v>
      </c>
      <c r="E1601" s="210" t="s">
        <v>201</v>
      </c>
    </row>
    <row r="1602" spans="1:5" ht="27">
      <c r="A1602" s="258">
        <v>99297</v>
      </c>
      <c r="B1602" s="257" t="s">
        <v>5430</v>
      </c>
      <c r="C1602" s="257" t="s">
        <v>5</v>
      </c>
      <c r="D1602" s="259" t="s">
        <v>14880</v>
      </c>
      <c r="E1602" s="210" t="s">
        <v>201</v>
      </c>
    </row>
    <row r="1603" spans="1:5" ht="27">
      <c r="A1603" s="258">
        <v>99298</v>
      </c>
      <c r="B1603" s="257" t="s">
        <v>5431</v>
      </c>
      <c r="C1603" s="257" t="s">
        <v>90</v>
      </c>
      <c r="D1603" s="259" t="s">
        <v>14881</v>
      </c>
      <c r="E1603" s="210" t="s">
        <v>201</v>
      </c>
    </row>
    <row r="1604" spans="1:5" ht="27">
      <c r="A1604" s="258">
        <v>99299</v>
      </c>
      <c r="B1604" s="257" t="s">
        <v>5432</v>
      </c>
      <c r="C1604" s="257" t="s">
        <v>5</v>
      </c>
      <c r="D1604" s="259" t="s">
        <v>14882</v>
      </c>
      <c r="E1604" s="210" t="s">
        <v>201</v>
      </c>
    </row>
    <row r="1605" spans="1:5" ht="27">
      <c r="A1605" s="258">
        <v>99300</v>
      </c>
      <c r="B1605" s="257" t="s">
        <v>5433</v>
      </c>
      <c r="C1605" s="257" t="s">
        <v>90</v>
      </c>
      <c r="D1605" s="259" t="s">
        <v>14883</v>
      </c>
      <c r="E1605" s="210" t="s">
        <v>201</v>
      </c>
    </row>
    <row r="1606" spans="1:5" ht="27">
      <c r="A1606" s="258">
        <v>99301</v>
      </c>
      <c r="B1606" s="257" t="s">
        <v>5434</v>
      </c>
      <c r="C1606" s="257" t="s">
        <v>90</v>
      </c>
      <c r="D1606" s="259" t="s">
        <v>14884</v>
      </c>
      <c r="E1606" s="210" t="s">
        <v>201</v>
      </c>
    </row>
    <row r="1607" spans="1:5" ht="27">
      <c r="A1607" s="258">
        <v>99302</v>
      </c>
      <c r="B1607" s="257" t="s">
        <v>5435</v>
      </c>
      <c r="C1607" s="257" t="s">
        <v>5</v>
      </c>
      <c r="D1607" s="259" t="s">
        <v>14885</v>
      </c>
      <c r="E1607" s="210" t="s">
        <v>201</v>
      </c>
    </row>
    <row r="1608" spans="1:5" ht="27">
      <c r="A1608" s="258">
        <v>99303</v>
      </c>
      <c r="B1608" s="257" t="s">
        <v>5436</v>
      </c>
      <c r="C1608" s="257" t="s">
        <v>90</v>
      </c>
      <c r="D1608" s="259" t="s">
        <v>14886</v>
      </c>
      <c r="E1608" s="210" t="s">
        <v>201</v>
      </c>
    </row>
    <row r="1609" spans="1:5" ht="27">
      <c r="A1609" s="258">
        <v>99304</v>
      </c>
      <c r="B1609" s="257" t="s">
        <v>5437</v>
      </c>
      <c r="C1609" s="257" t="s">
        <v>5</v>
      </c>
      <c r="D1609" s="259" t="s">
        <v>14887</v>
      </c>
      <c r="E1609" s="210" t="s">
        <v>201</v>
      </c>
    </row>
    <row r="1610" spans="1:5" ht="27">
      <c r="A1610" s="258">
        <v>99305</v>
      </c>
      <c r="B1610" s="257" t="s">
        <v>5438</v>
      </c>
      <c r="C1610" s="257" t="s">
        <v>90</v>
      </c>
      <c r="D1610" s="259" t="s">
        <v>14888</v>
      </c>
      <c r="E1610" s="210" t="s">
        <v>201</v>
      </c>
    </row>
    <row r="1611" spans="1:5" ht="27">
      <c r="A1611" s="258">
        <v>99306</v>
      </c>
      <c r="B1611" s="257" t="s">
        <v>5439</v>
      </c>
      <c r="C1611" s="257" t="s">
        <v>5</v>
      </c>
      <c r="D1611" s="259" t="s">
        <v>14885</v>
      </c>
      <c r="E1611" s="210" t="s">
        <v>201</v>
      </c>
    </row>
    <row r="1612" spans="1:5" ht="27">
      <c r="A1612" s="258">
        <v>99307</v>
      </c>
      <c r="B1612" s="257" t="s">
        <v>5440</v>
      </c>
      <c r="C1612" s="257" t="s">
        <v>5</v>
      </c>
      <c r="D1612" s="259" t="s">
        <v>14889</v>
      </c>
      <c r="E1612" s="210" t="s">
        <v>201</v>
      </c>
    </row>
    <row r="1613" spans="1:5" ht="27">
      <c r="A1613" s="258">
        <v>99308</v>
      </c>
      <c r="B1613" s="257" t="s">
        <v>5441</v>
      </c>
      <c r="C1613" s="257" t="s">
        <v>90</v>
      </c>
      <c r="D1613" s="259" t="s">
        <v>14890</v>
      </c>
      <c r="E1613" s="210" t="s">
        <v>201</v>
      </c>
    </row>
    <row r="1614" spans="1:5" ht="27">
      <c r="A1614" s="258">
        <v>99309</v>
      </c>
      <c r="B1614" s="257" t="s">
        <v>5442</v>
      </c>
      <c r="C1614" s="257" t="s">
        <v>5</v>
      </c>
      <c r="D1614" s="259" t="s">
        <v>14891</v>
      </c>
      <c r="E1614" s="210" t="s">
        <v>201</v>
      </c>
    </row>
    <row r="1615" spans="1:5" ht="27">
      <c r="A1615" s="258">
        <v>99310</v>
      </c>
      <c r="B1615" s="257" t="s">
        <v>5443</v>
      </c>
      <c r="C1615" s="257" t="s">
        <v>90</v>
      </c>
      <c r="D1615" s="259" t="s">
        <v>14892</v>
      </c>
      <c r="E1615" s="210" t="s">
        <v>201</v>
      </c>
    </row>
    <row r="1616" spans="1:5" ht="27">
      <c r="A1616" s="258">
        <v>99311</v>
      </c>
      <c r="B1616" s="257" t="s">
        <v>5444</v>
      </c>
      <c r="C1616" s="257" t="s">
        <v>5</v>
      </c>
      <c r="D1616" s="259" t="s">
        <v>14891</v>
      </c>
      <c r="E1616" s="210" t="s">
        <v>201</v>
      </c>
    </row>
    <row r="1617" spans="1:5" ht="27">
      <c r="A1617" s="258">
        <v>99312</v>
      </c>
      <c r="B1617" s="257" t="s">
        <v>5445</v>
      </c>
      <c r="C1617" s="257" t="s">
        <v>90</v>
      </c>
      <c r="D1617" s="259" t="s">
        <v>14893</v>
      </c>
      <c r="E1617" s="210" t="s">
        <v>201</v>
      </c>
    </row>
    <row r="1618" spans="1:5" ht="27">
      <c r="A1618" s="258">
        <v>99313</v>
      </c>
      <c r="B1618" s="257" t="s">
        <v>5446</v>
      </c>
      <c r="C1618" s="257" t="s">
        <v>90</v>
      </c>
      <c r="D1618" s="259" t="s">
        <v>14894</v>
      </c>
      <c r="E1618" s="210" t="s">
        <v>201</v>
      </c>
    </row>
    <row r="1619" spans="1:5" ht="27">
      <c r="A1619" s="258">
        <v>99314</v>
      </c>
      <c r="B1619" s="257" t="s">
        <v>5447</v>
      </c>
      <c r="C1619" s="257" t="s">
        <v>5</v>
      </c>
      <c r="D1619" s="259" t="s">
        <v>14895</v>
      </c>
      <c r="E1619" s="210" t="s">
        <v>201</v>
      </c>
    </row>
    <row r="1620" spans="1:5" ht="27">
      <c r="A1620" s="258">
        <v>99315</v>
      </c>
      <c r="B1620" s="257" t="s">
        <v>5448</v>
      </c>
      <c r="C1620" s="257" t="s">
        <v>90</v>
      </c>
      <c r="D1620" s="259" t="s">
        <v>14896</v>
      </c>
      <c r="E1620" s="210" t="s">
        <v>201</v>
      </c>
    </row>
    <row r="1621" spans="1:5" ht="27">
      <c r="A1621" s="258">
        <v>99317</v>
      </c>
      <c r="B1621" s="257" t="s">
        <v>5449</v>
      </c>
      <c r="C1621" s="257" t="s">
        <v>5</v>
      </c>
      <c r="D1621" s="259" t="s">
        <v>14897</v>
      </c>
      <c r="E1621" s="210" t="s">
        <v>201</v>
      </c>
    </row>
    <row r="1622" spans="1:5" ht="27">
      <c r="A1622" s="258">
        <v>99318</v>
      </c>
      <c r="B1622" s="257" t="s">
        <v>5450</v>
      </c>
      <c r="C1622" s="257" t="s">
        <v>5</v>
      </c>
      <c r="D1622" s="259" t="s">
        <v>14898</v>
      </c>
      <c r="E1622" s="210" t="s">
        <v>201</v>
      </c>
    </row>
    <row r="1623" spans="1:5" ht="27">
      <c r="A1623" s="258">
        <v>99319</v>
      </c>
      <c r="B1623" s="257" t="s">
        <v>5451</v>
      </c>
      <c r="C1623" s="257" t="s">
        <v>5</v>
      </c>
      <c r="D1623" s="259" t="s">
        <v>14899</v>
      </c>
      <c r="E1623" s="210" t="s">
        <v>201</v>
      </c>
    </row>
    <row r="1624" spans="1:5" ht="27">
      <c r="A1624" s="258">
        <v>99320</v>
      </c>
      <c r="B1624" s="257" t="s">
        <v>5452</v>
      </c>
      <c r="C1624" s="257" t="s">
        <v>90</v>
      </c>
      <c r="D1624" s="259" t="s">
        <v>14900</v>
      </c>
      <c r="E1624" s="210" t="s">
        <v>201</v>
      </c>
    </row>
    <row r="1625" spans="1:5" ht="27">
      <c r="A1625" s="258">
        <v>99321</v>
      </c>
      <c r="B1625" s="257" t="s">
        <v>5453</v>
      </c>
      <c r="C1625" s="257" t="s">
        <v>5</v>
      </c>
      <c r="D1625" s="259" t="s">
        <v>14901</v>
      </c>
      <c r="E1625" s="210" t="s">
        <v>201</v>
      </c>
    </row>
    <row r="1626" spans="1:5" ht="27">
      <c r="A1626" s="258">
        <v>99322</v>
      </c>
      <c r="B1626" s="257" t="s">
        <v>5454</v>
      </c>
      <c r="C1626" s="257" t="s">
        <v>90</v>
      </c>
      <c r="D1626" s="259" t="s">
        <v>14902</v>
      </c>
      <c r="E1626" s="210" t="s">
        <v>201</v>
      </c>
    </row>
    <row r="1627" spans="1:5" ht="27">
      <c r="A1627" s="258">
        <v>99323</v>
      </c>
      <c r="B1627" s="257" t="s">
        <v>5455</v>
      </c>
      <c r="C1627" s="257" t="s">
        <v>5</v>
      </c>
      <c r="D1627" s="259" t="s">
        <v>14880</v>
      </c>
      <c r="E1627" s="210" t="s">
        <v>201</v>
      </c>
    </row>
    <row r="1628" spans="1:5" ht="27">
      <c r="A1628" s="258">
        <v>99324</v>
      </c>
      <c r="B1628" s="257" t="s">
        <v>5456</v>
      </c>
      <c r="C1628" s="257" t="s">
        <v>90</v>
      </c>
      <c r="D1628" s="259" t="s">
        <v>14903</v>
      </c>
      <c r="E1628" s="210" t="s">
        <v>201</v>
      </c>
    </row>
    <row r="1629" spans="1:5" ht="27">
      <c r="A1629" s="258">
        <v>99325</v>
      </c>
      <c r="B1629" s="257" t="s">
        <v>5457</v>
      </c>
      <c r="C1629" s="257" t="s">
        <v>5</v>
      </c>
      <c r="D1629" s="259" t="s">
        <v>14882</v>
      </c>
      <c r="E1629" s="210" t="s">
        <v>201</v>
      </c>
    </row>
    <row r="1630" spans="1:5" ht="27">
      <c r="A1630" s="258">
        <v>99326</v>
      </c>
      <c r="B1630" s="257" t="s">
        <v>5458</v>
      </c>
      <c r="C1630" s="257" t="s">
        <v>90</v>
      </c>
      <c r="D1630" s="259" t="s">
        <v>14904</v>
      </c>
      <c r="E1630" s="210" t="s">
        <v>201</v>
      </c>
    </row>
    <row r="1631" spans="1:5" ht="27">
      <c r="A1631" s="258">
        <v>99327</v>
      </c>
      <c r="B1631" s="257" t="s">
        <v>5459</v>
      </c>
      <c r="C1631" s="257" t="s">
        <v>5</v>
      </c>
      <c r="D1631" s="259" t="s">
        <v>14905</v>
      </c>
      <c r="E1631" s="210" t="s">
        <v>201</v>
      </c>
    </row>
    <row r="1632" spans="1:5" ht="27">
      <c r="A1632" s="258">
        <v>94263</v>
      </c>
      <c r="B1632" s="257" t="s">
        <v>5460</v>
      </c>
      <c r="C1632" s="257" t="s">
        <v>5</v>
      </c>
      <c r="D1632" s="259" t="s">
        <v>14906</v>
      </c>
      <c r="E1632" s="210" t="s">
        <v>201</v>
      </c>
    </row>
    <row r="1633" spans="1:5" ht="27">
      <c r="A1633" s="258">
        <v>94264</v>
      </c>
      <c r="B1633" s="257" t="s">
        <v>5461</v>
      </c>
      <c r="C1633" s="257" t="s">
        <v>5</v>
      </c>
      <c r="D1633" s="259" t="s">
        <v>14907</v>
      </c>
      <c r="E1633" s="210" t="s">
        <v>201</v>
      </c>
    </row>
    <row r="1634" spans="1:5" ht="27">
      <c r="A1634" s="258">
        <v>94265</v>
      </c>
      <c r="B1634" s="257" t="s">
        <v>5462</v>
      </c>
      <c r="C1634" s="257" t="s">
        <v>5</v>
      </c>
      <c r="D1634" s="259" t="s">
        <v>14908</v>
      </c>
      <c r="E1634" s="210" t="s">
        <v>201</v>
      </c>
    </row>
    <row r="1635" spans="1:5" ht="27">
      <c r="A1635" s="258">
        <v>94266</v>
      </c>
      <c r="B1635" s="257" t="s">
        <v>5463</v>
      </c>
      <c r="C1635" s="257" t="s">
        <v>5</v>
      </c>
      <c r="D1635" s="259" t="s">
        <v>14909</v>
      </c>
      <c r="E1635" s="210" t="s">
        <v>201</v>
      </c>
    </row>
    <row r="1636" spans="1:5" ht="27">
      <c r="A1636" s="258">
        <v>94267</v>
      </c>
      <c r="B1636" s="257" t="s">
        <v>5464</v>
      </c>
      <c r="C1636" s="257" t="s">
        <v>5</v>
      </c>
      <c r="D1636" s="259" t="s">
        <v>13713</v>
      </c>
      <c r="E1636" s="210" t="s">
        <v>201</v>
      </c>
    </row>
    <row r="1637" spans="1:5" ht="27">
      <c r="A1637" s="258">
        <v>94268</v>
      </c>
      <c r="B1637" s="257" t="s">
        <v>5465</v>
      </c>
      <c r="C1637" s="257" t="s">
        <v>5</v>
      </c>
      <c r="D1637" s="259" t="s">
        <v>14910</v>
      </c>
      <c r="E1637" s="210" t="s">
        <v>201</v>
      </c>
    </row>
    <row r="1638" spans="1:5" ht="27">
      <c r="A1638" s="258">
        <v>94269</v>
      </c>
      <c r="B1638" s="257" t="s">
        <v>5466</v>
      </c>
      <c r="C1638" s="257" t="s">
        <v>5</v>
      </c>
      <c r="D1638" s="259" t="s">
        <v>14911</v>
      </c>
      <c r="E1638" s="210" t="s">
        <v>201</v>
      </c>
    </row>
    <row r="1639" spans="1:5" ht="27">
      <c r="A1639" s="258">
        <v>94270</v>
      </c>
      <c r="B1639" s="257" t="s">
        <v>5467</v>
      </c>
      <c r="C1639" s="257" t="s">
        <v>5</v>
      </c>
      <c r="D1639" s="259" t="s">
        <v>14912</v>
      </c>
      <c r="E1639" s="210" t="s">
        <v>201</v>
      </c>
    </row>
    <row r="1640" spans="1:5" ht="27">
      <c r="A1640" s="258">
        <v>94271</v>
      </c>
      <c r="B1640" s="257" t="s">
        <v>5468</v>
      </c>
      <c r="C1640" s="257" t="s">
        <v>5</v>
      </c>
      <c r="D1640" s="259" t="s">
        <v>14913</v>
      </c>
      <c r="E1640" s="210" t="s">
        <v>201</v>
      </c>
    </row>
    <row r="1641" spans="1:5" ht="27">
      <c r="A1641" s="258">
        <v>94272</v>
      </c>
      <c r="B1641" s="257" t="s">
        <v>5469</v>
      </c>
      <c r="C1641" s="257" t="s">
        <v>5</v>
      </c>
      <c r="D1641" s="259" t="s">
        <v>14914</v>
      </c>
      <c r="E1641" s="210" t="s">
        <v>201</v>
      </c>
    </row>
    <row r="1642" spans="1:5" ht="40.5">
      <c r="A1642" s="258">
        <v>94273</v>
      </c>
      <c r="B1642" s="257" t="s">
        <v>1489</v>
      </c>
      <c r="C1642" s="257" t="s">
        <v>5</v>
      </c>
      <c r="D1642" s="259" t="s">
        <v>14915</v>
      </c>
      <c r="E1642" s="210" t="s">
        <v>201</v>
      </c>
    </row>
    <row r="1643" spans="1:5" ht="40.5">
      <c r="A1643" s="258">
        <v>94274</v>
      </c>
      <c r="B1643" s="257" t="s">
        <v>1490</v>
      </c>
      <c r="C1643" s="257" t="s">
        <v>5</v>
      </c>
      <c r="D1643" s="259" t="s">
        <v>14916</v>
      </c>
      <c r="E1643" s="210" t="s">
        <v>201</v>
      </c>
    </row>
    <row r="1644" spans="1:5" ht="40.5">
      <c r="A1644" s="258">
        <v>94275</v>
      </c>
      <c r="B1644" s="257" t="s">
        <v>270</v>
      </c>
      <c r="C1644" s="257" t="s">
        <v>5</v>
      </c>
      <c r="D1644" s="259" t="s">
        <v>14917</v>
      </c>
      <c r="E1644" s="210" t="s">
        <v>201</v>
      </c>
    </row>
    <row r="1645" spans="1:5" ht="40.5">
      <c r="A1645" s="258">
        <v>94276</v>
      </c>
      <c r="B1645" s="257" t="s">
        <v>1491</v>
      </c>
      <c r="C1645" s="257" t="s">
        <v>5</v>
      </c>
      <c r="D1645" s="259" t="s">
        <v>14918</v>
      </c>
      <c r="E1645" s="210" t="s">
        <v>201</v>
      </c>
    </row>
    <row r="1646" spans="1:5" ht="27">
      <c r="A1646" s="258">
        <v>94281</v>
      </c>
      <c r="B1646" s="257" t="s">
        <v>1492</v>
      </c>
      <c r="C1646" s="257" t="s">
        <v>5</v>
      </c>
      <c r="D1646" s="259" t="s">
        <v>14919</v>
      </c>
      <c r="E1646" s="210" t="s">
        <v>201</v>
      </c>
    </row>
    <row r="1647" spans="1:5" ht="27">
      <c r="A1647" s="257">
        <v>94282</v>
      </c>
      <c r="B1647" s="257" t="s">
        <v>1493</v>
      </c>
      <c r="C1647" s="257" t="s">
        <v>5</v>
      </c>
      <c r="D1647" s="260" t="s">
        <v>14920</v>
      </c>
      <c r="E1647" s="210" t="s">
        <v>201</v>
      </c>
    </row>
    <row r="1648" spans="1:5" ht="27">
      <c r="A1648" s="258">
        <v>94283</v>
      </c>
      <c r="B1648" s="257" t="s">
        <v>1494</v>
      </c>
      <c r="C1648" s="257" t="s">
        <v>5</v>
      </c>
      <c r="D1648" s="259" t="s">
        <v>14921</v>
      </c>
      <c r="E1648" s="210" t="s">
        <v>201</v>
      </c>
    </row>
    <row r="1649" spans="1:5" ht="27">
      <c r="A1649" s="258">
        <v>94284</v>
      </c>
      <c r="B1649" s="257" t="s">
        <v>1495</v>
      </c>
      <c r="C1649" s="257" t="s">
        <v>5</v>
      </c>
      <c r="D1649" s="259" t="s">
        <v>14922</v>
      </c>
      <c r="E1649" s="210" t="s">
        <v>201</v>
      </c>
    </row>
    <row r="1650" spans="1:5" ht="27">
      <c r="A1650" s="258">
        <v>94285</v>
      </c>
      <c r="B1650" s="257" t="s">
        <v>1496</v>
      </c>
      <c r="C1650" s="257" t="s">
        <v>5</v>
      </c>
      <c r="D1650" s="259" t="s">
        <v>14923</v>
      </c>
      <c r="E1650" s="210" t="s">
        <v>201</v>
      </c>
    </row>
    <row r="1651" spans="1:5" ht="27">
      <c r="A1651" s="258">
        <v>94286</v>
      </c>
      <c r="B1651" s="257" t="s">
        <v>1497</v>
      </c>
      <c r="C1651" s="257" t="s">
        <v>5</v>
      </c>
      <c r="D1651" s="259" t="s">
        <v>14924</v>
      </c>
      <c r="E1651" s="210" t="s">
        <v>201</v>
      </c>
    </row>
    <row r="1652" spans="1:5" ht="27">
      <c r="A1652" s="258">
        <v>94287</v>
      </c>
      <c r="B1652" s="257" t="s">
        <v>1498</v>
      </c>
      <c r="C1652" s="257" t="s">
        <v>5</v>
      </c>
      <c r="D1652" s="259" t="s">
        <v>14925</v>
      </c>
      <c r="E1652" s="210" t="s">
        <v>201</v>
      </c>
    </row>
    <row r="1653" spans="1:5" ht="27">
      <c r="A1653" s="258">
        <v>94288</v>
      </c>
      <c r="B1653" s="257" t="s">
        <v>1499</v>
      </c>
      <c r="C1653" s="257" t="s">
        <v>5</v>
      </c>
      <c r="D1653" s="259" t="s">
        <v>14926</v>
      </c>
      <c r="E1653" s="210" t="s">
        <v>201</v>
      </c>
    </row>
    <row r="1654" spans="1:5" ht="27">
      <c r="A1654" s="257">
        <v>94289</v>
      </c>
      <c r="B1654" s="257" t="s">
        <v>1500</v>
      </c>
      <c r="C1654" s="257" t="s">
        <v>5</v>
      </c>
      <c r="D1654" s="259" t="s">
        <v>14927</v>
      </c>
      <c r="E1654" s="210" t="s">
        <v>201</v>
      </c>
    </row>
    <row r="1655" spans="1:5" ht="27">
      <c r="A1655" s="257">
        <v>94290</v>
      </c>
      <c r="B1655" s="257" t="s">
        <v>1501</v>
      </c>
      <c r="C1655" s="257" t="s">
        <v>5</v>
      </c>
      <c r="D1655" s="259" t="s">
        <v>14928</v>
      </c>
      <c r="E1655" s="210" t="s">
        <v>201</v>
      </c>
    </row>
    <row r="1656" spans="1:5" ht="27">
      <c r="A1656" s="257">
        <v>94291</v>
      </c>
      <c r="B1656" s="257" t="s">
        <v>1502</v>
      </c>
      <c r="C1656" s="257" t="s">
        <v>5</v>
      </c>
      <c r="D1656" s="259" t="s">
        <v>14929</v>
      </c>
      <c r="E1656" s="210" t="s">
        <v>201</v>
      </c>
    </row>
    <row r="1657" spans="1:5" ht="27">
      <c r="A1657" s="257">
        <v>94292</v>
      </c>
      <c r="B1657" s="257" t="s">
        <v>1503</v>
      </c>
      <c r="C1657" s="257" t="s">
        <v>5</v>
      </c>
      <c r="D1657" s="259" t="s">
        <v>14930</v>
      </c>
      <c r="E1657" s="210" t="s">
        <v>201</v>
      </c>
    </row>
    <row r="1658" spans="1:5" ht="27">
      <c r="A1658" s="257">
        <v>94293</v>
      </c>
      <c r="B1658" s="257" t="s">
        <v>1504</v>
      </c>
      <c r="C1658" s="257" t="s">
        <v>5</v>
      </c>
      <c r="D1658" s="259" t="s">
        <v>14931</v>
      </c>
      <c r="E1658" s="210" t="s">
        <v>201</v>
      </c>
    </row>
    <row r="1659" spans="1:5" ht="13.5">
      <c r="A1659" s="257">
        <v>94294</v>
      </c>
      <c r="B1659" s="257" t="s">
        <v>1505</v>
      </c>
      <c r="C1659" s="257" t="s">
        <v>5</v>
      </c>
      <c r="D1659" s="259" t="s">
        <v>14932</v>
      </c>
      <c r="E1659" s="210" t="s">
        <v>201</v>
      </c>
    </row>
    <row r="1660" spans="1:5" ht="27">
      <c r="A1660" s="257">
        <v>94037</v>
      </c>
      <c r="B1660" s="257" t="s">
        <v>1506</v>
      </c>
      <c r="C1660" s="257" t="s">
        <v>150</v>
      </c>
      <c r="D1660" s="259" t="s">
        <v>14933</v>
      </c>
      <c r="E1660" s="210" t="s">
        <v>201</v>
      </c>
    </row>
    <row r="1661" spans="1:5" ht="27">
      <c r="A1661" s="257">
        <v>94038</v>
      </c>
      <c r="B1661" s="257" t="s">
        <v>1507</v>
      </c>
      <c r="C1661" s="257" t="s">
        <v>150</v>
      </c>
      <c r="D1661" s="259" t="s">
        <v>14934</v>
      </c>
      <c r="E1661" s="210" t="s">
        <v>201</v>
      </c>
    </row>
    <row r="1662" spans="1:5" ht="27">
      <c r="A1662" s="258">
        <v>94039</v>
      </c>
      <c r="B1662" s="257" t="s">
        <v>1508</v>
      </c>
      <c r="C1662" s="257" t="s">
        <v>150</v>
      </c>
      <c r="D1662" s="259" t="s">
        <v>14935</v>
      </c>
      <c r="E1662" s="210" t="s">
        <v>201</v>
      </c>
    </row>
    <row r="1663" spans="1:5" ht="27">
      <c r="A1663" s="258">
        <v>94040</v>
      </c>
      <c r="B1663" s="257" t="s">
        <v>1509</v>
      </c>
      <c r="C1663" s="257" t="s">
        <v>150</v>
      </c>
      <c r="D1663" s="259" t="s">
        <v>14936</v>
      </c>
      <c r="E1663" s="210" t="s">
        <v>201</v>
      </c>
    </row>
    <row r="1664" spans="1:5" ht="27">
      <c r="A1664" s="258">
        <v>94041</v>
      </c>
      <c r="B1664" s="257" t="s">
        <v>1510</v>
      </c>
      <c r="C1664" s="257" t="s">
        <v>150</v>
      </c>
      <c r="D1664" s="259" t="s">
        <v>14937</v>
      </c>
      <c r="E1664" s="210" t="s">
        <v>201</v>
      </c>
    </row>
    <row r="1665" spans="1:5" ht="27">
      <c r="A1665" s="258">
        <v>94042</v>
      </c>
      <c r="B1665" s="257" t="s">
        <v>1511</v>
      </c>
      <c r="C1665" s="257" t="s">
        <v>150</v>
      </c>
      <c r="D1665" s="259" t="s">
        <v>14938</v>
      </c>
      <c r="E1665" s="210" t="s">
        <v>201</v>
      </c>
    </row>
    <row r="1666" spans="1:5" ht="27">
      <c r="A1666" s="258">
        <v>94043</v>
      </c>
      <c r="B1666" s="257" t="s">
        <v>1512</v>
      </c>
      <c r="C1666" s="257" t="s">
        <v>150</v>
      </c>
      <c r="D1666" s="259" t="s">
        <v>14094</v>
      </c>
      <c r="E1666" s="210" t="s">
        <v>201</v>
      </c>
    </row>
    <row r="1667" spans="1:5" ht="27">
      <c r="A1667" s="258">
        <v>94044</v>
      </c>
      <c r="B1667" s="257" t="s">
        <v>1513</v>
      </c>
      <c r="C1667" s="257" t="s">
        <v>150</v>
      </c>
      <c r="D1667" s="259" t="s">
        <v>14939</v>
      </c>
      <c r="E1667" s="210" t="s">
        <v>201</v>
      </c>
    </row>
    <row r="1668" spans="1:5" ht="27">
      <c r="A1668" s="258">
        <v>94045</v>
      </c>
      <c r="B1668" s="257" t="s">
        <v>1514</v>
      </c>
      <c r="C1668" s="257" t="s">
        <v>150</v>
      </c>
      <c r="D1668" s="259" t="s">
        <v>14940</v>
      </c>
      <c r="E1668" s="210" t="s">
        <v>201</v>
      </c>
    </row>
    <row r="1669" spans="1:5" ht="27">
      <c r="A1669" s="258">
        <v>94046</v>
      </c>
      <c r="B1669" s="257" t="s">
        <v>1515</v>
      </c>
      <c r="C1669" s="257" t="s">
        <v>150</v>
      </c>
      <c r="D1669" s="259" t="s">
        <v>14941</v>
      </c>
      <c r="E1669" s="210" t="s">
        <v>201</v>
      </c>
    </row>
    <row r="1670" spans="1:5" ht="27">
      <c r="A1670" s="258">
        <v>94047</v>
      </c>
      <c r="B1670" s="257" t="s">
        <v>1516</v>
      </c>
      <c r="C1670" s="257" t="s">
        <v>150</v>
      </c>
      <c r="D1670" s="259" t="s">
        <v>14942</v>
      </c>
      <c r="E1670" s="210" t="s">
        <v>201</v>
      </c>
    </row>
    <row r="1671" spans="1:5" ht="27">
      <c r="A1671" s="257">
        <v>94048</v>
      </c>
      <c r="B1671" s="257" t="s">
        <v>1517</v>
      </c>
      <c r="C1671" s="257" t="s">
        <v>150</v>
      </c>
      <c r="D1671" s="259" t="s">
        <v>14943</v>
      </c>
      <c r="E1671" s="210" t="s">
        <v>201</v>
      </c>
    </row>
    <row r="1672" spans="1:5" ht="27">
      <c r="A1672" s="258">
        <v>94049</v>
      </c>
      <c r="B1672" s="257" t="s">
        <v>1518</v>
      </c>
      <c r="C1672" s="257" t="s">
        <v>150</v>
      </c>
      <c r="D1672" s="259" t="s">
        <v>14944</v>
      </c>
      <c r="E1672" s="210" t="s">
        <v>201</v>
      </c>
    </row>
    <row r="1673" spans="1:5" ht="27">
      <c r="A1673" s="257">
        <v>94050</v>
      </c>
      <c r="B1673" s="257" t="s">
        <v>1519</v>
      </c>
      <c r="C1673" s="257" t="s">
        <v>150</v>
      </c>
      <c r="D1673" s="259" t="s">
        <v>14945</v>
      </c>
      <c r="E1673" s="210" t="s">
        <v>201</v>
      </c>
    </row>
    <row r="1674" spans="1:5" ht="27">
      <c r="A1674" s="258">
        <v>94051</v>
      </c>
      <c r="B1674" s="257" t="s">
        <v>1520</v>
      </c>
      <c r="C1674" s="257" t="s">
        <v>150</v>
      </c>
      <c r="D1674" s="259" t="s">
        <v>14489</v>
      </c>
      <c r="E1674" s="210" t="s">
        <v>201</v>
      </c>
    </row>
    <row r="1675" spans="1:5" ht="27">
      <c r="A1675" s="258">
        <v>94052</v>
      </c>
      <c r="B1675" s="257" t="s">
        <v>1521</v>
      </c>
      <c r="C1675" s="257" t="s">
        <v>150</v>
      </c>
      <c r="D1675" s="259" t="s">
        <v>14946</v>
      </c>
      <c r="E1675" s="210" t="s">
        <v>201</v>
      </c>
    </row>
    <row r="1676" spans="1:5" ht="27">
      <c r="A1676" s="257">
        <v>94053</v>
      </c>
      <c r="B1676" s="257" t="s">
        <v>1522</v>
      </c>
      <c r="C1676" s="257" t="s">
        <v>150</v>
      </c>
      <c r="D1676" s="259" t="s">
        <v>14947</v>
      </c>
      <c r="E1676" s="210" t="s">
        <v>201</v>
      </c>
    </row>
    <row r="1677" spans="1:5" ht="27">
      <c r="A1677" s="257">
        <v>94054</v>
      </c>
      <c r="B1677" s="257" t="s">
        <v>1523</v>
      </c>
      <c r="C1677" s="257" t="s">
        <v>150</v>
      </c>
      <c r="D1677" s="259" t="s">
        <v>14948</v>
      </c>
      <c r="E1677" s="210" t="s">
        <v>201</v>
      </c>
    </row>
    <row r="1678" spans="1:5" ht="27">
      <c r="A1678" s="257">
        <v>94055</v>
      </c>
      <c r="B1678" s="257" t="s">
        <v>1524</v>
      </c>
      <c r="C1678" s="257" t="s">
        <v>150</v>
      </c>
      <c r="D1678" s="259" t="s">
        <v>14949</v>
      </c>
      <c r="E1678" s="210" t="s">
        <v>201</v>
      </c>
    </row>
    <row r="1679" spans="1:5" ht="27">
      <c r="A1679" s="257">
        <v>94056</v>
      </c>
      <c r="B1679" s="257" t="s">
        <v>1525</v>
      </c>
      <c r="C1679" s="257" t="s">
        <v>150</v>
      </c>
      <c r="D1679" s="259" t="s">
        <v>14950</v>
      </c>
      <c r="E1679" s="210" t="s">
        <v>201</v>
      </c>
    </row>
    <row r="1680" spans="1:5" ht="27">
      <c r="A1680" s="258">
        <v>94057</v>
      </c>
      <c r="B1680" s="257" t="s">
        <v>1526</v>
      </c>
      <c r="C1680" s="257" t="s">
        <v>150</v>
      </c>
      <c r="D1680" s="259" t="s">
        <v>14951</v>
      </c>
      <c r="E1680" s="210" t="s">
        <v>201</v>
      </c>
    </row>
    <row r="1681" spans="1:5" ht="27">
      <c r="A1681" s="258">
        <v>94058</v>
      </c>
      <c r="B1681" s="257" t="s">
        <v>1527</v>
      </c>
      <c r="C1681" s="257" t="s">
        <v>150</v>
      </c>
      <c r="D1681" s="259" t="s">
        <v>14952</v>
      </c>
      <c r="E1681" s="210" t="s">
        <v>201</v>
      </c>
    </row>
    <row r="1682" spans="1:5" ht="27">
      <c r="A1682" s="258">
        <v>94059</v>
      </c>
      <c r="B1682" s="257" t="s">
        <v>1528</v>
      </c>
      <c r="C1682" s="257" t="s">
        <v>150</v>
      </c>
      <c r="D1682" s="259" t="s">
        <v>14953</v>
      </c>
      <c r="E1682" s="210" t="s">
        <v>201</v>
      </c>
    </row>
    <row r="1683" spans="1:5" ht="27">
      <c r="A1683" s="258">
        <v>94060</v>
      </c>
      <c r="B1683" s="257" t="s">
        <v>1529</v>
      </c>
      <c r="C1683" s="257" t="s">
        <v>150</v>
      </c>
      <c r="D1683" s="259" t="s">
        <v>14954</v>
      </c>
      <c r="E1683" s="210" t="s">
        <v>201</v>
      </c>
    </row>
    <row r="1684" spans="1:5" ht="13.5">
      <c r="A1684" s="258">
        <v>83770</v>
      </c>
      <c r="B1684" s="257" t="s">
        <v>1530</v>
      </c>
      <c r="C1684" s="257" t="s">
        <v>150</v>
      </c>
      <c r="D1684" s="260" t="s">
        <v>14955</v>
      </c>
      <c r="E1684" s="210" t="s">
        <v>201</v>
      </c>
    </row>
    <row r="1685" spans="1:5" ht="27">
      <c r="A1685" s="258">
        <v>73301</v>
      </c>
      <c r="B1685" s="257" t="s">
        <v>1531</v>
      </c>
      <c r="C1685" s="257" t="s">
        <v>172</v>
      </c>
      <c r="D1685" s="259" t="s">
        <v>14956</v>
      </c>
      <c r="E1685" s="210" t="s">
        <v>201</v>
      </c>
    </row>
    <row r="1686" spans="1:5" ht="27">
      <c r="A1686" s="258">
        <v>83515</v>
      </c>
      <c r="B1686" s="257" t="s">
        <v>1532</v>
      </c>
      <c r="C1686" s="257" t="s">
        <v>172</v>
      </c>
      <c r="D1686" s="260" t="s">
        <v>14957</v>
      </c>
      <c r="E1686" s="210" t="s">
        <v>201</v>
      </c>
    </row>
    <row r="1687" spans="1:5" ht="27">
      <c r="A1687" s="258">
        <v>83516</v>
      </c>
      <c r="B1687" s="257" t="s">
        <v>1533</v>
      </c>
      <c r="C1687" s="257" t="s">
        <v>172</v>
      </c>
      <c r="D1687" s="259" t="s">
        <v>14958</v>
      </c>
      <c r="E1687" s="210" t="s">
        <v>201</v>
      </c>
    </row>
    <row r="1688" spans="1:5" ht="40.5">
      <c r="A1688" s="258">
        <v>90788</v>
      </c>
      <c r="B1688" s="257" t="s">
        <v>6913</v>
      </c>
      <c r="C1688" s="257" t="s">
        <v>90</v>
      </c>
      <c r="D1688" s="259" t="s">
        <v>14959</v>
      </c>
      <c r="E1688" s="210" t="s">
        <v>201</v>
      </c>
    </row>
    <row r="1689" spans="1:5" ht="40.5">
      <c r="A1689" s="257">
        <v>90789</v>
      </c>
      <c r="B1689" s="257" t="s">
        <v>6914</v>
      </c>
      <c r="C1689" s="257" t="s">
        <v>90</v>
      </c>
      <c r="D1689" s="259" t="s">
        <v>14960</v>
      </c>
      <c r="E1689" s="210" t="s">
        <v>201</v>
      </c>
    </row>
    <row r="1690" spans="1:5" ht="40.5">
      <c r="A1690" s="257">
        <v>90790</v>
      </c>
      <c r="B1690" s="257" t="s">
        <v>6915</v>
      </c>
      <c r="C1690" s="257" t="s">
        <v>90</v>
      </c>
      <c r="D1690" s="259" t="s">
        <v>14961</v>
      </c>
      <c r="E1690" s="210" t="s">
        <v>201</v>
      </c>
    </row>
    <row r="1691" spans="1:5" ht="40.5">
      <c r="A1691" s="257">
        <v>90791</v>
      </c>
      <c r="B1691" s="257" t="s">
        <v>6916</v>
      </c>
      <c r="C1691" s="257" t="s">
        <v>90</v>
      </c>
      <c r="D1691" s="259" t="s">
        <v>14962</v>
      </c>
      <c r="E1691" s="210" t="s">
        <v>201</v>
      </c>
    </row>
    <row r="1692" spans="1:5" ht="40.5">
      <c r="A1692" s="258">
        <v>90793</v>
      </c>
      <c r="B1692" s="257" t="s">
        <v>6917</v>
      </c>
      <c r="C1692" s="257" t="s">
        <v>90</v>
      </c>
      <c r="D1692" s="259" t="s">
        <v>14963</v>
      </c>
      <c r="E1692" s="210" t="s">
        <v>201</v>
      </c>
    </row>
    <row r="1693" spans="1:5" ht="40.5">
      <c r="A1693" s="257">
        <v>90794</v>
      </c>
      <c r="B1693" s="257" t="s">
        <v>14964</v>
      </c>
      <c r="C1693" s="257" t="s">
        <v>90</v>
      </c>
      <c r="D1693" s="259" t="s">
        <v>14965</v>
      </c>
      <c r="E1693" s="210" t="s">
        <v>201</v>
      </c>
    </row>
    <row r="1694" spans="1:5" ht="40.5">
      <c r="A1694" s="258">
        <v>90795</v>
      </c>
      <c r="B1694" s="257" t="s">
        <v>6918</v>
      </c>
      <c r="C1694" s="257" t="s">
        <v>90</v>
      </c>
      <c r="D1694" s="259" t="s">
        <v>14966</v>
      </c>
      <c r="E1694" s="210" t="s">
        <v>201</v>
      </c>
    </row>
    <row r="1695" spans="1:5" ht="40.5">
      <c r="A1695" s="258">
        <v>90796</v>
      </c>
      <c r="B1695" s="257" t="s">
        <v>6919</v>
      </c>
      <c r="C1695" s="257" t="s">
        <v>90</v>
      </c>
      <c r="D1695" s="260" t="s">
        <v>14967</v>
      </c>
      <c r="E1695" s="210" t="s">
        <v>201</v>
      </c>
    </row>
    <row r="1696" spans="1:5" ht="40.5">
      <c r="A1696" s="258">
        <v>90797</v>
      </c>
      <c r="B1696" s="257" t="s">
        <v>6920</v>
      </c>
      <c r="C1696" s="257" t="s">
        <v>90</v>
      </c>
      <c r="D1696" s="259" t="s">
        <v>14968</v>
      </c>
      <c r="E1696" s="210" t="s">
        <v>201</v>
      </c>
    </row>
    <row r="1697" spans="1:5" ht="40.5">
      <c r="A1697" s="258">
        <v>90798</v>
      </c>
      <c r="B1697" s="257" t="s">
        <v>6921</v>
      </c>
      <c r="C1697" s="257" t="s">
        <v>90</v>
      </c>
      <c r="D1697" s="259" t="s">
        <v>14969</v>
      </c>
      <c r="E1697" s="210" t="s">
        <v>201</v>
      </c>
    </row>
    <row r="1698" spans="1:5" ht="40.5">
      <c r="A1698" s="257">
        <v>90799</v>
      </c>
      <c r="B1698" s="257" t="s">
        <v>6922</v>
      </c>
      <c r="C1698" s="257" t="s">
        <v>90</v>
      </c>
      <c r="D1698" s="259" t="s">
        <v>14970</v>
      </c>
      <c r="E1698" s="210" t="s">
        <v>201</v>
      </c>
    </row>
    <row r="1699" spans="1:5" ht="13.5">
      <c r="A1699" s="257">
        <v>90801</v>
      </c>
      <c r="B1699" s="257" t="s">
        <v>6923</v>
      </c>
      <c r="C1699" s="257" t="s">
        <v>90</v>
      </c>
      <c r="D1699" s="259" t="s">
        <v>14971</v>
      </c>
      <c r="E1699" s="210" t="s">
        <v>201</v>
      </c>
    </row>
    <row r="1700" spans="1:5" ht="27">
      <c r="A1700" s="257">
        <v>90806</v>
      </c>
      <c r="B1700" s="257" t="s">
        <v>6924</v>
      </c>
      <c r="C1700" s="257" t="s">
        <v>90</v>
      </c>
      <c r="D1700" s="259" t="s">
        <v>14972</v>
      </c>
      <c r="E1700" s="210" t="s">
        <v>201</v>
      </c>
    </row>
    <row r="1701" spans="1:5" ht="27">
      <c r="A1701" s="258">
        <v>90820</v>
      </c>
      <c r="B1701" s="257" t="s">
        <v>6925</v>
      </c>
      <c r="C1701" s="257" t="s">
        <v>90</v>
      </c>
      <c r="D1701" s="259" t="s">
        <v>14973</v>
      </c>
      <c r="E1701" s="210" t="s">
        <v>201</v>
      </c>
    </row>
    <row r="1702" spans="1:5" ht="27">
      <c r="A1702" s="258">
        <v>90821</v>
      </c>
      <c r="B1702" s="257" t="s">
        <v>6926</v>
      </c>
      <c r="C1702" s="257" t="s">
        <v>90</v>
      </c>
      <c r="D1702" s="259" t="s">
        <v>14974</v>
      </c>
      <c r="E1702" s="210" t="s">
        <v>201</v>
      </c>
    </row>
    <row r="1703" spans="1:5" ht="27">
      <c r="A1703" s="258">
        <v>90822</v>
      </c>
      <c r="B1703" s="257" t="s">
        <v>6927</v>
      </c>
      <c r="C1703" s="257" t="s">
        <v>90</v>
      </c>
      <c r="D1703" s="259" t="s">
        <v>14975</v>
      </c>
      <c r="E1703" s="210" t="s">
        <v>201</v>
      </c>
    </row>
    <row r="1704" spans="1:5" ht="27">
      <c r="A1704" s="258">
        <v>90823</v>
      </c>
      <c r="B1704" s="257" t="s">
        <v>6928</v>
      </c>
      <c r="C1704" s="257" t="s">
        <v>90</v>
      </c>
      <c r="D1704" s="259" t="s">
        <v>14976</v>
      </c>
      <c r="E1704" s="210" t="s">
        <v>201</v>
      </c>
    </row>
    <row r="1705" spans="1:5" ht="27">
      <c r="A1705" s="258">
        <v>90824</v>
      </c>
      <c r="B1705" s="257" t="s">
        <v>6929</v>
      </c>
      <c r="C1705" s="257" t="s">
        <v>90</v>
      </c>
      <c r="D1705" s="259" t="s">
        <v>14977</v>
      </c>
      <c r="E1705" s="210" t="s">
        <v>201</v>
      </c>
    </row>
    <row r="1706" spans="1:5" ht="27">
      <c r="A1706" s="258">
        <v>90825</v>
      </c>
      <c r="B1706" s="257" t="s">
        <v>6930</v>
      </c>
      <c r="C1706" s="257" t="s">
        <v>90</v>
      </c>
      <c r="D1706" s="259" t="s">
        <v>14978</v>
      </c>
      <c r="E1706" s="210" t="s">
        <v>201</v>
      </c>
    </row>
    <row r="1707" spans="1:5" ht="27">
      <c r="A1707" s="258">
        <v>90830</v>
      </c>
      <c r="B1707" s="257" t="s">
        <v>6931</v>
      </c>
      <c r="C1707" s="257" t="s">
        <v>90</v>
      </c>
      <c r="D1707" s="259" t="s">
        <v>14979</v>
      </c>
      <c r="E1707" s="210" t="s">
        <v>201</v>
      </c>
    </row>
    <row r="1708" spans="1:5" ht="27">
      <c r="A1708" s="258">
        <v>90831</v>
      </c>
      <c r="B1708" s="257" t="s">
        <v>6932</v>
      </c>
      <c r="C1708" s="257" t="s">
        <v>90</v>
      </c>
      <c r="D1708" s="259" t="s">
        <v>14980</v>
      </c>
      <c r="E1708" s="210" t="s">
        <v>201</v>
      </c>
    </row>
    <row r="1709" spans="1:5" ht="40.5">
      <c r="A1709" s="258">
        <v>90841</v>
      </c>
      <c r="B1709" s="257" t="s">
        <v>6933</v>
      </c>
      <c r="C1709" s="257" t="s">
        <v>90</v>
      </c>
      <c r="D1709" s="259" t="s">
        <v>14981</v>
      </c>
      <c r="E1709" s="210" t="s">
        <v>201</v>
      </c>
    </row>
    <row r="1710" spans="1:5" ht="40.5">
      <c r="A1710" s="257">
        <v>90842</v>
      </c>
      <c r="B1710" s="257" t="s">
        <v>6934</v>
      </c>
      <c r="C1710" s="257" t="s">
        <v>90</v>
      </c>
      <c r="D1710" s="260" t="s">
        <v>14982</v>
      </c>
      <c r="E1710" s="210" t="s">
        <v>201</v>
      </c>
    </row>
    <row r="1711" spans="1:5" ht="40.5">
      <c r="A1711" s="257">
        <v>90843</v>
      </c>
      <c r="B1711" s="257" t="s">
        <v>6935</v>
      </c>
      <c r="C1711" s="257" t="s">
        <v>90</v>
      </c>
      <c r="D1711" s="259" t="s">
        <v>14983</v>
      </c>
      <c r="E1711" s="210" t="s">
        <v>201</v>
      </c>
    </row>
    <row r="1712" spans="1:5" ht="40.5">
      <c r="A1712" s="257">
        <v>90844</v>
      </c>
      <c r="B1712" s="257" t="s">
        <v>6936</v>
      </c>
      <c r="C1712" s="257" t="s">
        <v>90</v>
      </c>
      <c r="D1712" s="259" t="s">
        <v>14984</v>
      </c>
      <c r="E1712" s="210" t="s">
        <v>201</v>
      </c>
    </row>
    <row r="1713" spans="1:5" ht="40.5">
      <c r="A1713" s="258">
        <v>90847</v>
      </c>
      <c r="B1713" s="257" t="s">
        <v>6937</v>
      </c>
      <c r="C1713" s="257" t="s">
        <v>90</v>
      </c>
      <c r="D1713" s="259" t="s">
        <v>14985</v>
      </c>
      <c r="E1713" s="210" t="s">
        <v>201</v>
      </c>
    </row>
    <row r="1714" spans="1:5" ht="40.5">
      <c r="A1714" s="258">
        <v>90848</v>
      </c>
      <c r="B1714" s="257" t="s">
        <v>6938</v>
      </c>
      <c r="C1714" s="257" t="s">
        <v>90</v>
      </c>
      <c r="D1714" s="259" t="s">
        <v>14986</v>
      </c>
      <c r="E1714" s="210" t="s">
        <v>201</v>
      </c>
    </row>
    <row r="1715" spans="1:5" ht="40.5">
      <c r="A1715" s="258">
        <v>90849</v>
      </c>
      <c r="B1715" s="257" t="s">
        <v>6939</v>
      </c>
      <c r="C1715" s="257" t="s">
        <v>90</v>
      </c>
      <c r="D1715" s="259" t="s">
        <v>14987</v>
      </c>
      <c r="E1715" s="210" t="s">
        <v>201</v>
      </c>
    </row>
    <row r="1716" spans="1:5" ht="40.5">
      <c r="A1716" s="258">
        <v>90850</v>
      </c>
      <c r="B1716" s="257" t="s">
        <v>6940</v>
      </c>
      <c r="C1716" s="257" t="s">
        <v>90</v>
      </c>
      <c r="D1716" s="259" t="s">
        <v>14988</v>
      </c>
      <c r="E1716" s="210" t="s">
        <v>201</v>
      </c>
    </row>
    <row r="1717" spans="1:5" ht="27">
      <c r="A1717" s="258">
        <v>91009</v>
      </c>
      <c r="B1717" s="257" t="s">
        <v>6941</v>
      </c>
      <c r="C1717" s="257" t="s">
        <v>90</v>
      </c>
      <c r="D1717" s="259" t="s">
        <v>14989</v>
      </c>
      <c r="E1717" s="210" t="s">
        <v>201</v>
      </c>
    </row>
    <row r="1718" spans="1:5" ht="27">
      <c r="A1718" s="258">
        <v>91010</v>
      </c>
      <c r="B1718" s="257" t="s">
        <v>6942</v>
      </c>
      <c r="C1718" s="257" t="s">
        <v>90</v>
      </c>
      <c r="D1718" s="259" t="s">
        <v>14990</v>
      </c>
      <c r="E1718" s="210" t="s">
        <v>201</v>
      </c>
    </row>
    <row r="1719" spans="1:5" ht="27">
      <c r="A1719" s="258">
        <v>91011</v>
      </c>
      <c r="B1719" s="257" t="s">
        <v>6943</v>
      </c>
      <c r="C1719" s="257" t="s">
        <v>90</v>
      </c>
      <c r="D1719" s="259" t="s">
        <v>14991</v>
      </c>
      <c r="E1719" s="210" t="s">
        <v>201</v>
      </c>
    </row>
    <row r="1720" spans="1:5" ht="27">
      <c r="A1720" s="257">
        <v>91012</v>
      </c>
      <c r="B1720" s="257" t="s">
        <v>6944</v>
      </c>
      <c r="C1720" s="257" t="s">
        <v>90</v>
      </c>
      <c r="D1720" s="259" t="s">
        <v>14992</v>
      </c>
      <c r="E1720" s="210" t="s">
        <v>201</v>
      </c>
    </row>
    <row r="1721" spans="1:5" ht="40.5">
      <c r="A1721" s="257">
        <v>91013</v>
      </c>
      <c r="B1721" s="257" t="s">
        <v>6945</v>
      </c>
      <c r="C1721" s="257" t="s">
        <v>90</v>
      </c>
      <c r="D1721" s="259" t="s">
        <v>14993</v>
      </c>
      <c r="E1721" s="210" t="s">
        <v>201</v>
      </c>
    </row>
    <row r="1722" spans="1:5" ht="40.5">
      <c r="A1722" s="258">
        <v>91014</v>
      </c>
      <c r="B1722" s="257" t="s">
        <v>6946</v>
      </c>
      <c r="C1722" s="257" t="s">
        <v>90</v>
      </c>
      <c r="D1722" s="259" t="s">
        <v>14994</v>
      </c>
      <c r="E1722" s="210" t="s">
        <v>201</v>
      </c>
    </row>
    <row r="1723" spans="1:5" ht="40.5">
      <c r="A1723" s="258">
        <v>91015</v>
      </c>
      <c r="B1723" s="257" t="s">
        <v>6947</v>
      </c>
      <c r="C1723" s="257" t="s">
        <v>90</v>
      </c>
      <c r="D1723" s="260" t="s">
        <v>14995</v>
      </c>
      <c r="E1723" s="210" t="s">
        <v>201</v>
      </c>
    </row>
    <row r="1724" spans="1:5" ht="40.5">
      <c r="A1724" s="258">
        <v>91016</v>
      </c>
      <c r="B1724" s="257" t="s">
        <v>6948</v>
      </c>
      <c r="C1724" s="257" t="s">
        <v>90</v>
      </c>
      <c r="D1724" s="259" t="s">
        <v>14996</v>
      </c>
      <c r="E1724" s="210" t="s">
        <v>201</v>
      </c>
    </row>
    <row r="1725" spans="1:5" ht="13.5">
      <c r="A1725" s="258">
        <v>91287</v>
      </c>
      <c r="B1725" s="257" t="s">
        <v>6949</v>
      </c>
      <c r="C1725" s="257" t="s">
        <v>90</v>
      </c>
      <c r="D1725" s="259" t="s">
        <v>14997</v>
      </c>
      <c r="E1725" s="210" t="s">
        <v>201</v>
      </c>
    </row>
    <row r="1726" spans="1:5" ht="27">
      <c r="A1726" s="258">
        <v>91292</v>
      </c>
      <c r="B1726" s="257" t="s">
        <v>6950</v>
      </c>
      <c r="C1726" s="257" t="s">
        <v>90</v>
      </c>
      <c r="D1726" s="259" t="s">
        <v>14998</v>
      </c>
      <c r="E1726" s="210" t="s">
        <v>201</v>
      </c>
    </row>
    <row r="1727" spans="1:5" ht="27">
      <c r="A1727" s="258">
        <v>91295</v>
      </c>
      <c r="B1727" s="257" t="s">
        <v>6951</v>
      </c>
      <c r="C1727" s="257" t="s">
        <v>90</v>
      </c>
      <c r="D1727" s="259" t="s">
        <v>14999</v>
      </c>
      <c r="E1727" s="210" t="s">
        <v>201</v>
      </c>
    </row>
    <row r="1728" spans="1:5" ht="27">
      <c r="A1728" s="258">
        <v>91296</v>
      </c>
      <c r="B1728" s="257" t="s">
        <v>6952</v>
      </c>
      <c r="C1728" s="257" t="s">
        <v>90</v>
      </c>
      <c r="D1728" s="259" t="s">
        <v>15000</v>
      </c>
      <c r="E1728" s="210" t="s">
        <v>201</v>
      </c>
    </row>
    <row r="1729" spans="1:5" ht="27">
      <c r="A1729" s="258">
        <v>91297</v>
      </c>
      <c r="B1729" s="257" t="s">
        <v>6953</v>
      </c>
      <c r="C1729" s="257" t="s">
        <v>90</v>
      </c>
      <c r="D1729" s="259" t="s">
        <v>15001</v>
      </c>
      <c r="E1729" s="210" t="s">
        <v>201</v>
      </c>
    </row>
    <row r="1730" spans="1:5" ht="27">
      <c r="A1730" s="258">
        <v>91298</v>
      </c>
      <c r="B1730" s="257" t="s">
        <v>6954</v>
      </c>
      <c r="C1730" s="257" t="s">
        <v>90</v>
      </c>
      <c r="D1730" s="259" t="s">
        <v>15002</v>
      </c>
      <c r="E1730" s="210" t="s">
        <v>201</v>
      </c>
    </row>
    <row r="1731" spans="1:5" ht="27">
      <c r="A1731" s="258">
        <v>91299</v>
      </c>
      <c r="B1731" s="257" t="s">
        <v>6955</v>
      </c>
      <c r="C1731" s="257" t="s">
        <v>90</v>
      </c>
      <c r="D1731" s="259" t="s">
        <v>15003</v>
      </c>
      <c r="E1731" s="210" t="s">
        <v>201</v>
      </c>
    </row>
    <row r="1732" spans="1:5" ht="27">
      <c r="A1732" s="258">
        <v>91304</v>
      </c>
      <c r="B1732" s="257" t="s">
        <v>6956</v>
      </c>
      <c r="C1732" s="257" t="s">
        <v>90</v>
      </c>
      <c r="D1732" s="259" t="s">
        <v>15004</v>
      </c>
      <c r="E1732" s="210" t="s">
        <v>201</v>
      </c>
    </row>
    <row r="1733" spans="1:5" ht="27">
      <c r="A1733" s="258">
        <v>91305</v>
      </c>
      <c r="B1733" s="257" t="s">
        <v>6957</v>
      </c>
      <c r="C1733" s="257" t="s">
        <v>90</v>
      </c>
      <c r="D1733" s="259" t="s">
        <v>15005</v>
      </c>
      <c r="E1733" s="210" t="s">
        <v>201</v>
      </c>
    </row>
    <row r="1734" spans="1:5" ht="27">
      <c r="A1734" s="258">
        <v>91306</v>
      </c>
      <c r="B1734" s="257" t="s">
        <v>6958</v>
      </c>
      <c r="C1734" s="257" t="s">
        <v>90</v>
      </c>
      <c r="D1734" s="259" t="s">
        <v>13719</v>
      </c>
      <c r="E1734" s="210" t="s">
        <v>201</v>
      </c>
    </row>
    <row r="1735" spans="1:5" ht="27">
      <c r="A1735" s="258">
        <v>91307</v>
      </c>
      <c r="B1735" s="257" t="s">
        <v>6959</v>
      </c>
      <c r="C1735" s="257" t="s">
        <v>90</v>
      </c>
      <c r="D1735" s="259" t="s">
        <v>15006</v>
      </c>
      <c r="E1735" s="210" t="s">
        <v>201</v>
      </c>
    </row>
    <row r="1736" spans="1:5" ht="40.5">
      <c r="A1736" s="258">
        <v>91312</v>
      </c>
      <c r="B1736" s="257" t="s">
        <v>6960</v>
      </c>
      <c r="C1736" s="257" t="s">
        <v>90</v>
      </c>
      <c r="D1736" s="259" t="s">
        <v>15007</v>
      </c>
      <c r="E1736" s="210" t="s">
        <v>201</v>
      </c>
    </row>
    <row r="1737" spans="1:5" ht="40.5">
      <c r="A1737" s="258">
        <v>91313</v>
      </c>
      <c r="B1737" s="257" t="s">
        <v>6961</v>
      </c>
      <c r="C1737" s="257" t="s">
        <v>90</v>
      </c>
      <c r="D1737" s="259" t="s">
        <v>15008</v>
      </c>
      <c r="E1737" s="210" t="s">
        <v>201</v>
      </c>
    </row>
    <row r="1738" spans="1:5" ht="40.5">
      <c r="A1738" s="258">
        <v>91314</v>
      </c>
      <c r="B1738" s="257" t="s">
        <v>6962</v>
      </c>
      <c r="C1738" s="257" t="s">
        <v>90</v>
      </c>
      <c r="D1738" s="259" t="s">
        <v>15009</v>
      </c>
      <c r="E1738" s="210" t="s">
        <v>201</v>
      </c>
    </row>
    <row r="1739" spans="1:5" ht="40.5">
      <c r="A1739" s="258">
        <v>91315</v>
      </c>
      <c r="B1739" s="257" t="s">
        <v>6963</v>
      </c>
      <c r="C1739" s="257" t="s">
        <v>90</v>
      </c>
      <c r="D1739" s="259" t="s">
        <v>15010</v>
      </c>
      <c r="E1739" s="210" t="s">
        <v>201</v>
      </c>
    </row>
    <row r="1740" spans="1:5" ht="40.5">
      <c r="A1740" s="258">
        <v>91318</v>
      </c>
      <c r="B1740" s="257" t="s">
        <v>6964</v>
      </c>
      <c r="C1740" s="257" t="s">
        <v>90</v>
      </c>
      <c r="D1740" s="259" t="s">
        <v>15011</v>
      </c>
      <c r="E1740" s="210" t="s">
        <v>201</v>
      </c>
    </row>
    <row r="1741" spans="1:5" ht="40.5">
      <c r="A1741" s="257">
        <v>91319</v>
      </c>
      <c r="B1741" s="257" t="s">
        <v>6965</v>
      </c>
      <c r="C1741" s="257" t="s">
        <v>90</v>
      </c>
      <c r="D1741" s="259" t="s">
        <v>15012</v>
      </c>
      <c r="E1741" s="210" t="s">
        <v>201</v>
      </c>
    </row>
    <row r="1742" spans="1:5" ht="40.5">
      <c r="A1742" s="257">
        <v>91320</v>
      </c>
      <c r="B1742" s="257" t="s">
        <v>6966</v>
      </c>
      <c r="C1742" s="257" t="s">
        <v>90</v>
      </c>
      <c r="D1742" s="259" t="s">
        <v>15013</v>
      </c>
      <c r="E1742" s="210" t="s">
        <v>201</v>
      </c>
    </row>
    <row r="1743" spans="1:5" ht="40.5">
      <c r="A1743" s="258">
        <v>91321</v>
      </c>
      <c r="B1743" s="257" t="s">
        <v>6967</v>
      </c>
      <c r="C1743" s="257" t="s">
        <v>90</v>
      </c>
      <c r="D1743" s="259" t="s">
        <v>15014</v>
      </c>
      <c r="E1743" s="210" t="s">
        <v>201</v>
      </c>
    </row>
    <row r="1744" spans="1:5" ht="40.5">
      <c r="A1744" s="258">
        <v>91324</v>
      </c>
      <c r="B1744" s="257" t="s">
        <v>6968</v>
      </c>
      <c r="C1744" s="257" t="s">
        <v>90</v>
      </c>
      <c r="D1744" s="259" t="s">
        <v>15015</v>
      </c>
      <c r="E1744" s="210" t="s">
        <v>201</v>
      </c>
    </row>
    <row r="1745" spans="1:5" ht="40.5">
      <c r="A1745" s="258">
        <v>91325</v>
      </c>
      <c r="B1745" s="257" t="s">
        <v>6969</v>
      </c>
      <c r="C1745" s="257" t="s">
        <v>90</v>
      </c>
      <c r="D1745" s="259" t="s">
        <v>15016</v>
      </c>
      <c r="E1745" s="210" t="s">
        <v>201</v>
      </c>
    </row>
    <row r="1746" spans="1:5" ht="40.5">
      <c r="A1746" s="258">
        <v>91326</v>
      </c>
      <c r="B1746" s="257" t="s">
        <v>6970</v>
      </c>
      <c r="C1746" s="257" t="s">
        <v>90</v>
      </c>
      <c r="D1746" s="259" t="s">
        <v>15017</v>
      </c>
      <c r="E1746" s="210" t="s">
        <v>201</v>
      </c>
    </row>
    <row r="1747" spans="1:5" ht="40.5">
      <c r="A1747" s="258">
        <v>91327</v>
      </c>
      <c r="B1747" s="257" t="s">
        <v>6971</v>
      </c>
      <c r="C1747" s="257" t="s">
        <v>90</v>
      </c>
      <c r="D1747" s="259" t="s">
        <v>15018</v>
      </c>
      <c r="E1747" s="210" t="s">
        <v>201</v>
      </c>
    </row>
    <row r="1748" spans="1:5" ht="40.5">
      <c r="A1748" s="258">
        <v>91328</v>
      </c>
      <c r="B1748" s="257" t="s">
        <v>6972</v>
      </c>
      <c r="C1748" s="257" t="s">
        <v>90</v>
      </c>
      <c r="D1748" s="259" t="s">
        <v>15019</v>
      </c>
      <c r="E1748" s="210" t="s">
        <v>201</v>
      </c>
    </row>
    <row r="1749" spans="1:5" ht="40.5">
      <c r="A1749" s="258">
        <v>91329</v>
      </c>
      <c r="B1749" s="257" t="s">
        <v>6973</v>
      </c>
      <c r="C1749" s="257" t="s">
        <v>90</v>
      </c>
      <c r="D1749" s="259" t="s">
        <v>15020</v>
      </c>
      <c r="E1749" s="210" t="s">
        <v>201</v>
      </c>
    </row>
    <row r="1750" spans="1:5" ht="40.5">
      <c r="A1750" s="258">
        <v>91330</v>
      </c>
      <c r="B1750" s="257" t="s">
        <v>6974</v>
      </c>
      <c r="C1750" s="257" t="s">
        <v>90</v>
      </c>
      <c r="D1750" s="259" t="s">
        <v>15021</v>
      </c>
      <c r="E1750" s="210" t="s">
        <v>201</v>
      </c>
    </row>
    <row r="1751" spans="1:5" ht="40.5">
      <c r="A1751" s="258">
        <v>91331</v>
      </c>
      <c r="B1751" s="257" t="s">
        <v>6975</v>
      </c>
      <c r="C1751" s="257" t="s">
        <v>90</v>
      </c>
      <c r="D1751" s="259" t="s">
        <v>15022</v>
      </c>
      <c r="E1751" s="210" t="s">
        <v>201</v>
      </c>
    </row>
    <row r="1752" spans="1:5" ht="40.5">
      <c r="A1752" s="258">
        <v>91332</v>
      </c>
      <c r="B1752" s="257" t="s">
        <v>6976</v>
      </c>
      <c r="C1752" s="257" t="s">
        <v>90</v>
      </c>
      <c r="D1752" s="259" t="s">
        <v>15023</v>
      </c>
      <c r="E1752" s="210" t="s">
        <v>201</v>
      </c>
    </row>
    <row r="1753" spans="1:5" ht="40.5">
      <c r="A1753" s="258">
        <v>91333</v>
      </c>
      <c r="B1753" s="257" t="s">
        <v>6977</v>
      </c>
      <c r="C1753" s="257" t="s">
        <v>90</v>
      </c>
      <c r="D1753" s="259" t="s">
        <v>15024</v>
      </c>
      <c r="E1753" s="210" t="s">
        <v>201</v>
      </c>
    </row>
    <row r="1754" spans="1:5" ht="40.5">
      <c r="A1754" s="258">
        <v>91334</v>
      </c>
      <c r="B1754" s="257" t="s">
        <v>6978</v>
      </c>
      <c r="C1754" s="257" t="s">
        <v>90</v>
      </c>
      <c r="D1754" s="259" t="s">
        <v>15025</v>
      </c>
      <c r="E1754" s="210" t="s">
        <v>201</v>
      </c>
    </row>
    <row r="1755" spans="1:5" ht="40.5">
      <c r="A1755" s="258">
        <v>91335</v>
      </c>
      <c r="B1755" s="257" t="s">
        <v>6979</v>
      </c>
      <c r="C1755" s="257" t="s">
        <v>90</v>
      </c>
      <c r="D1755" s="259" t="s">
        <v>15026</v>
      </c>
      <c r="E1755" s="210" t="s">
        <v>201</v>
      </c>
    </row>
    <row r="1756" spans="1:5" ht="40.5">
      <c r="A1756" s="258">
        <v>91336</v>
      </c>
      <c r="B1756" s="257" t="s">
        <v>6980</v>
      </c>
      <c r="C1756" s="257" t="s">
        <v>90</v>
      </c>
      <c r="D1756" s="259" t="s">
        <v>15027</v>
      </c>
      <c r="E1756" s="210" t="s">
        <v>201</v>
      </c>
    </row>
    <row r="1757" spans="1:5" ht="40.5">
      <c r="A1757" s="258">
        <v>91337</v>
      </c>
      <c r="B1757" s="257" t="s">
        <v>6981</v>
      </c>
      <c r="C1757" s="257" t="s">
        <v>90</v>
      </c>
      <c r="D1757" s="259" t="s">
        <v>15028</v>
      </c>
      <c r="E1757" s="210" t="s">
        <v>201</v>
      </c>
    </row>
    <row r="1758" spans="1:5" ht="27">
      <c r="A1758" s="258">
        <v>100659</v>
      </c>
      <c r="B1758" s="257" t="s">
        <v>6982</v>
      </c>
      <c r="C1758" s="257" t="s">
        <v>5</v>
      </c>
      <c r="D1758" s="259" t="s">
        <v>15029</v>
      </c>
      <c r="E1758" s="210" t="s">
        <v>201</v>
      </c>
    </row>
    <row r="1759" spans="1:5" ht="27">
      <c r="A1759" s="258">
        <v>100660</v>
      </c>
      <c r="B1759" s="257" t="s">
        <v>6983</v>
      </c>
      <c r="C1759" s="257" t="s">
        <v>5</v>
      </c>
      <c r="D1759" s="259" t="s">
        <v>15030</v>
      </c>
      <c r="E1759" s="210" t="s">
        <v>201</v>
      </c>
    </row>
    <row r="1760" spans="1:5" ht="40.5">
      <c r="A1760" s="258">
        <v>100675</v>
      </c>
      <c r="B1760" s="257" t="s">
        <v>6984</v>
      </c>
      <c r="C1760" s="257" t="s">
        <v>90</v>
      </c>
      <c r="D1760" s="259" t="s">
        <v>15031</v>
      </c>
      <c r="E1760" s="210" t="s">
        <v>201</v>
      </c>
    </row>
    <row r="1761" spans="1:5" ht="13.5">
      <c r="A1761" s="258">
        <v>100676</v>
      </c>
      <c r="B1761" s="257" t="s">
        <v>6985</v>
      </c>
      <c r="C1761" s="257" t="s">
        <v>90</v>
      </c>
      <c r="D1761" s="259" t="s">
        <v>15032</v>
      </c>
      <c r="E1761" s="210" t="s">
        <v>201</v>
      </c>
    </row>
    <row r="1762" spans="1:5" ht="13.5">
      <c r="A1762" s="258">
        <v>100677</v>
      </c>
      <c r="B1762" s="257" t="s">
        <v>6986</v>
      </c>
      <c r="C1762" s="257" t="s">
        <v>90</v>
      </c>
      <c r="D1762" s="259" t="s">
        <v>15033</v>
      </c>
      <c r="E1762" s="210" t="s">
        <v>201</v>
      </c>
    </row>
    <row r="1763" spans="1:5" ht="40.5">
      <c r="A1763" s="258">
        <v>100678</v>
      </c>
      <c r="B1763" s="257" t="s">
        <v>6987</v>
      </c>
      <c r="C1763" s="257" t="s">
        <v>90</v>
      </c>
      <c r="D1763" s="259" t="s">
        <v>15034</v>
      </c>
      <c r="E1763" s="210" t="s">
        <v>201</v>
      </c>
    </row>
    <row r="1764" spans="1:5" ht="40.5">
      <c r="A1764" s="258">
        <v>100679</v>
      </c>
      <c r="B1764" s="257" t="s">
        <v>6988</v>
      </c>
      <c r="C1764" s="257" t="s">
        <v>90</v>
      </c>
      <c r="D1764" s="259" t="s">
        <v>15035</v>
      </c>
      <c r="E1764" s="210" t="s">
        <v>201</v>
      </c>
    </row>
    <row r="1765" spans="1:5" ht="40.5">
      <c r="A1765" s="258">
        <v>100680</v>
      </c>
      <c r="B1765" s="257" t="s">
        <v>6989</v>
      </c>
      <c r="C1765" s="257" t="s">
        <v>90</v>
      </c>
      <c r="D1765" s="259" t="s">
        <v>15036</v>
      </c>
      <c r="E1765" s="210" t="s">
        <v>201</v>
      </c>
    </row>
    <row r="1766" spans="1:5" ht="40.5">
      <c r="A1766" s="258">
        <v>100681</v>
      </c>
      <c r="B1766" s="257" t="s">
        <v>6990</v>
      </c>
      <c r="C1766" s="257" t="s">
        <v>90</v>
      </c>
      <c r="D1766" s="259" t="s">
        <v>15037</v>
      </c>
      <c r="E1766" s="210" t="s">
        <v>201</v>
      </c>
    </row>
    <row r="1767" spans="1:5" ht="40.5">
      <c r="A1767" s="258">
        <v>100682</v>
      </c>
      <c r="B1767" s="257" t="s">
        <v>6991</v>
      </c>
      <c r="C1767" s="257" t="s">
        <v>90</v>
      </c>
      <c r="D1767" s="259" t="s">
        <v>15038</v>
      </c>
      <c r="E1767" s="210" t="s">
        <v>201</v>
      </c>
    </row>
    <row r="1768" spans="1:5" ht="40.5">
      <c r="A1768" s="258">
        <v>100683</v>
      </c>
      <c r="B1768" s="257" t="s">
        <v>6992</v>
      </c>
      <c r="C1768" s="257" t="s">
        <v>90</v>
      </c>
      <c r="D1768" s="259" t="s">
        <v>15039</v>
      </c>
      <c r="E1768" s="210" t="s">
        <v>201</v>
      </c>
    </row>
    <row r="1769" spans="1:5" ht="40.5">
      <c r="A1769" s="258">
        <v>100684</v>
      </c>
      <c r="B1769" s="257" t="s">
        <v>6993</v>
      </c>
      <c r="C1769" s="257" t="s">
        <v>90</v>
      </c>
      <c r="D1769" s="259" t="s">
        <v>15040</v>
      </c>
      <c r="E1769" s="210" t="s">
        <v>201</v>
      </c>
    </row>
    <row r="1770" spans="1:5" ht="40.5">
      <c r="A1770" s="258">
        <v>100685</v>
      </c>
      <c r="B1770" s="257" t="s">
        <v>6994</v>
      </c>
      <c r="C1770" s="257" t="s">
        <v>90</v>
      </c>
      <c r="D1770" s="259" t="s">
        <v>15041</v>
      </c>
      <c r="E1770" s="210" t="s">
        <v>201</v>
      </c>
    </row>
    <row r="1771" spans="1:5" ht="40.5">
      <c r="A1771" s="258">
        <v>100686</v>
      </c>
      <c r="B1771" s="257" t="s">
        <v>6995</v>
      </c>
      <c r="C1771" s="257" t="s">
        <v>90</v>
      </c>
      <c r="D1771" s="259" t="s">
        <v>15042</v>
      </c>
      <c r="E1771" s="210" t="s">
        <v>201</v>
      </c>
    </row>
    <row r="1772" spans="1:5" ht="40.5">
      <c r="A1772" s="258">
        <v>100687</v>
      </c>
      <c r="B1772" s="257" t="s">
        <v>6996</v>
      </c>
      <c r="C1772" s="257" t="s">
        <v>90</v>
      </c>
      <c r="D1772" s="259" t="s">
        <v>14618</v>
      </c>
      <c r="E1772" s="210" t="s">
        <v>201</v>
      </c>
    </row>
    <row r="1773" spans="1:5" ht="40.5">
      <c r="A1773" s="258">
        <v>100688</v>
      </c>
      <c r="B1773" s="257" t="s">
        <v>6997</v>
      </c>
      <c r="C1773" s="257" t="s">
        <v>90</v>
      </c>
      <c r="D1773" s="259" t="s">
        <v>15043</v>
      </c>
      <c r="E1773" s="210" t="s">
        <v>201</v>
      </c>
    </row>
    <row r="1774" spans="1:5" ht="40.5">
      <c r="A1774" s="258">
        <v>100689</v>
      </c>
      <c r="B1774" s="257" t="s">
        <v>6998</v>
      </c>
      <c r="C1774" s="257" t="s">
        <v>90</v>
      </c>
      <c r="D1774" s="259" t="s">
        <v>15044</v>
      </c>
      <c r="E1774" s="210" t="s">
        <v>201</v>
      </c>
    </row>
    <row r="1775" spans="1:5" ht="40.5">
      <c r="A1775" s="258">
        <v>100690</v>
      </c>
      <c r="B1775" s="257" t="s">
        <v>6999</v>
      </c>
      <c r="C1775" s="257" t="s">
        <v>90</v>
      </c>
      <c r="D1775" s="259" t="s">
        <v>15045</v>
      </c>
      <c r="E1775" s="210" t="s">
        <v>201</v>
      </c>
    </row>
    <row r="1776" spans="1:5" ht="40.5">
      <c r="A1776" s="258">
        <v>100691</v>
      </c>
      <c r="B1776" s="257" t="s">
        <v>7000</v>
      </c>
      <c r="C1776" s="257" t="s">
        <v>90</v>
      </c>
      <c r="D1776" s="259" t="s">
        <v>15046</v>
      </c>
      <c r="E1776" s="210" t="s">
        <v>201</v>
      </c>
    </row>
    <row r="1777" spans="1:5" ht="40.5">
      <c r="A1777" s="258">
        <v>100692</v>
      </c>
      <c r="B1777" s="257" t="s">
        <v>7001</v>
      </c>
      <c r="C1777" s="257" t="s">
        <v>90</v>
      </c>
      <c r="D1777" s="259" t="s">
        <v>15047</v>
      </c>
      <c r="E1777" s="210" t="s">
        <v>201</v>
      </c>
    </row>
    <row r="1778" spans="1:5" ht="40.5">
      <c r="A1778" s="258">
        <v>100693</v>
      </c>
      <c r="B1778" s="257" t="s">
        <v>7002</v>
      </c>
      <c r="C1778" s="257" t="s">
        <v>90</v>
      </c>
      <c r="D1778" s="259" t="s">
        <v>15048</v>
      </c>
      <c r="E1778" s="210" t="s">
        <v>201</v>
      </c>
    </row>
    <row r="1779" spans="1:5" ht="40.5">
      <c r="A1779" s="258">
        <v>100694</v>
      </c>
      <c r="B1779" s="257" t="s">
        <v>7003</v>
      </c>
      <c r="C1779" s="257" t="s">
        <v>90</v>
      </c>
      <c r="D1779" s="259" t="s">
        <v>15049</v>
      </c>
      <c r="E1779" s="210" t="s">
        <v>201</v>
      </c>
    </row>
    <row r="1780" spans="1:5" ht="27">
      <c r="A1780" s="258">
        <v>100695</v>
      </c>
      <c r="B1780" s="257" t="s">
        <v>7004</v>
      </c>
      <c r="C1780" s="257" t="s">
        <v>90</v>
      </c>
      <c r="D1780" s="259" t="s">
        <v>15050</v>
      </c>
      <c r="E1780" s="210" t="s">
        <v>201</v>
      </c>
    </row>
    <row r="1781" spans="1:5" ht="27">
      <c r="A1781" s="258">
        <v>100696</v>
      </c>
      <c r="B1781" s="257" t="s">
        <v>7005</v>
      </c>
      <c r="C1781" s="257" t="s">
        <v>90</v>
      </c>
      <c r="D1781" s="259" t="s">
        <v>15051</v>
      </c>
      <c r="E1781" s="210" t="s">
        <v>201</v>
      </c>
    </row>
    <row r="1782" spans="1:5" ht="27">
      <c r="A1782" s="258">
        <v>100697</v>
      </c>
      <c r="B1782" s="257" t="s">
        <v>7006</v>
      </c>
      <c r="C1782" s="257" t="s">
        <v>90</v>
      </c>
      <c r="D1782" s="259" t="s">
        <v>15052</v>
      </c>
      <c r="E1782" s="210" t="s">
        <v>201</v>
      </c>
    </row>
    <row r="1783" spans="1:5" ht="27">
      <c r="A1783" s="258">
        <v>100698</v>
      </c>
      <c r="B1783" s="257" t="s">
        <v>7007</v>
      </c>
      <c r="C1783" s="257" t="s">
        <v>90</v>
      </c>
      <c r="D1783" s="259" t="s">
        <v>15053</v>
      </c>
      <c r="E1783" s="210" t="s">
        <v>201</v>
      </c>
    </row>
    <row r="1784" spans="1:5" ht="27">
      <c r="A1784" s="258">
        <v>100699</v>
      </c>
      <c r="B1784" s="257" t="s">
        <v>7008</v>
      </c>
      <c r="C1784" s="257" t="s">
        <v>90</v>
      </c>
      <c r="D1784" s="259" t="s">
        <v>15054</v>
      </c>
      <c r="E1784" s="210" t="s">
        <v>201</v>
      </c>
    </row>
    <row r="1785" spans="1:5" ht="27">
      <c r="A1785" s="258">
        <v>100700</v>
      </c>
      <c r="B1785" s="257" t="s">
        <v>7009</v>
      </c>
      <c r="C1785" s="257" t="s">
        <v>90</v>
      </c>
      <c r="D1785" s="259" t="s">
        <v>15055</v>
      </c>
      <c r="E1785" s="210" t="s">
        <v>201</v>
      </c>
    </row>
    <row r="1786" spans="1:5" ht="40.5">
      <c r="A1786" s="258">
        <v>100712</v>
      </c>
      <c r="B1786" s="257" t="s">
        <v>7010</v>
      </c>
      <c r="C1786" s="257" t="s">
        <v>90</v>
      </c>
      <c r="D1786" s="259" t="s">
        <v>15056</v>
      </c>
      <c r="E1786" s="210" t="s">
        <v>201</v>
      </c>
    </row>
    <row r="1787" spans="1:5" ht="40.5">
      <c r="A1787" s="258">
        <v>100665</v>
      </c>
      <c r="B1787" s="257" t="s">
        <v>7011</v>
      </c>
      <c r="C1787" s="257" t="s">
        <v>150</v>
      </c>
      <c r="D1787" s="259" t="s">
        <v>15057</v>
      </c>
      <c r="E1787" s="210" t="s">
        <v>201</v>
      </c>
    </row>
    <row r="1788" spans="1:5" ht="40.5">
      <c r="A1788" s="258">
        <v>100666</v>
      </c>
      <c r="B1788" s="257" t="s">
        <v>7012</v>
      </c>
      <c r="C1788" s="257" t="s">
        <v>150</v>
      </c>
      <c r="D1788" s="259" t="s">
        <v>15058</v>
      </c>
      <c r="E1788" s="210" t="s">
        <v>201</v>
      </c>
    </row>
    <row r="1789" spans="1:5" ht="40.5">
      <c r="A1789" s="258">
        <v>100667</v>
      </c>
      <c r="B1789" s="257" t="s">
        <v>7013</v>
      </c>
      <c r="C1789" s="257" t="s">
        <v>150</v>
      </c>
      <c r="D1789" s="259" t="s">
        <v>15059</v>
      </c>
      <c r="E1789" s="210" t="s">
        <v>201</v>
      </c>
    </row>
    <row r="1790" spans="1:5" ht="27">
      <c r="A1790" s="258">
        <v>100668</v>
      </c>
      <c r="B1790" s="257" t="s">
        <v>7014</v>
      </c>
      <c r="C1790" s="257" t="s">
        <v>150</v>
      </c>
      <c r="D1790" s="259" t="s">
        <v>15060</v>
      </c>
      <c r="E1790" s="210" t="s">
        <v>201</v>
      </c>
    </row>
    <row r="1791" spans="1:5" ht="40.5">
      <c r="A1791" s="258">
        <v>100669</v>
      </c>
      <c r="B1791" s="257" t="s">
        <v>7015</v>
      </c>
      <c r="C1791" s="257" t="s">
        <v>150</v>
      </c>
      <c r="D1791" s="259" t="s">
        <v>15061</v>
      </c>
      <c r="E1791" s="210" t="s">
        <v>201</v>
      </c>
    </row>
    <row r="1792" spans="1:5" ht="40.5">
      <c r="A1792" s="258">
        <v>100670</v>
      </c>
      <c r="B1792" s="257" t="s">
        <v>7016</v>
      </c>
      <c r="C1792" s="257" t="s">
        <v>150</v>
      </c>
      <c r="D1792" s="259" t="s">
        <v>15062</v>
      </c>
      <c r="E1792" s="210" t="s">
        <v>201</v>
      </c>
    </row>
    <row r="1793" spans="1:5" ht="40.5">
      <c r="A1793" s="258">
        <v>100671</v>
      </c>
      <c r="B1793" s="257" t="s">
        <v>7017</v>
      </c>
      <c r="C1793" s="257" t="s">
        <v>150</v>
      </c>
      <c r="D1793" s="259" t="s">
        <v>15063</v>
      </c>
      <c r="E1793" s="210" t="s">
        <v>201</v>
      </c>
    </row>
    <row r="1794" spans="1:5" ht="40.5">
      <c r="A1794" s="258">
        <v>100672</v>
      </c>
      <c r="B1794" s="257" t="s">
        <v>7018</v>
      </c>
      <c r="C1794" s="257" t="s">
        <v>150</v>
      </c>
      <c r="D1794" s="259" t="s">
        <v>15064</v>
      </c>
      <c r="E1794" s="210" t="s">
        <v>201</v>
      </c>
    </row>
    <row r="1795" spans="1:5" ht="40.5">
      <c r="A1795" s="258">
        <v>100673</v>
      </c>
      <c r="B1795" s="257" t="s">
        <v>7019</v>
      </c>
      <c r="C1795" s="257" t="s">
        <v>150</v>
      </c>
      <c r="D1795" s="259" t="s">
        <v>15065</v>
      </c>
      <c r="E1795" s="210" t="s">
        <v>201</v>
      </c>
    </row>
    <row r="1796" spans="1:5" ht="13.5">
      <c r="A1796" s="257">
        <v>100701</v>
      </c>
      <c r="B1796" s="257" t="s">
        <v>7020</v>
      </c>
      <c r="C1796" s="257" t="s">
        <v>150</v>
      </c>
      <c r="D1796" s="259" t="s">
        <v>15066</v>
      </c>
      <c r="E1796" s="210" t="s">
        <v>201</v>
      </c>
    </row>
    <row r="1797" spans="1:5" ht="27">
      <c r="A1797" s="258">
        <v>94559</v>
      </c>
      <c r="B1797" s="257" t="s">
        <v>7021</v>
      </c>
      <c r="C1797" s="257" t="s">
        <v>150</v>
      </c>
      <c r="D1797" s="259" t="s">
        <v>15067</v>
      </c>
      <c r="E1797" s="210" t="s">
        <v>201</v>
      </c>
    </row>
    <row r="1798" spans="1:5" ht="40.5">
      <c r="A1798" s="258">
        <v>94560</v>
      </c>
      <c r="B1798" s="257" t="s">
        <v>7022</v>
      </c>
      <c r="C1798" s="257" t="s">
        <v>150</v>
      </c>
      <c r="D1798" s="259" t="s">
        <v>15068</v>
      </c>
      <c r="E1798" s="210" t="s">
        <v>201</v>
      </c>
    </row>
    <row r="1799" spans="1:5" ht="27">
      <c r="A1799" s="258">
        <v>94562</v>
      </c>
      <c r="B1799" s="257" t="s">
        <v>7023</v>
      </c>
      <c r="C1799" s="257" t="s">
        <v>150</v>
      </c>
      <c r="D1799" s="259" t="s">
        <v>15069</v>
      </c>
      <c r="E1799" s="210" t="s">
        <v>201</v>
      </c>
    </row>
    <row r="1800" spans="1:5" ht="40.5">
      <c r="A1800" s="258">
        <v>94563</v>
      </c>
      <c r="B1800" s="257" t="s">
        <v>7024</v>
      </c>
      <c r="C1800" s="257" t="s">
        <v>150</v>
      </c>
      <c r="D1800" s="259" t="s">
        <v>15070</v>
      </c>
      <c r="E1800" s="210" t="s">
        <v>201</v>
      </c>
    </row>
    <row r="1801" spans="1:5" ht="13.5">
      <c r="A1801" s="258">
        <v>94587</v>
      </c>
      <c r="B1801" s="257" t="s">
        <v>7025</v>
      </c>
      <c r="C1801" s="257" t="s">
        <v>5</v>
      </c>
      <c r="D1801" s="259" t="s">
        <v>15071</v>
      </c>
      <c r="E1801" s="210" t="s">
        <v>201</v>
      </c>
    </row>
    <row r="1802" spans="1:5" ht="13.5">
      <c r="A1802" s="258">
        <v>94588</v>
      </c>
      <c r="B1802" s="257" t="s">
        <v>7026</v>
      </c>
      <c r="C1802" s="257" t="s">
        <v>5</v>
      </c>
      <c r="D1802" s="259" t="s">
        <v>15072</v>
      </c>
      <c r="E1802" s="210" t="s">
        <v>201</v>
      </c>
    </row>
    <row r="1803" spans="1:5" ht="40.5">
      <c r="A1803" s="258">
        <v>99837</v>
      </c>
      <c r="B1803" s="257" t="s">
        <v>5470</v>
      </c>
      <c r="C1803" s="257" t="s">
        <v>5</v>
      </c>
      <c r="D1803" s="259" t="s">
        <v>15073</v>
      </c>
      <c r="E1803" s="210" t="s">
        <v>201</v>
      </c>
    </row>
    <row r="1804" spans="1:5" ht="40.5">
      <c r="A1804" s="258">
        <v>99839</v>
      </c>
      <c r="B1804" s="257" t="s">
        <v>5471</v>
      </c>
      <c r="C1804" s="257" t="s">
        <v>5</v>
      </c>
      <c r="D1804" s="259" t="s">
        <v>15074</v>
      </c>
      <c r="E1804" s="210" t="s">
        <v>201</v>
      </c>
    </row>
    <row r="1805" spans="1:5" ht="27">
      <c r="A1805" s="258">
        <v>99841</v>
      </c>
      <c r="B1805" s="257" t="s">
        <v>5472</v>
      </c>
      <c r="C1805" s="257" t="s">
        <v>5</v>
      </c>
      <c r="D1805" s="259" t="s">
        <v>15075</v>
      </c>
      <c r="E1805" s="210" t="s">
        <v>201</v>
      </c>
    </row>
    <row r="1806" spans="1:5" ht="13.5">
      <c r="A1806" s="258">
        <v>99855</v>
      </c>
      <c r="B1806" s="257" t="s">
        <v>5473</v>
      </c>
      <c r="C1806" s="257" t="s">
        <v>5</v>
      </c>
      <c r="D1806" s="259" t="s">
        <v>15076</v>
      </c>
      <c r="E1806" s="210" t="s">
        <v>201</v>
      </c>
    </row>
    <row r="1807" spans="1:5" ht="13.5">
      <c r="A1807" s="258">
        <v>99857</v>
      </c>
      <c r="B1807" s="257" t="s">
        <v>5474</v>
      </c>
      <c r="C1807" s="257" t="s">
        <v>5</v>
      </c>
      <c r="D1807" s="259" t="s">
        <v>15077</v>
      </c>
      <c r="E1807" s="210" t="s">
        <v>201</v>
      </c>
    </row>
    <row r="1808" spans="1:5" ht="13.5">
      <c r="A1808" s="258">
        <v>99861</v>
      </c>
      <c r="B1808" s="257" t="s">
        <v>5475</v>
      </c>
      <c r="C1808" s="257" t="s">
        <v>150</v>
      </c>
      <c r="D1808" s="259" t="s">
        <v>15078</v>
      </c>
      <c r="E1808" s="210" t="s">
        <v>201</v>
      </c>
    </row>
    <row r="1809" spans="1:5" ht="13.5">
      <c r="A1809" s="258">
        <v>99862</v>
      </c>
      <c r="B1809" s="257" t="s">
        <v>5476</v>
      </c>
      <c r="C1809" s="257" t="s">
        <v>150</v>
      </c>
      <c r="D1809" s="259" t="s">
        <v>15079</v>
      </c>
      <c r="E1809" s="210" t="s">
        <v>201</v>
      </c>
    </row>
    <row r="1810" spans="1:5" ht="27">
      <c r="A1810" s="258">
        <v>73665</v>
      </c>
      <c r="B1810" s="257" t="s">
        <v>1534</v>
      </c>
      <c r="C1810" s="257" t="s">
        <v>5</v>
      </c>
      <c r="D1810" s="259" t="s">
        <v>15080</v>
      </c>
      <c r="E1810" s="210" t="s">
        <v>201</v>
      </c>
    </row>
    <row r="1811" spans="1:5" ht="13.5">
      <c r="A1811" s="258" t="s">
        <v>1535</v>
      </c>
      <c r="B1811" s="257" t="s">
        <v>1536</v>
      </c>
      <c r="C1811" s="257" t="s">
        <v>5</v>
      </c>
      <c r="D1811" s="259" t="s">
        <v>15081</v>
      </c>
      <c r="E1811" s="210" t="s">
        <v>201</v>
      </c>
    </row>
    <row r="1812" spans="1:5" ht="13.5">
      <c r="A1812" s="258">
        <v>90838</v>
      </c>
      <c r="B1812" s="257" t="s">
        <v>7027</v>
      </c>
      <c r="C1812" s="257" t="s">
        <v>90</v>
      </c>
      <c r="D1812" s="259" t="s">
        <v>15082</v>
      </c>
      <c r="E1812" s="210" t="s">
        <v>201</v>
      </c>
    </row>
    <row r="1813" spans="1:5" ht="27">
      <c r="A1813" s="258">
        <v>91338</v>
      </c>
      <c r="B1813" s="257" t="s">
        <v>7028</v>
      </c>
      <c r="C1813" s="257" t="s">
        <v>150</v>
      </c>
      <c r="D1813" s="259" t="s">
        <v>15083</v>
      </c>
      <c r="E1813" s="210" t="s">
        <v>201</v>
      </c>
    </row>
    <row r="1814" spans="1:5" ht="27">
      <c r="A1814" s="258">
        <v>91341</v>
      </c>
      <c r="B1814" s="257" t="s">
        <v>7029</v>
      </c>
      <c r="C1814" s="257" t="s">
        <v>150</v>
      </c>
      <c r="D1814" s="259" t="s">
        <v>15084</v>
      </c>
      <c r="E1814" s="210" t="s">
        <v>201</v>
      </c>
    </row>
    <row r="1815" spans="1:5" ht="27">
      <c r="A1815" s="258">
        <v>94805</v>
      </c>
      <c r="B1815" s="257" t="s">
        <v>7030</v>
      </c>
      <c r="C1815" s="257" t="s">
        <v>90</v>
      </c>
      <c r="D1815" s="259" t="s">
        <v>15085</v>
      </c>
      <c r="E1815" s="210" t="s">
        <v>201</v>
      </c>
    </row>
    <row r="1816" spans="1:5" ht="27">
      <c r="A1816" s="258">
        <v>94806</v>
      </c>
      <c r="B1816" s="257" t="s">
        <v>7031</v>
      </c>
      <c r="C1816" s="257" t="s">
        <v>90</v>
      </c>
      <c r="D1816" s="259" t="s">
        <v>15086</v>
      </c>
      <c r="E1816" s="210" t="s">
        <v>201</v>
      </c>
    </row>
    <row r="1817" spans="1:5" ht="27">
      <c r="A1817" s="258">
        <v>94807</v>
      </c>
      <c r="B1817" s="257" t="s">
        <v>7032</v>
      </c>
      <c r="C1817" s="257" t="s">
        <v>90</v>
      </c>
      <c r="D1817" s="259" t="s">
        <v>15087</v>
      </c>
      <c r="E1817" s="210" t="s">
        <v>201</v>
      </c>
    </row>
    <row r="1818" spans="1:5" ht="27">
      <c r="A1818" s="258">
        <v>100702</v>
      </c>
      <c r="B1818" s="257" t="s">
        <v>7033</v>
      </c>
      <c r="C1818" s="257" t="s">
        <v>150</v>
      </c>
      <c r="D1818" s="259" t="s">
        <v>15088</v>
      </c>
      <c r="E1818" s="210" t="s">
        <v>201</v>
      </c>
    </row>
    <row r="1819" spans="1:5" ht="27">
      <c r="A1819" s="258">
        <v>84885</v>
      </c>
      <c r="B1819" s="257" t="s">
        <v>1537</v>
      </c>
      <c r="C1819" s="257" t="s">
        <v>90</v>
      </c>
      <c r="D1819" s="259" t="s">
        <v>15089</v>
      </c>
      <c r="E1819" s="210" t="s">
        <v>201</v>
      </c>
    </row>
    <row r="1820" spans="1:5" ht="13.5">
      <c r="A1820" s="258">
        <v>84886</v>
      </c>
      <c r="B1820" s="257" t="s">
        <v>1538</v>
      </c>
      <c r="C1820" s="257" t="s">
        <v>90</v>
      </c>
      <c r="D1820" s="259" t="s">
        <v>15090</v>
      </c>
      <c r="E1820" s="210" t="s">
        <v>201</v>
      </c>
    </row>
    <row r="1821" spans="1:5" ht="13.5">
      <c r="A1821" s="258" t="s">
        <v>1539</v>
      </c>
      <c r="B1821" s="257" t="s">
        <v>173</v>
      </c>
      <c r="C1821" s="257" t="s">
        <v>90</v>
      </c>
      <c r="D1821" s="259" t="s">
        <v>15091</v>
      </c>
      <c r="E1821" s="210" t="s">
        <v>201</v>
      </c>
    </row>
    <row r="1822" spans="1:5" ht="13.5">
      <c r="A1822" s="258">
        <v>100703</v>
      </c>
      <c r="B1822" s="257" t="s">
        <v>7034</v>
      </c>
      <c r="C1822" s="257" t="s">
        <v>90</v>
      </c>
      <c r="D1822" s="259" t="s">
        <v>15092</v>
      </c>
      <c r="E1822" s="210" t="s">
        <v>201</v>
      </c>
    </row>
    <row r="1823" spans="1:5" ht="13.5">
      <c r="A1823" s="258">
        <v>100704</v>
      </c>
      <c r="B1823" s="257" t="s">
        <v>7035</v>
      </c>
      <c r="C1823" s="257" t="s">
        <v>90</v>
      </c>
      <c r="D1823" s="259" t="s">
        <v>15093</v>
      </c>
      <c r="E1823" s="210" t="s">
        <v>201</v>
      </c>
    </row>
    <row r="1824" spans="1:5" ht="13.5">
      <c r="A1824" s="258">
        <v>100705</v>
      </c>
      <c r="B1824" s="257" t="s">
        <v>7036</v>
      </c>
      <c r="C1824" s="257" t="s">
        <v>90</v>
      </c>
      <c r="D1824" s="259" t="s">
        <v>15094</v>
      </c>
      <c r="E1824" s="210" t="s">
        <v>201</v>
      </c>
    </row>
    <row r="1825" spans="1:5" ht="13.5">
      <c r="A1825" s="258">
        <v>100706</v>
      </c>
      <c r="B1825" s="257" t="s">
        <v>7037</v>
      </c>
      <c r="C1825" s="257" t="s">
        <v>90</v>
      </c>
      <c r="D1825" s="259" t="s">
        <v>15095</v>
      </c>
      <c r="E1825" s="210" t="s">
        <v>201</v>
      </c>
    </row>
    <row r="1826" spans="1:5" ht="13.5">
      <c r="A1826" s="258">
        <v>100707</v>
      </c>
      <c r="B1826" s="257" t="s">
        <v>7038</v>
      </c>
      <c r="C1826" s="257" t="s">
        <v>90</v>
      </c>
      <c r="D1826" s="259" t="s">
        <v>15096</v>
      </c>
      <c r="E1826" s="210" t="s">
        <v>201</v>
      </c>
    </row>
    <row r="1827" spans="1:5" ht="13.5">
      <c r="A1827" s="258">
        <v>100708</v>
      </c>
      <c r="B1827" s="257" t="s">
        <v>7039</v>
      </c>
      <c r="C1827" s="257" t="s">
        <v>90</v>
      </c>
      <c r="D1827" s="259" t="s">
        <v>15097</v>
      </c>
      <c r="E1827" s="210" t="s">
        <v>201</v>
      </c>
    </row>
    <row r="1828" spans="1:5" ht="27">
      <c r="A1828" s="258">
        <v>100709</v>
      </c>
      <c r="B1828" s="257" t="s">
        <v>7040</v>
      </c>
      <c r="C1828" s="257" t="s">
        <v>90</v>
      </c>
      <c r="D1828" s="259" t="s">
        <v>15098</v>
      </c>
      <c r="E1828" s="210" t="s">
        <v>201</v>
      </c>
    </row>
    <row r="1829" spans="1:5" ht="13.5">
      <c r="A1829" s="258">
        <v>100710</v>
      </c>
      <c r="B1829" s="257" t="s">
        <v>7041</v>
      </c>
      <c r="C1829" s="257" t="s">
        <v>90</v>
      </c>
      <c r="D1829" s="259" t="s">
        <v>15099</v>
      </c>
      <c r="E1829" s="210" t="s">
        <v>201</v>
      </c>
    </row>
    <row r="1830" spans="1:5" ht="13.5">
      <c r="A1830" s="258">
        <v>72116</v>
      </c>
      <c r="B1830" s="257" t="s">
        <v>1540</v>
      </c>
      <c r="C1830" s="257" t="s">
        <v>150</v>
      </c>
      <c r="D1830" s="259" t="s">
        <v>15100</v>
      </c>
      <c r="E1830" s="210" t="s">
        <v>201</v>
      </c>
    </row>
    <row r="1831" spans="1:5" ht="13.5">
      <c r="A1831" s="258">
        <v>72117</v>
      </c>
      <c r="B1831" s="257" t="s">
        <v>1541</v>
      </c>
      <c r="C1831" s="257" t="s">
        <v>150</v>
      </c>
      <c r="D1831" s="259" t="s">
        <v>15101</v>
      </c>
      <c r="E1831" s="210" t="s">
        <v>201</v>
      </c>
    </row>
    <row r="1832" spans="1:5" ht="27">
      <c r="A1832" s="258">
        <v>72118</v>
      </c>
      <c r="B1832" s="257" t="s">
        <v>1542</v>
      </c>
      <c r="C1832" s="257" t="s">
        <v>150</v>
      </c>
      <c r="D1832" s="259" t="s">
        <v>15102</v>
      </c>
      <c r="E1832" s="210" t="s">
        <v>201</v>
      </c>
    </row>
    <row r="1833" spans="1:5" ht="27">
      <c r="A1833" s="258">
        <v>72119</v>
      </c>
      <c r="B1833" s="257" t="s">
        <v>1543</v>
      </c>
      <c r="C1833" s="257" t="s">
        <v>150</v>
      </c>
      <c r="D1833" s="259" t="s">
        <v>15103</v>
      </c>
      <c r="E1833" s="210" t="s">
        <v>201</v>
      </c>
    </row>
    <row r="1834" spans="1:5" ht="27">
      <c r="A1834" s="258">
        <v>72120</v>
      </c>
      <c r="B1834" s="257" t="s">
        <v>1544</v>
      </c>
      <c r="C1834" s="257" t="s">
        <v>150</v>
      </c>
      <c r="D1834" s="259" t="s">
        <v>13890</v>
      </c>
      <c r="E1834" s="210" t="s">
        <v>201</v>
      </c>
    </row>
    <row r="1835" spans="1:5" ht="13.5">
      <c r="A1835" s="258">
        <v>72122</v>
      </c>
      <c r="B1835" s="257" t="s">
        <v>1545</v>
      </c>
      <c r="C1835" s="257" t="s">
        <v>150</v>
      </c>
      <c r="D1835" s="259" t="s">
        <v>15104</v>
      </c>
      <c r="E1835" s="210" t="s">
        <v>201</v>
      </c>
    </row>
    <row r="1836" spans="1:5" ht="13.5">
      <c r="A1836" s="258">
        <v>72123</v>
      </c>
      <c r="B1836" s="257" t="s">
        <v>169</v>
      </c>
      <c r="C1836" s="257" t="s">
        <v>150</v>
      </c>
      <c r="D1836" s="259" t="s">
        <v>15105</v>
      </c>
      <c r="E1836" s="210" t="s">
        <v>201</v>
      </c>
    </row>
    <row r="1837" spans="1:5" ht="13.5">
      <c r="A1837" s="258" t="s">
        <v>1546</v>
      </c>
      <c r="B1837" s="257" t="s">
        <v>1547</v>
      </c>
      <c r="C1837" s="257" t="s">
        <v>90</v>
      </c>
      <c r="D1837" s="259" t="s">
        <v>15106</v>
      </c>
      <c r="E1837" s="210" t="s">
        <v>201</v>
      </c>
    </row>
    <row r="1838" spans="1:5" ht="13.5">
      <c r="A1838" s="258" t="s">
        <v>1548</v>
      </c>
      <c r="B1838" s="257" t="s">
        <v>1549</v>
      </c>
      <c r="C1838" s="257" t="s">
        <v>150</v>
      </c>
      <c r="D1838" s="259" t="s">
        <v>15107</v>
      </c>
      <c r="E1838" s="210" t="s">
        <v>201</v>
      </c>
    </row>
    <row r="1839" spans="1:5" ht="13.5">
      <c r="A1839" s="258" t="s">
        <v>1550</v>
      </c>
      <c r="B1839" s="257" t="s">
        <v>176</v>
      </c>
      <c r="C1839" s="257" t="s">
        <v>150</v>
      </c>
      <c r="D1839" s="259" t="s">
        <v>15108</v>
      </c>
      <c r="E1839" s="210" t="s">
        <v>201</v>
      </c>
    </row>
    <row r="1840" spans="1:5" ht="13.5">
      <c r="A1840" s="258">
        <v>84957</v>
      </c>
      <c r="B1840" s="257" t="s">
        <v>1551</v>
      </c>
      <c r="C1840" s="257" t="s">
        <v>150</v>
      </c>
      <c r="D1840" s="259" t="s">
        <v>15109</v>
      </c>
      <c r="E1840" s="210" t="s">
        <v>201</v>
      </c>
    </row>
    <row r="1841" spans="1:5" ht="13.5">
      <c r="A1841" s="258">
        <v>84959</v>
      </c>
      <c r="B1841" s="257" t="s">
        <v>1552</v>
      </c>
      <c r="C1841" s="257" t="s">
        <v>150</v>
      </c>
      <c r="D1841" s="259" t="s">
        <v>15110</v>
      </c>
      <c r="E1841" s="210" t="s">
        <v>201</v>
      </c>
    </row>
    <row r="1842" spans="1:5" ht="13.5">
      <c r="A1842" s="258">
        <v>85001</v>
      </c>
      <c r="B1842" s="257" t="s">
        <v>1553</v>
      </c>
      <c r="C1842" s="257" t="s">
        <v>150</v>
      </c>
      <c r="D1842" s="259" t="s">
        <v>15111</v>
      </c>
      <c r="E1842" s="210" t="s">
        <v>201</v>
      </c>
    </row>
    <row r="1843" spans="1:5" ht="13.5">
      <c r="A1843" s="258">
        <v>85002</v>
      </c>
      <c r="B1843" s="257" t="s">
        <v>1554</v>
      </c>
      <c r="C1843" s="257" t="s">
        <v>150</v>
      </c>
      <c r="D1843" s="259" t="s">
        <v>15112</v>
      </c>
      <c r="E1843" s="210" t="s">
        <v>201</v>
      </c>
    </row>
    <row r="1844" spans="1:5" ht="13.5">
      <c r="A1844" s="258">
        <v>85004</v>
      </c>
      <c r="B1844" s="257" t="s">
        <v>1555</v>
      </c>
      <c r="C1844" s="257" t="s">
        <v>150</v>
      </c>
      <c r="D1844" s="259" t="s">
        <v>15113</v>
      </c>
      <c r="E1844" s="210" t="s">
        <v>201</v>
      </c>
    </row>
    <row r="1845" spans="1:5" ht="13.5">
      <c r="A1845" s="258">
        <v>85005</v>
      </c>
      <c r="B1845" s="257" t="s">
        <v>1556</v>
      </c>
      <c r="C1845" s="257" t="s">
        <v>150</v>
      </c>
      <c r="D1845" s="259" t="s">
        <v>15114</v>
      </c>
      <c r="E1845" s="210" t="s">
        <v>201</v>
      </c>
    </row>
    <row r="1846" spans="1:5" ht="27">
      <c r="A1846" s="258">
        <v>94569</v>
      </c>
      <c r="B1846" s="257" t="s">
        <v>7042</v>
      </c>
      <c r="C1846" s="257" t="s">
        <v>150</v>
      </c>
      <c r="D1846" s="259" t="s">
        <v>15115</v>
      </c>
      <c r="E1846" s="210" t="s">
        <v>201</v>
      </c>
    </row>
    <row r="1847" spans="1:5" ht="40.5">
      <c r="A1847" s="258">
        <v>94570</v>
      </c>
      <c r="B1847" s="257" t="s">
        <v>7043</v>
      </c>
      <c r="C1847" s="257" t="s">
        <v>150</v>
      </c>
      <c r="D1847" s="259" t="s">
        <v>15116</v>
      </c>
      <c r="E1847" s="210" t="s">
        <v>201</v>
      </c>
    </row>
    <row r="1848" spans="1:5" ht="40.5">
      <c r="A1848" s="258">
        <v>94572</v>
      </c>
      <c r="B1848" s="257" t="s">
        <v>7044</v>
      </c>
      <c r="C1848" s="257" t="s">
        <v>150</v>
      </c>
      <c r="D1848" s="259" t="s">
        <v>15117</v>
      </c>
      <c r="E1848" s="210" t="s">
        <v>201</v>
      </c>
    </row>
    <row r="1849" spans="1:5" ht="40.5">
      <c r="A1849" s="258">
        <v>94573</v>
      </c>
      <c r="B1849" s="257" t="s">
        <v>7045</v>
      </c>
      <c r="C1849" s="257" t="s">
        <v>150</v>
      </c>
      <c r="D1849" s="259" t="s">
        <v>15118</v>
      </c>
      <c r="E1849" s="210" t="s">
        <v>201</v>
      </c>
    </row>
    <row r="1850" spans="1:5" ht="40.5">
      <c r="A1850" s="258">
        <v>94580</v>
      </c>
      <c r="B1850" s="257" t="s">
        <v>7046</v>
      </c>
      <c r="C1850" s="257" t="s">
        <v>150</v>
      </c>
      <c r="D1850" s="259" t="s">
        <v>15119</v>
      </c>
      <c r="E1850" s="210" t="s">
        <v>201</v>
      </c>
    </row>
    <row r="1851" spans="1:5" ht="27">
      <c r="A1851" s="258">
        <v>100674</v>
      </c>
      <c r="B1851" s="257" t="s">
        <v>7047</v>
      </c>
      <c r="C1851" s="257" t="s">
        <v>150</v>
      </c>
      <c r="D1851" s="259" t="s">
        <v>15120</v>
      </c>
      <c r="E1851" s="210" t="s">
        <v>201</v>
      </c>
    </row>
    <row r="1852" spans="1:5" ht="13.5">
      <c r="A1852" s="258" t="s">
        <v>1558</v>
      </c>
      <c r="B1852" s="257" t="s">
        <v>1559</v>
      </c>
      <c r="C1852" s="257" t="s">
        <v>5</v>
      </c>
      <c r="D1852" s="259" t="s">
        <v>15121</v>
      </c>
      <c r="E1852" s="210" t="s">
        <v>201</v>
      </c>
    </row>
    <row r="1853" spans="1:5" ht="13.5">
      <c r="A1853" s="258" t="s">
        <v>1560</v>
      </c>
      <c r="B1853" s="257" t="s">
        <v>1561</v>
      </c>
      <c r="C1853" s="257" t="s">
        <v>5</v>
      </c>
      <c r="D1853" s="259" t="s">
        <v>15122</v>
      </c>
      <c r="E1853" s="210" t="s">
        <v>201</v>
      </c>
    </row>
    <row r="1854" spans="1:5" ht="13.5">
      <c r="A1854" s="258">
        <v>85015</v>
      </c>
      <c r="B1854" s="257" t="s">
        <v>1562</v>
      </c>
      <c r="C1854" s="257" t="s">
        <v>5</v>
      </c>
      <c r="D1854" s="259" t="s">
        <v>15123</v>
      </c>
      <c r="E1854" s="210" t="s">
        <v>201</v>
      </c>
    </row>
    <row r="1855" spans="1:5" ht="13.5">
      <c r="A1855" s="258">
        <v>85016</v>
      </c>
      <c r="B1855" s="257" t="s">
        <v>1563</v>
      </c>
      <c r="C1855" s="257" t="s">
        <v>5</v>
      </c>
      <c r="D1855" s="259" t="s">
        <v>15124</v>
      </c>
      <c r="E1855" s="210" t="s">
        <v>201</v>
      </c>
    </row>
    <row r="1856" spans="1:5" ht="40.5">
      <c r="A1856" s="258">
        <v>97751</v>
      </c>
      <c r="B1856" s="257" t="s">
        <v>4617</v>
      </c>
      <c r="C1856" s="257" t="s">
        <v>172</v>
      </c>
      <c r="D1856" s="259" t="s">
        <v>15125</v>
      </c>
      <c r="E1856" s="210" t="s">
        <v>201</v>
      </c>
    </row>
    <row r="1857" spans="1:5" ht="40.5">
      <c r="A1857" s="258">
        <v>97752</v>
      </c>
      <c r="B1857" s="257" t="s">
        <v>4618</v>
      </c>
      <c r="C1857" s="257" t="s">
        <v>172</v>
      </c>
      <c r="D1857" s="259" t="s">
        <v>15126</v>
      </c>
      <c r="E1857" s="210" t="s">
        <v>201</v>
      </c>
    </row>
    <row r="1858" spans="1:5" ht="40.5">
      <c r="A1858" s="258">
        <v>97753</v>
      </c>
      <c r="B1858" s="257" t="s">
        <v>4619</v>
      </c>
      <c r="C1858" s="257" t="s">
        <v>172</v>
      </c>
      <c r="D1858" s="259" t="s">
        <v>15127</v>
      </c>
      <c r="E1858" s="210" t="s">
        <v>201</v>
      </c>
    </row>
    <row r="1859" spans="1:5" ht="40.5">
      <c r="A1859" s="258">
        <v>97754</v>
      </c>
      <c r="B1859" s="257" t="s">
        <v>4620</v>
      </c>
      <c r="C1859" s="257" t="s">
        <v>172</v>
      </c>
      <c r="D1859" s="259" t="s">
        <v>15128</v>
      </c>
      <c r="E1859" s="210" t="s">
        <v>201</v>
      </c>
    </row>
    <row r="1860" spans="1:5" ht="40.5">
      <c r="A1860" s="258">
        <v>97755</v>
      </c>
      <c r="B1860" s="257" t="s">
        <v>4621</v>
      </c>
      <c r="C1860" s="257" t="s">
        <v>172</v>
      </c>
      <c r="D1860" s="259" t="s">
        <v>15129</v>
      </c>
      <c r="E1860" s="210" t="s">
        <v>201</v>
      </c>
    </row>
    <row r="1861" spans="1:5" ht="40.5">
      <c r="A1861" s="258">
        <v>97756</v>
      </c>
      <c r="B1861" s="257" t="s">
        <v>4622</v>
      </c>
      <c r="C1861" s="257" t="s">
        <v>172</v>
      </c>
      <c r="D1861" s="259" t="s">
        <v>15130</v>
      </c>
      <c r="E1861" s="210" t="s">
        <v>201</v>
      </c>
    </row>
    <row r="1862" spans="1:5" ht="40.5">
      <c r="A1862" s="258">
        <v>97757</v>
      </c>
      <c r="B1862" s="257" t="s">
        <v>4623</v>
      </c>
      <c r="C1862" s="257" t="s">
        <v>172</v>
      </c>
      <c r="D1862" s="259" t="s">
        <v>15131</v>
      </c>
      <c r="E1862" s="210" t="s">
        <v>201</v>
      </c>
    </row>
    <row r="1863" spans="1:5" ht="40.5">
      <c r="A1863" s="258">
        <v>97758</v>
      </c>
      <c r="B1863" s="257" t="s">
        <v>4624</v>
      </c>
      <c r="C1863" s="257" t="s">
        <v>172</v>
      </c>
      <c r="D1863" s="259" t="s">
        <v>15132</v>
      </c>
      <c r="E1863" s="210" t="s">
        <v>201</v>
      </c>
    </row>
    <row r="1864" spans="1:5" ht="27">
      <c r="A1864" s="258">
        <v>97759</v>
      </c>
      <c r="B1864" s="257" t="s">
        <v>4625</v>
      </c>
      <c r="C1864" s="257" t="s">
        <v>172</v>
      </c>
      <c r="D1864" s="259" t="s">
        <v>15133</v>
      </c>
      <c r="E1864" s="210" t="s">
        <v>201</v>
      </c>
    </row>
    <row r="1865" spans="1:5" ht="27">
      <c r="A1865" s="258">
        <v>97760</v>
      </c>
      <c r="B1865" s="257" t="s">
        <v>4626</v>
      </c>
      <c r="C1865" s="257" t="s">
        <v>172</v>
      </c>
      <c r="D1865" s="259" t="s">
        <v>15134</v>
      </c>
      <c r="E1865" s="210" t="s">
        <v>201</v>
      </c>
    </row>
    <row r="1866" spans="1:5" ht="27">
      <c r="A1866" s="258">
        <v>97761</v>
      </c>
      <c r="B1866" s="257" t="s">
        <v>4627</v>
      </c>
      <c r="C1866" s="257" t="s">
        <v>172</v>
      </c>
      <c r="D1866" s="259" t="s">
        <v>15135</v>
      </c>
      <c r="E1866" s="210" t="s">
        <v>201</v>
      </c>
    </row>
    <row r="1867" spans="1:5" ht="27">
      <c r="A1867" s="258">
        <v>97762</v>
      </c>
      <c r="B1867" s="257" t="s">
        <v>4628</v>
      </c>
      <c r="C1867" s="257" t="s">
        <v>172</v>
      </c>
      <c r="D1867" s="259" t="s">
        <v>15136</v>
      </c>
      <c r="E1867" s="210" t="s">
        <v>201</v>
      </c>
    </row>
    <row r="1868" spans="1:5" ht="40.5">
      <c r="A1868" s="258">
        <v>97763</v>
      </c>
      <c r="B1868" s="257" t="s">
        <v>4629</v>
      </c>
      <c r="C1868" s="257" t="s">
        <v>172</v>
      </c>
      <c r="D1868" s="259" t="s">
        <v>15137</v>
      </c>
      <c r="E1868" s="210" t="s">
        <v>201</v>
      </c>
    </row>
    <row r="1869" spans="1:5" ht="40.5">
      <c r="A1869" s="258">
        <v>97764</v>
      </c>
      <c r="B1869" s="257" t="s">
        <v>4630</v>
      </c>
      <c r="C1869" s="257" t="s">
        <v>172</v>
      </c>
      <c r="D1869" s="259" t="s">
        <v>15138</v>
      </c>
      <c r="E1869" s="210" t="s">
        <v>201</v>
      </c>
    </row>
    <row r="1870" spans="1:5" ht="40.5">
      <c r="A1870" s="258">
        <v>97765</v>
      </c>
      <c r="B1870" s="257" t="s">
        <v>4631</v>
      </c>
      <c r="C1870" s="257" t="s">
        <v>172</v>
      </c>
      <c r="D1870" s="259" t="s">
        <v>15139</v>
      </c>
      <c r="E1870" s="210" t="s">
        <v>201</v>
      </c>
    </row>
    <row r="1871" spans="1:5" ht="40.5">
      <c r="A1871" s="258">
        <v>97766</v>
      </c>
      <c r="B1871" s="257" t="s">
        <v>4632</v>
      </c>
      <c r="C1871" s="257" t="s">
        <v>172</v>
      </c>
      <c r="D1871" s="259" t="s">
        <v>15140</v>
      </c>
      <c r="E1871" s="210" t="s">
        <v>201</v>
      </c>
    </row>
    <row r="1872" spans="1:5" ht="40.5">
      <c r="A1872" s="258">
        <v>97767</v>
      </c>
      <c r="B1872" s="257" t="s">
        <v>4633</v>
      </c>
      <c r="C1872" s="257" t="s">
        <v>172</v>
      </c>
      <c r="D1872" s="259" t="s">
        <v>15141</v>
      </c>
      <c r="E1872" s="210" t="s">
        <v>201</v>
      </c>
    </row>
    <row r="1873" spans="1:5" ht="40.5">
      <c r="A1873" s="258">
        <v>97768</v>
      </c>
      <c r="B1873" s="257" t="s">
        <v>4634</v>
      </c>
      <c r="C1873" s="257" t="s">
        <v>172</v>
      </c>
      <c r="D1873" s="259" t="s">
        <v>15142</v>
      </c>
      <c r="E1873" s="210" t="s">
        <v>201</v>
      </c>
    </row>
    <row r="1874" spans="1:5" ht="40.5">
      <c r="A1874" s="258">
        <v>97769</v>
      </c>
      <c r="B1874" s="257" t="s">
        <v>4635</v>
      </c>
      <c r="C1874" s="257" t="s">
        <v>172</v>
      </c>
      <c r="D1874" s="259" t="s">
        <v>15143</v>
      </c>
      <c r="E1874" s="210" t="s">
        <v>201</v>
      </c>
    </row>
    <row r="1875" spans="1:5" ht="40.5">
      <c r="A1875" s="258">
        <v>97770</v>
      </c>
      <c r="B1875" s="257" t="s">
        <v>4636</v>
      </c>
      <c r="C1875" s="257" t="s">
        <v>172</v>
      </c>
      <c r="D1875" s="259" t="s">
        <v>15144</v>
      </c>
      <c r="E1875" s="210" t="s">
        <v>201</v>
      </c>
    </row>
    <row r="1876" spans="1:5" ht="27">
      <c r="A1876" s="258">
        <v>97771</v>
      </c>
      <c r="B1876" s="257" t="s">
        <v>4637</v>
      </c>
      <c r="C1876" s="257" t="s">
        <v>172</v>
      </c>
      <c r="D1876" s="259" t="s">
        <v>15145</v>
      </c>
      <c r="E1876" s="210" t="s">
        <v>201</v>
      </c>
    </row>
    <row r="1877" spans="1:5" ht="27">
      <c r="A1877" s="258">
        <v>97772</v>
      </c>
      <c r="B1877" s="257" t="s">
        <v>4638</v>
      </c>
      <c r="C1877" s="257" t="s">
        <v>172</v>
      </c>
      <c r="D1877" s="259" t="s">
        <v>15146</v>
      </c>
      <c r="E1877" s="210" t="s">
        <v>201</v>
      </c>
    </row>
    <row r="1878" spans="1:5" ht="27">
      <c r="A1878" s="258">
        <v>97773</v>
      </c>
      <c r="B1878" s="257" t="s">
        <v>4639</v>
      </c>
      <c r="C1878" s="257" t="s">
        <v>172</v>
      </c>
      <c r="D1878" s="259" t="s">
        <v>15147</v>
      </c>
      <c r="E1878" s="210" t="s">
        <v>201</v>
      </c>
    </row>
    <row r="1879" spans="1:5" ht="27">
      <c r="A1879" s="258">
        <v>97774</v>
      </c>
      <c r="B1879" s="257" t="s">
        <v>4640</v>
      </c>
      <c r="C1879" s="257" t="s">
        <v>172</v>
      </c>
      <c r="D1879" s="259" t="s">
        <v>15148</v>
      </c>
      <c r="E1879" s="210" t="s">
        <v>201</v>
      </c>
    </row>
    <row r="1880" spans="1:5" ht="40.5">
      <c r="A1880" s="258">
        <v>97775</v>
      </c>
      <c r="B1880" s="257" t="s">
        <v>4641</v>
      </c>
      <c r="C1880" s="257" t="s">
        <v>172</v>
      </c>
      <c r="D1880" s="259" t="s">
        <v>15149</v>
      </c>
      <c r="E1880" s="210" t="s">
        <v>201</v>
      </c>
    </row>
    <row r="1881" spans="1:5" ht="40.5">
      <c r="A1881" s="258">
        <v>97776</v>
      </c>
      <c r="B1881" s="257" t="s">
        <v>4642</v>
      </c>
      <c r="C1881" s="257" t="s">
        <v>172</v>
      </c>
      <c r="D1881" s="259" t="s">
        <v>15150</v>
      </c>
      <c r="E1881" s="210" t="s">
        <v>201</v>
      </c>
    </row>
    <row r="1882" spans="1:5" ht="40.5">
      <c r="A1882" s="258">
        <v>97777</v>
      </c>
      <c r="B1882" s="257" t="s">
        <v>4643</v>
      </c>
      <c r="C1882" s="257" t="s">
        <v>172</v>
      </c>
      <c r="D1882" s="259" t="s">
        <v>15151</v>
      </c>
      <c r="E1882" s="210" t="s">
        <v>201</v>
      </c>
    </row>
    <row r="1883" spans="1:5" ht="40.5">
      <c r="A1883" s="258">
        <v>97778</v>
      </c>
      <c r="B1883" s="257" t="s">
        <v>4644</v>
      </c>
      <c r="C1883" s="257" t="s">
        <v>172</v>
      </c>
      <c r="D1883" s="259" t="s">
        <v>15152</v>
      </c>
      <c r="E1883" s="210" t="s">
        <v>201</v>
      </c>
    </row>
    <row r="1884" spans="1:5" ht="40.5">
      <c r="A1884" s="258">
        <v>97779</v>
      </c>
      <c r="B1884" s="257" t="s">
        <v>4645</v>
      </c>
      <c r="C1884" s="257" t="s">
        <v>172</v>
      </c>
      <c r="D1884" s="259" t="s">
        <v>15153</v>
      </c>
      <c r="E1884" s="210" t="s">
        <v>201</v>
      </c>
    </row>
    <row r="1885" spans="1:5" ht="40.5">
      <c r="A1885" s="258">
        <v>97780</v>
      </c>
      <c r="B1885" s="257" t="s">
        <v>4646</v>
      </c>
      <c r="C1885" s="257" t="s">
        <v>172</v>
      </c>
      <c r="D1885" s="259" t="s">
        <v>15154</v>
      </c>
      <c r="E1885" s="210" t="s">
        <v>201</v>
      </c>
    </row>
    <row r="1886" spans="1:5" ht="40.5">
      <c r="A1886" s="258">
        <v>97781</v>
      </c>
      <c r="B1886" s="257" t="s">
        <v>4647</v>
      </c>
      <c r="C1886" s="257" t="s">
        <v>172</v>
      </c>
      <c r="D1886" s="259" t="s">
        <v>15155</v>
      </c>
      <c r="E1886" s="210" t="s">
        <v>201</v>
      </c>
    </row>
    <row r="1887" spans="1:5" ht="40.5">
      <c r="A1887" s="258">
        <v>97782</v>
      </c>
      <c r="B1887" s="257" t="s">
        <v>4648</v>
      </c>
      <c r="C1887" s="257" t="s">
        <v>172</v>
      </c>
      <c r="D1887" s="259" t="s">
        <v>15156</v>
      </c>
      <c r="E1887" s="210" t="s">
        <v>201</v>
      </c>
    </row>
    <row r="1888" spans="1:5" ht="40.5">
      <c r="A1888" s="258">
        <v>97783</v>
      </c>
      <c r="B1888" s="257" t="s">
        <v>4649</v>
      </c>
      <c r="C1888" s="257" t="s">
        <v>172</v>
      </c>
      <c r="D1888" s="259" t="s">
        <v>15157</v>
      </c>
      <c r="E1888" s="210" t="s">
        <v>201</v>
      </c>
    </row>
    <row r="1889" spans="1:5" ht="40.5">
      <c r="A1889" s="258">
        <v>97784</v>
      </c>
      <c r="B1889" s="257" t="s">
        <v>4650</v>
      </c>
      <c r="C1889" s="257" t="s">
        <v>172</v>
      </c>
      <c r="D1889" s="259" t="s">
        <v>15158</v>
      </c>
      <c r="E1889" s="210" t="s">
        <v>201</v>
      </c>
    </row>
    <row r="1890" spans="1:5" ht="40.5">
      <c r="A1890" s="258">
        <v>97785</v>
      </c>
      <c r="B1890" s="257" t="s">
        <v>4651</v>
      </c>
      <c r="C1890" s="257" t="s">
        <v>172</v>
      </c>
      <c r="D1890" s="259" t="s">
        <v>15159</v>
      </c>
      <c r="E1890" s="210" t="s">
        <v>201</v>
      </c>
    </row>
    <row r="1891" spans="1:5" ht="40.5">
      <c r="A1891" s="258">
        <v>97786</v>
      </c>
      <c r="B1891" s="257" t="s">
        <v>4652</v>
      </c>
      <c r="C1891" s="257" t="s">
        <v>172</v>
      </c>
      <c r="D1891" s="259" t="s">
        <v>15160</v>
      </c>
      <c r="E1891" s="210" t="s">
        <v>201</v>
      </c>
    </row>
    <row r="1892" spans="1:5" ht="40.5">
      <c r="A1892" s="258">
        <v>97787</v>
      </c>
      <c r="B1892" s="257" t="s">
        <v>4653</v>
      </c>
      <c r="C1892" s="257" t="s">
        <v>172</v>
      </c>
      <c r="D1892" s="259" t="s">
        <v>15161</v>
      </c>
      <c r="E1892" s="210" t="s">
        <v>201</v>
      </c>
    </row>
    <row r="1893" spans="1:5" ht="40.5">
      <c r="A1893" s="258">
        <v>97788</v>
      </c>
      <c r="B1893" s="257" t="s">
        <v>4654</v>
      </c>
      <c r="C1893" s="257" t="s">
        <v>172</v>
      </c>
      <c r="D1893" s="259" t="s">
        <v>15162</v>
      </c>
      <c r="E1893" s="210" t="s">
        <v>201</v>
      </c>
    </row>
    <row r="1894" spans="1:5" ht="40.5">
      <c r="A1894" s="258">
        <v>97789</v>
      </c>
      <c r="B1894" s="257" t="s">
        <v>4655</v>
      </c>
      <c r="C1894" s="257" t="s">
        <v>172</v>
      </c>
      <c r="D1894" s="259" t="s">
        <v>15163</v>
      </c>
      <c r="E1894" s="210" t="s">
        <v>201</v>
      </c>
    </row>
    <row r="1895" spans="1:5" ht="40.5">
      <c r="A1895" s="258">
        <v>97790</v>
      </c>
      <c r="B1895" s="257" t="s">
        <v>4656</v>
      </c>
      <c r="C1895" s="257" t="s">
        <v>172</v>
      </c>
      <c r="D1895" s="259" t="s">
        <v>15164</v>
      </c>
      <c r="E1895" s="210" t="s">
        <v>201</v>
      </c>
    </row>
    <row r="1896" spans="1:5" ht="40.5">
      <c r="A1896" s="258">
        <v>97791</v>
      </c>
      <c r="B1896" s="257" t="s">
        <v>4657</v>
      </c>
      <c r="C1896" s="257" t="s">
        <v>172</v>
      </c>
      <c r="D1896" s="259" t="s">
        <v>15165</v>
      </c>
      <c r="E1896" s="210" t="s">
        <v>201</v>
      </c>
    </row>
    <row r="1897" spans="1:5" ht="40.5">
      <c r="A1897" s="258">
        <v>97792</v>
      </c>
      <c r="B1897" s="257" t="s">
        <v>4658</v>
      </c>
      <c r="C1897" s="257" t="s">
        <v>172</v>
      </c>
      <c r="D1897" s="259" t="s">
        <v>15166</v>
      </c>
      <c r="E1897" s="210" t="s">
        <v>201</v>
      </c>
    </row>
    <row r="1898" spans="1:5" ht="40.5">
      <c r="A1898" s="258">
        <v>97793</v>
      </c>
      <c r="B1898" s="257" t="s">
        <v>4659</v>
      </c>
      <c r="C1898" s="257" t="s">
        <v>172</v>
      </c>
      <c r="D1898" s="259" t="s">
        <v>15167</v>
      </c>
      <c r="E1898" s="210" t="s">
        <v>201</v>
      </c>
    </row>
    <row r="1899" spans="1:5" ht="40.5">
      <c r="A1899" s="258">
        <v>97794</v>
      </c>
      <c r="B1899" s="257" t="s">
        <v>4660</v>
      </c>
      <c r="C1899" s="257" t="s">
        <v>172</v>
      </c>
      <c r="D1899" s="259" t="s">
        <v>15168</v>
      </c>
      <c r="E1899" s="210" t="s">
        <v>201</v>
      </c>
    </row>
    <row r="1900" spans="1:5" ht="40.5">
      <c r="A1900" s="258">
        <v>97795</v>
      </c>
      <c r="B1900" s="257" t="s">
        <v>4661</v>
      </c>
      <c r="C1900" s="257" t="s">
        <v>172</v>
      </c>
      <c r="D1900" s="259" t="s">
        <v>15169</v>
      </c>
      <c r="E1900" s="210" t="s">
        <v>201</v>
      </c>
    </row>
    <row r="1901" spans="1:5" ht="40.5">
      <c r="A1901" s="258">
        <v>97796</v>
      </c>
      <c r="B1901" s="257" t="s">
        <v>4662</v>
      </c>
      <c r="C1901" s="257" t="s">
        <v>172</v>
      </c>
      <c r="D1901" s="259" t="s">
        <v>15170</v>
      </c>
      <c r="E1901" s="210" t="s">
        <v>201</v>
      </c>
    </row>
    <row r="1902" spans="1:5" ht="40.5">
      <c r="A1902" s="258">
        <v>97797</v>
      </c>
      <c r="B1902" s="257" t="s">
        <v>4663</v>
      </c>
      <c r="C1902" s="257" t="s">
        <v>172</v>
      </c>
      <c r="D1902" s="259" t="s">
        <v>15171</v>
      </c>
      <c r="E1902" s="210" t="s">
        <v>201</v>
      </c>
    </row>
    <row r="1903" spans="1:5" ht="40.5">
      <c r="A1903" s="258">
        <v>97798</v>
      </c>
      <c r="B1903" s="257" t="s">
        <v>4664</v>
      </c>
      <c r="C1903" s="257" t="s">
        <v>172</v>
      </c>
      <c r="D1903" s="259" t="s">
        <v>15172</v>
      </c>
      <c r="E1903" s="210" t="s">
        <v>201</v>
      </c>
    </row>
    <row r="1904" spans="1:5" ht="27">
      <c r="A1904" s="258">
        <v>97799</v>
      </c>
      <c r="B1904" s="257" t="s">
        <v>4665</v>
      </c>
      <c r="C1904" s="257" t="s">
        <v>172</v>
      </c>
      <c r="D1904" s="259" t="s">
        <v>15173</v>
      </c>
      <c r="E1904" s="210" t="s">
        <v>201</v>
      </c>
    </row>
    <row r="1905" spans="1:5" ht="27">
      <c r="A1905" s="258">
        <v>97800</v>
      </c>
      <c r="B1905" s="257" t="s">
        <v>4666</v>
      </c>
      <c r="C1905" s="257" t="s">
        <v>172</v>
      </c>
      <c r="D1905" s="259" t="s">
        <v>15174</v>
      </c>
      <c r="E1905" s="210" t="s">
        <v>201</v>
      </c>
    </row>
    <row r="1906" spans="1:5" ht="13.5">
      <c r="A1906" s="258">
        <v>95601</v>
      </c>
      <c r="B1906" s="257" t="s">
        <v>1564</v>
      </c>
      <c r="C1906" s="257" t="s">
        <v>90</v>
      </c>
      <c r="D1906" s="259" t="s">
        <v>13683</v>
      </c>
      <c r="E1906" s="210" t="s">
        <v>201</v>
      </c>
    </row>
    <row r="1907" spans="1:5" ht="13.5">
      <c r="A1907" s="258">
        <v>95602</v>
      </c>
      <c r="B1907" s="257" t="s">
        <v>1565</v>
      </c>
      <c r="C1907" s="257" t="s">
        <v>90</v>
      </c>
      <c r="D1907" s="259" t="s">
        <v>15175</v>
      </c>
      <c r="E1907" s="210" t="s">
        <v>201</v>
      </c>
    </row>
    <row r="1908" spans="1:5" ht="13.5">
      <c r="A1908" s="258">
        <v>95603</v>
      </c>
      <c r="B1908" s="257" t="s">
        <v>1566</v>
      </c>
      <c r="C1908" s="257" t="s">
        <v>90</v>
      </c>
      <c r="D1908" s="259" t="s">
        <v>15176</v>
      </c>
      <c r="E1908" s="210" t="s">
        <v>201</v>
      </c>
    </row>
    <row r="1909" spans="1:5" ht="13.5">
      <c r="A1909" s="258">
        <v>95604</v>
      </c>
      <c r="B1909" s="257" t="s">
        <v>1567</v>
      </c>
      <c r="C1909" s="257" t="s">
        <v>90</v>
      </c>
      <c r="D1909" s="259" t="s">
        <v>15177</v>
      </c>
      <c r="E1909" s="210" t="s">
        <v>201</v>
      </c>
    </row>
    <row r="1910" spans="1:5" ht="13.5">
      <c r="A1910" s="258">
        <v>95605</v>
      </c>
      <c r="B1910" s="257" t="s">
        <v>1568</v>
      </c>
      <c r="C1910" s="257" t="s">
        <v>90</v>
      </c>
      <c r="D1910" s="259" t="s">
        <v>15178</v>
      </c>
      <c r="E1910" s="210" t="s">
        <v>201</v>
      </c>
    </row>
    <row r="1911" spans="1:5" ht="13.5">
      <c r="A1911" s="258">
        <v>95607</v>
      </c>
      <c r="B1911" s="257" t="s">
        <v>1569</v>
      </c>
      <c r="C1911" s="257" t="s">
        <v>90</v>
      </c>
      <c r="D1911" s="259" t="s">
        <v>13630</v>
      </c>
      <c r="E1911" s="210" t="s">
        <v>201</v>
      </c>
    </row>
    <row r="1912" spans="1:5" ht="13.5">
      <c r="A1912" s="258">
        <v>95608</v>
      </c>
      <c r="B1912" s="257" t="s">
        <v>1570</v>
      </c>
      <c r="C1912" s="257" t="s">
        <v>90</v>
      </c>
      <c r="D1912" s="259" t="s">
        <v>15179</v>
      </c>
      <c r="E1912" s="210" t="s">
        <v>201</v>
      </c>
    </row>
    <row r="1913" spans="1:5" ht="13.5">
      <c r="A1913" s="258">
        <v>95609</v>
      </c>
      <c r="B1913" s="257" t="s">
        <v>1571</v>
      </c>
      <c r="C1913" s="257" t="s">
        <v>90</v>
      </c>
      <c r="D1913" s="259" t="s">
        <v>15180</v>
      </c>
      <c r="E1913" s="210" t="s">
        <v>201</v>
      </c>
    </row>
    <row r="1914" spans="1:5" ht="13.5">
      <c r="A1914" s="258">
        <v>96160</v>
      </c>
      <c r="B1914" s="257" t="s">
        <v>1572</v>
      </c>
      <c r="C1914" s="257" t="s">
        <v>5</v>
      </c>
      <c r="D1914" s="259" t="s">
        <v>15181</v>
      </c>
      <c r="E1914" s="210" t="s">
        <v>201</v>
      </c>
    </row>
    <row r="1915" spans="1:5" ht="13.5">
      <c r="A1915" s="258">
        <v>96161</v>
      </c>
      <c r="B1915" s="257" t="s">
        <v>1573</v>
      </c>
      <c r="C1915" s="257" t="s">
        <v>5</v>
      </c>
      <c r="D1915" s="259" t="s">
        <v>15182</v>
      </c>
      <c r="E1915" s="210" t="s">
        <v>201</v>
      </c>
    </row>
    <row r="1916" spans="1:5" ht="13.5">
      <c r="A1916" s="258">
        <v>96162</v>
      </c>
      <c r="B1916" s="257" t="s">
        <v>1574</v>
      </c>
      <c r="C1916" s="257" t="s">
        <v>5</v>
      </c>
      <c r="D1916" s="259" t="s">
        <v>15183</v>
      </c>
      <c r="E1916" s="210" t="s">
        <v>201</v>
      </c>
    </row>
    <row r="1917" spans="1:5" ht="13.5">
      <c r="A1917" s="258">
        <v>96163</v>
      </c>
      <c r="B1917" s="257" t="s">
        <v>1575</v>
      </c>
      <c r="C1917" s="257" t="s">
        <v>5</v>
      </c>
      <c r="D1917" s="259" t="s">
        <v>15184</v>
      </c>
      <c r="E1917" s="210" t="s">
        <v>201</v>
      </c>
    </row>
    <row r="1918" spans="1:5" ht="13.5">
      <c r="A1918" s="258">
        <v>96164</v>
      </c>
      <c r="B1918" s="257" t="s">
        <v>1576</v>
      </c>
      <c r="C1918" s="257" t="s">
        <v>5</v>
      </c>
      <c r="D1918" s="259" t="s">
        <v>15185</v>
      </c>
      <c r="E1918" s="210" t="s">
        <v>201</v>
      </c>
    </row>
    <row r="1919" spans="1:5" ht="13.5">
      <c r="A1919" s="258">
        <v>96165</v>
      </c>
      <c r="B1919" s="257" t="s">
        <v>1577</v>
      </c>
      <c r="C1919" s="257" t="s">
        <v>5</v>
      </c>
      <c r="D1919" s="259" t="s">
        <v>15186</v>
      </c>
      <c r="E1919" s="210" t="s">
        <v>201</v>
      </c>
    </row>
    <row r="1920" spans="1:5" ht="13.5">
      <c r="A1920" s="258">
        <v>96166</v>
      </c>
      <c r="B1920" s="257" t="s">
        <v>1578</v>
      </c>
      <c r="C1920" s="257" t="s">
        <v>5</v>
      </c>
      <c r="D1920" s="259" t="s">
        <v>15187</v>
      </c>
      <c r="E1920" s="210" t="s">
        <v>201</v>
      </c>
    </row>
    <row r="1921" spans="1:5" ht="13.5">
      <c r="A1921" s="258">
        <v>96167</v>
      </c>
      <c r="B1921" s="257" t="s">
        <v>1579</v>
      </c>
      <c r="C1921" s="257" t="s">
        <v>5</v>
      </c>
      <c r="D1921" s="259" t="s">
        <v>15183</v>
      </c>
      <c r="E1921" s="210" t="s">
        <v>201</v>
      </c>
    </row>
    <row r="1922" spans="1:5" ht="13.5">
      <c r="A1922" s="258">
        <v>96168</v>
      </c>
      <c r="B1922" s="257" t="s">
        <v>1580</v>
      </c>
      <c r="C1922" s="257" t="s">
        <v>5</v>
      </c>
      <c r="D1922" s="259" t="s">
        <v>15188</v>
      </c>
      <c r="E1922" s="210" t="s">
        <v>201</v>
      </c>
    </row>
    <row r="1923" spans="1:5" ht="13.5">
      <c r="A1923" s="258">
        <v>96169</v>
      </c>
      <c r="B1923" s="257" t="s">
        <v>1581</v>
      </c>
      <c r="C1923" s="257" t="s">
        <v>5</v>
      </c>
      <c r="D1923" s="259" t="s">
        <v>15189</v>
      </c>
      <c r="E1923" s="210" t="s">
        <v>201</v>
      </c>
    </row>
    <row r="1924" spans="1:5" ht="13.5">
      <c r="A1924" s="258">
        <v>96170</v>
      </c>
      <c r="B1924" s="257" t="s">
        <v>1582</v>
      </c>
      <c r="C1924" s="257" t="s">
        <v>5</v>
      </c>
      <c r="D1924" s="259" t="s">
        <v>15190</v>
      </c>
      <c r="E1924" s="210" t="s">
        <v>201</v>
      </c>
    </row>
    <row r="1925" spans="1:5" ht="13.5">
      <c r="A1925" s="258">
        <v>96171</v>
      </c>
      <c r="B1925" s="257" t="s">
        <v>1583</v>
      </c>
      <c r="C1925" s="257" t="s">
        <v>5</v>
      </c>
      <c r="D1925" s="259" t="s">
        <v>15191</v>
      </c>
      <c r="E1925" s="210" t="s">
        <v>201</v>
      </c>
    </row>
    <row r="1926" spans="1:5" ht="13.5">
      <c r="A1926" s="258">
        <v>96172</v>
      </c>
      <c r="B1926" s="257" t="s">
        <v>1584</v>
      </c>
      <c r="C1926" s="257" t="s">
        <v>5</v>
      </c>
      <c r="D1926" s="259" t="s">
        <v>15192</v>
      </c>
      <c r="E1926" s="210" t="s">
        <v>201</v>
      </c>
    </row>
    <row r="1927" spans="1:5" ht="13.5">
      <c r="A1927" s="258">
        <v>96173</v>
      </c>
      <c r="B1927" s="257" t="s">
        <v>1585</v>
      </c>
      <c r="C1927" s="257" t="s">
        <v>5</v>
      </c>
      <c r="D1927" s="259" t="s">
        <v>15193</v>
      </c>
      <c r="E1927" s="210" t="s">
        <v>201</v>
      </c>
    </row>
    <row r="1928" spans="1:5" ht="13.5">
      <c r="A1928" s="258">
        <v>96174</v>
      </c>
      <c r="B1928" s="257" t="s">
        <v>1586</v>
      </c>
      <c r="C1928" s="257" t="s">
        <v>5</v>
      </c>
      <c r="D1928" s="259" t="s">
        <v>15194</v>
      </c>
      <c r="E1928" s="210" t="s">
        <v>201</v>
      </c>
    </row>
    <row r="1929" spans="1:5" ht="13.5">
      <c r="A1929" s="258">
        <v>96175</v>
      </c>
      <c r="B1929" s="257" t="s">
        <v>1587</v>
      </c>
      <c r="C1929" s="257" t="s">
        <v>5</v>
      </c>
      <c r="D1929" s="259" t="s">
        <v>15195</v>
      </c>
      <c r="E1929" s="210" t="s">
        <v>201</v>
      </c>
    </row>
    <row r="1930" spans="1:5" ht="13.5">
      <c r="A1930" s="258">
        <v>96176</v>
      </c>
      <c r="B1930" s="257" t="s">
        <v>1588</v>
      </c>
      <c r="C1930" s="257" t="s">
        <v>5</v>
      </c>
      <c r="D1930" s="259" t="s">
        <v>15196</v>
      </c>
      <c r="E1930" s="210" t="s">
        <v>201</v>
      </c>
    </row>
    <row r="1931" spans="1:5" ht="13.5">
      <c r="A1931" s="258">
        <v>96177</v>
      </c>
      <c r="B1931" s="257" t="s">
        <v>1589</v>
      </c>
      <c r="C1931" s="257" t="s">
        <v>5</v>
      </c>
      <c r="D1931" s="259" t="s">
        <v>15197</v>
      </c>
      <c r="E1931" s="210" t="s">
        <v>201</v>
      </c>
    </row>
    <row r="1932" spans="1:5" ht="13.5">
      <c r="A1932" s="258">
        <v>96178</v>
      </c>
      <c r="B1932" s="257" t="s">
        <v>1590</v>
      </c>
      <c r="C1932" s="257" t="s">
        <v>5</v>
      </c>
      <c r="D1932" s="259" t="s">
        <v>15198</v>
      </c>
      <c r="E1932" s="210" t="s">
        <v>201</v>
      </c>
    </row>
    <row r="1933" spans="1:5" ht="13.5">
      <c r="A1933" s="258">
        <v>96179</v>
      </c>
      <c r="B1933" s="257" t="s">
        <v>1591</v>
      </c>
      <c r="C1933" s="257" t="s">
        <v>5</v>
      </c>
      <c r="D1933" s="259" t="s">
        <v>15199</v>
      </c>
      <c r="E1933" s="210" t="s">
        <v>201</v>
      </c>
    </row>
    <row r="1934" spans="1:5" ht="13.5">
      <c r="A1934" s="258">
        <v>96180</v>
      </c>
      <c r="B1934" s="257" t="s">
        <v>1592</v>
      </c>
      <c r="C1934" s="257" t="s">
        <v>5</v>
      </c>
      <c r="D1934" s="259" t="s">
        <v>15200</v>
      </c>
      <c r="E1934" s="210" t="s">
        <v>201</v>
      </c>
    </row>
    <row r="1935" spans="1:5" ht="13.5">
      <c r="A1935" s="258">
        <v>96181</v>
      </c>
      <c r="B1935" s="257" t="s">
        <v>1593</v>
      </c>
      <c r="C1935" s="257" t="s">
        <v>5</v>
      </c>
      <c r="D1935" s="259" t="s">
        <v>15201</v>
      </c>
      <c r="E1935" s="210" t="s">
        <v>201</v>
      </c>
    </row>
    <row r="1936" spans="1:5" ht="13.5">
      <c r="A1936" s="258">
        <v>96182</v>
      </c>
      <c r="B1936" s="257" t="s">
        <v>1594</v>
      </c>
      <c r="C1936" s="257" t="s">
        <v>5</v>
      </c>
      <c r="D1936" s="259" t="s">
        <v>15202</v>
      </c>
      <c r="E1936" s="210" t="s">
        <v>201</v>
      </c>
    </row>
    <row r="1937" spans="1:5" ht="13.5">
      <c r="A1937" s="258">
        <v>96183</v>
      </c>
      <c r="B1937" s="257" t="s">
        <v>1595</v>
      </c>
      <c r="C1937" s="257" t="s">
        <v>5</v>
      </c>
      <c r="D1937" s="259" t="s">
        <v>15203</v>
      </c>
      <c r="E1937" s="210" t="s">
        <v>201</v>
      </c>
    </row>
    <row r="1938" spans="1:5" ht="27">
      <c r="A1938" s="258">
        <v>98228</v>
      </c>
      <c r="B1938" s="257" t="s">
        <v>5477</v>
      </c>
      <c r="C1938" s="257" t="s">
        <v>5</v>
      </c>
      <c r="D1938" s="259" t="s">
        <v>15204</v>
      </c>
      <c r="E1938" s="210" t="s">
        <v>201</v>
      </c>
    </row>
    <row r="1939" spans="1:5" ht="27">
      <c r="A1939" s="258">
        <v>98229</v>
      </c>
      <c r="B1939" s="257" t="s">
        <v>5478</v>
      </c>
      <c r="C1939" s="257" t="s">
        <v>5</v>
      </c>
      <c r="D1939" s="259" t="s">
        <v>15205</v>
      </c>
      <c r="E1939" s="210" t="s">
        <v>201</v>
      </c>
    </row>
    <row r="1940" spans="1:5" ht="27">
      <c r="A1940" s="258">
        <v>98230</v>
      </c>
      <c r="B1940" s="257" t="s">
        <v>5479</v>
      </c>
      <c r="C1940" s="257" t="s">
        <v>5</v>
      </c>
      <c r="D1940" s="259" t="s">
        <v>15206</v>
      </c>
      <c r="E1940" s="210" t="s">
        <v>201</v>
      </c>
    </row>
    <row r="1941" spans="1:5" ht="27">
      <c r="A1941" s="258">
        <v>100651</v>
      </c>
      <c r="B1941" s="257" t="s">
        <v>7048</v>
      </c>
      <c r="C1941" s="257" t="s">
        <v>5</v>
      </c>
      <c r="D1941" s="259" t="s">
        <v>15207</v>
      </c>
      <c r="E1941" s="210" t="s">
        <v>201</v>
      </c>
    </row>
    <row r="1942" spans="1:5" ht="27">
      <c r="A1942" s="258">
        <v>100652</v>
      </c>
      <c r="B1942" s="257" t="s">
        <v>7049</v>
      </c>
      <c r="C1942" s="257" t="s">
        <v>5</v>
      </c>
      <c r="D1942" s="259" t="s">
        <v>15208</v>
      </c>
      <c r="E1942" s="210" t="s">
        <v>201</v>
      </c>
    </row>
    <row r="1943" spans="1:5" ht="27">
      <c r="A1943" s="258">
        <v>100653</v>
      </c>
      <c r="B1943" s="257" t="s">
        <v>7050</v>
      </c>
      <c r="C1943" s="257" t="s">
        <v>5</v>
      </c>
      <c r="D1943" s="259" t="s">
        <v>15209</v>
      </c>
      <c r="E1943" s="210" t="s">
        <v>201</v>
      </c>
    </row>
    <row r="1944" spans="1:5" ht="27">
      <c r="A1944" s="258">
        <v>100654</v>
      </c>
      <c r="B1944" s="257" t="s">
        <v>7051</v>
      </c>
      <c r="C1944" s="257" t="s">
        <v>5</v>
      </c>
      <c r="D1944" s="259" t="s">
        <v>15210</v>
      </c>
      <c r="E1944" s="210" t="s">
        <v>201</v>
      </c>
    </row>
    <row r="1945" spans="1:5" ht="27">
      <c r="A1945" s="258">
        <v>100655</v>
      </c>
      <c r="B1945" s="257" t="s">
        <v>7052</v>
      </c>
      <c r="C1945" s="257" t="s">
        <v>5</v>
      </c>
      <c r="D1945" s="259" t="s">
        <v>15211</v>
      </c>
      <c r="E1945" s="210" t="s">
        <v>201</v>
      </c>
    </row>
    <row r="1946" spans="1:5" ht="27">
      <c r="A1946" s="258">
        <v>100656</v>
      </c>
      <c r="B1946" s="257" t="s">
        <v>7053</v>
      </c>
      <c r="C1946" s="257" t="s">
        <v>5</v>
      </c>
      <c r="D1946" s="259" t="s">
        <v>15212</v>
      </c>
      <c r="E1946" s="210" t="s">
        <v>201</v>
      </c>
    </row>
    <row r="1947" spans="1:5" ht="27">
      <c r="A1947" s="258">
        <v>100657</v>
      </c>
      <c r="B1947" s="257" t="s">
        <v>7054</v>
      </c>
      <c r="C1947" s="257" t="s">
        <v>5</v>
      </c>
      <c r="D1947" s="259" t="s">
        <v>15213</v>
      </c>
      <c r="E1947" s="210" t="s">
        <v>201</v>
      </c>
    </row>
    <row r="1948" spans="1:5" ht="27">
      <c r="A1948" s="258">
        <v>100658</v>
      </c>
      <c r="B1948" s="257" t="s">
        <v>7055</v>
      </c>
      <c r="C1948" s="257" t="s">
        <v>5</v>
      </c>
      <c r="D1948" s="259" t="s">
        <v>15214</v>
      </c>
      <c r="E1948" s="210" t="s">
        <v>201</v>
      </c>
    </row>
    <row r="1949" spans="1:5" ht="27">
      <c r="A1949" s="258">
        <v>100889</v>
      </c>
      <c r="B1949" s="257" t="s">
        <v>15215</v>
      </c>
      <c r="C1949" s="257" t="s">
        <v>89</v>
      </c>
      <c r="D1949" s="259" t="s">
        <v>15216</v>
      </c>
      <c r="E1949" s="210" t="s">
        <v>201</v>
      </c>
    </row>
    <row r="1950" spans="1:5" ht="27">
      <c r="A1950" s="258">
        <v>100890</v>
      </c>
      <c r="B1950" s="257" t="s">
        <v>15217</v>
      </c>
      <c r="C1950" s="257" t="s">
        <v>89</v>
      </c>
      <c r="D1950" s="259" t="s">
        <v>15218</v>
      </c>
      <c r="E1950" s="210" t="s">
        <v>201</v>
      </c>
    </row>
    <row r="1951" spans="1:5" ht="27">
      <c r="A1951" s="258">
        <v>100892</v>
      </c>
      <c r="B1951" s="257" t="s">
        <v>15219</v>
      </c>
      <c r="C1951" s="257" t="s">
        <v>89</v>
      </c>
      <c r="D1951" s="259" t="s">
        <v>15220</v>
      </c>
      <c r="E1951" s="210" t="s">
        <v>201</v>
      </c>
    </row>
    <row r="1952" spans="1:5" ht="27">
      <c r="A1952" s="258">
        <v>100893</v>
      </c>
      <c r="B1952" s="257" t="s">
        <v>15221</v>
      </c>
      <c r="C1952" s="257" t="s">
        <v>89</v>
      </c>
      <c r="D1952" s="259" t="s">
        <v>15222</v>
      </c>
      <c r="E1952" s="210" t="s">
        <v>201</v>
      </c>
    </row>
    <row r="1953" spans="1:5" ht="27">
      <c r="A1953" s="258">
        <v>100894</v>
      </c>
      <c r="B1953" s="257" t="s">
        <v>15223</v>
      </c>
      <c r="C1953" s="257" t="s">
        <v>89</v>
      </c>
      <c r="D1953" s="259" t="s">
        <v>15224</v>
      </c>
      <c r="E1953" s="210" t="s">
        <v>201</v>
      </c>
    </row>
    <row r="1954" spans="1:5" ht="27">
      <c r="A1954" s="258">
        <v>100896</v>
      </c>
      <c r="B1954" s="257" t="s">
        <v>15225</v>
      </c>
      <c r="C1954" s="257" t="s">
        <v>5</v>
      </c>
      <c r="D1954" s="259" t="s">
        <v>15226</v>
      </c>
      <c r="E1954" s="210" t="s">
        <v>201</v>
      </c>
    </row>
    <row r="1955" spans="1:5" ht="27">
      <c r="A1955" s="258">
        <v>100897</v>
      </c>
      <c r="B1955" s="257" t="s">
        <v>15227</v>
      </c>
      <c r="C1955" s="257" t="s">
        <v>5</v>
      </c>
      <c r="D1955" s="259" t="s">
        <v>15228</v>
      </c>
      <c r="E1955" s="210" t="s">
        <v>201</v>
      </c>
    </row>
    <row r="1956" spans="1:5" ht="27">
      <c r="A1956" s="258">
        <v>100898</v>
      </c>
      <c r="B1956" s="257" t="s">
        <v>15229</v>
      </c>
      <c r="C1956" s="257" t="s">
        <v>5</v>
      </c>
      <c r="D1956" s="259" t="s">
        <v>15230</v>
      </c>
      <c r="E1956" s="210" t="s">
        <v>201</v>
      </c>
    </row>
    <row r="1957" spans="1:5" ht="27">
      <c r="A1957" s="258">
        <v>100899</v>
      </c>
      <c r="B1957" s="257" t="s">
        <v>15231</v>
      </c>
      <c r="C1957" s="257" t="s">
        <v>5</v>
      </c>
      <c r="D1957" s="259" t="s">
        <v>15232</v>
      </c>
      <c r="E1957" s="210" t="s">
        <v>201</v>
      </c>
    </row>
    <row r="1958" spans="1:5" ht="27">
      <c r="A1958" s="258">
        <v>100900</v>
      </c>
      <c r="B1958" s="257" t="s">
        <v>15233</v>
      </c>
      <c r="C1958" s="257" t="s">
        <v>5</v>
      </c>
      <c r="D1958" s="259" t="s">
        <v>15234</v>
      </c>
      <c r="E1958" s="210" t="s">
        <v>201</v>
      </c>
    </row>
    <row r="1959" spans="1:5" ht="27">
      <c r="A1959" s="258">
        <v>83534</v>
      </c>
      <c r="B1959" s="257" t="s">
        <v>186</v>
      </c>
      <c r="C1959" s="257" t="s">
        <v>172</v>
      </c>
      <c r="D1959" s="259" t="s">
        <v>15235</v>
      </c>
      <c r="E1959" s="210" t="s">
        <v>201</v>
      </c>
    </row>
    <row r="1960" spans="1:5" ht="13.5">
      <c r="A1960" s="258">
        <v>95240</v>
      </c>
      <c r="B1960" s="257" t="s">
        <v>5480</v>
      </c>
      <c r="C1960" s="257" t="s">
        <v>150</v>
      </c>
      <c r="D1960" s="259" t="s">
        <v>15236</v>
      </c>
      <c r="E1960" s="210" t="s">
        <v>201</v>
      </c>
    </row>
    <row r="1961" spans="1:5" ht="13.5">
      <c r="A1961" s="258">
        <v>95241</v>
      </c>
      <c r="B1961" s="257" t="s">
        <v>5481</v>
      </c>
      <c r="C1961" s="257" t="s">
        <v>150</v>
      </c>
      <c r="D1961" s="259" t="s">
        <v>15237</v>
      </c>
      <c r="E1961" s="210" t="s">
        <v>201</v>
      </c>
    </row>
    <row r="1962" spans="1:5" ht="13.5">
      <c r="A1962" s="258">
        <v>96616</v>
      </c>
      <c r="B1962" s="257" t="s">
        <v>4667</v>
      </c>
      <c r="C1962" s="257" t="s">
        <v>172</v>
      </c>
      <c r="D1962" s="259" t="s">
        <v>15238</v>
      </c>
      <c r="E1962" s="210" t="s">
        <v>201</v>
      </c>
    </row>
    <row r="1963" spans="1:5" ht="27">
      <c r="A1963" s="258">
        <v>96617</v>
      </c>
      <c r="B1963" s="257" t="s">
        <v>4668</v>
      </c>
      <c r="C1963" s="257" t="s">
        <v>150</v>
      </c>
      <c r="D1963" s="259" t="s">
        <v>15239</v>
      </c>
      <c r="E1963" s="210" t="s">
        <v>201</v>
      </c>
    </row>
    <row r="1964" spans="1:5" ht="27">
      <c r="A1964" s="258">
        <v>96619</v>
      </c>
      <c r="B1964" s="257" t="s">
        <v>4669</v>
      </c>
      <c r="C1964" s="257" t="s">
        <v>150</v>
      </c>
      <c r="D1964" s="259" t="s">
        <v>15240</v>
      </c>
      <c r="E1964" s="210" t="s">
        <v>201</v>
      </c>
    </row>
    <row r="1965" spans="1:5" ht="13.5">
      <c r="A1965" s="258">
        <v>96620</v>
      </c>
      <c r="B1965" s="257" t="s">
        <v>4670</v>
      </c>
      <c r="C1965" s="257" t="s">
        <v>172</v>
      </c>
      <c r="D1965" s="259" t="s">
        <v>15241</v>
      </c>
      <c r="E1965" s="210" t="s">
        <v>201</v>
      </c>
    </row>
    <row r="1966" spans="1:5" ht="27">
      <c r="A1966" s="258">
        <v>96621</v>
      </c>
      <c r="B1966" s="257" t="s">
        <v>4671</v>
      </c>
      <c r="C1966" s="257" t="s">
        <v>172</v>
      </c>
      <c r="D1966" s="259" t="s">
        <v>15242</v>
      </c>
      <c r="E1966" s="210" t="s">
        <v>201</v>
      </c>
    </row>
    <row r="1967" spans="1:5" ht="13.5">
      <c r="A1967" s="258">
        <v>96622</v>
      </c>
      <c r="B1967" s="257" t="s">
        <v>4672</v>
      </c>
      <c r="C1967" s="257" t="s">
        <v>172</v>
      </c>
      <c r="D1967" s="259" t="s">
        <v>15243</v>
      </c>
      <c r="E1967" s="210" t="s">
        <v>201</v>
      </c>
    </row>
    <row r="1968" spans="1:5" ht="27">
      <c r="A1968" s="258">
        <v>96623</v>
      </c>
      <c r="B1968" s="257" t="s">
        <v>4673</v>
      </c>
      <c r="C1968" s="257" t="s">
        <v>172</v>
      </c>
      <c r="D1968" s="259" t="s">
        <v>15244</v>
      </c>
      <c r="E1968" s="210" t="s">
        <v>201</v>
      </c>
    </row>
    <row r="1969" spans="1:5" ht="27">
      <c r="A1969" s="258">
        <v>96624</v>
      </c>
      <c r="B1969" s="257" t="s">
        <v>5482</v>
      </c>
      <c r="C1969" s="257" t="s">
        <v>172</v>
      </c>
      <c r="D1969" s="259" t="s">
        <v>15245</v>
      </c>
      <c r="E1969" s="210" t="s">
        <v>201</v>
      </c>
    </row>
    <row r="1970" spans="1:5" ht="13.5">
      <c r="A1970" s="258">
        <v>97082</v>
      </c>
      <c r="B1970" s="257" t="s">
        <v>4674</v>
      </c>
      <c r="C1970" s="257" t="s">
        <v>172</v>
      </c>
      <c r="D1970" s="259" t="s">
        <v>15246</v>
      </c>
      <c r="E1970" s="210" t="s">
        <v>201</v>
      </c>
    </row>
    <row r="1971" spans="1:5" ht="27">
      <c r="A1971" s="258">
        <v>97083</v>
      </c>
      <c r="B1971" s="257" t="s">
        <v>4675</v>
      </c>
      <c r="C1971" s="257" t="s">
        <v>150</v>
      </c>
      <c r="D1971" s="259" t="s">
        <v>14282</v>
      </c>
      <c r="E1971" s="210" t="s">
        <v>201</v>
      </c>
    </row>
    <row r="1972" spans="1:5" ht="27">
      <c r="A1972" s="258">
        <v>97084</v>
      </c>
      <c r="B1972" s="257" t="s">
        <v>4676</v>
      </c>
      <c r="C1972" s="257" t="s">
        <v>150</v>
      </c>
      <c r="D1972" s="259" t="s">
        <v>15247</v>
      </c>
      <c r="E1972" s="210" t="s">
        <v>201</v>
      </c>
    </row>
    <row r="1973" spans="1:5" ht="27">
      <c r="A1973" s="258">
        <v>97086</v>
      </c>
      <c r="B1973" s="257" t="s">
        <v>4677</v>
      </c>
      <c r="C1973" s="257" t="s">
        <v>150</v>
      </c>
      <c r="D1973" s="259" t="s">
        <v>15248</v>
      </c>
      <c r="E1973" s="210" t="s">
        <v>201</v>
      </c>
    </row>
    <row r="1974" spans="1:5" ht="27">
      <c r="A1974" s="258">
        <v>97094</v>
      </c>
      <c r="B1974" s="257" t="s">
        <v>4678</v>
      </c>
      <c r="C1974" s="257" t="s">
        <v>172</v>
      </c>
      <c r="D1974" s="259" t="s">
        <v>15249</v>
      </c>
      <c r="E1974" s="210" t="s">
        <v>201</v>
      </c>
    </row>
    <row r="1975" spans="1:5" ht="27">
      <c r="A1975" s="258">
        <v>97095</v>
      </c>
      <c r="B1975" s="257" t="s">
        <v>4679</v>
      </c>
      <c r="C1975" s="257" t="s">
        <v>172</v>
      </c>
      <c r="D1975" s="259" t="s">
        <v>15250</v>
      </c>
      <c r="E1975" s="210" t="s">
        <v>201</v>
      </c>
    </row>
    <row r="1976" spans="1:5" ht="27">
      <c r="A1976" s="258">
        <v>97096</v>
      </c>
      <c r="B1976" s="257" t="s">
        <v>4680</v>
      </c>
      <c r="C1976" s="257" t="s">
        <v>172</v>
      </c>
      <c r="D1976" s="259" t="s">
        <v>15251</v>
      </c>
      <c r="E1976" s="210" t="s">
        <v>201</v>
      </c>
    </row>
    <row r="1977" spans="1:5" ht="13.5">
      <c r="A1977" s="258">
        <v>97097</v>
      </c>
      <c r="B1977" s="257" t="s">
        <v>15252</v>
      </c>
      <c r="C1977" s="257" t="s">
        <v>150</v>
      </c>
      <c r="D1977" s="259" t="s">
        <v>15253</v>
      </c>
      <c r="E1977" s="210" t="s">
        <v>201</v>
      </c>
    </row>
    <row r="1978" spans="1:5" ht="27">
      <c r="A1978" s="258">
        <v>100322</v>
      </c>
      <c r="B1978" s="257" t="s">
        <v>5483</v>
      </c>
      <c r="C1978" s="257" t="s">
        <v>172</v>
      </c>
      <c r="D1978" s="259" t="s">
        <v>15245</v>
      </c>
      <c r="E1978" s="210" t="s">
        <v>201</v>
      </c>
    </row>
    <row r="1979" spans="1:5" ht="27">
      <c r="A1979" s="258">
        <v>100323</v>
      </c>
      <c r="B1979" s="257" t="s">
        <v>5484</v>
      </c>
      <c r="C1979" s="257" t="s">
        <v>172</v>
      </c>
      <c r="D1979" s="259" t="s">
        <v>15254</v>
      </c>
      <c r="E1979" s="210" t="s">
        <v>201</v>
      </c>
    </row>
    <row r="1980" spans="1:5" ht="27">
      <c r="A1980" s="258">
        <v>100324</v>
      </c>
      <c r="B1980" s="257" t="s">
        <v>5485</v>
      </c>
      <c r="C1980" s="257" t="s">
        <v>172</v>
      </c>
      <c r="D1980" s="259" t="s">
        <v>15245</v>
      </c>
      <c r="E1980" s="210" t="s">
        <v>201</v>
      </c>
    </row>
    <row r="1981" spans="1:5" ht="27">
      <c r="A1981" s="258">
        <v>90996</v>
      </c>
      <c r="B1981" s="257" t="s">
        <v>1596</v>
      </c>
      <c r="C1981" s="257" t="s">
        <v>150</v>
      </c>
      <c r="D1981" s="259" t="s">
        <v>13639</v>
      </c>
      <c r="E1981" s="210" t="s">
        <v>201</v>
      </c>
    </row>
    <row r="1982" spans="1:5" ht="27">
      <c r="A1982" s="258">
        <v>90997</v>
      </c>
      <c r="B1982" s="257" t="s">
        <v>1597</v>
      </c>
      <c r="C1982" s="257" t="s">
        <v>150</v>
      </c>
      <c r="D1982" s="259" t="s">
        <v>15255</v>
      </c>
      <c r="E1982" s="210" t="s">
        <v>201</v>
      </c>
    </row>
    <row r="1983" spans="1:5" ht="27">
      <c r="A1983" s="258">
        <v>90998</v>
      </c>
      <c r="B1983" s="257" t="s">
        <v>1598</v>
      </c>
      <c r="C1983" s="257" t="s">
        <v>150</v>
      </c>
      <c r="D1983" s="259" t="s">
        <v>15256</v>
      </c>
      <c r="E1983" s="210" t="s">
        <v>201</v>
      </c>
    </row>
    <row r="1984" spans="1:5" ht="27">
      <c r="A1984" s="258">
        <v>91000</v>
      </c>
      <c r="B1984" s="257" t="s">
        <v>1599</v>
      </c>
      <c r="C1984" s="257" t="s">
        <v>150</v>
      </c>
      <c r="D1984" s="259" t="s">
        <v>15257</v>
      </c>
      <c r="E1984" s="210" t="s">
        <v>201</v>
      </c>
    </row>
    <row r="1985" spans="1:5" ht="27">
      <c r="A1985" s="258">
        <v>91002</v>
      </c>
      <c r="B1985" s="257" t="s">
        <v>1600</v>
      </c>
      <c r="C1985" s="257" t="s">
        <v>150</v>
      </c>
      <c r="D1985" s="259" t="s">
        <v>13852</v>
      </c>
      <c r="E1985" s="210" t="s">
        <v>201</v>
      </c>
    </row>
    <row r="1986" spans="1:5" ht="27">
      <c r="A1986" s="258">
        <v>91003</v>
      </c>
      <c r="B1986" s="257" t="s">
        <v>1601</v>
      </c>
      <c r="C1986" s="257" t="s">
        <v>150</v>
      </c>
      <c r="D1986" s="259" t="s">
        <v>15258</v>
      </c>
      <c r="E1986" s="210" t="s">
        <v>201</v>
      </c>
    </row>
    <row r="1987" spans="1:5" ht="27">
      <c r="A1987" s="258">
        <v>91004</v>
      </c>
      <c r="B1987" s="257" t="s">
        <v>1602</v>
      </c>
      <c r="C1987" s="257" t="s">
        <v>150</v>
      </c>
      <c r="D1987" s="259" t="s">
        <v>15259</v>
      </c>
      <c r="E1987" s="210" t="s">
        <v>201</v>
      </c>
    </row>
    <row r="1988" spans="1:5" ht="27">
      <c r="A1988" s="258">
        <v>91005</v>
      </c>
      <c r="B1988" s="257" t="s">
        <v>1603</v>
      </c>
      <c r="C1988" s="257" t="s">
        <v>150</v>
      </c>
      <c r="D1988" s="259" t="s">
        <v>15260</v>
      </c>
      <c r="E1988" s="210" t="s">
        <v>201</v>
      </c>
    </row>
    <row r="1989" spans="1:5" ht="27">
      <c r="A1989" s="258">
        <v>91006</v>
      </c>
      <c r="B1989" s="257" t="s">
        <v>1604</v>
      </c>
      <c r="C1989" s="257" t="s">
        <v>150</v>
      </c>
      <c r="D1989" s="259" t="s">
        <v>15261</v>
      </c>
      <c r="E1989" s="210" t="s">
        <v>201</v>
      </c>
    </row>
    <row r="1990" spans="1:5" ht="27">
      <c r="A1990" s="258">
        <v>91007</v>
      </c>
      <c r="B1990" s="257" t="s">
        <v>1605</v>
      </c>
      <c r="C1990" s="257" t="s">
        <v>150</v>
      </c>
      <c r="D1990" s="259" t="s">
        <v>15262</v>
      </c>
      <c r="E1990" s="210" t="s">
        <v>201</v>
      </c>
    </row>
    <row r="1991" spans="1:5" ht="27">
      <c r="A1991" s="258">
        <v>91008</v>
      </c>
      <c r="B1991" s="257" t="s">
        <v>1606</v>
      </c>
      <c r="C1991" s="257" t="s">
        <v>150</v>
      </c>
      <c r="D1991" s="259" t="s">
        <v>15263</v>
      </c>
      <c r="E1991" s="210" t="s">
        <v>201</v>
      </c>
    </row>
    <row r="1992" spans="1:5" ht="27">
      <c r="A1992" s="258">
        <v>92263</v>
      </c>
      <c r="B1992" s="257" t="s">
        <v>1607</v>
      </c>
      <c r="C1992" s="257" t="s">
        <v>150</v>
      </c>
      <c r="D1992" s="259" t="s">
        <v>15264</v>
      </c>
      <c r="E1992" s="210" t="s">
        <v>201</v>
      </c>
    </row>
    <row r="1993" spans="1:5" ht="27">
      <c r="A1993" s="258">
        <v>92264</v>
      </c>
      <c r="B1993" s="257" t="s">
        <v>1608</v>
      </c>
      <c r="C1993" s="257" t="s">
        <v>150</v>
      </c>
      <c r="D1993" s="259" t="s">
        <v>15265</v>
      </c>
      <c r="E1993" s="210" t="s">
        <v>201</v>
      </c>
    </row>
    <row r="1994" spans="1:5" ht="27">
      <c r="A1994" s="258">
        <v>92265</v>
      </c>
      <c r="B1994" s="257" t="s">
        <v>1609</v>
      </c>
      <c r="C1994" s="257" t="s">
        <v>150</v>
      </c>
      <c r="D1994" s="259" t="s">
        <v>15266</v>
      </c>
      <c r="E1994" s="210" t="s">
        <v>201</v>
      </c>
    </row>
    <row r="1995" spans="1:5" ht="27">
      <c r="A1995" s="258">
        <v>92266</v>
      </c>
      <c r="B1995" s="257" t="s">
        <v>1610</v>
      </c>
      <c r="C1995" s="257" t="s">
        <v>150</v>
      </c>
      <c r="D1995" s="259" t="s">
        <v>15267</v>
      </c>
      <c r="E1995" s="210" t="s">
        <v>201</v>
      </c>
    </row>
    <row r="1996" spans="1:5" ht="27">
      <c r="A1996" s="258">
        <v>92267</v>
      </c>
      <c r="B1996" s="257" t="s">
        <v>1611</v>
      </c>
      <c r="C1996" s="257" t="s">
        <v>150</v>
      </c>
      <c r="D1996" s="259" t="s">
        <v>15268</v>
      </c>
      <c r="E1996" s="210" t="s">
        <v>201</v>
      </c>
    </row>
    <row r="1997" spans="1:5" ht="27">
      <c r="A1997" s="258">
        <v>92268</v>
      </c>
      <c r="B1997" s="257" t="s">
        <v>1612</v>
      </c>
      <c r="C1997" s="257" t="s">
        <v>150</v>
      </c>
      <c r="D1997" s="259" t="s">
        <v>14538</v>
      </c>
      <c r="E1997" s="210" t="s">
        <v>201</v>
      </c>
    </row>
    <row r="1998" spans="1:5" ht="27">
      <c r="A1998" s="258">
        <v>92269</v>
      </c>
      <c r="B1998" s="257" t="s">
        <v>1613</v>
      </c>
      <c r="C1998" s="257" t="s">
        <v>150</v>
      </c>
      <c r="D1998" s="259" t="s">
        <v>15269</v>
      </c>
      <c r="E1998" s="210" t="s">
        <v>201</v>
      </c>
    </row>
    <row r="1999" spans="1:5" ht="13.5">
      <c r="A1999" s="258">
        <v>92270</v>
      </c>
      <c r="B1999" s="257" t="s">
        <v>1614</v>
      </c>
      <c r="C1999" s="257" t="s">
        <v>150</v>
      </c>
      <c r="D1999" s="259" t="s">
        <v>15270</v>
      </c>
      <c r="E1999" s="210" t="s">
        <v>201</v>
      </c>
    </row>
    <row r="2000" spans="1:5" ht="13.5">
      <c r="A2000" s="258">
        <v>92271</v>
      </c>
      <c r="B2000" s="257" t="s">
        <v>1615</v>
      </c>
      <c r="C2000" s="257" t="s">
        <v>150</v>
      </c>
      <c r="D2000" s="259" t="s">
        <v>15271</v>
      </c>
      <c r="E2000" s="210" t="s">
        <v>201</v>
      </c>
    </row>
    <row r="2001" spans="1:5" ht="13.5">
      <c r="A2001" s="258">
        <v>92272</v>
      </c>
      <c r="B2001" s="257" t="s">
        <v>1616</v>
      </c>
      <c r="C2001" s="257" t="s">
        <v>5</v>
      </c>
      <c r="D2001" s="259" t="s">
        <v>15272</v>
      </c>
      <c r="E2001" s="210" t="s">
        <v>201</v>
      </c>
    </row>
    <row r="2002" spans="1:5" ht="13.5">
      <c r="A2002" s="258">
        <v>92273</v>
      </c>
      <c r="B2002" s="257" t="s">
        <v>1617</v>
      </c>
      <c r="C2002" s="257" t="s">
        <v>5</v>
      </c>
      <c r="D2002" s="259" t="s">
        <v>15273</v>
      </c>
      <c r="E2002" s="210" t="s">
        <v>201</v>
      </c>
    </row>
    <row r="2003" spans="1:5" ht="40.5">
      <c r="A2003" s="258">
        <v>92408</v>
      </c>
      <c r="B2003" s="257" t="s">
        <v>1618</v>
      </c>
      <c r="C2003" s="257" t="s">
        <v>150</v>
      </c>
      <c r="D2003" s="259" t="s">
        <v>15274</v>
      </c>
      <c r="E2003" s="210" t="s">
        <v>201</v>
      </c>
    </row>
    <row r="2004" spans="1:5" ht="40.5">
      <c r="A2004" s="258">
        <v>92409</v>
      </c>
      <c r="B2004" s="257" t="s">
        <v>1619</v>
      </c>
      <c r="C2004" s="257" t="s">
        <v>150</v>
      </c>
      <c r="D2004" s="259" t="s">
        <v>15275</v>
      </c>
      <c r="E2004" s="210" t="s">
        <v>201</v>
      </c>
    </row>
    <row r="2005" spans="1:5" ht="40.5">
      <c r="A2005" s="258">
        <v>92410</v>
      </c>
      <c r="B2005" s="257" t="s">
        <v>1620</v>
      </c>
      <c r="C2005" s="257" t="s">
        <v>150</v>
      </c>
      <c r="D2005" s="259" t="s">
        <v>15276</v>
      </c>
      <c r="E2005" s="210" t="s">
        <v>201</v>
      </c>
    </row>
    <row r="2006" spans="1:5" ht="40.5">
      <c r="A2006" s="258">
        <v>92411</v>
      </c>
      <c r="B2006" s="257" t="s">
        <v>1621</v>
      </c>
      <c r="C2006" s="257" t="s">
        <v>150</v>
      </c>
      <c r="D2006" s="259" t="s">
        <v>15277</v>
      </c>
      <c r="E2006" s="210" t="s">
        <v>201</v>
      </c>
    </row>
    <row r="2007" spans="1:5" ht="40.5">
      <c r="A2007" s="258">
        <v>92412</v>
      </c>
      <c r="B2007" s="257" t="s">
        <v>1622</v>
      </c>
      <c r="C2007" s="257" t="s">
        <v>150</v>
      </c>
      <c r="D2007" s="259" t="s">
        <v>15278</v>
      </c>
      <c r="E2007" s="210" t="s">
        <v>201</v>
      </c>
    </row>
    <row r="2008" spans="1:5" ht="40.5">
      <c r="A2008" s="258">
        <v>92413</v>
      </c>
      <c r="B2008" s="257" t="s">
        <v>1623</v>
      </c>
      <c r="C2008" s="257" t="s">
        <v>150</v>
      </c>
      <c r="D2008" s="259" t="s">
        <v>15279</v>
      </c>
      <c r="E2008" s="210" t="s">
        <v>201</v>
      </c>
    </row>
    <row r="2009" spans="1:5" ht="40.5">
      <c r="A2009" s="258">
        <v>92414</v>
      </c>
      <c r="B2009" s="257" t="s">
        <v>1624</v>
      </c>
      <c r="C2009" s="257" t="s">
        <v>150</v>
      </c>
      <c r="D2009" s="259" t="s">
        <v>15280</v>
      </c>
      <c r="E2009" s="210" t="s">
        <v>201</v>
      </c>
    </row>
    <row r="2010" spans="1:5" ht="40.5">
      <c r="A2010" s="258">
        <v>92415</v>
      </c>
      <c r="B2010" s="257" t="s">
        <v>1625</v>
      </c>
      <c r="C2010" s="257" t="s">
        <v>150</v>
      </c>
      <c r="D2010" s="259" t="s">
        <v>15281</v>
      </c>
      <c r="E2010" s="210" t="s">
        <v>201</v>
      </c>
    </row>
    <row r="2011" spans="1:5" ht="40.5">
      <c r="A2011" s="258">
        <v>92416</v>
      </c>
      <c r="B2011" s="257" t="s">
        <v>1626</v>
      </c>
      <c r="C2011" s="257" t="s">
        <v>150</v>
      </c>
      <c r="D2011" s="259" t="s">
        <v>15282</v>
      </c>
      <c r="E2011" s="210" t="s">
        <v>201</v>
      </c>
    </row>
    <row r="2012" spans="1:5" ht="40.5">
      <c r="A2012" s="258">
        <v>92417</v>
      </c>
      <c r="B2012" s="257" t="s">
        <v>1627</v>
      </c>
      <c r="C2012" s="257" t="s">
        <v>150</v>
      </c>
      <c r="D2012" s="259" t="s">
        <v>15283</v>
      </c>
      <c r="E2012" s="210" t="s">
        <v>201</v>
      </c>
    </row>
    <row r="2013" spans="1:5" ht="40.5">
      <c r="A2013" s="258">
        <v>92418</v>
      </c>
      <c r="B2013" s="257" t="s">
        <v>1628</v>
      </c>
      <c r="C2013" s="257" t="s">
        <v>150</v>
      </c>
      <c r="D2013" s="259" t="s">
        <v>15284</v>
      </c>
      <c r="E2013" s="210" t="s">
        <v>201</v>
      </c>
    </row>
    <row r="2014" spans="1:5" ht="40.5">
      <c r="A2014" s="258">
        <v>92419</v>
      </c>
      <c r="B2014" s="257" t="s">
        <v>1629</v>
      </c>
      <c r="C2014" s="257" t="s">
        <v>150</v>
      </c>
      <c r="D2014" s="259" t="s">
        <v>15285</v>
      </c>
      <c r="E2014" s="210" t="s">
        <v>201</v>
      </c>
    </row>
    <row r="2015" spans="1:5" ht="40.5">
      <c r="A2015" s="258">
        <v>92420</v>
      </c>
      <c r="B2015" s="257" t="s">
        <v>1630</v>
      </c>
      <c r="C2015" s="257" t="s">
        <v>150</v>
      </c>
      <c r="D2015" s="259" t="s">
        <v>15286</v>
      </c>
      <c r="E2015" s="210" t="s">
        <v>201</v>
      </c>
    </row>
    <row r="2016" spans="1:5" ht="40.5">
      <c r="A2016" s="258">
        <v>92421</v>
      </c>
      <c r="B2016" s="257" t="s">
        <v>1631</v>
      </c>
      <c r="C2016" s="257" t="s">
        <v>150</v>
      </c>
      <c r="D2016" s="259" t="s">
        <v>15287</v>
      </c>
      <c r="E2016" s="210" t="s">
        <v>201</v>
      </c>
    </row>
    <row r="2017" spans="1:5" ht="40.5">
      <c r="A2017" s="258">
        <v>92422</v>
      </c>
      <c r="B2017" s="257" t="s">
        <v>282</v>
      </c>
      <c r="C2017" s="257" t="s">
        <v>150</v>
      </c>
      <c r="D2017" s="259" t="s">
        <v>15288</v>
      </c>
      <c r="E2017" s="210" t="s">
        <v>201</v>
      </c>
    </row>
    <row r="2018" spans="1:5" ht="40.5">
      <c r="A2018" s="258">
        <v>92423</v>
      </c>
      <c r="B2018" s="257" t="s">
        <v>1632</v>
      </c>
      <c r="C2018" s="257" t="s">
        <v>150</v>
      </c>
      <c r="D2018" s="259" t="s">
        <v>15289</v>
      </c>
      <c r="E2018" s="210" t="s">
        <v>201</v>
      </c>
    </row>
    <row r="2019" spans="1:5" ht="40.5">
      <c r="A2019" s="258">
        <v>92424</v>
      </c>
      <c r="B2019" s="257" t="s">
        <v>281</v>
      </c>
      <c r="C2019" s="257" t="s">
        <v>150</v>
      </c>
      <c r="D2019" s="259" t="s">
        <v>15290</v>
      </c>
      <c r="E2019" s="210" t="s">
        <v>201</v>
      </c>
    </row>
    <row r="2020" spans="1:5" ht="40.5">
      <c r="A2020" s="258">
        <v>92425</v>
      </c>
      <c r="B2020" s="257" t="s">
        <v>1633</v>
      </c>
      <c r="C2020" s="257" t="s">
        <v>150</v>
      </c>
      <c r="D2020" s="259" t="s">
        <v>15291</v>
      </c>
      <c r="E2020" s="210" t="s">
        <v>201</v>
      </c>
    </row>
    <row r="2021" spans="1:5" ht="40.5">
      <c r="A2021" s="258">
        <v>92426</v>
      </c>
      <c r="B2021" s="257" t="s">
        <v>1634</v>
      </c>
      <c r="C2021" s="257" t="s">
        <v>150</v>
      </c>
      <c r="D2021" s="259" t="s">
        <v>15292</v>
      </c>
      <c r="E2021" s="210" t="s">
        <v>201</v>
      </c>
    </row>
    <row r="2022" spans="1:5" ht="40.5">
      <c r="A2022" s="258">
        <v>92427</v>
      </c>
      <c r="B2022" s="257" t="s">
        <v>1635</v>
      </c>
      <c r="C2022" s="257" t="s">
        <v>150</v>
      </c>
      <c r="D2022" s="259" t="s">
        <v>15293</v>
      </c>
      <c r="E2022" s="210" t="s">
        <v>201</v>
      </c>
    </row>
    <row r="2023" spans="1:5" ht="40.5">
      <c r="A2023" s="258">
        <v>92428</v>
      </c>
      <c r="B2023" s="257" t="s">
        <v>1636</v>
      </c>
      <c r="C2023" s="257" t="s">
        <v>150</v>
      </c>
      <c r="D2023" s="259" t="s">
        <v>15294</v>
      </c>
      <c r="E2023" s="210" t="s">
        <v>201</v>
      </c>
    </row>
    <row r="2024" spans="1:5" ht="40.5">
      <c r="A2024" s="258">
        <v>92429</v>
      </c>
      <c r="B2024" s="257" t="s">
        <v>1637</v>
      </c>
      <c r="C2024" s="257" t="s">
        <v>150</v>
      </c>
      <c r="D2024" s="259" t="s">
        <v>15295</v>
      </c>
      <c r="E2024" s="210" t="s">
        <v>201</v>
      </c>
    </row>
    <row r="2025" spans="1:5" ht="40.5">
      <c r="A2025" s="258">
        <v>92430</v>
      </c>
      <c r="B2025" s="257" t="s">
        <v>1638</v>
      </c>
      <c r="C2025" s="257" t="s">
        <v>150</v>
      </c>
      <c r="D2025" s="259" t="s">
        <v>15296</v>
      </c>
      <c r="E2025" s="210" t="s">
        <v>201</v>
      </c>
    </row>
    <row r="2026" spans="1:5" ht="40.5">
      <c r="A2026" s="258">
        <v>92431</v>
      </c>
      <c r="B2026" s="257" t="s">
        <v>1639</v>
      </c>
      <c r="C2026" s="257" t="s">
        <v>150</v>
      </c>
      <c r="D2026" s="259" t="s">
        <v>15297</v>
      </c>
      <c r="E2026" s="210" t="s">
        <v>201</v>
      </c>
    </row>
    <row r="2027" spans="1:5" ht="40.5">
      <c r="A2027" s="258">
        <v>92432</v>
      </c>
      <c r="B2027" s="257" t="s">
        <v>1640</v>
      </c>
      <c r="C2027" s="257" t="s">
        <v>150</v>
      </c>
      <c r="D2027" s="259" t="s">
        <v>15298</v>
      </c>
      <c r="E2027" s="210" t="s">
        <v>201</v>
      </c>
    </row>
    <row r="2028" spans="1:5" ht="40.5">
      <c r="A2028" s="258">
        <v>92433</v>
      </c>
      <c r="B2028" s="257" t="s">
        <v>1641</v>
      </c>
      <c r="C2028" s="257" t="s">
        <v>150</v>
      </c>
      <c r="D2028" s="259" t="s">
        <v>15299</v>
      </c>
      <c r="E2028" s="210" t="s">
        <v>201</v>
      </c>
    </row>
    <row r="2029" spans="1:5" ht="40.5">
      <c r="A2029" s="258">
        <v>92434</v>
      </c>
      <c r="B2029" s="257" t="s">
        <v>1642</v>
      </c>
      <c r="C2029" s="257" t="s">
        <v>150</v>
      </c>
      <c r="D2029" s="259" t="s">
        <v>15300</v>
      </c>
      <c r="E2029" s="210" t="s">
        <v>201</v>
      </c>
    </row>
    <row r="2030" spans="1:5" ht="40.5">
      <c r="A2030" s="258">
        <v>92435</v>
      </c>
      <c r="B2030" s="257" t="s">
        <v>1643</v>
      </c>
      <c r="C2030" s="257" t="s">
        <v>150</v>
      </c>
      <c r="D2030" s="259" t="s">
        <v>14046</v>
      </c>
      <c r="E2030" s="210" t="s">
        <v>201</v>
      </c>
    </row>
    <row r="2031" spans="1:5" ht="40.5">
      <c r="A2031" s="258">
        <v>92436</v>
      </c>
      <c r="B2031" s="257" t="s">
        <v>1644</v>
      </c>
      <c r="C2031" s="257" t="s">
        <v>150</v>
      </c>
      <c r="D2031" s="259" t="s">
        <v>14166</v>
      </c>
      <c r="E2031" s="210" t="s">
        <v>201</v>
      </c>
    </row>
    <row r="2032" spans="1:5" ht="40.5">
      <c r="A2032" s="258">
        <v>92437</v>
      </c>
      <c r="B2032" s="257" t="s">
        <v>1645</v>
      </c>
      <c r="C2032" s="257" t="s">
        <v>150</v>
      </c>
      <c r="D2032" s="259" t="s">
        <v>15301</v>
      </c>
      <c r="E2032" s="210" t="s">
        <v>201</v>
      </c>
    </row>
    <row r="2033" spans="1:5" ht="40.5">
      <c r="A2033" s="258">
        <v>92438</v>
      </c>
      <c r="B2033" s="257" t="s">
        <v>1646</v>
      </c>
      <c r="C2033" s="257" t="s">
        <v>150</v>
      </c>
      <c r="D2033" s="259" t="s">
        <v>15302</v>
      </c>
      <c r="E2033" s="210" t="s">
        <v>201</v>
      </c>
    </row>
    <row r="2034" spans="1:5" ht="40.5">
      <c r="A2034" s="258">
        <v>92439</v>
      </c>
      <c r="B2034" s="257" t="s">
        <v>1647</v>
      </c>
      <c r="C2034" s="257" t="s">
        <v>150</v>
      </c>
      <c r="D2034" s="259" t="s">
        <v>15303</v>
      </c>
      <c r="E2034" s="210" t="s">
        <v>201</v>
      </c>
    </row>
    <row r="2035" spans="1:5" ht="40.5">
      <c r="A2035" s="258">
        <v>92440</v>
      </c>
      <c r="B2035" s="257" t="s">
        <v>1648</v>
      </c>
      <c r="C2035" s="257" t="s">
        <v>150</v>
      </c>
      <c r="D2035" s="259" t="s">
        <v>15304</v>
      </c>
      <c r="E2035" s="210" t="s">
        <v>201</v>
      </c>
    </row>
    <row r="2036" spans="1:5" ht="40.5">
      <c r="A2036" s="258">
        <v>92441</v>
      </c>
      <c r="B2036" s="257" t="s">
        <v>1649</v>
      </c>
      <c r="C2036" s="257" t="s">
        <v>150</v>
      </c>
      <c r="D2036" s="259" t="s">
        <v>15305</v>
      </c>
      <c r="E2036" s="210" t="s">
        <v>201</v>
      </c>
    </row>
    <row r="2037" spans="1:5" ht="40.5">
      <c r="A2037" s="258">
        <v>92442</v>
      </c>
      <c r="B2037" s="257" t="s">
        <v>1650</v>
      </c>
      <c r="C2037" s="257" t="s">
        <v>150</v>
      </c>
      <c r="D2037" s="259" t="s">
        <v>14497</v>
      </c>
      <c r="E2037" s="210" t="s">
        <v>201</v>
      </c>
    </row>
    <row r="2038" spans="1:5" ht="40.5">
      <c r="A2038" s="258">
        <v>92443</v>
      </c>
      <c r="B2038" s="257" t="s">
        <v>1651</v>
      </c>
      <c r="C2038" s="257" t="s">
        <v>150</v>
      </c>
      <c r="D2038" s="259" t="s">
        <v>15306</v>
      </c>
      <c r="E2038" s="210" t="s">
        <v>201</v>
      </c>
    </row>
    <row r="2039" spans="1:5" ht="40.5">
      <c r="A2039" s="258">
        <v>92444</v>
      </c>
      <c r="B2039" s="257" t="s">
        <v>1652</v>
      </c>
      <c r="C2039" s="257" t="s">
        <v>150</v>
      </c>
      <c r="D2039" s="259" t="s">
        <v>15307</v>
      </c>
      <c r="E2039" s="210" t="s">
        <v>201</v>
      </c>
    </row>
    <row r="2040" spans="1:5" ht="40.5">
      <c r="A2040" s="258">
        <v>92445</v>
      </c>
      <c r="B2040" s="257" t="s">
        <v>1653</v>
      </c>
      <c r="C2040" s="257" t="s">
        <v>150</v>
      </c>
      <c r="D2040" s="259" t="s">
        <v>15308</v>
      </c>
      <c r="E2040" s="210" t="s">
        <v>201</v>
      </c>
    </row>
    <row r="2041" spans="1:5" ht="27">
      <c r="A2041" s="258">
        <v>92446</v>
      </c>
      <c r="B2041" s="257" t="s">
        <v>1654</v>
      </c>
      <c r="C2041" s="257" t="s">
        <v>150</v>
      </c>
      <c r="D2041" s="259" t="s">
        <v>15309</v>
      </c>
      <c r="E2041" s="210" t="s">
        <v>201</v>
      </c>
    </row>
    <row r="2042" spans="1:5" ht="27">
      <c r="A2042" s="258">
        <v>92447</v>
      </c>
      <c r="B2042" s="257" t="s">
        <v>1655</v>
      </c>
      <c r="C2042" s="257" t="s">
        <v>150</v>
      </c>
      <c r="D2042" s="259" t="s">
        <v>15310</v>
      </c>
      <c r="E2042" s="210" t="s">
        <v>201</v>
      </c>
    </row>
    <row r="2043" spans="1:5" ht="27">
      <c r="A2043" s="258">
        <v>92448</v>
      </c>
      <c r="B2043" s="257" t="s">
        <v>1656</v>
      </c>
      <c r="C2043" s="257" t="s">
        <v>150</v>
      </c>
      <c r="D2043" s="259" t="s">
        <v>15311</v>
      </c>
      <c r="E2043" s="210" t="s">
        <v>201</v>
      </c>
    </row>
    <row r="2044" spans="1:5" ht="27">
      <c r="A2044" s="258">
        <v>92449</v>
      </c>
      <c r="B2044" s="257" t="s">
        <v>1657</v>
      </c>
      <c r="C2044" s="257" t="s">
        <v>150</v>
      </c>
      <c r="D2044" s="259" t="s">
        <v>15312</v>
      </c>
      <c r="E2044" s="210" t="s">
        <v>201</v>
      </c>
    </row>
    <row r="2045" spans="1:5" ht="27">
      <c r="A2045" s="258">
        <v>92450</v>
      </c>
      <c r="B2045" s="257" t="s">
        <v>1658</v>
      </c>
      <c r="C2045" s="257" t="s">
        <v>150</v>
      </c>
      <c r="D2045" s="259" t="s">
        <v>15313</v>
      </c>
      <c r="E2045" s="210" t="s">
        <v>201</v>
      </c>
    </row>
    <row r="2046" spans="1:5" ht="27">
      <c r="A2046" s="258">
        <v>92451</v>
      </c>
      <c r="B2046" s="257" t="s">
        <v>1659</v>
      </c>
      <c r="C2046" s="257" t="s">
        <v>150</v>
      </c>
      <c r="D2046" s="259" t="s">
        <v>15314</v>
      </c>
      <c r="E2046" s="210" t="s">
        <v>201</v>
      </c>
    </row>
    <row r="2047" spans="1:5" ht="27">
      <c r="A2047" s="258">
        <v>92452</v>
      </c>
      <c r="B2047" s="257" t="s">
        <v>1660</v>
      </c>
      <c r="C2047" s="257" t="s">
        <v>150</v>
      </c>
      <c r="D2047" s="259" t="s">
        <v>15315</v>
      </c>
      <c r="E2047" s="210" t="s">
        <v>201</v>
      </c>
    </row>
    <row r="2048" spans="1:5" ht="27">
      <c r="A2048" s="258">
        <v>92453</v>
      </c>
      <c r="B2048" s="257" t="s">
        <v>1661</v>
      </c>
      <c r="C2048" s="257" t="s">
        <v>150</v>
      </c>
      <c r="D2048" s="259" t="s">
        <v>15316</v>
      </c>
      <c r="E2048" s="210" t="s">
        <v>201</v>
      </c>
    </row>
    <row r="2049" spans="1:5" ht="27">
      <c r="A2049" s="258">
        <v>92454</v>
      </c>
      <c r="B2049" s="257" t="s">
        <v>1662</v>
      </c>
      <c r="C2049" s="257" t="s">
        <v>150</v>
      </c>
      <c r="D2049" s="259" t="s">
        <v>15317</v>
      </c>
      <c r="E2049" s="210" t="s">
        <v>201</v>
      </c>
    </row>
    <row r="2050" spans="1:5" ht="27">
      <c r="A2050" s="258">
        <v>92455</v>
      </c>
      <c r="B2050" s="257" t="s">
        <v>1663</v>
      </c>
      <c r="C2050" s="257" t="s">
        <v>150</v>
      </c>
      <c r="D2050" s="259" t="s">
        <v>15318</v>
      </c>
      <c r="E2050" s="210" t="s">
        <v>201</v>
      </c>
    </row>
    <row r="2051" spans="1:5" ht="27">
      <c r="A2051" s="258">
        <v>92456</v>
      </c>
      <c r="B2051" s="257" t="s">
        <v>1664</v>
      </c>
      <c r="C2051" s="257" t="s">
        <v>150</v>
      </c>
      <c r="D2051" s="259" t="s">
        <v>15319</v>
      </c>
      <c r="E2051" s="210" t="s">
        <v>201</v>
      </c>
    </row>
    <row r="2052" spans="1:5" ht="27">
      <c r="A2052" s="258">
        <v>92457</v>
      </c>
      <c r="B2052" s="257" t="s">
        <v>1665</v>
      </c>
      <c r="C2052" s="257" t="s">
        <v>150</v>
      </c>
      <c r="D2052" s="259" t="s">
        <v>15320</v>
      </c>
      <c r="E2052" s="210" t="s">
        <v>201</v>
      </c>
    </row>
    <row r="2053" spans="1:5" ht="27">
      <c r="A2053" s="258">
        <v>92458</v>
      </c>
      <c r="B2053" s="257" t="s">
        <v>283</v>
      </c>
      <c r="C2053" s="257" t="s">
        <v>150</v>
      </c>
      <c r="D2053" s="259" t="s">
        <v>15196</v>
      </c>
      <c r="E2053" s="210" t="s">
        <v>201</v>
      </c>
    </row>
    <row r="2054" spans="1:5" ht="27">
      <c r="A2054" s="258">
        <v>92459</v>
      </c>
      <c r="B2054" s="257" t="s">
        <v>1666</v>
      </c>
      <c r="C2054" s="257" t="s">
        <v>150</v>
      </c>
      <c r="D2054" s="259" t="s">
        <v>15321</v>
      </c>
      <c r="E2054" s="210" t="s">
        <v>201</v>
      </c>
    </row>
    <row r="2055" spans="1:5" ht="27">
      <c r="A2055" s="258">
        <v>92460</v>
      </c>
      <c r="B2055" s="257" t="s">
        <v>284</v>
      </c>
      <c r="C2055" s="257" t="s">
        <v>150</v>
      </c>
      <c r="D2055" s="259" t="s">
        <v>15322</v>
      </c>
      <c r="E2055" s="210" t="s">
        <v>201</v>
      </c>
    </row>
    <row r="2056" spans="1:5" ht="27">
      <c r="A2056" s="258">
        <v>92461</v>
      </c>
      <c r="B2056" s="257" t="s">
        <v>1667</v>
      </c>
      <c r="C2056" s="257" t="s">
        <v>150</v>
      </c>
      <c r="D2056" s="259" t="s">
        <v>15323</v>
      </c>
      <c r="E2056" s="210" t="s">
        <v>201</v>
      </c>
    </row>
    <row r="2057" spans="1:5" ht="27">
      <c r="A2057" s="258">
        <v>92462</v>
      </c>
      <c r="B2057" s="257" t="s">
        <v>1668</v>
      </c>
      <c r="C2057" s="257" t="s">
        <v>150</v>
      </c>
      <c r="D2057" s="259" t="s">
        <v>15324</v>
      </c>
      <c r="E2057" s="210" t="s">
        <v>201</v>
      </c>
    </row>
    <row r="2058" spans="1:5" ht="27">
      <c r="A2058" s="258">
        <v>92463</v>
      </c>
      <c r="B2058" s="257" t="s">
        <v>1669</v>
      </c>
      <c r="C2058" s="257" t="s">
        <v>150</v>
      </c>
      <c r="D2058" s="259" t="s">
        <v>15325</v>
      </c>
      <c r="E2058" s="210" t="s">
        <v>201</v>
      </c>
    </row>
    <row r="2059" spans="1:5" ht="27">
      <c r="A2059" s="257">
        <v>92464</v>
      </c>
      <c r="B2059" s="257" t="s">
        <v>1670</v>
      </c>
      <c r="C2059" s="257" t="s">
        <v>150</v>
      </c>
      <c r="D2059" s="259" t="s">
        <v>15326</v>
      </c>
      <c r="E2059" s="210" t="s">
        <v>201</v>
      </c>
    </row>
    <row r="2060" spans="1:5" ht="27">
      <c r="A2060" s="257">
        <v>92465</v>
      </c>
      <c r="B2060" s="257" t="s">
        <v>1671</v>
      </c>
      <c r="C2060" s="257" t="s">
        <v>150</v>
      </c>
      <c r="D2060" s="259" t="s">
        <v>13821</v>
      </c>
      <c r="E2060" s="210" t="s">
        <v>201</v>
      </c>
    </row>
    <row r="2061" spans="1:5" ht="27">
      <c r="A2061" s="257">
        <v>92466</v>
      </c>
      <c r="B2061" s="257" t="s">
        <v>1672</v>
      </c>
      <c r="C2061" s="257" t="s">
        <v>150</v>
      </c>
      <c r="D2061" s="259" t="s">
        <v>15327</v>
      </c>
      <c r="E2061" s="210" t="s">
        <v>201</v>
      </c>
    </row>
    <row r="2062" spans="1:5" ht="27">
      <c r="A2062" s="257">
        <v>92467</v>
      </c>
      <c r="B2062" s="257" t="s">
        <v>1673</v>
      </c>
      <c r="C2062" s="257" t="s">
        <v>150</v>
      </c>
      <c r="D2062" s="259" t="s">
        <v>15328</v>
      </c>
      <c r="E2062" s="210" t="s">
        <v>201</v>
      </c>
    </row>
    <row r="2063" spans="1:5" ht="27">
      <c r="A2063" s="257">
        <v>92468</v>
      </c>
      <c r="B2063" s="257" t="s">
        <v>1674</v>
      </c>
      <c r="C2063" s="257" t="s">
        <v>150</v>
      </c>
      <c r="D2063" s="259" t="s">
        <v>15329</v>
      </c>
      <c r="E2063" s="210" t="s">
        <v>201</v>
      </c>
    </row>
    <row r="2064" spans="1:5" ht="27">
      <c r="A2064" s="257">
        <v>92469</v>
      </c>
      <c r="B2064" s="257" t="s">
        <v>1675</v>
      </c>
      <c r="C2064" s="257" t="s">
        <v>150</v>
      </c>
      <c r="D2064" s="259" t="s">
        <v>15330</v>
      </c>
      <c r="E2064" s="210" t="s">
        <v>201</v>
      </c>
    </row>
    <row r="2065" spans="1:5" ht="27">
      <c r="A2065" s="257">
        <v>92470</v>
      </c>
      <c r="B2065" s="257" t="s">
        <v>1676</v>
      </c>
      <c r="C2065" s="257" t="s">
        <v>150</v>
      </c>
      <c r="D2065" s="259" t="s">
        <v>15331</v>
      </c>
      <c r="E2065" s="210" t="s">
        <v>201</v>
      </c>
    </row>
    <row r="2066" spans="1:5" ht="27">
      <c r="A2066" s="257">
        <v>92471</v>
      </c>
      <c r="B2066" s="257" t="s">
        <v>1677</v>
      </c>
      <c r="C2066" s="257" t="s">
        <v>150</v>
      </c>
      <c r="D2066" s="259" t="s">
        <v>15332</v>
      </c>
      <c r="E2066" s="210" t="s">
        <v>201</v>
      </c>
    </row>
    <row r="2067" spans="1:5" ht="27">
      <c r="A2067" s="257">
        <v>92472</v>
      </c>
      <c r="B2067" s="257" t="s">
        <v>1678</v>
      </c>
      <c r="C2067" s="257" t="s">
        <v>150</v>
      </c>
      <c r="D2067" s="259" t="s">
        <v>15333</v>
      </c>
      <c r="E2067" s="210" t="s">
        <v>201</v>
      </c>
    </row>
    <row r="2068" spans="1:5" ht="27">
      <c r="A2068" s="257">
        <v>92473</v>
      </c>
      <c r="B2068" s="257" t="s">
        <v>1679</v>
      </c>
      <c r="C2068" s="257" t="s">
        <v>150</v>
      </c>
      <c r="D2068" s="259" t="s">
        <v>15334</v>
      </c>
      <c r="E2068" s="210" t="s">
        <v>201</v>
      </c>
    </row>
    <row r="2069" spans="1:5" ht="27">
      <c r="A2069" s="257">
        <v>92474</v>
      </c>
      <c r="B2069" s="257" t="s">
        <v>1680</v>
      </c>
      <c r="C2069" s="257" t="s">
        <v>150</v>
      </c>
      <c r="D2069" s="259" t="s">
        <v>15335</v>
      </c>
      <c r="E2069" s="210" t="s">
        <v>201</v>
      </c>
    </row>
    <row r="2070" spans="1:5" ht="27">
      <c r="A2070" s="257">
        <v>92475</v>
      </c>
      <c r="B2070" s="257" t="s">
        <v>1681</v>
      </c>
      <c r="C2070" s="257" t="s">
        <v>150</v>
      </c>
      <c r="D2070" s="259" t="s">
        <v>15336</v>
      </c>
      <c r="E2070" s="210" t="s">
        <v>201</v>
      </c>
    </row>
    <row r="2071" spans="1:5" ht="27">
      <c r="A2071" s="257">
        <v>92476</v>
      </c>
      <c r="B2071" s="257" t="s">
        <v>1682</v>
      </c>
      <c r="C2071" s="257" t="s">
        <v>150</v>
      </c>
      <c r="D2071" s="259" t="s">
        <v>15271</v>
      </c>
      <c r="E2071" s="210" t="s">
        <v>201</v>
      </c>
    </row>
    <row r="2072" spans="1:5" ht="27">
      <c r="A2072" s="257">
        <v>92477</v>
      </c>
      <c r="B2072" s="257" t="s">
        <v>1683</v>
      </c>
      <c r="C2072" s="257" t="s">
        <v>150</v>
      </c>
      <c r="D2072" s="259" t="s">
        <v>15337</v>
      </c>
      <c r="E2072" s="210" t="s">
        <v>201</v>
      </c>
    </row>
    <row r="2073" spans="1:5" ht="27">
      <c r="A2073" s="257">
        <v>92478</v>
      </c>
      <c r="B2073" s="257" t="s">
        <v>1684</v>
      </c>
      <c r="C2073" s="257" t="s">
        <v>150</v>
      </c>
      <c r="D2073" s="259" t="s">
        <v>13818</v>
      </c>
      <c r="E2073" s="210" t="s">
        <v>201</v>
      </c>
    </row>
    <row r="2074" spans="1:5" ht="27">
      <c r="A2074" s="258">
        <v>92479</v>
      </c>
      <c r="B2074" s="257" t="s">
        <v>1685</v>
      </c>
      <c r="C2074" s="257" t="s">
        <v>150</v>
      </c>
      <c r="D2074" s="259" t="s">
        <v>14156</v>
      </c>
      <c r="E2074" s="210" t="s">
        <v>201</v>
      </c>
    </row>
    <row r="2075" spans="1:5" ht="27">
      <c r="A2075" s="258">
        <v>92480</v>
      </c>
      <c r="B2075" s="257" t="s">
        <v>1686</v>
      </c>
      <c r="C2075" s="257" t="s">
        <v>150</v>
      </c>
      <c r="D2075" s="259" t="s">
        <v>15338</v>
      </c>
      <c r="E2075" s="210" t="s">
        <v>201</v>
      </c>
    </row>
    <row r="2076" spans="1:5" ht="27">
      <c r="A2076" s="258">
        <v>92481</v>
      </c>
      <c r="B2076" s="257" t="s">
        <v>1687</v>
      </c>
      <c r="C2076" s="257" t="s">
        <v>150</v>
      </c>
      <c r="D2076" s="259" t="s">
        <v>15339</v>
      </c>
      <c r="E2076" s="210" t="s">
        <v>201</v>
      </c>
    </row>
    <row r="2077" spans="1:5" ht="27">
      <c r="A2077" s="258">
        <v>92482</v>
      </c>
      <c r="B2077" s="257" t="s">
        <v>1688</v>
      </c>
      <c r="C2077" s="257" t="s">
        <v>150</v>
      </c>
      <c r="D2077" s="259" t="s">
        <v>15340</v>
      </c>
      <c r="E2077" s="210" t="s">
        <v>201</v>
      </c>
    </row>
    <row r="2078" spans="1:5" ht="27">
      <c r="A2078" s="258">
        <v>92483</v>
      </c>
      <c r="B2078" s="257" t="s">
        <v>1689</v>
      </c>
      <c r="C2078" s="257" t="s">
        <v>150</v>
      </c>
      <c r="D2078" s="259" t="s">
        <v>15341</v>
      </c>
      <c r="E2078" s="210" t="s">
        <v>201</v>
      </c>
    </row>
    <row r="2079" spans="1:5" ht="27">
      <c r="A2079" s="258">
        <v>92484</v>
      </c>
      <c r="B2079" s="257" t="s">
        <v>1690</v>
      </c>
      <c r="C2079" s="257" t="s">
        <v>150</v>
      </c>
      <c r="D2079" s="259" t="s">
        <v>15342</v>
      </c>
      <c r="E2079" s="210" t="s">
        <v>201</v>
      </c>
    </row>
    <row r="2080" spans="1:5" ht="27">
      <c r="A2080" s="258">
        <v>92485</v>
      </c>
      <c r="B2080" s="257" t="s">
        <v>1691</v>
      </c>
      <c r="C2080" s="257" t="s">
        <v>150</v>
      </c>
      <c r="D2080" s="259" t="s">
        <v>15343</v>
      </c>
      <c r="E2080" s="210" t="s">
        <v>201</v>
      </c>
    </row>
    <row r="2081" spans="1:5" ht="27">
      <c r="A2081" s="258">
        <v>92486</v>
      </c>
      <c r="B2081" s="257" t="s">
        <v>1692</v>
      </c>
      <c r="C2081" s="257" t="s">
        <v>150</v>
      </c>
      <c r="D2081" s="259" t="s">
        <v>15344</v>
      </c>
      <c r="E2081" s="210" t="s">
        <v>201</v>
      </c>
    </row>
    <row r="2082" spans="1:5" ht="40.5">
      <c r="A2082" s="258">
        <v>92487</v>
      </c>
      <c r="B2082" s="257" t="s">
        <v>1693</v>
      </c>
      <c r="C2082" s="257" t="s">
        <v>150</v>
      </c>
      <c r="D2082" s="259" t="s">
        <v>15345</v>
      </c>
      <c r="E2082" s="210" t="s">
        <v>201</v>
      </c>
    </row>
    <row r="2083" spans="1:5" ht="40.5">
      <c r="A2083" s="258">
        <v>92488</v>
      </c>
      <c r="B2083" s="257" t="s">
        <v>1694</v>
      </c>
      <c r="C2083" s="257" t="s">
        <v>150</v>
      </c>
      <c r="D2083" s="259" t="s">
        <v>15346</v>
      </c>
      <c r="E2083" s="210" t="s">
        <v>201</v>
      </c>
    </row>
    <row r="2084" spans="1:5" ht="40.5">
      <c r="A2084" s="258">
        <v>92489</v>
      </c>
      <c r="B2084" s="257" t="s">
        <v>1695</v>
      </c>
      <c r="C2084" s="257" t="s">
        <v>150</v>
      </c>
      <c r="D2084" s="259" t="s">
        <v>13966</v>
      </c>
      <c r="E2084" s="210" t="s">
        <v>201</v>
      </c>
    </row>
    <row r="2085" spans="1:5" ht="40.5">
      <c r="A2085" s="258">
        <v>92490</v>
      </c>
      <c r="B2085" s="257" t="s">
        <v>1696</v>
      </c>
      <c r="C2085" s="257" t="s">
        <v>150</v>
      </c>
      <c r="D2085" s="259" t="s">
        <v>15347</v>
      </c>
      <c r="E2085" s="210" t="s">
        <v>201</v>
      </c>
    </row>
    <row r="2086" spans="1:5" ht="40.5">
      <c r="A2086" s="258">
        <v>92491</v>
      </c>
      <c r="B2086" s="257" t="s">
        <v>1697</v>
      </c>
      <c r="C2086" s="257" t="s">
        <v>150</v>
      </c>
      <c r="D2086" s="259" t="s">
        <v>15348</v>
      </c>
      <c r="E2086" s="210" t="s">
        <v>201</v>
      </c>
    </row>
    <row r="2087" spans="1:5" ht="40.5">
      <c r="A2087" s="258">
        <v>92492</v>
      </c>
      <c r="B2087" s="257" t="s">
        <v>1698</v>
      </c>
      <c r="C2087" s="257" t="s">
        <v>150</v>
      </c>
      <c r="D2087" s="259" t="s">
        <v>15349</v>
      </c>
      <c r="E2087" s="210" t="s">
        <v>201</v>
      </c>
    </row>
    <row r="2088" spans="1:5" ht="40.5">
      <c r="A2088" s="258">
        <v>92493</v>
      </c>
      <c r="B2088" s="257" t="s">
        <v>1699</v>
      </c>
      <c r="C2088" s="257" t="s">
        <v>150</v>
      </c>
      <c r="D2088" s="259" t="s">
        <v>15350</v>
      </c>
      <c r="E2088" s="210" t="s">
        <v>201</v>
      </c>
    </row>
    <row r="2089" spans="1:5" ht="40.5">
      <c r="A2089" s="258">
        <v>92494</v>
      </c>
      <c r="B2089" s="257" t="s">
        <v>1700</v>
      </c>
      <c r="C2089" s="257" t="s">
        <v>150</v>
      </c>
      <c r="D2089" s="259" t="s">
        <v>15351</v>
      </c>
      <c r="E2089" s="210" t="s">
        <v>201</v>
      </c>
    </row>
    <row r="2090" spans="1:5" ht="40.5">
      <c r="A2090" s="258">
        <v>92495</v>
      </c>
      <c r="B2090" s="257" t="s">
        <v>1701</v>
      </c>
      <c r="C2090" s="257" t="s">
        <v>150</v>
      </c>
      <c r="D2090" s="259" t="s">
        <v>15352</v>
      </c>
      <c r="E2090" s="210" t="s">
        <v>201</v>
      </c>
    </row>
    <row r="2091" spans="1:5" ht="40.5">
      <c r="A2091" s="258">
        <v>92496</v>
      </c>
      <c r="B2091" s="257" t="s">
        <v>1702</v>
      </c>
      <c r="C2091" s="257" t="s">
        <v>150</v>
      </c>
      <c r="D2091" s="259" t="s">
        <v>15353</v>
      </c>
      <c r="E2091" s="210" t="s">
        <v>201</v>
      </c>
    </row>
    <row r="2092" spans="1:5" ht="40.5">
      <c r="A2092" s="258">
        <v>92497</v>
      </c>
      <c r="B2092" s="257" t="s">
        <v>1703</v>
      </c>
      <c r="C2092" s="257" t="s">
        <v>150</v>
      </c>
      <c r="D2092" s="259" t="s">
        <v>15354</v>
      </c>
      <c r="E2092" s="210" t="s">
        <v>201</v>
      </c>
    </row>
    <row r="2093" spans="1:5" ht="40.5">
      <c r="A2093" s="258">
        <v>92498</v>
      </c>
      <c r="B2093" s="257" t="s">
        <v>1704</v>
      </c>
      <c r="C2093" s="257" t="s">
        <v>150</v>
      </c>
      <c r="D2093" s="259" t="s">
        <v>15355</v>
      </c>
      <c r="E2093" s="210" t="s">
        <v>201</v>
      </c>
    </row>
    <row r="2094" spans="1:5" ht="40.5">
      <c r="A2094" s="258">
        <v>92499</v>
      </c>
      <c r="B2094" s="257" t="s">
        <v>1705</v>
      </c>
      <c r="C2094" s="257" t="s">
        <v>150</v>
      </c>
      <c r="D2094" s="259" t="s">
        <v>15356</v>
      </c>
      <c r="E2094" s="210" t="s">
        <v>201</v>
      </c>
    </row>
    <row r="2095" spans="1:5" ht="40.5">
      <c r="A2095" s="258">
        <v>92500</v>
      </c>
      <c r="B2095" s="257" t="s">
        <v>1706</v>
      </c>
      <c r="C2095" s="257" t="s">
        <v>150</v>
      </c>
      <c r="D2095" s="259" t="s">
        <v>15357</v>
      </c>
      <c r="E2095" s="210" t="s">
        <v>201</v>
      </c>
    </row>
    <row r="2096" spans="1:5" ht="40.5">
      <c r="A2096" s="258">
        <v>92501</v>
      </c>
      <c r="B2096" s="257" t="s">
        <v>1707</v>
      </c>
      <c r="C2096" s="257" t="s">
        <v>150</v>
      </c>
      <c r="D2096" s="259" t="s">
        <v>14581</v>
      </c>
      <c r="E2096" s="210" t="s">
        <v>201</v>
      </c>
    </row>
    <row r="2097" spans="1:5" ht="40.5">
      <c r="A2097" s="258">
        <v>92502</v>
      </c>
      <c r="B2097" s="257" t="s">
        <v>1708</v>
      </c>
      <c r="C2097" s="257" t="s">
        <v>150</v>
      </c>
      <c r="D2097" s="259" t="s">
        <v>15358</v>
      </c>
      <c r="E2097" s="210" t="s">
        <v>201</v>
      </c>
    </row>
    <row r="2098" spans="1:5" ht="40.5">
      <c r="A2098" s="258">
        <v>92503</v>
      </c>
      <c r="B2098" s="257" t="s">
        <v>1709</v>
      </c>
      <c r="C2098" s="257" t="s">
        <v>150</v>
      </c>
      <c r="D2098" s="259" t="s">
        <v>15359</v>
      </c>
      <c r="E2098" s="210" t="s">
        <v>201</v>
      </c>
    </row>
    <row r="2099" spans="1:5" ht="40.5">
      <c r="A2099" s="258">
        <v>92504</v>
      </c>
      <c r="B2099" s="257" t="s">
        <v>1710</v>
      </c>
      <c r="C2099" s="257" t="s">
        <v>150</v>
      </c>
      <c r="D2099" s="259" t="s">
        <v>15360</v>
      </c>
      <c r="E2099" s="210" t="s">
        <v>201</v>
      </c>
    </row>
    <row r="2100" spans="1:5" ht="40.5">
      <c r="A2100" s="258">
        <v>92505</v>
      </c>
      <c r="B2100" s="257" t="s">
        <v>1711</v>
      </c>
      <c r="C2100" s="257" t="s">
        <v>150</v>
      </c>
      <c r="D2100" s="259" t="s">
        <v>15361</v>
      </c>
      <c r="E2100" s="210" t="s">
        <v>201</v>
      </c>
    </row>
    <row r="2101" spans="1:5" ht="40.5">
      <c r="A2101" s="258">
        <v>92506</v>
      </c>
      <c r="B2101" s="257" t="s">
        <v>1712</v>
      </c>
      <c r="C2101" s="257" t="s">
        <v>150</v>
      </c>
      <c r="D2101" s="259" t="s">
        <v>15362</v>
      </c>
      <c r="E2101" s="210" t="s">
        <v>201</v>
      </c>
    </row>
    <row r="2102" spans="1:5" ht="27">
      <c r="A2102" s="258">
        <v>92507</v>
      </c>
      <c r="B2102" s="257" t="s">
        <v>1713</v>
      </c>
      <c r="C2102" s="257" t="s">
        <v>150</v>
      </c>
      <c r="D2102" s="259" t="s">
        <v>15363</v>
      </c>
      <c r="E2102" s="210" t="s">
        <v>201</v>
      </c>
    </row>
    <row r="2103" spans="1:5" ht="27">
      <c r="A2103" s="258">
        <v>92508</v>
      </c>
      <c r="B2103" s="257" t="s">
        <v>1714</v>
      </c>
      <c r="C2103" s="257" t="s">
        <v>150</v>
      </c>
      <c r="D2103" s="259" t="s">
        <v>15364</v>
      </c>
      <c r="E2103" s="210" t="s">
        <v>201</v>
      </c>
    </row>
    <row r="2104" spans="1:5" ht="27">
      <c r="A2104" s="258">
        <v>92509</v>
      </c>
      <c r="B2104" s="257" t="s">
        <v>242</v>
      </c>
      <c r="C2104" s="257" t="s">
        <v>150</v>
      </c>
      <c r="D2104" s="259" t="s">
        <v>15365</v>
      </c>
      <c r="E2104" s="210" t="s">
        <v>201</v>
      </c>
    </row>
    <row r="2105" spans="1:5" ht="27">
      <c r="A2105" s="258">
        <v>92510</v>
      </c>
      <c r="B2105" s="257" t="s">
        <v>285</v>
      </c>
      <c r="C2105" s="257" t="s">
        <v>150</v>
      </c>
      <c r="D2105" s="259" t="s">
        <v>15366</v>
      </c>
      <c r="E2105" s="210" t="s">
        <v>201</v>
      </c>
    </row>
    <row r="2106" spans="1:5" ht="27">
      <c r="A2106" s="258">
        <v>92511</v>
      </c>
      <c r="B2106" s="257" t="s">
        <v>1715</v>
      </c>
      <c r="C2106" s="257" t="s">
        <v>150</v>
      </c>
      <c r="D2106" s="259" t="s">
        <v>15367</v>
      </c>
      <c r="E2106" s="210" t="s">
        <v>201</v>
      </c>
    </row>
    <row r="2107" spans="1:5" ht="27">
      <c r="A2107" s="258">
        <v>92512</v>
      </c>
      <c r="B2107" s="257" t="s">
        <v>1716</v>
      </c>
      <c r="C2107" s="257" t="s">
        <v>150</v>
      </c>
      <c r="D2107" s="259" t="s">
        <v>15368</v>
      </c>
      <c r="E2107" s="210" t="s">
        <v>201</v>
      </c>
    </row>
    <row r="2108" spans="1:5" ht="27">
      <c r="A2108" s="258">
        <v>92513</v>
      </c>
      <c r="B2108" s="257" t="s">
        <v>1717</v>
      </c>
      <c r="C2108" s="257" t="s">
        <v>150</v>
      </c>
      <c r="D2108" s="259" t="s">
        <v>15369</v>
      </c>
      <c r="E2108" s="210" t="s">
        <v>201</v>
      </c>
    </row>
    <row r="2109" spans="1:5" ht="27">
      <c r="A2109" s="258">
        <v>92514</v>
      </c>
      <c r="B2109" s="257" t="s">
        <v>1718</v>
      </c>
      <c r="C2109" s="257" t="s">
        <v>150</v>
      </c>
      <c r="D2109" s="259" t="s">
        <v>15370</v>
      </c>
      <c r="E2109" s="210" t="s">
        <v>201</v>
      </c>
    </row>
    <row r="2110" spans="1:5" ht="27">
      <c r="A2110" s="258">
        <v>92515</v>
      </c>
      <c r="B2110" s="257" t="s">
        <v>1719</v>
      </c>
      <c r="C2110" s="257" t="s">
        <v>150</v>
      </c>
      <c r="D2110" s="259" t="s">
        <v>13570</v>
      </c>
      <c r="E2110" s="210" t="s">
        <v>201</v>
      </c>
    </row>
    <row r="2111" spans="1:5" ht="27">
      <c r="A2111" s="258">
        <v>92516</v>
      </c>
      <c r="B2111" s="257" t="s">
        <v>1720</v>
      </c>
      <c r="C2111" s="257" t="s">
        <v>150</v>
      </c>
      <c r="D2111" s="259" t="s">
        <v>15371</v>
      </c>
      <c r="E2111" s="210" t="s">
        <v>201</v>
      </c>
    </row>
    <row r="2112" spans="1:5" ht="27">
      <c r="A2112" s="258">
        <v>92517</v>
      </c>
      <c r="B2112" s="257" t="s">
        <v>1721</v>
      </c>
      <c r="C2112" s="257" t="s">
        <v>150</v>
      </c>
      <c r="D2112" s="259" t="s">
        <v>15372</v>
      </c>
      <c r="E2112" s="210" t="s">
        <v>201</v>
      </c>
    </row>
    <row r="2113" spans="1:5" ht="27">
      <c r="A2113" s="258">
        <v>92518</v>
      </c>
      <c r="B2113" s="257" t="s">
        <v>1722</v>
      </c>
      <c r="C2113" s="257" t="s">
        <v>150</v>
      </c>
      <c r="D2113" s="259" t="s">
        <v>15373</v>
      </c>
      <c r="E2113" s="210" t="s">
        <v>201</v>
      </c>
    </row>
    <row r="2114" spans="1:5" ht="27">
      <c r="A2114" s="258">
        <v>92519</v>
      </c>
      <c r="B2114" s="257" t="s">
        <v>1723</v>
      </c>
      <c r="C2114" s="257" t="s">
        <v>150</v>
      </c>
      <c r="D2114" s="259" t="s">
        <v>15374</v>
      </c>
      <c r="E2114" s="210" t="s">
        <v>201</v>
      </c>
    </row>
    <row r="2115" spans="1:5" ht="27">
      <c r="A2115" s="258">
        <v>92520</v>
      </c>
      <c r="B2115" s="257" t="s">
        <v>1724</v>
      </c>
      <c r="C2115" s="257" t="s">
        <v>150</v>
      </c>
      <c r="D2115" s="259" t="s">
        <v>15375</v>
      </c>
      <c r="E2115" s="210" t="s">
        <v>201</v>
      </c>
    </row>
    <row r="2116" spans="1:5" ht="27">
      <c r="A2116" s="258">
        <v>92521</v>
      </c>
      <c r="B2116" s="257" t="s">
        <v>1725</v>
      </c>
      <c r="C2116" s="257" t="s">
        <v>150</v>
      </c>
      <c r="D2116" s="259" t="s">
        <v>15376</v>
      </c>
      <c r="E2116" s="210" t="s">
        <v>201</v>
      </c>
    </row>
    <row r="2117" spans="1:5" ht="27">
      <c r="A2117" s="258">
        <v>92522</v>
      </c>
      <c r="B2117" s="257" t="s">
        <v>1726</v>
      </c>
      <c r="C2117" s="257" t="s">
        <v>150</v>
      </c>
      <c r="D2117" s="259" t="s">
        <v>15377</v>
      </c>
      <c r="E2117" s="210" t="s">
        <v>201</v>
      </c>
    </row>
    <row r="2118" spans="1:5" ht="27">
      <c r="A2118" s="258">
        <v>92523</v>
      </c>
      <c r="B2118" s="257" t="s">
        <v>1727</v>
      </c>
      <c r="C2118" s="257" t="s">
        <v>150</v>
      </c>
      <c r="D2118" s="259" t="s">
        <v>15378</v>
      </c>
      <c r="E2118" s="210" t="s">
        <v>201</v>
      </c>
    </row>
    <row r="2119" spans="1:5" ht="27">
      <c r="A2119" s="258">
        <v>92524</v>
      </c>
      <c r="B2119" s="257" t="s">
        <v>1728</v>
      </c>
      <c r="C2119" s="257" t="s">
        <v>150</v>
      </c>
      <c r="D2119" s="259" t="s">
        <v>15379</v>
      </c>
      <c r="E2119" s="210" t="s">
        <v>201</v>
      </c>
    </row>
    <row r="2120" spans="1:5" ht="27">
      <c r="A2120" s="258">
        <v>92525</v>
      </c>
      <c r="B2120" s="257" t="s">
        <v>1729</v>
      </c>
      <c r="C2120" s="257" t="s">
        <v>150</v>
      </c>
      <c r="D2120" s="259" t="s">
        <v>15380</v>
      </c>
      <c r="E2120" s="210" t="s">
        <v>201</v>
      </c>
    </row>
    <row r="2121" spans="1:5" ht="27">
      <c r="A2121" s="258">
        <v>92526</v>
      </c>
      <c r="B2121" s="257" t="s">
        <v>1730</v>
      </c>
      <c r="C2121" s="257" t="s">
        <v>150</v>
      </c>
      <c r="D2121" s="259" t="s">
        <v>15381</v>
      </c>
      <c r="E2121" s="210" t="s">
        <v>201</v>
      </c>
    </row>
    <row r="2122" spans="1:5" ht="27">
      <c r="A2122" s="258">
        <v>92527</v>
      </c>
      <c r="B2122" s="257" t="s">
        <v>1731</v>
      </c>
      <c r="C2122" s="257" t="s">
        <v>150</v>
      </c>
      <c r="D2122" s="259" t="s">
        <v>15382</v>
      </c>
      <c r="E2122" s="210" t="s">
        <v>201</v>
      </c>
    </row>
    <row r="2123" spans="1:5" ht="27">
      <c r="A2123" s="258">
        <v>92528</v>
      </c>
      <c r="B2123" s="257" t="s">
        <v>1732</v>
      </c>
      <c r="C2123" s="257" t="s">
        <v>150</v>
      </c>
      <c r="D2123" s="259" t="s">
        <v>15383</v>
      </c>
      <c r="E2123" s="210" t="s">
        <v>201</v>
      </c>
    </row>
    <row r="2124" spans="1:5" ht="27">
      <c r="A2124" s="258">
        <v>92529</v>
      </c>
      <c r="B2124" s="257" t="s">
        <v>1733</v>
      </c>
      <c r="C2124" s="257" t="s">
        <v>150</v>
      </c>
      <c r="D2124" s="259" t="s">
        <v>15384</v>
      </c>
      <c r="E2124" s="210" t="s">
        <v>201</v>
      </c>
    </row>
    <row r="2125" spans="1:5" ht="27">
      <c r="A2125" s="258">
        <v>92530</v>
      </c>
      <c r="B2125" s="257" t="s">
        <v>1734</v>
      </c>
      <c r="C2125" s="257" t="s">
        <v>150</v>
      </c>
      <c r="D2125" s="259" t="s">
        <v>15385</v>
      </c>
      <c r="E2125" s="210" t="s">
        <v>201</v>
      </c>
    </row>
    <row r="2126" spans="1:5" ht="27">
      <c r="A2126" s="258">
        <v>92531</v>
      </c>
      <c r="B2126" s="257" t="s">
        <v>1735</v>
      </c>
      <c r="C2126" s="257" t="s">
        <v>150</v>
      </c>
      <c r="D2126" s="259" t="s">
        <v>15386</v>
      </c>
      <c r="E2126" s="210" t="s">
        <v>201</v>
      </c>
    </row>
    <row r="2127" spans="1:5" ht="27">
      <c r="A2127" s="258">
        <v>92532</v>
      </c>
      <c r="B2127" s="257" t="s">
        <v>1736</v>
      </c>
      <c r="C2127" s="257" t="s">
        <v>150</v>
      </c>
      <c r="D2127" s="259" t="s">
        <v>15387</v>
      </c>
      <c r="E2127" s="210" t="s">
        <v>201</v>
      </c>
    </row>
    <row r="2128" spans="1:5" ht="27">
      <c r="A2128" s="258">
        <v>92533</v>
      </c>
      <c r="B2128" s="257" t="s">
        <v>1737</v>
      </c>
      <c r="C2128" s="257" t="s">
        <v>150</v>
      </c>
      <c r="D2128" s="259" t="s">
        <v>15388</v>
      </c>
      <c r="E2128" s="210" t="s">
        <v>201</v>
      </c>
    </row>
    <row r="2129" spans="1:5" ht="27">
      <c r="A2129" s="258">
        <v>92534</v>
      </c>
      <c r="B2129" s="257" t="s">
        <v>1738</v>
      </c>
      <c r="C2129" s="257" t="s">
        <v>150</v>
      </c>
      <c r="D2129" s="259" t="s">
        <v>15389</v>
      </c>
      <c r="E2129" s="210" t="s">
        <v>201</v>
      </c>
    </row>
    <row r="2130" spans="1:5" ht="27">
      <c r="A2130" s="258">
        <v>92535</v>
      </c>
      <c r="B2130" s="257" t="s">
        <v>1739</v>
      </c>
      <c r="C2130" s="257" t="s">
        <v>150</v>
      </c>
      <c r="D2130" s="259" t="s">
        <v>15390</v>
      </c>
      <c r="E2130" s="210" t="s">
        <v>201</v>
      </c>
    </row>
    <row r="2131" spans="1:5" ht="27">
      <c r="A2131" s="258">
        <v>92536</v>
      </c>
      <c r="B2131" s="257" t="s">
        <v>1740</v>
      </c>
      <c r="C2131" s="257" t="s">
        <v>150</v>
      </c>
      <c r="D2131" s="259" t="s">
        <v>15391</v>
      </c>
      <c r="E2131" s="210" t="s">
        <v>201</v>
      </c>
    </row>
    <row r="2132" spans="1:5" ht="27">
      <c r="A2132" s="258">
        <v>92537</v>
      </c>
      <c r="B2132" s="257" t="s">
        <v>1741</v>
      </c>
      <c r="C2132" s="257" t="s">
        <v>150</v>
      </c>
      <c r="D2132" s="259" t="s">
        <v>15392</v>
      </c>
      <c r="E2132" s="210" t="s">
        <v>201</v>
      </c>
    </row>
    <row r="2133" spans="1:5" ht="27">
      <c r="A2133" s="258">
        <v>92538</v>
      </c>
      <c r="B2133" s="257" t="s">
        <v>1742</v>
      </c>
      <c r="C2133" s="257" t="s">
        <v>150</v>
      </c>
      <c r="D2133" s="259" t="s">
        <v>15393</v>
      </c>
      <c r="E2133" s="210" t="s">
        <v>201</v>
      </c>
    </row>
    <row r="2134" spans="1:5" ht="27">
      <c r="A2134" s="258">
        <v>95934</v>
      </c>
      <c r="B2134" s="257" t="s">
        <v>1743</v>
      </c>
      <c r="C2134" s="257" t="s">
        <v>150</v>
      </c>
      <c r="D2134" s="259" t="s">
        <v>15394</v>
      </c>
      <c r="E2134" s="210" t="s">
        <v>201</v>
      </c>
    </row>
    <row r="2135" spans="1:5" ht="27">
      <c r="A2135" s="258">
        <v>95935</v>
      </c>
      <c r="B2135" s="257" t="s">
        <v>1744</v>
      </c>
      <c r="C2135" s="257" t="s">
        <v>150</v>
      </c>
      <c r="D2135" s="259" t="s">
        <v>15395</v>
      </c>
      <c r="E2135" s="210" t="s">
        <v>201</v>
      </c>
    </row>
    <row r="2136" spans="1:5" ht="13.5">
      <c r="A2136" s="258">
        <v>95936</v>
      </c>
      <c r="B2136" s="257" t="s">
        <v>1745</v>
      </c>
      <c r="C2136" s="257" t="s">
        <v>150</v>
      </c>
      <c r="D2136" s="259" t="s">
        <v>15396</v>
      </c>
      <c r="E2136" s="210" t="s">
        <v>201</v>
      </c>
    </row>
    <row r="2137" spans="1:5" ht="27">
      <c r="A2137" s="258">
        <v>95937</v>
      </c>
      <c r="B2137" s="257" t="s">
        <v>1746</v>
      </c>
      <c r="C2137" s="257" t="s">
        <v>150</v>
      </c>
      <c r="D2137" s="259" t="s">
        <v>15397</v>
      </c>
      <c r="E2137" s="210" t="s">
        <v>201</v>
      </c>
    </row>
    <row r="2138" spans="1:5" ht="27">
      <c r="A2138" s="258">
        <v>95938</v>
      </c>
      <c r="B2138" s="257" t="s">
        <v>1747</v>
      </c>
      <c r="C2138" s="257" t="s">
        <v>150</v>
      </c>
      <c r="D2138" s="259" t="s">
        <v>15398</v>
      </c>
      <c r="E2138" s="210" t="s">
        <v>201</v>
      </c>
    </row>
    <row r="2139" spans="1:5" ht="27">
      <c r="A2139" s="258">
        <v>95939</v>
      </c>
      <c r="B2139" s="257" t="s">
        <v>1748</v>
      </c>
      <c r="C2139" s="257" t="s">
        <v>150</v>
      </c>
      <c r="D2139" s="259" t="s">
        <v>15399</v>
      </c>
      <c r="E2139" s="210" t="s">
        <v>201</v>
      </c>
    </row>
    <row r="2140" spans="1:5" ht="27">
      <c r="A2140" s="258">
        <v>95940</v>
      </c>
      <c r="B2140" s="257" t="s">
        <v>1749</v>
      </c>
      <c r="C2140" s="257" t="s">
        <v>150</v>
      </c>
      <c r="D2140" s="259" t="s">
        <v>15400</v>
      </c>
      <c r="E2140" s="210" t="s">
        <v>201</v>
      </c>
    </row>
    <row r="2141" spans="1:5" ht="27">
      <c r="A2141" s="258">
        <v>95941</v>
      </c>
      <c r="B2141" s="257" t="s">
        <v>1750</v>
      </c>
      <c r="C2141" s="257" t="s">
        <v>150</v>
      </c>
      <c r="D2141" s="259" t="s">
        <v>15401</v>
      </c>
      <c r="E2141" s="210" t="s">
        <v>201</v>
      </c>
    </row>
    <row r="2142" spans="1:5" ht="27">
      <c r="A2142" s="258">
        <v>95942</v>
      </c>
      <c r="B2142" s="257" t="s">
        <v>1751</v>
      </c>
      <c r="C2142" s="257" t="s">
        <v>150</v>
      </c>
      <c r="D2142" s="259" t="s">
        <v>15402</v>
      </c>
      <c r="E2142" s="210" t="s">
        <v>201</v>
      </c>
    </row>
    <row r="2143" spans="1:5" ht="27">
      <c r="A2143" s="258">
        <v>96252</v>
      </c>
      <c r="B2143" s="257" t="s">
        <v>1752</v>
      </c>
      <c r="C2143" s="257" t="s">
        <v>150</v>
      </c>
      <c r="D2143" s="259" t="s">
        <v>15403</v>
      </c>
      <c r="E2143" s="210" t="s">
        <v>201</v>
      </c>
    </row>
    <row r="2144" spans="1:5" ht="27">
      <c r="A2144" s="258">
        <v>96257</v>
      </c>
      <c r="B2144" s="257" t="s">
        <v>1753</v>
      </c>
      <c r="C2144" s="257" t="s">
        <v>150</v>
      </c>
      <c r="D2144" s="259" t="s">
        <v>15404</v>
      </c>
      <c r="E2144" s="210" t="s">
        <v>201</v>
      </c>
    </row>
    <row r="2145" spans="1:5" ht="27">
      <c r="A2145" s="258">
        <v>96258</v>
      </c>
      <c r="B2145" s="257" t="s">
        <v>1754</v>
      </c>
      <c r="C2145" s="257" t="s">
        <v>150</v>
      </c>
      <c r="D2145" s="259" t="s">
        <v>15405</v>
      </c>
      <c r="E2145" s="210" t="s">
        <v>201</v>
      </c>
    </row>
    <row r="2146" spans="1:5" ht="27">
      <c r="A2146" s="258">
        <v>96259</v>
      </c>
      <c r="B2146" s="257" t="s">
        <v>1755</v>
      </c>
      <c r="C2146" s="257" t="s">
        <v>150</v>
      </c>
      <c r="D2146" s="259" t="s">
        <v>15406</v>
      </c>
      <c r="E2146" s="210" t="s">
        <v>201</v>
      </c>
    </row>
    <row r="2147" spans="1:5" ht="27">
      <c r="A2147" s="258">
        <v>96529</v>
      </c>
      <c r="B2147" s="257" t="s">
        <v>1756</v>
      </c>
      <c r="C2147" s="257" t="s">
        <v>150</v>
      </c>
      <c r="D2147" s="259" t="s">
        <v>15407</v>
      </c>
      <c r="E2147" s="210" t="s">
        <v>201</v>
      </c>
    </row>
    <row r="2148" spans="1:5" ht="27">
      <c r="A2148" s="258">
        <v>96530</v>
      </c>
      <c r="B2148" s="257" t="s">
        <v>1757</v>
      </c>
      <c r="C2148" s="257" t="s">
        <v>150</v>
      </c>
      <c r="D2148" s="259" t="s">
        <v>15408</v>
      </c>
      <c r="E2148" s="210" t="s">
        <v>201</v>
      </c>
    </row>
    <row r="2149" spans="1:5" ht="27">
      <c r="A2149" s="258">
        <v>96531</v>
      </c>
      <c r="B2149" s="257" t="s">
        <v>1758</v>
      </c>
      <c r="C2149" s="257" t="s">
        <v>150</v>
      </c>
      <c r="D2149" s="259" t="s">
        <v>15409</v>
      </c>
      <c r="E2149" s="210" t="s">
        <v>201</v>
      </c>
    </row>
    <row r="2150" spans="1:5" ht="27">
      <c r="A2150" s="258">
        <v>96532</v>
      </c>
      <c r="B2150" s="257" t="s">
        <v>1759</v>
      </c>
      <c r="C2150" s="257" t="s">
        <v>150</v>
      </c>
      <c r="D2150" s="259" t="s">
        <v>15410</v>
      </c>
      <c r="E2150" s="210" t="s">
        <v>201</v>
      </c>
    </row>
    <row r="2151" spans="1:5" ht="27">
      <c r="A2151" s="258">
        <v>96533</v>
      </c>
      <c r="B2151" s="257" t="s">
        <v>1760</v>
      </c>
      <c r="C2151" s="257" t="s">
        <v>150</v>
      </c>
      <c r="D2151" s="259" t="s">
        <v>15411</v>
      </c>
      <c r="E2151" s="210" t="s">
        <v>201</v>
      </c>
    </row>
    <row r="2152" spans="1:5" ht="27">
      <c r="A2152" s="258">
        <v>96534</v>
      </c>
      <c r="B2152" s="257" t="s">
        <v>1761</v>
      </c>
      <c r="C2152" s="257" t="s">
        <v>150</v>
      </c>
      <c r="D2152" s="259" t="s">
        <v>15412</v>
      </c>
      <c r="E2152" s="210" t="s">
        <v>201</v>
      </c>
    </row>
    <row r="2153" spans="1:5" ht="27">
      <c r="A2153" s="258">
        <v>96535</v>
      </c>
      <c r="B2153" s="257" t="s">
        <v>1762</v>
      </c>
      <c r="C2153" s="257" t="s">
        <v>150</v>
      </c>
      <c r="D2153" s="259" t="s">
        <v>15413</v>
      </c>
      <c r="E2153" s="210" t="s">
        <v>201</v>
      </c>
    </row>
    <row r="2154" spans="1:5" ht="27">
      <c r="A2154" s="258">
        <v>96536</v>
      </c>
      <c r="B2154" s="257" t="s">
        <v>1763</v>
      </c>
      <c r="C2154" s="257" t="s">
        <v>150</v>
      </c>
      <c r="D2154" s="259" t="s">
        <v>15414</v>
      </c>
      <c r="E2154" s="210" t="s">
        <v>201</v>
      </c>
    </row>
    <row r="2155" spans="1:5" ht="27">
      <c r="A2155" s="258">
        <v>96537</v>
      </c>
      <c r="B2155" s="257" t="s">
        <v>1764</v>
      </c>
      <c r="C2155" s="257" t="s">
        <v>150</v>
      </c>
      <c r="D2155" s="259" t="s">
        <v>15415</v>
      </c>
      <c r="E2155" s="210" t="s">
        <v>201</v>
      </c>
    </row>
    <row r="2156" spans="1:5" ht="27">
      <c r="A2156" s="258">
        <v>96538</v>
      </c>
      <c r="B2156" s="257" t="s">
        <v>1765</v>
      </c>
      <c r="C2156" s="257" t="s">
        <v>150</v>
      </c>
      <c r="D2156" s="259" t="s">
        <v>15416</v>
      </c>
      <c r="E2156" s="210" t="s">
        <v>201</v>
      </c>
    </row>
    <row r="2157" spans="1:5" ht="27">
      <c r="A2157" s="258">
        <v>96539</v>
      </c>
      <c r="B2157" s="257" t="s">
        <v>1766</v>
      </c>
      <c r="C2157" s="257" t="s">
        <v>150</v>
      </c>
      <c r="D2157" s="259" t="s">
        <v>15417</v>
      </c>
      <c r="E2157" s="210" t="s">
        <v>201</v>
      </c>
    </row>
    <row r="2158" spans="1:5" ht="27">
      <c r="A2158" s="258">
        <v>96540</v>
      </c>
      <c r="B2158" s="257" t="s">
        <v>1767</v>
      </c>
      <c r="C2158" s="257" t="s">
        <v>150</v>
      </c>
      <c r="D2158" s="259" t="s">
        <v>15418</v>
      </c>
      <c r="E2158" s="210" t="s">
        <v>201</v>
      </c>
    </row>
    <row r="2159" spans="1:5" ht="27">
      <c r="A2159" s="258">
        <v>96541</v>
      </c>
      <c r="B2159" s="257" t="s">
        <v>1768</v>
      </c>
      <c r="C2159" s="257" t="s">
        <v>150</v>
      </c>
      <c r="D2159" s="259" t="s">
        <v>15419</v>
      </c>
      <c r="E2159" s="210" t="s">
        <v>201</v>
      </c>
    </row>
    <row r="2160" spans="1:5" ht="27">
      <c r="A2160" s="258">
        <v>96542</v>
      </c>
      <c r="B2160" s="257" t="s">
        <v>1769</v>
      </c>
      <c r="C2160" s="257" t="s">
        <v>150</v>
      </c>
      <c r="D2160" s="259" t="s">
        <v>15420</v>
      </c>
      <c r="E2160" s="210" t="s">
        <v>201</v>
      </c>
    </row>
    <row r="2161" spans="1:5" ht="13.5">
      <c r="A2161" s="258">
        <v>96543</v>
      </c>
      <c r="B2161" s="257" t="s">
        <v>1770</v>
      </c>
      <c r="C2161" s="257" t="s">
        <v>89</v>
      </c>
      <c r="D2161" s="259" t="s">
        <v>14940</v>
      </c>
      <c r="E2161" s="210" t="s">
        <v>201</v>
      </c>
    </row>
    <row r="2162" spans="1:5" ht="27">
      <c r="A2162" s="258">
        <v>97747</v>
      </c>
      <c r="B2162" s="257" t="s">
        <v>4681</v>
      </c>
      <c r="C2162" s="257" t="s">
        <v>150</v>
      </c>
      <c r="D2162" s="259" t="s">
        <v>15421</v>
      </c>
      <c r="E2162" s="210" t="s">
        <v>201</v>
      </c>
    </row>
    <row r="2163" spans="1:5" ht="13.5">
      <c r="A2163" s="258" t="s">
        <v>1771</v>
      </c>
      <c r="B2163" s="257" t="s">
        <v>1772</v>
      </c>
      <c r="C2163" s="257" t="s">
        <v>90</v>
      </c>
      <c r="D2163" s="259" t="s">
        <v>15422</v>
      </c>
      <c r="E2163" s="210" t="s">
        <v>201</v>
      </c>
    </row>
    <row r="2164" spans="1:5" ht="13.5">
      <c r="A2164" s="258" t="s">
        <v>1773</v>
      </c>
      <c r="B2164" s="257" t="s">
        <v>1774</v>
      </c>
      <c r="C2164" s="257" t="s">
        <v>90</v>
      </c>
      <c r="D2164" s="259" t="s">
        <v>15423</v>
      </c>
      <c r="E2164" s="210" t="s">
        <v>201</v>
      </c>
    </row>
    <row r="2165" spans="1:5" ht="13.5">
      <c r="A2165" s="258">
        <v>85662</v>
      </c>
      <c r="B2165" s="257" t="s">
        <v>241</v>
      </c>
      <c r="C2165" s="257" t="s">
        <v>150</v>
      </c>
      <c r="D2165" s="259" t="s">
        <v>15424</v>
      </c>
      <c r="E2165" s="210" t="s">
        <v>201</v>
      </c>
    </row>
    <row r="2166" spans="1:5" ht="13.5">
      <c r="A2166" s="258">
        <v>89996</v>
      </c>
      <c r="B2166" s="257" t="s">
        <v>1775</v>
      </c>
      <c r="C2166" s="257" t="s">
        <v>89</v>
      </c>
      <c r="D2166" s="259" t="s">
        <v>15425</v>
      </c>
      <c r="E2166" s="210" t="s">
        <v>201</v>
      </c>
    </row>
    <row r="2167" spans="1:5" ht="13.5">
      <c r="A2167" s="258">
        <v>89997</v>
      </c>
      <c r="B2167" s="257" t="s">
        <v>1776</v>
      </c>
      <c r="C2167" s="257" t="s">
        <v>89</v>
      </c>
      <c r="D2167" s="259" t="s">
        <v>15426</v>
      </c>
      <c r="E2167" s="210" t="s">
        <v>201</v>
      </c>
    </row>
    <row r="2168" spans="1:5" ht="13.5">
      <c r="A2168" s="258">
        <v>89998</v>
      </c>
      <c r="B2168" s="257" t="s">
        <v>1777</v>
      </c>
      <c r="C2168" s="257" t="s">
        <v>89</v>
      </c>
      <c r="D2168" s="259" t="s">
        <v>13764</v>
      </c>
      <c r="E2168" s="210" t="s">
        <v>201</v>
      </c>
    </row>
    <row r="2169" spans="1:5" ht="13.5">
      <c r="A2169" s="258">
        <v>89999</v>
      </c>
      <c r="B2169" s="257" t="s">
        <v>1778</v>
      </c>
      <c r="C2169" s="257" t="s">
        <v>89</v>
      </c>
      <c r="D2169" s="259" t="s">
        <v>15427</v>
      </c>
      <c r="E2169" s="210" t="s">
        <v>201</v>
      </c>
    </row>
    <row r="2170" spans="1:5" ht="13.5">
      <c r="A2170" s="258">
        <v>90000</v>
      </c>
      <c r="B2170" s="257" t="s">
        <v>1779</v>
      </c>
      <c r="C2170" s="257" t="s">
        <v>89</v>
      </c>
      <c r="D2170" s="259" t="s">
        <v>15428</v>
      </c>
      <c r="E2170" s="210" t="s">
        <v>201</v>
      </c>
    </row>
    <row r="2171" spans="1:5" ht="27">
      <c r="A2171" s="258">
        <v>91593</v>
      </c>
      <c r="B2171" s="257" t="s">
        <v>5486</v>
      </c>
      <c r="C2171" s="257" t="s">
        <v>89</v>
      </c>
      <c r="D2171" s="259" t="s">
        <v>15429</v>
      </c>
      <c r="E2171" s="210" t="s">
        <v>201</v>
      </c>
    </row>
    <row r="2172" spans="1:5" ht="27">
      <c r="A2172" s="258">
        <v>91594</v>
      </c>
      <c r="B2172" s="257" t="s">
        <v>5487</v>
      </c>
      <c r="C2172" s="257" t="s">
        <v>89</v>
      </c>
      <c r="D2172" s="259" t="s">
        <v>15430</v>
      </c>
      <c r="E2172" s="210" t="s">
        <v>201</v>
      </c>
    </row>
    <row r="2173" spans="1:5" ht="27">
      <c r="A2173" s="258">
        <v>91595</v>
      </c>
      <c r="B2173" s="257" t="s">
        <v>5488</v>
      </c>
      <c r="C2173" s="257" t="s">
        <v>89</v>
      </c>
      <c r="D2173" s="259" t="s">
        <v>15431</v>
      </c>
      <c r="E2173" s="210" t="s">
        <v>201</v>
      </c>
    </row>
    <row r="2174" spans="1:5" ht="27">
      <c r="A2174" s="258">
        <v>91596</v>
      </c>
      <c r="B2174" s="257" t="s">
        <v>5489</v>
      </c>
      <c r="C2174" s="257" t="s">
        <v>89</v>
      </c>
      <c r="D2174" s="259" t="s">
        <v>15432</v>
      </c>
      <c r="E2174" s="210" t="s">
        <v>201</v>
      </c>
    </row>
    <row r="2175" spans="1:5" ht="27">
      <c r="A2175" s="258">
        <v>91597</v>
      </c>
      <c r="B2175" s="257" t="s">
        <v>5490</v>
      </c>
      <c r="C2175" s="257" t="s">
        <v>89</v>
      </c>
      <c r="D2175" s="259" t="s">
        <v>15433</v>
      </c>
      <c r="E2175" s="210" t="s">
        <v>201</v>
      </c>
    </row>
    <row r="2176" spans="1:5" ht="27">
      <c r="A2176" s="258">
        <v>91598</v>
      </c>
      <c r="B2176" s="257" t="s">
        <v>5491</v>
      </c>
      <c r="C2176" s="257" t="s">
        <v>89</v>
      </c>
      <c r="D2176" s="259" t="s">
        <v>15434</v>
      </c>
      <c r="E2176" s="210" t="s">
        <v>201</v>
      </c>
    </row>
    <row r="2177" spans="1:5" ht="27">
      <c r="A2177" s="258">
        <v>91599</v>
      </c>
      <c r="B2177" s="257" t="s">
        <v>5492</v>
      </c>
      <c r="C2177" s="257" t="s">
        <v>89</v>
      </c>
      <c r="D2177" s="259" t="s">
        <v>15435</v>
      </c>
      <c r="E2177" s="210" t="s">
        <v>201</v>
      </c>
    </row>
    <row r="2178" spans="1:5" ht="13.5">
      <c r="A2178" s="258">
        <v>91600</v>
      </c>
      <c r="B2178" s="257" t="s">
        <v>5493</v>
      </c>
      <c r="C2178" s="257" t="s">
        <v>89</v>
      </c>
      <c r="D2178" s="259" t="s">
        <v>15436</v>
      </c>
      <c r="E2178" s="210" t="s">
        <v>201</v>
      </c>
    </row>
    <row r="2179" spans="1:5" ht="27">
      <c r="A2179" s="258">
        <v>91601</v>
      </c>
      <c r="B2179" s="257" t="s">
        <v>5494</v>
      </c>
      <c r="C2179" s="257" t="s">
        <v>89</v>
      </c>
      <c r="D2179" s="259" t="s">
        <v>14353</v>
      </c>
      <c r="E2179" s="210" t="s">
        <v>201</v>
      </c>
    </row>
    <row r="2180" spans="1:5" ht="27">
      <c r="A2180" s="258">
        <v>91602</v>
      </c>
      <c r="B2180" s="257" t="s">
        <v>5495</v>
      </c>
      <c r="C2180" s="257" t="s">
        <v>89</v>
      </c>
      <c r="D2180" s="259" t="s">
        <v>15437</v>
      </c>
      <c r="E2180" s="210" t="s">
        <v>201</v>
      </c>
    </row>
    <row r="2181" spans="1:5" ht="27">
      <c r="A2181" s="258">
        <v>91603</v>
      </c>
      <c r="B2181" s="257" t="s">
        <v>5496</v>
      </c>
      <c r="C2181" s="257" t="s">
        <v>89</v>
      </c>
      <c r="D2181" s="259" t="s">
        <v>15438</v>
      </c>
      <c r="E2181" s="210" t="s">
        <v>201</v>
      </c>
    </row>
    <row r="2182" spans="1:5" ht="27">
      <c r="A2182" s="258">
        <v>92759</v>
      </c>
      <c r="B2182" s="257" t="s">
        <v>1780</v>
      </c>
      <c r="C2182" s="257" t="s">
        <v>89</v>
      </c>
      <c r="D2182" s="259" t="s">
        <v>15439</v>
      </c>
      <c r="E2182" s="210" t="s">
        <v>201</v>
      </c>
    </row>
    <row r="2183" spans="1:5" ht="27">
      <c r="A2183" s="258">
        <v>92760</v>
      </c>
      <c r="B2183" s="257" t="s">
        <v>1781</v>
      </c>
      <c r="C2183" s="257" t="s">
        <v>89</v>
      </c>
      <c r="D2183" s="259" t="s">
        <v>15440</v>
      </c>
      <c r="E2183" s="210" t="s">
        <v>201</v>
      </c>
    </row>
    <row r="2184" spans="1:5" ht="27">
      <c r="A2184" s="258">
        <v>92761</v>
      </c>
      <c r="B2184" s="257" t="s">
        <v>1782</v>
      </c>
      <c r="C2184" s="257" t="s">
        <v>89</v>
      </c>
      <c r="D2184" s="259" t="s">
        <v>15441</v>
      </c>
      <c r="E2184" s="210" t="s">
        <v>201</v>
      </c>
    </row>
    <row r="2185" spans="1:5" ht="27">
      <c r="A2185" s="258">
        <v>92762</v>
      </c>
      <c r="B2185" s="257" t="s">
        <v>1783</v>
      </c>
      <c r="C2185" s="257" t="s">
        <v>89</v>
      </c>
      <c r="D2185" s="259" t="s">
        <v>13637</v>
      </c>
      <c r="E2185" s="210" t="s">
        <v>201</v>
      </c>
    </row>
    <row r="2186" spans="1:5" ht="27">
      <c r="A2186" s="258">
        <v>92763</v>
      </c>
      <c r="B2186" s="257" t="s">
        <v>1784</v>
      </c>
      <c r="C2186" s="257" t="s">
        <v>89</v>
      </c>
      <c r="D2186" s="259" t="s">
        <v>15442</v>
      </c>
      <c r="E2186" s="210" t="s">
        <v>201</v>
      </c>
    </row>
    <row r="2187" spans="1:5" ht="27">
      <c r="A2187" s="258">
        <v>92764</v>
      </c>
      <c r="B2187" s="257" t="s">
        <v>1785</v>
      </c>
      <c r="C2187" s="257" t="s">
        <v>89</v>
      </c>
      <c r="D2187" s="259" t="s">
        <v>15443</v>
      </c>
      <c r="E2187" s="210" t="s">
        <v>201</v>
      </c>
    </row>
    <row r="2188" spans="1:5" ht="27">
      <c r="A2188" s="258">
        <v>92765</v>
      </c>
      <c r="B2188" s="257" t="s">
        <v>1786</v>
      </c>
      <c r="C2188" s="257" t="s">
        <v>89</v>
      </c>
      <c r="D2188" s="259" t="s">
        <v>15444</v>
      </c>
      <c r="E2188" s="210" t="s">
        <v>201</v>
      </c>
    </row>
    <row r="2189" spans="1:5" ht="27">
      <c r="A2189" s="258">
        <v>92766</v>
      </c>
      <c r="B2189" s="257" t="s">
        <v>1787</v>
      </c>
      <c r="C2189" s="257" t="s">
        <v>89</v>
      </c>
      <c r="D2189" s="259" t="s">
        <v>13844</v>
      </c>
      <c r="E2189" s="210" t="s">
        <v>201</v>
      </c>
    </row>
    <row r="2190" spans="1:5" ht="27">
      <c r="A2190" s="258">
        <v>92767</v>
      </c>
      <c r="B2190" s="257" t="s">
        <v>1788</v>
      </c>
      <c r="C2190" s="257" t="s">
        <v>89</v>
      </c>
      <c r="D2190" s="259" t="s">
        <v>13820</v>
      </c>
      <c r="E2190" s="210" t="s">
        <v>201</v>
      </c>
    </row>
    <row r="2191" spans="1:5" ht="27">
      <c r="A2191" s="258">
        <v>92768</v>
      </c>
      <c r="B2191" s="257" t="s">
        <v>1789</v>
      </c>
      <c r="C2191" s="257" t="s">
        <v>89</v>
      </c>
      <c r="D2191" s="259" t="s">
        <v>15445</v>
      </c>
      <c r="E2191" s="210" t="s">
        <v>201</v>
      </c>
    </row>
    <row r="2192" spans="1:5" ht="27">
      <c r="A2192" s="258">
        <v>92769</v>
      </c>
      <c r="B2192" s="257" t="s">
        <v>1790</v>
      </c>
      <c r="C2192" s="257" t="s">
        <v>89</v>
      </c>
      <c r="D2192" s="259" t="s">
        <v>15446</v>
      </c>
      <c r="E2192" s="210" t="s">
        <v>201</v>
      </c>
    </row>
    <row r="2193" spans="1:5" ht="27">
      <c r="A2193" s="257">
        <v>92770</v>
      </c>
      <c r="B2193" s="257" t="s">
        <v>1791</v>
      </c>
      <c r="C2193" s="257" t="s">
        <v>89</v>
      </c>
      <c r="D2193" s="259" t="s">
        <v>15447</v>
      </c>
      <c r="E2193" s="210" t="s">
        <v>201</v>
      </c>
    </row>
    <row r="2194" spans="1:5" ht="27">
      <c r="A2194" s="258">
        <v>92771</v>
      </c>
      <c r="B2194" s="257" t="s">
        <v>1792</v>
      </c>
      <c r="C2194" s="257" t="s">
        <v>89</v>
      </c>
      <c r="D2194" s="259" t="s">
        <v>15448</v>
      </c>
      <c r="E2194" s="210" t="s">
        <v>201</v>
      </c>
    </row>
    <row r="2195" spans="1:5" ht="27">
      <c r="A2195" s="258">
        <v>92772</v>
      </c>
      <c r="B2195" s="257" t="s">
        <v>1793</v>
      </c>
      <c r="C2195" s="257" t="s">
        <v>89</v>
      </c>
      <c r="D2195" s="259" t="s">
        <v>15449</v>
      </c>
      <c r="E2195" s="210" t="s">
        <v>201</v>
      </c>
    </row>
    <row r="2196" spans="1:5" ht="27">
      <c r="A2196" s="258">
        <v>92773</v>
      </c>
      <c r="B2196" s="257" t="s">
        <v>1794</v>
      </c>
      <c r="C2196" s="257" t="s">
        <v>89</v>
      </c>
      <c r="D2196" s="259" t="s">
        <v>13631</v>
      </c>
      <c r="E2196" s="210" t="s">
        <v>201</v>
      </c>
    </row>
    <row r="2197" spans="1:5" ht="27">
      <c r="A2197" s="258">
        <v>92774</v>
      </c>
      <c r="B2197" s="257" t="s">
        <v>1795</v>
      </c>
      <c r="C2197" s="257" t="s">
        <v>89</v>
      </c>
      <c r="D2197" s="259" t="s">
        <v>14932</v>
      </c>
      <c r="E2197" s="210" t="s">
        <v>201</v>
      </c>
    </row>
    <row r="2198" spans="1:5" ht="27">
      <c r="A2198" s="258">
        <v>92775</v>
      </c>
      <c r="B2198" s="257" t="s">
        <v>1796</v>
      </c>
      <c r="C2198" s="257" t="s">
        <v>89</v>
      </c>
      <c r="D2198" s="259" t="s">
        <v>15450</v>
      </c>
      <c r="E2198" s="210" t="s">
        <v>201</v>
      </c>
    </row>
    <row r="2199" spans="1:5" ht="27">
      <c r="A2199" s="258">
        <v>92776</v>
      </c>
      <c r="B2199" s="257" t="s">
        <v>1797</v>
      </c>
      <c r="C2199" s="257" t="s">
        <v>89</v>
      </c>
      <c r="D2199" s="259" t="s">
        <v>15451</v>
      </c>
      <c r="E2199" s="210" t="s">
        <v>201</v>
      </c>
    </row>
    <row r="2200" spans="1:5" ht="27">
      <c r="A2200" s="258">
        <v>92777</v>
      </c>
      <c r="B2200" s="257" t="s">
        <v>1798</v>
      </c>
      <c r="C2200" s="257" t="s">
        <v>89</v>
      </c>
      <c r="D2200" s="259" t="s">
        <v>15452</v>
      </c>
      <c r="E2200" s="210" t="s">
        <v>201</v>
      </c>
    </row>
    <row r="2201" spans="1:5" ht="27">
      <c r="A2201" s="258">
        <v>92778</v>
      </c>
      <c r="B2201" s="257" t="s">
        <v>1799</v>
      </c>
      <c r="C2201" s="257" t="s">
        <v>89</v>
      </c>
      <c r="D2201" s="259" t="s">
        <v>15453</v>
      </c>
      <c r="E2201" s="210" t="s">
        <v>201</v>
      </c>
    </row>
    <row r="2202" spans="1:5" ht="27">
      <c r="A2202" s="258">
        <v>92779</v>
      </c>
      <c r="B2202" s="257" t="s">
        <v>1800</v>
      </c>
      <c r="C2202" s="257" t="s">
        <v>89</v>
      </c>
      <c r="D2202" s="259" t="s">
        <v>15454</v>
      </c>
      <c r="E2202" s="210" t="s">
        <v>201</v>
      </c>
    </row>
    <row r="2203" spans="1:5" ht="27">
      <c r="A2203" s="258">
        <v>92780</v>
      </c>
      <c r="B2203" s="257" t="s">
        <v>1801</v>
      </c>
      <c r="C2203" s="257" t="s">
        <v>89</v>
      </c>
      <c r="D2203" s="259" t="s">
        <v>15455</v>
      </c>
      <c r="E2203" s="210" t="s">
        <v>201</v>
      </c>
    </row>
    <row r="2204" spans="1:5" ht="27">
      <c r="A2204" s="258">
        <v>92781</v>
      </c>
      <c r="B2204" s="257" t="s">
        <v>1802</v>
      </c>
      <c r="C2204" s="257" t="s">
        <v>89</v>
      </c>
      <c r="D2204" s="259" t="s">
        <v>15456</v>
      </c>
      <c r="E2204" s="210" t="s">
        <v>201</v>
      </c>
    </row>
    <row r="2205" spans="1:5" ht="27">
      <c r="A2205" s="258">
        <v>92782</v>
      </c>
      <c r="B2205" s="257" t="s">
        <v>1803</v>
      </c>
      <c r="C2205" s="257" t="s">
        <v>89</v>
      </c>
      <c r="D2205" s="259" t="s">
        <v>15444</v>
      </c>
      <c r="E2205" s="210" t="s">
        <v>201</v>
      </c>
    </row>
    <row r="2206" spans="1:5" ht="27">
      <c r="A2206" s="258">
        <v>92783</v>
      </c>
      <c r="B2206" s="257" t="s">
        <v>1804</v>
      </c>
      <c r="C2206" s="257" t="s">
        <v>89</v>
      </c>
      <c r="D2206" s="259" t="s">
        <v>15457</v>
      </c>
      <c r="E2206" s="210" t="s">
        <v>201</v>
      </c>
    </row>
    <row r="2207" spans="1:5" ht="27">
      <c r="A2207" s="258">
        <v>92784</v>
      </c>
      <c r="B2207" s="257" t="s">
        <v>1805</v>
      </c>
      <c r="C2207" s="257" t="s">
        <v>89</v>
      </c>
      <c r="D2207" s="259" t="s">
        <v>15458</v>
      </c>
      <c r="E2207" s="210" t="s">
        <v>201</v>
      </c>
    </row>
    <row r="2208" spans="1:5" ht="27">
      <c r="A2208" s="258">
        <v>92785</v>
      </c>
      <c r="B2208" s="257" t="s">
        <v>1806</v>
      </c>
      <c r="C2208" s="257" t="s">
        <v>89</v>
      </c>
      <c r="D2208" s="259" t="s">
        <v>13545</v>
      </c>
      <c r="E2208" s="210" t="s">
        <v>201</v>
      </c>
    </row>
    <row r="2209" spans="1:5" ht="27">
      <c r="A2209" s="258">
        <v>92786</v>
      </c>
      <c r="B2209" s="257" t="s">
        <v>1807</v>
      </c>
      <c r="C2209" s="257" t="s">
        <v>89</v>
      </c>
      <c r="D2209" s="259" t="s">
        <v>15436</v>
      </c>
      <c r="E2209" s="210" t="s">
        <v>201</v>
      </c>
    </row>
    <row r="2210" spans="1:5" ht="27">
      <c r="A2210" s="258">
        <v>92787</v>
      </c>
      <c r="B2210" s="257" t="s">
        <v>1808</v>
      </c>
      <c r="C2210" s="257" t="s">
        <v>89</v>
      </c>
      <c r="D2210" s="259" t="s">
        <v>15459</v>
      </c>
      <c r="E2210" s="210" t="s">
        <v>201</v>
      </c>
    </row>
    <row r="2211" spans="1:5" ht="27">
      <c r="A2211" s="258">
        <v>92788</v>
      </c>
      <c r="B2211" s="257" t="s">
        <v>1809</v>
      </c>
      <c r="C2211" s="257" t="s">
        <v>89</v>
      </c>
      <c r="D2211" s="259" t="s">
        <v>15460</v>
      </c>
      <c r="E2211" s="210" t="s">
        <v>201</v>
      </c>
    </row>
    <row r="2212" spans="1:5" ht="27">
      <c r="A2212" s="258">
        <v>92789</v>
      </c>
      <c r="B2212" s="257" t="s">
        <v>1810</v>
      </c>
      <c r="C2212" s="257" t="s">
        <v>89</v>
      </c>
      <c r="D2212" s="259" t="s">
        <v>15461</v>
      </c>
      <c r="E2212" s="210" t="s">
        <v>201</v>
      </c>
    </row>
    <row r="2213" spans="1:5" ht="27">
      <c r="A2213" s="258">
        <v>92790</v>
      </c>
      <c r="B2213" s="257" t="s">
        <v>1811</v>
      </c>
      <c r="C2213" s="257" t="s">
        <v>89</v>
      </c>
      <c r="D2213" s="259" t="s">
        <v>15462</v>
      </c>
      <c r="E2213" s="210" t="s">
        <v>201</v>
      </c>
    </row>
    <row r="2214" spans="1:5" ht="27">
      <c r="A2214" s="258">
        <v>92791</v>
      </c>
      <c r="B2214" s="257" t="s">
        <v>1812</v>
      </c>
      <c r="C2214" s="257" t="s">
        <v>89</v>
      </c>
      <c r="D2214" s="259" t="s">
        <v>15438</v>
      </c>
      <c r="E2214" s="210" t="s">
        <v>201</v>
      </c>
    </row>
    <row r="2215" spans="1:5" ht="27">
      <c r="A2215" s="258">
        <v>92792</v>
      </c>
      <c r="B2215" s="257" t="s">
        <v>1813</v>
      </c>
      <c r="C2215" s="257" t="s">
        <v>89</v>
      </c>
      <c r="D2215" s="259" t="s">
        <v>15463</v>
      </c>
      <c r="E2215" s="210" t="s">
        <v>201</v>
      </c>
    </row>
    <row r="2216" spans="1:5" ht="27">
      <c r="A2216" s="258">
        <v>92793</v>
      </c>
      <c r="B2216" s="257" t="s">
        <v>1814</v>
      </c>
      <c r="C2216" s="257" t="s">
        <v>89</v>
      </c>
      <c r="D2216" s="259" t="s">
        <v>15464</v>
      </c>
      <c r="E2216" s="210" t="s">
        <v>201</v>
      </c>
    </row>
    <row r="2217" spans="1:5" ht="27">
      <c r="A2217" s="258">
        <v>92794</v>
      </c>
      <c r="B2217" s="257" t="s">
        <v>1815</v>
      </c>
      <c r="C2217" s="257" t="s">
        <v>89</v>
      </c>
      <c r="D2217" s="259" t="s">
        <v>15465</v>
      </c>
      <c r="E2217" s="210" t="s">
        <v>201</v>
      </c>
    </row>
    <row r="2218" spans="1:5" ht="27">
      <c r="A2218" s="258">
        <v>92795</v>
      </c>
      <c r="B2218" s="257" t="s">
        <v>1816</v>
      </c>
      <c r="C2218" s="257" t="s">
        <v>89</v>
      </c>
      <c r="D2218" s="259" t="s">
        <v>15466</v>
      </c>
      <c r="E2218" s="210" t="s">
        <v>201</v>
      </c>
    </row>
    <row r="2219" spans="1:5" ht="27">
      <c r="A2219" s="258">
        <v>92796</v>
      </c>
      <c r="B2219" s="257" t="s">
        <v>1817</v>
      </c>
      <c r="C2219" s="257" t="s">
        <v>89</v>
      </c>
      <c r="D2219" s="259" t="s">
        <v>14132</v>
      </c>
      <c r="E2219" s="210" t="s">
        <v>201</v>
      </c>
    </row>
    <row r="2220" spans="1:5" ht="27">
      <c r="A2220" s="258">
        <v>92797</v>
      </c>
      <c r="B2220" s="257" t="s">
        <v>1818</v>
      </c>
      <c r="C2220" s="257" t="s">
        <v>89</v>
      </c>
      <c r="D2220" s="259" t="s">
        <v>15467</v>
      </c>
      <c r="E2220" s="210" t="s">
        <v>201</v>
      </c>
    </row>
    <row r="2221" spans="1:5" ht="27">
      <c r="A2221" s="258">
        <v>92798</v>
      </c>
      <c r="B2221" s="257" t="s">
        <v>1819</v>
      </c>
      <c r="C2221" s="257" t="s">
        <v>89</v>
      </c>
      <c r="D2221" s="259" t="s">
        <v>15468</v>
      </c>
      <c r="E2221" s="210" t="s">
        <v>201</v>
      </c>
    </row>
    <row r="2222" spans="1:5" ht="13.5">
      <c r="A2222" s="258">
        <v>92799</v>
      </c>
      <c r="B2222" s="257" t="s">
        <v>1820</v>
      </c>
      <c r="C2222" s="257" t="s">
        <v>89</v>
      </c>
      <c r="D2222" s="259" t="s">
        <v>15469</v>
      </c>
      <c r="E2222" s="210" t="s">
        <v>201</v>
      </c>
    </row>
    <row r="2223" spans="1:5" ht="13.5">
      <c r="A2223" s="258">
        <v>92800</v>
      </c>
      <c r="B2223" s="257" t="s">
        <v>1821</v>
      </c>
      <c r="C2223" s="257" t="s">
        <v>89</v>
      </c>
      <c r="D2223" s="259" t="s">
        <v>15462</v>
      </c>
      <c r="E2223" s="210" t="s">
        <v>201</v>
      </c>
    </row>
    <row r="2224" spans="1:5" ht="13.5">
      <c r="A2224" s="258">
        <v>92801</v>
      </c>
      <c r="B2224" s="257" t="s">
        <v>1822</v>
      </c>
      <c r="C2224" s="257" t="s">
        <v>89</v>
      </c>
      <c r="D2224" s="259" t="s">
        <v>15470</v>
      </c>
      <c r="E2224" s="210" t="s">
        <v>201</v>
      </c>
    </row>
    <row r="2225" spans="1:5" ht="13.5">
      <c r="A2225" s="258">
        <v>92802</v>
      </c>
      <c r="B2225" s="257" t="s">
        <v>1823</v>
      </c>
      <c r="C2225" s="257" t="s">
        <v>89</v>
      </c>
      <c r="D2225" s="259" t="s">
        <v>15471</v>
      </c>
      <c r="E2225" s="210" t="s">
        <v>201</v>
      </c>
    </row>
    <row r="2226" spans="1:5" ht="13.5">
      <c r="A2226" s="258">
        <v>92803</v>
      </c>
      <c r="B2226" s="257" t="s">
        <v>1824</v>
      </c>
      <c r="C2226" s="257" t="s">
        <v>89</v>
      </c>
      <c r="D2226" s="259" t="s">
        <v>15472</v>
      </c>
      <c r="E2226" s="210" t="s">
        <v>201</v>
      </c>
    </row>
    <row r="2227" spans="1:5" ht="13.5">
      <c r="A2227" s="258">
        <v>92804</v>
      </c>
      <c r="B2227" s="257" t="s">
        <v>1825</v>
      </c>
      <c r="C2227" s="257" t="s">
        <v>89</v>
      </c>
      <c r="D2227" s="259" t="s">
        <v>14467</v>
      </c>
      <c r="E2227" s="210" t="s">
        <v>201</v>
      </c>
    </row>
    <row r="2228" spans="1:5" ht="13.5">
      <c r="A2228" s="258">
        <v>92805</v>
      </c>
      <c r="B2228" s="257" t="s">
        <v>1826</v>
      </c>
      <c r="C2228" s="257" t="s">
        <v>89</v>
      </c>
      <c r="D2228" s="259" t="s">
        <v>15473</v>
      </c>
      <c r="E2228" s="210" t="s">
        <v>201</v>
      </c>
    </row>
    <row r="2229" spans="1:5" ht="13.5">
      <c r="A2229" s="258">
        <v>92806</v>
      </c>
      <c r="B2229" s="257" t="s">
        <v>1827</v>
      </c>
      <c r="C2229" s="257" t="s">
        <v>89</v>
      </c>
      <c r="D2229" s="259" t="s">
        <v>15468</v>
      </c>
      <c r="E2229" s="210" t="s">
        <v>201</v>
      </c>
    </row>
    <row r="2230" spans="1:5" ht="13.5">
      <c r="A2230" s="258">
        <v>92875</v>
      </c>
      <c r="B2230" s="257" t="s">
        <v>1828</v>
      </c>
      <c r="C2230" s="257" t="s">
        <v>89</v>
      </c>
      <c r="D2230" s="259" t="s">
        <v>14594</v>
      </c>
      <c r="E2230" s="210" t="s">
        <v>201</v>
      </c>
    </row>
    <row r="2231" spans="1:5" ht="13.5">
      <c r="A2231" s="258">
        <v>92876</v>
      </c>
      <c r="B2231" s="257" t="s">
        <v>1829</v>
      </c>
      <c r="C2231" s="257" t="s">
        <v>89</v>
      </c>
      <c r="D2231" s="259" t="s">
        <v>15465</v>
      </c>
      <c r="E2231" s="210" t="s">
        <v>201</v>
      </c>
    </row>
    <row r="2232" spans="1:5" ht="13.5">
      <c r="A2232" s="258">
        <v>92877</v>
      </c>
      <c r="B2232" s="257" t="s">
        <v>1830</v>
      </c>
      <c r="C2232" s="257" t="s">
        <v>89</v>
      </c>
      <c r="D2232" s="259" t="s">
        <v>15474</v>
      </c>
      <c r="E2232" s="210" t="s">
        <v>201</v>
      </c>
    </row>
    <row r="2233" spans="1:5" ht="13.5">
      <c r="A2233" s="258">
        <v>92878</v>
      </c>
      <c r="B2233" s="257" t="s">
        <v>1831</v>
      </c>
      <c r="C2233" s="257" t="s">
        <v>89</v>
      </c>
      <c r="D2233" s="259" t="s">
        <v>15475</v>
      </c>
      <c r="E2233" s="210" t="s">
        <v>201</v>
      </c>
    </row>
    <row r="2234" spans="1:5" ht="13.5">
      <c r="A2234" s="258">
        <v>92879</v>
      </c>
      <c r="B2234" s="257" t="s">
        <v>1832</v>
      </c>
      <c r="C2234" s="257" t="s">
        <v>89</v>
      </c>
      <c r="D2234" s="259" t="s">
        <v>15476</v>
      </c>
      <c r="E2234" s="210" t="s">
        <v>201</v>
      </c>
    </row>
    <row r="2235" spans="1:5" ht="13.5">
      <c r="A2235" s="258">
        <v>92880</v>
      </c>
      <c r="B2235" s="257" t="s">
        <v>1833</v>
      </c>
      <c r="C2235" s="257" t="s">
        <v>89</v>
      </c>
      <c r="D2235" s="259" t="s">
        <v>15477</v>
      </c>
      <c r="E2235" s="210" t="s">
        <v>201</v>
      </c>
    </row>
    <row r="2236" spans="1:5" ht="13.5">
      <c r="A2236" s="258">
        <v>92881</v>
      </c>
      <c r="B2236" s="257" t="s">
        <v>1834</v>
      </c>
      <c r="C2236" s="257" t="s">
        <v>89</v>
      </c>
      <c r="D2236" s="259" t="s">
        <v>15478</v>
      </c>
      <c r="E2236" s="210" t="s">
        <v>201</v>
      </c>
    </row>
    <row r="2237" spans="1:5" ht="13.5">
      <c r="A2237" s="258">
        <v>92882</v>
      </c>
      <c r="B2237" s="257" t="s">
        <v>1835</v>
      </c>
      <c r="C2237" s="257" t="s">
        <v>89</v>
      </c>
      <c r="D2237" s="259" t="s">
        <v>15479</v>
      </c>
      <c r="E2237" s="210" t="s">
        <v>201</v>
      </c>
    </row>
    <row r="2238" spans="1:5" ht="13.5">
      <c r="A2238" s="258">
        <v>92883</v>
      </c>
      <c r="B2238" s="257" t="s">
        <v>1836</v>
      </c>
      <c r="C2238" s="257" t="s">
        <v>89</v>
      </c>
      <c r="D2238" s="259" t="s">
        <v>15480</v>
      </c>
      <c r="E2238" s="210" t="s">
        <v>201</v>
      </c>
    </row>
    <row r="2239" spans="1:5" ht="13.5">
      <c r="A2239" s="258">
        <v>92884</v>
      </c>
      <c r="B2239" s="257" t="s">
        <v>1837</v>
      </c>
      <c r="C2239" s="257" t="s">
        <v>89</v>
      </c>
      <c r="D2239" s="259" t="s">
        <v>15481</v>
      </c>
      <c r="E2239" s="210" t="s">
        <v>201</v>
      </c>
    </row>
    <row r="2240" spans="1:5" ht="13.5">
      <c r="A2240" s="258">
        <v>92885</v>
      </c>
      <c r="B2240" s="257" t="s">
        <v>1838</v>
      </c>
      <c r="C2240" s="257" t="s">
        <v>89</v>
      </c>
      <c r="D2240" s="259" t="s">
        <v>13838</v>
      </c>
      <c r="E2240" s="210" t="s">
        <v>201</v>
      </c>
    </row>
    <row r="2241" spans="1:5" ht="13.5">
      <c r="A2241" s="258">
        <v>92886</v>
      </c>
      <c r="B2241" s="257" t="s">
        <v>1839</v>
      </c>
      <c r="C2241" s="257" t="s">
        <v>89</v>
      </c>
      <c r="D2241" s="259" t="s">
        <v>14648</v>
      </c>
      <c r="E2241" s="210" t="s">
        <v>201</v>
      </c>
    </row>
    <row r="2242" spans="1:5" ht="13.5">
      <c r="A2242" s="258">
        <v>92887</v>
      </c>
      <c r="B2242" s="257" t="s">
        <v>1840</v>
      </c>
      <c r="C2242" s="257" t="s">
        <v>89</v>
      </c>
      <c r="D2242" s="259" t="s">
        <v>15482</v>
      </c>
      <c r="E2242" s="210" t="s">
        <v>201</v>
      </c>
    </row>
    <row r="2243" spans="1:5" ht="13.5">
      <c r="A2243" s="258">
        <v>92888</v>
      </c>
      <c r="B2243" s="257" t="s">
        <v>1841</v>
      </c>
      <c r="C2243" s="257" t="s">
        <v>89</v>
      </c>
      <c r="D2243" s="259" t="s">
        <v>15220</v>
      </c>
      <c r="E2243" s="210" t="s">
        <v>201</v>
      </c>
    </row>
    <row r="2244" spans="1:5" ht="27">
      <c r="A2244" s="258">
        <v>92915</v>
      </c>
      <c r="B2244" s="257" t="s">
        <v>4682</v>
      </c>
      <c r="C2244" s="257" t="s">
        <v>89</v>
      </c>
      <c r="D2244" s="259" t="s">
        <v>15483</v>
      </c>
      <c r="E2244" s="210" t="s">
        <v>201</v>
      </c>
    </row>
    <row r="2245" spans="1:5" ht="27">
      <c r="A2245" s="258">
        <v>92916</v>
      </c>
      <c r="B2245" s="257" t="s">
        <v>4683</v>
      </c>
      <c r="C2245" s="257" t="s">
        <v>89</v>
      </c>
      <c r="D2245" s="259" t="s">
        <v>15427</v>
      </c>
      <c r="E2245" s="210" t="s">
        <v>201</v>
      </c>
    </row>
    <row r="2246" spans="1:5" ht="27">
      <c r="A2246" s="258">
        <v>92917</v>
      </c>
      <c r="B2246" s="257" t="s">
        <v>4684</v>
      </c>
      <c r="C2246" s="257" t="s">
        <v>89</v>
      </c>
      <c r="D2246" s="259" t="s">
        <v>15484</v>
      </c>
      <c r="E2246" s="210" t="s">
        <v>201</v>
      </c>
    </row>
    <row r="2247" spans="1:5" ht="27">
      <c r="A2247" s="258">
        <v>92919</v>
      </c>
      <c r="B2247" s="257" t="s">
        <v>4685</v>
      </c>
      <c r="C2247" s="257" t="s">
        <v>89</v>
      </c>
      <c r="D2247" s="259" t="s">
        <v>15485</v>
      </c>
      <c r="E2247" s="210" t="s">
        <v>201</v>
      </c>
    </row>
    <row r="2248" spans="1:5" ht="27">
      <c r="A2248" s="258">
        <v>92921</v>
      </c>
      <c r="B2248" s="257" t="s">
        <v>4686</v>
      </c>
      <c r="C2248" s="257" t="s">
        <v>89</v>
      </c>
      <c r="D2248" s="259" t="s">
        <v>13764</v>
      </c>
      <c r="E2248" s="210" t="s">
        <v>201</v>
      </c>
    </row>
    <row r="2249" spans="1:5" ht="27">
      <c r="A2249" s="258">
        <v>92922</v>
      </c>
      <c r="B2249" s="257" t="s">
        <v>4687</v>
      </c>
      <c r="C2249" s="257" t="s">
        <v>89</v>
      </c>
      <c r="D2249" s="259" t="s">
        <v>15476</v>
      </c>
      <c r="E2249" s="210" t="s">
        <v>201</v>
      </c>
    </row>
    <row r="2250" spans="1:5" ht="27">
      <c r="A2250" s="258">
        <v>92923</v>
      </c>
      <c r="B2250" s="257" t="s">
        <v>4688</v>
      </c>
      <c r="C2250" s="257" t="s">
        <v>89</v>
      </c>
      <c r="D2250" s="259" t="s">
        <v>13542</v>
      </c>
      <c r="E2250" s="210" t="s">
        <v>201</v>
      </c>
    </row>
    <row r="2251" spans="1:5" ht="27">
      <c r="A2251" s="258">
        <v>92924</v>
      </c>
      <c r="B2251" s="257" t="s">
        <v>4689</v>
      </c>
      <c r="C2251" s="257" t="s">
        <v>89</v>
      </c>
      <c r="D2251" s="259" t="s">
        <v>15486</v>
      </c>
      <c r="E2251" s="210" t="s">
        <v>201</v>
      </c>
    </row>
    <row r="2252" spans="1:5" ht="27">
      <c r="A2252" s="258">
        <v>95445</v>
      </c>
      <c r="B2252" s="257" t="s">
        <v>1842</v>
      </c>
      <c r="C2252" s="257" t="s">
        <v>89</v>
      </c>
      <c r="D2252" s="259" t="s">
        <v>15487</v>
      </c>
      <c r="E2252" s="210" t="s">
        <v>201</v>
      </c>
    </row>
    <row r="2253" spans="1:5" ht="27">
      <c r="A2253" s="258">
        <v>95446</v>
      </c>
      <c r="B2253" s="257" t="s">
        <v>1843</v>
      </c>
      <c r="C2253" s="257" t="s">
        <v>89</v>
      </c>
      <c r="D2253" s="259" t="s">
        <v>15468</v>
      </c>
      <c r="E2253" s="210" t="s">
        <v>201</v>
      </c>
    </row>
    <row r="2254" spans="1:5" ht="27">
      <c r="A2254" s="258">
        <v>95448</v>
      </c>
      <c r="B2254" s="257" t="s">
        <v>15488</v>
      </c>
      <c r="C2254" s="257" t="s">
        <v>89</v>
      </c>
      <c r="D2254" s="259" t="s">
        <v>15455</v>
      </c>
      <c r="E2254" s="210" t="s">
        <v>201</v>
      </c>
    </row>
    <row r="2255" spans="1:5" ht="27">
      <c r="A2255" s="258">
        <v>95576</v>
      </c>
      <c r="B2255" s="257" t="s">
        <v>4690</v>
      </c>
      <c r="C2255" s="257" t="s">
        <v>89</v>
      </c>
      <c r="D2255" s="259" t="s">
        <v>15489</v>
      </c>
      <c r="E2255" s="210" t="s">
        <v>201</v>
      </c>
    </row>
    <row r="2256" spans="1:5" ht="27">
      <c r="A2256" s="258">
        <v>95577</v>
      </c>
      <c r="B2256" s="257" t="s">
        <v>1844</v>
      </c>
      <c r="C2256" s="257" t="s">
        <v>89</v>
      </c>
      <c r="D2256" s="259" t="s">
        <v>15490</v>
      </c>
      <c r="E2256" s="210" t="s">
        <v>201</v>
      </c>
    </row>
    <row r="2257" spans="1:5" ht="27">
      <c r="A2257" s="258">
        <v>95578</v>
      </c>
      <c r="B2257" s="257" t="s">
        <v>4691</v>
      </c>
      <c r="C2257" s="257" t="s">
        <v>89</v>
      </c>
      <c r="D2257" s="259" t="s">
        <v>15491</v>
      </c>
      <c r="E2257" s="210" t="s">
        <v>201</v>
      </c>
    </row>
    <row r="2258" spans="1:5" ht="27">
      <c r="A2258" s="257">
        <v>95579</v>
      </c>
      <c r="B2258" s="257" t="s">
        <v>1845</v>
      </c>
      <c r="C2258" s="257" t="s">
        <v>89</v>
      </c>
      <c r="D2258" s="259" t="s">
        <v>15492</v>
      </c>
      <c r="E2258" s="210" t="s">
        <v>201</v>
      </c>
    </row>
    <row r="2259" spans="1:5" ht="27">
      <c r="A2259" s="257">
        <v>95580</v>
      </c>
      <c r="B2259" s="257" t="s">
        <v>1846</v>
      </c>
      <c r="C2259" s="257" t="s">
        <v>89</v>
      </c>
      <c r="D2259" s="259" t="s">
        <v>15430</v>
      </c>
      <c r="E2259" s="210" t="s">
        <v>201</v>
      </c>
    </row>
    <row r="2260" spans="1:5" ht="27">
      <c r="A2260" s="257">
        <v>95581</v>
      </c>
      <c r="B2260" s="257" t="s">
        <v>1847</v>
      </c>
      <c r="C2260" s="257" t="s">
        <v>89</v>
      </c>
      <c r="D2260" s="259" t="s">
        <v>13542</v>
      </c>
      <c r="E2260" s="210" t="s">
        <v>201</v>
      </c>
    </row>
    <row r="2261" spans="1:5" ht="13.5">
      <c r="A2261" s="257">
        <v>95583</v>
      </c>
      <c r="B2261" s="257" t="s">
        <v>1848</v>
      </c>
      <c r="C2261" s="257" t="s">
        <v>89</v>
      </c>
      <c r="D2261" s="259" t="s">
        <v>14473</v>
      </c>
      <c r="E2261" s="210" t="s">
        <v>201</v>
      </c>
    </row>
    <row r="2262" spans="1:5" ht="13.5">
      <c r="A2262" s="257">
        <v>95584</v>
      </c>
      <c r="B2262" s="257" t="s">
        <v>1849</v>
      </c>
      <c r="C2262" s="257" t="s">
        <v>89</v>
      </c>
      <c r="D2262" s="259" t="s">
        <v>15493</v>
      </c>
      <c r="E2262" s="210" t="s">
        <v>201</v>
      </c>
    </row>
    <row r="2263" spans="1:5" ht="27">
      <c r="A2263" s="257">
        <v>95585</v>
      </c>
      <c r="B2263" s="257" t="s">
        <v>4692</v>
      </c>
      <c r="C2263" s="257" t="s">
        <v>89</v>
      </c>
      <c r="D2263" s="259" t="s">
        <v>15494</v>
      </c>
      <c r="E2263" s="210" t="s">
        <v>201</v>
      </c>
    </row>
    <row r="2264" spans="1:5" ht="27">
      <c r="A2264" s="257">
        <v>95586</v>
      </c>
      <c r="B2264" s="257" t="s">
        <v>1850</v>
      </c>
      <c r="C2264" s="257" t="s">
        <v>89</v>
      </c>
      <c r="D2264" s="259" t="s">
        <v>15495</v>
      </c>
      <c r="E2264" s="210" t="s">
        <v>201</v>
      </c>
    </row>
    <row r="2265" spans="1:5" ht="27">
      <c r="A2265" s="257">
        <v>95587</v>
      </c>
      <c r="B2265" s="257" t="s">
        <v>4693</v>
      </c>
      <c r="C2265" s="257" t="s">
        <v>89</v>
      </c>
      <c r="D2265" s="259" t="s">
        <v>14238</v>
      </c>
      <c r="E2265" s="210" t="s">
        <v>201</v>
      </c>
    </row>
    <row r="2266" spans="1:5" ht="27">
      <c r="A2266" s="257">
        <v>95588</v>
      </c>
      <c r="B2266" s="257" t="s">
        <v>1851</v>
      </c>
      <c r="C2266" s="257" t="s">
        <v>89</v>
      </c>
      <c r="D2266" s="259" t="s">
        <v>15496</v>
      </c>
      <c r="E2266" s="210" t="s">
        <v>201</v>
      </c>
    </row>
    <row r="2267" spans="1:5" ht="27">
      <c r="A2267" s="258">
        <v>95589</v>
      </c>
      <c r="B2267" s="257" t="s">
        <v>1852</v>
      </c>
      <c r="C2267" s="257" t="s">
        <v>89</v>
      </c>
      <c r="D2267" s="259" t="s">
        <v>15497</v>
      </c>
      <c r="E2267" s="210" t="s">
        <v>201</v>
      </c>
    </row>
    <row r="2268" spans="1:5" ht="27">
      <c r="A2268" s="258">
        <v>95590</v>
      </c>
      <c r="B2268" s="257" t="s">
        <v>1853</v>
      </c>
      <c r="C2268" s="257" t="s">
        <v>89</v>
      </c>
      <c r="D2268" s="259" t="s">
        <v>13874</v>
      </c>
      <c r="E2268" s="210" t="s">
        <v>201</v>
      </c>
    </row>
    <row r="2269" spans="1:5" ht="27">
      <c r="A2269" s="258">
        <v>95592</v>
      </c>
      <c r="B2269" s="257" t="s">
        <v>1854</v>
      </c>
      <c r="C2269" s="257" t="s">
        <v>89</v>
      </c>
      <c r="D2269" s="259" t="s">
        <v>15498</v>
      </c>
      <c r="E2269" s="210" t="s">
        <v>201</v>
      </c>
    </row>
    <row r="2270" spans="1:5" ht="27">
      <c r="A2270" s="257">
        <v>95593</v>
      </c>
      <c r="B2270" s="257" t="s">
        <v>1855</v>
      </c>
      <c r="C2270" s="257" t="s">
        <v>89</v>
      </c>
      <c r="D2270" s="259" t="s">
        <v>15499</v>
      </c>
      <c r="E2270" s="210" t="s">
        <v>201</v>
      </c>
    </row>
    <row r="2271" spans="1:5" ht="27">
      <c r="A2271" s="257">
        <v>95943</v>
      </c>
      <c r="B2271" s="257" t="s">
        <v>1856</v>
      </c>
      <c r="C2271" s="257" t="s">
        <v>89</v>
      </c>
      <c r="D2271" s="259" t="s">
        <v>15393</v>
      </c>
      <c r="E2271" s="210" t="s">
        <v>201</v>
      </c>
    </row>
    <row r="2272" spans="1:5" ht="27">
      <c r="A2272" s="258">
        <v>95944</v>
      </c>
      <c r="B2272" s="257" t="s">
        <v>1857</v>
      </c>
      <c r="C2272" s="257" t="s">
        <v>89</v>
      </c>
      <c r="D2272" s="259" t="s">
        <v>15500</v>
      </c>
      <c r="E2272" s="210" t="s">
        <v>201</v>
      </c>
    </row>
    <row r="2273" spans="1:5" ht="27">
      <c r="A2273" s="258">
        <v>95945</v>
      </c>
      <c r="B2273" s="257" t="s">
        <v>1858</v>
      </c>
      <c r="C2273" s="257" t="s">
        <v>89</v>
      </c>
      <c r="D2273" s="259" t="s">
        <v>15501</v>
      </c>
      <c r="E2273" s="210" t="s">
        <v>201</v>
      </c>
    </row>
    <row r="2274" spans="1:5" ht="27">
      <c r="A2274" s="258">
        <v>95946</v>
      </c>
      <c r="B2274" s="257" t="s">
        <v>1859</v>
      </c>
      <c r="C2274" s="257" t="s">
        <v>89</v>
      </c>
      <c r="D2274" s="259" t="s">
        <v>14177</v>
      </c>
      <c r="E2274" s="210" t="s">
        <v>201</v>
      </c>
    </row>
    <row r="2275" spans="1:5" ht="27">
      <c r="A2275" s="258">
        <v>95947</v>
      </c>
      <c r="B2275" s="257" t="s">
        <v>1860</v>
      </c>
      <c r="C2275" s="257" t="s">
        <v>89</v>
      </c>
      <c r="D2275" s="259" t="s">
        <v>14932</v>
      </c>
      <c r="E2275" s="210" t="s">
        <v>201</v>
      </c>
    </row>
    <row r="2276" spans="1:5" ht="27">
      <c r="A2276" s="258">
        <v>95948</v>
      </c>
      <c r="B2276" s="257" t="s">
        <v>1861</v>
      </c>
      <c r="C2276" s="257" t="s">
        <v>89</v>
      </c>
      <c r="D2276" s="259" t="s">
        <v>15502</v>
      </c>
      <c r="E2276" s="210" t="s">
        <v>201</v>
      </c>
    </row>
    <row r="2277" spans="1:5" ht="27">
      <c r="A2277" s="258">
        <v>96544</v>
      </c>
      <c r="B2277" s="257" t="s">
        <v>1862</v>
      </c>
      <c r="C2277" s="257" t="s">
        <v>89</v>
      </c>
      <c r="D2277" s="259" t="s">
        <v>15503</v>
      </c>
      <c r="E2277" s="210" t="s">
        <v>201</v>
      </c>
    </row>
    <row r="2278" spans="1:5" ht="13.5">
      <c r="A2278" s="258">
        <v>96545</v>
      </c>
      <c r="B2278" s="257" t="s">
        <v>1863</v>
      </c>
      <c r="C2278" s="257" t="s">
        <v>89</v>
      </c>
      <c r="D2278" s="259" t="s">
        <v>15504</v>
      </c>
      <c r="E2278" s="210" t="s">
        <v>201</v>
      </c>
    </row>
    <row r="2279" spans="1:5" ht="27">
      <c r="A2279" s="258">
        <v>96546</v>
      </c>
      <c r="B2279" s="257" t="s">
        <v>1864</v>
      </c>
      <c r="C2279" s="257" t="s">
        <v>89</v>
      </c>
      <c r="D2279" s="259" t="s">
        <v>15505</v>
      </c>
      <c r="E2279" s="210" t="s">
        <v>201</v>
      </c>
    </row>
    <row r="2280" spans="1:5" ht="27">
      <c r="A2280" s="258">
        <v>96547</v>
      </c>
      <c r="B2280" s="257" t="s">
        <v>1865</v>
      </c>
      <c r="C2280" s="257" t="s">
        <v>89</v>
      </c>
      <c r="D2280" s="259" t="s">
        <v>15506</v>
      </c>
      <c r="E2280" s="210" t="s">
        <v>201</v>
      </c>
    </row>
    <row r="2281" spans="1:5" ht="27">
      <c r="A2281" s="258">
        <v>96548</v>
      </c>
      <c r="B2281" s="257" t="s">
        <v>1866</v>
      </c>
      <c r="C2281" s="257" t="s">
        <v>89</v>
      </c>
      <c r="D2281" s="259" t="s">
        <v>15491</v>
      </c>
      <c r="E2281" s="210" t="s">
        <v>201</v>
      </c>
    </row>
    <row r="2282" spans="1:5" ht="27">
      <c r="A2282" s="258">
        <v>96549</v>
      </c>
      <c r="B2282" s="257" t="s">
        <v>1867</v>
      </c>
      <c r="C2282" s="257" t="s">
        <v>89</v>
      </c>
      <c r="D2282" s="259" t="s">
        <v>14138</v>
      </c>
      <c r="E2282" s="210" t="s">
        <v>201</v>
      </c>
    </row>
    <row r="2283" spans="1:5" ht="27">
      <c r="A2283" s="258">
        <v>96550</v>
      </c>
      <c r="B2283" s="257" t="s">
        <v>1868</v>
      </c>
      <c r="C2283" s="257" t="s">
        <v>89</v>
      </c>
      <c r="D2283" s="259" t="s">
        <v>15507</v>
      </c>
      <c r="E2283" s="210" t="s">
        <v>201</v>
      </c>
    </row>
    <row r="2284" spans="1:5" ht="27">
      <c r="A2284" s="258">
        <v>100066</v>
      </c>
      <c r="B2284" s="257" t="s">
        <v>5497</v>
      </c>
      <c r="C2284" s="257" t="s">
        <v>89</v>
      </c>
      <c r="D2284" s="259" t="s">
        <v>15508</v>
      </c>
      <c r="E2284" s="210" t="s">
        <v>201</v>
      </c>
    </row>
    <row r="2285" spans="1:5" ht="27">
      <c r="A2285" s="258">
        <v>100067</v>
      </c>
      <c r="B2285" s="257" t="s">
        <v>5498</v>
      </c>
      <c r="C2285" s="257" t="s">
        <v>89</v>
      </c>
      <c r="D2285" s="259" t="s">
        <v>15509</v>
      </c>
      <c r="E2285" s="210" t="s">
        <v>201</v>
      </c>
    </row>
    <row r="2286" spans="1:5" ht="27">
      <c r="A2286" s="258">
        <v>100068</v>
      </c>
      <c r="B2286" s="257" t="s">
        <v>5499</v>
      </c>
      <c r="C2286" s="257" t="s">
        <v>89</v>
      </c>
      <c r="D2286" s="259" t="s">
        <v>15461</v>
      </c>
      <c r="E2286" s="210" t="s">
        <v>201</v>
      </c>
    </row>
    <row r="2287" spans="1:5" ht="13.5">
      <c r="A2287" s="258">
        <v>40780</v>
      </c>
      <c r="B2287" s="257" t="s">
        <v>1869</v>
      </c>
      <c r="C2287" s="257" t="s">
        <v>150</v>
      </c>
      <c r="D2287" s="259" t="s">
        <v>13545</v>
      </c>
      <c r="E2287" s="210" t="s">
        <v>201</v>
      </c>
    </row>
    <row r="2288" spans="1:5" ht="13.5">
      <c r="A2288" s="258" t="s">
        <v>1870</v>
      </c>
      <c r="B2288" s="257" t="s">
        <v>279</v>
      </c>
      <c r="C2288" s="257" t="s">
        <v>172</v>
      </c>
      <c r="D2288" s="259" t="s">
        <v>15510</v>
      </c>
      <c r="E2288" s="210" t="s">
        <v>201</v>
      </c>
    </row>
    <row r="2289" spans="1:5" ht="13.5">
      <c r="A2289" s="258">
        <v>89993</v>
      </c>
      <c r="B2289" s="257" t="s">
        <v>1871</v>
      </c>
      <c r="C2289" s="257" t="s">
        <v>172</v>
      </c>
      <c r="D2289" s="259" t="s">
        <v>15511</v>
      </c>
      <c r="E2289" s="210" t="s">
        <v>201</v>
      </c>
    </row>
    <row r="2290" spans="1:5" ht="13.5">
      <c r="A2290" s="258">
        <v>89994</v>
      </c>
      <c r="B2290" s="257" t="s">
        <v>1872</v>
      </c>
      <c r="C2290" s="257" t="s">
        <v>172</v>
      </c>
      <c r="D2290" s="259" t="s">
        <v>15512</v>
      </c>
      <c r="E2290" s="210" t="s">
        <v>201</v>
      </c>
    </row>
    <row r="2291" spans="1:5" ht="13.5">
      <c r="A2291" s="258">
        <v>89995</v>
      </c>
      <c r="B2291" s="257" t="s">
        <v>1873</v>
      </c>
      <c r="C2291" s="257" t="s">
        <v>172</v>
      </c>
      <c r="D2291" s="259" t="s">
        <v>15513</v>
      </c>
      <c r="E2291" s="210" t="s">
        <v>201</v>
      </c>
    </row>
    <row r="2292" spans="1:5" ht="27">
      <c r="A2292" s="258">
        <v>90278</v>
      </c>
      <c r="B2292" s="257" t="s">
        <v>1874</v>
      </c>
      <c r="C2292" s="257" t="s">
        <v>172</v>
      </c>
      <c r="D2292" s="259" t="s">
        <v>15514</v>
      </c>
      <c r="E2292" s="210" t="s">
        <v>201</v>
      </c>
    </row>
    <row r="2293" spans="1:5" ht="27">
      <c r="A2293" s="258">
        <v>90279</v>
      </c>
      <c r="B2293" s="257" t="s">
        <v>1875</v>
      </c>
      <c r="C2293" s="257" t="s">
        <v>172</v>
      </c>
      <c r="D2293" s="259" t="s">
        <v>15515</v>
      </c>
      <c r="E2293" s="210" t="s">
        <v>201</v>
      </c>
    </row>
    <row r="2294" spans="1:5" ht="27">
      <c r="A2294" s="258">
        <v>90280</v>
      </c>
      <c r="B2294" s="257" t="s">
        <v>1876</v>
      </c>
      <c r="C2294" s="257" t="s">
        <v>172</v>
      </c>
      <c r="D2294" s="259" t="s">
        <v>15516</v>
      </c>
      <c r="E2294" s="210" t="s">
        <v>201</v>
      </c>
    </row>
    <row r="2295" spans="1:5" ht="27">
      <c r="A2295" s="258">
        <v>90281</v>
      </c>
      <c r="B2295" s="257" t="s">
        <v>1877</v>
      </c>
      <c r="C2295" s="257" t="s">
        <v>172</v>
      </c>
      <c r="D2295" s="259" t="s">
        <v>15517</v>
      </c>
      <c r="E2295" s="210" t="s">
        <v>201</v>
      </c>
    </row>
    <row r="2296" spans="1:5" ht="27">
      <c r="A2296" s="258">
        <v>90282</v>
      </c>
      <c r="B2296" s="257" t="s">
        <v>1878</v>
      </c>
      <c r="C2296" s="257" t="s">
        <v>172</v>
      </c>
      <c r="D2296" s="259" t="s">
        <v>15518</v>
      </c>
      <c r="E2296" s="210" t="s">
        <v>201</v>
      </c>
    </row>
    <row r="2297" spans="1:5" ht="27">
      <c r="A2297" s="258">
        <v>90283</v>
      </c>
      <c r="B2297" s="257" t="s">
        <v>1879</v>
      </c>
      <c r="C2297" s="257" t="s">
        <v>172</v>
      </c>
      <c r="D2297" s="259" t="s">
        <v>15519</v>
      </c>
      <c r="E2297" s="210" t="s">
        <v>201</v>
      </c>
    </row>
    <row r="2298" spans="1:5" ht="27">
      <c r="A2298" s="257">
        <v>90284</v>
      </c>
      <c r="B2298" s="257" t="s">
        <v>1880</v>
      </c>
      <c r="C2298" s="257" t="s">
        <v>172</v>
      </c>
      <c r="D2298" s="259" t="s">
        <v>15520</v>
      </c>
      <c r="E2298" s="210" t="s">
        <v>201</v>
      </c>
    </row>
    <row r="2299" spans="1:5" ht="27">
      <c r="A2299" s="258">
        <v>90285</v>
      </c>
      <c r="B2299" s="257" t="s">
        <v>1881</v>
      </c>
      <c r="C2299" s="257" t="s">
        <v>172</v>
      </c>
      <c r="D2299" s="259" t="s">
        <v>15521</v>
      </c>
      <c r="E2299" s="210" t="s">
        <v>201</v>
      </c>
    </row>
    <row r="2300" spans="1:5" ht="27">
      <c r="A2300" s="258">
        <v>90853</v>
      </c>
      <c r="B2300" s="257" t="s">
        <v>5500</v>
      </c>
      <c r="C2300" s="257" t="s">
        <v>172</v>
      </c>
      <c r="D2300" s="259" t="s">
        <v>15522</v>
      </c>
      <c r="E2300" s="210" t="s">
        <v>201</v>
      </c>
    </row>
    <row r="2301" spans="1:5" ht="27">
      <c r="A2301" s="258">
        <v>90854</v>
      </c>
      <c r="B2301" s="257" t="s">
        <v>5501</v>
      </c>
      <c r="C2301" s="257" t="s">
        <v>172</v>
      </c>
      <c r="D2301" s="259" t="s">
        <v>15523</v>
      </c>
      <c r="E2301" s="210" t="s">
        <v>201</v>
      </c>
    </row>
    <row r="2302" spans="1:5" ht="40.5">
      <c r="A2302" s="258">
        <v>90855</v>
      </c>
      <c r="B2302" s="257" t="s">
        <v>5502</v>
      </c>
      <c r="C2302" s="257" t="s">
        <v>172</v>
      </c>
      <c r="D2302" s="259" t="s">
        <v>15524</v>
      </c>
      <c r="E2302" s="210" t="s">
        <v>201</v>
      </c>
    </row>
    <row r="2303" spans="1:5" ht="27">
      <c r="A2303" s="258">
        <v>90856</v>
      </c>
      <c r="B2303" s="257" t="s">
        <v>5503</v>
      </c>
      <c r="C2303" s="257" t="s">
        <v>172</v>
      </c>
      <c r="D2303" s="260" t="s">
        <v>15525</v>
      </c>
      <c r="E2303" s="210" t="s">
        <v>201</v>
      </c>
    </row>
    <row r="2304" spans="1:5" ht="40.5">
      <c r="A2304" s="258">
        <v>90857</v>
      </c>
      <c r="B2304" s="257" t="s">
        <v>5504</v>
      </c>
      <c r="C2304" s="257" t="s">
        <v>172</v>
      </c>
      <c r="D2304" s="260" t="s">
        <v>13878</v>
      </c>
      <c r="E2304" s="210" t="s">
        <v>201</v>
      </c>
    </row>
    <row r="2305" spans="1:5" ht="40.5">
      <c r="A2305" s="258">
        <v>90858</v>
      </c>
      <c r="B2305" s="257" t="s">
        <v>5505</v>
      </c>
      <c r="C2305" s="257" t="s">
        <v>172</v>
      </c>
      <c r="D2305" s="260" t="s">
        <v>15526</v>
      </c>
      <c r="E2305" s="210" t="s">
        <v>201</v>
      </c>
    </row>
    <row r="2306" spans="1:5" ht="40.5">
      <c r="A2306" s="258">
        <v>90859</v>
      </c>
      <c r="B2306" s="257" t="s">
        <v>5506</v>
      </c>
      <c r="C2306" s="257" t="s">
        <v>172</v>
      </c>
      <c r="D2306" s="260" t="s">
        <v>15527</v>
      </c>
      <c r="E2306" s="210" t="s">
        <v>201</v>
      </c>
    </row>
    <row r="2307" spans="1:5" ht="40.5">
      <c r="A2307" s="258">
        <v>90860</v>
      </c>
      <c r="B2307" s="257" t="s">
        <v>5507</v>
      </c>
      <c r="C2307" s="257" t="s">
        <v>172</v>
      </c>
      <c r="D2307" s="260" t="s">
        <v>15528</v>
      </c>
      <c r="E2307" s="210" t="s">
        <v>201</v>
      </c>
    </row>
    <row r="2308" spans="1:5" ht="27">
      <c r="A2308" s="258">
        <v>90861</v>
      </c>
      <c r="B2308" s="257" t="s">
        <v>5508</v>
      </c>
      <c r="C2308" s="257" t="s">
        <v>172</v>
      </c>
      <c r="D2308" s="260" t="s">
        <v>15529</v>
      </c>
      <c r="E2308" s="210" t="s">
        <v>201</v>
      </c>
    </row>
    <row r="2309" spans="1:5" ht="27">
      <c r="A2309" s="258">
        <v>90862</v>
      </c>
      <c r="B2309" s="257" t="s">
        <v>5509</v>
      </c>
      <c r="C2309" s="257" t="s">
        <v>172</v>
      </c>
      <c r="D2309" s="260" t="s">
        <v>15530</v>
      </c>
      <c r="E2309" s="210" t="s">
        <v>201</v>
      </c>
    </row>
    <row r="2310" spans="1:5" ht="27">
      <c r="A2310" s="258">
        <v>92718</v>
      </c>
      <c r="B2310" s="257" t="s">
        <v>1882</v>
      </c>
      <c r="C2310" s="257" t="s">
        <v>172</v>
      </c>
      <c r="D2310" s="260" t="s">
        <v>15531</v>
      </c>
      <c r="E2310" s="210" t="s">
        <v>201</v>
      </c>
    </row>
    <row r="2311" spans="1:5" ht="27">
      <c r="A2311" s="258">
        <v>92719</v>
      </c>
      <c r="B2311" s="257" t="s">
        <v>1883</v>
      </c>
      <c r="C2311" s="257" t="s">
        <v>172</v>
      </c>
      <c r="D2311" s="260" t="s">
        <v>15532</v>
      </c>
      <c r="E2311" s="210" t="s">
        <v>201</v>
      </c>
    </row>
    <row r="2312" spans="1:5" ht="27">
      <c r="A2312" s="258">
        <v>92720</v>
      </c>
      <c r="B2312" s="257" t="s">
        <v>1884</v>
      </c>
      <c r="C2312" s="257" t="s">
        <v>172</v>
      </c>
      <c r="D2312" s="260" t="s">
        <v>15533</v>
      </c>
      <c r="E2312" s="210" t="s">
        <v>201</v>
      </c>
    </row>
    <row r="2313" spans="1:5" ht="27">
      <c r="A2313" s="258">
        <v>92721</v>
      </c>
      <c r="B2313" s="257" t="s">
        <v>1885</v>
      </c>
      <c r="C2313" s="257" t="s">
        <v>172</v>
      </c>
      <c r="D2313" s="260" t="s">
        <v>15534</v>
      </c>
      <c r="E2313" s="210" t="s">
        <v>201</v>
      </c>
    </row>
    <row r="2314" spans="1:5" ht="27">
      <c r="A2314" s="258">
        <v>92722</v>
      </c>
      <c r="B2314" s="257" t="s">
        <v>1886</v>
      </c>
      <c r="C2314" s="257" t="s">
        <v>172</v>
      </c>
      <c r="D2314" s="260" t="s">
        <v>15535</v>
      </c>
      <c r="E2314" s="210" t="s">
        <v>201</v>
      </c>
    </row>
    <row r="2315" spans="1:5" ht="40.5">
      <c r="A2315" s="258">
        <v>92723</v>
      </c>
      <c r="B2315" s="257" t="s">
        <v>1887</v>
      </c>
      <c r="C2315" s="257" t="s">
        <v>172</v>
      </c>
      <c r="D2315" s="260" t="s">
        <v>15536</v>
      </c>
      <c r="E2315" s="210" t="s">
        <v>201</v>
      </c>
    </row>
    <row r="2316" spans="1:5" ht="40.5">
      <c r="A2316" s="258">
        <v>92724</v>
      </c>
      <c r="B2316" s="257" t="s">
        <v>1888</v>
      </c>
      <c r="C2316" s="257" t="s">
        <v>172</v>
      </c>
      <c r="D2316" s="260" t="s">
        <v>15537</v>
      </c>
      <c r="E2316" s="210" t="s">
        <v>201</v>
      </c>
    </row>
    <row r="2317" spans="1:5" ht="40.5">
      <c r="A2317" s="258">
        <v>92725</v>
      </c>
      <c r="B2317" s="257" t="s">
        <v>1889</v>
      </c>
      <c r="C2317" s="257" t="s">
        <v>172</v>
      </c>
      <c r="D2317" s="260" t="s">
        <v>15538</v>
      </c>
      <c r="E2317" s="210" t="s">
        <v>201</v>
      </c>
    </row>
    <row r="2318" spans="1:5" ht="40.5">
      <c r="A2318" s="258">
        <v>92726</v>
      </c>
      <c r="B2318" s="257" t="s">
        <v>287</v>
      </c>
      <c r="C2318" s="257" t="s">
        <v>172</v>
      </c>
      <c r="D2318" s="259" t="s">
        <v>15539</v>
      </c>
      <c r="E2318" s="210" t="s">
        <v>201</v>
      </c>
    </row>
    <row r="2319" spans="1:5" ht="40.5">
      <c r="A2319" s="258">
        <v>92727</v>
      </c>
      <c r="B2319" s="257" t="s">
        <v>1890</v>
      </c>
      <c r="C2319" s="257" t="s">
        <v>172</v>
      </c>
      <c r="D2319" s="259" t="s">
        <v>15540</v>
      </c>
      <c r="E2319" s="210" t="s">
        <v>201</v>
      </c>
    </row>
    <row r="2320" spans="1:5" ht="40.5">
      <c r="A2320" s="258">
        <v>92728</v>
      </c>
      <c r="B2320" s="257" t="s">
        <v>1891</v>
      </c>
      <c r="C2320" s="257" t="s">
        <v>172</v>
      </c>
      <c r="D2320" s="259" t="s">
        <v>15541</v>
      </c>
      <c r="E2320" s="210" t="s">
        <v>201</v>
      </c>
    </row>
    <row r="2321" spans="1:5" ht="40.5">
      <c r="A2321" s="258">
        <v>92729</v>
      </c>
      <c r="B2321" s="257" t="s">
        <v>5510</v>
      </c>
      <c r="C2321" s="257" t="s">
        <v>172</v>
      </c>
      <c r="D2321" s="259" t="s">
        <v>15542</v>
      </c>
      <c r="E2321" s="210" t="s">
        <v>201</v>
      </c>
    </row>
    <row r="2322" spans="1:5" ht="40.5">
      <c r="A2322" s="258">
        <v>92730</v>
      </c>
      <c r="B2322" s="257" t="s">
        <v>1892</v>
      </c>
      <c r="C2322" s="257" t="s">
        <v>172</v>
      </c>
      <c r="D2322" s="259" t="s">
        <v>15543</v>
      </c>
      <c r="E2322" s="210" t="s">
        <v>201</v>
      </c>
    </row>
    <row r="2323" spans="1:5" ht="40.5">
      <c r="A2323" s="258">
        <v>92731</v>
      </c>
      <c r="B2323" s="257" t="s">
        <v>1893</v>
      </c>
      <c r="C2323" s="257" t="s">
        <v>172</v>
      </c>
      <c r="D2323" s="259" t="s">
        <v>15544</v>
      </c>
      <c r="E2323" s="210" t="s">
        <v>201</v>
      </c>
    </row>
    <row r="2324" spans="1:5" ht="40.5">
      <c r="A2324" s="257">
        <v>92732</v>
      </c>
      <c r="B2324" s="257" t="s">
        <v>1894</v>
      </c>
      <c r="C2324" s="257" t="s">
        <v>172</v>
      </c>
      <c r="D2324" s="259" t="s">
        <v>15183</v>
      </c>
      <c r="E2324" s="210" t="s">
        <v>201</v>
      </c>
    </row>
    <row r="2325" spans="1:5" ht="40.5">
      <c r="A2325" s="257">
        <v>92733</v>
      </c>
      <c r="B2325" s="257" t="s">
        <v>1895</v>
      </c>
      <c r="C2325" s="257" t="s">
        <v>172</v>
      </c>
      <c r="D2325" s="259" t="s">
        <v>15545</v>
      </c>
      <c r="E2325" s="210" t="s">
        <v>201</v>
      </c>
    </row>
    <row r="2326" spans="1:5" ht="40.5">
      <c r="A2326" s="258">
        <v>92734</v>
      </c>
      <c r="B2326" s="257" t="s">
        <v>1896</v>
      </c>
      <c r="C2326" s="257" t="s">
        <v>172</v>
      </c>
      <c r="D2326" s="259" t="s">
        <v>15546</v>
      </c>
      <c r="E2326" s="210" t="s">
        <v>201</v>
      </c>
    </row>
    <row r="2327" spans="1:5" ht="40.5">
      <c r="A2327" s="258">
        <v>92735</v>
      </c>
      <c r="B2327" s="257" t="s">
        <v>1897</v>
      </c>
      <c r="C2327" s="257" t="s">
        <v>172</v>
      </c>
      <c r="D2327" s="259" t="s">
        <v>15547</v>
      </c>
      <c r="E2327" s="210" t="s">
        <v>201</v>
      </c>
    </row>
    <row r="2328" spans="1:5" ht="40.5">
      <c r="A2328" s="258">
        <v>92736</v>
      </c>
      <c r="B2328" s="257" t="s">
        <v>1898</v>
      </c>
      <c r="C2328" s="257" t="s">
        <v>172</v>
      </c>
      <c r="D2328" s="259" t="s">
        <v>15548</v>
      </c>
      <c r="E2328" s="210" t="s">
        <v>201</v>
      </c>
    </row>
    <row r="2329" spans="1:5" ht="40.5">
      <c r="A2329" s="257">
        <v>92739</v>
      </c>
      <c r="B2329" s="257" t="s">
        <v>1899</v>
      </c>
      <c r="C2329" s="257" t="s">
        <v>172</v>
      </c>
      <c r="D2329" s="259" t="s">
        <v>15549</v>
      </c>
      <c r="E2329" s="210" t="s">
        <v>201</v>
      </c>
    </row>
    <row r="2330" spans="1:5" ht="40.5">
      <c r="A2330" s="257">
        <v>92740</v>
      </c>
      <c r="B2330" s="257" t="s">
        <v>1900</v>
      </c>
      <c r="C2330" s="257" t="s">
        <v>172</v>
      </c>
      <c r="D2330" s="259" t="s">
        <v>15550</v>
      </c>
      <c r="E2330" s="210" t="s">
        <v>201</v>
      </c>
    </row>
    <row r="2331" spans="1:5" ht="40.5">
      <c r="A2331" s="258">
        <v>92741</v>
      </c>
      <c r="B2331" s="257" t="s">
        <v>1901</v>
      </c>
      <c r="C2331" s="257" t="s">
        <v>172</v>
      </c>
      <c r="D2331" s="259" t="s">
        <v>15551</v>
      </c>
      <c r="E2331" s="210" t="s">
        <v>201</v>
      </c>
    </row>
    <row r="2332" spans="1:5" ht="40.5">
      <c r="A2332" s="258">
        <v>92742</v>
      </c>
      <c r="B2332" s="257" t="s">
        <v>1902</v>
      </c>
      <c r="C2332" s="257" t="s">
        <v>172</v>
      </c>
      <c r="D2332" s="259" t="s">
        <v>15552</v>
      </c>
      <c r="E2332" s="210" t="s">
        <v>201</v>
      </c>
    </row>
    <row r="2333" spans="1:5" ht="13.5">
      <c r="A2333" s="257">
        <v>92873</v>
      </c>
      <c r="B2333" s="257" t="s">
        <v>126</v>
      </c>
      <c r="C2333" s="257" t="s">
        <v>172</v>
      </c>
      <c r="D2333" s="259" t="s">
        <v>15553</v>
      </c>
      <c r="E2333" s="210" t="s">
        <v>201</v>
      </c>
    </row>
    <row r="2334" spans="1:5" ht="13.5">
      <c r="A2334" s="257">
        <v>92874</v>
      </c>
      <c r="B2334" s="257" t="s">
        <v>1903</v>
      </c>
      <c r="C2334" s="257" t="s">
        <v>172</v>
      </c>
      <c r="D2334" s="259" t="s">
        <v>15554</v>
      </c>
      <c r="E2334" s="210" t="s">
        <v>201</v>
      </c>
    </row>
    <row r="2335" spans="1:5" ht="27">
      <c r="A2335" s="257">
        <v>94962</v>
      </c>
      <c r="B2335" s="257" t="s">
        <v>1904</v>
      </c>
      <c r="C2335" s="257" t="s">
        <v>172</v>
      </c>
      <c r="D2335" s="259" t="s">
        <v>15555</v>
      </c>
      <c r="E2335" s="210" t="s">
        <v>201</v>
      </c>
    </row>
    <row r="2336" spans="1:5" ht="27">
      <c r="A2336" s="257">
        <v>94963</v>
      </c>
      <c r="B2336" s="257" t="s">
        <v>1905</v>
      </c>
      <c r="C2336" s="257" t="s">
        <v>172</v>
      </c>
      <c r="D2336" s="259" t="s">
        <v>15556</v>
      </c>
      <c r="E2336" s="210" t="s">
        <v>201</v>
      </c>
    </row>
    <row r="2337" spans="1:5" ht="27">
      <c r="A2337" s="258">
        <v>94964</v>
      </c>
      <c r="B2337" s="257" t="s">
        <v>1906</v>
      </c>
      <c r="C2337" s="257" t="s">
        <v>172</v>
      </c>
      <c r="D2337" s="259" t="s">
        <v>15557</v>
      </c>
      <c r="E2337" s="210" t="s">
        <v>201</v>
      </c>
    </row>
    <row r="2338" spans="1:5" ht="27">
      <c r="A2338" s="258">
        <v>94965</v>
      </c>
      <c r="B2338" s="257" t="s">
        <v>1907</v>
      </c>
      <c r="C2338" s="257" t="s">
        <v>172</v>
      </c>
      <c r="D2338" s="259" t="s">
        <v>15558</v>
      </c>
      <c r="E2338" s="210" t="s">
        <v>201</v>
      </c>
    </row>
    <row r="2339" spans="1:5" ht="27">
      <c r="A2339" s="258">
        <v>94966</v>
      </c>
      <c r="B2339" s="257" t="s">
        <v>1908</v>
      </c>
      <c r="C2339" s="257" t="s">
        <v>172</v>
      </c>
      <c r="D2339" s="259" t="s">
        <v>15559</v>
      </c>
      <c r="E2339" s="210" t="s">
        <v>201</v>
      </c>
    </row>
    <row r="2340" spans="1:5" ht="27">
      <c r="A2340" s="257">
        <v>94967</v>
      </c>
      <c r="B2340" s="257" t="s">
        <v>1909</v>
      </c>
      <c r="C2340" s="257" t="s">
        <v>172</v>
      </c>
      <c r="D2340" s="259" t="s">
        <v>15560</v>
      </c>
      <c r="E2340" s="210" t="s">
        <v>201</v>
      </c>
    </row>
    <row r="2341" spans="1:5" ht="27">
      <c r="A2341" s="257">
        <v>94968</v>
      </c>
      <c r="B2341" s="257" t="s">
        <v>1910</v>
      </c>
      <c r="C2341" s="257" t="s">
        <v>172</v>
      </c>
      <c r="D2341" s="259" t="s">
        <v>15561</v>
      </c>
      <c r="E2341" s="210" t="s">
        <v>201</v>
      </c>
    </row>
    <row r="2342" spans="1:5" ht="27">
      <c r="A2342" s="258">
        <v>94969</v>
      </c>
      <c r="B2342" s="257" t="s">
        <v>1911</v>
      </c>
      <c r="C2342" s="257" t="s">
        <v>172</v>
      </c>
      <c r="D2342" s="259" t="s">
        <v>15562</v>
      </c>
      <c r="E2342" s="210" t="s">
        <v>201</v>
      </c>
    </row>
    <row r="2343" spans="1:5" ht="27">
      <c r="A2343" s="257">
        <v>94970</v>
      </c>
      <c r="B2343" s="257" t="s">
        <v>1912</v>
      </c>
      <c r="C2343" s="257" t="s">
        <v>172</v>
      </c>
      <c r="D2343" s="259" t="s">
        <v>15563</v>
      </c>
      <c r="E2343" s="210" t="s">
        <v>201</v>
      </c>
    </row>
    <row r="2344" spans="1:5" ht="27">
      <c r="A2344" s="257">
        <v>94971</v>
      </c>
      <c r="B2344" s="257" t="s">
        <v>1913</v>
      </c>
      <c r="C2344" s="257" t="s">
        <v>172</v>
      </c>
      <c r="D2344" s="259" t="s">
        <v>15564</v>
      </c>
      <c r="E2344" s="210" t="s">
        <v>201</v>
      </c>
    </row>
    <row r="2345" spans="1:5" ht="27">
      <c r="A2345" s="257">
        <v>94972</v>
      </c>
      <c r="B2345" s="257" t="s">
        <v>1914</v>
      </c>
      <c r="C2345" s="257" t="s">
        <v>172</v>
      </c>
      <c r="D2345" s="259" t="s">
        <v>15565</v>
      </c>
      <c r="E2345" s="210" t="s">
        <v>201</v>
      </c>
    </row>
    <row r="2346" spans="1:5" ht="27">
      <c r="A2346" s="257">
        <v>94973</v>
      </c>
      <c r="B2346" s="257" t="s">
        <v>1915</v>
      </c>
      <c r="C2346" s="257" t="s">
        <v>172</v>
      </c>
      <c r="D2346" s="259" t="s">
        <v>15566</v>
      </c>
      <c r="E2346" s="210" t="s">
        <v>201</v>
      </c>
    </row>
    <row r="2347" spans="1:5" ht="27">
      <c r="A2347" s="258">
        <v>94974</v>
      </c>
      <c r="B2347" s="257" t="s">
        <v>1916</v>
      </c>
      <c r="C2347" s="257" t="s">
        <v>172</v>
      </c>
      <c r="D2347" s="259" t="s">
        <v>15567</v>
      </c>
      <c r="E2347" s="210" t="s">
        <v>201</v>
      </c>
    </row>
    <row r="2348" spans="1:5" ht="27">
      <c r="A2348" s="258">
        <v>94975</v>
      </c>
      <c r="B2348" s="257" t="s">
        <v>1917</v>
      </c>
      <c r="C2348" s="257" t="s">
        <v>172</v>
      </c>
      <c r="D2348" s="259" t="s">
        <v>15568</v>
      </c>
      <c r="E2348" s="210" t="s">
        <v>201</v>
      </c>
    </row>
    <row r="2349" spans="1:5" ht="27">
      <c r="A2349" s="258">
        <v>96555</v>
      </c>
      <c r="B2349" s="257" t="s">
        <v>1918</v>
      </c>
      <c r="C2349" s="257" t="s">
        <v>172</v>
      </c>
      <c r="D2349" s="259" t="s">
        <v>15569</v>
      </c>
      <c r="E2349" s="210" t="s">
        <v>201</v>
      </c>
    </row>
    <row r="2350" spans="1:5" ht="27">
      <c r="A2350" s="258">
        <v>96556</v>
      </c>
      <c r="B2350" s="257" t="s">
        <v>1919</v>
      </c>
      <c r="C2350" s="257" t="s">
        <v>172</v>
      </c>
      <c r="D2350" s="259" t="s">
        <v>15570</v>
      </c>
      <c r="E2350" s="210" t="s">
        <v>201</v>
      </c>
    </row>
    <row r="2351" spans="1:5" ht="27">
      <c r="A2351" s="258">
        <v>96557</v>
      </c>
      <c r="B2351" s="257" t="s">
        <v>1920</v>
      </c>
      <c r="C2351" s="257" t="s">
        <v>172</v>
      </c>
      <c r="D2351" s="259" t="s">
        <v>15571</v>
      </c>
      <c r="E2351" s="210" t="s">
        <v>201</v>
      </c>
    </row>
    <row r="2352" spans="1:5" ht="27">
      <c r="A2352" s="258">
        <v>96558</v>
      </c>
      <c r="B2352" s="257" t="s">
        <v>1921</v>
      </c>
      <c r="C2352" s="257" t="s">
        <v>172</v>
      </c>
      <c r="D2352" s="259" t="s">
        <v>15572</v>
      </c>
      <c r="E2352" s="210" t="s">
        <v>201</v>
      </c>
    </row>
    <row r="2353" spans="1:5" ht="27">
      <c r="A2353" s="258">
        <v>99235</v>
      </c>
      <c r="B2353" s="257" t="s">
        <v>5511</v>
      </c>
      <c r="C2353" s="257" t="s">
        <v>172</v>
      </c>
      <c r="D2353" s="259" t="s">
        <v>15573</v>
      </c>
      <c r="E2353" s="210" t="s">
        <v>201</v>
      </c>
    </row>
    <row r="2354" spans="1:5" ht="40.5">
      <c r="A2354" s="258">
        <v>99431</v>
      </c>
      <c r="B2354" s="257" t="s">
        <v>5512</v>
      </c>
      <c r="C2354" s="257" t="s">
        <v>172</v>
      </c>
      <c r="D2354" s="259" t="s">
        <v>15574</v>
      </c>
      <c r="E2354" s="210" t="s">
        <v>201</v>
      </c>
    </row>
    <row r="2355" spans="1:5" ht="40.5">
      <c r="A2355" s="258">
        <v>99432</v>
      </c>
      <c r="B2355" s="257" t="s">
        <v>5513</v>
      </c>
      <c r="C2355" s="257" t="s">
        <v>172</v>
      </c>
      <c r="D2355" s="259" t="s">
        <v>15575</v>
      </c>
      <c r="E2355" s="210" t="s">
        <v>201</v>
      </c>
    </row>
    <row r="2356" spans="1:5" ht="40.5">
      <c r="A2356" s="258">
        <v>99433</v>
      </c>
      <c r="B2356" s="257" t="s">
        <v>5514</v>
      </c>
      <c r="C2356" s="257" t="s">
        <v>172</v>
      </c>
      <c r="D2356" s="259" t="s">
        <v>15576</v>
      </c>
      <c r="E2356" s="210" t="s">
        <v>201</v>
      </c>
    </row>
    <row r="2357" spans="1:5" ht="40.5">
      <c r="A2357" s="258">
        <v>99434</v>
      </c>
      <c r="B2357" s="257" t="s">
        <v>5515</v>
      </c>
      <c r="C2357" s="257" t="s">
        <v>172</v>
      </c>
      <c r="D2357" s="259" t="s">
        <v>15577</v>
      </c>
      <c r="E2357" s="210" t="s">
        <v>201</v>
      </c>
    </row>
    <row r="2358" spans="1:5" ht="40.5">
      <c r="A2358" s="258">
        <v>99435</v>
      </c>
      <c r="B2358" s="257" t="s">
        <v>5516</v>
      </c>
      <c r="C2358" s="257" t="s">
        <v>172</v>
      </c>
      <c r="D2358" s="259" t="s">
        <v>15578</v>
      </c>
      <c r="E2358" s="210" t="s">
        <v>201</v>
      </c>
    </row>
    <row r="2359" spans="1:5" ht="40.5">
      <c r="A2359" s="258">
        <v>99436</v>
      </c>
      <c r="B2359" s="257" t="s">
        <v>5517</v>
      </c>
      <c r="C2359" s="257" t="s">
        <v>172</v>
      </c>
      <c r="D2359" s="259" t="s">
        <v>15579</v>
      </c>
      <c r="E2359" s="210" t="s">
        <v>201</v>
      </c>
    </row>
    <row r="2360" spans="1:5" ht="40.5">
      <c r="A2360" s="258">
        <v>99437</v>
      </c>
      <c r="B2360" s="257" t="s">
        <v>5518</v>
      </c>
      <c r="C2360" s="257" t="s">
        <v>172</v>
      </c>
      <c r="D2360" s="259" t="s">
        <v>15580</v>
      </c>
      <c r="E2360" s="210" t="s">
        <v>201</v>
      </c>
    </row>
    <row r="2361" spans="1:5" ht="40.5">
      <c r="A2361" s="258">
        <v>99438</v>
      </c>
      <c r="B2361" s="257" t="s">
        <v>5519</v>
      </c>
      <c r="C2361" s="257" t="s">
        <v>172</v>
      </c>
      <c r="D2361" s="259" t="s">
        <v>15581</v>
      </c>
      <c r="E2361" s="210" t="s">
        <v>201</v>
      </c>
    </row>
    <row r="2362" spans="1:5" ht="40.5">
      <c r="A2362" s="258">
        <v>99439</v>
      </c>
      <c r="B2362" s="257" t="s">
        <v>5520</v>
      </c>
      <c r="C2362" s="257" t="s">
        <v>172</v>
      </c>
      <c r="D2362" s="259" t="s">
        <v>15582</v>
      </c>
      <c r="E2362" s="210" t="s">
        <v>201</v>
      </c>
    </row>
    <row r="2363" spans="1:5" ht="27">
      <c r="A2363" s="258" t="s">
        <v>1922</v>
      </c>
      <c r="B2363" s="257" t="s">
        <v>1923</v>
      </c>
      <c r="C2363" s="257" t="s">
        <v>150</v>
      </c>
      <c r="D2363" s="259" t="s">
        <v>15583</v>
      </c>
      <c r="E2363" s="210" t="s">
        <v>201</v>
      </c>
    </row>
    <row r="2364" spans="1:5" ht="27">
      <c r="A2364" s="258" t="s">
        <v>1924</v>
      </c>
      <c r="B2364" s="257" t="s">
        <v>1925</v>
      </c>
      <c r="C2364" s="257" t="s">
        <v>150</v>
      </c>
      <c r="D2364" s="259" t="s">
        <v>15584</v>
      </c>
      <c r="E2364" s="210" t="s">
        <v>201</v>
      </c>
    </row>
    <row r="2365" spans="1:5" ht="27">
      <c r="A2365" s="258" t="s">
        <v>1926</v>
      </c>
      <c r="B2365" s="257" t="s">
        <v>1927</v>
      </c>
      <c r="C2365" s="257" t="s">
        <v>150</v>
      </c>
      <c r="D2365" s="259" t="s">
        <v>15585</v>
      </c>
      <c r="E2365" s="210" t="s">
        <v>201</v>
      </c>
    </row>
    <row r="2366" spans="1:5" ht="27">
      <c r="A2366" s="258" t="s">
        <v>1928</v>
      </c>
      <c r="B2366" s="257" t="s">
        <v>1929</v>
      </c>
      <c r="C2366" s="257" t="s">
        <v>150</v>
      </c>
      <c r="D2366" s="259" t="s">
        <v>15586</v>
      </c>
      <c r="E2366" s="210" t="s">
        <v>201</v>
      </c>
    </row>
    <row r="2367" spans="1:5" ht="27">
      <c r="A2367" s="258" t="s">
        <v>1930</v>
      </c>
      <c r="B2367" s="257" t="s">
        <v>286</v>
      </c>
      <c r="C2367" s="257" t="s">
        <v>150</v>
      </c>
      <c r="D2367" s="259" t="s">
        <v>15587</v>
      </c>
      <c r="E2367" s="210" t="s">
        <v>201</v>
      </c>
    </row>
    <row r="2368" spans="1:5" ht="27">
      <c r="A2368" s="258" t="s">
        <v>1931</v>
      </c>
      <c r="B2368" s="257" t="s">
        <v>1932</v>
      </c>
      <c r="C2368" s="257" t="s">
        <v>150</v>
      </c>
      <c r="D2368" s="259" t="s">
        <v>15588</v>
      </c>
      <c r="E2368" s="210" t="s">
        <v>201</v>
      </c>
    </row>
    <row r="2369" spans="1:5" ht="13.5">
      <c r="A2369" s="258" t="s">
        <v>1933</v>
      </c>
      <c r="B2369" s="257" t="s">
        <v>1934</v>
      </c>
      <c r="C2369" s="257" t="s">
        <v>172</v>
      </c>
      <c r="D2369" s="259" t="s">
        <v>15589</v>
      </c>
      <c r="E2369" s="210" t="s">
        <v>201</v>
      </c>
    </row>
    <row r="2370" spans="1:5" ht="13.5">
      <c r="A2370" s="258" t="s">
        <v>1935</v>
      </c>
      <c r="B2370" s="257" t="s">
        <v>1936</v>
      </c>
      <c r="C2370" s="257" t="s">
        <v>172</v>
      </c>
      <c r="D2370" s="259" t="s">
        <v>15590</v>
      </c>
      <c r="E2370" s="210" t="s">
        <v>201</v>
      </c>
    </row>
    <row r="2371" spans="1:5" ht="13.5">
      <c r="A2371" s="258" t="s">
        <v>1937</v>
      </c>
      <c r="B2371" s="257" t="s">
        <v>1938</v>
      </c>
      <c r="C2371" s="257" t="s">
        <v>150</v>
      </c>
      <c r="D2371" s="259" t="s">
        <v>15591</v>
      </c>
      <c r="E2371" s="210" t="s">
        <v>201</v>
      </c>
    </row>
    <row r="2372" spans="1:5" ht="13.5">
      <c r="A2372" s="258">
        <v>83518</v>
      </c>
      <c r="B2372" s="257" t="s">
        <v>1939</v>
      </c>
      <c r="C2372" s="257" t="s">
        <v>172</v>
      </c>
      <c r="D2372" s="259" t="s">
        <v>15592</v>
      </c>
      <c r="E2372" s="210" t="s">
        <v>201</v>
      </c>
    </row>
    <row r="2373" spans="1:5" ht="13.5">
      <c r="A2373" s="258">
        <v>95467</v>
      </c>
      <c r="B2373" s="257" t="s">
        <v>1940</v>
      </c>
      <c r="C2373" s="257" t="s">
        <v>172</v>
      </c>
      <c r="D2373" s="259" t="s">
        <v>15593</v>
      </c>
      <c r="E2373" s="210" t="s">
        <v>201</v>
      </c>
    </row>
    <row r="2374" spans="1:5" ht="13.5">
      <c r="A2374" s="258">
        <v>68328</v>
      </c>
      <c r="B2374" s="257" t="s">
        <v>1941</v>
      </c>
      <c r="C2374" s="257" t="s">
        <v>150</v>
      </c>
      <c r="D2374" s="259" t="s">
        <v>15594</v>
      </c>
      <c r="E2374" s="210" t="s">
        <v>201</v>
      </c>
    </row>
    <row r="2375" spans="1:5" ht="13.5">
      <c r="A2375" s="258" t="s">
        <v>1942</v>
      </c>
      <c r="B2375" s="257" t="s">
        <v>1943</v>
      </c>
      <c r="C2375" s="257" t="s">
        <v>5</v>
      </c>
      <c r="D2375" s="259" t="s">
        <v>15595</v>
      </c>
      <c r="E2375" s="210" t="s">
        <v>201</v>
      </c>
    </row>
    <row r="2376" spans="1:5" ht="13.5">
      <c r="A2376" s="258">
        <v>79471</v>
      </c>
      <c r="B2376" s="257" t="s">
        <v>1944</v>
      </c>
      <c r="C2376" s="257" t="s">
        <v>89</v>
      </c>
      <c r="D2376" s="259" t="s">
        <v>15596</v>
      </c>
      <c r="E2376" s="210" t="s">
        <v>201</v>
      </c>
    </row>
    <row r="2377" spans="1:5" ht="13.5">
      <c r="A2377" s="258">
        <v>98576</v>
      </c>
      <c r="B2377" s="257" t="s">
        <v>5521</v>
      </c>
      <c r="C2377" s="257" t="s">
        <v>5</v>
      </c>
      <c r="D2377" s="259" t="s">
        <v>15597</v>
      </c>
      <c r="E2377" s="210" t="s">
        <v>201</v>
      </c>
    </row>
    <row r="2378" spans="1:5" ht="13.5">
      <c r="A2378" s="258">
        <v>93182</v>
      </c>
      <c r="B2378" s="257" t="s">
        <v>1945</v>
      </c>
      <c r="C2378" s="257" t="s">
        <v>5</v>
      </c>
      <c r="D2378" s="259" t="s">
        <v>15598</v>
      </c>
      <c r="E2378" s="210" t="s">
        <v>201</v>
      </c>
    </row>
    <row r="2379" spans="1:5" ht="13.5">
      <c r="A2379" s="258">
        <v>93183</v>
      </c>
      <c r="B2379" s="257" t="s">
        <v>1946</v>
      </c>
      <c r="C2379" s="257" t="s">
        <v>5</v>
      </c>
      <c r="D2379" s="259" t="s">
        <v>15599</v>
      </c>
      <c r="E2379" s="210" t="s">
        <v>201</v>
      </c>
    </row>
    <row r="2380" spans="1:5" ht="13.5">
      <c r="A2380" s="258">
        <v>93184</v>
      </c>
      <c r="B2380" s="257" t="s">
        <v>1947</v>
      </c>
      <c r="C2380" s="257" t="s">
        <v>5</v>
      </c>
      <c r="D2380" s="259" t="s">
        <v>15600</v>
      </c>
      <c r="E2380" s="210" t="s">
        <v>201</v>
      </c>
    </row>
    <row r="2381" spans="1:5" ht="13.5">
      <c r="A2381" s="258">
        <v>93185</v>
      </c>
      <c r="B2381" s="257" t="s">
        <v>1948</v>
      </c>
      <c r="C2381" s="257" t="s">
        <v>5</v>
      </c>
      <c r="D2381" s="259" t="s">
        <v>15601</v>
      </c>
      <c r="E2381" s="210" t="s">
        <v>201</v>
      </c>
    </row>
    <row r="2382" spans="1:5" ht="13.5">
      <c r="A2382" s="258">
        <v>93186</v>
      </c>
      <c r="B2382" s="257" t="s">
        <v>1949</v>
      </c>
      <c r="C2382" s="257" t="s">
        <v>5</v>
      </c>
      <c r="D2382" s="259" t="s">
        <v>14640</v>
      </c>
      <c r="E2382" s="210" t="s">
        <v>201</v>
      </c>
    </row>
    <row r="2383" spans="1:5" ht="13.5">
      <c r="A2383" s="258">
        <v>93187</v>
      </c>
      <c r="B2383" s="257" t="s">
        <v>1950</v>
      </c>
      <c r="C2383" s="257" t="s">
        <v>5</v>
      </c>
      <c r="D2383" s="259" t="s">
        <v>15602</v>
      </c>
      <c r="E2383" s="210" t="s">
        <v>201</v>
      </c>
    </row>
    <row r="2384" spans="1:5" ht="13.5">
      <c r="A2384" s="258">
        <v>93188</v>
      </c>
      <c r="B2384" s="257" t="s">
        <v>1951</v>
      </c>
      <c r="C2384" s="257" t="s">
        <v>5</v>
      </c>
      <c r="D2384" s="259" t="s">
        <v>15603</v>
      </c>
      <c r="E2384" s="210" t="s">
        <v>201</v>
      </c>
    </row>
    <row r="2385" spans="1:5" ht="13.5">
      <c r="A2385" s="258">
        <v>93189</v>
      </c>
      <c r="B2385" s="257" t="s">
        <v>1952</v>
      </c>
      <c r="C2385" s="257" t="s">
        <v>5</v>
      </c>
      <c r="D2385" s="259" t="s">
        <v>15604</v>
      </c>
      <c r="E2385" s="210" t="s">
        <v>201</v>
      </c>
    </row>
    <row r="2386" spans="1:5" ht="27">
      <c r="A2386" s="258">
        <v>93190</v>
      </c>
      <c r="B2386" s="257" t="s">
        <v>1953</v>
      </c>
      <c r="C2386" s="257" t="s">
        <v>5</v>
      </c>
      <c r="D2386" s="259" t="s">
        <v>15605</v>
      </c>
      <c r="E2386" s="210" t="s">
        <v>201</v>
      </c>
    </row>
    <row r="2387" spans="1:5" ht="27">
      <c r="A2387" s="258">
        <v>93191</v>
      </c>
      <c r="B2387" s="257" t="s">
        <v>1954</v>
      </c>
      <c r="C2387" s="257" t="s">
        <v>5</v>
      </c>
      <c r="D2387" s="259" t="s">
        <v>14487</v>
      </c>
      <c r="E2387" s="210" t="s">
        <v>201</v>
      </c>
    </row>
    <row r="2388" spans="1:5" ht="27">
      <c r="A2388" s="258">
        <v>93192</v>
      </c>
      <c r="B2388" s="257" t="s">
        <v>1955</v>
      </c>
      <c r="C2388" s="257" t="s">
        <v>5</v>
      </c>
      <c r="D2388" s="259" t="s">
        <v>15606</v>
      </c>
      <c r="E2388" s="210" t="s">
        <v>201</v>
      </c>
    </row>
    <row r="2389" spans="1:5" ht="27">
      <c r="A2389" s="258">
        <v>93193</v>
      </c>
      <c r="B2389" s="257" t="s">
        <v>1956</v>
      </c>
      <c r="C2389" s="257" t="s">
        <v>5</v>
      </c>
      <c r="D2389" s="259" t="s">
        <v>15607</v>
      </c>
      <c r="E2389" s="210" t="s">
        <v>201</v>
      </c>
    </row>
    <row r="2390" spans="1:5" ht="13.5">
      <c r="A2390" s="258">
        <v>93194</v>
      </c>
      <c r="B2390" s="257" t="s">
        <v>1957</v>
      </c>
      <c r="C2390" s="257" t="s">
        <v>5</v>
      </c>
      <c r="D2390" s="259" t="s">
        <v>15608</v>
      </c>
      <c r="E2390" s="210" t="s">
        <v>201</v>
      </c>
    </row>
    <row r="2391" spans="1:5" ht="13.5">
      <c r="A2391" s="258">
        <v>93195</v>
      </c>
      <c r="B2391" s="257" t="s">
        <v>1958</v>
      </c>
      <c r="C2391" s="257" t="s">
        <v>5</v>
      </c>
      <c r="D2391" s="259" t="s">
        <v>15609</v>
      </c>
      <c r="E2391" s="210" t="s">
        <v>201</v>
      </c>
    </row>
    <row r="2392" spans="1:5" ht="13.5">
      <c r="A2392" s="258">
        <v>93196</v>
      </c>
      <c r="B2392" s="257" t="s">
        <v>1959</v>
      </c>
      <c r="C2392" s="257" t="s">
        <v>5</v>
      </c>
      <c r="D2392" s="259" t="s">
        <v>15610</v>
      </c>
      <c r="E2392" s="210" t="s">
        <v>201</v>
      </c>
    </row>
    <row r="2393" spans="1:5" ht="13.5">
      <c r="A2393" s="258">
        <v>93197</v>
      </c>
      <c r="B2393" s="257" t="s">
        <v>1960</v>
      </c>
      <c r="C2393" s="257" t="s">
        <v>5</v>
      </c>
      <c r="D2393" s="259" t="s">
        <v>15611</v>
      </c>
      <c r="E2393" s="210" t="s">
        <v>201</v>
      </c>
    </row>
    <row r="2394" spans="1:5" ht="27">
      <c r="A2394" s="258">
        <v>93198</v>
      </c>
      <c r="B2394" s="257" t="s">
        <v>1961</v>
      </c>
      <c r="C2394" s="257" t="s">
        <v>5</v>
      </c>
      <c r="D2394" s="259" t="s">
        <v>15612</v>
      </c>
      <c r="E2394" s="210" t="s">
        <v>201</v>
      </c>
    </row>
    <row r="2395" spans="1:5" ht="27">
      <c r="A2395" s="258">
        <v>93199</v>
      </c>
      <c r="B2395" s="257" t="s">
        <v>1962</v>
      </c>
      <c r="C2395" s="257" t="s">
        <v>5</v>
      </c>
      <c r="D2395" s="259" t="s">
        <v>15613</v>
      </c>
      <c r="E2395" s="210" t="s">
        <v>201</v>
      </c>
    </row>
    <row r="2396" spans="1:5" ht="13.5">
      <c r="A2396" s="258">
        <v>93200</v>
      </c>
      <c r="B2396" s="257" t="s">
        <v>1963</v>
      </c>
      <c r="C2396" s="257" t="s">
        <v>5</v>
      </c>
      <c r="D2396" s="259" t="s">
        <v>15614</v>
      </c>
      <c r="E2396" s="210" t="s">
        <v>201</v>
      </c>
    </row>
    <row r="2397" spans="1:5" ht="13.5">
      <c r="A2397" s="258">
        <v>93201</v>
      </c>
      <c r="B2397" s="257" t="s">
        <v>1964</v>
      </c>
      <c r="C2397" s="257" t="s">
        <v>5</v>
      </c>
      <c r="D2397" s="259" t="s">
        <v>14222</v>
      </c>
      <c r="E2397" s="210" t="s">
        <v>201</v>
      </c>
    </row>
    <row r="2398" spans="1:5" ht="13.5">
      <c r="A2398" s="258">
        <v>93202</v>
      </c>
      <c r="B2398" s="257" t="s">
        <v>165</v>
      </c>
      <c r="C2398" s="257" t="s">
        <v>5</v>
      </c>
      <c r="D2398" s="259" t="s">
        <v>15615</v>
      </c>
      <c r="E2398" s="210" t="s">
        <v>201</v>
      </c>
    </row>
    <row r="2399" spans="1:5" ht="27">
      <c r="A2399" s="258">
        <v>93203</v>
      </c>
      <c r="B2399" s="257" t="s">
        <v>4694</v>
      </c>
      <c r="C2399" s="257" t="s">
        <v>5</v>
      </c>
      <c r="D2399" s="259" t="s">
        <v>15616</v>
      </c>
      <c r="E2399" s="210" t="s">
        <v>201</v>
      </c>
    </row>
    <row r="2400" spans="1:5" ht="13.5">
      <c r="A2400" s="258">
        <v>93204</v>
      </c>
      <c r="B2400" s="257" t="s">
        <v>1965</v>
      </c>
      <c r="C2400" s="257" t="s">
        <v>5</v>
      </c>
      <c r="D2400" s="259" t="s">
        <v>15617</v>
      </c>
      <c r="E2400" s="210" t="s">
        <v>201</v>
      </c>
    </row>
    <row r="2401" spans="1:5" ht="13.5">
      <c r="A2401" s="258">
        <v>93205</v>
      </c>
      <c r="B2401" s="257" t="s">
        <v>1966</v>
      </c>
      <c r="C2401" s="257" t="s">
        <v>5</v>
      </c>
      <c r="D2401" s="259" t="s">
        <v>15618</v>
      </c>
      <c r="E2401" s="210" t="s">
        <v>201</v>
      </c>
    </row>
    <row r="2402" spans="1:5" ht="27">
      <c r="A2402" s="257">
        <v>71623</v>
      </c>
      <c r="B2402" s="257" t="s">
        <v>1967</v>
      </c>
      <c r="C2402" s="257" t="s">
        <v>5</v>
      </c>
      <c r="D2402" s="259" t="s">
        <v>15619</v>
      </c>
      <c r="E2402" s="210" t="s">
        <v>201</v>
      </c>
    </row>
    <row r="2403" spans="1:5" ht="13.5">
      <c r="A2403" s="257" t="s">
        <v>1968</v>
      </c>
      <c r="B2403" s="257" t="s">
        <v>1969</v>
      </c>
      <c r="C2403" s="257" t="s">
        <v>90</v>
      </c>
      <c r="D2403" s="259" t="s">
        <v>13828</v>
      </c>
      <c r="E2403" s="210" t="s">
        <v>201</v>
      </c>
    </row>
    <row r="2404" spans="1:5" ht="13.5">
      <c r="A2404" s="257">
        <v>84153</v>
      </c>
      <c r="B2404" s="257" t="s">
        <v>1970</v>
      </c>
      <c r="C2404" s="257" t="s">
        <v>89</v>
      </c>
      <c r="D2404" s="259" t="s">
        <v>15620</v>
      </c>
      <c r="E2404" s="210" t="s">
        <v>201</v>
      </c>
    </row>
    <row r="2405" spans="1:5" ht="13.5">
      <c r="A2405" s="257">
        <v>84154</v>
      </c>
      <c r="B2405" s="257" t="s">
        <v>1971</v>
      </c>
      <c r="C2405" s="257" t="s">
        <v>1972</v>
      </c>
      <c r="D2405" s="259" t="s">
        <v>15621</v>
      </c>
      <c r="E2405" s="210" t="s">
        <v>201</v>
      </c>
    </row>
    <row r="2406" spans="1:5" ht="13.5">
      <c r="A2406" s="258">
        <v>85233</v>
      </c>
      <c r="B2406" s="257" t="s">
        <v>1973</v>
      </c>
      <c r="C2406" s="257" t="s">
        <v>172</v>
      </c>
      <c r="D2406" s="259" t="s">
        <v>15622</v>
      </c>
      <c r="E2406" s="210" t="s">
        <v>201</v>
      </c>
    </row>
    <row r="2407" spans="1:5" ht="27">
      <c r="A2407" s="258">
        <v>95952</v>
      </c>
      <c r="B2407" s="257" t="s">
        <v>1974</v>
      </c>
      <c r="C2407" s="257" t="s">
        <v>172</v>
      </c>
      <c r="D2407" s="259" t="s">
        <v>15623</v>
      </c>
      <c r="E2407" s="210" t="s">
        <v>201</v>
      </c>
    </row>
    <row r="2408" spans="1:5" ht="27">
      <c r="A2408" s="258">
        <v>95953</v>
      </c>
      <c r="B2408" s="257" t="s">
        <v>1975</v>
      </c>
      <c r="C2408" s="257" t="s">
        <v>172</v>
      </c>
      <c r="D2408" s="259" t="s">
        <v>15624</v>
      </c>
      <c r="E2408" s="210" t="s">
        <v>201</v>
      </c>
    </row>
    <row r="2409" spans="1:5" ht="40.5">
      <c r="A2409" s="258">
        <v>95954</v>
      </c>
      <c r="B2409" s="257" t="s">
        <v>1976</v>
      </c>
      <c r="C2409" s="257" t="s">
        <v>172</v>
      </c>
      <c r="D2409" s="259" t="s">
        <v>15625</v>
      </c>
      <c r="E2409" s="210" t="s">
        <v>201</v>
      </c>
    </row>
    <row r="2410" spans="1:5" ht="27">
      <c r="A2410" s="258">
        <v>95955</v>
      </c>
      <c r="B2410" s="257" t="s">
        <v>1977</v>
      </c>
      <c r="C2410" s="257" t="s">
        <v>172</v>
      </c>
      <c r="D2410" s="259" t="s">
        <v>15626</v>
      </c>
      <c r="E2410" s="210" t="s">
        <v>201</v>
      </c>
    </row>
    <row r="2411" spans="1:5" ht="27">
      <c r="A2411" s="258">
        <v>95956</v>
      </c>
      <c r="B2411" s="257" t="s">
        <v>1978</v>
      </c>
      <c r="C2411" s="257" t="s">
        <v>172</v>
      </c>
      <c r="D2411" s="259" t="s">
        <v>15627</v>
      </c>
      <c r="E2411" s="210" t="s">
        <v>201</v>
      </c>
    </row>
    <row r="2412" spans="1:5" ht="27">
      <c r="A2412" s="258">
        <v>95957</v>
      </c>
      <c r="B2412" s="257" t="s">
        <v>1979</v>
      </c>
      <c r="C2412" s="257" t="s">
        <v>172</v>
      </c>
      <c r="D2412" s="259" t="s">
        <v>15628</v>
      </c>
      <c r="E2412" s="210" t="s">
        <v>201</v>
      </c>
    </row>
    <row r="2413" spans="1:5" ht="27">
      <c r="A2413" s="258">
        <v>95969</v>
      </c>
      <c r="B2413" s="257" t="s">
        <v>1980</v>
      </c>
      <c r="C2413" s="257" t="s">
        <v>172</v>
      </c>
      <c r="D2413" s="259" t="s">
        <v>15629</v>
      </c>
      <c r="E2413" s="210" t="s">
        <v>201</v>
      </c>
    </row>
    <row r="2414" spans="1:5" ht="27">
      <c r="A2414" s="258">
        <v>97733</v>
      </c>
      <c r="B2414" s="257" t="s">
        <v>4695</v>
      </c>
      <c r="C2414" s="257" t="s">
        <v>172</v>
      </c>
      <c r="D2414" s="259" t="s">
        <v>15630</v>
      </c>
      <c r="E2414" s="210" t="s">
        <v>201</v>
      </c>
    </row>
    <row r="2415" spans="1:5" ht="27">
      <c r="A2415" s="258">
        <v>97734</v>
      </c>
      <c r="B2415" s="257" t="s">
        <v>4696</v>
      </c>
      <c r="C2415" s="257" t="s">
        <v>172</v>
      </c>
      <c r="D2415" s="259" t="s">
        <v>15631</v>
      </c>
      <c r="E2415" s="210" t="s">
        <v>201</v>
      </c>
    </row>
    <row r="2416" spans="1:5" ht="27">
      <c r="A2416" s="258">
        <v>97735</v>
      </c>
      <c r="B2416" s="257" t="s">
        <v>4697</v>
      </c>
      <c r="C2416" s="257" t="s">
        <v>172</v>
      </c>
      <c r="D2416" s="259" t="s">
        <v>15632</v>
      </c>
      <c r="E2416" s="210" t="s">
        <v>201</v>
      </c>
    </row>
    <row r="2417" spans="1:5" ht="27">
      <c r="A2417" s="258">
        <v>97736</v>
      </c>
      <c r="B2417" s="257" t="s">
        <v>4698</v>
      </c>
      <c r="C2417" s="257" t="s">
        <v>172</v>
      </c>
      <c r="D2417" s="259" t="s">
        <v>15633</v>
      </c>
      <c r="E2417" s="210" t="s">
        <v>201</v>
      </c>
    </row>
    <row r="2418" spans="1:5" ht="27">
      <c r="A2418" s="258">
        <v>97737</v>
      </c>
      <c r="B2418" s="257" t="s">
        <v>4699</v>
      </c>
      <c r="C2418" s="257" t="s">
        <v>172</v>
      </c>
      <c r="D2418" s="259" t="s">
        <v>15634</v>
      </c>
      <c r="E2418" s="210" t="s">
        <v>201</v>
      </c>
    </row>
    <row r="2419" spans="1:5" ht="27">
      <c r="A2419" s="258">
        <v>97738</v>
      </c>
      <c r="B2419" s="257" t="s">
        <v>5522</v>
      </c>
      <c r="C2419" s="257" t="s">
        <v>172</v>
      </c>
      <c r="D2419" s="259" t="s">
        <v>15635</v>
      </c>
      <c r="E2419" s="210" t="s">
        <v>201</v>
      </c>
    </row>
    <row r="2420" spans="1:5" ht="27">
      <c r="A2420" s="258">
        <v>97739</v>
      </c>
      <c r="B2420" s="257" t="s">
        <v>4700</v>
      </c>
      <c r="C2420" s="257" t="s">
        <v>172</v>
      </c>
      <c r="D2420" s="259" t="s">
        <v>15636</v>
      </c>
      <c r="E2420" s="210" t="s">
        <v>201</v>
      </c>
    </row>
    <row r="2421" spans="1:5" ht="27">
      <c r="A2421" s="258">
        <v>97740</v>
      </c>
      <c r="B2421" s="257" t="s">
        <v>4701</v>
      </c>
      <c r="C2421" s="257" t="s">
        <v>172</v>
      </c>
      <c r="D2421" s="259" t="s">
        <v>15637</v>
      </c>
      <c r="E2421" s="210" t="s">
        <v>201</v>
      </c>
    </row>
    <row r="2422" spans="1:5" ht="27">
      <c r="A2422" s="258">
        <v>98615</v>
      </c>
      <c r="B2422" s="257" t="s">
        <v>5523</v>
      </c>
      <c r="C2422" s="257" t="s">
        <v>150</v>
      </c>
      <c r="D2422" s="259" t="s">
        <v>15638</v>
      </c>
      <c r="E2422" s="210" t="s">
        <v>201</v>
      </c>
    </row>
    <row r="2423" spans="1:5" ht="27">
      <c r="A2423" s="258">
        <v>98616</v>
      </c>
      <c r="B2423" s="257" t="s">
        <v>5524</v>
      </c>
      <c r="C2423" s="257" t="s">
        <v>150</v>
      </c>
      <c r="D2423" s="259" t="s">
        <v>15639</v>
      </c>
      <c r="E2423" s="210" t="s">
        <v>201</v>
      </c>
    </row>
    <row r="2424" spans="1:5" ht="27">
      <c r="A2424" s="258">
        <v>98617</v>
      </c>
      <c r="B2424" s="257" t="s">
        <v>5525</v>
      </c>
      <c r="C2424" s="257" t="s">
        <v>150</v>
      </c>
      <c r="D2424" s="259" t="s">
        <v>15640</v>
      </c>
      <c r="E2424" s="210" t="s">
        <v>201</v>
      </c>
    </row>
    <row r="2425" spans="1:5" ht="27">
      <c r="A2425" s="258">
        <v>98618</v>
      </c>
      <c r="B2425" s="257" t="s">
        <v>5526</v>
      </c>
      <c r="C2425" s="257" t="s">
        <v>150</v>
      </c>
      <c r="D2425" s="259" t="s">
        <v>15641</v>
      </c>
      <c r="E2425" s="210" t="s">
        <v>201</v>
      </c>
    </row>
    <row r="2426" spans="1:5" ht="27">
      <c r="A2426" s="258">
        <v>98619</v>
      </c>
      <c r="B2426" s="257" t="s">
        <v>5527</v>
      </c>
      <c r="C2426" s="257" t="s">
        <v>150</v>
      </c>
      <c r="D2426" s="259" t="s">
        <v>15642</v>
      </c>
      <c r="E2426" s="210" t="s">
        <v>201</v>
      </c>
    </row>
    <row r="2427" spans="1:5" ht="27">
      <c r="A2427" s="258">
        <v>98620</v>
      </c>
      <c r="B2427" s="257" t="s">
        <v>5528</v>
      </c>
      <c r="C2427" s="257" t="s">
        <v>150</v>
      </c>
      <c r="D2427" s="259" t="s">
        <v>15643</v>
      </c>
      <c r="E2427" s="210" t="s">
        <v>201</v>
      </c>
    </row>
    <row r="2428" spans="1:5" ht="27">
      <c r="A2428" s="258">
        <v>98621</v>
      </c>
      <c r="B2428" s="257" t="s">
        <v>5529</v>
      </c>
      <c r="C2428" s="257" t="s">
        <v>150</v>
      </c>
      <c r="D2428" s="259" t="s">
        <v>14017</v>
      </c>
      <c r="E2428" s="210" t="s">
        <v>201</v>
      </c>
    </row>
    <row r="2429" spans="1:5" ht="27">
      <c r="A2429" s="258">
        <v>98622</v>
      </c>
      <c r="B2429" s="257" t="s">
        <v>5530</v>
      </c>
      <c r="C2429" s="257" t="s">
        <v>150</v>
      </c>
      <c r="D2429" s="259" t="s">
        <v>15644</v>
      </c>
      <c r="E2429" s="210" t="s">
        <v>201</v>
      </c>
    </row>
    <row r="2430" spans="1:5" ht="27">
      <c r="A2430" s="258">
        <v>98623</v>
      </c>
      <c r="B2430" s="257" t="s">
        <v>5531</v>
      </c>
      <c r="C2430" s="257" t="s">
        <v>150</v>
      </c>
      <c r="D2430" s="259" t="s">
        <v>15645</v>
      </c>
      <c r="E2430" s="210" t="s">
        <v>201</v>
      </c>
    </row>
    <row r="2431" spans="1:5" ht="27">
      <c r="A2431" s="258">
        <v>98624</v>
      </c>
      <c r="B2431" s="257" t="s">
        <v>5532</v>
      </c>
      <c r="C2431" s="257" t="s">
        <v>150</v>
      </c>
      <c r="D2431" s="259" t="s">
        <v>15646</v>
      </c>
      <c r="E2431" s="210" t="s">
        <v>201</v>
      </c>
    </row>
    <row r="2432" spans="1:5" ht="27">
      <c r="A2432" s="258">
        <v>98625</v>
      </c>
      <c r="B2432" s="257" t="s">
        <v>5533</v>
      </c>
      <c r="C2432" s="257" t="s">
        <v>150</v>
      </c>
      <c r="D2432" s="259" t="s">
        <v>15647</v>
      </c>
      <c r="E2432" s="210" t="s">
        <v>201</v>
      </c>
    </row>
    <row r="2433" spans="1:5" ht="27">
      <c r="A2433" s="258">
        <v>98626</v>
      </c>
      <c r="B2433" s="257" t="s">
        <v>5534</v>
      </c>
      <c r="C2433" s="257" t="s">
        <v>150</v>
      </c>
      <c r="D2433" s="259" t="s">
        <v>15648</v>
      </c>
      <c r="E2433" s="210" t="s">
        <v>201</v>
      </c>
    </row>
    <row r="2434" spans="1:5" ht="13.5">
      <c r="A2434" s="258">
        <v>98655</v>
      </c>
      <c r="B2434" s="257" t="s">
        <v>5535</v>
      </c>
      <c r="C2434" s="257" t="s">
        <v>5</v>
      </c>
      <c r="D2434" s="259" t="s">
        <v>15649</v>
      </c>
      <c r="E2434" s="210" t="s">
        <v>201</v>
      </c>
    </row>
    <row r="2435" spans="1:5" ht="13.5">
      <c r="A2435" s="258">
        <v>98656</v>
      </c>
      <c r="B2435" s="257" t="s">
        <v>5536</v>
      </c>
      <c r="C2435" s="257" t="s">
        <v>5</v>
      </c>
      <c r="D2435" s="259" t="s">
        <v>15650</v>
      </c>
      <c r="E2435" s="210" t="s">
        <v>201</v>
      </c>
    </row>
    <row r="2436" spans="1:5" ht="13.5">
      <c r="A2436" s="258">
        <v>98657</v>
      </c>
      <c r="B2436" s="257" t="s">
        <v>5537</v>
      </c>
      <c r="C2436" s="257" t="s">
        <v>5</v>
      </c>
      <c r="D2436" s="259" t="s">
        <v>15651</v>
      </c>
      <c r="E2436" s="210" t="s">
        <v>201</v>
      </c>
    </row>
    <row r="2437" spans="1:5" ht="13.5">
      <c r="A2437" s="258">
        <v>98658</v>
      </c>
      <c r="B2437" s="257" t="s">
        <v>5538</v>
      </c>
      <c r="C2437" s="257" t="s">
        <v>5</v>
      </c>
      <c r="D2437" s="259" t="s">
        <v>15652</v>
      </c>
      <c r="E2437" s="210" t="s">
        <v>201</v>
      </c>
    </row>
    <row r="2438" spans="1:5" ht="13.5">
      <c r="A2438" s="258">
        <v>98659</v>
      </c>
      <c r="B2438" s="257" t="s">
        <v>5539</v>
      </c>
      <c r="C2438" s="257" t="s">
        <v>5</v>
      </c>
      <c r="D2438" s="259" t="s">
        <v>15653</v>
      </c>
      <c r="E2438" s="210" t="s">
        <v>201</v>
      </c>
    </row>
    <row r="2439" spans="1:5" ht="13.5">
      <c r="A2439" s="258">
        <v>98746</v>
      </c>
      <c r="B2439" s="257" t="s">
        <v>5540</v>
      </c>
      <c r="C2439" s="257" t="s">
        <v>5</v>
      </c>
      <c r="D2439" s="259" t="s">
        <v>15654</v>
      </c>
      <c r="E2439" s="210" t="s">
        <v>201</v>
      </c>
    </row>
    <row r="2440" spans="1:5" ht="13.5">
      <c r="A2440" s="258">
        <v>98749</v>
      </c>
      <c r="B2440" s="257" t="s">
        <v>5541</v>
      </c>
      <c r="C2440" s="257" t="s">
        <v>5</v>
      </c>
      <c r="D2440" s="259" t="s">
        <v>15655</v>
      </c>
      <c r="E2440" s="210" t="s">
        <v>201</v>
      </c>
    </row>
    <row r="2441" spans="1:5" ht="13.5">
      <c r="A2441" s="258">
        <v>98750</v>
      </c>
      <c r="B2441" s="257" t="s">
        <v>5542</v>
      </c>
      <c r="C2441" s="257" t="s">
        <v>5</v>
      </c>
      <c r="D2441" s="259" t="s">
        <v>15656</v>
      </c>
      <c r="E2441" s="210" t="s">
        <v>201</v>
      </c>
    </row>
    <row r="2442" spans="1:5" ht="13.5">
      <c r="A2442" s="258">
        <v>98751</v>
      </c>
      <c r="B2442" s="257" t="s">
        <v>5543</v>
      </c>
      <c r="C2442" s="257" t="s">
        <v>5</v>
      </c>
      <c r="D2442" s="259" t="s">
        <v>15657</v>
      </c>
      <c r="E2442" s="210" t="s">
        <v>201</v>
      </c>
    </row>
    <row r="2443" spans="1:5" ht="13.5">
      <c r="A2443" s="258">
        <v>98752</v>
      </c>
      <c r="B2443" s="257" t="s">
        <v>5544</v>
      </c>
      <c r="C2443" s="257" t="s">
        <v>5</v>
      </c>
      <c r="D2443" s="259" t="s">
        <v>15658</v>
      </c>
      <c r="E2443" s="210" t="s">
        <v>201</v>
      </c>
    </row>
    <row r="2444" spans="1:5" ht="13.5">
      <c r="A2444" s="258">
        <v>98753</v>
      </c>
      <c r="B2444" s="257" t="s">
        <v>5545</v>
      </c>
      <c r="C2444" s="257" t="s">
        <v>5</v>
      </c>
      <c r="D2444" s="259" t="s">
        <v>15659</v>
      </c>
      <c r="E2444" s="210" t="s">
        <v>201</v>
      </c>
    </row>
    <row r="2445" spans="1:5" ht="40.5">
      <c r="A2445" s="258">
        <v>100763</v>
      </c>
      <c r="B2445" s="257" t="s">
        <v>15660</v>
      </c>
      <c r="C2445" s="257" t="s">
        <v>89</v>
      </c>
      <c r="D2445" s="259" t="s">
        <v>15661</v>
      </c>
      <c r="E2445" s="210" t="s">
        <v>201</v>
      </c>
    </row>
    <row r="2446" spans="1:5" ht="40.5">
      <c r="A2446" s="258">
        <v>100764</v>
      </c>
      <c r="B2446" s="257" t="s">
        <v>15662</v>
      </c>
      <c r="C2446" s="257" t="s">
        <v>89</v>
      </c>
      <c r="D2446" s="259" t="s">
        <v>15453</v>
      </c>
      <c r="E2446" s="210" t="s">
        <v>201</v>
      </c>
    </row>
    <row r="2447" spans="1:5" ht="40.5">
      <c r="A2447" s="258">
        <v>100765</v>
      </c>
      <c r="B2447" s="257" t="s">
        <v>15663</v>
      </c>
      <c r="C2447" s="257" t="s">
        <v>89</v>
      </c>
      <c r="D2447" s="259" t="s">
        <v>15664</v>
      </c>
      <c r="E2447" s="210" t="s">
        <v>201</v>
      </c>
    </row>
    <row r="2448" spans="1:5" ht="40.5">
      <c r="A2448" s="258">
        <v>100766</v>
      </c>
      <c r="B2448" s="257" t="s">
        <v>15665</v>
      </c>
      <c r="C2448" s="257" t="s">
        <v>89</v>
      </c>
      <c r="D2448" s="259" t="s">
        <v>15666</v>
      </c>
      <c r="E2448" s="210" t="s">
        <v>201</v>
      </c>
    </row>
    <row r="2449" spans="1:5" ht="40.5">
      <c r="A2449" s="258">
        <v>100767</v>
      </c>
      <c r="B2449" s="257" t="s">
        <v>15667</v>
      </c>
      <c r="C2449" s="257" t="s">
        <v>89</v>
      </c>
      <c r="D2449" s="259" t="s">
        <v>15668</v>
      </c>
      <c r="E2449" s="210" t="s">
        <v>201</v>
      </c>
    </row>
    <row r="2450" spans="1:5" ht="40.5">
      <c r="A2450" s="258">
        <v>100768</v>
      </c>
      <c r="B2450" s="257" t="s">
        <v>15669</v>
      </c>
      <c r="C2450" s="257" t="s">
        <v>89</v>
      </c>
      <c r="D2450" s="259" t="s">
        <v>15670</v>
      </c>
      <c r="E2450" s="210" t="s">
        <v>201</v>
      </c>
    </row>
    <row r="2451" spans="1:5" ht="40.5">
      <c r="A2451" s="258">
        <v>100769</v>
      </c>
      <c r="B2451" s="257" t="s">
        <v>15671</v>
      </c>
      <c r="C2451" s="257" t="s">
        <v>89</v>
      </c>
      <c r="D2451" s="259" t="s">
        <v>15672</v>
      </c>
      <c r="E2451" s="210" t="s">
        <v>201</v>
      </c>
    </row>
    <row r="2452" spans="1:5" ht="40.5">
      <c r="A2452" s="258">
        <v>100770</v>
      </c>
      <c r="B2452" s="257" t="s">
        <v>15673</v>
      </c>
      <c r="C2452" s="257" t="s">
        <v>89</v>
      </c>
      <c r="D2452" s="259" t="s">
        <v>15674</v>
      </c>
      <c r="E2452" s="210" t="s">
        <v>201</v>
      </c>
    </row>
    <row r="2453" spans="1:5" ht="40.5">
      <c r="A2453" s="258">
        <v>100771</v>
      </c>
      <c r="B2453" s="257" t="s">
        <v>15675</v>
      </c>
      <c r="C2453" s="257" t="s">
        <v>89</v>
      </c>
      <c r="D2453" s="259" t="s">
        <v>14542</v>
      </c>
      <c r="E2453" s="210" t="s">
        <v>201</v>
      </c>
    </row>
    <row r="2454" spans="1:5" ht="40.5">
      <c r="A2454" s="258">
        <v>100772</v>
      </c>
      <c r="B2454" s="257" t="s">
        <v>15676</v>
      </c>
      <c r="C2454" s="257" t="s">
        <v>89</v>
      </c>
      <c r="D2454" s="259" t="s">
        <v>15677</v>
      </c>
      <c r="E2454" s="210" t="s">
        <v>201</v>
      </c>
    </row>
    <row r="2455" spans="1:5" ht="40.5">
      <c r="A2455" s="258">
        <v>100773</v>
      </c>
      <c r="B2455" s="257" t="s">
        <v>15678</v>
      </c>
      <c r="C2455" s="257" t="s">
        <v>89</v>
      </c>
      <c r="D2455" s="259" t="s">
        <v>15483</v>
      </c>
      <c r="E2455" s="210" t="s">
        <v>201</v>
      </c>
    </row>
    <row r="2456" spans="1:5" ht="40.5">
      <c r="A2456" s="258">
        <v>100774</v>
      </c>
      <c r="B2456" s="257" t="s">
        <v>15679</v>
      </c>
      <c r="C2456" s="257" t="s">
        <v>89</v>
      </c>
      <c r="D2456" s="259" t="s">
        <v>15680</v>
      </c>
      <c r="E2456" s="210" t="s">
        <v>201</v>
      </c>
    </row>
    <row r="2457" spans="1:5" ht="40.5">
      <c r="A2457" s="258">
        <v>100775</v>
      </c>
      <c r="B2457" s="257" t="s">
        <v>15681</v>
      </c>
      <c r="C2457" s="257" t="s">
        <v>89</v>
      </c>
      <c r="D2457" s="259" t="s">
        <v>13838</v>
      </c>
      <c r="E2457" s="210" t="s">
        <v>201</v>
      </c>
    </row>
    <row r="2458" spans="1:5" ht="40.5">
      <c r="A2458" s="258">
        <v>100776</v>
      </c>
      <c r="B2458" s="257" t="s">
        <v>15682</v>
      </c>
      <c r="C2458" s="257" t="s">
        <v>89</v>
      </c>
      <c r="D2458" s="259" t="s">
        <v>15683</v>
      </c>
      <c r="E2458" s="210" t="s">
        <v>201</v>
      </c>
    </row>
    <row r="2459" spans="1:5" ht="40.5">
      <c r="A2459" s="258">
        <v>100777</v>
      </c>
      <c r="B2459" s="257" t="s">
        <v>15684</v>
      </c>
      <c r="C2459" s="257" t="s">
        <v>89</v>
      </c>
      <c r="D2459" s="259" t="s">
        <v>15685</v>
      </c>
      <c r="E2459" s="210" t="s">
        <v>201</v>
      </c>
    </row>
    <row r="2460" spans="1:5" ht="40.5">
      <c r="A2460" s="258">
        <v>100778</v>
      </c>
      <c r="B2460" s="257" t="s">
        <v>15686</v>
      </c>
      <c r="C2460" s="257" t="s">
        <v>89</v>
      </c>
      <c r="D2460" s="259" t="s">
        <v>14132</v>
      </c>
      <c r="E2460" s="210" t="s">
        <v>201</v>
      </c>
    </row>
    <row r="2461" spans="1:5" ht="27">
      <c r="A2461" s="258">
        <v>98560</v>
      </c>
      <c r="B2461" s="257" t="s">
        <v>5546</v>
      </c>
      <c r="C2461" s="257" t="s">
        <v>150</v>
      </c>
      <c r="D2461" s="259" t="s">
        <v>15687</v>
      </c>
      <c r="E2461" s="210" t="s">
        <v>201</v>
      </c>
    </row>
    <row r="2462" spans="1:5" ht="27">
      <c r="A2462" s="258">
        <v>98561</v>
      </c>
      <c r="B2462" s="257" t="s">
        <v>5547</v>
      </c>
      <c r="C2462" s="257" t="s">
        <v>150</v>
      </c>
      <c r="D2462" s="259" t="s">
        <v>15688</v>
      </c>
      <c r="E2462" s="210" t="s">
        <v>201</v>
      </c>
    </row>
    <row r="2463" spans="1:5" ht="27">
      <c r="A2463" s="258">
        <v>98562</v>
      </c>
      <c r="B2463" s="257" t="s">
        <v>5548</v>
      </c>
      <c r="C2463" s="257" t="s">
        <v>150</v>
      </c>
      <c r="D2463" s="259" t="s">
        <v>15689</v>
      </c>
      <c r="E2463" s="210" t="s">
        <v>201</v>
      </c>
    </row>
    <row r="2464" spans="1:5" ht="27">
      <c r="A2464" s="258">
        <v>83735</v>
      </c>
      <c r="B2464" s="257" t="s">
        <v>1981</v>
      </c>
      <c r="C2464" s="257" t="s">
        <v>150</v>
      </c>
      <c r="D2464" s="259" t="s">
        <v>15690</v>
      </c>
      <c r="E2464" s="210" t="s">
        <v>201</v>
      </c>
    </row>
    <row r="2465" spans="1:5" ht="27">
      <c r="A2465" s="258">
        <v>98555</v>
      </c>
      <c r="B2465" s="257" t="s">
        <v>5549</v>
      </c>
      <c r="C2465" s="257" t="s">
        <v>150</v>
      </c>
      <c r="D2465" s="259" t="s">
        <v>15256</v>
      </c>
      <c r="E2465" s="210" t="s">
        <v>201</v>
      </c>
    </row>
    <row r="2466" spans="1:5" ht="27">
      <c r="A2466" s="258">
        <v>98556</v>
      </c>
      <c r="B2466" s="257" t="s">
        <v>5550</v>
      </c>
      <c r="C2466" s="257" t="s">
        <v>150</v>
      </c>
      <c r="D2466" s="259" t="s">
        <v>15691</v>
      </c>
      <c r="E2466" s="210" t="s">
        <v>201</v>
      </c>
    </row>
    <row r="2467" spans="1:5" ht="27">
      <c r="A2467" s="258">
        <v>98558</v>
      </c>
      <c r="B2467" s="257" t="s">
        <v>5551</v>
      </c>
      <c r="C2467" s="257" t="s">
        <v>90</v>
      </c>
      <c r="D2467" s="259" t="s">
        <v>14401</v>
      </c>
      <c r="E2467" s="210" t="s">
        <v>201</v>
      </c>
    </row>
    <row r="2468" spans="1:5" ht="13.5">
      <c r="A2468" s="258">
        <v>98559</v>
      </c>
      <c r="B2468" s="257" t="s">
        <v>5552</v>
      </c>
      <c r="C2468" s="257" t="s">
        <v>5</v>
      </c>
      <c r="D2468" s="259" t="s">
        <v>15692</v>
      </c>
      <c r="E2468" s="210" t="s">
        <v>201</v>
      </c>
    </row>
    <row r="2469" spans="1:5" ht="13.5">
      <c r="A2469" s="258">
        <v>68053</v>
      </c>
      <c r="B2469" s="257" t="s">
        <v>1982</v>
      </c>
      <c r="C2469" s="257" t="s">
        <v>150</v>
      </c>
      <c r="D2469" s="259" t="s">
        <v>15693</v>
      </c>
      <c r="E2469" s="210" t="s">
        <v>201</v>
      </c>
    </row>
    <row r="2470" spans="1:5" ht="13.5">
      <c r="A2470" s="258" t="s">
        <v>1983</v>
      </c>
      <c r="B2470" s="257" t="s">
        <v>1984</v>
      </c>
      <c r="C2470" s="257" t="s">
        <v>150</v>
      </c>
      <c r="D2470" s="259" t="s">
        <v>15694</v>
      </c>
      <c r="E2470" s="210" t="s">
        <v>201</v>
      </c>
    </row>
    <row r="2471" spans="1:5" ht="27">
      <c r="A2471" s="258">
        <v>98546</v>
      </c>
      <c r="B2471" s="257" t="s">
        <v>5553</v>
      </c>
      <c r="C2471" s="257" t="s">
        <v>150</v>
      </c>
      <c r="D2471" s="259" t="s">
        <v>15695</v>
      </c>
      <c r="E2471" s="210" t="s">
        <v>201</v>
      </c>
    </row>
    <row r="2472" spans="1:5" ht="27">
      <c r="A2472" s="258">
        <v>98547</v>
      </c>
      <c r="B2472" s="257" t="s">
        <v>5554</v>
      </c>
      <c r="C2472" s="257" t="s">
        <v>150</v>
      </c>
      <c r="D2472" s="259" t="s">
        <v>15696</v>
      </c>
      <c r="E2472" s="210" t="s">
        <v>201</v>
      </c>
    </row>
    <row r="2473" spans="1:5" ht="27">
      <c r="A2473" s="258" t="s">
        <v>1985</v>
      </c>
      <c r="B2473" s="257" t="s">
        <v>1986</v>
      </c>
      <c r="C2473" s="257" t="s">
        <v>150</v>
      </c>
      <c r="D2473" s="259" t="s">
        <v>15697</v>
      </c>
      <c r="E2473" s="210" t="s">
        <v>201</v>
      </c>
    </row>
    <row r="2474" spans="1:5" ht="13.5">
      <c r="A2474" s="258" t="s">
        <v>1987</v>
      </c>
      <c r="B2474" s="257" t="s">
        <v>1988</v>
      </c>
      <c r="C2474" s="257" t="s">
        <v>150</v>
      </c>
      <c r="D2474" s="259" t="s">
        <v>15698</v>
      </c>
      <c r="E2474" s="210" t="s">
        <v>201</v>
      </c>
    </row>
    <row r="2475" spans="1:5" ht="13.5">
      <c r="A2475" s="258" t="s">
        <v>1989</v>
      </c>
      <c r="B2475" s="257" t="s">
        <v>280</v>
      </c>
      <c r="C2475" s="257" t="s">
        <v>150</v>
      </c>
      <c r="D2475" s="259" t="s">
        <v>15699</v>
      </c>
      <c r="E2475" s="210" t="s">
        <v>201</v>
      </c>
    </row>
    <row r="2476" spans="1:5" ht="13.5">
      <c r="A2476" s="258">
        <v>98557</v>
      </c>
      <c r="B2476" s="257" t="s">
        <v>5555</v>
      </c>
      <c r="C2476" s="257" t="s">
        <v>150</v>
      </c>
      <c r="D2476" s="259" t="s">
        <v>15700</v>
      </c>
      <c r="E2476" s="210" t="s">
        <v>201</v>
      </c>
    </row>
    <row r="2477" spans="1:5" ht="13.5">
      <c r="A2477" s="258" t="s">
        <v>1990</v>
      </c>
      <c r="B2477" s="257" t="s">
        <v>1991</v>
      </c>
      <c r="C2477" s="257" t="s">
        <v>150</v>
      </c>
      <c r="D2477" s="259" t="s">
        <v>15306</v>
      </c>
      <c r="E2477" s="210" t="s">
        <v>201</v>
      </c>
    </row>
    <row r="2478" spans="1:5" ht="13.5">
      <c r="A2478" s="258" t="s">
        <v>1992</v>
      </c>
      <c r="B2478" s="257" t="s">
        <v>1993</v>
      </c>
      <c r="C2478" s="257" t="s">
        <v>150</v>
      </c>
      <c r="D2478" s="259" t="s">
        <v>15701</v>
      </c>
      <c r="E2478" s="210" t="s">
        <v>201</v>
      </c>
    </row>
    <row r="2479" spans="1:5" ht="13.5">
      <c r="A2479" s="258">
        <v>72124</v>
      </c>
      <c r="B2479" s="257" t="s">
        <v>1994</v>
      </c>
      <c r="C2479" s="257" t="s">
        <v>1972</v>
      </c>
      <c r="D2479" s="259" t="s">
        <v>15702</v>
      </c>
      <c r="E2479" s="210" t="s">
        <v>201</v>
      </c>
    </row>
    <row r="2480" spans="1:5" ht="13.5">
      <c r="A2480" s="258" t="s">
        <v>1995</v>
      </c>
      <c r="B2480" s="257" t="s">
        <v>1996</v>
      </c>
      <c r="C2480" s="257" t="s">
        <v>5</v>
      </c>
      <c r="D2480" s="259" t="s">
        <v>15703</v>
      </c>
      <c r="E2480" s="210" t="s">
        <v>201</v>
      </c>
    </row>
    <row r="2481" spans="1:5" ht="13.5">
      <c r="A2481" s="258" t="s">
        <v>1997</v>
      </c>
      <c r="B2481" s="257" t="s">
        <v>1998</v>
      </c>
      <c r="C2481" s="257" t="s">
        <v>150</v>
      </c>
      <c r="D2481" s="259" t="s">
        <v>15704</v>
      </c>
      <c r="E2481" s="210" t="s">
        <v>201</v>
      </c>
    </row>
    <row r="2482" spans="1:5" ht="27">
      <c r="A2482" s="258">
        <v>98563</v>
      </c>
      <c r="B2482" s="257" t="s">
        <v>5556</v>
      </c>
      <c r="C2482" s="257" t="s">
        <v>150</v>
      </c>
      <c r="D2482" s="259" t="s">
        <v>15705</v>
      </c>
      <c r="E2482" s="210" t="s">
        <v>201</v>
      </c>
    </row>
    <row r="2483" spans="1:5" ht="27">
      <c r="A2483" s="258">
        <v>98564</v>
      </c>
      <c r="B2483" s="257" t="s">
        <v>5557</v>
      </c>
      <c r="C2483" s="257" t="s">
        <v>150</v>
      </c>
      <c r="D2483" s="259" t="s">
        <v>15706</v>
      </c>
      <c r="E2483" s="210" t="s">
        <v>201</v>
      </c>
    </row>
    <row r="2484" spans="1:5" ht="27">
      <c r="A2484" s="258">
        <v>98565</v>
      </c>
      <c r="B2484" s="257" t="s">
        <v>5558</v>
      </c>
      <c r="C2484" s="257" t="s">
        <v>150</v>
      </c>
      <c r="D2484" s="259" t="s">
        <v>15707</v>
      </c>
      <c r="E2484" s="210" t="s">
        <v>201</v>
      </c>
    </row>
    <row r="2485" spans="1:5" ht="27">
      <c r="A2485" s="258">
        <v>98566</v>
      </c>
      <c r="B2485" s="257" t="s">
        <v>5559</v>
      </c>
      <c r="C2485" s="257" t="s">
        <v>150</v>
      </c>
      <c r="D2485" s="259" t="s">
        <v>15708</v>
      </c>
      <c r="E2485" s="210" t="s">
        <v>201</v>
      </c>
    </row>
    <row r="2486" spans="1:5" ht="27">
      <c r="A2486" s="258">
        <v>98567</v>
      </c>
      <c r="B2486" s="257" t="s">
        <v>5560</v>
      </c>
      <c r="C2486" s="257" t="s">
        <v>150</v>
      </c>
      <c r="D2486" s="259" t="s">
        <v>15709</v>
      </c>
      <c r="E2486" s="210" t="s">
        <v>201</v>
      </c>
    </row>
    <row r="2487" spans="1:5" ht="27">
      <c r="A2487" s="258">
        <v>98568</v>
      </c>
      <c r="B2487" s="257" t="s">
        <v>5561</v>
      </c>
      <c r="C2487" s="257" t="s">
        <v>150</v>
      </c>
      <c r="D2487" s="259" t="s">
        <v>15710</v>
      </c>
      <c r="E2487" s="210" t="s">
        <v>201</v>
      </c>
    </row>
    <row r="2488" spans="1:5" ht="27">
      <c r="A2488" s="258">
        <v>98569</v>
      </c>
      <c r="B2488" s="257" t="s">
        <v>5562</v>
      </c>
      <c r="C2488" s="257" t="s">
        <v>150</v>
      </c>
      <c r="D2488" s="259" t="s">
        <v>15711</v>
      </c>
      <c r="E2488" s="210" t="s">
        <v>201</v>
      </c>
    </row>
    <row r="2489" spans="1:5" ht="27">
      <c r="A2489" s="258">
        <v>98570</v>
      </c>
      <c r="B2489" s="257" t="s">
        <v>5563</v>
      </c>
      <c r="C2489" s="257" t="s">
        <v>150</v>
      </c>
      <c r="D2489" s="259" t="s">
        <v>15712</v>
      </c>
      <c r="E2489" s="210" t="s">
        <v>201</v>
      </c>
    </row>
    <row r="2490" spans="1:5" ht="13.5">
      <c r="A2490" s="258">
        <v>98571</v>
      </c>
      <c r="B2490" s="257" t="s">
        <v>5564</v>
      </c>
      <c r="C2490" s="257" t="s">
        <v>150</v>
      </c>
      <c r="D2490" s="259" t="s">
        <v>15713</v>
      </c>
      <c r="E2490" s="210" t="s">
        <v>201</v>
      </c>
    </row>
    <row r="2491" spans="1:5" ht="13.5">
      <c r="A2491" s="258">
        <v>98572</v>
      </c>
      <c r="B2491" s="257" t="s">
        <v>5565</v>
      </c>
      <c r="C2491" s="257" t="s">
        <v>150</v>
      </c>
      <c r="D2491" s="259" t="s">
        <v>15714</v>
      </c>
      <c r="E2491" s="210" t="s">
        <v>201</v>
      </c>
    </row>
    <row r="2492" spans="1:5" ht="13.5">
      <c r="A2492" s="258">
        <v>98573</v>
      </c>
      <c r="B2492" s="257" t="s">
        <v>5566</v>
      </c>
      <c r="C2492" s="257" t="s">
        <v>150</v>
      </c>
      <c r="D2492" s="259" t="s">
        <v>15715</v>
      </c>
      <c r="E2492" s="210" t="s">
        <v>201</v>
      </c>
    </row>
    <row r="2493" spans="1:5" ht="27">
      <c r="A2493" s="258" t="s">
        <v>1999</v>
      </c>
      <c r="B2493" s="257" t="s">
        <v>111</v>
      </c>
      <c r="C2493" s="257" t="s">
        <v>5</v>
      </c>
      <c r="D2493" s="259" t="s">
        <v>15716</v>
      </c>
      <c r="E2493" s="210" t="s">
        <v>201</v>
      </c>
    </row>
    <row r="2494" spans="1:5" ht="27">
      <c r="A2494" s="258" t="s">
        <v>2000</v>
      </c>
      <c r="B2494" s="257" t="s">
        <v>2001</v>
      </c>
      <c r="C2494" s="257" t="s">
        <v>5</v>
      </c>
      <c r="D2494" s="259" t="s">
        <v>15717</v>
      </c>
      <c r="E2494" s="210" t="s">
        <v>201</v>
      </c>
    </row>
    <row r="2495" spans="1:5" ht="27">
      <c r="A2495" s="258">
        <v>91831</v>
      </c>
      <c r="B2495" s="257" t="s">
        <v>2002</v>
      </c>
      <c r="C2495" s="257" t="s">
        <v>5</v>
      </c>
      <c r="D2495" s="259" t="s">
        <v>15718</v>
      </c>
      <c r="E2495" s="210" t="s">
        <v>201</v>
      </c>
    </row>
    <row r="2496" spans="1:5" ht="27">
      <c r="A2496" s="258">
        <v>91833</v>
      </c>
      <c r="B2496" s="257" t="s">
        <v>5567</v>
      </c>
      <c r="C2496" s="257" t="s">
        <v>5</v>
      </c>
      <c r="D2496" s="259" t="s">
        <v>14407</v>
      </c>
      <c r="E2496" s="210" t="s">
        <v>201</v>
      </c>
    </row>
    <row r="2497" spans="1:5" ht="27">
      <c r="A2497" s="258">
        <v>91834</v>
      </c>
      <c r="B2497" s="257" t="s">
        <v>2003</v>
      </c>
      <c r="C2497" s="257" t="s">
        <v>5</v>
      </c>
      <c r="D2497" s="259" t="s">
        <v>15719</v>
      </c>
      <c r="E2497" s="210" t="s">
        <v>201</v>
      </c>
    </row>
    <row r="2498" spans="1:5" ht="27">
      <c r="A2498" s="258">
        <v>91835</v>
      </c>
      <c r="B2498" s="257" t="s">
        <v>5568</v>
      </c>
      <c r="C2498" s="257" t="s">
        <v>5</v>
      </c>
      <c r="D2498" s="259" t="s">
        <v>15720</v>
      </c>
      <c r="E2498" s="210" t="s">
        <v>201</v>
      </c>
    </row>
    <row r="2499" spans="1:5" ht="27">
      <c r="A2499" s="258">
        <v>91836</v>
      </c>
      <c r="B2499" s="257" t="s">
        <v>2004</v>
      </c>
      <c r="C2499" s="257" t="s">
        <v>5</v>
      </c>
      <c r="D2499" s="259" t="s">
        <v>15721</v>
      </c>
      <c r="E2499" s="210" t="s">
        <v>201</v>
      </c>
    </row>
    <row r="2500" spans="1:5" ht="27">
      <c r="A2500" s="258">
        <v>91837</v>
      </c>
      <c r="B2500" s="257" t="s">
        <v>5569</v>
      </c>
      <c r="C2500" s="257" t="s">
        <v>5</v>
      </c>
      <c r="D2500" s="259" t="s">
        <v>15722</v>
      </c>
      <c r="E2500" s="210" t="s">
        <v>201</v>
      </c>
    </row>
    <row r="2501" spans="1:5" ht="27">
      <c r="A2501" s="258">
        <v>91839</v>
      </c>
      <c r="B2501" s="257" t="s">
        <v>5570</v>
      </c>
      <c r="C2501" s="257" t="s">
        <v>5</v>
      </c>
      <c r="D2501" s="259" t="s">
        <v>15723</v>
      </c>
      <c r="E2501" s="210" t="s">
        <v>201</v>
      </c>
    </row>
    <row r="2502" spans="1:5" ht="27">
      <c r="A2502" s="258">
        <v>91840</v>
      </c>
      <c r="B2502" s="257" t="s">
        <v>5571</v>
      </c>
      <c r="C2502" s="257" t="s">
        <v>5</v>
      </c>
      <c r="D2502" s="259" t="s">
        <v>15724</v>
      </c>
      <c r="E2502" s="210" t="s">
        <v>201</v>
      </c>
    </row>
    <row r="2503" spans="1:5" ht="27">
      <c r="A2503" s="258">
        <v>91841</v>
      </c>
      <c r="B2503" s="257" t="s">
        <v>5572</v>
      </c>
      <c r="C2503" s="257" t="s">
        <v>5</v>
      </c>
      <c r="D2503" s="259" t="s">
        <v>15725</v>
      </c>
      <c r="E2503" s="210" t="s">
        <v>201</v>
      </c>
    </row>
    <row r="2504" spans="1:5" ht="27">
      <c r="A2504" s="258">
        <v>91842</v>
      </c>
      <c r="B2504" s="257" t="s">
        <v>2005</v>
      </c>
      <c r="C2504" s="257" t="s">
        <v>5</v>
      </c>
      <c r="D2504" s="259" t="s">
        <v>15726</v>
      </c>
      <c r="E2504" s="210" t="s">
        <v>201</v>
      </c>
    </row>
    <row r="2505" spans="1:5" ht="27">
      <c r="A2505" s="258">
        <v>91843</v>
      </c>
      <c r="B2505" s="257" t="s">
        <v>5573</v>
      </c>
      <c r="C2505" s="257" t="s">
        <v>5</v>
      </c>
      <c r="D2505" s="259" t="s">
        <v>15727</v>
      </c>
      <c r="E2505" s="210" t="s">
        <v>201</v>
      </c>
    </row>
    <row r="2506" spans="1:5" ht="27">
      <c r="A2506" s="258">
        <v>91844</v>
      </c>
      <c r="B2506" s="257" t="s">
        <v>2006</v>
      </c>
      <c r="C2506" s="257" t="s">
        <v>5</v>
      </c>
      <c r="D2506" s="259" t="s">
        <v>14012</v>
      </c>
      <c r="E2506" s="210" t="s">
        <v>201</v>
      </c>
    </row>
    <row r="2507" spans="1:5" ht="27">
      <c r="A2507" s="258">
        <v>91845</v>
      </c>
      <c r="B2507" s="257" t="s">
        <v>5574</v>
      </c>
      <c r="C2507" s="257" t="s">
        <v>5</v>
      </c>
      <c r="D2507" s="259" t="s">
        <v>15728</v>
      </c>
      <c r="E2507" s="210" t="s">
        <v>201</v>
      </c>
    </row>
    <row r="2508" spans="1:5" ht="27">
      <c r="A2508" s="258">
        <v>91846</v>
      </c>
      <c r="B2508" s="257" t="s">
        <v>2007</v>
      </c>
      <c r="C2508" s="257" t="s">
        <v>5</v>
      </c>
      <c r="D2508" s="259" t="s">
        <v>15220</v>
      </c>
      <c r="E2508" s="210" t="s">
        <v>201</v>
      </c>
    </row>
    <row r="2509" spans="1:5" ht="27">
      <c r="A2509" s="258">
        <v>91847</v>
      </c>
      <c r="B2509" s="257" t="s">
        <v>5575</v>
      </c>
      <c r="C2509" s="257" t="s">
        <v>5</v>
      </c>
      <c r="D2509" s="259" t="s">
        <v>15729</v>
      </c>
      <c r="E2509" s="210" t="s">
        <v>201</v>
      </c>
    </row>
    <row r="2510" spans="1:5" ht="27">
      <c r="A2510" s="258">
        <v>91849</v>
      </c>
      <c r="B2510" s="257" t="s">
        <v>5576</v>
      </c>
      <c r="C2510" s="257" t="s">
        <v>5</v>
      </c>
      <c r="D2510" s="259" t="s">
        <v>15730</v>
      </c>
      <c r="E2510" s="210" t="s">
        <v>201</v>
      </c>
    </row>
    <row r="2511" spans="1:5" ht="27">
      <c r="A2511" s="258">
        <v>91850</v>
      </c>
      <c r="B2511" s="257" t="s">
        <v>5577</v>
      </c>
      <c r="C2511" s="257" t="s">
        <v>5</v>
      </c>
      <c r="D2511" s="259" t="s">
        <v>15731</v>
      </c>
      <c r="E2511" s="210" t="s">
        <v>201</v>
      </c>
    </row>
    <row r="2512" spans="1:5" ht="27">
      <c r="A2512" s="258">
        <v>91851</v>
      </c>
      <c r="B2512" s="257" t="s">
        <v>5578</v>
      </c>
      <c r="C2512" s="257" t="s">
        <v>5</v>
      </c>
      <c r="D2512" s="259" t="s">
        <v>15732</v>
      </c>
      <c r="E2512" s="210" t="s">
        <v>201</v>
      </c>
    </row>
    <row r="2513" spans="1:5" ht="27">
      <c r="A2513" s="258">
        <v>91852</v>
      </c>
      <c r="B2513" s="257" t="s">
        <v>2008</v>
      </c>
      <c r="C2513" s="257" t="s">
        <v>5</v>
      </c>
      <c r="D2513" s="259" t="s">
        <v>15733</v>
      </c>
      <c r="E2513" s="210" t="s">
        <v>201</v>
      </c>
    </row>
    <row r="2514" spans="1:5" ht="27">
      <c r="A2514" s="258">
        <v>91853</v>
      </c>
      <c r="B2514" s="257" t="s">
        <v>5579</v>
      </c>
      <c r="C2514" s="257" t="s">
        <v>5</v>
      </c>
      <c r="D2514" s="259" t="s">
        <v>15444</v>
      </c>
      <c r="E2514" s="210" t="s">
        <v>201</v>
      </c>
    </row>
    <row r="2515" spans="1:5" ht="27">
      <c r="A2515" s="258">
        <v>91854</v>
      </c>
      <c r="B2515" s="257" t="s">
        <v>2009</v>
      </c>
      <c r="C2515" s="257" t="s">
        <v>5</v>
      </c>
      <c r="D2515" s="259" t="s">
        <v>13753</v>
      </c>
      <c r="E2515" s="210" t="s">
        <v>201</v>
      </c>
    </row>
    <row r="2516" spans="1:5" ht="27">
      <c r="A2516" s="258">
        <v>91855</v>
      </c>
      <c r="B2516" s="257" t="s">
        <v>5580</v>
      </c>
      <c r="C2516" s="257" t="s">
        <v>5</v>
      </c>
      <c r="D2516" s="259" t="s">
        <v>13543</v>
      </c>
      <c r="E2516" s="210" t="s">
        <v>201</v>
      </c>
    </row>
    <row r="2517" spans="1:5" ht="27">
      <c r="A2517" s="258">
        <v>91856</v>
      </c>
      <c r="B2517" s="257" t="s">
        <v>2010</v>
      </c>
      <c r="C2517" s="257" t="s">
        <v>5</v>
      </c>
      <c r="D2517" s="259" t="s">
        <v>15734</v>
      </c>
      <c r="E2517" s="210" t="s">
        <v>201</v>
      </c>
    </row>
    <row r="2518" spans="1:5" ht="27">
      <c r="A2518" s="258">
        <v>91857</v>
      </c>
      <c r="B2518" s="257" t="s">
        <v>5581</v>
      </c>
      <c r="C2518" s="257" t="s">
        <v>5</v>
      </c>
      <c r="D2518" s="259" t="s">
        <v>15735</v>
      </c>
      <c r="E2518" s="210" t="s">
        <v>201</v>
      </c>
    </row>
    <row r="2519" spans="1:5" ht="27">
      <c r="A2519" s="258">
        <v>91859</v>
      </c>
      <c r="B2519" s="257" t="s">
        <v>5582</v>
      </c>
      <c r="C2519" s="257" t="s">
        <v>5</v>
      </c>
      <c r="D2519" s="259" t="s">
        <v>15736</v>
      </c>
      <c r="E2519" s="210" t="s">
        <v>201</v>
      </c>
    </row>
    <row r="2520" spans="1:5" ht="27">
      <c r="A2520" s="258">
        <v>91860</v>
      </c>
      <c r="B2520" s="257" t="s">
        <v>5583</v>
      </c>
      <c r="C2520" s="257" t="s">
        <v>5</v>
      </c>
      <c r="D2520" s="259" t="s">
        <v>15737</v>
      </c>
      <c r="E2520" s="210" t="s">
        <v>201</v>
      </c>
    </row>
    <row r="2521" spans="1:5" ht="27">
      <c r="A2521" s="258">
        <v>91861</v>
      </c>
      <c r="B2521" s="257" t="s">
        <v>5584</v>
      </c>
      <c r="C2521" s="257" t="s">
        <v>5</v>
      </c>
      <c r="D2521" s="259" t="s">
        <v>15738</v>
      </c>
      <c r="E2521" s="210" t="s">
        <v>201</v>
      </c>
    </row>
    <row r="2522" spans="1:5" ht="27">
      <c r="A2522" s="258">
        <v>91862</v>
      </c>
      <c r="B2522" s="257" t="s">
        <v>2011</v>
      </c>
      <c r="C2522" s="257" t="s">
        <v>5</v>
      </c>
      <c r="D2522" s="259" t="s">
        <v>15438</v>
      </c>
      <c r="E2522" s="210" t="s">
        <v>201</v>
      </c>
    </row>
    <row r="2523" spans="1:5" ht="27">
      <c r="A2523" s="258">
        <v>91863</v>
      </c>
      <c r="B2523" s="257" t="s">
        <v>2012</v>
      </c>
      <c r="C2523" s="257" t="s">
        <v>5</v>
      </c>
      <c r="D2523" s="259" t="s">
        <v>15739</v>
      </c>
      <c r="E2523" s="210" t="s">
        <v>201</v>
      </c>
    </row>
    <row r="2524" spans="1:5" ht="27">
      <c r="A2524" s="258">
        <v>91864</v>
      </c>
      <c r="B2524" s="257" t="s">
        <v>2013</v>
      </c>
      <c r="C2524" s="257" t="s">
        <v>5</v>
      </c>
      <c r="D2524" s="259" t="s">
        <v>15740</v>
      </c>
      <c r="E2524" s="210" t="s">
        <v>201</v>
      </c>
    </row>
    <row r="2525" spans="1:5" ht="27">
      <c r="A2525" s="258">
        <v>91865</v>
      </c>
      <c r="B2525" s="257" t="s">
        <v>2014</v>
      </c>
      <c r="C2525" s="257" t="s">
        <v>5</v>
      </c>
      <c r="D2525" s="259" t="s">
        <v>15741</v>
      </c>
      <c r="E2525" s="210" t="s">
        <v>201</v>
      </c>
    </row>
    <row r="2526" spans="1:5" ht="27">
      <c r="A2526" s="258">
        <v>91866</v>
      </c>
      <c r="B2526" s="257" t="s">
        <v>2015</v>
      </c>
      <c r="C2526" s="257" t="s">
        <v>5</v>
      </c>
      <c r="D2526" s="259" t="s">
        <v>14635</v>
      </c>
      <c r="E2526" s="210" t="s">
        <v>201</v>
      </c>
    </row>
    <row r="2527" spans="1:5" ht="27">
      <c r="A2527" s="258">
        <v>91867</v>
      </c>
      <c r="B2527" s="257" t="s">
        <v>245</v>
      </c>
      <c r="C2527" s="257" t="s">
        <v>5</v>
      </c>
      <c r="D2527" s="259" t="s">
        <v>15222</v>
      </c>
      <c r="E2527" s="210" t="s">
        <v>201</v>
      </c>
    </row>
    <row r="2528" spans="1:5" ht="27">
      <c r="A2528" s="258">
        <v>91868</v>
      </c>
      <c r="B2528" s="257" t="s">
        <v>2016</v>
      </c>
      <c r="C2528" s="257" t="s">
        <v>5</v>
      </c>
      <c r="D2528" s="259" t="s">
        <v>15742</v>
      </c>
      <c r="E2528" s="210" t="s">
        <v>201</v>
      </c>
    </row>
    <row r="2529" spans="1:5" ht="27">
      <c r="A2529" s="258">
        <v>91869</v>
      </c>
      <c r="B2529" s="257" t="s">
        <v>2017</v>
      </c>
      <c r="C2529" s="257" t="s">
        <v>5</v>
      </c>
      <c r="D2529" s="259" t="s">
        <v>15743</v>
      </c>
      <c r="E2529" s="210" t="s">
        <v>201</v>
      </c>
    </row>
    <row r="2530" spans="1:5" ht="27">
      <c r="A2530" s="258">
        <v>91870</v>
      </c>
      <c r="B2530" s="257" t="s">
        <v>2018</v>
      </c>
      <c r="C2530" s="257" t="s">
        <v>5</v>
      </c>
      <c r="D2530" s="259" t="s">
        <v>15744</v>
      </c>
      <c r="E2530" s="210" t="s">
        <v>201</v>
      </c>
    </row>
    <row r="2531" spans="1:5" ht="27">
      <c r="A2531" s="258">
        <v>91871</v>
      </c>
      <c r="B2531" s="257" t="s">
        <v>246</v>
      </c>
      <c r="C2531" s="257" t="s">
        <v>5</v>
      </c>
      <c r="D2531" s="259" t="s">
        <v>15745</v>
      </c>
      <c r="E2531" s="210" t="s">
        <v>201</v>
      </c>
    </row>
    <row r="2532" spans="1:5" ht="27">
      <c r="A2532" s="258">
        <v>91872</v>
      </c>
      <c r="B2532" s="257" t="s">
        <v>247</v>
      </c>
      <c r="C2532" s="257" t="s">
        <v>5</v>
      </c>
      <c r="D2532" s="259" t="s">
        <v>15746</v>
      </c>
      <c r="E2532" s="210" t="s">
        <v>201</v>
      </c>
    </row>
    <row r="2533" spans="1:5" ht="27">
      <c r="A2533" s="258">
        <v>91873</v>
      </c>
      <c r="B2533" s="257" t="s">
        <v>257</v>
      </c>
      <c r="C2533" s="257" t="s">
        <v>5</v>
      </c>
      <c r="D2533" s="259" t="s">
        <v>15747</v>
      </c>
      <c r="E2533" s="210" t="s">
        <v>201</v>
      </c>
    </row>
    <row r="2534" spans="1:5" ht="13.5">
      <c r="A2534" s="258">
        <v>93008</v>
      </c>
      <c r="B2534" s="257" t="s">
        <v>2019</v>
      </c>
      <c r="C2534" s="257" t="s">
        <v>5</v>
      </c>
      <c r="D2534" s="259" t="s">
        <v>15748</v>
      </c>
      <c r="E2534" s="210" t="s">
        <v>201</v>
      </c>
    </row>
    <row r="2535" spans="1:5" ht="13.5">
      <c r="A2535" s="258">
        <v>93009</v>
      </c>
      <c r="B2535" s="257" t="s">
        <v>2020</v>
      </c>
      <c r="C2535" s="257" t="s">
        <v>5</v>
      </c>
      <c r="D2535" s="259" t="s">
        <v>15749</v>
      </c>
      <c r="E2535" s="210" t="s">
        <v>201</v>
      </c>
    </row>
    <row r="2536" spans="1:5" ht="13.5">
      <c r="A2536" s="258">
        <v>93010</v>
      </c>
      <c r="B2536" s="257" t="s">
        <v>2021</v>
      </c>
      <c r="C2536" s="257" t="s">
        <v>5</v>
      </c>
      <c r="D2536" s="259" t="s">
        <v>15750</v>
      </c>
      <c r="E2536" s="210" t="s">
        <v>201</v>
      </c>
    </row>
    <row r="2537" spans="1:5" ht="13.5">
      <c r="A2537" s="258">
        <v>93011</v>
      </c>
      <c r="B2537" s="257" t="s">
        <v>2022</v>
      </c>
      <c r="C2537" s="257" t="s">
        <v>5</v>
      </c>
      <c r="D2537" s="259" t="s">
        <v>15751</v>
      </c>
      <c r="E2537" s="210" t="s">
        <v>201</v>
      </c>
    </row>
    <row r="2538" spans="1:5" ht="13.5">
      <c r="A2538" s="258">
        <v>93012</v>
      </c>
      <c r="B2538" s="257" t="s">
        <v>2023</v>
      </c>
      <c r="C2538" s="257" t="s">
        <v>5</v>
      </c>
      <c r="D2538" s="259" t="s">
        <v>15752</v>
      </c>
      <c r="E2538" s="210" t="s">
        <v>201</v>
      </c>
    </row>
    <row r="2539" spans="1:5" ht="27">
      <c r="A2539" s="258">
        <v>95726</v>
      </c>
      <c r="B2539" s="257" t="s">
        <v>2024</v>
      </c>
      <c r="C2539" s="257" t="s">
        <v>5</v>
      </c>
      <c r="D2539" s="259" t="s">
        <v>14439</v>
      </c>
      <c r="E2539" s="210" t="s">
        <v>201</v>
      </c>
    </row>
    <row r="2540" spans="1:5" ht="27">
      <c r="A2540" s="258">
        <v>95727</v>
      </c>
      <c r="B2540" s="257" t="s">
        <v>2025</v>
      </c>
      <c r="C2540" s="257" t="s">
        <v>5</v>
      </c>
      <c r="D2540" s="259" t="s">
        <v>15502</v>
      </c>
      <c r="E2540" s="210" t="s">
        <v>201</v>
      </c>
    </row>
    <row r="2541" spans="1:5" ht="27">
      <c r="A2541" s="258">
        <v>95728</v>
      </c>
      <c r="B2541" s="257" t="s">
        <v>2026</v>
      </c>
      <c r="C2541" s="257" t="s">
        <v>5</v>
      </c>
      <c r="D2541" s="259" t="s">
        <v>15434</v>
      </c>
      <c r="E2541" s="210" t="s">
        <v>201</v>
      </c>
    </row>
    <row r="2542" spans="1:5" ht="27">
      <c r="A2542" s="258">
        <v>95729</v>
      </c>
      <c r="B2542" s="257" t="s">
        <v>2027</v>
      </c>
      <c r="C2542" s="257" t="s">
        <v>5</v>
      </c>
      <c r="D2542" s="259" t="s">
        <v>14740</v>
      </c>
      <c r="E2542" s="210" t="s">
        <v>201</v>
      </c>
    </row>
    <row r="2543" spans="1:5" ht="27">
      <c r="A2543" s="258">
        <v>95730</v>
      </c>
      <c r="B2543" s="257" t="s">
        <v>2028</v>
      </c>
      <c r="C2543" s="257" t="s">
        <v>5</v>
      </c>
      <c r="D2543" s="259" t="s">
        <v>15454</v>
      </c>
      <c r="E2543" s="210" t="s">
        <v>201</v>
      </c>
    </row>
    <row r="2544" spans="1:5" ht="27">
      <c r="A2544" s="258">
        <v>95731</v>
      </c>
      <c r="B2544" s="257" t="s">
        <v>2029</v>
      </c>
      <c r="C2544" s="257" t="s">
        <v>5</v>
      </c>
      <c r="D2544" s="259" t="s">
        <v>15721</v>
      </c>
      <c r="E2544" s="210" t="s">
        <v>201</v>
      </c>
    </row>
    <row r="2545" spans="1:5" ht="27">
      <c r="A2545" s="258">
        <v>95732</v>
      </c>
      <c r="B2545" s="257" t="s">
        <v>2030</v>
      </c>
      <c r="C2545" s="257" t="s">
        <v>90</v>
      </c>
      <c r="D2545" s="259" t="s">
        <v>14453</v>
      </c>
      <c r="E2545" s="210" t="s">
        <v>201</v>
      </c>
    </row>
    <row r="2546" spans="1:5" ht="27">
      <c r="A2546" s="258">
        <v>95745</v>
      </c>
      <c r="B2546" s="257" t="s">
        <v>2031</v>
      </c>
      <c r="C2546" s="257" t="s">
        <v>5</v>
      </c>
      <c r="D2546" s="259" t="s">
        <v>15753</v>
      </c>
      <c r="E2546" s="210" t="s">
        <v>201</v>
      </c>
    </row>
    <row r="2547" spans="1:5" ht="27">
      <c r="A2547" s="258">
        <v>95746</v>
      </c>
      <c r="B2547" s="257" t="s">
        <v>2032</v>
      </c>
      <c r="C2547" s="257" t="s">
        <v>5</v>
      </c>
      <c r="D2547" s="259" t="s">
        <v>15754</v>
      </c>
      <c r="E2547" s="210" t="s">
        <v>201</v>
      </c>
    </row>
    <row r="2548" spans="1:5" ht="27">
      <c r="A2548" s="258">
        <v>95747</v>
      </c>
      <c r="B2548" s="257" t="s">
        <v>2033</v>
      </c>
      <c r="C2548" s="257" t="s">
        <v>5</v>
      </c>
      <c r="D2548" s="259" t="s">
        <v>15755</v>
      </c>
      <c r="E2548" s="210" t="s">
        <v>201</v>
      </c>
    </row>
    <row r="2549" spans="1:5" ht="27">
      <c r="A2549" s="258">
        <v>95748</v>
      </c>
      <c r="B2549" s="257" t="s">
        <v>2034</v>
      </c>
      <c r="C2549" s="257" t="s">
        <v>5</v>
      </c>
      <c r="D2549" s="259" t="s">
        <v>15354</v>
      </c>
      <c r="E2549" s="210" t="s">
        <v>201</v>
      </c>
    </row>
    <row r="2550" spans="1:5" ht="27">
      <c r="A2550" s="258">
        <v>95749</v>
      </c>
      <c r="B2550" s="257" t="s">
        <v>2035</v>
      </c>
      <c r="C2550" s="257" t="s">
        <v>5</v>
      </c>
      <c r="D2550" s="259" t="s">
        <v>15756</v>
      </c>
      <c r="E2550" s="210" t="s">
        <v>201</v>
      </c>
    </row>
    <row r="2551" spans="1:5" ht="27">
      <c r="A2551" s="258">
        <v>95750</v>
      </c>
      <c r="B2551" s="257" t="s">
        <v>2036</v>
      </c>
      <c r="C2551" s="257" t="s">
        <v>5</v>
      </c>
      <c r="D2551" s="259" t="s">
        <v>15757</v>
      </c>
      <c r="E2551" s="210" t="s">
        <v>201</v>
      </c>
    </row>
    <row r="2552" spans="1:5" ht="27">
      <c r="A2552" s="258">
        <v>95751</v>
      </c>
      <c r="B2552" s="257" t="s">
        <v>2037</v>
      </c>
      <c r="C2552" s="257" t="s">
        <v>5</v>
      </c>
      <c r="D2552" s="259" t="s">
        <v>15758</v>
      </c>
      <c r="E2552" s="210" t="s">
        <v>201</v>
      </c>
    </row>
    <row r="2553" spans="1:5" ht="27">
      <c r="A2553" s="258">
        <v>95752</v>
      </c>
      <c r="B2553" s="257" t="s">
        <v>2038</v>
      </c>
      <c r="C2553" s="257" t="s">
        <v>5</v>
      </c>
      <c r="D2553" s="259" t="s">
        <v>15759</v>
      </c>
      <c r="E2553" s="210" t="s">
        <v>201</v>
      </c>
    </row>
    <row r="2554" spans="1:5" ht="13.5">
      <c r="A2554" s="258">
        <v>97667</v>
      </c>
      <c r="B2554" s="257" t="s">
        <v>5585</v>
      </c>
      <c r="C2554" s="257" t="s">
        <v>5</v>
      </c>
      <c r="D2554" s="259" t="s">
        <v>15760</v>
      </c>
      <c r="E2554" s="210" t="s">
        <v>201</v>
      </c>
    </row>
    <row r="2555" spans="1:5" ht="13.5">
      <c r="A2555" s="258">
        <v>97668</v>
      </c>
      <c r="B2555" s="257" t="s">
        <v>5586</v>
      </c>
      <c r="C2555" s="257" t="s">
        <v>5</v>
      </c>
      <c r="D2555" s="259" t="s">
        <v>14336</v>
      </c>
      <c r="E2555" s="210" t="s">
        <v>201</v>
      </c>
    </row>
    <row r="2556" spans="1:5" ht="13.5">
      <c r="A2556" s="258">
        <v>97669</v>
      </c>
      <c r="B2556" s="257" t="s">
        <v>5587</v>
      </c>
      <c r="C2556" s="257" t="s">
        <v>5</v>
      </c>
      <c r="D2556" s="259" t="s">
        <v>15761</v>
      </c>
      <c r="E2556" s="210" t="s">
        <v>201</v>
      </c>
    </row>
    <row r="2557" spans="1:5" ht="13.5">
      <c r="A2557" s="258">
        <v>97670</v>
      </c>
      <c r="B2557" s="257" t="s">
        <v>5588</v>
      </c>
      <c r="C2557" s="257" t="s">
        <v>5</v>
      </c>
      <c r="D2557" s="259" t="s">
        <v>13550</v>
      </c>
      <c r="E2557" s="210" t="s">
        <v>201</v>
      </c>
    </row>
    <row r="2558" spans="1:5" ht="13.5">
      <c r="A2558" s="258">
        <v>72263</v>
      </c>
      <c r="B2558" s="257" t="s">
        <v>255</v>
      </c>
      <c r="C2558" s="257" t="s">
        <v>90</v>
      </c>
      <c r="D2558" s="259" t="s">
        <v>15762</v>
      </c>
      <c r="E2558" s="210" t="s">
        <v>201</v>
      </c>
    </row>
    <row r="2559" spans="1:5" ht="13.5">
      <c r="A2559" s="258">
        <v>72271</v>
      </c>
      <c r="B2559" s="257" t="s">
        <v>2039</v>
      </c>
      <c r="C2559" s="257" t="s">
        <v>90</v>
      </c>
      <c r="D2559" s="259" t="s">
        <v>15763</v>
      </c>
      <c r="E2559" s="210" t="s">
        <v>201</v>
      </c>
    </row>
    <row r="2560" spans="1:5" ht="13.5">
      <c r="A2560" s="258">
        <v>72272</v>
      </c>
      <c r="B2560" s="257" t="s">
        <v>2040</v>
      </c>
      <c r="C2560" s="257" t="s">
        <v>90</v>
      </c>
      <c r="D2560" s="259" t="s">
        <v>15764</v>
      </c>
      <c r="E2560" s="210" t="s">
        <v>201</v>
      </c>
    </row>
    <row r="2561" spans="1:5" ht="27">
      <c r="A2561" s="258">
        <v>91874</v>
      </c>
      <c r="B2561" s="257" t="s">
        <v>2041</v>
      </c>
      <c r="C2561" s="257" t="s">
        <v>90</v>
      </c>
      <c r="D2561" s="260" t="s">
        <v>15765</v>
      </c>
      <c r="E2561" s="210" t="s">
        <v>201</v>
      </c>
    </row>
    <row r="2562" spans="1:5" ht="27">
      <c r="A2562" s="258">
        <v>91875</v>
      </c>
      <c r="B2562" s="257" t="s">
        <v>2042</v>
      </c>
      <c r="C2562" s="257" t="s">
        <v>90</v>
      </c>
      <c r="D2562" s="259" t="s">
        <v>15766</v>
      </c>
      <c r="E2562" s="210" t="s">
        <v>201</v>
      </c>
    </row>
    <row r="2563" spans="1:5" ht="27">
      <c r="A2563" s="258">
        <v>91876</v>
      </c>
      <c r="B2563" s="257" t="s">
        <v>2043</v>
      </c>
      <c r="C2563" s="257" t="s">
        <v>90</v>
      </c>
      <c r="D2563" s="259" t="s">
        <v>15767</v>
      </c>
      <c r="E2563" s="210" t="s">
        <v>201</v>
      </c>
    </row>
    <row r="2564" spans="1:5" ht="27">
      <c r="A2564" s="258">
        <v>91877</v>
      </c>
      <c r="B2564" s="257" t="s">
        <v>2044</v>
      </c>
      <c r="C2564" s="257" t="s">
        <v>90</v>
      </c>
      <c r="D2564" s="259" t="s">
        <v>15428</v>
      </c>
      <c r="E2564" s="210" t="s">
        <v>201</v>
      </c>
    </row>
    <row r="2565" spans="1:5" ht="27">
      <c r="A2565" s="258">
        <v>91878</v>
      </c>
      <c r="B2565" s="257" t="s">
        <v>2045</v>
      </c>
      <c r="C2565" s="257" t="s">
        <v>90</v>
      </c>
      <c r="D2565" s="260" t="s">
        <v>13619</v>
      </c>
      <c r="E2565" s="210" t="s">
        <v>201</v>
      </c>
    </row>
    <row r="2566" spans="1:5" ht="27">
      <c r="A2566" s="257">
        <v>91879</v>
      </c>
      <c r="B2566" s="257" t="s">
        <v>2046</v>
      </c>
      <c r="C2566" s="257" t="s">
        <v>90</v>
      </c>
      <c r="D2566" s="260" t="s">
        <v>15467</v>
      </c>
      <c r="E2566" s="210" t="s">
        <v>201</v>
      </c>
    </row>
    <row r="2567" spans="1:5" ht="27">
      <c r="A2567" s="257">
        <v>91880</v>
      </c>
      <c r="B2567" s="257" t="s">
        <v>2047</v>
      </c>
      <c r="C2567" s="257" t="s">
        <v>90</v>
      </c>
      <c r="D2567" s="259" t="s">
        <v>14273</v>
      </c>
      <c r="E2567" s="210" t="s">
        <v>201</v>
      </c>
    </row>
    <row r="2568" spans="1:5" ht="27">
      <c r="A2568" s="257">
        <v>91881</v>
      </c>
      <c r="B2568" s="257" t="s">
        <v>2048</v>
      </c>
      <c r="C2568" s="257" t="s">
        <v>90</v>
      </c>
      <c r="D2568" s="259" t="s">
        <v>14147</v>
      </c>
      <c r="E2568" s="210" t="s">
        <v>201</v>
      </c>
    </row>
    <row r="2569" spans="1:5" ht="27">
      <c r="A2569" s="257">
        <v>91882</v>
      </c>
      <c r="B2569" s="257" t="s">
        <v>2049</v>
      </c>
      <c r="C2569" s="257" t="s">
        <v>90</v>
      </c>
      <c r="D2569" s="259" t="s">
        <v>15768</v>
      </c>
      <c r="E2569" s="210" t="s">
        <v>201</v>
      </c>
    </row>
    <row r="2570" spans="1:5" ht="27">
      <c r="A2570" s="257">
        <v>91884</v>
      </c>
      <c r="B2570" s="257" t="s">
        <v>2050</v>
      </c>
      <c r="C2570" s="257" t="s">
        <v>90</v>
      </c>
      <c r="D2570" s="259" t="s">
        <v>15769</v>
      </c>
      <c r="E2570" s="210" t="s">
        <v>201</v>
      </c>
    </row>
    <row r="2571" spans="1:5" ht="27">
      <c r="A2571" s="257">
        <v>91885</v>
      </c>
      <c r="B2571" s="257" t="s">
        <v>2051</v>
      </c>
      <c r="C2571" s="257" t="s">
        <v>90</v>
      </c>
      <c r="D2571" s="259" t="s">
        <v>15770</v>
      </c>
      <c r="E2571" s="210" t="s">
        <v>201</v>
      </c>
    </row>
    <row r="2572" spans="1:5" ht="27">
      <c r="A2572" s="257">
        <v>91886</v>
      </c>
      <c r="B2572" s="257" t="s">
        <v>2052</v>
      </c>
      <c r="C2572" s="257" t="s">
        <v>90</v>
      </c>
      <c r="D2572" s="259" t="s">
        <v>15771</v>
      </c>
      <c r="E2572" s="210" t="s">
        <v>201</v>
      </c>
    </row>
    <row r="2573" spans="1:5" ht="27">
      <c r="A2573" s="257">
        <v>91887</v>
      </c>
      <c r="B2573" s="257" t="s">
        <v>2053</v>
      </c>
      <c r="C2573" s="257" t="s">
        <v>90</v>
      </c>
      <c r="D2573" s="259" t="s">
        <v>15471</v>
      </c>
      <c r="E2573" s="210" t="s">
        <v>201</v>
      </c>
    </row>
    <row r="2574" spans="1:5" ht="27">
      <c r="A2574" s="257">
        <v>91889</v>
      </c>
      <c r="B2574" s="257" t="s">
        <v>2054</v>
      </c>
      <c r="C2574" s="257" t="s">
        <v>90</v>
      </c>
      <c r="D2574" s="260" t="s">
        <v>15772</v>
      </c>
      <c r="E2574" s="210" t="s">
        <v>201</v>
      </c>
    </row>
    <row r="2575" spans="1:5" ht="27">
      <c r="A2575" s="257">
        <v>91890</v>
      </c>
      <c r="B2575" s="257" t="s">
        <v>2055</v>
      </c>
      <c r="C2575" s="257" t="s">
        <v>90</v>
      </c>
      <c r="D2575" s="260" t="s">
        <v>14736</v>
      </c>
      <c r="E2575" s="210" t="s">
        <v>201</v>
      </c>
    </row>
    <row r="2576" spans="1:5" ht="27">
      <c r="A2576" s="257">
        <v>91892</v>
      </c>
      <c r="B2576" s="257" t="s">
        <v>2056</v>
      </c>
      <c r="C2576" s="257" t="s">
        <v>90</v>
      </c>
      <c r="D2576" s="259" t="s">
        <v>15773</v>
      </c>
      <c r="E2576" s="210" t="s">
        <v>201</v>
      </c>
    </row>
    <row r="2577" spans="1:5" ht="27">
      <c r="A2577" s="257">
        <v>91893</v>
      </c>
      <c r="B2577" s="257" t="s">
        <v>248</v>
      </c>
      <c r="C2577" s="257" t="s">
        <v>90</v>
      </c>
      <c r="D2577" s="259" t="s">
        <v>15774</v>
      </c>
      <c r="E2577" s="210" t="s">
        <v>201</v>
      </c>
    </row>
    <row r="2578" spans="1:5" ht="27">
      <c r="A2578" s="257">
        <v>91895</v>
      </c>
      <c r="B2578" s="257" t="s">
        <v>5589</v>
      </c>
      <c r="C2578" s="257" t="s">
        <v>90</v>
      </c>
      <c r="D2578" s="259" t="s">
        <v>14484</v>
      </c>
      <c r="E2578" s="210" t="s">
        <v>201</v>
      </c>
    </row>
    <row r="2579" spans="1:5" ht="27">
      <c r="A2579" s="257">
        <v>91896</v>
      </c>
      <c r="B2579" s="257" t="s">
        <v>2057</v>
      </c>
      <c r="C2579" s="257" t="s">
        <v>90</v>
      </c>
      <c r="D2579" s="259" t="s">
        <v>15775</v>
      </c>
      <c r="E2579" s="210" t="s">
        <v>201</v>
      </c>
    </row>
    <row r="2580" spans="1:5" ht="27">
      <c r="A2580" s="257">
        <v>91898</v>
      </c>
      <c r="B2580" s="257" t="s">
        <v>2058</v>
      </c>
      <c r="C2580" s="257" t="s">
        <v>90</v>
      </c>
      <c r="D2580" s="260" t="s">
        <v>15776</v>
      </c>
      <c r="E2580" s="210" t="s">
        <v>201</v>
      </c>
    </row>
    <row r="2581" spans="1:5" ht="27">
      <c r="A2581" s="257">
        <v>91899</v>
      </c>
      <c r="B2581" s="257" t="s">
        <v>2059</v>
      </c>
      <c r="C2581" s="257" t="s">
        <v>90</v>
      </c>
      <c r="D2581" s="259" t="s">
        <v>15666</v>
      </c>
      <c r="E2581" s="210" t="s">
        <v>201</v>
      </c>
    </row>
    <row r="2582" spans="1:5" ht="27">
      <c r="A2582" s="257">
        <v>91901</v>
      </c>
      <c r="B2582" s="257" t="s">
        <v>2060</v>
      </c>
      <c r="C2582" s="257" t="s">
        <v>90</v>
      </c>
      <c r="D2582" s="260" t="s">
        <v>15777</v>
      </c>
      <c r="E2582" s="210" t="s">
        <v>201</v>
      </c>
    </row>
    <row r="2583" spans="1:5" ht="27">
      <c r="A2583" s="258">
        <v>91902</v>
      </c>
      <c r="B2583" s="257" t="s">
        <v>2061</v>
      </c>
      <c r="C2583" s="257" t="s">
        <v>90</v>
      </c>
      <c r="D2583" s="259" t="s">
        <v>15725</v>
      </c>
      <c r="E2583" s="210" t="s">
        <v>201</v>
      </c>
    </row>
    <row r="2584" spans="1:5" ht="27">
      <c r="A2584" s="258">
        <v>91904</v>
      </c>
      <c r="B2584" s="257" t="s">
        <v>2062</v>
      </c>
      <c r="C2584" s="257" t="s">
        <v>90</v>
      </c>
      <c r="D2584" s="259" t="s">
        <v>15735</v>
      </c>
      <c r="E2584" s="210" t="s">
        <v>201</v>
      </c>
    </row>
    <row r="2585" spans="1:5" ht="27">
      <c r="A2585" s="258">
        <v>91905</v>
      </c>
      <c r="B2585" s="257" t="s">
        <v>2063</v>
      </c>
      <c r="C2585" s="257" t="s">
        <v>90</v>
      </c>
      <c r="D2585" s="259" t="s">
        <v>14473</v>
      </c>
      <c r="E2585" s="210" t="s">
        <v>201</v>
      </c>
    </row>
    <row r="2586" spans="1:5" ht="27">
      <c r="A2586" s="258">
        <v>91907</v>
      </c>
      <c r="B2586" s="257" t="s">
        <v>5590</v>
      </c>
      <c r="C2586" s="257" t="s">
        <v>90</v>
      </c>
      <c r="D2586" s="259" t="s">
        <v>15778</v>
      </c>
      <c r="E2586" s="210" t="s">
        <v>201</v>
      </c>
    </row>
    <row r="2587" spans="1:5" ht="27">
      <c r="A2587" s="258">
        <v>91908</v>
      </c>
      <c r="B2587" s="257" t="s">
        <v>2064</v>
      </c>
      <c r="C2587" s="257" t="s">
        <v>90</v>
      </c>
      <c r="D2587" s="259" t="s">
        <v>15779</v>
      </c>
      <c r="E2587" s="210" t="s">
        <v>201</v>
      </c>
    </row>
    <row r="2588" spans="1:5" ht="27">
      <c r="A2588" s="258">
        <v>91910</v>
      </c>
      <c r="B2588" s="257" t="s">
        <v>2065</v>
      </c>
      <c r="C2588" s="257" t="s">
        <v>90</v>
      </c>
      <c r="D2588" s="259" t="s">
        <v>15780</v>
      </c>
      <c r="E2588" s="210" t="s">
        <v>201</v>
      </c>
    </row>
    <row r="2589" spans="1:5" ht="27">
      <c r="A2589" s="258">
        <v>91911</v>
      </c>
      <c r="B2589" s="257" t="s">
        <v>2066</v>
      </c>
      <c r="C2589" s="257" t="s">
        <v>90</v>
      </c>
      <c r="D2589" s="259" t="s">
        <v>15781</v>
      </c>
      <c r="E2589" s="210" t="s">
        <v>201</v>
      </c>
    </row>
    <row r="2590" spans="1:5" ht="27">
      <c r="A2590" s="258">
        <v>91913</v>
      </c>
      <c r="B2590" s="257" t="s">
        <v>2067</v>
      </c>
      <c r="C2590" s="257" t="s">
        <v>90</v>
      </c>
      <c r="D2590" s="259" t="s">
        <v>15782</v>
      </c>
      <c r="E2590" s="210" t="s">
        <v>201</v>
      </c>
    </row>
    <row r="2591" spans="1:5" ht="27">
      <c r="A2591" s="258">
        <v>91914</v>
      </c>
      <c r="B2591" s="257" t="s">
        <v>2068</v>
      </c>
      <c r="C2591" s="257" t="s">
        <v>90</v>
      </c>
      <c r="D2591" s="259" t="s">
        <v>15783</v>
      </c>
      <c r="E2591" s="210" t="s">
        <v>201</v>
      </c>
    </row>
    <row r="2592" spans="1:5" ht="27">
      <c r="A2592" s="258">
        <v>91916</v>
      </c>
      <c r="B2592" s="257" t="s">
        <v>2069</v>
      </c>
      <c r="C2592" s="257" t="s">
        <v>90</v>
      </c>
      <c r="D2592" s="259" t="s">
        <v>15784</v>
      </c>
      <c r="E2592" s="210" t="s">
        <v>201</v>
      </c>
    </row>
    <row r="2593" spans="1:5" ht="27">
      <c r="A2593" s="258">
        <v>91917</v>
      </c>
      <c r="B2593" s="257" t="s">
        <v>2070</v>
      </c>
      <c r="C2593" s="257" t="s">
        <v>90</v>
      </c>
      <c r="D2593" s="259" t="s">
        <v>15785</v>
      </c>
      <c r="E2593" s="210" t="s">
        <v>201</v>
      </c>
    </row>
    <row r="2594" spans="1:5" ht="27">
      <c r="A2594" s="258">
        <v>91919</v>
      </c>
      <c r="B2594" s="257" t="s">
        <v>5591</v>
      </c>
      <c r="C2594" s="257" t="s">
        <v>90</v>
      </c>
      <c r="D2594" s="259" t="s">
        <v>15786</v>
      </c>
      <c r="E2594" s="210" t="s">
        <v>201</v>
      </c>
    </row>
    <row r="2595" spans="1:5" ht="27">
      <c r="A2595" s="258">
        <v>91920</v>
      </c>
      <c r="B2595" s="257" t="s">
        <v>2071</v>
      </c>
      <c r="C2595" s="257" t="s">
        <v>90</v>
      </c>
      <c r="D2595" s="259" t="s">
        <v>15787</v>
      </c>
      <c r="E2595" s="210" t="s">
        <v>201</v>
      </c>
    </row>
    <row r="2596" spans="1:5" ht="27">
      <c r="A2596" s="258">
        <v>91922</v>
      </c>
      <c r="B2596" s="257" t="s">
        <v>2072</v>
      </c>
      <c r="C2596" s="257" t="s">
        <v>90</v>
      </c>
      <c r="D2596" s="259" t="s">
        <v>14943</v>
      </c>
      <c r="E2596" s="210" t="s">
        <v>201</v>
      </c>
    </row>
    <row r="2597" spans="1:5" ht="27">
      <c r="A2597" s="258">
        <v>93013</v>
      </c>
      <c r="B2597" s="257" t="s">
        <v>2073</v>
      </c>
      <c r="C2597" s="257" t="s">
        <v>90</v>
      </c>
      <c r="D2597" s="259" t="s">
        <v>15788</v>
      </c>
      <c r="E2597" s="210" t="s">
        <v>201</v>
      </c>
    </row>
    <row r="2598" spans="1:5" ht="13.5">
      <c r="A2598" s="258">
        <v>93014</v>
      </c>
      <c r="B2598" s="257" t="s">
        <v>2074</v>
      </c>
      <c r="C2598" s="257" t="s">
        <v>90</v>
      </c>
      <c r="D2598" s="259" t="s">
        <v>15259</v>
      </c>
      <c r="E2598" s="210" t="s">
        <v>201</v>
      </c>
    </row>
    <row r="2599" spans="1:5" ht="27">
      <c r="A2599" s="258">
        <v>93015</v>
      </c>
      <c r="B2599" s="257" t="s">
        <v>2075</v>
      </c>
      <c r="C2599" s="257" t="s">
        <v>90</v>
      </c>
      <c r="D2599" s="259" t="s">
        <v>15789</v>
      </c>
      <c r="E2599" s="210" t="s">
        <v>201</v>
      </c>
    </row>
    <row r="2600" spans="1:5" ht="13.5">
      <c r="A2600" s="258">
        <v>93016</v>
      </c>
      <c r="B2600" s="257" t="s">
        <v>2076</v>
      </c>
      <c r="C2600" s="257" t="s">
        <v>90</v>
      </c>
      <c r="D2600" s="259" t="s">
        <v>15790</v>
      </c>
      <c r="E2600" s="210" t="s">
        <v>201</v>
      </c>
    </row>
    <row r="2601" spans="1:5" ht="13.5">
      <c r="A2601" s="258">
        <v>93017</v>
      </c>
      <c r="B2601" s="257" t="s">
        <v>2077</v>
      </c>
      <c r="C2601" s="257" t="s">
        <v>90</v>
      </c>
      <c r="D2601" s="259" t="s">
        <v>15791</v>
      </c>
      <c r="E2601" s="210" t="s">
        <v>201</v>
      </c>
    </row>
    <row r="2602" spans="1:5" ht="27">
      <c r="A2602" s="258">
        <v>93018</v>
      </c>
      <c r="B2602" s="257" t="s">
        <v>2078</v>
      </c>
      <c r="C2602" s="257" t="s">
        <v>90</v>
      </c>
      <c r="D2602" s="259" t="s">
        <v>15753</v>
      </c>
      <c r="E2602" s="210" t="s">
        <v>201</v>
      </c>
    </row>
    <row r="2603" spans="1:5" ht="27">
      <c r="A2603" s="258">
        <v>93020</v>
      </c>
      <c r="B2603" s="257" t="s">
        <v>2079</v>
      </c>
      <c r="C2603" s="257" t="s">
        <v>90</v>
      </c>
      <c r="D2603" s="259" t="s">
        <v>15256</v>
      </c>
      <c r="E2603" s="210" t="s">
        <v>201</v>
      </c>
    </row>
    <row r="2604" spans="1:5" ht="27">
      <c r="A2604" s="258">
        <v>93022</v>
      </c>
      <c r="B2604" s="257" t="s">
        <v>2080</v>
      </c>
      <c r="C2604" s="257" t="s">
        <v>90</v>
      </c>
      <c r="D2604" s="259" t="s">
        <v>15792</v>
      </c>
      <c r="E2604" s="210" t="s">
        <v>201</v>
      </c>
    </row>
    <row r="2605" spans="1:5" ht="27">
      <c r="A2605" s="258">
        <v>93024</v>
      </c>
      <c r="B2605" s="257" t="s">
        <v>2081</v>
      </c>
      <c r="C2605" s="257" t="s">
        <v>90</v>
      </c>
      <c r="D2605" s="259" t="s">
        <v>15793</v>
      </c>
      <c r="E2605" s="210" t="s">
        <v>201</v>
      </c>
    </row>
    <row r="2606" spans="1:5" ht="27">
      <c r="A2606" s="258">
        <v>93026</v>
      </c>
      <c r="B2606" s="257" t="s">
        <v>2082</v>
      </c>
      <c r="C2606" s="257" t="s">
        <v>90</v>
      </c>
      <c r="D2606" s="259" t="s">
        <v>15794</v>
      </c>
      <c r="E2606" s="210" t="s">
        <v>201</v>
      </c>
    </row>
    <row r="2607" spans="1:5" ht="27">
      <c r="A2607" s="258">
        <v>95733</v>
      </c>
      <c r="B2607" s="257" t="s">
        <v>2083</v>
      </c>
      <c r="C2607" s="257" t="s">
        <v>90</v>
      </c>
      <c r="D2607" s="259" t="s">
        <v>15795</v>
      </c>
      <c r="E2607" s="210" t="s">
        <v>201</v>
      </c>
    </row>
    <row r="2608" spans="1:5" ht="27">
      <c r="A2608" s="258">
        <v>95734</v>
      </c>
      <c r="B2608" s="257" t="s">
        <v>2084</v>
      </c>
      <c r="C2608" s="257" t="s">
        <v>90</v>
      </c>
      <c r="D2608" s="259" t="s">
        <v>15796</v>
      </c>
      <c r="E2608" s="210" t="s">
        <v>201</v>
      </c>
    </row>
    <row r="2609" spans="1:5" ht="27">
      <c r="A2609" s="258">
        <v>95735</v>
      </c>
      <c r="B2609" s="257" t="s">
        <v>2085</v>
      </c>
      <c r="C2609" s="257" t="s">
        <v>90</v>
      </c>
      <c r="D2609" s="259" t="s">
        <v>15797</v>
      </c>
      <c r="E2609" s="210" t="s">
        <v>201</v>
      </c>
    </row>
    <row r="2610" spans="1:5" ht="27">
      <c r="A2610" s="258">
        <v>95736</v>
      </c>
      <c r="B2610" s="257" t="s">
        <v>2086</v>
      </c>
      <c r="C2610" s="257" t="s">
        <v>90</v>
      </c>
      <c r="D2610" s="259" t="s">
        <v>15798</v>
      </c>
      <c r="E2610" s="210" t="s">
        <v>201</v>
      </c>
    </row>
    <row r="2611" spans="1:5" ht="27">
      <c r="A2611" s="258">
        <v>95738</v>
      </c>
      <c r="B2611" s="257" t="s">
        <v>2087</v>
      </c>
      <c r="C2611" s="257" t="s">
        <v>90</v>
      </c>
      <c r="D2611" s="259" t="s">
        <v>14238</v>
      </c>
      <c r="E2611" s="210" t="s">
        <v>201</v>
      </c>
    </row>
    <row r="2612" spans="1:5" ht="27">
      <c r="A2612" s="258">
        <v>95753</v>
      </c>
      <c r="B2612" s="257" t="s">
        <v>2088</v>
      </c>
      <c r="C2612" s="257" t="s">
        <v>90</v>
      </c>
      <c r="D2612" s="259" t="s">
        <v>15799</v>
      </c>
      <c r="E2612" s="210" t="s">
        <v>201</v>
      </c>
    </row>
    <row r="2613" spans="1:5" ht="27">
      <c r="A2613" s="258">
        <v>95754</v>
      </c>
      <c r="B2613" s="257" t="s">
        <v>2089</v>
      </c>
      <c r="C2613" s="257" t="s">
        <v>90</v>
      </c>
      <c r="D2613" s="259" t="s">
        <v>15800</v>
      </c>
      <c r="E2613" s="210" t="s">
        <v>201</v>
      </c>
    </row>
    <row r="2614" spans="1:5" ht="27">
      <c r="A2614" s="258">
        <v>95755</v>
      </c>
      <c r="B2614" s="257" t="s">
        <v>2090</v>
      </c>
      <c r="C2614" s="257" t="s">
        <v>90</v>
      </c>
      <c r="D2614" s="259" t="s">
        <v>15801</v>
      </c>
      <c r="E2614" s="210" t="s">
        <v>201</v>
      </c>
    </row>
    <row r="2615" spans="1:5" ht="27">
      <c r="A2615" s="258">
        <v>95756</v>
      </c>
      <c r="B2615" s="257" t="s">
        <v>2091</v>
      </c>
      <c r="C2615" s="257" t="s">
        <v>90</v>
      </c>
      <c r="D2615" s="259" t="s">
        <v>15802</v>
      </c>
      <c r="E2615" s="210" t="s">
        <v>201</v>
      </c>
    </row>
    <row r="2616" spans="1:5" ht="27">
      <c r="A2616" s="258">
        <v>95757</v>
      </c>
      <c r="B2616" s="257" t="s">
        <v>2092</v>
      </c>
      <c r="C2616" s="257" t="s">
        <v>90</v>
      </c>
      <c r="D2616" s="259" t="s">
        <v>13754</v>
      </c>
      <c r="E2616" s="210" t="s">
        <v>201</v>
      </c>
    </row>
    <row r="2617" spans="1:5" ht="27">
      <c r="A2617" s="258">
        <v>95758</v>
      </c>
      <c r="B2617" s="257" t="s">
        <v>2093</v>
      </c>
      <c r="C2617" s="257" t="s">
        <v>90</v>
      </c>
      <c r="D2617" s="259" t="s">
        <v>15803</v>
      </c>
      <c r="E2617" s="210" t="s">
        <v>201</v>
      </c>
    </row>
    <row r="2618" spans="1:5" ht="27">
      <c r="A2618" s="258">
        <v>95759</v>
      </c>
      <c r="B2618" s="257" t="s">
        <v>2094</v>
      </c>
      <c r="C2618" s="257" t="s">
        <v>90</v>
      </c>
      <c r="D2618" s="259" t="s">
        <v>15804</v>
      </c>
      <c r="E2618" s="210" t="s">
        <v>201</v>
      </c>
    </row>
    <row r="2619" spans="1:5" ht="27">
      <c r="A2619" s="258">
        <v>95760</v>
      </c>
      <c r="B2619" s="257" t="s">
        <v>2095</v>
      </c>
      <c r="C2619" s="257" t="s">
        <v>90</v>
      </c>
      <c r="D2619" s="259" t="s">
        <v>15805</v>
      </c>
      <c r="E2619" s="210" t="s">
        <v>201</v>
      </c>
    </row>
    <row r="2620" spans="1:5" ht="27">
      <c r="A2620" s="258">
        <v>97559</v>
      </c>
      <c r="B2620" s="257" t="s">
        <v>5592</v>
      </c>
      <c r="C2620" s="257" t="s">
        <v>90</v>
      </c>
      <c r="D2620" s="259" t="s">
        <v>15806</v>
      </c>
      <c r="E2620" s="210" t="s">
        <v>201</v>
      </c>
    </row>
    <row r="2621" spans="1:5" ht="27">
      <c r="A2621" s="258">
        <v>97562</v>
      </c>
      <c r="B2621" s="257" t="s">
        <v>5593</v>
      </c>
      <c r="C2621" s="257" t="s">
        <v>90</v>
      </c>
      <c r="D2621" s="259" t="s">
        <v>15807</v>
      </c>
      <c r="E2621" s="210" t="s">
        <v>201</v>
      </c>
    </row>
    <row r="2622" spans="1:5" ht="27">
      <c r="A2622" s="258">
        <v>97564</v>
      </c>
      <c r="B2622" s="257" t="s">
        <v>5594</v>
      </c>
      <c r="C2622" s="257" t="s">
        <v>90</v>
      </c>
      <c r="D2622" s="259" t="s">
        <v>15808</v>
      </c>
      <c r="E2622" s="210" t="s">
        <v>201</v>
      </c>
    </row>
    <row r="2623" spans="1:5" ht="27">
      <c r="A2623" s="258">
        <v>91924</v>
      </c>
      <c r="B2623" s="257" t="s">
        <v>2096</v>
      </c>
      <c r="C2623" s="257" t="s">
        <v>5</v>
      </c>
      <c r="D2623" s="259" t="s">
        <v>15809</v>
      </c>
      <c r="E2623" s="210" t="s">
        <v>201</v>
      </c>
    </row>
    <row r="2624" spans="1:5" ht="27">
      <c r="A2624" s="258">
        <v>91925</v>
      </c>
      <c r="B2624" s="257" t="s">
        <v>2097</v>
      </c>
      <c r="C2624" s="257" t="s">
        <v>5</v>
      </c>
      <c r="D2624" s="259" t="s">
        <v>15810</v>
      </c>
      <c r="E2624" s="210" t="s">
        <v>201</v>
      </c>
    </row>
    <row r="2625" spans="1:5" ht="27">
      <c r="A2625" s="258">
        <v>91926</v>
      </c>
      <c r="B2625" s="257" t="s">
        <v>99</v>
      </c>
      <c r="C2625" s="257" t="s">
        <v>5</v>
      </c>
      <c r="D2625" s="259" t="s">
        <v>14372</v>
      </c>
      <c r="E2625" s="210" t="s">
        <v>201</v>
      </c>
    </row>
    <row r="2626" spans="1:5" ht="27">
      <c r="A2626" s="258">
        <v>91927</v>
      </c>
      <c r="B2626" s="257" t="s">
        <v>2098</v>
      </c>
      <c r="C2626" s="257" t="s">
        <v>5</v>
      </c>
      <c r="D2626" s="259" t="s">
        <v>15811</v>
      </c>
      <c r="E2626" s="210" t="s">
        <v>201</v>
      </c>
    </row>
    <row r="2627" spans="1:5" ht="27">
      <c r="A2627" s="258">
        <v>91928</v>
      </c>
      <c r="B2627" s="257" t="s">
        <v>100</v>
      </c>
      <c r="C2627" s="257" t="s">
        <v>5</v>
      </c>
      <c r="D2627" s="259" t="s">
        <v>15812</v>
      </c>
      <c r="E2627" s="210" t="s">
        <v>201</v>
      </c>
    </row>
    <row r="2628" spans="1:5" ht="27">
      <c r="A2628" s="258">
        <v>91929</v>
      </c>
      <c r="B2628" s="257" t="s">
        <v>2099</v>
      </c>
      <c r="C2628" s="257" t="s">
        <v>5</v>
      </c>
      <c r="D2628" s="259" t="s">
        <v>15813</v>
      </c>
      <c r="E2628" s="210" t="s">
        <v>201</v>
      </c>
    </row>
    <row r="2629" spans="1:5" ht="27">
      <c r="A2629" s="258">
        <v>91930</v>
      </c>
      <c r="B2629" s="257" t="s">
        <v>294</v>
      </c>
      <c r="C2629" s="257" t="s">
        <v>5</v>
      </c>
      <c r="D2629" s="259" t="s">
        <v>15680</v>
      </c>
      <c r="E2629" s="210" t="s">
        <v>201</v>
      </c>
    </row>
    <row r="2630" spans="1:5" ht="27">
      <c r="A2630" s="258">
        <v>91931</v>
      </c>
      <c r="B2630" s="257" t="s">
        <v>101</v>
      </c>
      <c r="C2630" s="257" t="s">
        <v>5</v>
      </c>
      <c r="D2630" s="259" t="s">
        <v>15434</v>
      </c>
      <c r="E2630" s="210" t="s">
        <v>201</v>
      </c>
    </row>
    <row r="2631" spans="1:5" ht="27">
      <c r="A2631" s="258">
        <v>91932</v>
      </c>
      <c r="B2631" s="257" t="s">
        <v>2100</v>
      </c>
      <c r="C2631" s="257" t="s">
        <v>5</v>
      </c>
      <c r="D2631" s="259" t="s">
        <v>15424</v>
      </c>
      <c r="E2631" s="210" t="s">
        <v>201</v>
      </c>
    </row>
    <row r="2632" spans="1:5" ht="27">
      <c r="A2632" s="258">
        <v>91933</v>
      </c>
      <c r="B2632" s="257" t="s">
        <v>2101</v>
      </c>
      <c r="C2632" s="257" t="s">
        <v>5</v>
      </c>
      <c r="D2632" s="259" t="s">
        <v>15814</v>
      </c>
      <c r="E2632" s="210" t="s">
        <v>201</v>
      </c>
    </row>
    <row r="2633" spans="1:5" ht="27">
      <c r="A2633" s="258">
        <v>91934</v>
      </c>
      <c r="B2633" s="257" t="s">
        <v>2102</v>
      </c>
      <c r="C2633" s="257" t="s">
        <v>5</v>
      </c>
      <c r="D2633" s="259" t="s">
        <v>15815</v>
      </c>
      <c r="E2633" s="210" t="s">
        <v>201</v>
      </c>
    </row>
    <row r="2634" spans="1:5" ht="27">
      <c r="A2634" s="258">
        <v>91935</v>
      </c>
      <c r="B2634" s="257" t="s">
        <v>2103</v>
      </c>
      <c r="C2634" s="257" t="s">
        <v>5</v>
      </c>
      <c r="D2634" s="259" t="s">
        <v>15816</v>
      </c>
      <c r="E2634" s="210" t="s">
        <v>201</v>
      </c>
    </row>
    <row r="2635" spans="1:5" ht="27">
      <c r="A2635" s="258">
        <v>92979</v>
      </c>
      <c r="B2635" s="257" t="s">
        <v>2104</v>
      </c>
      <c r="C2635" s="257" t="s">
        <v>5</v>
      </c>
      <c r="D2635" s="259" t="s">
        <v>15817</v>
      </c>
      <c r="E2635" s="210" t="s">
        <v>201</v>
      </c>
    </row>
    <row r="2636" spans="1:5" ht="27">
      <c r="A2636" s="258">
        <v>92980</v>
      </c>
      <c r="B2636" s="257" t="s">
        <v>2105</v>
      </c>
      <c r="C2636" s="257" t="s">
        <v>5</v>
      </c>
      <c r="D2636" s="259" t="s">
        <v>15438</v>
      </c>
      <c r="E2636" s="210" t="s">
        <v>201</v>
      </c>
    </row>
    <row r="2637" spans="1:5" ht="27">
      <c r="A2637" s="258">
        <v>92981</v>
      </c>
      <c r="B2637" s="257" t="s">
        <v>2106</v>
      </c>
      <c r="C2637" s="257" t="s">
        <v>5</v>
      </c>
      <c r="D2637" s="259" t="s">
        <v>15818</v>
      </c>
      <c r="E2637" s="210" t="s">
        <v>201</v>
      </c>
    </row>
    <row r="2638" spans="1:5" ht="27">
      <c r="A2638" s="258">
        <v>92982</v>
      </c>
      <c r="B2638" s="257" t="s">
        <v>2107</v>
      </c>
      <c r="C2638" s="257" t="s">
        <v>5</v>
      </c>
      <c r="D2638" s="259" t="s">
        <v>15740</v>
      </c>
      <c r="E2638" s="210" t="s">
        <v>201</v>
      </c>
    </row>
    <row r="2639" spans="1:5" ht="27">
      <c r="A2639" s="258">
        <v>92983</v>
      </c>
      <c r="B2639" s="257" t="s">
        <v>2108</v>
      </c>
      <c r="C2639" s="257" t="s">
        <v>5</v>
      </c>
      <c r="D2639" s="259" t="s">
        <v>15819</v>
      </c>
      <c r="E2639" s="210" t="s">
        <v>201</v>
      </c>
    </row>
    <row r="2640" spans="1:5" ht="27">
      <c r="A2640" s="258">
        <v>92984</v>
      </c>
      <c r="B2640" s="257" t="s">
        <v>2109</v>
      </c>
      <c r="C2640" s="257" t="s">
        <v>5</v>
      </c>
      <c r="D2640" s="259" t="s">
        <v>15820</v>
      </c>
      <c r="E2640" s="210" t="s">
        <v>201</v>
      </c>
    </row>
    <row r="2641" spans="1:5" ht="27">
      <c r="A2641" s="258">
        <v>92985</v>
      </c>
      <c r="B2641" s="257" t="s">
        <v>2110</v>
      </c>
      <c r="C2641" s="257" t="s">
        <v>5</v>
      </c>
      <c r="D2641" s="259" t="s">
        <v>15821</v>
      </c>
      <c r="E2641" s="210" t="s">
        <v>201</v>
      </c>
    </row>
    <row r="2642" spans="1:5" ht="27">
      <c r="A2642" s="258">
        <v>92986</v>
      </c>
      <c r="B2642" s="257" t="s">
        <v>102</v>
      </c>
      <c r="C2642" s="257" t="s">
        <v>5</v>
      </c>
      <c r="D2642" s="259" t="s">
        <v>15822</v>
      </c>
      <c r="E2642" s="210" t="s">
        <v>201</v>
      </c>
    </row>
    <row r="2643" spans="1:5" ht="27">
      <c r="A2643" s="258">
        <v>92987</v>
      </c>
      <c r="B2643" s="257" t="s">
        <v>2111</v>
      </c>
      <c r="C2643" s="257" t="s">
        <v>5</v>
      </c>
      <c r="D2643" s="259" t="s">
        <v>15823</v>
      </c>
      <c r="E2643" s="210" t="s">
        <v>201</v>
      </c>
    </row>
    <row r="2644" spans="1:5" ht="27">
      <c r="A2644" s="258">
        <v>92988</v>
      </c>
      <c r="B2644" s="257" t="s">
        <v>2112</v>
      </c>
      <c r="C2644" s="257" t="s">
        <v>5</v>
      </c>
      <c r="D2644" s="259" t="s">
        <v>15824</v>
      </c>
      <c r="E2644" s="210" t="s">
        <v>201</v>
      </c>
    </row>
    <row r="2645" spans="1:5" ht="27">
      <c r="A2645" s="258">
        <v>92989</v>
      </c>
      <c r="B2645" s="257" t="s">
        <v>2113</v>
      </c>
      <c r="C2645" s="257" t="s">
        <v>5</v>
      </c>
      <c r="D2645" s="259" t="s">
        <v>15825</v>
      </c>
      <c r="E2645" s="210" t="s">
        <v>201</v>
      </c>
    </row>
    <row r="2646" spans="1:5" ht="27">
      <c r="A2646" s="258">
        <v>92990</v>
      </c>
      <c r="B2646" s="257" t="s">
        <v>2114</v>
      </c>
      <c r="C2646" s="257" t="s">
        <v>5</v>
      </c>
      <c r="D2646" s="259" t="s">
        <v>15826</v>
      </c>
      <c r="E2646" s="210" t="s">
        <v>201</v>
      </c>
    </row>
    <row r="2647" spans="1:5" ht="27">
      <c r="A2647" s="258">
        <v>92991</v>
      </c>
      <c r="B2647" s="257" t="s">
        <v>2115</v>
      </c>
      <c r="C2647" s="257" t="s">
        <v>5</v>
      </c>
      <c r="D2647" s="259" t="s">
        <v>15827</v>
      </c>
      <c r="E2647" s="210" t="s">
        <v>201</v>
      </c>
    </row>
    <row r="2648" spans="1:5" ht="27">
      <c r="A2648" s="258">
        <v>92992</v>
      </c>
      <c r="B2648" s="257" t="s">
        <v>2116</v>
      </c>
      <c r="C2648" s="257" t="s">
        <v>5</v>
      </c>
      <c r="D2648" s="259" t="s">
        <v>15828</v>
      </c>
      <c r="E2648" s="210" t="s">
        <v>201</v>
      </c>
    </row>
    <row r="2649" spans="1:5" ht="27">
      <c r="A2649" s="258">
        <v>92993</v>
      </c>
      <c r="B2649" s="257" t="s">
        <v>2117</v>
      </c>
      <c r="C2649" s="257" t="s">
        <v>5</v>
      </c>
      <c r="D2649" s="259" t="s">
        <v>15829</v>
      </c>
      <c r="E2649" s="210" t="s">
        <v>201</v>
      </c>
    </row>
    <row r="2650" spans="1:5" ht="27">
      <c r="A2650" s="258">
        <v>92994</v>
      </c>
      <c r="B2650" s="257" t="s">
        <v>2118</v>
      </c>
      <c r="C2650" s="257" t="s">
        <v>5</v>
      </c>
      <c r="D2650" s="259" t="s">
        <v>15830</v>
      </c>
      <c r="E2650" s="210" t="s">
        <v>201</v>
      </c>
    </row>
    <row r="2651" spans="1:5" ht="27">
      <c r="A2651" s="258">
        <v>92995</v>
      </c>
      <c r="B2651" s="257" t="s">
        <v>2119</v>
      </c>
      <c r="C2651" s="257" t="s">
        <v>5</v>
      </c>
      <c r="D2651" s="259" t="s">
        <v>15831</v>
      </c>
      <c r="E2651" s="210" t="s">
        <v>201</v>
      </c>
    </row>
    <row r="2652" spans="1:5" ht="27">
      <c r="A2652" s="258">
        <v>92996</v>
      </c>
      <c r="B2652" s="257" t="s">
        <v>2120</v>
      </c>
      <c r="C2652" s="257" t="s">
        <v>5</v>
      </c>
      <c r="D2652" s="259" t="s">
        <v>15832</v>
      </c>
      <c r="E2652" s="210" t="s">
        <v>201</v>
      </c>
    </row>
    <row r="2653" spans="1:5" ht="27">
      <c r="A2653" s="258">
        <v>92997</v>
      </c>
      <c r="B2653" s="257" t="s">
        <v>2121</v>
      </c>
      <c r="C2653" s="257" t="s">
        <v>5</v>
      </c>
      <c r="D2653" s="259" t="s">
        <v>13811</v>
      </c>
      <c r="E2653" s="210" t="s">
        <v>201</v>
      </c>
    </row>
    <row r="2654" spans="1:5" ht="27">
      <c r="A2654" s="258">
        <v>92998</v>
      </c>
      <c r="B2654" s="257" t="s">
        <v>2122</v>
      </c>
      <c r="C2654" s="257" t="s">
        <v>5</v>
      </c>
      <c r="D2654" s="259" t="s">
        <v>15833</v>
      </c>
      <c r="E2654" s="210" t="s">
        <v>201</v>
      </c>
    </row>
    <row r="2655" spans="1:5" ht="27">
      <c r="A2655" s="258">
        <v>92999</v>
      </c>
      <c r="B2655" s="257" t="s">
        <v>2123</v>
      </c>
      <c r="C2655" s="257" t="s">
        <v>5</v>
      </c>
      <c r="D2655" s="259" t="s">
        <v>15834</v>
      </c>
      <c r="E2655" s="210" t="s">
        <v>201</v>
      </c>
    </row>
    <row r="2656" spans="1:5" ht="27">
      <c r="A2656" s="258">
        <v>93000</v>
      </c>
      <c r="B2656" s="257" t="s">
        <v>2124</v>
      </c>
      <c r="C2656" s="257" t="s">
        <v>5</v>
      </c>
      <c r="D2656" s="259" t="s">
        <v>15835</v>
      </c>
      <c r="E2656" s="210" t="s">
        <v>201</v>
      </c>
    </row>
    <row r="2657" spans="1:6" ht="27">
      <c r="A2657" s="258">
        <v>93001</v>
      </c>
      <c r="B2657" s="257" t="s">
        <v>2125</v>
      </c>
      <c r="C2657" s="257" t="s">
        <v>5</v>
      </c>
      <c r="D2657" s="259" t="s">
        <v>15836</v>
      </c>
      <c r="E2657" s="210" t="s">
        <v>201</v>
      </c>
    </row>
    <row r="2658" spans="1:6" ht="27">
      <c r="A2658" s="258">
        <v>93002</v>
      </c>
      <c r="B2658" s="257" t="s">
        <v>2126</v>
      </c>
      <c r="C2658" s="257" t="s">
        <v>5</v>
      </c>
      <c r="D2658" s="259" t="s">
        <v>15837</v>
      </c>
      <c r="E2658" s="210" t="s">
        <v>201</v>
      </c>
    </row>
    <row r="2659" spans="1:6" ht="13.5">
      <c r="A2659" s="258">
        <v>83446</v>
      </c>
      <c r="B2659" s="257" t="s">
        <v>103</v>
      </c>
      <c r="C2659" s="257" t="s">
        <v>90</v>
      </c>
      <c r="D2659" s="259" t="s">
        <v>15838</v>
      </c>
      <c r="E2659" s="210" t="s">
        <v>201</v>
      </c>
    </row>
    <row r="2660" spans="1:6" ht="13.5">
      <c r="A2660" s="258">
        <v>91936</v>
      </c>
      <c r="B2660" s="257" t="s">
        <v>2127</v>
      </c>
      <c r="C2660" s="257" t="s">
        <v>90</v>
      </c>
      <c r="D2660" s="259" t="s">
        <v>15445</v>
      </c>
      <c r="E2660" s="210" t="s">
        <v>201</v>
      </c>
    </row>
    <row r="2661" spans="1:6" ht="13.5">
      <c r="A2661" s="258">
        <v>91937</v>
      </c>
      <c r="B2661" s="257" t="s">
        <v>2128</v>
      </c>
      <c r="C2661" s="257" t="s">
        <v>90</v>
      </c>
      <c r="D2661" s="259" t="s">
        <v>15685</v>
      </c>
      <c r="E2661" s="210" t="s">
        <v>201</v>
      </c>
    </row>
    <row r="2662" spans="1:6" ht="27">
      <c r="A2662" s="258">
        <v>91939</v>
      </c>
      <c r="B2662" s="257" t="s">
        <v>114</v>
      </c>
      <c r="C2662" s="257" t="s">
        <v>90</v>
      </c>
      <c r="D2662" s="259" t="s">
        <v>15839</v>
      </c>
      <c r="E2662" s="210" t="s">
        <v>201</v>
      </c>
    </row>
    <row r="2663" spans="1:6" ht="27">
      <c r="A2663" s="258">
        <v>91940</v>
      </c>
      <c r="B2663" s="257" t="s">
        <v>115</v>
      </c>
      <c r="C2663" s="257" t="s">
        <v>90</v>
      </c>
      <c r="D2663" s="259" t="s">
        <v>15840</v>
      </c>
      <c r="E2663" s="210" t="s">
        <v>201</v>
      </c>
    </row>
    <row r="2664" spans="1:6" ht="27">
      <c r="A2664" s="258">
        <v>91941</v>
      </c>
      <c r="B2664" s="257" t="s">
        <v>104</v>
      </c>
      <c r="C2664" s="257" t="s">
        <v>90</v>
      </c>
      <c r="D2664" s="259" t="s">
        <v>15841</v>
      </c>
      <c r="E2664" s="210" t="s">
        <v>201</v>
      </c>
    </row>
    <row r="2665" spans="1:6" ht="27">
      <c r="A2665" s="258">
        <v>91942</v>
      </c>
      <c r="B2665" s="257" t="s">
        <v>2129</v>
      </c>
      <c r="C2665" s="257" t="s">
        <v>90</v>
      </c>
      <c r="D2665" s="259" t="s">
        <v>15842</v>
      </c>
      <c r="E2665" s="210" t="s">
        <v>201</v>
      </c>
    </row>
    <row r="2666" spans="1:6" ht="27">
      <c r="A2666" s="258">
        <v>91943</v>
      </c>
      <c r="B2666" s="257" t="s">
        <v>256</v>
      </c>
      <c r="C2666" s="257" t="s">
        <v>90</v>
      </c>
      <c r="D2666" s="259" t="s">
        <v>15843</v>
      </c>
      <c r="E2666" s="210" t="s">
        <v>201</v>
      </c>
    </row>
    <row r="2667" spans="1:6" ht="27">
      <c r="A2667" s="258">
        <v>91944</v>
      </c>
      <c r="B2667" s="257" t="s">
        <v>2130</v>
      </c>
      <c r="C2667" s="257" t="s">
        <v>90</v>
      </c>
      <c r="D2667" s="259" t="s">
        <v>15844</v>
      </c>
      <c r="E2667" s="210" t="s">
        <v>201</v>
      </c>
    </row>
    <row r="2668" spans="1:6" ht="13.5">
      <c r="A2668" s="258">
        <v>92865</v>
      </c>
      <c r="B2668" s="257" t="s">
        <v>2131</v>
      </c>
      <c r="C2668" s="257" t="s">
        <v>90</v>
      </c>
      <c r="D2668" s="259" t="s">
        <v>15845</v>
      </c>
      <c r="E2668" s="210" t="s">
        <v>201</v>
      </c>
    </row>
    <row r="2669" spans="1:6" ht="13.5">
      <c r="A2669" s="258">
        <v>92866</v>
      </c>
      <c r="B2669" s="257" t="s">
        <v>2132</v>
      </c>
      <c r="C2669" s="257" t="s">
        <v>90</v>
      </c>
      <c r="D2669" s="259" t="s">
        <v>15492</v>
      </c>
      <c r="E2669" s="210" t="s">
        <v>201</v>
      </c>
    </row>
    <row r="2670" spans="1:6" ht="27">
      <c r="A2670" s="258">
        <v>92867</v>
      </c>
      <c r="B2670" s="257" t="s">
        <v>2133</v>
      </c>
      <c r="C2670" s="257" t="s">
        <v>90</v>
      </c>
      <c r="D2670" s="259" t="s">
        <v>15846</v>
      </c>
      <c r="E2670" s="210" t="s">
        <v>201</v>
      </c>
      <c r="F2670" s="350"/>
    </row>
    <row r="2671" spans="1:6" ht="27">
      <c r="A2671" s="258">
        <v>92868</v>
      </c>
      <c r="B2671" s="257" t="s">
        <v>2134</v>
      </c>
      <c r="C2671" s="257" t="s">
        <v>90</v>
      </c>
      <c r="D2671" s="259" t="s">
        <v>15847</v>
      </c>
      <c r="E2671" s="210" t="s">
        <v>201</v>
      </c>
    </row>
    <row r="2672" spans="1:6" ht="27">
      <c r="A2672" s="258">
        <v>92869</v>
      </c>
      <c r="B2672" s="257" t="s">
        <v>2135</v>
      </c>
      <c r="C2672" s="257" t="s">
        <v>90</v>
      </c>
      <c r="D2672" s="259" t="s">
        <v>15848</v>
      </c>
      <c r="E2672" s="210" t="s">
        <v>201</v>
      </c>
    </row>
    <row r="2673" spans="1:5" ht="27">
      <c r="A2673" s="258">
        <v>92870</v>
      </c>
      <c r="B2673" s="257" t="s">
        <v>2136</v>
      </c>
      <c r="C2673" s="257" t="s">
        <v>90</v>
      </c>
      <c r="D2673" s="259" t="s">
        <v>15849</v>
      </c>
      <c r="E2673" s="210" t="s">
        <v>201</v>
      </c>
    </row>
    <row r="2674" spans="1:5" ht="27">
      <c r="A2674" s="258">
        <v>92871</v>
      </c>
      <c r="B2674" s="257" t="s">
        <v>2137</v>
      </c>
      <c r="C2674" s="257" t="s">
        <v>90</v>
      </c>
      <c r="D2674" s="259" t="s">
        <v>15850</v>
      </c>
      <c r="E2674" s="210" t="s">
        <v>201</v>
      </c>
    </row>
    <row r="2675" spans="1:5" ht="27">
      <c r="A2675" s="258">
        <v>92872</v>
      </c>
      <c r="B2675" s="257" t="s">
        <v>2138</v>
      </c>
      <c r="C2675" s="257" t="s">
        <v>90</v>
      </c>
      <c r="D2675" s="259" t="s">
        <v>14474</v>
      </c>
      <c r="E2675" s="210" t="s">
        <v>201</v>
      </c>
    </row>
    <row r="2676" spans="1:5" ht="27">
      <c r="A2676" s="258">
        <v>95777</v>
      </c>
      <c r="B2676" s="257" t="s">
        <v>2139</v>
      </c>
      <c r="C2676" s="257" t="s">
        <v>90</v>
      </c>
      <c r="D2676" s="259" t="s">
        <v>15851</v>
      </c>
      <c r="E2676" s="210" t="s">
        <v>201</v>
      </c>
    </row>
    <row r="2677" spans="1:5" ht="27">
      <c r="A2677" s="258">
        <v>95778</v>
      </c>
      <c r="B2677" s="257" t="s">
        <v>249</v>
      </c>
      <c r="C2677" s="257" t="s">
        <v>90</v>
      </c>
      <c r="D2677" s="259" t="s">
        <v>15852</v>
      </c>
      <c r="E2677" s="210" t="s">
        <v>201</v>
      </c>
    </row>
    <row r="2678" spans="1:5" ht="27">
      <c r="A2678" s="258">
        <v>95779</v>
      </c>
      <c r="B2678" s="257" t="s">
        <v>251</v>
      </c>
      <c r="C2678" s="257" t="s">
        <v>90</v>
      </c>
      <c r="D2678" s="259" t="s">
        <v>15853</v>
      </c>
      <c r="E2678" s="210" t="s">
        <v>201</v>
      </c>
    </row>
    <row r="2679" spans="1:5" ht="27">
      <c r="A2679" s="258">
        <v>95780</v>
      </c>
      <c r="B2679" s="257" t="s">
        <v>2140</v>
      </c>
      <c r="C2679" s="257" t="s">
        <v>90</v>
      </c>
      <c r="D2679" s="259" t="s">
        <v>15854</v>
      </c>
      <c r="E2679" s="210" t="s">
        <v>201</v>
      </c>
    </row>
    <row r="2680" spans="1:5" ht="27">
      <c r="A2680" s="258">
        <v>95781</v>
      </c>
      <c r="B2680" s="257" t="s">
        <v>254</v>
      </c>
      <c r="C2680" s="257" t="s">
        <v>90</v>
      </c>
      <c r="D2680" s="259" t="s">
        <v>15855</v>
      </c>
      <c r="E2680" s="210" t="s">
        <v>201</v>
      </c>
    </row>
    <row r="2681" spans="1:5" ht="27">
      <c r="A2681" s="258">
        <v>95782</v>
      </c>
      <c r="B2681" s="257" t="s">
        <v>2141</v>
      </c>
      <c r="C2681" s="257" t="s">
        <v>90</v>
      </c>
      <c r="D2681" s="259" t="s">
        <v>15856</v>
      </c>
      <c r="E2681" s="210" t="s">
        <v>201</v>
      </c>
    </row>
    <row r="2682" spans="1:5" ht="27">
      <c r="A2682" s="258">
        <v>95785</v>
      </c>
      <c r="B2682" s="257" t="s">
        <v>2142</v>
      </c>
      <c r="C2682" s="257" t="s">
        <v>90</v>
      </c>
      <c r="D2682" s="259" t="s">
        <v>15857</v>
      </c>
      <c r="E2682" s="210" t="s">
        <v>201</v>
      </c>
    </row>
    <row r="2683" spans="1:5" ht="27">
      <c r="A2683" s="258">
        <v>95787</v>
      </c>
      <c r="B2683" s="257" t="s">
        <v>252</v>
      </c>
      <c r="C2683" s="257" t="s">
        <v>90</v>
      </c>
      <c r="D2683" s="259" t="s">
        <v>13588</v>
      </c>
      <c r="E2683" s="210" t="s">
        <v>201</v>
      </c>
    </row>
    <row r="2684" spans="1:5" ht="27">
      <c r="A2684" s="258">
        <v>95789</v>
      </c>
      <c r="B2684" s="257" t="s">
        <v>2143</v>
      </c>
      <c r="C2684" s="257" t="s">
        <v>90</v>
      </c>
      <c r="D2684" s="259" t="s">
        <v>15858</v>
      </c>
      <c r="E2684" s="210" t="s">
        <v>201</v>
      </c>
    </row>
    <row r="2685" spans="1:5" ht="27">
      <c r="A2685" s="258">
        <v>95791</v>
      </c>
      <c r="B2685" s="257" t="s">
        <v>2144</v>
      </c>
      <c r="C2685" s="257" t="s">
        <v>90</v>
      </c>
      <c r="D2685" s="259" t="s">
        <v>15859</v>
      </c>
      <c r="E2685" s="210" t="s">
        <v>201</v>
      </c>
    </row>
    <row r="2686" spans="1:5" ht="27">
      <c r="A2686" s="258">
        <v>95795</v>
      </c>
      <c r="B2686" s="257" t="s">
        <v>250</v>
      </c>
      <c r="C2686" s="257" t="s">
        <v>90</v>
      </c>
      <c r="D2686" s="259" t="s">
        <v>15860</v>
      </c>
      <c r="E2686" s="210" t="s">
        <v>201</v>
      </c>
    </row>
    <row r="2687" spans="1:5" ht="27">
      <c r="A2687" s="258">
        <v>95796</v>
      </c>
      <c r="B2687" s="257" t="s">
        <v>253</v>
      </c>
      <c r="C2687" s="257" t="s">
        <v>90</v>
      </c>
      <c r="D2687" s="259" t="s">
        <v>15861</v>
      </c>
      <c r="E2687" s="210" t="s">
        <v>201</v>
      </c>
    </row>
    <row r="2688" spans="1:5" ht="27">
      <c r="A2688" s="258">
        <v>95797</v>
      </c>
      <c r="B2688" s="257" t="s">
        <v>2145</v>
      </c>
      <c r="C2688" s="257" t="s">
        <v>90</v>
      </c>
      <c r="D2688" s="259" t="s">
        <v>14381</v>
      </c>
      <c r="E2688" s="210" t="s">
        <v>201</v>
      </c>
    </row>
    <row r="2689" spans="1:5" ht="27">
      <c r="A2689" s="258">
        <v>95801</v>
      </c>
      <c r="B2689" s="257" t="s">
        <v>2146</v>
      </c>
      <c r="C2689" s="257" t="s">
        <v>90</v>
      </c>
      <c r="D2689" s="259" t="s">
        <v>14298</v>
      </c>
      <c r="E2689" s="210" t="s">
        <v>201</v>
      </c>
    </row>
    <row r="2690" spans="1:5" ht="27">
      <c r="A2690" s="258">
        <v>95802</v>
      </c>
      <c r="B2690" s="257" t="s">
        <v>2147</v>
      </c>
      <c r="C2690" s="257" t="s">
        <v>90</v>
      </c>
      <c r="D2690" s="259" t="s">
        <v>15862</v>
      </c>
      <c r="E2690" s="210" t="s">
        <v>201</v>
      </c>
    </row>
    <row r="2691" spans="1:5" ht="27">
      <c r="A2691" s="258">
        <v>95803</v>
      </c>
      <c r="B2691" s="257" t="s">
        <v>2148</v>
      </c>
      <c r="C2691" s="257" t="s">
        <v>90</v>
      </c>
      <c r="D2691" s="259" t="s">
        <v>15863</v>
      </c>
      <c r="E2691" s="210" t="s">
        <v>201</v>
      </c>
    </row>
    <row r="2692" spans="1:5" ht="27">
      <c r="A2692" s="258">
        <v>95804</v>
      </c>
      <c r="B2692" s="257" t="s">
        <v>2149</v>
      </c>
      <c r="C2692" s="257" t="s">
        <v>90</v>
      </c>
      <c r="D2692" s="259" t="s">
        <v>15864</v>
      </c>
      <c r="E2692" s="210" t="s">
        <v>201</v>
      </c>
    </row>
    <row r="2693" spans="1:5" ht="27">
      <c r="A2693" s="258">
        <v>95805</v>
      </c>
      <c r="B2693" s="257" t="s">
        <v>2150</v>
      </c>
      <c r="C2693" s="257" t="s">
        <v>90</v>
      </c>
      <c r="D2693" s="259" t="s">
        <v>15865</v>
      </c>
      <c r="E2693" s="210" t="s">
        <v>201</v>
      </c>
    </row>
    <row r="2694" spans="1:5" ht="27">
      <c r="A2694" s="258">
        <v>95806</v>
      </c>
      <c r="B2694" s="257" t="s">
        <v>2151</v>
      </c>
      <c r="C2694" s="257" t="s">
        <v>90</v>
      </c>
      <c r="D2694" s="259" t="s">
        <v>15866</v>
      </c>
      <c r="E2694" s="210" t="s">
        <v>201</v>
      </c>
    </row>
    <row r="2695" spans="1:5" ht="27">
      <c r="A2695" s="258">
        <v>95807</v>
      </c>
      <c r="B2695" s="257" t="s">
        <v>2152</v>
      </c>
      <c r="C2695" s="257" t="s">
        <v>90</v>
      </c>
      <c r="D2695" s="259" t="s">
        <v>15867</v>
      </c>
      <c r="E2695" s="210" t="s">
        <v>201</v>
      </c>
    </row>
    <row r="2696" spans="1:5" ht="27">
      <c r="A2696" s="258">
        <v>95808</v>
      </c>
      <c r="B2696" s="257" t="s">
        <v>2153</v>
      </c>
      <c r="C2696" s="257" t="s">
        <v>90</v>
      </c>
      <c r="D2696" s="259" t="s">
        <v>15868</v>
      </c>
      <c r="E2696" s="210" t="s">
        <v>201</v>
      </c>
    </row>
    <row r="2697" spans="1:5" ht="27">
      <c r="A2697" s="258">
        <v>95809</v>
      </c>
      <c r="B2697" s="257" t="s">
        <v>2154</v>
      </c>
      <c r="C2697" s="257" t="s">
        <v>90</v>
      </c>
      <c r="D2697" s="259" t="s">
        <v>13603</v>
      </c>
      <c r="E2697" s="210" t="s">
        <v>201</v>
      </c>
    </row>
    <row r="2698" spans="1:5" ht="27">
      <c r="A2698" s="258">
        <v>95810</v>
      </c>
      <c r="B2698" s="257" t="s">
        <v>2155</v>
      </c>
      <c r="C2698" s="257" t="s">
        <v>90</v>
      </c>
      <c r="D2698" s="259" t="s">
        <v>15869</v>
      </c>
      <c r="E2698" s="210" t="s">
        <v>201</v>
      </c>
    </row>
    <row r="2699" spans="1:5" ht="27">
      <c r="A2699" s="258">
        <v>95811</v>
      </c>
      <c r="B2699" s="257" t="s">
        <v>2156</v>
      </c>
      <c r="C2699" s="257" t="s">
        <v>90</v>
      </c>
      <c r="D2699" s="259" t="s">
        <v>15870</v>
      </c>
      <c r="E2699" s="210" t="s">
        <v>201</v>
      </c>
    </row>
    <row r="2700" spans="1:5" ht="27">
      <c r="A2700" s="258">
        <v>95812</v>
      </c>
      <c r="B2700" s="257" t="s">
        <v>2157</v>
      </c>
      <c r="C2700" s="257" t="s">
        <v>90</v>
      </c>
      <c r="D2700" s="259" t="s">
        <v>15871</v>
      </c>
      <c r="E2700" s="210" t="s">
        <v>201</v>
      </c>
    </row>
    <row r="2701" spans="1:5" ht="27">
      <c r="A2701" s="258">
        <v>95813</v>
      </c>
      <c r="B2701" s="257" t="s">
        <v>2158</v>
      </c>
      <c r="C2701" s="257" t="s">
        <v>90</v>
      </c>
      <c r="D2701" s="259" t="s">
        <v>15872</v>
      </c>
      <c r="E2701" s="210" t="s">
        <v>201</v>
      </c>
    </row>
    <row r="2702" spans="1:5" ht="27">
      <c r="A2702" s="257">
        <v>95814</v>
      </c>
      <c r="B2702" s="257" t="s">
        <v>2159</v>
      </c>
      <c r="C2702" s="257" t="s">
        <v>90</v>
      </c>
      <c r="D2702" s="259" t="s">
        <v>15873</v>
      </c>
      <c r="E2702" s="210" t="s">
        <v>201</v>
      </c>
    </row>
    <row r="2703" spans="1:5" ht="27">
      <c r="A2703" s="257">
        <v>95815</v>
      </c>
      <c r="B2703" s="257" t="s">
        <v>2160</v>
      </c>
      <c r="C2703" s="257" t="s">
        <v>90</v>
      </c>
      <c r="D2703" s="259" t="s">
        <v>15874</v>
      </c>
      <c r="E2703" s="210" t="s">
        <v>201</v>
      </c>
    </row>
    <row r="2704" spans="1:5" ht="27">
      <c r="A2704" s="257">
        <v>95816</v>
      </c>
      <c r="B2704" s="257" t="s">
        <v>2161</v>
      </c>
      <c r="C2704" s="257" t="s">
        <v>90</v>
      </c>
      <c r="D2704" s="259" t="s">
        <v>15875</v>
      </c>
      <c r="E2704" s="210" t="s">
        <v>201</v>
      </c>
    </row>
    <row r="2705" spans="1:5" ht="27">
      <c r="A2705" s="258">
        <v>95817</v>
      </c>
      <c r="B2705" s="257" t="s">
        <v>2162</v>
      </c>
      <c r="C2705" s="257" t="s">
        <v>90</v>
      </c>
      <c r="D2705" s="259" t="s">
        <v>15876</v>
      </c>
      <c r="E2705" s="210" t="s">
        <v>201</v>
      </c>
    </row>
    <row r="2706" spans="1:5" ht="27">
      <c r="A2706" s="258">
        <v>95818</v>
      </c>
      <c r="B2706" s="257" t="s">
        <v>2163</v>
      </c>
      <c r="C2706" s="257" t="s">
        <v>90</v>
      </c>
      <c r="D2706" s="259" t="s">
        <v>15877</v>
      </c>
      <c r="E2706" s="210" t="s">
        <v>201</v>
      </c>
    </row>
    <row r="2707" spans="1:5" ht="27">
      <c r="A2707" s="258">
        <v>97886</v>
      </c>
      <c r="B2707" s="257" t="s">
        <v>5595</v>
      </c>
      <c r="C2707" s="257" t="s">
        <v>90</v>
      </c>
      <c r="D2707" s="259" t="s">
        <v>15878</v>
      </c>
      <c r="E2707" s="210" t="s">
        <v>201</v>
      </c>
    </row>
    <row r="2708" spans="1:5" ht="27">
      <c r="A2708" s="258">
        <v>97887</v>
      </c>
      <c r="B2708" s="257" t="s">
        <v>5596</v>
      </c>
      <c r="C2708" s="257" t="s">
        <v>90</v>
      </c>
      <c r="D2708" s="259" t="s">
        <v>15879</v>
      </c>
      <c r="E2708" s="210" t="s">
        <v>201</v>
      </c>
    </row>
    <row r="2709" spans="1:5" ht="27">
      <c r="A2709" s="258">
        <v>97888</v>
      </c>
      <c r="B2709" s="257" t="s">
        <v>5597</v>
      </c>
      <c r="C2709" s="257" t="s">
        <v>90</v>
      </c>
      <c r="D2709" s="259" t="s">
        <v>15880</v>
      </c>
      <c r="E2709" s="210" t="s">
        <v>201</v>
      </c>
    </row>
    <row r="2710" spans="1:5" ht="27">
      <c r="A2710" s="258">
        <v>97889</v>
      </c>
      <c r="B2710" s="257" t="s">
        <v>5598</v>
      </c>
      <c r="C2710" s="257" t="s">
        <v>90</v>
      </c>
      <c r="D2710" s="259" t="s">
        <v>15881</v>
      </c>
      <c r="E2710" s="210" t="s">
        <v>201</v>
      </c>
    </row>
    <row r="2711" spans="1:5" ht="27">
      <c r="A2711" s="258">
        <v>97890</v>
      </c>
      <c r="B2711" s="257" t="s">
        <v>5599</v>
      </c>
      <c r="C2711" s="257" t="s">
        <v>90</v>
      </c>
      <c r="D2711" s="259" t="s">
        <v>15882</v>
      </c>
      <c r="E2711" s="210" t="s">
        <v>201</v>
      </c>
    </row>
    <row r="2712" spans="1:5" ht="27">
      <c r="A2712" s="258">
        <v>97891</v>
      </c>
      <c r="B2712" s="257" t="s">
        <v>5600</v>
      </c>
      <c r="C2712" s="257" t="s">
        <v>90</v>
      </c>
      <c r="D2712" s="259" t="s">
        <v>15883</v>
      </c>
      <c r="E2712" s="210" t="s">
        <v>201</v>
      </c>
    </row>
    <row r="2713" spans="1:5" ht="27">
      <c r="A2713" s="258">
        <v>97892</v>
      </c>
      <c r="B2713" s="257" t="s">
        <v>5601</v>
      </c>
      <c r="C2713" s="257" t="s">
        <v>90</v>
      </c>
      <c r="D2713" s="259" t="s">
        <v>15884</v>
      </c>
      <c r="E2713" s="210" t="s">
        <v>201</v>
      </c>
    </row>
    <row r="2714" spans="1:5" ht="27">
      <c r="A2714" s="258">
        <v>97893</v>
      </c>
      <c r="B2714" s="257" t="s">
        <v>5602</v>
      </c>
      <c r="C2714" s="257" t="s">
        <v>90</v>
      </c>
      <c r="D2714" s="259" t="s">
        <v>15885</v>
      </c>
      <c r="E2714" s="210" t="s">
        <v>201</v>
      </c>
    </row>
    <row r="2715" spans="1:5" ht="27">
      <c r="A2715" s="258">
        <v>97894</v>
      </c>
      <c r="B2715" s="257" t="s">
        <v>5603</v>
      </c>
      <c r="C2715" s="257" t="s">
        <v>90</v>
      </c>
      <c r="D2715" s="259" t="s">
        <v>15886</v>
      </c>
      <c r="E2715" s="210" t="s">
        <v>201</v>
      </c>
    </row>
    <row r="2716" spans="1:5" ht="13.5">
      <c r="A2716" s="258">
        <v>68066</v>
      </c>
      <c r="B2716" s="257" t="s">
        <v>2164</v>
      </c>
      <c r="C2716" s="257" t="s">
        <v>90</v>
      </c>
      <c r="D2716" s="259" t="s">
        <v>15887</v>
      </c>
      <c r="E2716" s="210" t="s">
        <v>201</v>
      </c>
    </row>
    <row r="2717" spans="1:5" ht="13.5">
      <c r="A2717" s="258">
        <v>72319</v>
      </c>
      <c r="B2717" s="257" t="s">
        <v>2165</v>
      </c>
      <c r="C2717" s="257" t="s">
        <v>90</v>
      </c>
      <c r="D2717" s="259" t="s">
        <v>15888</v>
      </c>
      <c r="E2717" s="210" t="s">
        <v>201</v>
      </c>
    </row>
    <row r="2718" spans="1:5" ht="13.5">
      <c r="A2718" s="258">
        <v>72341</v>
      </c>
      <c r="B2718" s="257" t="s">
        <v>2166</v>
      </c>
      <c r="C2718" s="257" t="s">
        <v>90</v>
      </c>
      <c r="D2718" s="259" t="s">
        <v>15889</v>
      </c>
      <c r="E2718" s="210" t="s">
        <v>201</v>
      </c>
    </row>
    <row r="2719" spans="1:5" ht="13.5">
      <c r="A2719" s="258">
        <v>72343</v>
      </c>
      <c r="B2719" s="257" t="s">
        <v>2167</v>
      </c>
      <c r="C2719" s="257" t="s">
        <v>90</v>
      </c>
      <c r="D2719" s="259" t="s">
        <v>15890</v>
      </c>
      <c r="E2719" s="210" t="s">
        <v>201</v>
      </c>
    </row>
    <row r="2720" spans="1:5" ht="13.5">
      <c r="A2720" s="258">
        <v>72344</v>
      </c>
      <c r="B2720" s="257" t="s">
        <v>2168</v>
      </c>
      <c r="C2720" s="257" t="s">
        <v>90</v>
      </c>
      <c r="D2720" s="259" t="s">
        <v>15891</v>
      </c>
      <c r="E2720" s="210" t="s">
        <v>201</v>
      </c>
    </row>
    <row r="2721" spans="1:5" ht="13.5">
      <c r="A2721" s="258">
        <v>72345</v>
      </c>
      <c r="B2721" s="257" t="s">
        <v>2169</v>
      </c>
      <c r="C2721" s="257" t="s">
        <v>90</v>
      </c>
      <c r="D2721" s="259" t="s">
        <v>15892</v>
      </c>
      <c r="E2721" s="210" t="s">
        <v>201</v>
      </c>
    </row>
    <row r="2722" spans="1:5" ht="27">
      <c r="A2722" s="258" t="s">
        <v>2170</v>
      </c>
      <c r="B2722" s="257" t="s">
        <v>2171</v>
      </c>
      <c r="C2722" s="257" t="s">
        <v>90</v>
      </c>
      <c r="D2722" s="259" t="s">
        <v>15893</v>
      </c>
      <c r="E2722" s="210" t="s">
        <v>201</v>
      </c>
    </row>
    <row r="2723" spans="1:5" ht="27">
      <c r="A2723" s="258" t="s">
        <v>2172</v>
      </c>
      <c r="B2723" s="257" t="s">
        <v>2173</v>
      </c>
      <c r="C2723" s="257" t="s">
        <v>90</v>
      </c>
      <c r="D2723" s="259" t="s">
        <v>15894</v>
      </c>
      <c r="E2723" s="210" t="s">
        <v>201</v>
      </c>
    </row>
    <row r="2724" spans="1:5" ht="27">
      <c r="A2724" s="258" t="s">
        <v>2174</v>
      </c>
      <c r="B2724" s="257" t="s">
        <v>2175</v>
      </c>
      <c r="C2724" s="257" t="s">
        <v>90</v>
      </c>
      <c r="D2724" s="259" t="s">
        <v>15895</v>
      </c>
      <c r="E2724" s="210" t="s">
        <v>201</v>
      </c>
    </row>
    <row r="2725" spans="1:5" ht="27">
      <c r="A2725" s="258" t="s">
        <v>2176</v>
      </c>
      <c r="B2725" s="257" t="s">
        <v>2177</v>
      </c>
      <c r="C2725" s="257" t="s">
        <v>90</v>
      </c>
      <c r="D2725" s="259" t="s">
        <v>15896</v>
      </c>
      <c r="E2725" s="210" t="s">
        <v>201</v>
      </c>
    </row>
    <row r="2726" spans="1:5" ht="27">
      <c r="A2726" s="258" t="s">
        <v>2178</v>
      </c>
      <c r="B2726" s="257" t="s">
        <v>2179</v>
      </c>
      <c r="C2726" s="257" t="s">
        <v>90</v>
      </c>
      <c r="D2726" s="259" t="s">
        <v>15897</v>
      </c>
      <c r="E2726" s="210" t="s">
        <v>201</v>
      </c>
    </row>
    <row r="2727" spans="1:5" ht="27">
      <c r="A2727" s="258" t="s">
        <v>2180</v>
      </c>
      <c r="B2727" s="257" t="s">
        <v>2181</v>
      </c>
      <c r="C2727" s="257" t="s">
        <v>90</v>
      </c>
      <c r="D2727" s="259" t="s">
        <v>15898</v>
      </c>
      <c r="E2727" s="210" t="s">
        <v>201</v>
      </c>
    </row>
    <row r="2728" spans="1:5" ht="13.5">
      <c r="A2728" s="258" t="s">
        <v>2182</v>
      </c>
      <c r="B2728" s="257" t="s">
        <v>2183</v>
      </c>
      <c r="C2728" s="257" t="s">
        <v>90</v>
      </c>
      <c r="D2728" s="259" t="s">
        <v>15899</v>
      </c>
      <c r="E2728" s="210" t="s">
        <v>201</v>
      </c>
    </row>
    <row r="2729" spans="1:5" ht="13.5">
      <c r="A2729" s="258" t="s">
        <v>2184</v>
      </c>
      <c r="B2729" s="257" t="s">
        <v>2185</v>
      </c>
      <c r="C2729" s="257" t="s">
        <v>90</v>
      </c>
      <c r="D2729" s="259" t="s">
        <v>15900</v>
      </c>
      <c r="E2729" s="210" t="s">
        <v>201</v>
      </c>
    </row>
    <row r="2730" spans="1:5" ht="13.5">
      <c r="A2730" s="258" t="s">
        <v>2186</v>
      </c>
      <c r="B2730" s="257" t="s">
        <v>2187</v>
      </c>
      <c r="C2730" s="257" t="s">
        <v>90</v>
      </c>
      <c r="D2730" s="259" t="s">
        <v>15901</v>
      </c>
      <c r="E2730" s="210" t="s">
        <v>201</v>
      </c>
    </row>
    <row r="2731" spans="1:5" ht="13.5">
      <c r="A2731" s="258" t="s">
        <v>2188</v>
      </c>
      <c r="B2731" s="257" t="s">
        <v>2189</v>
      </c>
      <c r="C2731" s="257" t="s">
        <v>90</v>
      </c>
      <c r="D2731" s="259" t="s">
        <v>15902</v>
      </c>
      <c r="E2731" s="210" t="s">
        <v>201</v>
      </c>
    </row>
    <row r="2732" spans="1:5" ht="27">
      <c r="A2732" s="258" t="s">
        <v>2190</v>
      </c>
      <c r="B2732" s="257" t="s">
        <v>2191</v>
      </c>
      <c r="C2732" s="257" t="s">
        <v>90</v>
      </c>
      <c r="D2732" s="259" t="s">
        <v>15903</v>
      </c>
      <c r="E2732" s="210" t="s">
        <v>201</v>
      </c>
    </row>
    <row r="2733" spans="1:5" ht="27">
      <c r="A2733" s="258" t="s">
        <v>2192</v>
      </c>
      <c r="B2733" s="257" t="s">
        <v>2193</v>
      </c>
      <c r="C2733" s="257" t="s">
        <v>90</v>
      </c>
      <c r="D2733" s="259" t="s">
        <v>15904</v>
      </c>
      <c r="E2733" s="210" t="s">
        <v>201</v>
      </c>
    </row>
    <row r="2734" spans="1:5" ht="27">
      <c r="A2734" s="258" t="s">
        <v>2194</v>
      </c>
      <c r="B2734" s="257" t="s">
        <v>2195</v>
      </c>
      <c r="C2734" s="257" t="s">
        <v>90</v>
      </c>
      <c r="D2734" s="259" t="s">
        <v>15905</v>
      </c>
      <c r="E2734" s="210" t="s">
        <v>201</v>
      </c>
    </row>
    <row r="2735" spans="1:5" ht="27">
      <c r="A2735" s="258" t="s">
        <v>2196</v>
      </c>
      <c r="B2735" s="257" t="s">
        <v>2197</v>
      </c>
      <c r="C2735" s="257" t="s">
        <v>90</v>
      </c>
      <c r="D2735" s="259" t="s">
        <v>15906</v>
      </c>
      <c r="E2735" s="210" t="s">
        <v>201</v>
      </c>
    </row>
    <row r="2736" spans="1:5" ht="27">
      <c r="A2736" s="258" t="s">
        <v>2198</v>
      </c>
      <c r="B2736" s="257" t="s">
        <v>2199</v>
      </c>
      <c r="C2736" s="257" t="s">
        <v>90</v>
      </c>
      <c r="D2736" s="259" t="s">
        <v>15907</v>
      </c>
      <c r="E2736" s="210" t="s">
        <v>201</v>
      </c>
    </row>
    <row r="2737" spans="1:5" ht="27">
      <c r="A2737" s="258" t="s">
        <v>2200</v>
      </c>
      <c r="B2737" s="257" t="s">
        <v>2201</v>
      </c>
      <c r="C2737" s="257" t="s">
        <v>90</v>
      </c>
      <c r="D2737" s="259" t="s">
        <v>15908</v>
      </c>
      <c r="E2737" s="210" t="s">
        <v>201</v>
      </c>
    </row>
    <row r="2738" spans="1:5" ht="27">
      <c r="A2738" s="258">
        <v>83463</v>
      </c>
      <c r="B2738" s="257" t="s">
        <v>2202</v>
      </c>
      <c r="C2738" s="257" t="s">
        <v>90</v>
      </c>
      <c r="D2738" s="259" t="s">
        <v>15909</v>
      </c>
      <c r="E2738" s="210" t="s">
        <v>201</v>
      </c>
    </row>
    <row r="2739" spans="1:5" ht="27">
      <c r="A2739" s="258">
        <v>84402</v>
      </c>
      <c r="B2739" s="257" t="s">
        <v>2203</v>
      </c>
      <c r="C2739" s="257" t="s">
        <v>90</v>
      </c>
      <c r="D2739" s="259" t="s">
        <v>15910</v>
      </c>
      <c r="E2739" s="210" t="s">
        <v>201</v>
      </c>
    </row>
    <row r="2740" spans="1:5" ht="13.5">
      <c r="A2740" s="258">
        <v>93653</v>
      </c>
      <c r="B2740" s="257" t="s">
        <v>2204</v>
      </c>
      <c r="C2740" s="257" t="s">
        <v>90</v>
      </c>
      <c r="D2740" s="259" t="s">
        <v>15911</v>
      </c>
      <c r="E2740" s="210" t="s">
        <v>201</v>
      </c>
    </row>
    <row r="2741" spans="1:5" ht="13.5">
      <c r="A2741" s="258">
        <v>93654</v>
      </c>
      <c r="B2741" s="257" t="s">
        <v>2205</v>
      </c>
      <c r="C2741" s="257" t="s">
        <v>90</v>
      </c>
      <c r="D2741" s="259" t="s">
        <v>15912</v>
      </c>
      <c r="E2741" s="210" t="s">
        <v>201</v>
      </c>
    </row>
    <row r="2742" spans="1:5" ht="13.5">
      <c r="A2742" s="258">
        <v>93655</v>
      </c>
      <c r="B2742" s="257" t="s">
        <v>2206</v>
      </c>
      <c r="C2742" s="257" t="s">
        <v>90</v>
      </c>
      <c r="D2742" s="260" t="s">
        <v>15913</v>
      </c>
      <c r="E2742" s="210" t="s">
        <v>201</v>
      </c>
    </row>
    <row r="2743" spans="1:5" ht="13.5">
      <c r="A2743" s="258">
        <v>93656</v>
      </c>
      <c r="B2743" s="257" t="s">
        <v>2207</v>
      </c>
      <c r="C2743" s="257" t="s">
        <v>90</v>
      </c>
      <c r="D2743" s="259" t="s">
        <v>15913</v>
      </c>
      <c r="E2743" s="210" t="s">
        <v>201</v>
      </c>
    </row>
    <row r="2744" spans="1:5" ht="13.5">
      <c r="A2744" s="258">
        <v>93657</v>
      </c>
      <c r="B2744" s="257" t="s">
        <v>2208</v>
      </c>
      <c r="C2744" s="257" t="s">
        <v>90</v>
      </c>
      <c r="D2744" s="259" t="s">
        <v>15914</v>
      </c>
      <c r="E2744" s="210" t="s">
        <v>201</v>
      </c>
    </row>
    <row r="2745" spans="1:5" ht="13.5">
      <c r="A2745" s="257">
        <v>93658</v>
      </c>
      <c r="B2745" s="257" t="s">
        <v>2209</v>
      </c>
      <c r="C2745" s="257" t="s">
        <v>90</v>
      </c>
      <c r="D2745" s="259" t="s">
        <v>15915</v>
      </c>
      <c r="E2745" s="210" t="s">
        <v>201</v>
      </c>
    </row>
    <row r="2746" spans="1:5" ht="13.5">
      <c r="A2746" s="257">
        <v>93659</v>
      </c>
      <c r="B2746" s="257" t="s">
        <v>2210</v>
      </c>
      <c r="C2746" s="257" t="s">
        <v>90</v>
      </c>
      <c r="D2746" s="259" t="s">
        <v>15916</v>
      </c>
      <c r="E2746" s="210" t="s">
        <v>201</v>
      </c>
    </row>
    <row r="2747" spans="1:5" ht="13.5">
      <c r="A2747" s="257">
        <v>93660</v>
      </c>
      <c r="B2747" s="257" t="s">
        <v>2211</v>
      </c>
      <c r="C2747" s="257" t="s">
        <v>90</v>
      </c>
      <c r="D2747" s="259" t="s">
        <v>15917</v>
      </c>
      <c r="E2747" s="210" t="s">
        <v>201</v>
      </c>
    </row>
    <row r="2748" spans="1:5" ht="13.5">
      <c r="A2748" s="257">
        <v>93661</v>
      </c>
      <c r="B2748" s="257" t="s">
        <v>2212</v>
      </c>
      <c r="C2748" s="257" t="s">
        <v>90</v>
      </c>
      <c r="D2748" s="259" t="s">
        <v>15288</v>
      </c>
      <c r="E2748" s="210" t="s">
        <v>201</v>
      </c>
    </row>
    <row r="2749" spans="1:5" ht="13.5">
      <c r="A2749" s="257">
        <v>93662</v>
      </c>
      <c r="B2749" s="257" t="s">
        <v>2213</v>
      </c>
      <c r="C2749" s="257" t="s">
        <v>90</v>
      </c>
      <c r="D2749" s="259" t="s">
        <v>15918</v>
      </c>
      <c r="E2749" s="210" t="s">
        <v>201</v>
      </c>
    </row>
    <row r="2750" spans="1:5" ht="13.5">
      <c r="A2750" s="257">
        <v>93663</v>
      </c>
      <c r="B2750" s="257" t="s">
        <v>2214</v>
      </c>
      <c r="C2750" s="257" t="s">
        <v>90</v>
      </c>
      <c r="D2750" s="259" t="s">
        <v>15918</v>
      </c>
      <c r="E2750" s="210" t="s">
        <v>201</v>
      </c>
    </row>
    <row r="2751" spans="1:5" ht="13.5">
      <c r="A2751" s="257">
        <v>93664</v>
      </c>
      <c r="B2751" s="257" t="s">
        <v>2215</v>
      </c>
      <c r="C2751" s="257" t="s">
        <v>90</v>
      </c>
      <c r="D2751" s="259" t="s">
        <v>15919</v>
      </c>
      <c r="E2751" s="210" t="s">
        <v>201</v>
      </c>
    </row>
    <row r="2752" spans="1:5" ht="13.5">
      <c r="A2752" s="257">
        <v>93665</v>
      </c>
      <c r="B2752" s="257" t="s">
        <v>2216</v>
      </c>
      <c r="C2752" s="257" t="s">
        <v>90</v>
      </c>
      <c r="D2752" s="259" t="s">
        <v>15920</v>
      </c>
      <c r="E2752" s="210" t="s">
        <v>201</v>
      </c>
    </row>
    <row r="2753" spans="1:5" ht="13.5">
      <c r="A2753" s="258">
        <v>93666</v>
      </c>
      <c r="B2753" s="257" t="s">
        <v>2217</v>
      </c>
      <c r="C2753" s="257" t="s">
        <v>90</v>
      </c>
      <c r="D2753" s="259" t="s">
        <v>15921</v>
      </c>
      <c r="E2753" s="210" t="s">
        <v>201</v>
      </c>
    </row>
    <row r="2754" spans="1:5" ht="13.5">
      <c r="A2754" s="258">
        <v>93667</v>
      </c>
      <c r="B2754" s="257" t="s">
        <v>2218</v>
      </c>
      <c r="C2754" s="257" t="s">
        <v>90</v>
      </c>
      <c r="D2754" s="259" t="s">
        <v>15922</v>
      </c>
      <c r="E2754" s="210" t="s">
        <v>201</v>
      </c>
    </row>
    <row r="2755" spans="1:5" ht="13.5">
      <c r="A2755" s="258">
        <v>93668</v>
      </c>
      <c r="B2755" s="257" t="s">
        <v>2219</v>
      </c>
      <c r="C2755" s="257" t="s">
        <v>90</v>
      </c>
      <c r="D2755" s="259" t="s">
        <v>15923</v>
      </c>
      <c r="E2755" s="210" t="s">
        <v>201</v>
      </c>
    </row>
    <row r="2756" spans="1:5" ht="13.5">
      <c r="A2756" s="257">
        <v>93669</v>
      </c>
      <c r="B2756" s="257" t="s">
        <v>2220</v>
      </c>
      <c r="C2756" s="257" t="s">
        <v>90</v>
      </c>
      <c r="D2756" s="259" t="s">
        <v>15924</v>
      </c>
      <c r="E2756" s="210" t="s">
        <v>201</v>
      </c>
    </row>
    <row r="2757" spans="1:5" ht="13.5">
      <c r="A2757" s="257">
        <v>93670</v>
      </c>
      <c r="B2757" s="257" t="s">
        <v>2221</v>
      </c>
      <c r="C2757" s="257" t="s">
        <v>90</v>
      </c>
      <c r="D2757" s="259" t="s">
        <v>15924</v>
      </c>
      <c r="E2757" s="210" t="s">
        <v>201</v>
      </c>
    </row>
    <row r="2758" spans="1:5" ht="13.5">
      <c r="A2758" s="257">
        <v>93671</v>
      </c>
      <c r="B2758" s="257" t="s">
        <v>2222</v>
      </c>
      <c r="C2758" s="257" t="s">
        <v>90</v>
      </c>
      <c r="D2758" s="259" t="s">
        <v>15925</v>
      </c>
      <c r="E2758" s="210" t="s">
        <v>201</v>
      </c>
    </row>
    <row r="2759" spans="1:5" ht="13.5">
      <c r="A2759" s="257">
        <v>93672</v>
      </c>
      <c r="B2759" s="257" t="s">
        <v>2223</v>
      </c>
      <c r="C2759" s="257" t="s">
        <v>90</v>
      </c>
      <c r="D2759" s="259" t="s">
        <v>15926</v>
      </c>
      <c r="E2759" s="210" t="s">
        <v>201</v>
      </c>
    </row>
    <row r="2760" spans="1:5" ht="13.5">
      <c r="A2760" s="257">
        <v>93673</v>
      </c>
      <c r="B2760" s="257" t="s">
        <v>2224</v>
      </c>
      <c r="C2760" s="257" t="s">
        <v>90</v>
      </c>
      <c r="D2760" s="260" t="s">
        <v>15927</v>
      </c>
      <c r="E2760" s="210" t="s">
        <v>201</v>
      </c>
    </row>
    <row r="2761" spans="1:5" ht="13.5">
      <c r="A2761" s="257">
        <v>97359</v>
      </c>
      <c r="B2761" s="257" t="s">
        <v>15928</v>
      </c>
      <c r="C2761" s="257" t="s">
        <v>90</v>
      </c>
      <c r="D2761" s="260" t="s">
        <v>15929</v>
      </c>
      <c r="E2761" s="210" t="s">
        <v>201</v>
      </c>
    </row>
    <row r="2762" spans="1:5" ht="13.5">
      <c r="A2762" s="257">
        <v>97360</v>
      </c>
      <c r="B2762" s="257" t="s">
        <v>15930</v>
      </c>
      <c r="C2762" s="257" t="s">
        <v>90</v>
      </c>
      <c r="D2762" s="260" t="s">
        <v>15931</v>
      </c>
      <c r="E2762" s="210" t="s">
        <v>201</v>
      </c>
    </row>
    <row r="2763" spans="1:5" ht="13.5">
      <c r="A2763" s="257">
        <v>97361</v>
      </c>
      <c r="B2763" s="257" t="s">
        <v>15932</v>
      </c>
      <c r="C2763" s="257" t="s">
        <v>90</v>
      </c>
      <c r="D2763" s="260" t="s">
        <v>15933</v>
      </c>
      <c r="E2763" s="210" t="s">
        <v>201</v>
      </c>
    </row>
    <row r="2764" spans="1:5" ht="13.5">
      <c r="A2764" s="257">
        <v>72339</v>
      </c>
      <c r="B2764" s="257" t="s">
        <v>2225</v>
      </c>
      <c r="C2764" s="257" t="s">
        <v>90</v>
      </c>
      <c r="D2764" s="259" t="s">
        <v>15934</v>
      </c>
      <c r="E2764" s="210" t="s">
        <v>201</v>
      </c>
    </row>
    <row r="2765" spans="1:5" ht="13.5">
      <c r="A2765" s="257">
        <v>83403</v>
      </c>
      <c r="B2765" s="257" t="s">
        <v>2226</v>
      </c>
      <c r="C2765" s="257" t="s">
        <v>90</v>
      </c>
      <c r="D2765" s="259" t="s">
        <v>15935</v>
      </c>
      <c r="E2765" s="210" t="s">
        <v>201</v>
      </c>
    </row>
    <row r="2766" spans="1:5" ht="13.5">
      <c r="A2766" s="257">
        <v>83465</v>
      </c>
      <c r="B2766" s="257" t="s">
        <v>2227</v>
      </c>
      <c r="C2766" s="257" t="s">
        <v>90</v>
      </c>
      <c r="D2766" s="259" t="s">
        <v>15936</v>
      </c>
      <c r="E2766" s="210" t="s">
        <v>201</v>
      </c>
    </row>
    <row r="2767" spans="1:5" ht="27">
      <c r="A2767" s="257">
        <v>91945</v>
      </c>
      <c r="B2767" s="257" t="s">
        <v>2228</v>
      </c>
      <c r="C2767" s="257" t="s">
        <v>90</v>
      </c>
      <c r="D2767" s="260" t="s">
        <v>15937</v>
      </c>
      <c r="E2767" s="210" t="s">
        <v>201</v>
      </c>
    </row>
    <row r="2768" spans="1:5" ht="27">
      <c r="A2768" s="257">
        <v>91946</v>
      </c>
      <c r="B2768" s="257" t="s">
        <v>2229</v>
      </c>
      <c r="C2768" s="257" t="s">
        <v>90</v>
      </c>
      <c r="D2768" s="260" t="s">
        <v>15462</v>
      </c>
      <c r="E2768" s="210" t="s">
        <v>201</v>
      </c>
    </row>
    <row r="2769" spans="1:5" ht="27">
      <c r="A2769" s="258">
        <v>91947</v>
      </c>
      <c r="B2769" s="257" t="s">
        <v>2230</v>
      </c>
      <c r="C2769" s="257" t="s">
        <v>90</v>
      </c>
      <c r="D2769" s="259" t="s">
        <v>14305</v>
      </c>
      <c r="E2769" s="210" t="s">
        <v>201</v>
      </c>
    </row>
    <row r="2770" spans="1:5" ht="27">
      <c r="A2770" s="258">
        <v>91949</v>
      </c>
      <c r="B2770" s="257" t="s">
        <v>2231</v>
      </c>
      <c r="C2770" s="257" t="s">
        <v>90</v>
      </c>
      <c r="D2770" s="259" t="s">
        <v>15938</v>
      </c>
      <c r="E2770" s="210" t="s">
        <v>201</v>
      </c>
    </row>
    <row r="2771" spans="1:5" ht="27">
      <c r="A2771" s="258">
        <v>91950</v>
      </c>
      <c r="B2771" s="257" t="s">
        <v>2232</v>
      </c>
      <c r="C2771" s="257" t="s">
        <v>90</v>
      </c>
      <c r="D2771" s="260" t="s">
        <v>15939</v>
      </c>
      <c r="E2771" s="210" t="s">
        <v>201</v>
      </c>
    </row>
    <row r="2772" spans="1:5" ht="27">
      <c r="A2772" s="258">
        <v>91951</v>
      </c>
      <c r="B2772" s="257" t="s">
        <v>2233</v>
      </c>
      <c r="C2772" s="257" t="s">
        <v>90</v>
      </c>
      <c r="D2772" s="259" t="s">
        <v>15803</v>
      </c>
      <c r="E2772" s="210" t="s">
        <v>201</v>
      </c>
    </row>
    <row r="2773" spans="1:5" ht="27">
      <c r="A2773" s="257">
        <v>91952</v>
      </c>
      <c r="B2773" s="257" t="s">
        <v>2234</v>
      </c>
      <c r="C2773" s="257" t="s">
        <v>90</v>
      </c>
      <c r="D2773" s="260" t="s">
        <v>15940</v>
      </c>
      <c r="E2773" s="210" t="s">
        <v>201</v>
      </c>
    </row>
    <row r="2774" spans="1:5" ht="27">
      <c r="A2774" s="257">
        <v>91953</v>
      </c>
      <c r="B2774" s="257" t="s">
        <v>95</v>
      </c>
      <c r="C2774" s="257" t="s">
        <v>90</v>
      </c>
      <c r="D2774" s="260" t="s">
        <v>15941</v>
      </c>
      <c r="E2774" s="210" t="s">
        <v>201</v>
      </c>
    </row>
    <row r="2775" spans="1:5" ht="27">
      <c r="A2775" s="257">
        <v>91954</v>
      </c>
      <c r="B2775" s="257" t="s">
        <v>2235</v>
      </c>
      <c r="C2775" s="257" t="s">
        <v>90</v>
      </c>
      <c r="D2775" s="260" t="s">
        <v>15942</v>
      </c>
      <c r="E2775" s="210" t="s">
        <v>201</v>
      </c>
    </row>
    <row r="2776" spans="1:5" ht="27">
      <c r="A2776" s="257">
        <v>91955</v>
      </c>
      <c r="B2776" s="257" t="s">
        <v>2236</v>
      </c>
      <c r="C2776" s="257" t="s">
        <v>90</v>
      </c>
      <c r="D2776" s="260" t="s">
        <v>15943</v>
      </c>
      <c r="E2776" s="210" t="s">
        <v>201</v>
      </c>
    </row>
    <row r="2777" spans="1:5" ht="27">
      <c r="A2777" s="257">
        <v>91956</v>
      </c>
      <c r="B2777" s="257" t="s">
        <v>2237</v>
      </c>
      <c r="C2777" s="257" t="s">
        <v>90</v>
      </c>
      <c r="D2777" s="259" t="s">
        <v>15944</v>
      </c>
      <c r="E2777" s="210" t="s">
        <v>201</v>
      </c>
    </row>
    <row r="2778" spans="1:5" ht="27">
      <c r="A2778" s="258">
        <v>91957</v>
      </c>
      <c r="B2778" s="257" t="s">
        <v>2238</v>
      </c>
      <c r="C2778" s="257" t="s">
        <v>90</v>
      </c>
      <c r="D2778" s="259" t="s">
        <v>15945</v>
      </c>
      <c r="E2778" s="210" t="s">
        <v>201</v>
      </c>
    </row>
    <row r="2779" spans="1:5" ht="27">
      <c r="A2779" s="258">
        <v>91958</v>
      </c>
      <c r="B2779" s="257" t="s">
        <v>2239</v>
      </c>
      <c r="C2779" s="257" t="s">
        <v>90</v>
      </c>
      <c r="D2779" s="259" t="s">
        <v>15946</v>
      </c>
      <c r="E2779" s="210" t="s">
        <v>201</v>
      </c>
    </row>
    <row r="2780" spans="1:5" ht="27">
      <c r="A2780" s="257">
        <v>91959</v>
      </c>
      <c r="B2780" s="257" t="s">
        <v>2240</v>
      </c>
      <c r="C2780" s="257" t="s">
        <v>90</v>
      </c>
      <c r="D2780" s="259" t="s">
        <v>15947</v>
      </c>
      <c r="E2780" s="210" t="s">
        <v>201</v>
      </c>
    </row>
    <row r="2781" spans="1:5" ht="27">
      <c r="A2781" s="257">
        <v>91960</v>
      </c>
      <c r="B2781" s="257" t="s">
        <v>2241</v>
      </c>
      <c r="C2781" s="257" t="s">
        <v>90</v>
      </c>
      <c r="D2781" s="259" t="s">
        <v>15948</v>
      </c>
      <c r="E2781" s="210" t="s">
        <v>201</v>
      </c>
    </row>
    <row r="2782" spans="1:5" ht="27">
      <c r="A2782" s="257">
        <v>91961</v>
      </c>
      <c r="B2782" s="257" t="s">
        <v>2242</v>
      </c>
      <c r="C2782" s="257" t="s">
        <v>90</v>
      </c>
      <c r="D2782" s="259" t="s">
        <v>15379</v>
      </c>
      <c r="E2782" s="210" t="s">
        <v>201</v>
      </c>
    </row>
    <row r="2783" spans="1:5" ht="27">
      <c r="A2783" s="257">
        <v>91962</v>
      </c>
      <c r="B2783" s="257" t="s">
        <v>2243</v>
      </c>
      <c r="C2783" s="257" t="s">
        <v>90</v>
      </c>
      <c r="D2783" s="259" t="s">
        <v>15949</v>
      </c>
      <c r="E2783" s="210" t="s">
        <v>201</v>
      </c>
    </row>
    <row r="2784" spans="1:5" ht="27">
      <c r="A2784" s="257">
        <v>91963</v>
      </c>
      <c r="B2784" s="257" t="s">
        <v>2244</v>
      </c>
      <c r="C2784" s="257" t="s">
        <v>90</v>
      </c>
      <c r="D2784" s="259" t="s">
        <v>15950</v>
      </c>
      <c r="E2784" s="210" t="s">
        <v>201</v>
      </c>
    </row>
    <row r="2785" spans="1:5" ht="27">
      <c r="A2785" s="257">
        <v>91964</v>
      </c>
      <c r="B2785" s="257" t="s">
        <v>2245</v>
      </c>
      <c r="C2785" s="257" t="s">
        <v>90</v>
      </c>
      <c r="D2785" s="259" t="s">
        <v>15951</v>
      </c>
      <c r="E2785" s="210" t="s">
        <v>201</v>
      </c>
    </row>
    <row r="2786" spans="1:5" ht="27">
      <c r="A2786" s="257">
        <v>91965</v>
      </c>
      <c r="B2786" s="257" t="s">
        <v>2246</v>
      </c>
      <c r="C2786" s="257" t="s">
        <v>90</v>
      </c>
      <c r="D2786" s="259" t="s">
        <v>15655</v>
      </c>
      <c r="E2786" s="210" t="s">
        <v>201</v>
      </c>
    </row>
    <row r="2787" spans="1:5" ht="27">
      <c r="A2787" s="257">
        <v>91966</v>
      </c>
      <c r="B2787" s="257" t="s">
        <v>2247</v>
      </c>
      <c r="C2787" s="257" t="s">
        <v>90</v>
      </c>
      <c r="D2787" s="259" t="s">
        <v>15952</v>
      </c>
      <c r="E2787" s="210" t="s">
        <v>201</v>
      </c>
    </row>
    <row r="2788" spans="1:5" ht="27">
      <c r="A2788" s="257">
        <v>91967</v>
      </c>
      <c r="B2788" s="257" t="s">
        <v>2248</v>
      </c>
      <c r="C2788" s="257" t="s">
        <v>90</v>
      </c>
      <c r="D2788" s="259" t="s">
        <v>15953</v>
      </c>
      <c r="E2788" s="210" t="s">
        <v>201</v>
      </c>
    </row>
    <row r="2789" spans="1:5" ht="27">
      <c r="A2789" s="257">
        <v>91968</v>
      </c>
      <c r="B2789" s="257" t="s">
        <v>2249</v>
      </c>
      <c r="C2789" s="257" t="s">
        <v>90</v>
      </c>
      <c r="D2789" s="259" t="s">
        <v>15954</v>
      </c>
      <c r="E2789" s="210" t="s">
        <v>201</v>
      </c>
    </row>
    <row r="2790" spans="1:5" ht="27">
      <c r="A2790" s="258">
        <v>91969</v>
      </c>
      <c r="B2790" s="257" t="s">
        <v>2250</v>
      </c>
      <c r="C2790" s="257" t="s">
        <v>90</v>
      </c>
      <c r="D2790" s="259" t="s">
        <v>13610</v>
      </c>
      <c r="E2790" s="210" t="s">
        <v>201</v>
      </c>
    </row>
    <row r="2791" spans="1:5" ht="27">
      <c r="A2791" s="258">
        <v>91970</v>
      </c>
      <c r="B2791" s="257" t="s">
        <v>2251</v>
      </c>
      <c r="C2791" s="257" t="s">
        <v>90</v>
      </c>
      <c r="D2791" s="259" t="s">
        <v>15955</v>
      </c>
      <c r="E2791" s="210" t="s">
        <v>201</v>
      </c>
    </row>
    <row r="2792" spans="1:5" ht="27">
      <c r="A2792" s="258">
        <v>91971</v>
      </c>
      <c r="B2792" s="257" t="s">
        <v>2252</v>
      </c>
      <c r="C2792" s="257" t="s">
        <v>90</v>
      </c>
      <c r="D2792" s="259" t="s">
        <v>15956</v>
      </c>
      <c r="E2792" s="210" t="s">
        <v>201</v>
      </c>
    </row>
    <row r="2793" spans="1:5" ht="27">
      <c r="A2793" s="258">
        <v>91972</v>
      </c>
      <c r="B2793" s="257" t="s">
        <v>2253</v>
      </c>
      <c r="C2793" s="257" t="s">
        <v>90</v>
      </c>
      <c r="D2793" s="259" t="s">
        <v>15957</v>
      </c>
      <c r="E2793" s="210" t="s">
        <v>201</v>
      </c>
    </row>
    <row r="2794" spans="1:5" ht="27">
      <c r="A2794" s="258">
        <v>91973</v>
      </c>
      <c r="B2794" s="257" t="s">
        <v>2254</v>
      </c>
      <c r="C2794" s="257" t="s">
        <v>90</v>
      </c>
      <c r="D2794" s="259" t="s">
        <v>15958</v>
      </c>
      <c r="E2794" s="210" t="s">
        <v>201</v>
      </c>
    </row>
    <row r="2795" spans="1:5" ht="27">
      <c r="A2795" s="258">
        <v>91974</v>
      </c>
      <c r="B2795" s="257" t="s">
        <v>2255</v>
      </c>
      <c r="C2795" s="257" t="s">
        <v>90</v>
      </c>
      <c r="D2795" s="259" t="s">
        <v>15959</v>
      </c>
      <c r="E2795" s="210" t="s">
        <v>201</v>
      </c>
    </row>
    <row r="2796" spans="1:5" ht="27">
      <c r="A2796" s="258">
        <v>91975</v>
      </c>
      <c r="B2796" s="257" t="s">
        <v>2256</v>
      </c>
      <c r="C2796" s="257" t="s">
        <v>90</v>
      </c>
      <c r="D2796" s="259" t="s">
        <v>15960</v>
      </c>
      <c r="E2796" s="210" t="s">
        <v>201</v>
      </c>
    </row>
    <row r="2797" spans="1:5" ht="27">
      <c r="A2797" s="258">
        <v>91976</v>
      </c>
      <c r="B2797" s="257" t="s">
        <v>2257</v>
      </c>
      <c r="C2797" s="257" t="s">
        <v>90</v>
      </c>
      <c r="D2797" s="259" t="s">
        <v>15961</v>
      </c>
      <c r="E2797" s="210" t="s">
        <v>201</v>
      </c>
    </row>
    <row r="2798" spans="1:5" ht="27">
      <c r="A2798" s="258">
        <v>91977</v>
      </c>
      <c r="B2798" s="257" t="s">
        <v>2258</v>
      </c>
      <c r="C2798" s="257" t="s">
        <v>90</v>
      </c>
      <c r="D2798" s="259" t="s">
        <v>15962</v>
      </c>
      <c r="E2798" s="210" t="s">
        <v>201</v>
      </c>
    </row>
    <row r="2799" spans="1:5" ht="27">
      <c r="A2799" s="258">
        <v>91978</v>
      </c>
      <c r="B2799" s="257" t="s">
        <v>4702</v>
      </c>
      <c r="C2799" s="257" t="s">
        <v>90</v>
      </c>
      <c r="D2799" s="259" t="s">
        <v>15963</v>
      </c>
      <c r="E2799" s="210" t="s">
        <v>201</v>
      </c>
    </row>
    <row r="2800" spans="1:5" ht="27">
      <c r="A2800" s="258">
        <v>91979</v>
      </c>
      <c r="B2800" s="257" t="s">
        <v>4703</v>
      </c>
      <c r="C2800" s="257" t="s">
        <v>90</v>
      </c>
      <c r="D2800" s="259" t="s">
        <v>15758</v>
      </c>
      <c r="E2800" s="210" t="s">
        <v>201</v>
      </c>
    </row>
    <row r="2801" spans="1:5" ht="27">
      <c r="A2801" s="258">
        <v>91980</v>
      </c>
      <c r="B2801" s="257" t="s">
        <v>4704</v>
      </c>
      <c r="C2801" s="257" t="s">
        <v>90</v>
      </c>
      <c r="D2801" s="259" t="s">
        <v>15964</v>
      </c>
      <c r="E2801" s="210" t="s">
        <v>201</v>
      </c>
    </row>
    <row r="2802" spans="1:5" ht="27">
      <c r="A2802" s="258">
        <v>91981</v>
      </c>
      <c r="B2802" s="257" t="s">
        <v>4705</v>
      </c>
      <c r="C2802" s="257" t="s">
        <v>90</v>
      </c>
      <c r="D2802" s="259" t="s">
        <v>15965</v>
      </c>
      <c r="E2802" s="210" t="s">
        <v>201</v>
      </c>
    </row>
    <row r="2803" spans="1:5" ht="27">
      <c r="A2803" s="258">
        <v>91982</v>
      </c>
      <c r="B2803" s="257" t="s">
        <v>4706</v>
      </c>
      <c r="C2803" s="257" t="s">
        <v>90</v>
      </c>
      <c r="D2803" s="259" t="s">
        <v>15966</v>
      </c>
      <c r="E2803" s="210" t="s">
        <v>201</v>
      </c>
    </row>
    <row r="2804" spans="1:5" ht="27">
      <c r="A2804" s="258">
        <v>91983</v>
      </c>
      <c r="B2804" s="257" t="s">
        <v>4707</v>
      </c>
      <c r="C2804" s="257" t="s">
        <v>90</v>
      </c>
      <c r="D2804" s="259" t="s">
        <v>15967</v>
      </c>
      <c r="E2804" s="210" t="s">
        <v>201</v>
      </c>
    </row>
    <row r="2805" spans="1:5" ht="27">
      <c r="A2805" s="257">
        <v>91984</v>
      </c>
      <c r="B2805" s="257" t="s">
        <v>4708</v>
      </c>
      <c r="C2805" s="257" t="s">
        <v>90</v>
      </c>
      <c r="D2805" s="260" t="s">
        <v>15968</v>
      </c>
      <c r="E2805" s="210" t="s">
        <v>201</v>
      </c>
    </row>
    <row r="2806" spans="1:5" ht="27">
      <c r="A2806" s="257">
        <v>91985</v>
      </c>
      <c r="B2806" s="257" t="s">
        <v>4709</v>
      </c>
      <c r="C2806" s="257" t="s">
        <v>90</v>
      </c>
      <c r="D2806" s="260" t="s">
        <v>14936</v>
      </c>
      <c r="E2806" s="210" t="s">
        <v>201</v>
      </c>
    </row>
    <row r="2807" spans="1:5" ht="27">
      <c r="A2807" s="257">
        <v>91986</v>
      </c>
      <c r="B2807" s="257" t="s">
        <v>4710</v>
      </c>
      <c r="C2807" s="257" t="s">
        <v>90</v>
      </c>
      <c r="D2807" s="260" t="s">
        <v>15969</v>
      </c>
      <c r="E2807" s="210" t="s">
        <v>201</v>
      </c>
    </row>
    <row r="2808" spans="1:5" ht="27">
      <c r="A2808" s="257">
        <v>91987</v>
      </c>
      <c r="B2808" s="257" t="s">
        <v>4711</v>
      </c>
      <c r="C2808" s="257" t="s">
        <v>90</v>
      </c>
      <c r="D2808" s="260" t="s">
        <v>15970</v>
      </c>
      <c r="E2808" s="210" t="s">
        <v>201</v>
      </c>
    </row>
    <row r="2809" spans="1:5" ht="27">
      <c r="A2809" s="257">
        <v>91988</v>
      </c>
      <c r="B2809" s="257" t="s">
        <v>4712</v>
      </c>
      <c r="C2809" s="257" t="s">
        <v>90</v>
      </c>
      <c r="D2809" s="260" t="s">
        <v>15971</v>
      </c>
      <c r="E2809" s="210" t="s">
        <v>201</v>
      </c>
    </row>
    <row r="2810" spans="1:5" ht="27">
      <c r="A2810" s="257">
        <v>91989</v>
      </c>
      <c r="B2810" s="257" t="s">
        <v>4713</v>
      </c>
      <c r="C2810" s="257" t="s">
        <v>90</v>
      </c>
      <c r="D2810" s="260" t="s">
        <v>15972</v>
      </c>
      <c r="E2810" s="210" t="s">
        <v>201</v>
      </c>
    </row>
    <row r="2811" spans="1:5" ht="27">
      <c r="A2811" s="257">
        <v>91990</v>
      </c>
      <c r="B2811" s="257" t="s">
        <v>2259</v>
      </c>
      <c r="C2811" s="257" t="s">
        <v>90</v>
      </c>
      <c r="D2811" s="260" t="s">
        <v>15973</v>
      </c>
      <c r="E2811" s="210" t="s">
        <v>201</v>
      </c>
    </row>
    <row r="2812" spans="1:5" ht="27">
      <c r="A2812" s="257">
        <v>91991</v>
      </c>
      <c r="B2812" s="257" t="s">
        <v>2260</v>
      </c>
      <c r="C2812" s="257" t="s">
        <v>90</v>
      </c>
      <c r="D2812" s="260" t="s">
        <v>15974</v>
      </c>
      <c r="E2812" s="210" t="s">
        <v>201</v>
      </c>
    </row>
    <row r="2813" spans="1:5" ht="27">
      <c r="A2813" s="257">
        <v>91992</v>
      </c>
      <c r="B2813" s="257" t="s">
        <v>96</v>
      </c>
      <c r="C2813" s="257" t="s">
        <v>90</v>
      </c>
      <c r="D2813" s="260" t="s">
        <v>15975</v>
      </c>
      <c r="E2813" s="210" t="s">
        <v>201</v>
      </c>
    </row>
    <row r="2814" spans="1:5" ht="27">
      <c r="A2814" s="257">
        <v>91993</v>
      </c>
      <c r="B2814" s="257" t="s">
        <v>2261</v>
      </c>
      <c r="C2814" s="257" t="s">
        <v>90</v>
      </c>
      <c r="D2814" s="260" t="s">
        <v>15976</v>
      </c>
      <c r="E2814" s="210" t="s">
        <v>201</v>
      </c>
    </row>
    <row r="2815" spans="1:5" ht="27">
      <c r="A2815" s="258">
        <v>91994</v>
      </c>
      <c r="B2815" s="257" t="s">
        <v>2262</v>
      </c>
      <c r="C2815" s="257" t="s">
        <v>90</v>
      </c>
      <c r="D2815" s="259" t="s">
        <v>15977</v>
      </c>
      <c r="E2815" s="210" t="s">
        <v>201</v>
      </c>
    </row>
    <row r="2816" spans="1:5" ht="27">
      <c r="A2816" s="258">
        <v>91995</v>
      </c>
      <c r="B2816" s="257" t="s">
        <v>2263</v>
      </c>
      <c r="C2816" s="257" t="s">
        <v>90</v>
      </c>
      <c r="D2816" s="259" t="s">
        <v>15978</v>
      </c>
      <c r="E2816" s="210" t="s">
        <v>201</v>
      </c>
    </row>
    <row r="2817" spans="1:5" ht="27">
      <c r="A2817" s="258">
        <v>91996</v>
      </c>
      <c r="B2817" s="257" t="s">
        <v>97</v>
      </c>
      <c r="C2817" s="257" t="s">
        <v>90</v>
      </c>
      <c r="D2817" s="259" t="s">
        <v>15979</v>
      </c>
      <c r="E2817" s="210" t="s">
        <v>201</v>
      </c>
    </row>
    <row r="2818" spans="1:5" ht="27">
      <c r="A2818" s="258">
        <v>91997</v>
      </c>
      <c r="B2818" s="257" t="s">
        <v>2264</v>
      </c>
      <c r="C2818" s="257" t="s">
        <v>90</v>
      </c>
      <c r="D2818" s="259" t="s">
        <v>15980</v>
      </c>
      <c r="E2818" s="210" t="s">
        <v>201</v>
      </c>
    </row>
    <row r="2819" spans="1:5" ht="27">
      <c r="A2819" s="258">
        <v>91998</v>
      </c>
      <c r="B2819" s="257" t="s">
        <v>2265</v>
      </c>
      <c r="C2819" s="257" t="s">
        <v>90</v>
      </c>
      <c r="D2819" s="259" t="s">
        <v>15780</v>
      </c>
      <c r="E2819" s="210" t="s">
        <v>201</v>
      </c>
    </row>
    <row r="2820" spans="1:5" ht="27">
      <c r="A2820" s="258">
        <v>91999</v>
      </c>
      <c r="B2820" s="257" t="s">
        <v>2266</v>
      </c>
      <c r="C2820" s="257" t="s">
        <v>90</v>
      </c>
      <c r="D2820" s="259" t="s">
        <v>15981</v>
      </c>
      <c r="E2820" s="210" t="s">
        <v>201</v>
      </c>
    </row>
    <row r="2821" spans="1:5" ht="27">
      <c r="A2821" s="258">
        <v>92000</v>
      </c>
      <c r="B2821" s="257" t="s">
        <v>98</v>
      </c>
      <c r="C2821" s="257" t="s">
        <v>90</v>
      </c>
      <c r="D2821" s="259" t="s">
        <v>13693</v>
      </c>
      <c r="E2821" s="210" t="s">
        <v>201</v>
      </c>
    </row>
    <row r="2822" spans="1:5" ht="27">
      <c r="A2822" s="258">
        <v>92001</v>
      </c>
      <c r="B2822" s="257" t="s">
        <v>2267</v>
      </c>
      <c r="C2822" s="257" t="s">
        <v>90</v>
      </c>
      <c r="D2822" s="259" t="s">
        <v>15982</v>
      </c>
      <c r="E2822" s="210" t="s">
        <v>201</v>
      </c>
    </row>
    <row r="2823" spans="1:5" ht="27">
      <c r="A2823" s="258">
        <v>92002</v>
      </c>
      <c r="B2823" s="257" t="s">
        <v>2268</v>
      </c>
      <c r="C2823" s="257" t="s">
        <v>90</v>
      </c>
      <c r="D2823" s="259" t="s">
        <v>15983</v>
      </c>
      <c r="E2823" s="210" t="s">
        <v>201</v>
      </c>
    </row>
    <row r="2824" spans="1:5" ht="27">
      <c r="A2824" s="258">
        <v>92003</v>
      </c>
      <c r="B2824" s="257" t="s">
        <v>2269</v>
      </c>
      <c r="C2824" s="257" t="s">
        <v>90</v>
      </c>
      <c r="D2824" s="259" t="s">
        <v>15984</v>
      </c>
      <c r="E2824" s="210" t="s">
        <v>201</v>
      </c>
    </row>
    <row r="2825" spans="1:5" ht="27">
      <c r="A2825" s="258">
        <v>92004</v>
      </c>
      <c r="B2825" s="257" t="s">
        <v>2270</v>
      </c>
      <c r="C2825" s="257" t="s">
        <v>90</v>
      </c>
      <c r="D2825" s="259" t="s">
        <v>15985</v>
      </c>
      <c r="E2825" s="210" t="s">
        <v>201</v>
      </c>
    </row>
    <row r="2826" spans="1:5" ht="27">
      <c r="A2826" s="258">
        <v>92005</v>
      </c>
      <c r="B2826" s="257" t="s">
        <v>2271</v>
      </c>
      <c r="C2826" s="257" t="s">
        <v>90</v>
      </c>
      <c r="D2826" s="259" t="s">
        <v>15986</v>
      </c>
      <c r="E2826" s="210" t="s">
        <v>201</v>
      </c>
    </row>
    <row r="2827" spans="1:5" ht="27">
      <c r="A2827" s="258">
        <v>92006</v>
      </c>
      <c r="B2827" s="257" t="s">
        <v>2272</v>
      </c>
      <c r="C2827" s="257" t="s">
        <v>90</v>
      </c>
      <c r="D2827" s="260" t="s">
        <v>15987</v>
      </c>
      <c r="E2827" s="210" t="s">
        <v>201</v>
      </c>
    </row>
    <row r="2828" spans="1:5" ht="27">
      <c r="A2828" s="258">
        <v>92007</v>
      </c>
      <c r="B2828" s="257" t="s">
        <v>2273</v>
      </c>
      <c r="C2828" s="257" t="s">
        <v>90</v>
      </c>
      <c r="D2828" s="259" t="s">
        <v>15988</v>
      </c>
      <c r="E2828" s="210" t="s">
        <v>201</v>
      </c>
    </row>
    <row r="2829" spans="1:5" ht="27">
      <c r="A2829" s="258">
        <v>92008</v>
      </c>
      <c r="B2829" s="257" t="s">
        <v>2274</v>
      </c>
      <c r="C2829" s="257" t="s">
        <v>90</v>
      </c>
      <c r="D2829" s="259" t="s">
        <v>15989</v>
      </c>
      <c r="E2829" s="210" t="s">
        <v>201</v>
      </c>
    </row>
    <row r="2830" spans="1:5" ht="27">
      <c r="A2830" s="258">
        <v>92009</v>
      </c>
      <c r="B2830" s="257" t="s">
        <v>2275</v>
      </c>
      <c r="C2830" s="257" t="s">
        <v>90</v>
      </c>
      <c r="D2830" s="259" t="s">
        <v>15990</v>
      </c>
      <c r="E2830" s="210" t="s">
        <v>201</v>
      </c>
    </row>
    <row r="2831" spans="1:5" ht="27">
      <c r="A2831" s="258">
        <v>92010</v>
      </c>
      <c r="B2831" s="257" t="s">
        <v>2276</v>
      </c>
      <c r="C2831" s="257" t="s">
        <v>90</v>
      </c>
      <c r="D2831" s="259" t="s">
        <v>15991</v>
      </c>
      <c r="E2831" s="210" t="s">
        <v>201</v>
      </c>
    </row>
    <row r="2832" spans="1:5" ht="27">
      <c r="A2832" s="258">
        <v>92011</v>
      </c>
      <c r="B2832" s="257" t="s">
        <v>2277</v>
      </c>
      <c r="C2832" s="257" t="s">
        <v>90</v>
      </c>
      <c r="D2832" s="259" t="s">
        <v>15992</v>
      </c>
      <c r="E2832" s="210" t="s">
        <v>201</v>
      </c>
    </row>
    <row r="2833" spans="1:5" ht="27">
      <c r="A2833" s="258">
        <v>92012</v>
      </c>
      <c r="B2833" s="257" t="s">
        <v>2278</v>
      </c>
      <c r="C2833" s="257" t="s">
        <v>90</v>
      </c>
      <c r="D2833" s="259" t="s">
        <v>15993</v>
      </c>
      <c r="E2833" s="210" t="s">
        <v>201</v>
      </c>
    </row>
    <row r="2834" spans="1:5" ht="27">
      <c r="A2834" s="258">
        <v>92013</v>
      </c>
      <c r="B2834" s="257" t="s">
        <v>2279</v>
      </c>
      <c r="C2834" s="257" t="s">
        <v>90</v>
      </c>
      <c r="D2834" s="259" t="s">
        <v>15994</v>
      </c>
      <c r="E2834" s="210" t="s">
        <v>201</v>
      </c>
    </row>
    <row r="2835" spans="1:5" ht="27">
      <c r="A2835" s="258">
        <v>92014</v>
      </c>
      <c r="B2835" s="257" t="s">
        <v>2280</v>
      </c>
      <c r="C2835" s="257" t="s">
        <v>90</v>
      </c>
      <c r="D2835" s="259" t="s">
        <v>15995</v>
      </c>
      <c r="E2835" s="210" t="s">
        <v>201</v>
      </c>
    </row>
    <row r="2836" spans="1:5" ht="27">
      <c r="A2836" s="258">
        <v>92015</v>
      </c>
      <c r="B2836" s="257" t="s">
        <v>2281</v>
      </c>
      <c r="C2836" s="257" t="s">
        <v>90</v>
      </c>
      <c r="D2836" s="259" t="s">
        <v>15996</v>
      </c>
      <c r="E2836" s="210" t="s">
        <v>201</v>
      </c>
    </row>
    <row r="2837" spans="1:5" ht="27">
      <c r="A2837" s="258">
        <v>92016</v>
      </c>
      <c r="B2837" s="257" t="s">
        <v>2282</v>
      </c>
      <c r="C2837" s="257" t="s">
        <v>90</v>
      </c>
      <c r="D2837" s="259" t="s">
        <v>15997</v>
      </c>
      <c r="E2837" s="210" t="s">
        <v>201</v>
      </c>
    </row>
    <row r="2838" spans="1:5" ht="27">
      <c r="A2838" s="258">
        <v>92017</v>
      </c>
      <c r="B2838" s="257" t="s">
        <v>2283</v>
      </c>
      <c r="C2838" s="257" t="s">
        <v>90</v>
      </c>
      <c r="D2838" s="259" t="s">
        <v>15998</v>
      </c>
      <c r="E2838" s="210" t="s">
        <v>201</v>
      </c>
    </row>
    <row r="2839" spans="1:5" ht="27">
      <c r="A2839" s="258">
        <v>92018</v>
      </c>
      <c r="B2839" s="257" t="s">
        <v>2284</v>
      </c>
      <c r="C2839" s="257" t="s">
        <v>90</v>
      </c>
      <c r="D2839" s="259" t="s">
        <v>15999</v>
      </c>
      <c r="E2839" s="210" t="s">
        <v>201</v>
      </c>
    </row>
    <row r="2840" spans="1:5" ht="27">
      <c r="A2840" s="258">
        <v>92019</v>
      </c>
      <c r="B2840" s="257" t="s">
        <v>2285</v>
      </c>
      <c r="C2840" s="257" t="s">
        <v>90</v>
      </c>
      <c r="D2840" s="259" t="s">
        <v>16000</v>
      </c>
      <c r="E2840" s="210" t="s">
        <v>201</v>
      </c>
    </row>
    <row r="2841" spans="1:5" ht="27">
      <c r="A2841" s="258">
        <v>92020</v>
      </c>
      <c r="B2841" s="257" t="s">
        <v>2286</v>
      </c>
      <c r="C2841" s="257" t="s">
        <v>90</v>
      </c>
      <c r="D2841" s="259" t="s">
        <v>15595</v>
      </c>
      <c r="E2841" s="210" t="s">
        <v>201</v>
      </c>
    </row>
    <row r="2842" spans="1:5" ht="27">
      <c r="A2842" s="258">
        <v>92021</v>
      </c>
      <c r="B2842" s="257" t="s">
        <v>2287</v>
      </c>
      <c r="C2842" s="257" t="s">
        <v>90</v>
      </c>
      <c r="D2842" s="259" t="s">
        <v>16001</v>
      </c>
      <c r="E2842" s="210" t="s">
        <v>201</v>
      </c>
    </row>
    <row r="2843" spans="1:5" ht="27">
      <c r="A2843" s="258">
        <v>92022</v>
      </c>
      <c r="B2843" s="257" t="s">
        <v>2288</v>
      </c>
      <c r="C2843" s="257" t="s">
        <v>90</v>
      </c>
      <c r="D2843" s="259" t="s">
        <v>16002</v>
      </c>
      <c r="E2843" s="210" t="s">
        <v>201</v>
      </c>
    </row>
    <row r="2844" spans="1:5" ht="27">
      <c r="A2844" s="258">
        <v>92023</v>
      </c>
      <c r="B2844" s="257" t="s">
        <v>2289</v>
      </c>
      <c r="C2844" s="257" t="s">
        <v>90</v>
      </c>
      <c r="D2844" s="259" t="s">
        <v>16003</v>
      </c>
      <c r="E2844" s="210" t="s">
        <v>201</v>
      </c>
    </row>
    <row r="2845" spans="1:5" ht="27">
      <c r="A2845" s="258">
        <v>92024</v>
      </c>
      <c r="B2845" s="257" t="s">
        <v>2290</v>
      </c>
      <c r="C2845" s="257" t="s">
        <v>90</v>
      </c>
      <c r="D2845" s="259" t="s">
        <v>16004</v>
      </c>
      <c r="E2845" s="210" t="s">
        <v>201</v>
      </c>
    </row>
    <row r="2846" spans="1:5" ht="27">
      <c r="A2846" s="258">
        <v>92025</v>
      </c>
      <c r="B2846" s="257" t="s">
        <v>2291</v>
      </c>
      <c r="C2846" s="257" t="s">
        <v>90</v>
      </c>
      <c r="D2846" s="259" t="s">
        <v>16005</v>
      </c>
      <c r="E2846" s="210" t="s">
        <v>201</v>
      </c>
    </row>
    <row r="2847" spans="1:5" ht="27">
      <c r="A2847" s="258">
        <v>92026</v>
      </c>
      <c r="B2847" s="257" t="s">
        <v>2292</v>
      </c>
      <c r="C2847" s="257" t="s">
        <v>90</v>
      </c>
      <c r="D2847" s="259" t="s">
        <v>16006</v>
      </c>
      <c r="E2847" s="210" t="s">
        <v>201</v>
      </c>
    </row>
    <row r="2848" spans="1:5" ht="27">
      <c r="A2848" s="258">
        <v>92027</v>
      </c>
      <c r="B2848" s="257" t="s">
        <v>2293</v>
      </c>
      <c r="C2848" s="257" t="s">
        <v>90</v>
      </c>
      <c r="D2848" s="259" t="s">
        <v>16007</v>
      </c>
      <c r="E2848" s="210" t="s">
        <v>201</v>
      </c>
    </row>
    <row r="2849" spans="1:5" ht="27">
      <c r="A2849" s="258">
        <v>92028</v>
      </c>
      <c r="B2849" s="257" t="s">
        <v>2294</v>
      </c>
      <c r="C2849" s="257" t="s">
        <v>90</v>
      </c>
      <c r="D2849" s="259" t="s">
        <v>16008</v>
      </c>
      <c r="E2849" s="210" t="s">
        <v>201</v>
      </c>
    </row>
    <row r="2850" spans="1:5" ht="27">
      <c r="A2850" s="258">
        <v>92029</v>
      </c>
      <c r="B2850" s="257" t="s">
        <v>2295</v>
      </c>
      <c r="C2850" s="257" t="s">
        <v>90</v>
      </c>
      <c r="D2850" s="259" t="s">
        <v>16009</v>
      </c>
      <c r="E2850" s="210" t="s">
        <v>201</v>
      </c>
    </row>
    <row r="2851" spans="1:5" ht="27">
      <c r="A2851" s="257">
        <v>92030</v>
      </c>
      <c r="B2851" s="257" t="s">
        <v>2296</v>
      </c>
      <c r="C2851" s="257" t="s">
        <v>90</v>
      </c>
      <c r="D2851" s="259" t="s">
        <v>16010</v>
      </c>
      <c r="E2851" s="210" t="s">
        <v>201</v>
      </c>
    </row>
    <row r="2852" spans="1:5" ht="27">
      <c r="A2852" s="257">
        <v>92031</v>
      </c>
      <c r="B2852" s="257" t="s">
        <v>2297</v>
      </c>
      <c r="C2852" s="257" t="s">
        <v>90</v>
      </c>
      <c r="D2852" s="259" t="s">
        <v>13886</v>
      </c>
      <c r="E2852" s="210" t="s">
        <v>201</v>
      </c>
    </row>
    <row r="2853" spans="1:5" ht="27">
      <c r="A2853" s="257">
        <v>92032</v>
      </c>
      <c r="B2853" s="257" t="s">
        <v>2298</v>
      </c>
      <c r="C2853" s="257" t="s">
        <v>90</v>
      </c>
      <c r="D2853" s="259" t="s">
        <v>16011</v>
      </c>
      <c r="E2853" s="210" t="s">
        <v>201</v>
      </c>
    </row>
    <row r="2854" spans="1:5" ht="27">
      <c r="A2854" s="257">
        <v>92033</v>
      </c>
      <c r="B2854" s="257" t="s">
        <v>2299</v>
      </c>
      <c r="C2854" s="257" t="s">
        <v>90</v>
      </c>
      <c r="D2854" s="259" t="s">
        <v>14432</v>
      </c>
      <c r="E2854" s="210" t="s">
        <v>201</v>
      </c>
    </row>
    <row r="2855" spans="1:5" ht="27">
      <c r="A2855" s="258">
        <v>92034</v>
      </c>
      <c r="B2855" s="257" t="s">
        <v>2300</v>
      </c>
      <c r="C2855" s="257" t="s">
        <v>90</v>
      </c>
      <c r="D2855" s="259" t="s">
        <v>16012</v>
      </c>
      <c r="E2855" s="210" t="s">
        <v>201</v>
      </c>
    </row>
    <row r="2856" spans="1:5" ht="27">
      <c r="A2856" s="258">
        <v>92035</v>
      </c>
      <c r="B2856" s="257" t="s">
        <v>2301</v>
      </c>
      <c r="C2856" s="257" t="s">
        <v>90</v>
      </c>
      <c r="D2856" s="259" t="s">
        <v>16013</v>
      </c>
      <c r="E2856" s="210" t="s">
        <v>201</v>
      </c>
    </row>
    <row r="2857" spans="1:5" ht="13.5">
      <c r="A2857" s="258">
        <v>72278</v>
      </c>
      <c r="B2857" s="257" t="s">
        <v>2302</v>
      </c>
      <c r="C2857" s="257" t="s">
        <v>90</v>
      </c>
      <c r="D2857" s="259" t="s">
        <v>16014</v>
      </c>
      <c r="E2857" s="210" t="s">
        <v>201</v>
      </c>
    </row>
    <row r="2858" spans="1:5" ht="13.5">
      <c r="A2858" s="258">
        <v>72280</v>
      </c>
      <c r="B2858" s="257" t="s">
        <v>2303</v>
      </c>
      <c r="C2858" s="257" t="s">
        <v>90</v>
      </c>
      <c r="D2858" s="259" t="s">
        <v>16015</v>
      </c>
      <c r="E2858" s="210" t="s">
        <v>201</v>
      </c>
    </row>
    <row r="2859" spans="1:5" ht="27">
      <c r="A2859" s="258" t="s">
        <v>2304</v>
      </c>
      <c r="B2859" s="257" t="s">
        <v>2305</v>
      </c>
      <c r="C2859" s="257" t="s">
        <v>90</v>
      </c>
      <c r="D2859" s="259" t="s">
        <v>16016</v>
      </c>
      <c r="E2859" s="210" t="s">
        <v>201</v>
      </c>
    </row>
    <row r="2860" spans="1:5" ht="27">
      <c r="A2860" s="258" t="s">
        <v>2306</v>
      </c>
      <c r="B2860" s="257" t="s">
        <v>2307</v>
      </c>
      <c r="C2860" s="257" t="s">
        <v>90</v>
      </c>
      <c r="D2860" s="259" t="s">
        <v>16017</v>
      </c>
      <c r="E2860" s="210" t="s">
        <v>201</v>
      </c>
    </row>
    <row r="2861" spans="1:5" ht="27">
      <c r="A2861" s="258" t="s">
        <v>2308</v>
      </c>
      <c r="B2861" s="257" t="s">
        <v>2309</v>
      </c>
      <c r="C2861" s="257" t="s">
        <v>90</v>
      </c>
      <c r="D2861" s="259" t="s">
        <v>16018</v>
      </c>
      <c r="E2861" s="210" t="s">
        <v>201</v>
      </c>
    </row>
    <row r="2862" spans="1:5" ht="13.5">
      <c r="A2862" s="258">
        <v>83391</v>
      </c>
      <c r="B2862" s="257" t="s">
        <v>2310</v>
      </c>
      <c r="C2862" s="257" t="s">
        <v>90</v>
      </c>
      <c r="D2862" s="259" t="s">
        <v>16019</v>
      </c>
      <c r="E2862" s="210" t="s">
        <v>201</v>
      </c>
    </row>
    <row r="2863" spans="1:5" ht="13.5">
      <c r="A2863" s="258">
        <v>83392</v>
      </c>
      <c r="B2863" s="257" t="s">
        <v>2311</v>
      </c>
      <c r="C2863" s="257" t="s">
        <v>90</v>
      </c>
      <c r="D2863" s="259" t="s">
        <v>16020</v>
      </c>
      <c r="E2863" s="210" t="s">
        <v>201</v>
      </c>
    </row>
    <row r="2864" spans="1:5" ht="13.5">
      <c r="A2864" s="258">
        <v>83393</v>
      </c>
      <c r="B2864" s="257" t="s">
        <v>2312</v>
      </c>
      <c r="C2864" s="257" t="s">
        <v>90</v>
      </c>
      <c r="D2864" s="259" t="s">
        <v>15842</v>
      </c>
      <c r="E2864" s="210" t="s">
        <v>201</v>
      </c>
    </row>
    <row r="2865" spans="1:7" ht="13.5">
      <c r="A2865" s="258">
        <v>83470</v>
      </c>
      <c r="B2865" s="257" t="s">
        <v>2313</v>
      </c>
      <c r="C2865" s="257" t="s">
        <v>90</v>
      </c>
      <c r="D2865" s="259" t="s">
        <v>16021</v>
      </c>
      <c r="E2865" s="210" t="s">
        <v>201</v>
      </c>
    </row>
    <row r="2866" spans="1:7" ht="13.5">
      <c r="A2866" s="258">
        <v>93040</v>
      </c>
      <c r="B2866" s="257" t="s">
        <v>2314</v>
      </c>
      <c r="C2866" s="257" t="s">
        <v>90</v>
      </c>
      <c r="D2866" s="259" t="s">
        <v>14471</v>
      </c>
      <c r="E2866" s="210" t="s">
        <v>201</v>
      </c>
    </row>
    <row r="2867" spans="1:7" ht="13.5">
      <c r="A2867" s="258">
        <v>93041</v>
      </c>
      <c r="B2867" s="257" t="s">
        <v>2315</v>
      </c>
      <c r="C2867" s="257" t="s">
        <v>90</v>
      </c>
      <c r="D2867" s="259" t="s">
        <v>16022</v>
      </c>
      <c r="E2867" s="210" t="s">
        <v>201</v>
      </c>
    </row>
    <row r="2868" spans="1:7" ht="13.5">
      <c r="A2868" s="257">
        <v>93044</v>
      </c>
      <c r="B2868" s="257" t="s">
        <v>2316</v>
      </c>
      <c r="C2868" s="257" t="s">
        <v>90</v>
      </c>
      <c r="D2868" s="259" t="s">
        <v>16023</v>
      </c>
      <c r="E2868" s="210" t="s">
        <v>201</v>
      </c>
    </row>
    <row r="2869" spans="1:7" ht="13.5">
      <c r="A2869" s="257">
        <v>93045</v>
      </c>
      <c r="B2869" s="257" t="s">
        <v>2317</v>
      </c>
      <c r="C2869" s="257" t="s">
        <v>90</v>
      </c>
      <c r="D2869" s="259" t="s">
        <v>16024</v>
      </c>
      <c r="E2869" s="210" t="s">
        <v>201</v>
      </c>
    </row>
    <row r="2870" spans="1:7" ht="27">
      <c r="A2870" s="258">
        <v>97583</v>
      </c>
      <c r="B2870" s="257" t="s">
        <v>4714</v>
      </c>
      <c r="C2870" s="257" t="s">
        <v>90</v>
      </c>
      <c r="D2870" s="260" t="s">
        <v>16025</v>
      </c>
      <c r="E2870" s="210" t="s">
        <v>201</v>
      </c>
    </row>
    <row r="2871" spans="1:7" ht="27">
      <c r="A2871" s="258">
        <v>97584</v>
      </c>
      <c r="B2871" s="257" t="s">
        <v>4715</v>
      </c>
      <c r="C2871" s="257" t="s">
        <v>90</v>
      </c>
      <c r="D2871" s="259" t="s">
        <v>16026</v>
      </c>
      <c r="E2871" s="210" t="s">
        <v>201</v>
      </c>
    </row>
    <row r="2872" spans="1:7" ht="27">
      <c r="A2872" s="258">
        <v>97585</v>
      </c>
      <c r="B2872" s="257" t="s">
        <v>4716</v>
      </c>
      <c r="C2872" s="257" t="s">
        <v>90</v>
      </c>
      <c r="D2872" s="259" t="s">
        <v>16027</v>
      </c>
      <c r="E2872" s="210" t="s">
        <v>201</v>
      </c>
      <c r="G2872" s="320"/>
    </row>
    <row r="2873" spans="1:7" ht="27">
      <c r="A2873" s="258">
        <v>97586</v>
      </c>
      <c r="B2873" s="257" t="s">
        <v>4717</v>
      </c>
      <c r="C2873" s="257" t="s">
        <v>90</v>
      </c>
      <c r="D2873" s="259" t="s">
        <v>16028</v>
      </c>
      <c r="E2873" s="210" t="s">
        <v>201</v>
      </c>
    </row>
    <row r="2874" spans="1:7" ht="27">
      <c r="A2874" s="258">
        <v>97587</v>
      </c>
      <c r="B2874" s="257" t="s">
        <v>4718</v>
      </c>
      <c r="C2874" s="257" t="s">
        <v>90</v>
      </c>
      <c r="D2874" s="259" t="s">
        <v>16029</v>
      </c>
      <c r="E2874" s="210" t="s">
        <v>201</v>
      </c>
    </row>
    <row r="2875" spans="1:7" ht="27">
      <c r="A2875" s="258">
        <v>97589</v>
      </c>
      <c r="B2875" s="257" t="s">
        <v>4719</v>
      </c>
      <c r="C2875" s="257" t="s">
        <v>90</v>
      </c>
      <c r="D2875" s="259" t="s">
        <v>16030</v>
      </c>
      <c r="E2875" s="210" t="s">
        <v>201</v>
      </c>
    </row>
    <row r="2876" spans="1:7" ht="27">
      <c r="A2876" s="258">
        <v>97590</v>
      </c>
      <c r="B2876" s="257" t="s">
        <v>4720</v>
      </c>
      <c r="C2876" s="257" t="s">
        <v>90</v>
      </c>
      <c r="D2876" s="259" t="s">
        <v>16031</v>
      </c>
      <c r="E2876" s="210" t="s">
        <v>201</v>
      </c>
    </row>
    <row r="2877" spans="1:7" ht="27">
      <c r="A2877" s="258">
        <v>97591</v>
      </c>
      <c r="B2877" s="257" t="s">
        <v>4721</v>
      </c>
      <c r="C2877" s="257" t="s">
        <v>90</v>
      </c>
      <c r="D2877" s="259" t="s">
        <v>15334</v>
      </c>
      <c r="E2877" s="210" t="s">
        <v>201</v>
      </c>
    </row>
    <row r="2878" spans="1:7" ht="13.5">
      <c r="A2878" s="257">
        <v>97592</v>
      </c>
      <c r="B2878" s="257" t="s">
        <v>4722</v>
      </c>
      <c r="C2878" s="257" t="s">
        <v>90</v>
      </c>
      <c r="D2878" s="259" t="s">
        <v>16032</v>
      </c>
      <c r="E2878" s="210" t="s">
        <v>201</v>
      </c>
      <c r="F2878" s="351"/>
    </row>
    <row r="2879" spans="1:7" ht="27">
      <c r="A2879" s="257">
        <v>97593</v>
      </c>
      <c r="B2879" s="257" t="s">
        <v>4723</v>
      </c>
      <c r="C2879" s="257" t="s">
        <v>90</v>
      </c>
      <c r="D2879" s="259" t="s">
        <v>16033</v>
      </c>
      <c r="E2879" s="210" t="s">
        <v>201</v>
      </c>
    </row>
    <row r="2880" spans="1:7" ht="27">
      <c r="A2880" s="257">
        <v>97594</v>
      </c>
      <c r="B2880" s="257" t="s">
        <v>4724</v>
      </c>
      <c r="C2880" s="257" t="s">
        <v>90</v>
      </c>
      <c r="D2880" s="260" t="s">
        <v>16034</v>
      </c>
      <c r="E2880" s="210" t="s">
        <v>201</v>
      </c>
    </row>
    <row r="2881" spans="1:5" ht="13.5">
      <c r="A2881" s="257">
        <v>97595</v>
      </c>
      <c r="B2881" s="257" t="s">
        <v>4725</v>
      </c>
      <c r="C2881" s="257" t="s">
        <v>90</v>
      </c>
      <c r="D2881" s="259" t="s">
        <v>16035</v>
      </c>
      <c r="E2881" s="210" t="s">
        <v>201</v>
      </c>
    </row>
    <row r="2882" spans="1:5" ht="13.5">
      <c r="A2882" s="257">
        <v>97596</v>
      </c>
      <c r="B2882" s="257" t="s">
        <v>4726</v>
      </c>
      <c r="C2882" s="257" t="s">
        <v>90</v>
      </c>
      <c r="D2882" s="259" t="s">
        <v>16036</v>
      </c>
      <c r="E2882" s="210" t="s">
        <v>201</v>
      </c>
    </row>
    <row r="2883" spans="1:5" ht="13.5">
      <c r="A2883" s="257">
        <v>97597</v>
      </c>
      <c r="B2883" s="257" t="s">
        <v>4727</v>
      </c>
      <c r="C2883" s="257" t="s">
        <v>90</v>
      </c>
      <c r="D2883" s="259" t="s">
        <v>16037</v>
      </c>
      <c r="E2883" s="210" t="s">
        <v>201</v>
      </c>
    </row>
    <row r="2884" spans="1:5" ht="13.5">
      <c r="A2884" s="257">
        <v>97598</v>
      </c>
      <c r="B2884" s="257" t="s">
        <v>4728</v>
      </c>
      <c r="C2884" s="257" t="s">
        <v>90</v>
      </c>
      <c r="D2884" s="259" t="s">
        <v>16038</v>
      </c>
      <c r="E2884" s="210" t="s">
        <v>201</v>
      </c>
    </row>
    <row r="2885" spans="1:5" ht="13.5">
      <c r="A2885" s="257">
        <v>97599</v>
      </c>
      <c r="B2885" s="257" t="s">
        <v>4729</v>
      </c>
      <c r="C2885" s="257" t="s">
        <v>90</v>
      </c>
      <c r="D2885" s="259" t="s">
        <v>16039</v>
      </c>
      <c r="E2885" s="210" t="s">
        <v>201</v>
      </c>
    </row>
    <row r="2886" spans="1:5" ht="13.5">
      <c r="A2886" s="257">
        <v>97609</v>
      </c>
      <c r="B2886" s="257" t="s">
        <v>4730</v>
      </c>
      <c r="C2886" s="257" t="s">
        <v>90</v>
      </c>
      <c r="D2886" s="259" t="s">
        <v>16040</v>
      </c>
      <c r="E2886" s="210" t="s">
        <v>201</v>
      </c>
    </row>
    <row r="2887" spans="1:5" ht="13.5">
      <c r="A2887" s="257">
        <v>97610</v>
      </c>
      <c r="B2887" s="257" t="s">
        <v>4731</v>
      </c>
      <c r="C2887" s="257" t="s">
        <v>90</v>
      </c>
      <c r="D2887" s="259" t="s">
        <v>16041</v>
      </c>
      <c r="E2887" s="210" t="s">
        <v>201</v>
      </c>
    </row>
    <row r="2888" spans="1:5" ht="13.5">
      <c r="A2888" s="257">
        <v>97611</v>
      </c>
      <c r="B2888" s="257" t="s">
        <v>4732</v>
      </c>
      <c r="C2888" s="257" t="s">
        <v>90</v>
      </c>
      <c r="D2888" s="259" t="s">
        <v>16042</v>
      </c>
      <c r="E2888" s="210" t="s">
        <v>201</v>
      </c>
    </row>
    <row r="2889" spans="1:5" ht="13.5">
      <c r="A2889" s="257">
        <v>97612</v>
      </c>
      <c r="B2889" s="257" t="s">
        <v>4733</v>
      </c>
      <c r="C2889" s="257" t="s">
        <v>90</v>
      </c>
      <c r="D2889" s="259" t="s">
        <v>16043</v>
      </c>
      <c r="E2889" s="210" t="s">
        <v>201</v>
      </c>
    </row>
    <row r="2890" spans="1:5" ht="13.5">
      <c r="A2890" s="257">
        <v>97613</v>
      </c>
      <c r="B2890" s="257" t="s">
        <v>4734</v>
      </c>
      <c r="C2890" s="257" t="s">
        <v>90</v>
      </c>
      <c r="D2890" s="259" t="s">
        <v>16044</v>
      </c>
      <c r="E2890" s="210" t="s">
        <v>201</v>
      </c>
    </row>
    <row r="2891" spans="1:5" ht="27">
      <c r="A2891" s="257">
        <v>97614</v>
      </c>
      <c r="B2891" s="257" t="s">
        <v>4735</v>
      </c>
      <c r="C2891" s="257" t="s">
        <v>90</v>
      </c>
      <c r="D2891" s="259" t="s">
        <v>16045</v>
      </c>
      <c r="E2891" s="210" t="s">
        <v>201</v>
      </c>
    </row>
    <row r="2892" spans="1:5" ht="27">
      <c r="A2892" s="257">
        <v>97615</v>
      </c>
      <c r="B2892" s="257" t="s">
        <v>4736</v>
      </c>
      <c r="C2892" s="257" t="s">
        <v>90</v>
      </c>
      <c r="D2892" s="259" t="s">
        <v>16046</v>
      </c>
      <c r="E2892" s="210" t="s">
        <v>201</v>
      </c>
    </row>
    <row r="2893" spans="1:5" ht="27">
      <c r="A2893" s="257">
        <v>97616</v>
      </c>
      <c r="B2893" s="257" t="s">
        <v>4737</v>
      </c>
      <c r="C2893" s="257" t="s">
        <v>90</v>
      </c>
      <c r="D2893" s="259" t="s">
        <v>15793</v>
      </c>
      <c r="E2893" s="210" t="s">
        <v>201</v>
      </c>
    </row>
    <row r="2894" spans="1:5" ht="27">
      <c r="A2894" s="257">
        <v>97617</v>
      </c>
      <c r="B2894" s="257" t="s">
        <v>4738</v>
      </c>
      <c r="C2894" s="257" t="s">
        <v>90</v>
      </c>
      <c r="D2894" s="259" t="s">
        <v>16047</v>
      </c>
      <c r="E2894" s="210" t="s">
        <v>201</v>
      </c>
    </row>
    <row r="2895" spans="1:5" ht="13.5">
      <c r="A2895" s="258">
        <v>97618</v>
      </c>
      <c r="B2895" s="257" t="s">
        <v>4739</v>
      </c>
      <c r="C2895" s="257" t="s">
        <v>90</v>
      </c>
      <c r="D2895" s="259" t="s">
        <v>16048</v>
      </c>
      <c r="E2895" s="210" t="s">
        <v>201</v>
      </c>
    </row>
    <row r="2896" spans="1:5" ht="13.5">
      <c r="A2896" s="258">
        <v>41598</v>
      </c>
      <c r="B2896" s="257" t="s">
        <v>168</v>
      </c>
      <c r="C2896" s="257" t="s">
        <v>90</v>
      </c>
      <c r="D2896" s="259" t="s">
        <v>16049</v>
      </c>
      <c r="E2896" s="210" t="s">
        <v>201</v>
      </c>
    </row>
    <row r="2897" spans="1:5" ht="13.5">
      <c r="A2897" s="258">
        <v>72941</v>
      </c>
      <c r="B2897" s="257" t="s">
        <v>2318</v>
      </c>
      <c r="C2897" s="257" t="s">
        <v>90</v>
      </c>
      <c r="D2897" s="260" t="s">
        <v>16050</v>
      </c>
      <c r="E2897" s="210" t="s">
        <v>201</v>
      </c>
    </row>
    <row r="2898" spans="1:5" ht="13.5">
      <c r="A2898" s="258">
        <v>73624</v>
      </c>
      <c r="B2898" s="257" t="s">
        <v>2319</v>
      </c>
      <c r="C2898" s="257" t="s">
        <v>90</v>
      </c>
      <c r="D2898" s="259" t="s">
        <v>16051</v>
      </c>
      <c r="E2898" s="210" t="s">
        <v>201</v>
      </c>
    </row>
    <row r="2899" spans="1:5" ht="27">
      <c r="A2899" s="258" t="s">
        <v>2320</v>
      </c>
      <c r="B2899" s="257" t="s">
        <v>2321</v>
      </c>
      <c r="C2899" s="257" t="s">
        <v>90</v>
      </c>
      <c r="D2899" s="259" t="s">
        <v>16052</v>
      </c>
      <c r="E2899" s="210" t="s">
        <v>201</v>
      </c>
    </row>
    <row r="2900" spans="1:5" ht="27">
      <c r="A2900" s="258" t="s">
        <v>2322</v>
      </c>
      <c r="B2900" s="257" t="s">
        <v>2323</v>
      </c>
      <c r="C2900" s="257" t="s">
        <v>90</v>
      </c>
      <c r="D2900" s="259" t="s">
        <v>16053</v>
      </c>
      <c r="E2900" s="210" t="s">
        <v>201</v>
      </c>
    </row>
    <row r="2901" spans="1:5" ht="27">
      <c r="A2901" s="258" t="s">
        <v>2324</v>
      </c>
      <c r="B2901" s="257" t="s">
        <v>2325</v>
      </c>
      <c r="C2901" s="257" t="s">
        <v>90</v>
      </c>
      <c r="D2901" s="259" t="s">
        <v>16054</v>
      </c>
      <c r="E2901" s="210" t="s">
        <v>201</v>
      </c>
    </row>
    <row r="2902" spans="1:5" ht="27">
      <c r="A2902" s="258" t="s">
        <v>2326</v>
      </c>
      <c r="B2902" s="257" t="s">
        <v>2327</v>
      </c>
      <c r="C2902" s="257" t="s">
        <v>90</v>
      </c>
      <c r="D2902" s="259" t="s">
        <v>13924</v>
      </c>
      <c r="E2902" s="210" t="s">
        <v>201</v>
      </c>
    </row>
    <row r="2903" spans="1:5" ht="27">
      <c r="A2903" s="258" t="s">
        <v>2328</v>
      </c>
      <c r="B2903" s="257" t="s">
        <v>2329</v>
      </c>
      <c r="C2903" s="257" t="s">
        <v>90</v>
      </c>
      <c r="D2903" s="259" t="s">
        <v>15795</v>
      </c>
      <c r="E2903" s="210" t="s">
        <v>201</v>
      </c>
    </row>
    <row r="2904" spans="1:5" ht="13.5">
      <c r="A2904" s="258" t="s">
        <v>2330</v>
      </c>
      <c r="B2904" s="257" t="s">
        <v>2331</v>
      </c>
      <c r="C2904" s="257" t="s">
        <v>90</v>
      </c>
      <c r="D2904" s="259" t="s">
        <v>16055</v>
      </c>
      <c r="E2904" s="210" t="s">
        <v>201</v>
      </c>
    </row>
    <row r="2905" spans="1:5" ht="13.5">
      <c r="A2905" s="258" t="s">
        <v>2332</v>
      </c>
      <c r="B2905" s="257" t="s">
        <v>2333</v>
      </c>
      <c r="C2905" s="257" t="s">
        <v>90</v>
      </c>
      <c r="D2905" s="259" t="s">
        <v>16056</v>
      </c>
      <c r="E2905" s="210" t="s">
        <v>201</v>
      </c>
    </row>
    <row r="2906" spans="1:5" ht="13.5">
      <c r="A2906" s="258">
        <v>88543</v>
      </c>
      <c r="B2906" s="257" t="s">
        <v>2334</v>
      </c>
      <c r="C2906" s="257" t="s">
        <v>90</v>
      </c>
      <c r="D2906" s="259" t="s">
        <v>16057</v>
      </c>
      <c r="E2906" s="210" t="s">
        <v>201</v>
      </c>
    </row>
    <row r="2907" spans="1:5" ht="13.5">
      <c r="A2907" s="257">
        <v>88544</v>
      </c>
      <c r="B2907" s="257" t="s">
        <v>2335</v>
      </c>
      <c r="C2907" s="257" t="s">
        <v>90</v>
      </c>
      <c r="D2907" s="260" t="s">
        <v>16058</v>
      </c>
      <c r="E2907" s="210" t="s">
        <v>201</v>
      </c>
    </row>
    <row r="2908" spans="1:5" ht="13.5">
      <c r="A2908" s="258">
        <v>88545</v>
      </c>
      <c r="B2908" s="257" t="s">
        <v>2336</v>
      </c>
      <c r="C2908" s="257" t="s">
        <v>90</v>
      </c>
      <c r="D2908" s="259" t="s">
        <v>16059</v>
      </c>
      <c r="E2908" s="210" t="s">
        <v>201</v>
      </c>
    </row>
    <row r="2909" spans="1:5" ht="40.5">
      <c r="A2909" s="258">
        <v>100578</v>
      </c>
      <c r="B2909" s="257" t="s">
        <v>7056</v>
      </c>
      <c r="C2909" s="257" t="s">
        <v>90</v>
      </c>
      <c r="D2909" s="260" t="s">
        <v>16060</v>
      </c>
      <c r="E2909" s="210" t="s">
        <v>201</v>
      </c>
    </row>
    <row r="2910" spans="1:5" ht="40.5">
      <c r="A2910" s="258">
        <v>100579</v>
      </c>
      <c r="B2910" s="257" t="s">
        <v>7057</v>
      </c>
      <c r="C2910" s="257" t="s">
        <v>90</v>
      </c>
      <c r="D2910" s="260" t="s">
        <v>16061</v>
      </c>
      <c r="E2910" s="210" t="s">
        <v>201</v>
      </c>
    </row>
    <row r="2911" spans="1:5" ht="27">
      <c r="A2911" s="258">
        <v>100580</v>
      </c>
      <c r="B2911" s="257" t="s">
        <v>7058</v>
      </c>
      <c r="C2911" s="257" t="s">
        <v>90</v>
      </c>
      <c r="D2911" s="260" t="s">
        <v>16062</v>
      </c>
      <c r="E2911" s="210" t="s">
        <v>201</v>
      </c>
    </row>
    <row r="2912" spans="1:5" ht="40.5">
      <c r="A2912" s="258">
        <v>100581</v>
      </c>
      <c r="B2912" s="257" t="s">
        <v>7059</v>
      </c>
      <c r="C2912" s="257" t="s">
        <v>90</v>
      </c>
      <c r="D2912" s="260" t="s">
        <v>16063</v>
      </c>
      <c r="E2912" s="210" t="s">
        <v>201</v>
      </c>
    </row>
    <row r="2913" spans="1:5" ht="27">
      <c r="A2913" s="258">
        <v>100582</v>
      </c>
      <c r="B2913" s="257" t="s">
        <v>7060</v>
      </c>
      <c r="C2913" s="257" t="s">
        <v>90</v>
      </c>
      <c r="D2913" s="260" t="s">
        <v>16064</v>
      </c>
      <c r="E2913" s="210" t="s">
        <v>201</v>
      </c>
    </row>
    <row r="2914" spans="1:5" ht="40.5">
      <c r="A2914" s="258">
        <v>100583</v>
      </c>
      <c r="B2914" s="257" t="s">
        <v>7061</v>
      </c>
      <c r="C2914" s="257" t="s">
        <v>90</v>
      </c>
      <c r="D2914" s="260" t="s">
        <v>16065</v>
      </c>
      <c r="E2914" s="210" t="s">
        <v>201</v>
      </c>
    </row>
    <row r="2915" spans="1:5" ht="27">
      <c r="A2915" s="258">
        <v>100584</v>
      </c>
      <c r="B2915" s="257" t="s">
        <v>7062</v>
      </c>
      <c r="C2915" s="257" t="s">
        <v>90</v>
      </c>
      <c r="D2915" s="259" t="s">
        <v>16066</v>
      </c>
      <c r="E2915" s="210" t="s">
        <v>201</v>
      </c>
    </row>
    <row r="2916" spans="1:5" ht="40.5">
      <c r="A2916" s="258">
        <v>100585</v>
      </c>
      <c r="B2916" s="257" t="s">
        <v>7063</v>
      </c>
      <c r="C2916" s="257" t="s">
        <v>90</v>
      </c>
      <c r="D2916" s="260" t="s">
        <v>16067</v>
      </c>
      <c r="E2916" s="210" t="s">
        <v>201</v>
      </c>
    </row>
    <row r="2917" spans="1:5" ht="27">
      <c r="A2917" s="258">
        <v>100586</v>
      </c>
      <c r="B2917" s="257" t="s">
        <v>7064</v>
      </c>
      <c r="C2917" s="257" t="s">
        <v>90</v>
      </c>
      <c r="D2917" s="260" t="s">
        <v>16068</v>
      </c>
      <c r="E2917" s="210" t="s">
        <v>201</v>
      </c>
    </row>
    <row r="2918" spans="1:5" ht="40.5">
      <c r="A2918" s="258">
        <v>100587</v>
      </c>
      <c r="B2918" s="257" t="s">
        <v>7065</v>
      </c>
      <c r="C2918" s="257" t="s">
        <v>90</v>
      </c>
      <c r="D2918" s="259" t="s">
        <v>16069</v>
      </c>
      <c r="E2918" s="210" t="s">
        <v>201</v>
      </c>
    </row>
    <row r="2919" spans="1:5" ht="27">
      <c r="A2919" s="258">
        <v>100588</v>
      </c>
      <c r="B2919" s="257" t="s">
        <v>7066</v>
      </c>
      <c r="C2919" s="257" t="s">
        <v>90</v>
      </c>
      <c r="D2919" s="259" t="s">
        <v>16070</v>
      </c>
      <c r="E2919" s="210" t="s">
        <v>201</v>
      </c>
    </row>
    <row r="2920" spans="1:5" ht="40.5">
      <c r="A2920" s="258">
        <v>100589</v>
      </c>
      <c r="B2920" s="257" t="s">
        <v>7067</v>
      </c>
      <c r="C2920" s="257" t="s">
        <v>90</v>
      </c>
      <c r="D2920" s="259" t="s">
        <v>16071</v>
      </c>
      <c r="E2920" s="210" t="s">
        <v>201</v>
      </c>
    </row>
    <row r="2921" spans="1:5" ht="27">
      <c r="A2921" s="258">
        <v>100590</v>
      </c>
      <c r="B2921" s="257" t="s">
        <v>7068</v>
      </c>
      <c r="C2921" s="257" t="s">
        <v>90</v>
      </c>
      <c r="D2921" s="259" t="s">
        <v>16072</v>
      </c>
      <c r="E2921" s="210" t="s">
        <v>201</v>
      </c>
    </row>
    <row r="2922" spans="1:5" ht="27">
      <c r="A2922" s="258">
        <v>100591</v>
      </c>
      <c r="B2922" s="257" t="s">
        <v>7069</v>
      </c>
      <c r="C2922" s="257" t="s">
        <v>90</v>
      </c>
      <c r="D2922" s="259" t="s">
        <v>16073</v>
      </c>
      <c r="E2922" s="210" t="s">
        <v>201</v>
      </c>
    </row>
    <row r="2923" spans="1:5" ht="27">
      <c r="A2923" s="258">
        <v>100592</v>
      </c>
      <c r="B2923" s="257" t="s">
        <v>7070</v>
      </c>
      <c r="C2923" s="257" t="s">
        <v>90</v>
      </c>
      <c r="D2923" s="259" t="s">
        <v>16074</v>
      </c>
      <c r="E2923" s="210" t="s">
        <v>201</v>
      </c>
    </row>
    <row r="2924" spans="1:5" ht="40.5">
      <c r="A2924" s="258">
        <v>100593</v>
      </c>
      <c r="B2924" s="257" t="s">
        <v>7071</v>
      </c>
      <c r="C2924" s="257" t="s">
        <v>90</v>
      </c>
      <c r="D2924" s="259" t="s">
        <v>16075</v>
      </c>
      <c r="E2924" s="210" t="s">
        <v>201</v>
      </c>
    </row>
    <row r="2925" spans="1:5" ht="27">
      <c r="A2925" s="258">
        <v>100594</v>
      </c>
      <c r="B2925" s="257" t="s">
        <v>7072</v>
      </c>
      <c r="C2925" s="257" t="s">
        <v>90</v>
      </c>
      <c r="D2925" s="259" t="s">
        <v>16076</v>
      </c>
      <c r="E2925" s="210" t="s">
        <v>201</v>
      </c>
    </row>
    <row r="2926" spans="1:5" ht="40.5">
      <c r="A2926" s="258">
        <v>100595</v>
      </c>
      <c r="B2926" s="257" t="s">
        <v>7073</v>
      </c>
      <c r="C2926" s="257" t="s">
        <v>90</v>
      </c>
      <c r="D2926" s="259" t="s">
        <v>16077</v>
      </c>
      <c r="E2926" s="210" t="s">
        <v>201</v>
      </c>
    </row>
    <row r="2927" spans="1:5" ht="27">
      <c r="A2927" s="258">
        <v>100596</v>
      </c>
      <c r="B2927" s="257" t="s">
        <v>7074</v>
      </c>
      <c r="C2927" s="257" t="s">
        <v>90</v>
      </c>
      <c r="D2927" s="259" t="s">
        <v>16078</v>
      </c>
      <c r="E2927" s="210" t="s">
        <v>201</v>
      </c>
    </row>
    <row r="2928" spans="1:5" ht="40.5">
      <c r="A2928" s="258">
        <v>100597</v>
      </c>
      <c r="B2928" s="257" t="s">
        <v>7075</v>
      </c>
      <c r="C2928" s="257" t="s">
        <v>90</v>
      </c>
      <c r="D2928" s="259" t="s">
        <v>16079</v>
      </c>
      <c r="E2928" s="210" t="s">
        <v>201</v>
      </c>
    </row>
    <row r="2929" spans="1:5" ht="27">
      <c r="A2929" s="258">
        <v>100598</v>
      </c>
      <c r="B2929" s="257" t="s">
        <v>7076</v>
      </c>
      <c r="C2929" s="257" t="s">
        <v>90</v>
      </c>
      <c r="D2929" s="259" t="s">
        <v>16080</v>
      </c>
      <c r="E2929" s="210" t="s">
        <v>201</v>
      </c>
    </row>
    <row r="2930" spans="1:5" ht="40.5">
      <c r="A2930" s="258">
        <v>100599</v>
      </c>
      <c r="B2930" s="257" t="s">
        <v>7077</v>
      </c>
      <c r="C2930" s="257" t="s">
        <v>90</v>
      </c>
      <c r="D2930" s="259" t="s">
        <v>16081</v>
      </c>
      <c r="E2930" s="210" t="s">
        <v>201</v>
      </c>
    </row>
    <row r="2931" spans="1:5" ht="40.5">
      <c r="A2931" s="258">
        <v>100600</v>
      </c>
      <c r="B2931" s="257" t="s">
        <v>7078</v>
      </c>
      <c r="C2931" s="257" t="s">
        <v>90</v>
      </c>
      <c r="D2931" s="259" t="s">
        <v>16082</v>
      </c>
      <c r="E2931" s="210" t="s">
        <v>201</v>
      </c>
    </row>
    <row r="2932" spans="1:5" ht="40.5">
      <c r="A2932" s="258">
        <v>100601</v>
      </c>
      <c r="B2932" s="257" t="s">
        <v>7079</v>
      </c>
      <c r="C2932" s="257" t="s">
        <v>90</v>
      </c>
      <c r="D2932" s="259" t="s">
        <v>16083</v>
      </c>
      <c r="E2932" s="210" t="s">
        <v>201</v>
      </c>
    </row>
    <row r="2933" spans="1:5" ht="40.5">
      <c r="A2933" s="258">
        <v>100602</v>
      </c>
      <c r="B2933" s="257" t="s">
        <v>7080</v>
      </c>
      <c r="C2933" s="257" t="s">
        <v>90</v>
      </c>
      <c r="D2933" s="259" t="s">
        <v>16084</v>
      </c>
      <c r="E2933" s="210" t="s">
        <v>201</v>
      </c>
    </row>
    <row r="2934" spans="1:5" ht="40.5">
      <c r="A2934" s="258">
        <v>100603</v>
      </c>
      <c r="B2934" s="257" t="s">
        <v>7081</v>
      </c>
      <c r="C2934" s="257" t="s">
        <v>90</v>
      </c>
      <c r="D2934" s="259" t="s">
        <v>16085</v>
      </c>
      <c r="E2934" s="210" t="s">
        <v>201</v>
      </c>
    </row>
    <row r="2935" spans="1:5" ht="40.5">
      <c r="A2935" s="258">
        <v>100604</v>
      </c>
      <c r="B2935" s="257" t="s">
        <v>7082</v>
      </c>
      <c r="C2935" s="257" t="s">
        <v>90</v>
      </c>
      <c r="D2935" s="259" t="s">
        <v>16086</v>
      </c>
      <c r="E2935" s="210" t="s">
        <v>201</v>
      </c>
    </row>
    <row r="2936" spans="1:5" ht="40.5">
      <c r="A2936" s="258">
        <v>100605</v>
      </c>
      <c r="B2936" s="257" t="s">
        <v>7083</v>
      </c>
      <c r="C2936" s="257" t="s">
        <v>90</v>
      </c>
      <c r="D2936" s="259" t="s">
        <v>16087</v>
      </c>
      <c r="E2936" s="210" t="s">
        <v>201</v>
      </c>
    </row>
    <row r="2937" spans="1:5" ht="40.5">
      <c r="A2937" s="258">
        <v>100606</v>
      </c>
      <c r="B2937" s="257" t="s">
        <v>7084</v>
      </c>
      <c r="C2937" s="257" t="s">
        <v>90</v>
      </c>
      <c r="D2937" s="259" t="s">
        <v>16088</v>
      </c>
      <c r="E2937" s="210" t="s">
        <v>201</v>
      </c>
    </row>
    <row r="2938" spans="1:5" ht="40.5">
      <c r="A2938" s="258">
        <v>100607</v>
      </c>
      <c r="B2938" s="257" t="s">
        <v>7085</v>
      </c>
      <c r="C2938" s="257" t="s">
        <v>90</v>
      </c>
      <c r="D2938" s="259" t="s">
        <v>16089</v>
      </c>
      <c r="E2938" s="210" t="s">
        <v>201</v>
      </c>
    </row>
    <row r="2939" spans="1:5" ht="40.5">
      <c r="A2939" s="258">
        <v>100608</v>
      </c>
      <c r="B2939" s="257" t="s">
        <v>7086</v>
      </c>
      <c r="C2939" s="257" t="s">
        <v>90</v>
      </c>
      <c r="D2939" s="259" t="s">
        <v>16090</v>
      </c>
      <c r="E2939" s="210" t="s">
        <v>201</v>
      </c>
    </row>
    <row r="2940" spans="1:5" ht="40.5">
      <c r="A2940" s="258">
        <v>100609</v>
      </c>
      <c r="B2940" s="257" t="s">
        <v>7087</v>
      </c>
      <c r="C2940" s="257" t="s">
        <v>90</v>
      </c>
      <c r="D2940" s="259" t="s">
        <v>16091</v>
      </c>
      <c r="E2940" s="210" t="s">
        <v>201</v>
      </c>
    </row>
    <row r="2941" spans="1:5" ht="40.5">
      <c r="A2941" s="258">
        <v>100610</v>
      </c>
      <c r="B2941" s="257" t="s">
        <v>7088</v>
      </c>
      <c r="C2941" s="257" t="s">
        <v>90</v>
      </c>
      <c r="D2941" s="259" t="s">
        <v>16092</v>
      </c>
      <c r="E2941" s="210" t="s">
        <v>201</v>
      </c>
    </row>
    <row r="2942" spans="1:5" ht="40.5">
      <c r="A2942" s="258">
        <v>100611</v>
      </c>
      <c r="B2942" s="257" t="s">
        <v>7089</v>
      </c>
      <c r="C2942" s="257" t="s">
        <v>90</v>
      </c>
      <c r="D2942" s="259" t="s">
        <v>16093</v>
      </c>
      <c r="E2942" s="210" t="s">
        <v>201</v>
      </c>
    </row>
    <row r="2943" spans="1:5" ht="40.5">
      <c r="A2943" s="258">
        <v>100612</v>
      </c>
      <c r="B2943" s="257" t="s">
        <v>7090</v>
      </c>
      <c r="C2943" s="257" t="s">
        <v>90</v>
      </c>
      <c r="D2943" s="259" t="s">
        <v>16094</v>
      </c>
      <c r="E2943" s="210" t="s">
        <v>201</v>
      </c>
    </row>
    <row r="2944" spans="1:5" ht="40.5">
      <c r="A2944" s="258">
        <v>100613</v>
      </c>
      <c r="B2944" s="257" t="s">
        <v>7091</v>
      </c>
      <c r="C2944" s="257" t="s">
        <v>90</v>
      </c>
      <c r="D2944" s="259" t="s">
        <v>16095</v>
      </c>
      <c r="E2944" s="210" t="s">
        <v>201</v>
      </c>
    </row>
    <row r="2945" spans="1:5" ht="40.5">
      <c r="A2945" s="258">
        <v>100614</v>
      </c>
      <c r="B2945" s="257" t="s">
        <v>7092</v>
      </c>
      <c r="C2945" s="257" t="s">
        <v>90</v>
      </c>
      <c r="D2945" s="259" t="s">
        <v>16096</v>
      </c>
      <c r="E2945" s="210" t="s">
        <v>201</v>
      </c>
    </row>
    <row r="2946" spans="1:5" ht="40.5">
      <c r="A2946" s="258">
        <v>100615</v>
      </c>
      <c r="B2946" s="257" t="s">
        <v>7093</v>
      </c>
      <c r="C2946" s="257" t="s">
        <v>90</v>
      </c>
      <c r="D2946" s="259" t="s">
        <v>16097</v>
      </c>
      <c r="E2946" s="210" t="s">
        <v>201</v>
      </c>
    </row>
    <row r="2947" spans="1:5" ht="40.5">
      <c r="A2947" s="258">
        <v>100616</v>
      </c>
      <c r="B2947" s="257" t="s">
        <v>7094</v>
      </c>
      <c r="C2947" s="257" t="s">
        <v>90</v>
      </c>
      <c r="D2947" s="259" t="s">
        <v>16098</v>
      </c>
      <c r="E2947" s="210" t="s">
        <v>201</v>
      </c>
    </row>
    <row r="2948" spans="1:5" ht="40.5">
      <c r="A2948" s="258">
        <v>100617</v>
      </c>
      <c r="B2948" s="257" t="s">
        <v>7095</v>
      </c>
      <c r="C2948" s="257" t="s">
        <v>90</v>
      </c>
      <c r="D2948" s="259" t="s">
        <v>16099</v>
      </c>
      <c r="E2948" s="210" t="s">
        <v>201</v>
      </c>
    </row>
    <row r="2949" spans="1:5" ht="40.5">
      <c r="A2949" s="258">
        <v>100618</v>
      </c>
      <c r="B2949" s="257" t="s">
        <v>7096</v>
      </c>
      <c r="C2949" s="257" t="s">
        <v>90</v>
      </c>
      <c r="D2949" s="259" t="s">
        <v>16100</v>
      </c>
      <c r="E2949" s="210" t="s">
        <v>201</v>
      </c>
    </row>
    <row r="2950" spans="1:5" ht="27">
      <c r="A2950" s="258">
        <v>100619</v>
      </c>
      <c r="B2950" s="257" t="s">
        <v>7097</v>
      </c>
      <c r="C2950" s="257" t="s">
        <v>90</v>
      </c>
      <c r="D2950" s="259" t="s">
        <v>16101</v>
      </c>
      <c r="E2950" s="210" t="s">
        <v>201</v>
      </c>
    </row>
    <row r="2951" spans="1:5" ht="27">
      <c r="A2951" s="258">
        <v>100620</v>
      </c>
      <c r="B2951" s="257" t="s">
        <v>7098</v>
      </c>
      <c r="C2951" s="257" t="s">
        <v>90</v>
      </c>
      <c r="D2951" s="259" t="s">
        <v>16102</v>
      </c>
      <c r="E2951" s="210" t="s">
        <v>201</v>
      </c>
    </row>
    <row r="2952" spans="1:5" ht="27">
      <c r="A2952" s="258">
        <v>100621</v>
      </c>
      <c r="B2952" s="257" t="s">
        <v>7099</v>
      </c>
      <c r="C2952" s="257" t="s">
        <v>90</v>
      </c>
      <c r="D2952" s="259" t="s">
        <v>16103</v>
      </c>
      <c r="E2952" s="210" t="s">
        <v>201</v>
      </c>
    </row>
    <row r="2953" spans="1:5" ht="27">
      <c r="A2953" s="258">
        <v>100622</v>
      </c>
      <c r="B2953" s="257" t="s">
        <v>7100</v>
      </c>
      <c r="C2953" s="257" t="s">
        <v>90</v>
      </c>
      <c r="D2953" s="259" t="s">
        <v>16104</v>
      </c>
      <c r="E2953" s="210" t="s">
        <v>201</v>
      </c>
    </row>
    <row r="2954" spans="1:5" ht="27">
      <c r="A2954" s="258">
        <v>100623</v>
      </c>
      <c r="B2954" s="257" t="s">
        <v>7101</v>
      </c>
      <c r="C2954" s="257" t="s">
        <v>90</v>
      </c>
      <c r="D2954" s="259" t="s">
        <v>16105</v>
      </c>
      <c r="E2954" s="210" t="s">
        <v>201</v>
      </c>
    </row>
    <row r="2955" spans="1:5" ht="13.5">
      <c r="A2955" s="258">
        <v>72281</v>
      </c>
      <c r="B2955" s="257" t="s">
        <v>2337</v>
      </c>
      <c r="C2955" s="257" t="s">
        <v>90</v>
      </c>
      <c r="D2955" s="259" t="s">
        <v>16106</v>
      </c>
      <c r="E2955" s="210" t="s">
        <v>201</v>
      </c>
    </row>
    <row r="2956" spans="1:5" ht="13.5">
      <c r="A2956" s="258">
        <v>72282</v>
      </c>
      <c r="B2956" s="257" t="s">
        <v>2338</v>
      </c>
      <c r="C2956" s="257" t="s">
        <v>90</v>
      </c>
      <c r="D2956" s="259" t="s">
        <v>16107</v>
      </c>
      <c r="E2956" s="210" t="s">
        <v>201</v>
      </c>
    </row>
    <row r="2957" spans="1:5" ht="13.5">
      <c r="A2957" s="258" t="s">
        <v>2339</v>
      </c>
      <c r="B2957" s="257" t="s">
        <v>2340</v>
      </c>
      <c r="C2957" s="257" t="s">
        <v>90</v>
      </c>
      <c r="D2957" s="259" t="s">
        <v>16108</v>
      </c>
      <c r="E2957" s="210" t="s">
        <v>201</v>
      </c>
    </row>
    <row r="2958" spans="1:5" ht="13.5">
      <c r="A2958" s="258" t="s">
        <v>2341</v>
      </c>
      <c r="B2958" s="257" t="s">
        <v>2342</v>
      </c>
      <c r="C2958" s="257" t="s">
        <v>90</v>
      </c>
      <c r="D2958" s="259" t="s">
        <v>16037</v>
      </c>
      <c r="E2958" s="210" t="s">
        <v>201</v>
      </c>
    </row>
    <row r="2959" spans="1:5" ht="13.5">
      <c r="A2959" s="258" t="s">
        <v>2343</v>
      </c>
      <c r="B2959" s="257" t="s">
        <v>2344</v>
      </c>
      <c r="C2959" s="257" t="s">
        <v>90</v>
      </c>
      <c r="D2959" s="259" t="s">
        <v>14936</v>
      </c>
      <c r="E2959" s="210" t="s">
        <v>201</v>
      </c>
    </row>
    <row r="2960" spans="1:5" ht="13.5">
      <c r="A2960" s="258" t="s">
        <v>2345</v>
      </c>
      <c r="B2960" s="257" t="s">
        <v>2346</v>
      </c>
      <c r="C2960" s="257" t="s">
        <v>90</v>
      </c>
      <c r="D2960" s="259" t="s">
        <v>16109</v>
      </c>
      <c r="E2960" s="210" t="s">
        <v>201</v>
      </c>
    </row>
    <row r="2961" spans="1:5" ht="13.5">
      <c r="A2961" s="258" t="s">
        <v>2347</v>
      </c>
      <c r="B2961" s="257" t="s">
        <v>2348</v>
      </c>
      <c r="C2961" s="257" t="s">
        <v>90</v>
      </c>
      <c r="D2961" s="259" t="s">
        <v>15610</v>
      </c>
      <c r="E2961" s="210" t="s">
        <v>201</v>
      </c>
    </row>
    <row r="2962" spans="1:5" ht="13.5">
      <c r="A2962" s="258" t="s">
        <v>2349</v>
      </c>
      <c r="B2962" s="257" t="s">
        <v>2350</v>
      </c>
      <c r="C2962" s="257" t="s">
        <v>90</v>
      </c>
      <c r="D2962" s="259" t="s">
        <v>16110</v>
      </c>
      <c r="E2962" s="210" t="s">
        <v>201</v>
      </c>
    </row>
    <row r="2963" spans="1:5" ht="13.5">
      <c r="A2963" s="258" t="s">
        <v>2351</v>
      </c>
      <c r="B2963" s="257" t="s">
        <v>2352</v>
      </c>
      <c r="C2963" s="257" t="s">
        <v>90</v>
      </c>
      <c r="D2963" s="259" t="s">
        <v>16111</v>
      </c>
      <c r="E2963" s="210" t="s">
        <v>201</v>
      </c>
    </row>
    <row r="2964" spans="1:5" ht="13.5">
      <c r="A2964" s="258" t="s">
        <v>2353</v>
      </c>
      <c r="B2964" s="257" t="s">
        <v>2354</v>
      </c>
      <c r="C2964" s="257" t="s">
        <v>90</v>
      </c>
      <c r="D2964" s="259" t="s">
        <v>16112</v>
      </c>
      <c r="E2964" s="210" t="s">
        <v>201</v>
      </c>
    </row>
    <row r="2965" spans="1:5" ht="40.5">
      <c r="A2965" s="258" t="s">
        <v>2355</v>
      </c>
      <c r="B2965" s="257" t="s">
        <v>2356</v>
      </c>
      <c r="C2965" s="257" t="s">
        <v>90</v>
      </c>
      <c r="D2965" s="259" t="s">
        <v>16113</v>
      </c>
      <c r="E2965" s="210" t="s">
        <v>201</v>
      </c>
    </row>
    <row r="2966" spans="1:5" ht="13.5">
      <c r="A2966" s="258" t="s">
        <v>2357</v>
      </c>
      <c r="B2966" s="257" t="s">
        <v>2358</v>
      </c>
      <c r="C2966" s="257" t="s">
        <v>90</v>
      </c>
      <c r="D2966" s="259" t="s">
        <v>16114</v>
      </c>
      <c r="E2966" s="210" t="s">
        <v>201</v>
      </c>
    </row>
    <row r="2967" spans="1:5" ht="13.5">
      <c r="A2967" s="258">
        <v>83399</v>
      </c>
      <c r="B2967" s="257" t="s">
        <v>2359</v>
      </c>
      <c r="C2967" s="257" t="s">
        <v>90</v>
      </c>
      <c r="D2967" s="259" t="s">
        <v>16115</v>
      </c>
      <c r="E2967" s="210" t="s">
        <v>201</v>
      </c>
    </row>
    <row r="2968" spans="1:5" ht="27">
      <c r="A2968" s="258">
        <v>83400</v>
      </c>
      <c r="B2968" s="257" t="s">
        <v>2360</v>
      </c>
      <c r="C2968" s="257" t="s">
        <v>90</v>
      </c>
      <c r="D2968" s="259" t="s">
        <v>16116</v>
      </c>
      <c r="E2968" s="210" t="s">
        <v>201</v>
      </c>
    </row>
    <row r="2969" spans="1:5" ht="27">
      <c r="A2969" s="258">
        <v>83401</v>
      </c>
      <c r="B2969" s="257" t="s">
        <v>2361</v>
      </c>
      <c r="C2969" s="257" t="s">
        <v>90</v>
      </c>
      <c r="D2969" s="259" t="s">
        <v>16116</v>
      </c>
      <c r="E2969" s="210" t="s">
        <v>201</v>
      </c>
    </row>
    <row r="2970" spans="1:5" ht="13.5">
      <c r="A2970" s="258">
        <v>83402</v>
      </c>
      <c r="B2970" s="257" t="s">
        <v>2362</v>
      </c>
      <c r="C2970" s="257" t="s">
        <v>90</v>
      </c>
      <c r="D2970" s="259" t="s">
        <v>16117</v>
      </c>
      <c r="E2970" s="210" t="s">
        <v>201</v>
      </c>
    </row>
    <row r="2971" spans="1:5" ht="27">
      <c r="A2971" s="258">
        <v>83475</v>
      </c>
      <c r="B2971" s="257" t="s">
        <v>2363</v>
      </c>
      <c r="C2971" s="257" t="s">
        <v>90</v>
      </c>
      <c r="D2971" s="259" t="s">
        <v>16118</v>
      </c>
      <c r="E2971" s="210" t="s">
        <v>201</v>
      </c>
    </row>
    <row r="2972" spans="1:5" ht="27">
      <c r="A2972" s="258">
        <v>83478</v>
      </c>
      <c r="B2972" s="257" t="s">
        <v>2364</v>
      </c>
      <c r="C2972" s="257" t="s">
        <v>90</v>
      </c>
      <c r="D2972" s="259" t="s">
        <v>16119</v>
      </c>
      <c r="E2972" s="210" t="s">
        <v>201</v>
      </c>
    </row>
    <row r="2973" spans="1:5" ht="27">
      <c r="A2973" s="258">
        <v>83479</v>
      </c>
      <c r="B2973" s="257" t="s">
        <v>2365</v>
      </c>
      <c r="C2973" s="257" t="s">
        <v>90</v>
      </c>
      <c r="D2973" s="259" t="s">
        <v>16120</v>
      </c>
      <c r="E2973" s="210" t="s">
        <v>201</v>
      </c>
    </row>
    <row r="2974" spans="1:5" ht="13.5">
      <c r="A2974" s="258">
        <v>83480</v>
      </c>
      <c r="B2974" s="257" t="s">
        <v>2366</v>
      </c>
      <c r="C2974" s="257" t="s">
        <v>90</v>
      </c>
      <c r="D2974" s="259" t="s">
        <v>16121</v>
      </c>
      <c r="E2974" s="210" t="s">
        <v>201</v>
      </c>
    </row>
    <row r="2975" spans="1:5" ht="13.5">
      <c r="A2975" s="258">
        <v>83481</v>
      </c>
      <c r="B2975" s="257" t="s">
        <v>2367</v>
      </c>
      <c r="C2975" s="257" t="s">
        <v>90</v>
      </c>
      <c r="D2975" s="259" t="s">
        <v>14570</v>
      </c>
      <c r="E2975" s="210" t="s">
        <v>201</v>
      </c>
    </row>
    <row r="2976" spans="1:5" ht="27">
      <c r="A2976" s="258">
        <v>97600</v>
      </c>
      <c r="B2976" s="257" t="s">
        <v>4740</v>
      </c>
      <c r="C2976" s="257" t="s">
        <v>90</v>
      </c>
      <c r="D2976" s="259" t="s">
        <v>16122</v>
      </c>
      <c r="E2976" s="210" t="s">
        <v>201</v>
      </c>
    </row>
    <row r="2977" spans="1:5" ht="27">
      <c r="A2977" s="258">
        <v>97601</v>
      </c>
      <c r="B2977" s="257" t="s">
        <v>4741</v>
      </c>
      <c r="C2977" s="257" t="s">
        <v>90</v>
      </c>
      <c r="D2977" s="259" t="s">
        <v>16123</v>
      </c>
      <c r="E2977" s="210" t="s">
        <v>201</v>
      </c>
    </row>
    <row r="2978" spans="1:5" ht="13.5">
      <c r="A2978" s="258">
        <v>97605</v>
      </c>
      <c r="B2978" s="257" t="s">
        <v>4742</v>
      </c>
      <c r="C2978" s="257" t="s">
        <v>90</v>
      </c>
      <c r="D2978" s="259" t="s">
        <v>16124</v>
      </c>
      <c r="E2978" s="210" t="s">
        <v>201</v>
      </c>
    </row>
    <row r="2979" spans="1:5" ht="27">
      <c r="A2979" s="258">
        <v>97606</v>
      </c>
      <c r="B2979" s="257" t="s">
        <v>4743</v>
      </c>
      <c r="C2979" s="257" t="s">
        <v>90</v>
      </c>
      <c r="D2979" s="259" t="s">
        <v>16125</v>
      </c>
      <c r="E2979" s="210" t="s">
        <v>201</v>
      </c>
    </row>
    <row r="2980" spans="1:5" ht="13.5">
      <c r="A2980" s="258">
        <v>97607</v>
      </c>
      <c r="B2980" s="257" t="s">
        <v>4744</v>
      </c>
      <c r="C2980" s="257" t="s">
        <v>90</v>
      </c>
      <c r="D2980" s="259" t="s">
        <v>16126</v>
      </c>
      <c r="E2980" s="210" t="s">
        <v>201</v>
      </c>
    </row>
    <row r="2981" spans="1:5" ht="27">
      <c r="A2981" s="258">
        <v>97608</v>
      </c>
      <c r="B2981" s="257" t="s">
        <v>4745</v>
      </c>
      <c r="C2981" s="257" t="s">
        <v>90</v>
      </c>
      <c r="D2981" s="259" t="s">
        <v>16127</v>
      </c>
      <c r="E2981" s="210" t="s">
        <v>201</v>
      </c>
    </row>
    <row r="2982" spans="1:5" ht="27">
      <c r="A2982" s="258" t="s">
        <v>2368</v>
      </c>
      <c r="B2982" s="257" t="s">
        <v>2369</v>
      </c>
      <c r="C2982" s="257" t="s">
        <v>90</v>
      </c>
      <c r="D2982" s="259" t="s">
        <v>16128</v>
      </c>
      <c r="E2982" s="210" t="s">
        <v>201</v>
      </c>
    </row>
    <row r="2983" spans="1:5" ht="27">
      <c r="A2983" s="258" t="s">
        <v>2370</v>
      </c>
      <c r="B2983" s="257" t="s">
        <v>2371</v>
      </c>
      <c r="C2983" s="257" t="s">
        <v>90</v>
      </c>
      <c r="D2983" s="259" t="s">
        <v>16129</v>
      </c>
      <c r="E2983" s="210" t="s">
        <v>201</v>
      </c>
    </row>
    <row r="2984" spans="1:5" ht="27">
      <c r="A2984" s="258" t="s">
        <v>2372</v>
      </c>
      <c r="B2984" s="257" t="s">
        <v>2373</v>
      </c>
      <c r="C2984" s="257" t="s">
        <v>90</v>
      </c>
      <c r="D2984" s="259" t="s">
        <v>16130</v>
      </c>
      <c r="E2984" s="210" t="s">
        <v>201</v>
      </c>
    </row>
    <row r="2985" spans="1:5" ht="27">
      <c r="A2985" s="258" t="s">
        <v>2374</v>
      </c>
      <c r="B2985" s="257" t="s">
        <v>2375</v>
      </c>
      <c r="C2985" s="257" t="s">
        <v>90</v>
      </c>
      <c r="D2985" s="259" t="s">
        <v>16131</v>
      </c>
      <c r="E2985" s="210" t="s">
        <v>201</v>
      </c>
    </row>
    <row r="2986" spans="1:5" ht="27">
      <c r="A2986" s="258" t="s">
        <v>2376</v>
      </c>
      <c r="B2986" s="257" t="s">
        <v>2377</v>
      </c>
      <c r="C2986" s="257" t="s">
        <v>90</v>
      </c>
      <c r="D2986" s="259" t="s">
        <v>16132</v>
      </c>
      <c r="E2986" s="210" t="s">
        <v>201</v>
      </c>
    </row>
    <row r="2987" spans="1:5" ht="27">
      <c r="A2987" s="258" t="s">
        <v>2378</v>
      </c>
      <c r="B2987" s="257" t="s">
        <v>2379</v>
      </c>
      <c r="C2987" s="257" t="s">
        <v>90</v>
      </c>
      <c r="D2987" s="259" t="s">
        <v>16133</v>
      </c>
      <c r="E2987" s="210" t="s">
        <v>201</v>
      </c>
    </row>
    <row r="2988" spans="1:5" ht="27">
      <c r="A2988" s="258" t="s">
        <v>2380</v>
      </c>
      <c r="B2988" s="257" t="s">
        <v>2381</v>
      </c>
      <c r="C2988" s="257" t="s">
        <v>90</v>
      </c>
      <c r="D2988" s="259" t="s">
        <v>16134</v>
      </c>
      <c r="E2988" s="210" t="s">
        <v>201</v>
      </c>
    </row>
    <row r="2989" spans="1:5" ht="27">
      <c r="A2989" s="258" t="s">
        <v>2382</v>
      </c>
      <c r="B2989" s="257" t="s">
        <v>2383</v>
      </c>
      <c r="C2989" s="257" t="s">
        <v>90</v>
      </c>
      <c r="D2989" s="259" t="s">
        <v>16135</v>
      </c>
      <c r="E2989" s="210" t="s">
        <v>201</v>
      </c>
    </row>
    <row r="2990" spans="1:5" ht="27">
      <c r="A2990" s="258" t="s">
        <v>2384</v>
      </c>
      <c r="B2990" s="257" t="s">
        <v>2385</v>
      </c>
      <c r="C2990" s="257" t="s">
        <v>90</v>
      </c>
      <c r="D2990" s="259" t="s">
        <v>16136</v>
      </c>
      <c r="E2990" s="210" t="s">
        <v>201</v>
      </c>
    </row>
    <row r="2991" spans="1:5" ht="27">
      <c r="A2991" s="258" t="s">
        <v>2386</v>
      </c>
      <c r="B2991" s="257" t="s">
        <v>2387</v>
      </c>
      <c r="C2991" s="257" t="s">
        <v>90</v>
      </c>
      <c r="D2991" s="259" t="s">
        <v>16137</v>
      </c>
      <c r="E2991" s="210" t="s">
        <v>201</v>
      </c>
    </row>
    <row r="2992" spans="1:5" ht="27">
      <c r="A2992" s="258">
        <v>93128</v>
      </c>
      <c r="B2992" s="257" t="s">
        <v>2388</v>
      </c>
      <c r="C2992" s="257" t="s">
        <v>90</v>
      </c>
      <c r="D2992" s="259" t="s">
        <v>16138</v>
      </c>
      <c r="E2992" s="210" t="s">
        <v>201</v>
      </c>
    </row>
    <row r="2993" spans="1:5" ht="27">
      <c r="A2993" s="258">
        <v>93137</v>
      </c>
      <c r="B2993" s="257" t="s">
        <v>2389</v>
      </c>
      <c r="C2993" s="257" t="s">
        <v>90</v>
      </c>
      <c r="D2993" s="259" t="s">
        <v>16139</v>
      </c>
      <c r="E2993" s="210" t="s">
        <v>201</v>
      </c>
    </row>
    <row r="2994" spans="1:5" ht="27">
      <c r="A2994" s="258">
        <v>93138</v>
      </c>
      <c r="B2994" s="257" t="s">
        <v>2390</v>
      </c>
      <c r="C2994" s="257" t="s">
        <v>90</v>
      </c>
      <c r="D2994" s="259" t="s">
        <v>16140</v>
      </c>
      <c r="E2994" s="210" t="s">
        <v>201</v>
      </c>
    </row>
    <row r="2995" spans="1:5" ht="27">
      <c r="A2995" s="258">
        <v>93139</v>
      </c>
      <c r="B2995" s="257" t="s">
        <v>2391</v>
      </c>
      <c r="C2995" s="257" t="s">
        <v>90</v>
      </c>
      <c r="D2995" s="259" t="s">
        <v>16141</v>
      </c>
      <c r="E2995" s="210" t="s">
        <v>201</v>
      </c>
    </row>
    <row r="2996" spans="1:5" ht="40.5">
      <c r="A2996" s="258">
        <v>93140</v>
      </c>
      <c r="B2996" s="257" t="s">
        <v>2392</v>
      </c>
      <c r="C2996" s="257" t="s">
        <v>90</v>
      </c>
      <c r="D2996" s="259" t="s">
        <v>16142</v>
      </c>
      <c r="E2996" s="210" t="s">
        <v>201</v>
      </c>
    </row>
    <row r="2997" spans="1:5" ht="27">
      <c r="A2997" s="258">
        <v>93141</v>
      </c>
      <c r="B2997" s="257" t="s">
        <v>2393</v>
      </c>
      <c r="C2997" s="257" t="s">
        <v>90</v>
      </c>
      <c r="D2997" s="259" t="s">
        <v>16143</v>
      </c>
      <c r="E2997" s="210" t="s">
        <v>201</v>
      </c>
    </row>
    <row r="2998" spans="1:5" ht="27">
      <c r="A2998" s="258">
        <v>93142</v>
      </c>
      <c r="B2998" s="257" t="s">
        <v>2394</v>
      </c>
      <c r="C2998" s="257" t="s">
        <v>90</v>
      </c>
      <c r="D2998" s="259" t="s">
        <v>16144</v>
      </c>
      <c r="E2998" s="210" t="s">
        <v>201</v>
      </c>
    </row>
    <row r="2999" spans="1:5" ht="27">
      <c r="A2999" s="258">
        <v>93143</v>
      </c>
      <c r="B2999" s="257" t="s">
        <v>2395</v>
      </c>
      <c r="C2999" s="257" t="s">
        <v>90</v>
      </c>
      <c r="D2999" s="259" t="s">
        <v>16145</v>
      </c>
      <c r="E2999" s="210" t="s">
        <v>201</v>
      </c>
    </row>
    <row r="3000" spans="1:5" ht="27">
      <c r="A3000" s="258">
        <v>93144</v>
      </c>
      <c r="B3000" s="257" t="s">
        <v>2396</v>
      </c>
      <c r="C3000" s="257" t="s">
        <v>90</v>
      </c>
      <c r="D3000" s="259" t="s">
        <v>16146</v>
      </c>
      <c r="E3000" s="210" t="s">
        <v>201</v>
      </c>
    </row>
    <row r="3001" spans="1:5" ht="40.5">
      <c r="A3001" s="258">
        <v>93145</v>
      </c>
      <c r="B3001" s="257" t="s">
        <v>2397</v>
      </c>
      <c r="C3001" s="257" t="s">
        <v>90</v>
      </c>
      <c r="D3001" s="259" t="s">
        <v>16147</v>
      </c>
      <c r="E3001" s="210" t="s">
        <v>201</v>
      </c>
    </row>
    <row r="3002" spans="1:5" ht="40.5">
      <c r="A3002" s="258">
        <v>93146</v>
      </c>
      <c r="B3002" s="257" t="s">
        <v>2398</v>
      </c>
      <c r="C3002" s="257" t="s">
        <v>90</v>
      </c>
      <c r="D3002" s="259" t="s">
        <v>16148</v>
      </c>
      <c r="E3002" s="210" t="s">
        <v>201</v>
      </c>
    </row>
    <row r="3003" spans="1:5" ht="40.5">
      <c r="A3003" s="258">
        <v>93147</v>
      </c>
      <c r="B3003" s="257" t="s">
        <v>2399</v>
      </c>
      <c r="C3003" s="257" t="s">
        <v>90</v>
      </c>
      <c r="D3003" s="259" t="s">
        <v>16149</v>
      </c>
      <c r="E3003" s="210" t="s">
        <v>201</v>
      </c>
    </row>
    <row r="3004" spans="1:5" ht="13.5">
      <c r="A3004" s="258">
        <v>8260</v>
      </c>
      <c r="B3004" s="257" t="s">
        <v>2400</v>
      </c>
      <c r="C3004" s="257" t="s">
        <v>90</v>
      </c>
      <c r="D3004" s="259" t="s">
        <v>16150</v>
      </c>
      <c r="E3004" s="210" t="s">
        <v>201</v>
      </c>
    </row>
    <row r="3005" spans="1:5" ht="13.5">
      <c r="A3005" s="258">
        <v>72315</v>
      </c>
      <c r="B3005" s="257" t="s">
        <v>2401</v>
      </c>
      <c r="C3005" s="257" t="s">
        <v>90</v>
      </c>
      <c r="D3005" s="259" t="s">
        <v>16151</v>
      </c>
      <c r="E3005" s="210" t="s">
        <v>201</v>
      </c>
    </row>
    <row r="3006" spans="1:5" ht="27">
      <c r="A3006" s="258">
        <v>96971</v>
      </c>
      <c r="B3006" s="257" t="s">
        <v>4746</v>
      </c>
      <c r="C3006" s="257" t="s">
        <v>5</v>
      </c>
      <c r="D3006" s="259" t="s">
        <v>16152</v>
      </c>
      <c r="E3006" s="210" t="s">
        <v>201</v>
      </c>
    </row>
    <row r="3007" spans="1:5" ht="27">
      <c r="A3007" s="258">
        <v>96972</v>
      </c>
      <c r="B3007" s="257" t="s">
        <v>4747</v>
      </c>
      <c r="C3007" s="257" t="s">
        <v>5</v>
      </c>
      <c r="D3007" s="259" t="s">
        <v>15124</v>
      </c>
      <c r="E3007" s="210" t="s">
        <v>201</v>
      </c>
    </row>
    <row r="3008" spans="1:5" ht="27">
      <c r="A3008" s="258">
        <v>96973</v>
      </c>
      <c r="B3008" s="257" t="s">
        <v>4748</v>
      </c>
      <c r="C3008" s="257" t="s">
        <v>5</v>
      </c>
      <c r="D3008" s="259" t="s">
        <v>16153</v>
      </c>
      <c r="E3008" s="210" t="s">
        <v>201</v>
      </c>
    </row>
    <row r="3009" spans="1:5" ht="27">
      <c r="A3009" s="258">
        <v>96974</v>
      </c>
      <c r="B3009" s="257" t="s">
        <v>4749</v>
      </c>
      <c r="C3009" s="257" t="s">
        <v>5</v>
      </c>
      <c r="D3009" s="259" t="s">
        <v>16154</v>
      </c>
      <c r="E3009" s="210" t="s">
        <v>201</v>
      </c>
    </row>
    <row r="3010" spans="1:5" ht="27">
      <c r="A3010" s="258">
        <v>96975</v>
      </c>
      <c r="B3010" s="257" t="s">
        <v>4750</v>
      </c>
      <c r="C3010" s="257" t="s">
        <v>5</v>
      </c>
      <c r="D3010" s="259" t="s">
        <v>16155</v>
      </c>
      <c r="E3010" s="210" t="s">
        <v>201</v>
      </c>
    </row>
    <row r="3011" spans="1:5" ht="27">
      <c r="A3011" s="258">
        <v>96976</v>
      </c>
      <c r="B3011" s="257" t="s">
        <v>4751</v>
      </c>
      <c r="C3011" s="257" t="s">
        <v>5</v>
      </c>
      <c r="D3011" s="259" t="s">
        <v>16156</v>
      </c>
      <c r="E3011" s="210" t="s">
        <v>201</v>
      </c>
    </row>
    <row r="3012" spans="1:5" ht="13.5">
      <c r="A3012" s="258">
        <v>96977</v>
      </c>
      <c r="B3012" s="257" t="s">
        <v>4752</v>
      </c>
      <c r="C3012" s="257" t="s">
        <v>5</v>
      </c>
      <c r="D3012" s="259" t="s">
        <v>16157</v>
      </c>
      <c r="E3012" s="210" t="s">
        <v>201</v>
      </c>
    </row>
    <row r="3013" spans="1:5" ht="13.5">
      <c r="A3013" s="258">
        <v>96978</v>
      </c>
      <c r="B3013" s="257" t="s">
        <v>4753</v>
      </c>
      <c r="C3013" s="257" t="s">
        <v>5</v>
      </c>
      <c r="D3013" s="259" t="s">
        <v>16158</v>
      </c>
      <c r="E3013" s="210" t="s">
        <v>201</v>
      </c>
    </row>
    <row r="3014" spans="1:5" ht="13.5">
      <c r="A3014" s="258">
        <v>96979</v>
      </c>
      <c r="B3014" s="257" t="s">
        <v>4754</v>
      </c>
      <c r="C3014" s="257" t="s">
        <v>5</v>
      </c>
      <c r="D3014" s="259" t="s">
        <v>16159</v>
      </c>
      <c r="E3014" s="210" t="s">
        <v>201</v>
      </c>
    </row>
    <row r="3015" spans="1:5" ht="13.5">
      <c r="A3015" s="258">
        <v>96984</v>
      </c>
      <c r="B3015" s="257" t="s">
        <v>4756</v>
      </c>
      <c r="C3015" s="257" t="s">
        <v>90</v>
      </c>
      <c r="D3015" s="259" t="s">
        <v>16160</v>
      </c>
      <c r="E3015" s="210" t="s">
        <v>201</v>
      </c>
    </row>
    <row r="3016" spans="1:5" ht="13.5">
      <c r="A3016" s="258">
        <v>96985</v>
      </c>
      <c r="B3016" s="257" t="s">
        <v>4757</v>
      </c>
      <c r="C3016" s="257" t="s">
        <v>90</v>
      </c>
      <c r="D3016" s="259" t="s">
        <v>16161</v>
      </c>
      <c r="E3016" s="210" t="s">
        <v>201</v>
      </c>
    </row>
    <row r="3017" spans="1:5" ht="13.5">
      <c r="A3017" s="258">
        <v>96986</v>
      </c>
      <c r="B3017" s="257" t="s">
        <v>4758</v>
      </c>
      <c r="C3017" s="257" t="s">
        <v>90</v>
      </c>
      <c r="D3017" s="259" t="s">
        <v>16162</v>
      </c>
      <c r="E3017" s="210" t="s">
        <v>201</v>
      </c>
    </row>
    <row r="3018" spans="1:5" ht="13.5">
      <c r="A3018" s="258">
        <v>96987</v>
      </c>
      <c r="B3018" s="257" t="s">
        <v>4759</v>
      </c>
      <c r="C3018" s="257" t="s">
        <v>90</v>
      </c>
      <c r="D3018" s="259" t="s">
        <v>16163</v>
      </c>
      <c r="E3018" s="210" t="s">
        <v>201</v>
      </c>
    </row>
    <row r="3019" spans="1:5" ht="13.5">
      <c r="A3019" s="258">
        <v>96988</v>
      </c>
      <c r="B3019" s="257" t="s">
        <v>4760</v>
      </c>
      <c r="C3019" s="257" t="s">
        <v>90</v>
      </c>
      <c r="D3019" s="259" t="s">
        <v>16164</v>
      </c>
      <c r="E3019" s="210" t="s">
        <v>201</v>
      </c>
    </row>
    <row r="3020" spans="1:5" ht="13.5">
      <c r="A3020" s="258">
        <v>96989</v>
      </c>
      <c r="B3020" s="257" t="s">
        <v>4761</v>
      </c>
      <c r="C3020" s="257" t="s">
        <v>90</v>
      </c>
      <c r="D3020" s="259" t="s">
        <v>16165</v>
      </c>
      <c r="E3020" s="210" t="s">
        <v>201</v>
      </c>
    </row>
    <row r="3021" spans="1:5" ht="13.5">
      <c r="A3021" s="258">
        <v>98463</v>
      </c>
      <c r="B3021" s="257" t="s">
        <v>4755</v>
      </c>
      <c r="C3021" s="257" t="s">
        <v>90</v>
      </c>
      <c r="D3021" s="259" t="s">
        <v>15756</v>
      </c>
      <c r="E3021" s="210" t="s">
        <v>201</v>
      </c>
    </row>
    <row r="3022" spans="1:5" ht="13.5">
      <c r="A3022" s="258">
        <v>9535</v>
      </c>
      <c r="B3022" s="257" t="s">
        <v>202</v>
      </c>
      <c r="C3022" s="257" t="s">
        <v>90</v>
      </c>
      <c r="D3022" s="259" t="s">
        <v>16166</v>
      </c>
      <c r="E3022" s="210" t="s">
        <v>201</v>
      </c>
    </row>
    <row r="3023" spans="1:5" ht="13.5">
      <c r="A3023" s="258">
        <v>88547</v>
      </c>
      <c r="B3023" s="257" t="s">
        <v>2402</v>
      </c>
      <c r="C3023" s="257" t="s">
        <v>90</v>
      </c>
      <c r="D3023" s="259" t="s">
        <v>16167</v>
      </c>
      <c r="E3023" s="210" t="s">
        <v>201</v>
      </c>
    </row>
    <row r="3024" spans="1:5" ht="40.5">
      <c r="A3024" s="258">
        <v>72283</v>
      </c>
      <c r="B3024" s="257" t="s">
        <v>2403</v>
      </c>
      <c r="C3024" s="257" t="s">
        <v>90</v>
      </c>
      <c r="D3024" s="259" t="s">
        <v>16168</v>
      </c>
      <c r="E3024" s="210" t="s">
        <v>201</v>
      </c>
    </row>
    <row r="3025" spans="1:5" ht="13.5">
      <c r="A3025" s="258">
        <v>72287</v>
      </c>
      <c r="B3025" s="257" t="s">
        <v>2404</v>
      </c>
      <c r="C3025" s="257" t="s">
        <v>90</v>
      </c>
      <c r="D3025" s="259" t="s">
        <v>16169</v>
      </c>
      <c r="E3025" s="210" t="s">
        <v>201</v>
      </c>
    </row>
    <row r="3026" spans="1:5" ht="13.5">
      <c r="A3026" s="258">
        <v>72288</v>
      </c>
      <c r="B3026" s="257" t="s">
        <v>16170</v>
      </c>
      <c r="C3026" s="257" t="s">
        <v>90</v>
      </c>
      <c r="D3026" s="259" t="s">
        <v>16171</v>
      </c>
      <c r="E3026" s="210" t="s">
        <v>201</v>
      </c>
    </row>
    <row r="3027" spans="1:5" ht="13.5">
      <c r="A3027" s="258">
        <v>72553</v>
      </c>
      <c r="B3027" s="257" t="s">
        <v>2405</v>
      </c>
      <c r="C3027" s="257" t="s">
        <v>90</v>
      </c>
      <c r="D3027" s="259" t="s">
        <v>16172</v>
      </c>
      <c r="E3027" s="210" t="s">
        <v>201</v>
      </c>
    </row>
    <row r="3028" spans="1:5" ht="13.5">
      <c r="A3028" s="258">
        <v>72554</v>
      </c>
      <c r="B3028" s="257" t="s">
        <v>2406</v>
      </c>
      <c r="C3028" s="257" t="s">
        <v>90</v>
      </c>
      <c r="D3028" s="259" t="s">
        <v>16173</v>
      </c>
      <c r="E3028" s="210" t="s">
        <v>201</v>
      </c>
    </row>
    <row r="3029" spans="1:5" ht="13.5">
      <c r="A3029" s="258" t="s">
        <v>2407</v>
      </c>
      <c r="B3029" s="257" t="s">
        <v>2408</v>
      </c>
      <c r="C3029" s="257" t="s">
        <v>90</v>
      </c>
      <c r="D3029" s="259" t="s">
        <v>16174</v>
      </c>
      <c r="E3029" s="210" t="s">
        <v>201</v>
      </c>
    </row>
    <row r="3030" spans="1:5" ht="27">
      <c r="A3030" s="258" t="s">
        <v>2409</v>
      </c>
      <c r="B3030" s="257" t="s">
        <v>2410</v>
      </c>
      <c r="C3030" s="257" t="s">
        <v>90</v>
      </c>
      <c r="D3030" s="259" t="s">
        <v>16175</v>
      </c>
      <c r="E3030" s="210" t="s">
        <v>201</v>
      </c>
    </row>
    <row r="3031" spans="1:5" ht="13.5">
      <c r="A3031" s="258">
        <v>83633</v>
      </c>
      <c r="B3031" s="257" t="s">
        <v>2411</v>
      </c>
      <c r="C3031" s="257" t="s">
        <v>90</v>
      </c>
      <c r="D3031" s="259" t="s">
        <v>16176</v>
      </c>
      <c r="E3031" s="210" t="s">
        <v>201</v>
      </c>
    </row>
    <row r="3032" spans="1:5" ht="13.5">
      <c r="A3032" s="258">
        <v>83634</v>
      </c>
      <c r="B3032" s="257" t="s">
        <v>2412</v>
      </c>
      <c r="C3032" s="257" t="s">
        <v>90</v>
      </c>
      <c r="D3032" s="259" t="s">
        <v>16177</v>
      </c>
      <c r="E3032" s="210" t="s">
        <v>201</v>
      </c>
    </row>
    <row r="3033" spans="1:5" ht="13.5">
      <c r="A3033" s="258">
        <v>83635</v>
      </c>
      <c r="B3033" s="257" t="s">
        <v>122</v>
      </c>
      <c r="C3033" s="257" t="s">
        <v>90</v>
      </c>
      <c r="D3033" s="259" t="s">
        <v>16178</v>
      </c>
      <c r="E3033" s="210" t="s">
        <v>201</v>
      </c>
    </row>
    <row r="3034" spans="1:5" ht="40.5">
      <c r="A3034" s="258">
        <v>96765</v>
      </c>
      <c r="B3034" s="257" t="s">
        <v>5604</v>
      </c>
      <c r="C3034" s="257" t="s">
        <v>90</v>
      </c>
      <c r="D3034" s="259" t="s">
        <v>16179</v>
      </c>
      <c r="E3034" s="210" t="s">
        <v>201</v>
      </c>
    </row>
    <row r="3035" spans="1:5" ht="27">
      <c r="A3035" s="258" t="s">
        <v>2413</v>
      </c>
      <c r="B3035" s="257" t="s">
        <v>112</v>
      </c>
      <c r="C3035" s="257" t="s">
        <v>90</v>
      </c>
      <c r="D3035" s="259" t="s">
        <v>16180</v>
      </c>
      <c r="E3035" s="210" t="s">
        <v>201</v>
      </c>
    </row>
    <row r="3036" spans="1:5" ht="27">
      <c r="A3036" s="258" t="s">
        <v>2414</v>
      </c>
      <c r="B3036" s="257" t="s">
        <v>2415</v>
      </c>
      <c r="C3036" s="257" t="s">
        <v>90</v>
      </c>
      <c r="D3036" s="259" t="s">
        <v>16181</v>
      </c>
      <c r="E3036" s="210" t="s">
        <v>201</v>
      </c>
    </row>
    <row r="3037" spans="1:5" ht="27">
      <c r="A3037" s="258" t="s">
        <v>2416</v>
      </c>
      <c r="B3037" s="257" t="s">
        <v>2417</v>
      </c>
      <c r="C3037" s="257" t="s">
        <v>90</v>
      </c>
      <c r="D3037" s="259" t="s">
        <v>16182</v>
      </c>
      <c r="E3037" s="210" t="s">
        <v>201</v>
      </c>
    </row>
    <row r="3038" spans="1:5" ht="13.5">
      <c r="A3038" s="258">
        <v>84796</v>
      </c>
      <c r="B3038" s="257" t="s">
        <v>2418</v>
      </c>
      <c r="C3038" s="257" t="s">
        <v>90</v>
      </c>
      <c r="D3038" s="259" t="s">
        <v>16183</v>
      </c>
      <c r="E3038" s="210" t="s">
        <v>201</v>
      </c>
    </row>
    <row r="3039" spans="1:5" ht="13.5">
      <c r="A3039" s="258">
        <v>84798</v>
      </c>
      <c r="B3039" s="257" t="s">
        <v>113</v>
      </c>
      <c r="C3039" s="257" t="s">
        <v>90</v>
      </c>
      <c r="D3039" s="259" t="s">
        <v>16184</v>
      </c>
      <c r="E3039" s="210" t="s">
        <v>201</v>
      </c>
    </row>
    <row r="3040" spans="1:5" ht="27">
      <c r="A3040" s="258">
        <v>98261</v>
      </c>
      <c r="B3040" s="257" t="s">
        <v>7102</v>
      </c>
      <c r="C3040" s="257" t="s">
        <v>5</v>
      </c>
      <c r="D3040" s="259" t="s">
        <v>14053</v>
      </c>
      <c r="E3040" s="210" t="s">
        <v>201</v>
      </c>
    </row>
    <row r="3041" spans="1:5" ht="27">
      <c r="A3041" s="258">
        <v>98262</v>
      </c>
      <c r="B3041" s="257" t="s">
        <v>7103</v>
      </c>
      <c r="C3041" s="257" t="s">
        <v>5</v>
      </c>
      <c r="D3041" s="259" t="s">
        <v>16185</v>
      </c>
      <c r="E3041" s="210" t="s">
        <v>201</v>
      </c>
    </row>
    <row r="3042" spans="1:5" ht="27">
      <c r="A3042" s="258">
        <v>98263</v>
      </c>
      <c r="B3042" s="257" t="s">
        <v>7104</v>
      </c>
      <c r="C3042" s="257" t="s">
        <v>5</v>
      </c>
      <c r="D3042" s="259" t="s">
        <v>16186</v>
      </c>
      <c r="E3042" s="210" t="s">
        <v>201</v>
      </c>
    </row>
    <row r="3043" spans="1:5" ht="27">
      <c r="A3043" s="258">
        <v>98264</v>
      </c>
      <c r="B3043" s="257" t="s">
        <v>7105</v>
      </c>
      <c r="C3043" s="257" t="s">
        <v>5</v>
      </c>
      <c r="D3043" s="259" t="s">
        <v>16187</v>
      </c>
      <c r="E3043" s="210" t="s">
        <v>201</v>
      </c>
    </row>
    <row r="3044" spans="1:5" ht="27">
      <c r="A3044" s="258">
        <v>98265</v>
      </c>
      <c r="B3044" s="257" t="s">
        <v>7106</v>
      </c>
      <c r="C3044" s="257" t="s">
        <v>5</v>
      </c>
      <c r="D3044" s="259" t="s">
        <v>15502</v>
      </c>
      <c r="E3044" s="210" t="s">
        <v>201</v>
      </c>
    </row>
    <row r="3045" spans="1:5" ht="27">
      <c r="A3045" s="258">
        <v>98266</v>
      </c>
      <c r="B3045" s="257" t="s">
        <v>7107</v>
      </c>
      <c r="C3045" s="257" t="s">
        <v>5</v>
      </c>
      <c r="D3045" s="259" t="s">
        <v>16188</v>
      </c>
      <c r="E3045" s="210" t="s">
        <v>201</v>
      </c>
    </row>
    <row r="3046" spans="1:5" ht="27">
      <c r="A3046" s="258">
        <v>98267</v>
      </c>
      <c r="B3046" s="257" t="s">
        <v>7108</v>
      </c>
      <c r="C3046" s="257" t="s">
        <v>5</v>
      </c>
      <c r="D3046" s="259" t="s">
        <v>15911</v>
      </c>
      <c r="E3046" s="210" t="s">
        <v>201</v>
      </c>
    </row>
    <row r="3047" spans="1:5" ht="27">
      <c r="A3047" s="258">
        <v>98268</v>
      </c>
      <c r="B3047" s="257" t="s">
        <v>7109</v>
      </c>
      <c r="C3047" s="257" t="s">
        <v>5</v>
      </c>
      <c r="D3047" s="259" t="s">
        <v>14943</v>
      </c>
      <c r="E3047" s="210" t="s">
        <v>201</v>
      </c>
    </row>
    <row r="3048" spans="1:5" ht="27">
      <c r="A3048" s="258">
        <v>98269</v>
      </c>
      <c r="B3048" s="257" t="s">
        <v>7110</v>
      </c>
      <c r="C3048" s="257" t="s">
        <v>5</v>
      </c>
      <c r="D3048" s="259" t="s">
        <v>16189</v>
      </c>
      <c r="E3048" s="210" t="s">
        <v>201</v>
      </c>
    </row>
    <row r="3049" spans="1:5" ht="27">
      <c r="A3049" s="258">
        <v>98270</v>
      </c>
      <c r="B3049" s="257" t="s">
        <v>7111</v>
      </c>
      <c r="C3049" s="257" t="s">
        <v>5</v>
      </c>
      <c r="D3049" s="259" t="s">
        <v>16190</v>
      </c>
      <c r="E3049" s="210" t="s">
        <v>201</v>
      </c>
    </row>
    <row r="3050" spans="1:5" ht="27">
      <c r="A3050" s="258">
        <v>98271</v>
      </c>
      <c r="B3050" s="257" t="s">
        <v>7112</v>
      </c>
      <c r="C3050" s="257" t="s">
        <v>5</v>
      </c>
      <c r="D3050" s="259" t="s">
        <v>16191</v>
      </c>
      <c r="E3050" s="210" t="s">
        <v>201</v>
      </c>
    </row>
    <row r="3051" spans="1:5" ht="27">
      <c r="A3051" s="258">
        <v>98272</v>
      </c>
      <c r="B3051" s="257" t="s">
        <v>7113</v>
      </c>
      <c r="C3051" s="257" t="s">
        <v>5</v>
      </c>
      <c r="D3051" s="259" t="s">
        <v>16192</v>
      </c>
      <c r="E3051" s="210" t="s">
        <v>201</v>
      </c>
    </row>
    <row r="3052" spans="1:5" ht="27">
      <c r="A3052" s="258">
        <v>98273</v>
      </c>
      <c r="B3052" s="257" t="s">
        <v>7114</v>
      </c>
      <c r="C3052" s="257" t="s">
        <v>5</v>
      </c>
      <c r="D3052" s="259" t="s">
        <v>14322</v>
      </c>
      <c r="E3052" s="210" t="s">
        <v>201</v>
      </c>
    </row>
    <row r="3053" spans="1:5" ht="27">
      <c r="A3053" s="258">
        <v>98274</v>
      </c>
      <c r="B3053" s="257" t="s">
        <v>7115</v>
      </c>
      <c r="C3053" s="257" t="s">
        <v>5</v>
      </c>
      <c r="D3053" s="259" t="s">
        <v>14459</v>
      </c>
      <c r="E3053" s="210" t="s">
        <v>201</v>
      </c>
    </row>
    <row r="3054" spans="1:5" ht="27">
      <c r="A3054" s="258">
        <v>98275</v>
      </c>
      <c r="B3054" s="257" t="s">
        <v>7116</v>
      </c>
      <c r="C3054" s="257" t="s">
        <v>5</v>
      </c>
      <c r="D3054" s="259" t="s">
        <v>14462</v>
      </c>
      <c r="E3054" s="210" t="s">
        <v>201</v>
      </c>
    </row>
    <row r="3055" spans="1:5" ht="13.5">
      <c r="A3055" s="258">
        <v>98276</v>
      </c>
      <c r="B3055" s="257" t="s">
        <v>7117</v>
      </c>
      <c r="C3055" s="257" t="s">
        <v>5</v>
      </c>
      <c r="D3055" s="259" t="s">
        <v>16193</v>
      </c>
      <c r="E3055" s="210" t="s">
        <v>201</v>
      </c>
    </row>
    <row r="3056" spans="1:5" ht="13.5">
      <c r="A3056" s="258">
        <v>98277</v>
      </c>
      <c r="B3056" s="257" t="s">
        <v>7118</v>
      </c>
      <c r="C3056" s="257" t="s">
        <v>5</v>
      </c>
      <c r="D3056" s="259" t="s">
        <v>16194</v>
      </c>
      <c r="E3056" s="210" t="s">
        <v>201</v>
      </c>
    </row>
    <row r="3057" spans="1:5" ht="13.5">
      <c r="A3057" s="258">
        <v>98278</v>
      </c>
      <c r="B3057" s="257" t="s">
        <v>7119</v>
      </c>
      <c r="C3057" s="257" t="s">
        <v>5</v>
      </c>
      <c r="D3057" s="259" t="s">
        <v>16195</v>
      </c>
      <c r="E3057" s="210" t="s">
        <v>201</v>
      </c>
    </row>
    <row r="3058" spans="1:5" ht="13.5">
      <c r="A3058" s="258">
        <v>98279</v>
      </c>
      <c r="B3058" s="257" t="s">
        <v>7120</v>
      </c>
      <c r="C3058" s="257" t="s">
        <v>5</v>
      </c>
      <c r="D3058" s="259" t="s">
        <v>16196</v>
      </c>
      <c r="E3058" s="210" t="s">
        <v>201</v>
      </c>
    </row>
    <row r="3059" spans="1:5" ht="27">
      <c r="A3059" s="258">
        <v>98280</v>
      </c>
      <c r="B3059" s="257" t="s">
        <v>7121</v>
      </c>
      <c r="C3059" s="257" t="s">
        <v>5</v>
      </c>
      <c r="D3059" s="259" t="s">
        <v>16197</v>
      </c>
      <c r="E3059" s="210" t="s">
        <v>201</v>
      </c>
    </row>
    <row r="3060" spans="1:5" ht="27">
      <c r="A3060" s="258">
        <v>98281</v>
      </c>
      <c r="B3060" s="257" t="s">
        <v>7122</v>
      </c>
      <c r="C3060" s="257" t="s">
        <v>5</v>
      </c>
      <c r="D3060" s="259" t="s">
        <v>15455</v>
      </c>
      <c r="E3060" s="210" t="s">
        <v>201</v>
      </c>
    </row>
    <row r="3061" spans="1:5" ht="27">
      <c r="A3061" s="258">
        <v>98282</v>
      </c>
      <c r="B3061" s="257" t="s">
        <v>7123</v>
      </c>
      <c r="C3061" s="257" t="s">
        <v>5</v>
      </c>
      <c r="D3061" s="259" t="s">
        <v>14648</v>
      </c>
      <c r="E3061" s="210" t="s">
        <v>201</v>
      </c>
    </row>
    <row r="3062" spans="1:5" ht="27">
      <c r="A3062" s="258">
        <v>98283</v>
      </c>
      <c r="B3062" s="257" t="s">
        <v>7124</v>
      </c>
      <c r="C3062" s="257" t="s">
        <v>5</v>
      </c>
      <c r="D3062" s="259" t="s">
        <v>16198</v>
      </c>
      <c r="E3062" s="210" t="s">
        <v>201</v>
      </c>
    </row>
    <row r="3063" spans="1:5" ht="27">
      <c r="A3063" s="258">
        <v>98284</v>
      </c>
      <c r="B3063" s="257" t="s">
        <v>7125</v>
      </c>
      <c r="C3063" s="257" t="s">
        <v>5</v>
      </c>
      <c r="D3063" s="259" t="s">
        <v>16199</v>
      </c>
      <c r="E3063" s="210" t="s">
        <v>201</v>
      </c>
    </row>
    <row r="3064" spans="1:5" ht="27">
      <c r="A3064" s="258">
        <v>98285</v>
      </c>
      <c r="B3064" s="257" t="s">
        <v>7126</v>
      </c>
      <c r="C3064" s="257" t="s">
        <v>5</v>
      </c>
      <c r="D3064" s="259" t="s">
        <v>15436</v>
      </c>
      <c r="E3064" s="210" t="s">
        <v>201</v>
      </c>
    </row>
    <row r="3065" spans="1:5" ht="27">
      <c r="A3065" s="258">
        <v>98286</v>
      </c>
      <c r="B3065" s="257" t="s">
        <v>7127</v>
      </c>
      <c r="C3065" s="257" t="s">
        <v>5</v>
      </c>
      <c r="D3065" s="259" t="s">
        <v>14940</v>
      </c>
      <c r="E3065" s="210" t="s">
        <v>201</v>
      </c>
    </row>
    <row r="3066" spans="1:5" ht="27">
      <c r="A3066" s="258">
        <v>98287</v>
      </c>
      <c r="B3066" s="257" t="s">
        <v>7128</v>
      </c>
      <c r="C3066" s="257" t="s">
        <v>5</v>
      </c>
      <c r="D3066" s="259" t="s">
        <v>13669</v>
      </c>
      <c r="E3066" s="210" t="s">
        <v>201</v>
      </c>
    </row>
    <row r="3067" spans="1:5" ht="27">
      <c r="A3067" s="258">
        <v>98288</v>
      </c>
      <c r="B3067" s="257" t="s">
        <v>7129</v>
      </c>
      <c r="C3067" s="257" t="s">
        <v>5</v>
      </c>
      <c r="D3067" s="259" t="s">
        <v>13856</v>
      </c>
      <c r="E3067" s="210" t="s">
        <v>201</v>
      </c>
    </row>
    <row r="3068" spans="1:5" ht="27">
      <c r="A3068" s="258">
        <v>98289</v>
      </c>
      <c r="B3068" s="257" t="s">
        <v>7130</v>
      </c>
      <c r="C3068" s="257" t="s">
        <v>5</v>
      </c>
      <c r="D3068" s="259" t="s">
        <v>13612</v>
      </c>
      <c r="E3068" s="210" t="s">
        <v>201</v>
      </c>
    </row>
    <row r="3069" spans="1:5" ht="27">
      <c r="A3069" s="258">
        <v>98290</v>
      </c>
      <c r="B3069" s="257" t="s">
        <v>7131</v>
      </c>
      <c r="C3069" s="257" t="s">
        <v>5</v>
      </c>
      <c r="D3069" s="259" t="s">
        <v>16200</v>
      </c>
      <c r="E3069" s="210" t="s">
        <v>201</v>
      </c>
    </row>
    <row r="3070" spans="1:5" ht="27">
      <c r="A3070" s="258">
        <v>98291</v>
      </c>
      <c r="B3070" s="257" t="s">
        <v>7132</v>
      </c>
      <c r="C3070" s="257" t="s">
        <v>5</v>
      </c>
      <c r="D3070" s="259" t="s">
        <v>15765</v>
      </c>
      <c r="E3070" s="210" t="s">
        <v>201</v>
      </c>
    </row>
    <row r="3071" spans="1:5" ht="27">
      <c r="A3071" s="258">
        <v>98292</v>
      </c>
      <c r="B3071" s="257" t="s">
        <v>7133</v>
      </c>
      <c r="C3071" s="257" t="s">
        <v>5</v>
      </c>
      <c r="D3071" s="259" t="s">
        <v>16201</v>
      </c>
      <c r="E3071" s="210" t="s">
        <v>201</v>
      </c>
    </row>
    <row r="3072" spans="1:5" ht="27">
      <c r="A3072" s="258">
        <v>98293</v>
      </c>
      <c r="B3072" s="257" t="s">
        <v>7134</v>
      </c>
      <c r="C3072" s="257" t="s">
        <v>5</v>
      </c>
      <c r="D3072" s="259" t="s">
        <v>15770</v>
      </c>
      <c r="E3072" s="210" t="s">
        <v>201</v>
      </c>
    </row>
    <row r="3073" spans="1:5" ht="27">
      <c r="A3073" s="258">
        <v>98400</v>
      </c>
      <c r="B3073" s="257" t="s">
        <v>7135</v>
      </c>
      <c r="C3073" s="257" t="s">
        <v>5</v>
      </c>
      <c r="D3073" s="259" t="s">
        <v>16202</v>
      </c>
      <c r="E3073" s="210" t="s">
        <v>201</v>
      </c>
    </row>
    <row r="3074" spans="1:5" ht="27">
      <c r="A3074" s="258">
        <v>98401</v>
      </c>
      <c r="B3074" s="257" t="s">
        <v>7136</v>
      </c>
      <c r="C3074" s="257" t="s">
        <v>5</v>
      </c>
      <c r="D3074" s="259" t="s">
        <v>16203</v>
      </c>
      <c r="E3074" s="210" t="s">
        <v>201</v>
      </c>
    </row>
    <row r="3075" spans="1:5" ht="27">
      <c r="A3075" s="258">
        <v>98402</v>
      </c>
      <c r="B3075" s="257" t="s">
        <v>7137</v>
      </c>
      <c r="C3075" s="257" t="s">
        <v>5</v>
      </c>
      <c r="D3075" s="259" t="s">
        <v>16204</v>
      </c>
      <c r="E3075" s="210" t="s">
        <v>201</v>
      </c>
    </row>
    <row r="3076" spans="1:5" ht="13.5">
      <c r="A3076" s="258">
        <v>100556</v>
      </c>
      <c r="B3076" s="257" t="s">
        <v>7138</v>
      </c>
      <c r="C3076" s="257" t="s">
        <v>90</v>
      </c>
      <c r="D3076" s="259" t="s">
        <v>16205</v>
      </c>
      <c r="E3076" s="210" t="s">
        <v>201</v>
      </c>
    </row>
    <row r="3077" spans="1:5" ht="13.5">
      <c r="A3077" s="258">
        <v>100557</v>
      </c>
      <c r="B3077" s="257" t="s">
        <v>7139</v>
      </c>
      <c r="C3077" s="257" t="s">
        <v>90</v>
      </c>
      <c r="D3077" s="259" t="s">
        <v>16206</v>
      </c>
      <c r="E3077" s="210" t="s">
        <v>201</v>
      </c>
    </row>
    <row r="3078" spans="1:5" ht="13.5">
      <c r="A3078" s="258">
        <v>100559</v>
      </c>
      <c r="B3078" s="257" t="s">
        <v>7140</v>
      </c>
      <c r="C3078" s="257" t="s">
        <v>90</v>
      </c>
      <c r="D3078" s="259" t="s">
        <v>16207</v>
      </c>
      <c r="E3078" s="210" t="s">
        <v>201</v>
      </c>
    </row>
    <row r="3079" spans="1:5" ht="27">
      <c r="A3079" s="258">
        <v>100560</v>
      </c>
      <c r="B3079" s="257" t="s">
        <v>7141</v>
      </c>
      <c r="C3079" s="257" t="s">
        <v>90</v>
      </c>
      <c r="D3079" s="259" t="s">
        <v>16208</v>
      </c>
      <c r="E3079" s="210" t="s">
        <v>201</v>
      </c>
    </row>
    <row r="3080" spans="1:5" ht="27">
      <c r="A3080" s="258">
        <v>100561</v>
      </c>
      <c r="B3080" s="257" t="s">
        <v>7142</v>
      </c>
      <c r="C3080" s="257" t="s">
        <v>90</v>
      </c>
      <c r="D3080" s="259" t="s">
        <v>16209</v>
      </c>
      <c r="E3080" s="210" t="s">
        <v>201</v>
      </c>
    </row>
    <row r="3081" spans="1:5" ht="27">
      <c r="A3081" s="258">
        <v>100562</v>
      </c>
      <c r="B3081" s="257" t="s">
        <v>7143</v>
      </c>
      <c r="C3081" s="257" t="s">
        <v>90</v>
      </c>
      <c r="D3081" s="259" t="s">
        <v>16210</v>
      </c>
      <c r="E3081" s="210" t="s">
        <v>201</v>
      </c>
    </row>
    <row r="3082" spans="1:5" ht="27">
      <c r="A3082" s="258">
        <v>100563</v>
      </c>
      <c r="B3082" s="257" t="s">
        <v>7144</v>
      </c>
      <c r="C3082" s="257" t="s">
        <v>90</v>
      </c>
      <c r="D3082" s="259" t="s">
        <v>16211</v>
      </c>
      <c r="E3082" s="210" t="s">
        <v>201</v>
      </c>
    </row>
    <row r="3083" spans="1:5" ht="13.5">
      <c r="A3083" s="258">
        <v>98397</v>
      </c>
      <c r="B3083" s="257" t="s">
        <v>5605</v>
      </c>
      <c r="C3083" s="257" t="s">
        <v>150</v>
      </c>
      <c r="D3083" s="259" t="s">
        <v>14956</v>
      </c>
      <c r="E3083" s="210" t="s">
        <v>201</v>
      </c>
    </row>
    <row r="3084" spans="1:5" ht="27">
      <c r="A3084" s="258" t="s">
        <v>2419</v>
      </c>
      <c r="B3084" s="257" t="s">
        <v>2420</v>
      </c>
      <c r="C3084" s="257" t="s">
        <v>90</v>
      </c>
      <c r="D3084" s="259" t="s">
        <v>16212</v>
      </c>
      <c r="E3084" s="210" t="s">
        <v>201</v>
      </c>
    </row>
    <row r="3085" spans="1:5" ht="13.5">
      <c r="A3085" s="258">
        <v>85120</v>
      </c>
      <c r="B3085" s="257" t="s">
        <v>116</v>
      </c>
      <c r="C3085" s="257" t="s">
        <v>90</v>
      </c>
      <c r="D3085" s="259" t="s">
        <v>16213</v>
      </c>
      <c r="E3085" s="210" t="s">
        <v>201</v>
      </c>
    </row>
    <row r="3086" spans="1:5" ht="13.5">
      <c r="A3086" s="258">
        <v>83486</v>
      </c>
      <c r="B3086" s="257" t="s">
        <v>2421</v>
      </c>
      <c r="C3086" s="257" t="s">
        <v>90</v>
      </c>
      <c r="D3086" s="259" t="s">
        <v>16214</v>
      </c>
      <c r="E3086" s="210" t="s">
        <v>201</v>
      </c>
    </row>
    <row r="3087" spans="1:5" ht="27">
      <c r="A3087" s="258">
        <v>83643</v>
      </c>
      <c r="B3087" s="257" t="s">
        <v>2422</v>
      </c>
      <c r="C3087" s="257" t="s">
        <v>90</v>
      </c>
      <c r="D3087" s="259" t="s">
        <v>16215</v>
      </c>
      <c r="E3087" s="210" t="s">
        <v>201</v>
      </c>
    </row>
    <row r="3088" spans="1:5" ht="13.5">
      <c r="A3088" s="258">
        <v>83644</v>
      </c>
      <c r="B3088" s="257" t="s">
        <v>2423</v>
      </c>
      <c r="C3088" s="257" t="s">
        <v>90</v>
      </c>
      <c r="D3088" s="259" t="s">
        <v>16216</v>
      </c>
      <c r="E3088" s="210" t="s">
        <v>201</v>
      </c>
    </row>
    <row r="3089" spans="1:5" ht="13.5">
      <c r="A3089" s="258">
        <v>83645</v>
      </c>
      <c r="B3089" s="257" t="s">
        <v>2424</v>
      </c>
      <c r="C3089" s="257" t="s">
        <v>90</v>
      </c>
      <c r="D3089" s="259" t="s">
        <v>16217</v>
      </c>
      <c r="E3089" s="210" t="s">
        <v>201</v>
      </c>
    </row>
    <row r="3090" spans="1:5" ht="13.5">
      <c r="A3090" s="258">
        <v>83646</v>
      </c>
      <c r="B3090" s="257" t="s">
        <v>2425</v>
      </c>
      <c r="C3090" s="257" t="s">
        <v>90</v>
      </c>
      <c r="D3090" s="259" t="s">
        <v>16218</v>
      </c>
      <c r="E3090" s="210" t="s">
        <v>201</v>
      </c>
    </row>
    <row r="3091" spans="1:5" ht="13.5">
      <c r="A3091" s="258">
        <v>83647</v>
      </c>
      <c r="B3091" s="257" t="s">
        <v>2426</v>
      </c>
      <c r="C3091" s="257" t="s">
        <v>90</v>
      </c>
      <c r="D3091" s="259" t="s">
        <v>16219</v>
      </c>
      <c r="E3091" s="210" t="s">
        <v>201</v>
      </c>
    </row>
    <row r="3092" spans="1:5" ht="13.5">
      <c r="A3092" s="258">
        <v>83648</v>
      </c>
      <c r="B3092" s="257" t="s">
        <v>2427</v>
      </c>
      <c r="C3092" s="257" t="s">
        <v>90</v>
      </c>
      <c r="D3092" s="259" t="s">
        <v>16220</v>
      </c>
      <c r="E3092" s="210" t="s">
        <v>201</v>
      </c>
    </row>
    <row r="3093" spans="1:5" ht="13.5">
      <c r="A3093" s="258">
        <v>83649</v>
      </c>
      <c r="B3093" s="257" t="s">
        <v>2428</v>
      </c>
      <c r="C3093" s="257" t="s">
        <v>90</v>
      </c>
      <c r="D3093" s="259" t="s">
        <v>16221</v>
      </c>
      <c r="E3093" s="210" t="s">
        <v>201</v>
      </c>
    </row>
    <row r="3094" spans="1:5" ht="13.5">
      <c r="A3094" s="258">
        <v>83650</v>
      </c>
      <c r="B3094" s="257" t="s">
        <v>2429</v>
      </c>
      <c r="C3094" s="257" t="s">
        <v>90</v>
      </c>
      <c r="D3094" s="259" t="s">
        <v>16222</v>
      </c>
      <c r="E3094" s="210" t="s">
        <v>201</v>
      </c>
    </row>
    <row r="3095" spans="1:5" ht="27">
      <c r="A3095" s="258">
        <v>98294</v>
      </c>
      <c r="B3095" s="257" t="s">
        <v>7145</v>
      </c>
      <c r="C3095" s="257" t="s">
        <v>5</v>
      </c>
      <c r="D3095" s="259" t="s">
        <v>16223</v>
      </c>
      <c r="E3095" s="210" t="s">
        <v>201</v>
      </c>
    </row>
    <row r="3096" spans="1:5" ht="27">
      <c r="A3096" s="258">
        <v>98295</v>
      </c>
      <c r="B3096" s="257" t="s">
        <v>7146</v>
      </c>
      <c r="C3096" s="257" t="s">
        <v>5</v>
      </c>
      <c r="D3096" s="259" t="s">
        <v>16224</v>
      </c>
      <c r="E3096" s="210" t="s">
        <v>201</v>
      </c>
    </row>
    <row r="3097" spans="1:5" ht="27">
      <c r="A3097" s="258">
        <v>98296</v>
      </c>
      <c r="B3097" s="257" t="s">
        <v>7147</v>
      </c>
      <c r="C3097" s="257" t="s">
        <v>5</v>
      </c>
      <c r="D3097" s="259" t="s">
        <v>16225</v>
      </c>
      <c r="E3097" s="210" t="s">
        <v>201</v>
      </c>
    </row>
    <row r="3098" spans="1:5" ht="27">
      <c r="A3098" s="258">
        <v>98297</v>
      </c>
      <c r="B3098" s="257" t="s">
        <v>7148</v>
      </c>
      <c r="C3098" s="257" t="s">
        <v>5</v>
      </c>
      <c r="D3098" s="259" t="s">
        <v>16226</v>
      </c>
      <c r="E3098" s="210" t="s">
        <v>201</v>
      </c>
    </row>
    <row r="3099" spans="1:5" ht="13.5">
      <c r="A3099" s="258">
        <v>98301</v>
      </c>
      <c r="B3099" s="257" t="s">
        <v>7149</v>
      </c>
      <c r="C3099" s="257" t="s">
        <v>90</v>
      </c>
      <c r="D3099" s="259" t="s">
        <v>16227</v>
      </c>
      <c r="E3099" s="210" t="s">
        <v>201</v>
      </c>
    </row>
    <row r="3100" spans="1:5" ht="13.5">
      <c r="A3100" s="258">
        <v>98302</v>
      </c>
      <c r="B3100" s="257" t="s">
        <v>7150</v>
      </c>
      <c r="C3100" s="257" t="s">
        <v>90</v>
      </c>
      <c r="D3100" s="259" t="s">
        <v>16228</v>
      </c>
      <c r="E3100" s="210" t="s">
        <v>201</v>
      </c>
    </row>
    <row r="3101" spans="1:5" ht="13.5">
      <c r="A3101" s="258">
        <v>98304</v>
      </c>
      <c r="B3101" s="257" t="s">
        <v>7151</v>
      </c>
      <c r="C3101" s="257" t="s">
        <v>90</v>
      </c>
      <c r="D3101" s="259" t="s">
        <v>16229</v>
      </c>
      <c r="E3101" s="210" t="s">
        <v>201</v>
      </c>
    </row>
    <row r="3102" spans="1:5" ht="13.5">
      <c r="A3102" s="258">
        <v>98307</v>
      </c>
      <c r="B3102" s="257" t="s">
        <v>7152</v>
      </c>
      <c r="C3102" s="257" t="s">
        <v>90</v>
      </c>
      <c r="D3102" s="259" t="s">
        <v>16230</v>
      </c>
      <c r="E3102" s="210" t="s">
        <v>201</v>
      </c>
    </row>
    <row r="3103" spans="1:5" ht="13.5">
      <c r="A3103" s="258">
        <v>98308</v>
      </c>
      <c r="B3103" s="257" t="s">
        <v>7153</v>
      </c>
      <c r="C3103" s="257" t="s">
        <v>90</v>
      </c>
      <c r="D3103" s="259" t="s">
        <v>16231</v>
      </c>
      <c r="E3103" s="210" t="s">
        <v>201</v>
      </c>
    </row>
    <row r="3104" spans="1:5" ht="13.5">
      <c r="A3104" s="258">
        <v>98593</v>
      </c>
      <c r="B3104" s="257" t="s">
        <v>7154</v>
      </c>
      <c r="C3104" s="257" t="s">
        <v>90</v>
      </c>
      <c r="D3104" s="259" t="s">
        <v>16232</v>
      </c>
      <c r="E3104" s="210" t="s">
        <v>201</v>
      </c>
    </row>
    <row r="3105" spans="1:5" ht="27">
      <c r="A3105" s="258">
        <v>89355</v>
      </c>
      <c r="B3105" s="257" t="s">
        <v>2430</v>
      </c>
      <c r="C3105" s="257" t="s">
        <v>5</v>
      </c>
      <c r="D3105" s="259" t="s">
        <v>16233</v>
      </c>
      <c r="E3105" s="210" t="s">
        <v>201</v>
      </c>
    </row>
    <row r="3106" spans="1:5" ht="27">
      <c r="A3106" s="258">
        <v>89356</v>
      </c>
      <c r="B3106" s="257" t="s">
        <v>2431</v>
      </c>
      <c r="C3106" s="257" t="s">
        <v>5</v>
      </c>
      <c r="D3106" s="259" t="s">
        <v>16234</v>
      </c>
      <c r="E3106" s="210" t="s">
        <v>201</v>
      </c>
    </row>
    <row r="3107" spans="1:5" ht="27">
      <c r="A3107" s="258">
        <v>89357</v>
      </c>
      <c r="B3107" s="257" t="s">
        <v>2432</v>
      </c>
      <c r="C3107" s="257" t="s">
        <v>5</v>
      </c>
      <c r="D3107" s="259" t="s">
        <v>16235</v>
      </c>
      <c r="E3107" s="210" t="s">
        <v>201</v>
      </c>
    </row>
    <row r="3108" spans="1:5" ht="27">
      <c r="A3108" s="258">
        <v>89401</v>
      </c>
      <c r="B3108" s="257" t="s">
        <v>216</v>
      </c>
      <c r="C3108" s="257" t="s">
        <v>5</v>
      </c>
      <c r="D3108" s="259" t="s">
        <v>16236</v>
      </c>
      <c r="E3108" s="210" t="s">
        <v>201</v>
      </c>
    </row>
    <row r="3109" spans="1:5" ht="27">
      <c r="A3109" s="258">
        <v>89402</v>
      </c>
      <c r="B3109" s="257" t="s">
        <v>217</v>
      </c>
      <c r="C3109" s="257" t="s">
        <v>5</v>
      </c>
      <c r="D3109" s="259" t="s">
        <v>15482</v>
      </c>
      <c r="E3109" s="210" t="s">
        <v>201</v>
      </c>
    </row>
    <row r="3110" spans="1:5" ht="27">
      <c r="A3110" s="258">
        <v>89403</v>
      </c>
      <c r="B3110" s="257" t="s">
        <v>218</v>
      </c>
      <c r="C3110" s="257" t="s">
        <v>5</v>
      </c>
      <c r="D3110" s="259" t="s">
        <v>15451</v>
      </c>
      <c r="E3110" s="210" t="s">
        <v>201</v>
      </c>
    </row>
    <row r="3111" spans="1:5" ht="27">
      <c r="A3111" s="258">
        <v>89446</v>
      </c>
      <c r="B3111" s="257" t="s">
        <v>2433</v>
      </c>
      <c r="C3111" s="257" t="s">
        <v>5</v>
      </c>
      <c r="D3111" s="259" t="s">
        <v>16237</v>
      </c>
      <c r="E3111" s="210" t="s">
        <v>201</v>
      </c>
    </row>
    <row r="3112" spans="1:5" ht="27">
      <c r="A3112" s="258">
        <v>89447</v>
      </c>
      <c r="B3112" s="257" t="s">
        <v>2434</v>
      </c>
      <c r="C3112" s="257" t="s">
        <v>5</v>
      </c>
      <c r="D3112" s="259" t="s">
        <v>16238</v>
      </c>
      <c r="E3112" s="210" t="s">
        <v>201</v>
      </c>
    </row>
    <row r="3113" spans="1:5" ht="27">
      <c r="A3113" s="258">
        <v>89448</v>
      </c>
      <c r="B3113" s="257" t="s">
        <v>219</v>
      </c>
      <c r="C3113" s="257" t="s">
        <v>5</v>
      </c>
      <c r="D3113" s="259" t="s">
        <v>16239</v>
      </c>
      <c r="E3113" s="210" t="s">
        <v>201</v>
      </c>
    </row>
    <row r="3114" spans="1:5" ht="27">
      <c r="A3114" s="258">
        <v>89449</v>
      </c>
      <c r="B3114" s="257" t="s">
        <v>220</v>
      </c>
      <c r="C3114" s="257" t="s">
        <v>5</v>
      </c>
      <c r="D3114" s="259" t="s">
        <v>16240</v>
      </c>
      <c r="E3114" s="210" t="s">
        <v>201</v>
      </c>
    </row>
    <row r="3115" spans="1:5" ht="27">
      <c r="A3115" s="258">
        <v>89450</v>
      </c>
      <c r="B3115" s="257" t="s">
        <v>221</v>
      </c>
      <c r="C3115" s="257" t="s">
        <v>5</v>
      </c>
      <c r="D3115" s="259" t="s">
        <v>16241</v>
      </c>
      <c r="E3115" s="210" t="s">
        <v>201</v>
      </c>
    </row>
    <row r="3116" spans="1:5" ht="27">
      <c r="A3116" s="258">
        <v>89451</v>
      </c>
      <c r="B3116" s="257" t="s">
        <v>222</v>
      </c>
      <c r="C3116" s="257" t="s">
        <v>5</v>
      </c>
      <c r="D3116" s="259" t="s">
        <v>14643</v>
      </c>
      <c r="E3116" s="210" t="s">
        <v>201</v>
      </c>
    </row>
    <row r="3117" spans="1:5" ht="27">
      <c r="A3117" s="258">
        <v>89452</v>
      </c>
      <c r="B3117" s="257" t="s">
        <v>2435</v>
      </c>
      <c r="C3117" s="257" t="s">
        <v>5</v>
      </c>
      <c r="D3117" s="259" t="s">
        <v>14584</v>
      </c>
      <c r="E3117" s="210" t="s">
        <v>201</v>
      </c>
    </row>
    <row r="3118" spans="1:5" ht="27">
      <c r="A3118" s="258">
        <v>89508</v>
      </c>
      <c r="B3118" s="257" t="s">
        <v>2436</v>
      </c>
      <c r="C3118" s="257" t="s">
        <v>5</v>
      </c>
      <c r="D3118" s="259" t="s">
        <v>16242</v>
      </c>
      <c r="E3118" s="210" t="s">
        <v>201</v>
      </c>
    </row>
    <row r="3119" spans="1:5" ht="27">
      <c r="A3119" s="258">
        <v>89509</v>
      </c>
      <c r="B3119" s="257" t="s">
        <v>2437</v>
      </c>
      <c r="C3119" s="257" t="s">
        <v>5</v>
      </c>
      <c r="D3119" s="259" t="s">
        <v>16243</v>
      </c>
      <c r="E3119" s="210" t="s">
        <v>201</v>
      </c>
    </row>
    <row r="3120" spans="1:5" ht="27">
      <c r="A3120" s="258">
        <v>89511</v>
      </c>
      <c r="B3120" s="257" t="s">
        <v>2438</v>
      </c>
      <c r="C3120" s="257" t="s">
        <v>5</v>
      </c>
      <c r="D3120" s="259" t="s">
        <v>14073</v>
      </c>
      <c r="E3120" s="210" t="s">
        <v>201</v>
      </c>
    </row>
    <row r="3121" spans="1:5" ht="27">
      <c r="A3121" s="258">
        <v>89512</v>
      </c>
      <c r="B3121" s="257" t="s">
        <v>2439</v>
      </c>
      <c r="C3121" s="257" t="s">
        <v>5</v>
      </c>
      <c r="D3121" s="259" t="s">
        <v>16244</v>
      </c>
      <c r="E3121" s="210" t="s">
        <v>201</v>
      </c>
    </row>
    <row r="3122" spans="1:5" ht="27">
      <c r="A3122" s="258">
        <v>89576</v>
      </c>
      <c r="B3122" s="257" t="s">
        <v>2440</v>
      </c>
      <c r="C3122" s="257" t="s">
        <v>5</v>
      </c>
      <c r="D3122" s="259" t="s">
        <v>16245</v>
      </c>
      <c r="E3122" s="210" t="s">
        <v>201</v>
      </c>
    </row>
    <row r="3123" spans="1:5" ht="27">
      <c r="A3123" s="258">
        <v>89578</v>
      </c>
      <c r="B3123" s="257" t="s">
        <v>2441</v>
      </c>
      <c r="C3123" s="257" t="s">
        <v>5</v>
      </c>
      <c r="D3123" s="259" t="s">
        <v>16246</v>
      </c>
      <c r="E3123" s="210" t="s">
        <v>201</v>
      </c>
    </row>
    <row r="3124" spans="1:5" ht="27">
      <c r="A3124" s="258">
        <v>89580</v>
      </c>
      <c r="B3124" s="257" t="s">
        <v>2442</v>
      </c>
      <c r="C3124" s="257" t="s">
        <v>5</v>
      </c>
      <c r="D3124" s="259" t="s">
        <v>16247</v>
      </c>
      <c r="E3124" s="210" t="s">
        <v>201</v>
      </c>
    </row>
    <row r="3125" spans="1:5" ht="27">
      <c r="A3125" s="258">
        <v>89633</v>
      </c>
      <c r="B3125" s="257" t="s">
        <v>2443</v>
      </c>
      <c r="C3125" s="257" t="s">
        <v>5</v>
      </c>
      <c r="D3125" s="259" t="s">
        <v>16248</v>
      </c>
      <c r="E3125" s="210" t="s">
        <v>201</v>
      </c>
    </row>
    <row r="3126" spans="1:5" ht="27">
      <c r="A3126" s="258">
        <v>89634</v>
      </c>
      <c r="B3126" s="257" t="s">
        <v>2444</v>
      </c>
      <c r="C3126" s="257" t="s">
        <v>5</v>
      </c>
      <c r="D3126" s="259" t="s">
        <v>16249</v>
      </c>
      <c r="E3126" s="210" t="s">
        <v>201</v>
      </c>
    </row>
    <row r="3127" spans="1:5" ht="27">
      <c r="A3127" s="258">
        <v>89635</v>
      </c>
      <c r="B3127" s="257" t="s">
        <v>2445</v>
      </c>
      <c r="C3127" s="257" t="s">
        <v>5</v>
      </c>
      <c r="D3127" s="259" t="s">
        <v>16250</v>
      </c>
      <c r="E3127" s="210" t="s">
        <v>201</v>
      </c>
    </row>
    <row r="3128" spans="1:5" ht="27">
      <c r="A3128" s="258">
        <v>89636</v>
      </c>
      <c r="B3128" s="257" t="s">
        <v>2446</v>
      </c>
      <c r="C3128" s="257" t="s">
        <v>5</v>
      </c>
      <c r="D3128" s="259" t="s">
        <v>16251</v>
      </c>
      <c r="E3128" s="210" t="s">
        <v>201</v>
      </c>
    </row>
    <row r="3129" spans="1:5" ht="27">
      <c r="A3129" s="258">
        <v>89711</v>
      </c>
      <c r="B3129" s="257" t="s">
        <v>2447</v>
      </c>
      <c r="C3129" s="257" t="s">
        <v>5</v>
      </c>
      <c r="D3129" s="259" t="s">
        <v>16252</v>
      </c>
      <c r="E3129" s="210" t="s">
        <v>201</v>
      </c>
    </row>
    <row r="3130" spans="1:5" ht="27">
      <c r="A3130" s="258">
        <v>89712</v>
      </c>
      <c r="B3130" s="257" t="s">
        <v>2448</v>
      </c>
      <c r="C3130" s="257" t="s">
        <v>5</v>
      </c>
      <c r="D3130" s="259" t="s">
        <v>15756</v>
      </c>
      <c r="E3130" s="210" t="s">
        <v>201</v>
      </c>
    </row>
    <row r="3131" spans="1:5" ht="27">
      <c r="A3131" s="258">
        <v>89713</v>
      </c>
      <c r="B3131" s="257" t="s">
        <v>2449</v>
      </c>
      <c r="C3131" s="257" t="s">
        <v>5</v>
      </c>
      <c r="D3131" s="259" t="s">
        <v>16253</v>
      </c>
      <c r="E3131" s="210" t="s">
        <v>201</v>
      </c>
    </row>
    <row r="3132" spans="1:5" ht="27">
      <c r="A3132" s="258">
        <v>89714</v>
      </c>
      <c r="B3132" s="257" t="s">
        <v>2450</v>
      </c>
      <c r="C3132" s="257" t="s">
        <v>5</v>
      </c>
      <c r="D3132" s="259" t="s">
        <v>16254</v>
      </c>
      <c r="E3132" s="210" t="s">
        <v>201</v>
      </c>
    </row>
    <row r="3133" spans="1:5" ht="27">
      <c r="A3133" s="258">
        <v>89716</v>
      </c>
      <c r="B3133" s="257" t="s">
        <v>2451</v>
      </c>
      <c r="C3133" s="257" t="s">
        <v>5</v>
      </c>
      <c r="D3133" s="259" t="s">
        <v>16255</v>
      </c>
      <c r="E3133" s="210" t="s">
        <v>201</v>
      </c>
    </row>
    <row r="3134" spans="1:5" ht="27">
      <c r="A3134" s="258">
        <v>89717</v>
      </c>
      <c r="B3134" s="257" t="s">
        <v>2452</v>
      </c>
      <c r="C3134" s="257" t="s">
        <v>5</v>
      </c>
      <c r="D3134" s="259" t="s">
        <v>16256</v>
      </c>
      <c r="E3134" s="210" t="s">
        <v>201</v>
      </c>
    </row>
    <row r="3135" spans="1:5" ht="27">
      <c r="A3135" s="258">
        <v>89770</v>
      </c>
      <c r="B3135" s="257" t="s">
        <v>2453</v>
      </c>
      <c r="C3135" s="257" t="s">
        <v>5</v>
      </c>
      <c r="D3135" s="259" t="s">
        <v>14278</v>
      </c>
      <c r="E3135" s="210" t="s">
        <v>201</v>
      </c>
    </row>
    <row r="3136" spans="1:5" ht="27">
      <c r="A3136" s="258">
        <v>89771</v>
      </c>
      <c r="B3136" s="257" t="s">
        <v>2454</v>
      </c>
      <c r="C3136" s="257" t="s">
        <v>5</v>
      </c>
      <c r="D3136" s="259" t="s">
        <v>14489</v>
      </c>
      <c r="E3136" s="210" t="s">
        <v>201</v>
      </c>
    </row>
    <row r="3137" spans="1:5" ht="27">
      <c r="A3137" s="258">
        <v>89773</v>
      </c>
      <c r="B3137" s="257" t="s">
        <v>2455</v>
      </c>
      <c r="C3137" s="257" t="s">
        <v>5</v>
      </c>
      <c r="D3137" s="259" t="s">
        <v>16257</v>
      </c>
      <c r="E3137" s="210" t="s">
        <v>201</v>
      </c>
    </row>
    <row r="3138" spans="1:5" ht="27">
      <c r="A3138" s="258">
        <v>89775</v>
      </c>
      <c r="B3138" s="257" t="s">
        <v>2456</v>
      </c>
      <c r="C3138" s="257" t="s">
        <v>5</v>
      </c>
      <c r="D3138" s="259" t="s">
        <v>16258</v>
      </c>
      <c r="E3138" s="210" t="s">
        <v>201</v>
      </c>
    </row>
    <row r="3139" spans="1:5" ht="27">
      <c r="A3139" s="258">
        <v>89798</v>
      </c>
      <c r="B3139" s="257" t="s">
        <v>2457</v>
      </c>
      <c r="C3139" s="257" t="s">
        <v>5</v>
      </c>
      <c r="D3139" s="259" t="s">
        <v>15739</v>
      </c>
      <c r="E3139" s="210" t="s">
        <v>201</v>
      </c>
    </row>
    <row r="3140" spans="1:5" ht="27">
      <c r="A3140" s="258">
        <v>89799</v>
      </c>
      <c r="B3140" s="257" t="s">
        <v>2458</v>
      </c>
      <c r="C3140" s="257" t="s">
        <v>5</v>
      </c>
      <c r="D3140" s="259" t="s">
        <v>16259</v>
      </c>
      <c r="E3140" s="210" t="s">
        <v>201</v>
      </c>
    </row>
    <row r="3141" spans="1:5" ht="27">
      <c r="A3141" s="258">
        <v>89800</v>
      </c>
      <c r="B3141" s="257" t="s">
        <v>2459</v>
      </c>
      <c r="C3141" s="257" t="s">
        <v>5</v>
      </c>
      <c r="D3141" s="259" t="s">
        <v>16260</v>
      </c>
      <c r="E3141" s="210" t="s">
        <v>201</v>
      </c>
    </row>
    <row r="3142" spans="1:5" ht="27">
      <c r="A3142" s="258">
        <v>89848</v>
      </c>
      <c r="B3142" s="257" t="s">
        <v>2460</v>
      </c>
      <c r="C3142" s="257" t="s">
        <v>5</v>
      </c>
      <c r="D3142" s="259" t="s">
        <v>16261</v>
      </c>
      <c r="E3142" s="210" t="s">
        <v>201</v>
      </c>
    </row>
    <row r="3143" spans="1:5" ht="27">
      <c r="A3143" s="258">
        <v>89849</v>
      </c>
      <c r="B3143" s="257" t="s">
        <v>2461</v>
      </c>
      <c r="C3143" s="257" t="s">
        <v>5</v>
      </c>
      <c r="D3143" s="259" t="s">
        <v>16262</v>
      </c>
      <c r="E3143" s="210" t="s">
        <v>201</v>
      </c>
    </row>
    <row r="3144" spans="1:5" ht="27">
      <c r="A3144" s="258">
        <v>89865</v>
      </c>
      <c r="B3144" s="257" t="s">
        <v>2462</v>
      </c>
      <c r="C3144" s="257" t="s">
        <v>5</v>
      </c>
      <c r="D3144" s="259" t="s">
        <v>16263</v>
      </c>
      <c r="E3144" s="210" t="s">
        <v>201</v>
      </c>
    </row>
    <row r="3145" spans="1:5" ht="40.5">
      <c r="A3145" s="258">
        <v>91784</v>
      </c>
      <c r="B3145" s="257" t="s">
        <v>2463</v>
      </c>
      <c r="C3145" s="257" t="s">
        <v>5</v>
      </c>
      <c r="D3145" s="259" t="s">
        <v>15947</v>
      </c>
      <c r="E3145" s="210" t="s">
        <v>201</v>
      </c>
    </row>
    <row r="3146" spans="1:5" ht="40.5">
      <c r="A3146" s="258">
        <v>91785</v>
      </c>
      <c r="B3146" s="257" t="s">
        <v>2464</v>
      </c>
      <c r="C3146" s="257" t="s">
        <v>5</v>
      </c>
      <c r="D3146" s="259" t="s">
        <v>16264</v>
      </c>
      <c r="E3146" s="210" t="s">
        <v>201</v>
      </c>
    </row>
    <row r="3147" spans="1:5" ht="40.5">
      <c r="A3147" s="258">
        <v>91786</v>
      </c>
      <c r="B3147" s="257" t="s">
        <v>2465</v>
      </c>
      <c r="C3147" s="257" t="s">
        <v>5</v>
      </c>
      <c r="D3147" s="259" t="s">
        <v>16265</v>
      </c>
      <c r="E3147" s="210" t="s">
        <v>201</v>
      </c>
    </row>
    <row r="3148" spans="1:5" ht="27">
      <c r="A3148" s="258">
        <v>91787</v>
      </c>
      <c r="B3148" s="257" t="s">
        <v>2466</v>
      </c>
      <c r="C3148" s="257" t="s">
        <v>5</v>
      </c>
      <c r="D3148" s="259" t="s">
        <v>16266</v>
      </c>
      <c r="E3148" s="210" t="s">
        <v>201</v>
      </c>
    </row>
    <row r="3149" spans="1:5" ht="27">
      <c r="A3149" s="258">
        <v>91788</v>
      </c>
      <c r="B3149" s="257" t="s">
        <v>2467</v>
      </c>
      <c r="C3149" s="257" t="s">
        <v>5</v>
      </c>
      <c r="D3149" s="259" t="s">
        <v>16267</v>
      </c>
      <c r="E3149" s="210" t="s">
        <v>201</v>
      </c>
    </row>
    <row r="3150" spans="1:5" ht="40.5">
      <c r="A3150" s="258">
        <v>91789</v>
      </c>
      <c r="B3150" s="257" t="s">
        <v>2468</v>
      </c>
      <c r="C3150" s="257" t="s">
        <v>5</v>
      </c>
      <c r="D3150" s="259" t="s">
        <v>15877</v>
      </c>
      <c r="E3150" s="210" t="s">
        <v>201</v>
      </c>
    </row>
    <row r="3151" spans="1:5" ht="40.5">
      <c r="A3151" s="258">
        <v>91790</v>
      </c>
      <c r="B3151" s="257" t="s">
        <v>2469</v>
      </c>
      <c r="C3151" s="257" t="s">
        <v>5</v>
      </c>
      <c r="D3151" s="259" t="s">
        <v>16268</v>
      </c>
      <c r="E3151" s="210" t="s">
        <v>201</v>
      </c>
    </row>
    <row r="3152" spans="1:5" ht="40.5">
      <c r="A3152" s="258">
        <v>91791</v>
      </c>
      <c r="B3152" s="257" t="s">
        <v>2470</v>
      </c>
      <c r="C3152" s="257" t="s">
        <v>5</v>
      </c>
      <c r="D3152" s="259" t="s">
        <v>16269</v>
      </c>
      <c r="E3152" s="210" t="s">
        <v>201</v>
      </c>
    </row>
    <row r="3153" spans="1:5" ht="40.5">
      <c r="A3153" s="258">
        <v>91792</v>
      </c>
      <c r="B3153" s="257" t="s">
        <v>2471</v>
      </c>
      <c r="C3153" s="257" t="s">
        <v>5</v>
      </c>
      <c r="D3153" s="259" t="s">
        <v>16270</v>
      </c>
      <c r="E3153" s="210" t="s">
        <v>201</v>
      </c>
    </row>
    <row r="3154" spans="1:5" ht="40.5">
      <c r="A3154" s="258">
        <v>91793</v>
      </c>
      <c r="B3154" s="257" t="s">
        <v>2472</v>
      </c>
      <c r="C3154" s="257" t="s">
        <v>5</v>
      </c>
      <c r="D3154" s="259" t="s">
        <v>16271</v>
      </c>
      <c r="E3154" s="210" t="s">
        <v>201</v>
      </c>
    </row>
    <row r="3155" spans="1:5" ht="40.5">
      <c r="A3155" s="258">
        <v>91794</v>
      </c>
      <c r="B3155" s="257" t="s">
        <v>2473</v>
      </c>
      <c r="C3155" s="257" t="s">
        <v>5</v>
      </c>
      <c r="D3155" s="259" t="s">
        <v>16272</v>
      </c>
      <c r="E3155" s="210" t="s">
        <v>201</v>
      </c>
    </row>
    <row r="3156" spans="1:5" ht="40.5">
      <c r="A3156" s="258">
        <v>91795</v>
      </c>
      <c r="B3156" s="257" t="s">
        <v>2474</v>
      </c>
      <c r="C3156" s="257" t="s">
        <v>5</v>
      </c>
      <c r="D3156" s="259" t="s">
        <v>16273</v>
      </c>
      <c r="E3156" s="210" t="s">
        <v>201</v>
      </c>
    </row>
    <row r="3157" spans="1:5" ht="40.5">
      <c r="A3157" s="258">
        <v>91796</v>
      </c>
      <c r="B3157" s="257" t="s">
        <v>2475</v>
      </c>
      <c r="C3157" s="257" t="s">
        <v>5</v>
      </c>
      <c r="D3157" s="259" t="s">
        <v>16274</v>
      </c>
      <c r="E3157" s="210" t="s">
        <v>201</v>
      </c>
    </row>
    <row r="3158" spans="1:5" ht="27">
      <c r="A3158" s="258">
        <v>92275</v>
      </c>
      <c r="B3158" s="257" t="s">
        <v>5606</v>
      </c>
      <c r="C3158" s="257" t="s">
        <v>5</v>
      </c>
      <c r="D3158" s="259" t="s">
        <v>16275</v>
      </c>
      <c r="E3158" s="210" t="s">
        <v>201</v>
      </c>
    </row>
    <row r="3159" spans="1:5" ht="27">
      <c r="A3159" s="258">
        <v>92276</v>
      </c>
      <c r="B3159" s="257" t="s">
        <v>5607</v>
      </c>
      <c r="C3159" s="257" t="s">
        <v>5</v>
      </c>
      <c r="D3159" s="259" t="s">
        <v>15293</v>
      </c>
      <c r="E3159" s="210" t="s">
        <v>201</v>
      </c>
    </row>
    <row r="3160" spans="1:5" ht="27">
      <c r="A3160" s="258">
        <v>92277</v>
      </c>
      <c r="B3160" s="257" t="s">
        <v>5608</v>
      </c>
      <c r="C3160" s="257" t="s">
        <v>5</v>
      </c>
      <c r="D3160" s="259" t="s">
        <v>16276</v>
      </c>
      <c r="E3160" s="210" t="s">
        <v>201</v>
      </c>
    </row>
    <row r="3161" spans="1:5" ht="27">
      <c r="A3161" s="258">
        <v>92278</v>
      </c>
      <c r="B3161" s="257" t="s">
        <v>5609</v>
      </c>
      <c r="C3161" s="257" t="s">
        <v>5</v>
      </c>
      <c r="D3161" s="259" t="s">
        <v>16277</v>
      </c>
      <c r="E3161" s="210" t="s">
        <v>201</v>
      </c>
    </row>
    <row r="3162" spans="1:5" ht="27">
      <c r="A3162" s="258">
        <v>92279</v>
      </c>
      <c r="B3162" s="257" t="s">
        <v>5610</v>
      </c>
      <c r="C3162" s="257" t="s">
        <v>5</v>
      </c>
      <c r="D3162" s="259" t="s">
        <v>16278</v>
      </c>
      <c r="E3162" s="210" t="s">
        <v>201</v>
      </c>
    </row>
    <row r="3163" spans="1:5" ht="27">
      <c r="A3163" s="258">
        <v>92280</v>
      </c>
      <c r="B3163" s="257" t="s">
        <v>5611</v>
      </c>
      <c r="C3163" s="257" t="s">
        <v>5</v>
      </c>
      <c r="D3163" s="259" t="s">
        <v>16279</v>
      </c>
      <c r="E3163" s="210" t="s">
        <v>201</v>
      </c>
    </row>
    <row r="3164" spans="1:5" ht="27">
      <c r="A3164" s="258">
        <v>92281</v>
      </c>
      <c r="B3164" s="257" t="s">
        <v>5612</v>
      </c>
      <c r="C3164" s="257" t="s">
        <v>5</v>
      </c>
      <c r="D3164" s="259" t="s">
        <v>16280</v>
      </c>
      <c r="E3164" s="210" t="s">
        <v>201</v>
      </c>
    </row>
    <row r="3165" spans="1:5" ht="27">
      <c r="A3165" s="258">
        <v>92282</v>
      </c>
      <c r="B3165" s="257" t="s">
        <v>5613</v>
      </c>
      <c r="C3165" s="257" t="s">
        <v>5</v>
      </c>
      <c r="D3165" s="259" t="s">
        <v>16281</v>
      </c>
      <c r="E3165" s="210" t="s">
        <v>201</v>
      </c>
    </row>
    <row r="3166" spans="1:5" ht="27">
      <c r="A3166" s="258">
        <v>92283</v>
      </c>
      <c r="B3166" s="257" t="s">
        <v>5614</v>
      </c>
      <c r="C3166" s="257" t="s">
        <v>5</v>
      </c>
      <c r="D3166" s="259" t="s">
        <v>16282</v>
      </c>
      <c r="E3166" s="210" t="s">
        <v>201</v>
      </c>
    </row>
    <row r="3167" spans="1:5" ht="27">
      <c r="A3167" s="258">
        <v>92284</v>
      </c>
      <c r="B3167" s="257" t="s">
        <v>5615</v>
      </c>
      <c r="C3167" s="257" t="s">
        <v>5</v>
      </c>
      <c r="D3167" s="259" t="s">
        <v>16283</v>
      </c>
      <c r="E3167" s="210" t="s">
        <v>201</v>
      </c>
    </row>
    <row r="3168" spans="1:5" ht="27">
      <c r="A3168" s="258">
        <v>92285</v>
      </c>
      <c r="B3168" s="257" t="s">
        <v>5616</v>
      </c>
      <c r="C3168" s="257" t="s">
        <v>5</v>
      </c>
      <c r="D3168" s="259" t="s">
        <v>16284</v>
      </c>
      <c r="E3168" s="210" t="s">
        <v>201</v>
      </c>
    </row>
    <row r="3169" spans="1:5" ht="27">
      <c r="A3169" s="258">
        <v>92286</v>
      </c>
      <c r="B3169" s="257" t="s">
        <v>5617</v>
      </c>
      <c r="C3169" s="257" t="s">
        <v>5</v>
      </c>
      <c r="D3169" s="259" t="s">
        <v>16285</v>
      </c>
      <c r="E3169" s="210" t="s">
        <v>201</v>
      </c>
    </row>
    <row r="3170" spans="1:5" ht="27">
      <c r="A3170" s="258">
        <v>92305</v>
      </c>
      <c r="B3170" s="257" t="s">
        <v>5618</v>
      </c>
      <c r="C3170" s="257" t="s">
        <v>5</v>
      </c>
      <c r="D3170" s="259" t="s">
        <v>16261</v>
      </c>
      <c r="E3170" s="210" t="s">
        <v>201</v>
      </c>
    </row>
    <row r="3171" spans="1:5" ht="27">
      <c r="A3171" s="258">
        <v>92306</v>
      </c>
      <c r="B3171" s="257" t="s">
        <v>5619</v>
      </c>
      <c r="C3171" s="257" t="s">
        <v>5</v>
      </c>
      <c r="D3171" s="259" t="s">
        <v>16286</v>
      </c>
      <c r="E3171" s="210" t="s">
        <v>201</v>
      </c>
    </row>
    <row r="3172" spans="1:5" ht="27">
      <c r="A3172" s="258">
        <v>92307</v>
      </c>
      <c r="B3172" s="257" t="s">
        <v>5620</v>
      </c>
      <c r="C3172" s="257" t="s">
        <v>5</v>
      </c>
      <c r="D3172" s="259" t="s">
        <v>16287</v>
      </c>
      <c r="E3172" s="210" t="s">
        <v>201</v>
      </c>
    </row>
    <row r="3173" spans="1:5" ht="27">
      <c r="A3173" s="258">
        <v>92308</v>
      </c>
      <c r="B3173" s="257" t="s">
        <v>5621</v>
      </c>
      <c r="C3173" s="257" t="s">
        <v>5</v>
      </c>
      <c r="D3173" s="259" t="s">
        <v>16288</v>
      </c>
      <c r="E3173" s="210" t="s">
        <v>201</v>
      </c>
    </row>
    <row r="3174" spans="1:5" ht="27">
      <c r="A3174" s="258">
        <v>92309</v>
      </c>
      <c r="B3174" s="257" t="s">
        <v>5622</v>
      </c>
      <c r="C3174" s="257" t="s">
        <v>5</v>
      </c>
      <c r="D3174" s="259" t="s">
        <v>16289</v>
      </c>
      <c r="E3174" s="210" t="s">
        <v>201</v>
      </c>
    </row>
    <row r="3175" spans="1:5" ht="27">
      <c r="A3175" s="258">
        <v>92310</v>
      </c>
      <c r="B3175" s="257" t="s">
        <v>5623</v>
      </c>
      <c r="C3175" s="257" t="s">
        <v>5</v>
      </c>
      <c r="D3175" s="259" t="s">
        <v>16290</v>
      </c>
      <c r="E3175" s="210" t="s">
        <v>201</v>
      </c>
    </row>
    <row r="3176" spans="1:5" ht="27">
      <c r="A3176" s="258">
        <v>92320</v>
      </c>
      <c r="B3176" s="257" t="s">
        <v>5624</v>
      </c>
      <c r="C3176" s="257" t="s">
        <v>5</v>
      </c>
      <c r="D3176" s="259" t="s">
        <v>15861</v>
      </c>
      <c r="E3176" s="210" t="s">
        <v>201</v>
      </c>
    </row>
    <row r="3177" spans="1:5" ht="27">
      <c r="A3177" s="258">
        <v>92321</v>
      </c>
      <c r="B3177" s="257" t="s">
        <v>5625</v>
      </c>
      <c r="C3177" s="257" t="s">
        <v>5</v>
      </c>
      <c r="D3177" s="259" t="s">
        <v>16291</v>
      </c>
      <c r="E3177" s="210" t="s">
        <v>201</v>
      </c>
    </row>
    <row r="3178" spans="1:5" ht="27">
      <c r="A3178" s="258">
        <v>92322</v>
      </c>
      <c r="B3178" s="257" t="s">
        <v>5626</v>
      </c>
      <c r="C3178" s="257" t="s">
        <v>5</v>
      </c>
      <c r="D3178" s="259" t="s">
        <v>16292</v>
      </c>
      <c r="E3178" s="210" t="s">
        <v>201</v>
      </c>
    </row>
    <row r="3179" spans="1:5" ht="27">
      <c r="A3179" s="258">
        <v>92323</v>
      </c>
      <c r="B3179" s="257" t="s">
        <v>5627</v>
      </c>
      <c r="C3179" s="257" t="s">
        <v>5</v>
      </c>
      <c r="D3179" s="259" t="s">
        <v>16293</v>
      </c>
      <c r="E3179" s="210" t="s">
        <v>201</v>
      </c>
    </row>
    <row r="3180" spans="1:5" ht="27">
      <c r="A3180" s="258">
        <v>92324</v>
      </c>
      <c r="B3180" s="257" t="s">
        <v>5628</v>
      </c>
      <c r="C3180" s="257" t="s">
        <v>5</v>
      </c>
      <c r="D3180" s="259" t="s">
        <v>16294</v>
      </c>
      <c r="E3180" s="210" t="s">
        <v>201</v>
      </c>
    </row>
    <row r="3181" spans="1:5" ht="27">
      <c r="A3181" s="258">
        <v>92325</v>
      </c>
      <c r="B3181" s="257" t="s">
        <v>5629</v>
      </c>
      <c r="C3181" s="257" t="s">
        <v>5</v>
      </c>
      <c r="D3181" s="259" t="s">
        <v>16295</v>
      </c>
      <c r="E3181" s="210" t="s">
        <v>201</v>
      </c>
    </row>
    <row r="3182" spans="1:5" ht="27">
      <c r="A3182" s="258">
        <v>92335</v>
      </c>
      <c r="B3182" s="257" t="s">
        <v>2476</v>
      </c>
      <c r="C3182" s="257" t="s">
        <v>5</v>
      </c>
      <c r="D3182" s="259" t="s">
        <v>16296</v>
      </c>
      <c r="E3182" s="210" t="s">
        <v>201</v>
      </c>
    </row>
    <row r="3183" spans="1:5" ht="27">
      <c r="A3183" s="258">
        <v>92336</v>
      </c>
      <c r="B3183" s="257" t="s">
        <v>2477</v>
      </c>
      <c r="C3183" s="257" t="s">
        <v>5</v>
      </c>
      <c r="D3183" s="259" t="s">
        <v>16297</v>
      </c>
      <c r="E3183" s="210" t="s">
        <v>201</v>
      </c>
    </row>
    <row r="3184" spans="1:5" ht="27">
      <c r="A3184" s="258">
        <v>92337</v>
      </c>
      <c r="B3184" s="257" t="s">
        <v>2478</v>
      </c>
      <c r="C3184" s="257" t="s">
        <v>5</v>
      </c>
      <c r="D3184" s="259" t="s">
        <v>16298</v>
      </c>
      <c r="E3184" s="210" t="s">
        <v>201</v>
      </c>
    </row>
    <row r="3185" spans="1:5" ht="27">
      <c r="A3185" s="258">
        <v>92338</v>
      </c>
      <c r="B3185" s="257" t="s">
        <v>2479</v>
      </c>
      <c r="C3185" s="257" t="s">
        <v>5</v>
      </c>
      <c r="D3185" s="259" t="s">
        <v>16299</v>
      </c>
      <c r="E3185" s="210" t="s">
        <v>201</v>
      </c>
    </row>
    <row r="3186" spans="1:5" ht="27">
      <c r="A3186" s="258">
        <v>92339</v>
      </c>
      <c r="B3186" s="257" t="s">
        <v>2480</v>
      </c>
      <c r="C3186" s="257" t="s">
        <v>5</v>
      </c>
      <c r="D3186" s="259" t="s">
        <v>16300</v>
      </c>
      <c r="E3186" s="210" t="s">
        <v>201</v>
      </c>
    </row>
    <row r="3187" spans="1:5" ht="27">
      <c r="A3187" s="258">
        <v>92341</v>
      </c>
      <c r="B3187" s="257" t="s">
        <v>2481</v>
      </c>
      <c r="C3187" s="257" t="s">
        <v>5</v>
      </c>
      <c r="D3187" s="259" t="s">
        <v>16301</v>
      </c>
      <c r="E3187" s="210" t="s">
        <v>201</v>
      </c>
    </row>
    <row r="3188" spans="1:5" ht="27">
      <c r="A3188" s="258">
        <v>92342</v>
      </c>
      <c r="B3188" s="257" t="s">
        <v>2482</v>
      </c>
      <c r="C3188" s="257" t="s">
        <v>5</v>
      </c>
      <c r="D3188" s="259" t="s">
        <v>16302</v>
      </c>
      <c r="E3188" s="210" t="s">
        <v>201</v>
      </c>
    </row>
    <row r="3189" spans="1:5" ht="27">
      <c r="A3189" s="258">
        <v>92343</v>
      </c>
      <c r="B3189" s="257" t="s">
        <v>2483</v>
      </c>
      <c r="C3189" s="257" t="s">
        <v>5</v>
      </c>
      <c r="D3189" s="259" t="s">
        <v>16303</v>
      </c>
      <c r="E3189" s="210" t="s">
        <v>201</v>
      </c>
    </row>
    <row r="3190" spans="1:5" ht="27">
      <c r="A3190" s="258">
        <v>92361</v>
      </c>
      <c r="B3190" s="257" t="s">
        <v>2484</v>
      </c>
      <c r="C3190" s="257" t="s">
        <v>5</v>
      </c>
      <c r="D3190" s="259" t="s">
        <v>16304</v>
      </c>
      <c r="E3190" s="210" t="s">
        <v>201</v>
      </c>
    </row>
    <row r="3191" spans="1:5" ht="27">
      <c r="A3191" s="258">
        <v>92362</v>
      </c>
      <c r="B3191" s="257" t="s">
        <v>2485</v>
      </c>
      <c r="C3191" s="257" t="s">
        <v>5</v>
      </c>
      <c r="D3191" s="259" t="s">
        <v>16305</v>
      </c>
      <c r="E3191" s="210" t="s">
        <v>201</v>
      </c>
    </row>
    <row r="3192" spans="1:5" ht="27">
      <c r="A3192" s="258">
        <v>92364</v>
      </c>
      <c r="B3192" s="257" t="s">
        <v>2486</v>
      </c>
      <c r="C3192" s="257" t="s">
        <v>5</v>
      </c>
      <c r="D3192" s="259" t="s">
        <v>16306</v>
      </c>
      <c r="E3192" s="210" t="s">
        <v>201</v>
      </c>
    </row>
    <row r="3193" spans="1:5" ht="27">
      <c r="A3193" s="258">
        <v>92365</v>
      </c>
      <c r="B3193" s="257" t="s">
        <v>2487</v>
      </c>
      <c r="C3193" s="257" t="s">
        <v>5</v>
      </c>
      <c r="D3193" s="259" t="s">
        <v>14642</v>
      </c>
      <c r="E3193" s="210" t="s">
        <v>201</v>
      </c>
    </row>
    <row r="3194" spans="1:5" ht="27">
      <c r="A3194" s="258">
        <v>92366</v>
      </c>
      <c r="B3194" s="257" t="s">
        <v>2488</v>
      </c>
      <c r="C3194" s="257" t="s">
        <v>5</v>
      </c>
      <c r="D3194" s="259" t="s">
        <v>16307</v>
      </c>
      <c r="E3194" s="210" t="s">
        <v>201</v>
      </c>
    </row>
    <row r="3195" spans="1:5" ht="27">
      <c r="A3195" s="258">
        <v>92367</v>
      </c>
      <c r="B3195" s="257" t="s">
        <v>117</v>
      </c>
      <c r="C3195" s="257" t="s">
        <v>5</v>
      </c>
      <c r="D3195" s="259" t="s">
        <v>16308</v>
      </c>
      <c r="E3195" s="210" t="s">
        <v>201</v>
      </c>
    </row>
    <row r="3196" spans="1:5" ht="27">
      <c r="A3196" s="258">
        <v>92368</v>
      </c>
      <c r="B3196" s="257" t="s">
        <v>2489</v>
      </c>
      <c r="C3196" s="257" t="s">
        <v>5</v>
      </c>
      <c r="D3196" s="259" t="s">
        <v>16309</v>
      </c>
      <c r="E3196" s="210" t="s">
        <v>201</v>
      </c>
    </row>
    <row r="3197" spans="1:5" ht="27">
      <c r="A3197" s="258">
        <v>92648</v>
      </c>
      <c r="B3197" s="257" t="s">
        <v>2490</v>
      </c>
      <c r="C3197" s="257" t="s">
        <v>5</v>
      </c>
      <c r="D3197" s="259" t="s">
        <v>16310</v>
      </c>
      <c r="E3197" s="210" t="s">
        <v>201</v>
      </c>
    </row>
    <row r="3198" spans="1:5" ht="27">
      <c r="A3198" s="258">
        <v>92649</v>
      </c>
      <c r="B3198" s="257" t="s">
        <v>2491</v>
      </c>
      <c r="C3198" s="257" t="s">
        <v>5</v>
      </c>
      <c r="D3198" s="259" t="s">
        <v>16311</v>
      </c>
      <c r="E3198" s="210" t="s">
        <v>201</v>
      </c>
    </row>
    <row r="3199" spans="1:5" ht="27">
      <c r="A3199" s="258">
        <v>92650</v>
      </c>
      <c r="B3199" s="257" t="s">
        <v>2492</v>
      </c>
      <c r="C3199" s="257" t="s">
        <v>5</v>
      </c>
      <c r="D3199" s="259" t="s">
        <v>16312</v>
      </c>
      <c r="E3199" s="210" t="s">
        <v>201</v>
      </c>
    </row>
    <row r="3200" spans="1:5" ht="27">
      <c r="A3200" s="258">
        <v>92652</v>
      </c>
      <c r="B3200" s="257" t="s">
        <v>2493</v>
      </c>
      <c r="C3200" s="257" t="s">
        <v>5</v>
      </c>
      <c r="D3200" s="259" t="s">
        <v>14159</v>
      </c>
      <c r="E3200" s="210" t="s">
        <v>201</v>
      </c>
    </row>
    <row r="3201" spans="1:5" ht="27">
      <c r="A3201" s="258">
        <v>92653</v>
      </c>
      <c r="B3201" s="257" t="s">
        <v>2494</v>
      </c>
      <c r="C3201" s="257" t="s">
        <v>5</v>
      </c>
      <c r="D3201" s="259" t="s">
        <v>16313</v>
      </c>
      <c r="E3201" s="210" t="s">
        <v>201</v>
      </c>
    </row>
    <row r="3202" spans="1:5" ht="27">
      <c r="A3202" s="258">
        <v>92654</v>
      </c>
      <c r="B3202" s="257" t="s">
        <v>2495</v>
      </c>
      <c r="C3202" s="257" t="s">
        <v>5</v>
      </c>
      <c r="D3202" s="259" t="s">
        <v>16314</v>
      </c>
      <c r="E3202" s="210" t="s">
        <v>201</v>
      </c>
    </row>
    <row r="3203" spans="1:5" ht="27">
      <c r="A3203" s="258">
        <v>92655</v>
      </c>
      <c r="B3203" s="257" t="s">
        <v>2496</v>
      </c>
      <c r="C3203" s="257" t="s">
        <v>5</v>
      </c>
      <c r="D3203" s="259" t="s">
        <v>16315</v>
      </c>
      <c r="E3203" s="210" t="s">
        <v>201</v>
      </c>
    </row>
    <row r="3204" spans="1:5" ht="27">
      <c r="A3204" s="258">
        <v>92656</v>
      </c>
      <c r="B3204" s="257" t="s">
        <v>2497</v>
      </c>
      <c r="C3204" s="257" t="s">
        <v>5</v>
      </c>
      <c r="D3204" s="259" t="s">
        <v>16316</v>
      </c>
      <c r="E3204" s="210" t="s">
        <v>201</v>
      </c>
    </row>
    <row r="3205" spans="1:5" ht="27">
      <c r="A3205" s="258">
        <v>92687</v>
      </c>
      <c r="B3205" s="257" t="s">
        <v>2498</v>
      </c>
      <c r="C3205" s="257" t="s">
        <v>5</v>
      </c>
      <c r="D3205" s="259" t="s">
        <v>14097</v>
      </c>
      <c r="E3205" s="210" t="s">
        <v>201</v>
      </c>
    </row>
    <row r="3206" spans="1:5" ht="27">
      <c r="A3206" s="258">
        <v>92688</v>
      </c>
      <c r="B3206" s="257" t="s">
        <v>2499</v>
      </c>
      <c r="C3206" s="257" t="s">
        <v>5</v>
      </c>
      <c r="D3206" s="259" t="s">
        <v>16317</v>
      </c>
      <c r="E3206" s="210" t="s">
        <v>201</v>
      </c>
    </row>
    <row r="3207" spans="1:5" ht="27">
      <c r="A3207" s="258">
        <v>92689</v>
      </c>
      <c r="B3207" s="257" t="s">
        <v>2500</v>
      </c>
      <c r="C3207" s="257" t="s">
        <v>5</v>
      </c>
      <c r="D3207" s="259" t="s">
        <v>16318</v>
      </c>
      <c r="E3207" s="210" t="s">
        <v>201</v>
      </c>
    </row>
    <row r="3208" spans="1:5" ht="27">
      <c r="A3208" s="258">
        <v>92690</v>
      </c>
      <c r="B3208" s="257" t="s">
        <v>2501</v>
      </c>
      <c r="C3208" s="257" t="s">
        <v>5</v>
      </c>
      <c r="D3208" s="259" t="s">
        <v>16319</v>
      </c>
      <c r="E3208" s="210" t="s">
        <v>201</v>
      </c>
    </row>
    <row r="3209" spans="1:5" ht="40.5">
      <c r="A3209" s="258">
        <v>94462</v>
      </c>
      <c r="B3209" s="257" t="s">
        <v>2502</v>
      </c>
      <c r="C3209" s="257" t="s">
        <v>5</v>
      </c>
      <c r="D3209" s="259" t="s">
        <v>16320</v>
      </c>
      <c r="E3209" s="210" t="s">
        <v>201</v>
      </c>
    </row>
    <row r="3210" spans="1:5" ht="40.5">
      <c r="A3210" s="258">
        <v>94463</v>
      </c>
      <c r="B3210" s="257" t="s">
        <v>2503</v>
      </c>
      <c r="C3210" s="257" t="s">
        <v>5</v>
      </c>
      <c r="D3210" s="259" t="s">
        <v>16321</v>
      </c>
      <c r="E3210" s="210" t="s">
        <v>201</v>
      </c>
    </row>
    <row r="3211" spans="1:5" ht="40.5">
      <c r="A3211" s="258">
        <v>94464</v>
      </c>
      <c r="B3211" s="257" t="s">
        <v>2504</v>
      </c>
      <c r="C3211" s="257" t="s">
        <v>5</v>
      </c>
      <c r="D3211" s="259" t="s">
        <v>16322</v>
      </c>
      <c r="E3211" s="210" t="s">
        <v>201</v>
      </c>
    </row>
    <row r="3212" spans="1:5" ht="40.5">
      <c r="A3212" s="258">
        <v>94602</v>
      </c>
      <c r="B3212" s="257" t="s">
        <v>5630</v>
      </c>
      <c r="C3212" s="257" t="s">
        <v>5</v>
      </c>
      <c r="D3212" s="259" t="s">
        <v>16323</v>
      </c>
      <c r="E3212" s="210" t="s">
        <v>201</v>
      </c>
    </row>
    <row r="3213" spans="1:5" ht="40.5">
      <c r="A3213" s="258">
        <v>94603</v>
      </c>
      <c r="B3213" s="257" t="s">
        <v>5631</v>
      </c>
      <c r="C3213" s="257" t="s">
        <v>5</v>
      </c>
      <c r="D3213" s="259" t="s">
        <v>16324</v>
      </c>
      <c r="E3213" s="210" t="s">
        <v>201</v>
      </c>
    </row>
    <row r="3214" spans="1:5" ht="40.5">
      <c r="A3214" s="258">
        <v>94604</v>
      </c>
      <c r="B3214" s="257" t="s">
        <v>5632</v>
      </c>
      <c r="C3214" s="257" t="s">
        <v>5</v>
      </c>
      <c r="D3214" s="259" t="s">
        <v>16325</v>
      </c>
      <c r="E3214" s="210" t="s">
        <v>201</v>
      </c>
    </row>
    <row r="3215" spans="1:5" ht="40.5">
      <c r="A3215" s="258">
        <v>94605</v>
      </c>
      <c r="B3215" s="257" t="s">
        <v>5633</v>
      </c>
      <c r="C3215" s="257" t="s">
        <v>5</v>
      </c>
      <c r="D3215" s="259" t="s">
        <v>16326</v>
      </c>
      <c r="E3215" s="210" t="s">
        <v>201</v>
      </c>
    </row>
    <row r="3216" spans="1:5" ht="27">
      <c r="A3216" s="258">
        <v>94648</v>
      </c>
      <c r="B3216" s="257" t="s">
        <v>2505</v>
      </c>
      <c r="C3216" s="257" t="s">
        <v>5</v>
      </c>
      <c r="D3216" s="259" t="s">
        <v>16327</v>
      </c>
      <c r="E3216" s="210" t="s">
        <v>201</v>
      </c>
    </row>
    <row r="3217" spans="1:5" ht="27">
      <c r="A3217" s="258">
        <v>94649</v>
      </c>
      <c r="B3217" s="257" t="s">
        <v>2506</v>
      </c>
      <c r="C3217" s="257" t="s">
        <v>5</v>
      </c>
      <c r="D3217" s="259" t="s">
        <v>16328</v>
      </c>
      <c r="E3217" s="210" t="s">
        <v>201</v>
      </c>
    </row>
    <row r="3218" spans="1:5" ht="27">
      <c r="A3218" s="258">
        <v>94650</v>
      </c>
      <c r="B3218" s="257" t="s">
        <v>2507</v>
      </c>
      <c r="C3218" s="257" t="s">
        <v>5</v>
      </c>
      <c r="D3218" s="259" t="s">
        <v>16329</v>
      </c>
      <c r="E3218" s="210" t="s">
        <v>201</v>
      </c>
    </row>
    <row r="3219" spans="1:5" ht="27">
      <c r="A3219" s="258">
        <v>94651</v>
      </c>
      <c r="B3219" s="257" t="s">
        <v>2508</v>
      </c>
      <c r="C3219" s="257" t="s">
        <v>5</v>
      </c>
      <c r="D3219" s="259" t="s">
        <v>16330</v>
      </c>
      <c r="E3219" s="210" t="s">
        <v>201</v>
      </c>
    </row>
    <row r="3220" spans="1:5" ht="27">
      <c r="A3220" s="258">
        <v>94652</v>
      </c>
      <c r="B3220" s="257" t="s">
        <v>2509</v>
      </c>
      <c r="C3220" s="257" t="s">
        <v>5</v>
      </c>
      <c r="D3220" s="259" t="s">
        <v>16331</v>
      </c>
      <c r="E3220" s="210" t="s">
        <v>201</v>
      </c>
    </row>
    <row r="3221" spans="1:5" ht="27">
      <c r="A3221" s="258">
        <v>94653</v>
      </c>
      <c r="B3221" s="257" t="s">
        <v>2510</v>
      </c>
      <c r="C3221" s="257" t="s">
        <v>5</v>
      </c>
      <c r="D3221" s="259" t="s">
        <v>16332</v>
      </c>
      <c r="E3221" s="210" t="s">
        <v>201</v>
      </c>
    </row>
    <row r="3222" spans="1:5" ht="27">
      <c r="A3222" s="258">
        <v>94654</v>
      </c>
      <c r="B3222" s="257" t="s">
        <v>2511</v>
      </c>
      <c r="C3222" s="257" t="s">
        <v>5</v>
      </c>
      <c r="D3222" s="259" t="s">
        <v>16333</v>
      </c>
      <c r="E3222" s="210" t="s">
        <v>201</v>
      </c>
    </row>
    <row r="3223" spans="1:5" ht="27">
      <c r="A3223" s="258">
        <v>94655</v>
      </c>
      <c r="B3223" s="257" t="s">
        <v>2512</v>
      </c>
      <c r="C3223" s="257" t="s">
        <v>5</v>
      </c>
      <c r="D3223" s="259" t="s">
        <v>16334</v>
      </c>
      <c r="E3223" s="210" t="s">
        <v>201</v>
      </c>
    </row>
    <row r="3224" spans="1:5" ht="27">
      <c r="A3224" s="258">
        <v>94716</v>
      </c>
      <c r="B3224" s="257" t="s">
        <v>2513</v>
      </c>
      <c r="C3224" s="257" t="s">
        <v>5</v>
      </c>
      <c r="D3224" s="259" t="s">
        <v>16335</v>
      </c>
      <c r="E3224" s="210" t="s">
        <v>201</v>
      </c>
    </row>
    <row r="3225" spans="1:5" ht="27">
      <c r="A3225" s="258">
        <v>94717</v>
      </c>
      <c r="B3225" s="257" t="s">
        <v>2514</v>
      </c>
      <c r="C3225" s="257" t="s">
        <v>5</v>
      </c>
      <c r="D3225" s="259" t="s">
        <v>13976</v>
      </c>
      <c r="E3225" s="210" t="s">
        <v>201</v>
      </c>
    </row>
    <row r="3226" spans="1:5" ht="27">
      <c r="A3226" s="258">
        <v>94718</v>
      </c>
      <c r="B3226" s="257" t="s">
        <v>2515</v>
      </c>
      <c r="C3226" s="257" t="s">
        <v>5</v>
      </c>
      <c r="D3226" s="259" t="s">
        <v>15750</v>
      </c>
      <c r="E3226" s="210" t="s">
        <v>201</v>
      </c>
    </row>
    <row r="3227" spans="1:5" ht="27">
      <c r="A3227" s="258">
        <v>94719</v>
      </c>
      <c r="B3227" s="257" t="s">
        <v>2516</v>
      </c>
      <c r="C3227" s="257" t="s">
        <v>5</v>
      </c>
      <c r="D3227" s="259" t="s">
        <v>16336</v>
      </c>
      <c r="E3227" s="210" t="s">
        <v>201</v>
      </c>
    </row>
    <row r="3228" spans="1:5" ht="27">
      <c r="A3228" s="258">
        <v>94720</v>
      </c>
      <c r="B3228" s="257" t="s">
        <v>2517</v>
      </c>
      <c r="C3228" s="257" t="s">
        <v>5</v>
      </c>
      <c r="D3228" s="259" t="s">
        <v>16313</v>
      </c>
      <c r="E3228" s="210" t="s">
        <v>201</v>
      </c>
    </row>
    <row r="3229" spans="1:5" ht="27">
      <c r="A3229" s="258">
        <v>94721</v>
      </c>
      <c r="B3229" s="257" t="s">
        <v>2518</v>
      </c>
      <c r="C3229" s="257" t="s">
        <v>5</v>
      </c>
      <c r="D3229" s="259" t="s">
        <v>16337</v>
      </c>
      <c r="E3229" s="210" t="s">
        <v>201</v>
      </c>
    </row>
    <row r="3230" spans="1:5" ht="27">
      <c r="A3230" s="258">
        <v>94722</v>
      </c>
      <c r="B3230" s="257" t="s">
        <v>2519</v>
      </c>
      <c r="C3230" s="257" t="s">
        <v>5</v>
      </c>
      <c r="D3230" s="259" t="s">
        <v>16338</v>
      </c>
      <c r="E3230" s="210" t="s">
        <v>201</v>
      </c>
    </row>
    <row r="3231" spans="1:5" ht="27">
      <c r="A3231" s="258">
        <v>95697</v>
      </c>
      <c r="B3231" s="257" t="s">
        <v>5634</v>
      </c>
      <c r="C3231" s="257" t="s">
        <v>5</v>
      </c>
      <c r="D3231" s="259" t="s">
        <v>16339</v>
      </c>
      <c r="E3231" s="210" t="s">
        <v>201</v>
      </c>
    </row>
    <row r="3232" spans="1:5" ht="27">
      <c r="A3232" s="258">
        <v>96635</v>
      </c>
      <c r="B3232" s="257" t="s">
        <v>4762</v>
      </c>
      <c r="C3232" s="257" t="s">
        <v>5</v>
      </c>
      <c r="D3232" s="259" t="s">
        <v>16340</v>
      </c>
      <c r="E3232" s="210" t="s">
        <v>201</v>
      </c>
    </row>
    <row r="3233" spans="1:5" ht="27">
      <c r="A3233" s="258">
        <v>96636</v>
      </c>
      <c r="B3233" s="257" t="s">
        <v>4763</v>
      </c>
      <c r="C3233" s="257" t="s">
        <v>5</v>
      </c>
      <c r="D3233" s="259" t="s">
        <v>13552</v>
      </c>
      <c r="E3233" s="210" t="s">
        <v>201</v>
      </c>
    </row>
    <row r="3234" spans="1:5" ht="27">
      <c r="A3234" s="258">
        <v>96644</v>
      </c>
      <c r="B3234" s="257" t="s">
        <v>4764</v>
      </c>
      <c r="C3234" s="257" t="s">
        <v>5</v>
      </c>
      <c r="D3234" s="259" t="s">
        <v>15786</v>
      </c>
      <c r="E3234" s="210" t="s">
        <v>201</v>
      </c>
    </row>
    <row r="3235" spans="1:5" ht="27">
      <c r="A3235" s="258">
        <v>96645</v>
      </c>
      <c r="B3235" s="257" t="s">
        <v>4765</v>
      </c>
      <c r="C3235" s="257" t="s">
        <v>5</v>
      </c>
      <c r="D3235" s="259" t="s">
        <v>16341</v>
      </c>
      <c r="E3235" s="210" t="s">
        <v>201</v>
      </c>
    </row>
    <row r="3236" spans="1:5" ht="27">
      <c r="A3236" s="258">
        <v>96646</v>
      </c>
      <c r="B3236" s="257" t="s">
        <v>4766</v>
      </c>
      <c r="C3236" s="257" t="s">
        <v>5</v>
      </c>
      <c r="D3236" s="259" t="s">
        <v>16342</v>
      </c>
      <c r="E3236" s="210" t="s">
        <v>201</v>
      </c>
    </row>
    <row r="3237" spans="1:5" ht="27">
      <c r="A3237" s="258">
        <v>96647</v>
      </c>
      <c r="B3237" s="257" t="s">
        <v>4767</v>
      </c>
      <c r="C3237" s="257" t="s">
        <v>5</v>
      </c>
      <c r="D3237" s="259" t="s">
        <v>13527</v>
      </c>
      <c r="E3237" s="210" t="s">
        <v>201</v>
      </c>
    </row>
    <row r="3238" spans="1:5" ht="27">
      <c r="A3238" s="258">
        <v>96648</v>
      </c>
      <c r="B3238" s="257" t="s">
        <v>4768</v>
      </c>
      <c r="C3238" s="257" t="s">
        <v>5</v>
      </c>
      <c r="D3238" s="259" t="s">
        <v>16343</v>
      </c>
      <c r="E3238" s="210" t="s">
        <v>201</v>
      </c>
    </row>
    <row r="3239" spans="1:5" ht="27">
      <c r="A3239" s="258">
        <v>96649</v>
      </c>
      <c r="B3239" s="257" t="s">
        <v>4769</v>
      </c>
      <c r="C3239" s="257" t="s">
        <v>5</v>
      </c>
      <c r="D3239" s="259" t="s">
        <v>16344</v>
      </c>
      <c r="E3239" s="210" t="s">
        <v>201</v>
      </c>
    </row>
    <row r="3240" spans="1:5" ht="27">
      <c r="A3240" s="258">
        <v>96668</v>
      </c>
      <c r="B3240" s="257" t="s">
        <v>4770</v>
      </c>
      <c r="C3240" s="257" t="s">
        <v>5</v>
      </c>
      <c r="D3240" s="259" t="s">
        <v>15721</v>
      </c>
      <c r="E3240" s="210" t="s">
        <v>201</v>
      </c>
    </row>
    <row r="3241" spans="1:5" ht="27">
      <c r="A3241" s="258">
        <v>96669</v>
      </c>
      <c r="B3241" s="257" t="s">
        <v>4771</v>
      </c>
      <c r="C3241" s="257" t="s">
        <v>5</v>
      </c>
      <c r="D3241" s="259" t="s">
        <v>16345</v>
      </c>
      <c r="E3241" s="210" t="s">
        <v>201</v>
      </c>
    </row>
    <row r="3242" spans="1:5" ht="27">
      <c r="A3242" s="258">
        <v>96670</v>
      </c>
      <c r="B3242" s="257" t="s">
        <v>4772</v>
      </c>
      <c r="C3242" s="257" t="s">
        <v>5</v>
      </c>
      <c r="D3242" s="259" t="s">
        <v>16346</v>
      </c>
      <c r="E3242" s="210" t="s">
        <v>201</v>
      </c>
    </row>
    <row r="3243" spans="1:5" ht="27">
      <c r="A3243" s="258">
        <v>96671</v>
      </c>
      <c r="B3243" s="257" t="s">
        <v>4773</v>
      </c>
      <c r="C3243" s="257" t="s">
        <v>5</v>
      </c>
      <c r="D3243" s="259" t="s">
        <v>16347</v>
      </c>
      <c r="E3243" s="210" t="s">
        <v>201</v>
      </c>
    </row>
    <row r="3244" spans="1:5" ht="27">
      <c r="A3244" s="258">
        <v>96672</v>
      </c>
      <c r="B3244" s="257" t="s">
        <v>4774</v>
      </c>
      <c r="C3244" s="257" t="s">
        <v>5</v>
      </c>
      <c r="D3244" s="259" t="s">
        <v>16348</v>
      </c>
      <c r="E3244" s="210" t="s">
        <v>201</v>
      </c>
    </row>
    <row r="3245" spans="1:5" ht="27">
      <c r="A3245" s="258">
        <v>96673</v>
      </c>
      <c r="B3245" s="257" t="s">
        <v>4775</v>
      </c>
      <c r="C3245" s="257" t="s">
        <v>5</v>
      </c>
      <c r="D3245" s="259" t="s">
        <v>16349</v>
      </c>
      <c r="E3245" s="210" t="s">
        <v>201</v>
      </c>
    </row>
    <row r="3246" spans="1:5" ht="27">
      <c r="A3246" s="258">
        <v>96674</v>
      </c>
      <c r="B3246" s="257" t="s">
        <v>4776</v>
      </c>
      <c r="C3246" s="257" t="s">
        <v>5</v>
      </c>
      <c r="D3246" s="259" t="s">
        <v>16350</v>
      </c>
      <c r="E3246" s="210" t="s">
        <v>201</v>
      </c>
    </row>
    <row r="3247" spans="1:5" ht="27">
      <c r="A3247" s="258">
        <v>96675</v>
      </c>
      <c r="B3247" s="257" t="s">
        <v>4777</v>
      </c>
      <c r="C3247" s="257" t="s">
        <v>5</v>
      </c>
      <c r="D3247" s="259" t="s">
        <v>16351</v>
      </c>
      <c r="E3247" s="210" t="s">
        <v>201</v>
      </c>
    </row>
    <row r="3248" spans="1:5" ht="27">
      <c r="A3248" s="258">
        <v>96676</v>
      </c>
      <c r="B3248" s="257" t="s">
        <v>4778</v>
      </c>
      <c r="C3248" s="257" t="s">
        <v>5</v>
      </c>
      <c r="D3248" s="259" t="s">
        <v>16352</v>
      </c>
      <c r="E3248" s="210" t="s">
        <v>201</v>
      </c>
    </row>
    <row r="3249" spans="1:5" ht="27">
      <c r="A3249" s="258">
        <v>96677</v>
      </c>
      <c r="B3249" s="257" t="s">
        <v>4779</v>
      </c>
      <c r="C3249" s="257" t="s">
        <v>5</v>
      </c>
      <c r="D3249" s="259" t="s">
        <v>16353</v>
      </c>
      <c r="E3249" s="210" t="s">
        <v>201</v>
      </c>
    </row>
    <row r="3250" spans="1:5" ht="27">
      <c r="A3250" s="258">
        <v>96678</v>
      </c>
      <c r="B3250" s="257" t="s">
        <v>4780</v>
      </c>
      <c r="C3250" s="257" t="s">
        <v>5</v>
      </c>
      <c r="D3250" s="259" t="s">
        <v>16354</v>
      </c>
      <c r="E3250" s="210" t="s">
        <v>201</v>
      </c>
    </row>
    <row r="3251" spans="1:5" ht="27">
      <c r="A3251" s="258">
        <v>96679</v>
      </c>
      <c r="B3251" s="257" t="s">
        <v>4781</v>
      </c>
      <c r="C3251" s="257" t="s">
        <v>5</v>
      </c>
      <c r="D3251" s="259" t="s">
        <v>16355</v>
      </c>
      <c r="E3251" s="210" t="s">
        <v>201</v>
      </c>
    </row>
    <row r="3252" spans="1:5" ht="27">
      <c r="A3252" s="258">
        <v>96680</v>
      </c>
      <c r="B3252" s="257" t="s">
        <v>4782</v>
      </c>
      <c r="C3252" s="257" t="s">
        <v>5</v>
      </c>
      <c r="D3252" s="259" t="s">
        <v>16356</v>
      </c>
      <c r="E3252" s="210" t="s">
        <v>201</v>
      </c>
    </row>
    <row r="3253" spans="1:5" ht="27">
      <c r="A3253" s="258">
        <v>96681</v>
      </c>
      <c r="B3253" s="257" t="s">
        <v>4783</v>
      </c>
      <c r="C3253" s="257" t="s">
        <v>5</v>
      </c>
      <c r="D3253" s="259" t="s">
        <v>16357</v>
      </c>
      <c r="E3253" s="210" t="s">
        <v>201</v>
      </c>
    </row>
    <row r="3254" spans="1:5" ht="27">
      <c r="A3254" s="258">
        <v>96682</v>
      </c>
      <c r="B3254" s="257" t="s">
        <v>4784</v>
      </c>
      <c r="C3254" s="257" t="s">
        <v>5</v>
      </c>
      <c r="D3254" s="259" t="s">
        <v>16358</v>
      </c>
      <c r="E3254" s="210" t="s">
        <v>201</v>
      </c>
    </row>
    <row r="3255" spans="1:5" ht="27">
      <c r="A3255" s="258">
        <v>96683</v>
      </c>
      <c r="B3255" s="257" t="s">
        <v>4785</v>
      </c>
      <c r="C3255" s="257" t="s">
        <v>5</v>
      </c>
      <c r="D3255" s="259" t="s">
        <v>16359</v>
      </c>
      <c r="E3255" s="210" t="s">
        <v>201</v>
      </c>
    </row>
    <row r="3256" spans="1:5" ht="27">
      <c r="A3256" s="258">
        <v>96718</v>
      </c>
      <c r="B3256" s="257" t="s">
        <v>4786</v>
      </c>
      <c r="C3256" s="257" t="s">
        <v>5</v>
      </c>
      <c r="D3256" s="259" t="s">
        <v>16360</v>
      </c>
      <c r="E3256" s="210" t="s">
        <v>201</v>
      </c>
    </row>
    <row r="3257" spans="1:5" ht="27">
      <c r="A3257" s="258">
        <v>96719</v>
      </c>
      <c r="B3257" s="257" t="s">
        <v>4787</v>
      </c>
      <c r="C3257" s="257" t="s">
        <v>5</v>
      </c>
      <c r="D3257" s="259" t="s">
        <v>16361</v>
      </c>
      <c r="E3257" s="210" t="s">
        <v>201</v>
      </c>
    </row>
    <row r="3258" spans="1:5" ht="27">
      <c r="A3258" s="258">
        <v>96720</v>
      </c>
      <c r="B3258" s="257" t="s">
        <v>4788</v>
      </c>
      <c r="C3258" s="257" t="s">
        <v>5</v>
      </c>
      <c r="D3258" s="259" t="s">
        <v>16362</v>
      </c>
      <c r="E3258" s="210" t="s">
        <v>201</v>
      </c>
    </row>
    <row r="3259" spans="1:5" ht="27">
      <c r="A3259" s="258">
        <v>96721</v>
      </c>
      <c r="B3259" s="257" t="s">
        <v>4789</v>
      </c>
      <c r="C3259" s="257" t="s">
        <v>5</v>
      </c>
      <c r="D3259" s="259" t="s">
        <v>16363</v>
      </c>
      <c r="E3259" s="210" t="s">
        <v>201</v>
      </c>
    </row>
    <row r="3260" spans="1:5" ht="27">
      <c r="A3260" s="258">
        <v>96722</v>
      </c>
      <c r="B3260" s="257" t="s">
        <v>4790</v>
      </c>
      <c r="C3260" s="257" t="s">
        <v>5</v>
      </c>
      <c r="D3260" s="259" t="s">
        <v>16364</v>
      </c>
      <c r="E3260" s="210" t="s">
        <v>201</v>
      </c>
    </row>
    <row r="3261" spans="1:5" ht="27">
      <c r="A3261" s="258">
        <v>96723</v>
      </c>
      <c r="B3261" s="257" t="s">
        <v>4791</v>
      </c>
      <c r="C3261" s="257" t="s">
        <v>5</v>
      </c>
      <c r="D3261" s="259" t="s">
        <v>16365</v>
      </c>
      <c r="E3261" s="210" t="s">
        <v>201</v>
      </c>
    </row>
    <row r="3262" spans="1:5" ht="27">
      <c r="A3262" s="258">
        <v>96724</v>
      </c>
      <c r="B3262" s="257" t="s">
        <v>4792</v>
      </c>
      <c r="C3262" s="257" t="s">
        <v>5</v>
      </c>
      <c r="D3262" s="259" t="s">
        <v>16366</v>
      </c>
      <c r="E3262" s="210" t="s">
        <v>201</v>
      </c>
    </row>
    <row r="3263" spans="1:5" ht="27">
      <c r="A3263" s="258">
        <v>96725</v>
      </c>
      <c r="B3263" s="257" t="s">
        <v>4793</v>
      </c>
      <c r="C3263" s="257" t="s">
        <v>5</v>
      </c>
      <c r="D3263" s="259" t="s">
        <v>16367</v>
      </c>
      <c r="E3263" s="210" t="s">
        <v>201</v>
      </c>
    </row>
    <row r="3264" spans="1:5" ht="27">
      <c r="A3264" s="258">
        <v>96726</v>
      </c>
      <c r="B3264" s="257" t="s">
        <v>4794</v>
      </c>
      <c r="C3264" s="257" t="s">
        <v>5</v>
      </c>
      <c r="D3264" s="259" t="s">
        <v>16368</v>
      </c>
      <c r="E3264" s="210" t="s">
        <v>201</v>
      </c>
    </row>
    <row r="3265" spans="1:5" ht="27">
      <c r="A3265" s="258">
        <v>96727</v>
      </c>
      <c r="B3265" s="257" t="s">
        <v>4795</v>
      </c>
      <c r="C3265" s="257" t="s">
        <v>5</v>
      </c>
      <c r="D3265" s="259" t="s">
        <v>16369</v>
      </c>
      <c r="E3265" s="210" t="s">
        <v>201</v>
      </c>
    </row>
    <row r="3266" spans="1:5" ht="27">
      <c r="A3266" s="258">
        <v>96728</v>
      </c>
      <c r="B3266" s="257" t="s">
        <v>4796</v>
      </c>
      <c r="C3266" s="257" t="s">
        <v>5</v>
      </c>
      <c r="D3266" s="259" t="s">
        <v>16370</v>
      </c>
      <c r="E3266" s="210" t="s">
        <v>201</v>
      </c>
    </row>
    <row r="3267" spans="1:5" ht="27">
      <c r="A3267" s="258">
        <v>96729</v>
      </c>
      <c r="B3267" s="257" t="s">
        <v>4797</v>
      </c>
      <c r="C3267" s="257" t="s">
        <v>5</v>
      </c>
      <c r="D3267" s="259" t="s">
        <v>16371</v>
      </c>
      <c r="E3267" s="210" t="s">
        <v>201</v>
      </c>
    </row>
    <row r="3268" spans="1:5" ht="27">
      <c r="A3268" s="258">
        <v>96730</v>
      </c>
      <c r="B3268" s="257" t="s">
        <v>4798</v>
      </c>
      <c r="C3268" s="257" t="s">
        <v>5</v>
      </c>
      <c r="D3268" s="259" t="s">
        <v>16372</v>
      </c>
      <c r="E3268" s="210" t="s">
        <v>201</v>
      </c>
    </row>
    <row r="3269" spans="1:5" ht="27">
      <c r="A3269" s="258">
        <v>96731</v>
      </c>
      <c r="B3269" s="257" t="s">
        <v>4799</v>
      </c>
      <c r="C3269" s="257" t="s">
        <v>5</v>
      </c>
      <c r="D3269" s="259" t="s">
        <v>16373</v>
      </c>
      <c r="E3269" s="210" t="s">
        <v>201</v>
      </c>
    </row>
    <row r="3270" spans="1:5" ht="27">
      <c r="A3270" s="258">
        <v>96732</v>
      </c>
      <c r="B3270" s="257" t="s">
        <v>4800</v>
      </c>
      <c r="C3270" s="257" t="s">
        <v>5</v>
      </c>
      <c r="D3270" s="259" t="s">
        <v>16374</v>
      </c>
      <c r="E3270" s="210" t="s">
        <v>201</v>
      </c>
    </row>
    <row r="3271" spans="1:5" ht="27">
      <c r="A3271" s="258">
        <v>96733</v>
      </c>
      <c r="B3271" s="257" t="s">
        <v>4801</v>
      </c>
      <c r="C3271" s="257" t="s">
        <v>5</v>
      </c>
      <c r="D3271" s="259" t="s">
        <v>16375</v>
      </c>
      <c r="E3271" s="210" t="s">
        <v>201</v>
      </c>
    </row>
    <row r="3272" spans="1:5" ht="27">
      <c r="A3272" s="258">
        <v>96734</v>
      </c>
      <c r="B3272" s="257" t="s">
        <v>4802</v>
      </c>
      <c r="C3272" s="257" t="s">
        <v>5</v>
      </c>
      <c r="D3272" s="259" t="s">
        <v>16376</v>
      </c>
      <c r="E3272" s="210" t="s">
        <v>201</v>
      </c>
    </row>
    <row r="3273" spans="1:5" ht="27">
      <c r="A3273" s="258">
        <v>96735</v>
      </c>
      <c r="B3273" s="257" t="s">
        <v>4803</v>
      </c>
      <c r="C3273" s="257" t="s">
        <v>5</v>
      </c>
      <c r="D3273" s="259" t="s">
        <v>16377</v>
      </c>
      <c r="E3273" s="210" t="s">
        <v>201</v>
      </c>
    </row>
    <row r="3274" spans="1:5" ht="27">
      <c r="A3274" s="258">
        <v>96794</v>
      </c>
      <c r="B3274" s="257" t="s">
        <v>4804</v>
      </c>
      <c r="C3274" s="257" t="s">
        <v>5</v>
      </c>
      <c r="D3274" s="259" t="s">
        <v>15478</v>
      </c>
      <c r="E3274" s="210" t="s">
        <v>201</v>
      </c>
    </row>
    <row r="3275" spans="1:5" ht="27">
      <c r="A3275" s="258">
        <v>96795</v>
      </c>
      <c r="B3275" s="257" t="s">
        <v>4805</v>
      </c>
      <c r="C3275" s="257" t="s">
        <v>5</v>
      </c>
      <c r="D3275" s="259" t="s">
        <v>16378</v>
      </c>
      <c r="E3275" s="210" t="s">
        <v>201</v>
      </c>
    </row>
    <row r="3276" spans="1:5" ht="27">
      <c r="A3276" s="258">
        <v>96796</v>
      </c>
      <c r="B3276" s="257" t="s">
        <v>4806</v>
      </c>
      <c r="C3276" s="257" t="s">
        <v>5</v>
      </c>
      <c r="D3276" s="259" t="s">
        <v>16328</v>
      </c>
      <c r="E3276" s="210" t="s">
        <v>201</v>
      </c>
    </row>
    <row r="3277" spans="1:5" ht="27">
      <c r="A3277" s="258">
        <v>96797</v>
      </c>
      <c r="B3277" s="257" t="s">
        <v>4807</v>
      </c>
      <c r="C3277" s="257" t="s">
        <v>5</v>
      </c>
      <c r="D3277" s="259" t="s">
        <v>16245</v>
      </c>
      <c r="E3277" s="210" t="s">
        <v>201</v>
      </c>
    </row>
    <row r="3278" spans="1:5" ht="27">
      <c r="A3278" s="258">
        <v>96798</v>
      </c>
      <c r="B3278" s="257" t="s">
        <v>4808</v>
      </c>
      <c r="C3278" s="257" t="s">
        <v>5</v>
      </c>
      <c r="D3278" s="259" t="s">
        <v>14740</v>
      </c>
      <c r="E3278" s="210" t="s">
        <v>201</v>
      </c>
    </row>
    <row r="3279" spans="1:5" ht="27">
      <c r="A3279" s="258">
        <v>96799</v>
      </c>
      <c r="B3279" s="257" t="s">
        <v>4809</v>
      </c>
      <c r="C3279" s="257" t="s">
        <v>5</v>
      </c>
      <c r="D3279" s="259" t="s">
        <v>15441</v>
      </c>
      <c r="E3279" s="210" t="s">
        <v>201</v>
      </c>
    </row>
    <row r="3280" spans="1:5" ht="27">
      <c r="A3280" s="258">
        <v>96800</v>
      </c>
      <c r="B3280" s="257" t="s">
        <v>4810</v>
      </c>
      <c r="C3280" s="257" t="s">
        <v>5</v>
      </c>
      <c r="D3280" s="259" t="s">
        <v>16379</v>
      </c>
      <c r="E3280" s="210" t="s">
        <v>201</v>
      </c>
    </row>
    <row r="3281" spans="1:5" ht="27">
      <c r="A3281" s="258">
        <v>96801</v>
      </c>
      <c r="B3281" s="257" t="s">
        <v>4811</v>
      </c>
      <c r="C3281" s="257" t="s">
        <v>5</v>
      </c>
      <c r="D3281" s="259" t="s">
        <v>16380</v>
      </c>
      <c r="E3281" s="210" t="s">
        <v>201</v>
      </c>
    </row>
    <row r="3282" spans="1:5" ht="27">
      <c r="A3282" s="258">
        <v>97327</v>
      </c>
      <c r="B3282" s="257" t="s">
        <v>5635</v>
      </c>
      <c r="C3282" s="257" t="s">
        <v>5</v>
      </c>
      <c r="D3282" s="259" t="s">
        <v>16381</v>
      </c>
      <c r="E3282" s="210" t="s">
        <v>201</v>
      </c>
    </row>
    <row r="3283" spans="1:5" ht="27">
      <c r="A3283" s="258">
        <v>97328</v>
      </c>
      <c r="B3283" s="257" t="s">
        <v>5636</v>
      </c>
      <c r="C3283" s="257" t="s">
        <v>5</v>
      </c>
      <c r="D3283" s="259" t="s">
        <v>16382</v>
      </c>
      <c r="E3283" s="210" t="s">
        <v>201</v>
      </c>
    </row>
    <row r="3284" spans="1:5" ht="27">
      <c r="A3284" s="258">
        <v>97329</v>
      </c>
      <c r="B3284" s="257" t="s">
        <v>5637</v>
      </c>
      <c r="C3284" s="257" t="s">
        <v>5</v>
      </c>
      <c r="D3284" s="259" t="s">
        <v>16383</v>
      </c>
      <c r="E3284" s="210" t="s">
        <v>201</v>
      </c>
    </row>
    <row r="3285" spans="1:5" ht="27">
      <c r="A3285" s="258">
        <v>97330</v>
      </c>
      <c r="B3285" s="257" t="s">
        <v>5638</v>
      </c>
      <c r="C3285" s="257" t="s">
        <v>5</v>
      </c>
      <c r="D3285" s="259" t="s">
        <v>16384</v>
      </c>
      <c r="E3285" s="210" t="s">
        <v>201</v>
      </c>
    </row>
    <row r="3286" spans="1:5" ht="27">
      <c r="A3286" s="258">
        <v>97331</v>
      </c>
      <c r="B3286" s="257" t="s">
        <v>5639</v>
      </c>
      <c r="C3286" s="257" t="s">
        <v>5</v>
      </c>
      <c r="D3286" s="259" t="s">
        <v>14170</v>
      </c>
      <c r="E3286" s="210" t="s">
        <v>201</v>
      </c>
    </row>
    <row r="3287" spans="1:5" ht="27">
      <c r="A3287" s="258">
        <v>97332</v>
      </c>
      <c r="B3287" s="257" t="s">
        <v>5640</v>
      </c>
      <c r="C3287" s="257" t="s">
        <v>5</v>
      </c>
      <c r="D3287" s="259" t="s">
        <v>16385</v>
      </c>
      <c r="E3287" s="210" t="s">
        <v>201</v>
      </c>
    </row>
    <row r="3288" spans="1:5" ht="27">
      <c r="A3288" s="258">
        <v>97333</v>
      </c>
      <c r="B3288" s="257" t="s">
        <v>5641</v>
      </c>
      <c r="C3288" s="257" t="s">
        <v>5</v>
      </c>
      <c r="D3288" s="259" t="s">
        <v>16386</v>
      </c>
      <c r="E3288" s="210" t="s">
        <v>201</v>
      </c>
    </row>
    <row r="3289" spans="1:5" ht="27">
      <c r="A3289" s="258">
        <v>97334</v>
      </c>
      <c r="B3289" s="257" t="s">
        <v>5642</v>
      </c>
      <c r="C3289" s="257" t="s">
        <v>5</v>
      </c>
      <c r="D3289" s="259" t="s">
        <v>16387</v>
      </c>
      <c r="E3289" s="210" t="s">
        <v>201</v>
      </c>
    </row>
    <row r="3290" spans="1:5" ht="27">
      <c r="A3290" s="258">
        <v>97335</v>
      </c>
      <c r="B3290" s="257" t="s">
        <v>5643</v>
      </c>
      <c r="C3290" s="257" t="s">
        <v>5</v>
      </c>
      <c r="D3290" s="259" t="s">
        <v>16388</v>
      </c>
      <c r="E3290" s="210" t="s">
        <v>201</v>
      </c>
    </row>
    <row r="3291" spans="1:5" ht="27">
      <c r="A3291" s="258">
        <v>97336</v>
      </c>
      <c r="B3291" s="257" t="s">
        <v>5644</v>
      </c>
      <c r="C3291" s="257" t="s">
        <v>5</v>
      </c>
      <c r="D3291" s="259" t="s">
        <v>16389</v>
      </c>
      <c r="E3291" s="210" t="s">
        <v>201</v>
      </c>
    </row>
    <row r="3292" spans="1:5" ht="27">
      <c r="A3292" s="258">
        <v>97337</v>
      </c>
      <c r="B3292" s="257" t="s">
        <v>5645</v>
      </c>
      <c r="C3292" s="257" t="s">
        <v>5</v>
      </c>
      <c r="D3292" s="259" t="s">
        <v>16390</v>
      </c>
      <c r="E3292" s="210" t="s">
        <v>201</v>
      </c>
    </row>
    <row r="3293" spans="1:5" ht="27">
      <c r="A3293" s="258">
        <v>97338</v>
      </c>
      <c r="B3293" s="257" t="s">
        <v>5646</v>
      </c>
      <c r="C3293" s="257" t="s">
        <v>5</v>
      </c>
      <c r="D3293" s="259" t="s">
        <v>16391</v>
      </c>
      <c r="E3293" s="210" t="s">
        <v>201</v>
      </c>
    </row>
    <row r="3294" spans="1:5" ht="27">
      <c r="A3294" s="258">
        <v>97339</v>
      </c>
      <c r="B3294" s="257" t="s">
        <v>5647</v>
      </c>
      <c r="C3294" s="257" t="s">
        <v>5</v>
      </c>
      <c r="D3294" s="259" t="s">
        <v>16278</v>
      </c>
      <c r="E3294" s="210" t="s">
        <v>201</v>
      </c>
    </row>
    <row r="3295" spans="1:5" ht="27">
      <c r="A3295" s="258">
        <v>97340</v>
      </c>
      <c r="B3295" s="257" t="s">
        <v>5648</v>
      </c>
      <c r="C3295" s="257" t="s">
        <v>5</v>
      </c>
      <c r="D3295" s="259" t="s">
        <v>16392</v>
      </c>
      <c r="E3295" s="210" t="s">
        <v>201</v>
      </c>
    </row>
    <row r="3296" spans="1:5" ht="27">
      <c r="A3296" s="258">
        <v>97341</v>
      </c>
      <c r="B3296" s="257" t="s">
        <v>5649</v>
      </c>
      <c r="C3296" s="257" t="s">
        <v>5</v>
      </c>
      <c r="D3296" s="259" t="s">
        <v>16393</v>
      </c>
      <c r="E3296" s="210" t="s">
        <v>201</v>
      </c>
    </row>
    <row r="3297" spans="1:5" ht="27">
      <c r="A3297" s="258">
        <v>97342</v>
      </c>
      <c r="B3297" s="257" t="s">
        <v>5650</v>
      </c>
      <c r="C3297" s="257" t="s">
        <v>5</v>
      </c>
      <c r="D3297" s="259" t="s">
        <v>16394</v>
      </c>
      <c r="E3297" s="210" t="s">
        <v>201</v>
      </c>
    </row>
    <row r="3298" spans="1:5" ht="27">
      <c r="A3298" s="258">
        <v>97343</v>
      </c>
      <c r="B3298" s="257" t="s">
        <v>5651</v>
      </c>
      <c r="C3298" s="257" t="s">
        <v>5</v>
      </c>
      <c r="D3298" s="259" t="s">
        <v>16395</v>
      </c>
      <c r="E3298" s="210" t="s">
        <v>201</v>
      </c>
    </row>
    <row r="3299" spans="1:5" ht="27">
      <c r="A3299" s="258">
        <v>97344</v>
      </c>
      <c r="B3299" s="257" t="s">
        <v>5652</v>
      </c>
      <c r="C3299" s="257" t="s">
        <v>5</v>
      </c>
      <c r="D3299" s="259" t="s">
        <v>16396</v>
      </c>
      <c r="E3299" s="210" t="s">
        <v>201</v>
      </c>
    </row>
    <row r="3300" spans="1:5" ht="27">
      <c r="A3300" s="258">
        <v>97345</v>
      </c>
      <c r="B3300" s="257" t="s">
        <v>5653</v>
      </c>
      <c r="C3300" s="257" t="s">
        <v>5</v>
      </c>
      <c r="D3300" s="259" t="s">
        <v>16397</v>
      </c>
      <c r="E3300" s="210" t="s">
        <v>201</v>
      </c>
    </row>
    <row r="3301" spans="1:5" ht="27">
      <c r="A3301" s="258">
        <v>97346</v>
      </c>
      <c r="B3301" s="257" t="s">
        <v>5654</v>
      </c>
      <c r="C3301" s="257" t="s">
        <v>5</v>
      </c>
      <c r="D3301" s="259" t="s">
        <v>16398</v>
      </c>
      <c r="E3301" s="210" t="s">
        <v>201</v>
      </c>
    </row>
    <row r="3302" spans="1:5" ht="27">
      <c r="A3302" s="258">
        <v>97347</v>
      </c>
      <c r="B3302" s="257" t="s">
        <v>5655</v>
      </c>
      <c r="C3302" s="257" t="s">
        <v>5</v>
      </c>
      <c r="D3302" s="259" t="s">
        <v>16399</v>
      </c>
      <c r="E3302" s="210" t="s">
        <v>201</v>
      </c>
    </row>
    <row r="3303" spans="1:5" ht="27">
      <c r="A3303" s="258">
        <v>97348</v>
      </c>
      <c r="B3303" s="257" t="s">
        <v>5656</v>
      </c>
      <c r="C3303" s="257" t="s">
        <v>5</v>
      </c>
      <c r="D3303" s="259" t="s">
        <v>16400</v>
      </c>
      <c r="E3303" s="210" t="s">
        <v>201</v>
      </c>
    </row>
    <row r="3304" spans="1:5" ht="27">
      <c r="A3304" s="258">
        <v>97349</v>
      </c>
      <c r="B3304" s="257" t="s">
        <v>5657</v>
      </c>
      <c r="C3304" s="257" t="s">
        <v>5</v>
      </c>
      <c r="D3304" s="259" t="s">
        <v>16401</v>
      </c>
      <c r="E3304" s="210" t="s">
        <v>201</v>
      </c>
    </row>
    <row r="3305" spans="1:5" ht="27">
      <c r="A3305" s="258">
        <v>97350</v>
      </c>
      <c r="B3305" s="257" t="s">
        <v>5658</v>
      </c>
      <c r="C3305" s="257" t="s">
        <v>5</v>
      </c>
      <c r="D3305" s="259" t="s">
        <v>16402</v>
      </c>
      <c r="E3305" s="210" t="s">
        <v>201</v>
      </c>
    </row>
    <row r="3306" spans="1:5" ht="27">
      <c r="A3306" s="258">
        <v>97351</v>
      </c>
      <c r="B3306" s="257" t="s">
        <v>5659</v>
      </c>
      <c r="C3306" s="257" t="s">
        <v>5</v>
      </c>
      <c r="D3306" s="259" t="s">
        <v>16403</v>
      </c>
      <c r="E3306" s="210" t="s">
        <v>201</v>
      </c>
    </row>
    <row r="3307" spans="1:5" ht="27">
      <c r="A3307" s="258">
        <v>97352</v>
      </c>
      <c r="B3307" s="257" t="s">
        <v>5660</v>
      </c>
      <c r="C3307" s="257" t="s">
        <v>5</v>
      </c>
      <c r="D3307" s="259" t="s">
        <v>16404</v>
      </c>
      <c r="E3307" s="210" t="s">
        <v>201</v>
      </c>
    </row>
    <row r="3308" spans="1:5" ht="27">
      <c r="A3308" s="258">
        <v>97353</v>
      </c>
      <c r="B3308" s="257" t="s">
        <v>5661</v>
      </c>
      <c r="C3308" s="257" t="s">
        <v>5</v>
      </c>
      <c r="D3308" s="259" t="s">
        <v>16405</v>
      </c>
      <c r="E3308" s="210" t="s">
        <v>201</v>
      </c>
    </row>
    <row r="3309" spans="1:5" ht="27">
      <c r="A3309" s="258">
        <v>97354</v>
      </c>
      <c r="B3309" s="257" t="s">
        <v>5662</v>
      </c>
      <c r="C3309" s="257" t="s">
        <v>5</v>
      </c>
      <c r="D3309" s="259" t="s">
        <v>16406</v>
      </c>
      <c r="E3309" s="210" t="s">
        <v>201</v>
      </c>
    </row>
    <row r="3310" spans="1:5" ht="27">
      <c r="A3310" s="258">
        <v>97355</v>
      </c>
      <c r="B3310" s="257" t="s">
        <v>5663</v>
      </c>
      <c r="C3310" s="257" t="s">
        <v>5</v>
      </c>
      <c r="D3310" s="259" t="s">
        <v>16407</v>
      </c>
      <c r="E3310" s="210" t="s">
        <v>201</v>
      </c>
    </row>
    <row r="3311" spans="1:5" ht="27">
      <c r="A3311" s="258">
        <v>97356</v>
      </c>
      <c r="B3311" s="257" t="s">
        <v>5664</v>
      </c>
      <c r="C3311" s="257" t="s">
        <v>5</v>
      </c>
      <c r="D3311" s="259" t="s">
        <v>16408</v>
      </c>
      <c r="E3311" s="210" t="s">
        <v>201</v>
      </c>
    </row>
    <row r="3312" spans="1:5" ht="27">
      <c r="A3312" s="258">
        <v>97357</v>
      </c>
      <c r="B3312" s="257" t="s">
        <v>5665</v>
      </c>
      <c r="C3312" s="257" t="s">
        <v>5</v>
      </c>
      <c r="D3312" s="259" t="s">
        <v>16409</v>
      </c>
      <c r="E3312" s="210" t="s">
        <v>201</v>
      </c>
    </row>
    <row r="3313" spans="1:5" ht="27">
      <c r="A3313" s="258">
        <v>97358</v>
      </c>
      <c r="B3313" s="257" t="s">
        <v>5666</v>
      </c>
      <c r="C3313" s="257" t="s">
        <v>5</v>
      </c>
      <c r="D3313" s="259" t="s">
        <v>16410</v>
      </c>
      <c r="E3313" s="210" t="s">
        <v>201</v>
      </c>
    </row>
    <row r="3314" spans="1:5" ht="27">
      <c r="A3314" s="258">
        <v>97498</v>
      </c>
      <c r="B3314" s="257" t="s">
        <v>5667</v>
      </c>
      <c r="C3314" s="257" t="s">
        <v>5</v>
      </c>
      <c r="D3314" s="259" t="s">
        <v>16246</v>
      </c>
      <c r="E3314" s="210" t="s">
        <v>201</v>
      </c>
    </row>
    <row r="3315" spans="1:5" ht="27">
      <c r="A3315" s="258">
        <v>97535</v>
      </c>
      <c r="B3315" s="257" t="s">
        <v>5668</v>
      </c>
      <c r="C3315" s="257" t="s">
        <v>5</v>
      </c>
      <c r="D3315" s="259" t="s">
        <v>16411</v>
      </c>
      <c r="E3315" s="210" t="s">
        <v>201</v>
      </c>
    </row>
    <row r="3316" spans="1:5" ht="27">
      <c r="A3316" s="258">
        <v>97536</v>
      </c>
      <c r="B3316" s="257" t="s">
        <v>5669</v>
      </c>
      <c r="C3316" s="257" t="s">
        <v>5</v>
      </c>
      <c r="D3316" s="259" t="s">
        <v>16412</v>
      </c>
      <c r="E3316" s="210" t="s">
        <v>201</v>
      </c>
    </row>
    <row r="3317" spans="1:5" ht="27">
      <c r="A3317" s="258">
        <v>100788</v>
      </c>
      <c r="B3317" s="257" t="s">
        <v>16413</v>
      </c>
      <c r="C3317" s="257" t="s">
        <v>90</v>
      </c>
      <c r="D3317" s="259" t="s">
        <v>16414</v>
      </c>
      <c r="E3317" s="210" t="s">
        <v>201</v>
      </c>
    </row>
    <row r="3318" spans="1:5" ht="27">
      <c r="A3318" s="258">
        <v>100791</v>
      </c>
      <c r="B3318" s="257" t="s">
        <v>16415</v>
      </c>
      <c r="C3318" s="257" t="s">
        <v>5</v>
      </c>
      <c r="D3318" s="259" t="s">
        <v>16416</v>
      </c>
      <c r="E3318" s="210" t="s">
        <v>201</v>
      </c>
    </row>
    <row r="3319" spans="1:5" ht="27">
      <c r="A3319" s="258">
        <v>100792</v>
      </c>
      <c r="B3319" s="257" t="s">
        <v>16417</v>
      </c>
      <c r="C3319" s="257" t="s">
        <v>5</v>
      </c>
      <c r="D3319" s="259" t="s">
        <v>14039</v>
      </c>
      <c r="E3319" s="210" t="s">
        <v>201</v>
      </c>
    </row>
    <row r="3320" spans="1:5" ht="27">
      <c r="A3320" s="258">
        <v>100793</v>
      </c>
      <c r="B3320" s="257" t="s">
        <v>16418</v>
      </c>
      <c r="C3320" s="257" t="s">
        <v>5</v>
      </c>
      <c r="D3320" s="259" t="s">
        <v>16419</v>
      </c>
      <c r="E3320" s="210" t="s">
        <v>201</v>
      </c>
    </row>
    <row r="3321" spans="1:5" ht="27">
      <c r="A3321" s="258">
        <v>100794</v>
      </c>
      <c r="B3321" s="257" t="s">
        <v>16420</v>
      </c>
      <c r="C3321" s="257" t="s">
        <v>5</v>
      </c>
      <c r="D3321" s="259" t="s">
        <v>16421</v>
      </c>
      <c r="E3321" s="210" t="s">
        <v>201</v>
      </c>
    </row>
    <row r="3322" spans="1:5" ht="27">
      <c r="A3322" s="258">
        <v>100803</v>
      </c>
      <c r="B3322" s="257" t="s">
        <v>16422</v>
      </c>
      <c r="C3322" s="257" t="s">
        <v>5</v>
      </c>
      <c r="D3322" s="259" t="s">
        <v>16423</v>
      </c>
      <c r="E3322" s="210" t="s">
        <v>201</v>
      </c>
    </row>
    <row r="3323" spans="1:5" ht="27">
      <c r="A3323" s="258">
        <v>100804</v>
      </c>
      <c r="B3323" s="257" t="s">
        <v>16424</v>
      </c>
      <c r="C3323" s="257" t="s">
        <v>5</v>
      </c>
      <c r="D3323" s="259" t="s">
        <v>16425</v>
      </c>
      <c r="E3323" s="210" t="s">
        <v>201</v>
      </c>
    </row>
    <row r="3324" spans="1:5" ht="27">
      <c r="A3324" s="258">
        <v>100805</v>
      </c>
      <c r="B3324" s="257" t="s">
        <v>16426</v>
      </c>
      <c r="C3324" s="257" t="s">
        <v>5</v>
      </c>
      <c r="D3324" s="259" t="s">
        <v>16427</v>
      </c>
      <c r="E3324" s="210" t="s">
        <v>201</v>
      </c>
    </row>
    <row r="3325" spans="1:5" ht="27">
      <c r="A3325" s="258">
        <v>100806</v>
      </c>
      <c r="B3325" s="257" t="s">
        <v>16428</v>
      </c>
      <c r="C3325" s="257" t="s">
        <v>5</v>
      </c>
      <c r="D3325" s="259" t="s">
        <v>15599</v>
      </c>
      <c r="E3325" s="210" t="s">
        <v>201</v>
      </c>
    </row>
    <row r="3326" spans="1:5" ht="13.5">
      <c r="A3326" s="258">
        <v>72293</v>
      </c>
      <c r="B3326" s="257" t="s">
        <v>2520</v>
      </c>
      <c r="C3326" s="257" t="s">
        <v>90</v>
      </c>
      <c r="D3326" s="259" t="s">
        <v>16429</v>
      </c>
      <c r="E3326" s="210" t="s">
        <v>201</v>
      </c>
    </row>
    <row r="3327" spans="1:5" ht="13.5">
      <c r="A3327" s="258">
        <v>72306</v>
      </c>
      <c r="B3327" s="257" t="s">
        <v>2521</v>
      </c>
      <c r="C3327" s="257" t="s">
        <v>90</v>
      </c>
      <c r="D3327" s="259" t="s">
        <v>16430</v>
      </c>
      <c r="E3327" s="210" t="s">
        <v>201</v>
      </c>
    </row>
    <row r="3328" spans="1:5" ht="13.5">
      <c r="A3328" s="258">
        <v>72307</v>
      </c>
      <c r="B3328" s="257" t="s">
        <v>2522</v>
      </c>
      <c r="C3328" s="257" t="s">
        <v>90</v>
      </c>
      <c r="D3328" s="259" t="s">
        <v>16431</v>
      </c>
      <c r="E3328" s="210" t="s">
        <v>201</v>
      </c>
    </row>
    <row r="3329" spans="1:5" ht="13.5">
      <c r="A3329" s="258">
        <v>72313</v>
      </c>
      <c r="B3329" s="257" t="s">
        <v>2523</v>
      </c>
      <c r="C3329" s="257" t="s">
        <v>90</v>
      </c>
      <c r="D3329" s="259" t="s">
        <v>16432</v>
      </c>
      <c r="E3329" s="210" t="s">
        <v>201</v>
      </c>
    </row>
    <row r="3330" spans="1:5" ht="13.5">
      <c r="A3330" s="258">
        <v>72482</v>
      </c>
      <c r="B3330" s="257" t="s">
        <v>2524</v>
      </c>
      <c r="C3330" s="257" t="s">
        <v>90</v>
      </c>
      <c r="D3330" s="259" t="s">
        <v>16433</v>
      </c>
      <c r="E3330" s="210" t="s">
        <v>201</v>
      </c>
    </row>
    <row r="3331" spans="1:5" ht="13.5">
      <c r="A3331" s="258">
        <v>72619</v>
      </c>
      <c r="B3331" s="257" t="s">
        <v>2525</v>
      </c>
      <c r="C3331" s="257" t="s">
        <v>90</v>
      </c>
      <c r="D3331" s="259" t="s">
        <v>16434</v>
      </c>
      <c r="E3331" s="210" t="s">
        <v>201</v>
      </c>
    </row>
    <row r="3332" spans="1:5" ht="13.5">
      <c r="A3332" s="258">
        <v>72620</v>
      </c>
      <c r="B3332" s="257" t="s">
        <v>2526</v>
      </c>
      <c r="C3332" s="257" t="s">
        <v>90</v>
      </c>
      <c r="D3332" s="259" t="s">
        <v>16435</v>
      </c>
      <c r="E3332" s="210" t="s">
        <v>201</v>
      </c>
    </row>
    <row r="3333" spans="1:5" ht="13.5">
      <c r="A3333" s="258">
        <v>72621</v>
      </c>
      <c r="B3333" s="257" t="s">
        <v>2527</v>
      </c>
      <c r="C3333" s="257" t="s">
        <v>90</v>
      </c>
      <c r="D3333" s="259" t="s">
        <v>16436</v>
      </c>
      <c r="E3333" s="210" t="s">
        <v>201</v>
      </c>
    </row>
    <row r="3334" spans="1:5" ht="13.5">
      <c r="A3334" s="258">
        <v>72667</v>
      </c>
      <c r="B3334" s="257" t="s">
        <v>2528</v>
      </c>
      <c r="C3334" s="257" t="s">
        <v>90</v>
      </c>
      <c r="D3334" s="259" t="s">
        <v>16437</v>
      </c>
      <c r="E3334" s="210" t="s">
        <v>201</v>
      </c>
    </row>
    <row r="3335" spans="1:5" ht="13.5">
      <c r="A3335" s="258">
        <v>72668</v>
      </c>
      <c r="B3335" s="257" t="s">
        <v>2529</v>
      </c>
      <c r="C3335" s="257" t="s">
        <v>90</v>
      </c>
      <c r="D3335" s="259" t="s">
        <v>16438</v>
      </c>
      <c r="E3335" s="210" t="s">
        <v>201</v>
      </c>
    </row>
    <row r="3336" spans="1:5" ht="13.5">
      <c r="A3336" s="258">
        <v>72669</v>
      </c>
      <c r="B3336" s="257" t="s">
        <v>2530</v>
      </c>
      <c r="C3336" s="257" t="s">
        <v>90</v>
      </c>
      <c r="D3336" s="259" t="s">
        <v>16439</v>
      </c>
      <c r="E3336" s="210" t="s">
        <v>201</v>
      </c>
    </row>
    <row r="3337" spans="1:5" ht="13.5">
      <c r="A3337" s="258">
        <v>72681</v>
      </c>
      <c r="B3337" s="257" t="s">
        <v>2531</v>
      </c>
      <c r="C3337" s="257" t="s">
        <v>90</v>
      </c>
      <c r="D3337" s="259" t="s">
        <v>16440</v>
      </c>
      <c r="E3337" s="210" t="s">
        <v>201</v>
      </c>
    </row>
    <row r="3338" spans="1:5" ht="13.5">
      <c r="A3338" s="258">
        <v>72682</v>
      </c>
      <c r="B3338" s="257" t="s">
        <v>2532</v>
      </c>
      <c r="C3338" s="257" t="s">
        <v>90</v>
      </c>
      <c r="D3338" s="259" t="s">
        <v>16441</v>
      </c>
      <c r="E3338" s="210" t="s">
        <v>201</v>
      </c>
    </row>
    <row r="3339" spans="1:5" ht="13.5">
      <c r="A3339" s="258">
        <v>72683</v>
      </c>
      <c r="B3339" s="257" t="s">
        <v>2533</v>
      </c>
      <c r="C3339" s="257" t="s">
        <v>90</v>
      </c>
      <c r="D3339" s="259" t="s">
        <v>16442</v>
      </c>
      <c r="E3339" s="210" t="s">
        <v>201</v>
      </c>
    </row>
    <row r="3340" spans="1:5" ht="13.5">
      <c r="A3340" s="258">
        <v>72719</v>
      </c>
      <c r="B3340" s="257" t="s">
        <v>2534</v>
      </c>
      <c r="C3340" s="257" t="s">
        <v>90</v>
      </c>
      <c r="D3340" s="259" t="s">
        <v>16443</v>
      </c>
      <c r="E3340" s="210" t="s">
        <v>201</v>
      </c>
    </row>
    <row r="3341" spans="1:5" ht="13.5">
      <c r="A3341" s="258">
        <v>72720</v>
      </c>
      <c r="B3341" s="257" t="s">
        <v>2535</v>
      </c>
      <c r="C3341" s="257" t="s">
        <v>90</v>
      </c>
      <c r="D3341" s="259" t="s">
        <v>16444</v>
      </c>
      <c r="E3341" s="210" t="s">
        <v>201</v>
      </c>
    </row>
    <row r="3342" spans="1:5" ht="13.5">
      <c r="A3342" s="258">
        <v>72721</v>
      </c>
      <c r="B3342" s="257" t="s">
        <v>2536</v>
      </c>
      <c r="C3342" s="257" t="s">
        <v>90</v>
      </c>
      <c r="D3342" s="259" t="s">
        <v>16445</v>
      </c>
      <c r="E3342" s="210" t="s">
        <v>201</v>
      </c>
    </row>
    <row r="3343" spans="1:5" ht="27">
      <c r="A3343" s="258">
        <v>89358</v>
      </c>
      <c r="B3343" s="257" t="s">
        <v>2537</v>
      </c>
      <c r="C3343" s="257" t="s">
        <v>90</v>
      </c>
      <c r="D3343" s="259" t="s">
        <v>15718</v>
      </c>
      <c r="E3343" s="210" t="s">
        <v>201</v>
      </c>
    </row>
    <row r="3344" spans="1:5" ht="27">
      <c r="A3344" s="258">
        <v>89359</v>
      </c>
      <c r="B3344" s="257" t="s">
        <v>2538</v>
      </c>
      <c r="C3344" s="257" t="s">
        <v>90</v>
      </c>
      <c r="D3344" s="259" t="s">
        <v>16446</v>
      </c>
      <c r="E3344" s="210" t="s">
        <v>201</v>
      </c>
    </row>
    <row r="3345" spans="1:5" ht="27">
      <c r="A3345" s="258">
        <v>89360</v>
      </c>
      <c r="B3345" s="257" t="s">
        <v>2539</v>
      </c>
      <c r="C3345" s="257" t="s">
        <v>90</v>
      </c>
      <c r="D3345" s="259" t="s">
        <v>14138</v>
      </c>
      <c r="E3345" s="210" t="s">
        <v>201</v>
      </c>
    </row>
    <row r="3346" spans="1:5" ht="27">
      <c r="A3346" s="258">
        <v>89361</v>
      </c>
      <c r="B3346" s="257" t="s">
        <v>2540</v>
      </c>
      <c r="C3346" s="257" t="s">
        <v>90</v>
      </c>
      <c r="D3346" s="259" t="s">
        <v>15848</v>
      </c>
      <c r="E3346" s="210" t="s">
        <v>201</v>
      </c>
    </row>
    <row r="3347" spans="1:5" ht="27">
      <c r="A3347" s="258">
        <v>89362</v>
      </c>
      <c r="B3347" s="257" t="s">
        <v>2541</v>
      </c>
      <c r="C3347" s="257" t="s">
        <v>90</v>
      </c>
      <c r="D3347" s="259" t="s">
        <v>15456</v>
      </c>
      <c r="E3347" s="210" t="s">
        <v>201</v>
      </c>
    </row>
    <row r="3348" spans="1:5" ht="27">
      <c r="A3348" s="258">
        <v>89363</v>
      </c>
      <c r="B3348" s="257" t="s">
        <v>2542</v>
      </c>
      <c r="C3348" s="257" t="s">
        <v>90</v>
      </c>
      <c r="D3348" s="259" t="s">
        <v>16447</v>
      </c>
      <c r="E3348" s="210" t="s">
        <v>201</v>
      </c>
    </row>
    <row r="3349" spans="1:5" ht="27">
      <c r="A3349" s="258">
        <v>89364</v>
      </c>
      <c r="B3349" s="257" t="s">
        <v>2543</v>
      </c>
      <c r="C3349" s="257" t="s">
        <v>90</v>
      </c>
      <c r="D3349" s="259" t="s">
        <v>16448</v>
      </c>
      <c r="E3349" s="210" t="s">
        <v>201</v>
      </c>
    </row>
    <row r="3350" spans="1:5" ht="27">
      <c r="A3350" s="258">
        <v>89365</v>
      </c>
      <c r="B3350" s="257" t="s">
        <v>2544</v>
      </c>
      <c r="C3350" s="257" t="s">
        <v>90</v>
      </c>
      <c r="D3350" s="259" t="s">
        <v>16449</v>
      </c>
      <c r="E3350" s="210" t="s">
        <v>201</v>
      </c>
    </row>
    <row r="3351" spans="1:5" ht="27">
      <c r="A3351" s="258">
        <v>89366</v>
      </c>
      <c r="B3351" s="257" t="s">
        <v>2545</v>
      </c>
      <c r="C3351" s="257" t="s">
        <v>90</v>
      </c>
      <c r="D3351" s="259" t="s">
        <v>16450</v>
      </c>
      <c r="E3351" s="210" t="s">
        <v>201</v>
      </c>
    </row>
    <row r="3352" spans="1:5" ht="27">
      <c r="A3352" s="258">
        <v>89367</v>
      </c>
      <c r="B3352" s="257" t="s">
        <v>2546</v>
      </c>
      <c r="C3352" s="257" t="s">
        <v>90</v>
      </c>
      <c r="D3352" s="259" t="s">
        <v>15745</v>
      </c>
      <c r="E3352" s="210" t="s">
        <v>201</v>
      </c>
    </row>
    <row r="3353" spans="1:5" ht="27">
      <c r="A3353" s="258">
        <v>89368</v>
      </c>
      <c r="B3353" s="257" t="s">
        <v>2547</v>
      </c>
      <c r="C3353" s="257" t="s">
        <v>90</v>
      </c>
      <c r="D3353" s="259" t="s">
        <v>15783</v>
      </c>
      <c r="E3353" s="210" t="s">
        <v>201</v>
      </c>
    </row>
    <row r="3354" spans="1:5" ht="27">
      <c r="A3354" s="258">
        <v>89369</v>
      </c>
      <c r="B3354" s="257" t="s">
        <v>2548</v>
      </c>
      <c r="C3354" s="257" t="s">
        <v>90</v>
      </c>
      <c r="D3354" s="259" t="s">
        <v>13527</v>
      </c>
      <c r="E3354" s="210" t="s">
        <v>201</v>
      </c>
    </row>
    <row r="3355" spans="1:5" ht="27">
      <c r="A3355" s="258">
        <v>89370</v>
      </c>
      <c r="B3355" s="257" t="s">
        <v>2549</v>
      </c>
      <c r="C3355" s="257" t="s">
        <v>90</v>
      </c>
      <c r="D3355" s="259" t="s">
        <v>16451</v>
      </c>
      <c r="E3355" s="210" t="s">
        <v>201</v>
      </c>
    </row>
    <row r="3356" spans="1:5" ht="27">
      <c r="A3356" s="258">
        <v>89371</v>
      </c>
      <c r="B3356" s="257" t="s">
        <v>2550</v>
      </c>
      <c r="C3356" s="257" t="s">
        <v>90</v>
      </c>
      <c r="D3356" s="259" t="s">
        <v>13761</v>
      </c>
      <c r="E3356" s="210" t="s">
        <v>201</v>
      </c>
    </row>
    <row r="3357" spans="1:5" ht="27">
      <c r="A3357" s="258">
        <v>89372</v>
      </c>
      <c r="B3357" s="257" t="s">
        <v>2551</v>
      </c>
      <c r="C3357" s="257" t="s">
        <v>90</v>
      </c>
      <c r="D3357" s="259" t="s">
        <v>14271</v>
      </c>
      <c r="E3357" s="210" t="s">
        <v>201</v>
      </c>
    </row>
    <row r="3358" spans="1:5" ht="27">
      <c r="A3358" s="258">
        <v>89373</v>
      </c>
      <c r="B3358" s="257" t="s">
        <v>235</v>
      </c>
      <c r="C3358" s="257" t="s">
        <v>90</v>
      </c>
      <c r="D3358" s="259" t="s">
        <v>13619</v>
      </c>
      <c r="E3358" s="210" t="s">
        <v>201</v>
      </c>
    </row>
    <row r="3359" spans="1:5" ht="27">
      <c r="A3359" s="258">
        <v>89374</v>
      </c>
      <c r="B3359" s="257" t="s">
        <v>2552</v>
      </c>
      <c r="C3359" s="257" t="s">
        <v>90</v>
      </c>
      <c r="D3359" s="259" t="s">
        <v>16452</v>
      </c>
      <c r="E3359" s="210" t="s">
        <v>201</v>
      </c>
    </row>
    <row r="3360" spans="1:5" ht="27">
      <c r="A3360" s="258">
        <v>89375</v>
      </c>
      <c r="B3360" s="257" t="s">
        <v>2553</v>
      </c>
      <c r="C3360" s="257" t="s">
        <v>90</v>
      </c>
      <c r="D3360" s="259" t="s">
        <v>16453</v>
      </c>
      <c r="E3360" s="210" t="s">
        <v>201</v>
      </c>
    </row>
    <row r="3361" spans="1:5" ht="27">
      <c r="A3361" s="258">
        <v>89376</v>
      </c>
      <c r="B3361" s="257" t="s">
        <v>2554</v>
      </c>
      <c r="C3361" s="257" t="s">
        <v>90</v>
      </c>
      <c r="D3361" s="259" t="s">
        <v>16454</v>
      </c>
      <c r="E3361" s="210" t="s">
        <v>201</v>
      </c>
    </row>
    <row r="3362" spans="1:5" ht="27">
      <c r="A3362" s="258">
        <v>89377</v>
      </c>
      <c r="B3362" s="257" t="s">
        <v>2555</v>
      </c>
      <c r="C3362" s="257" t="s">
        <v>90</v>
      </c>
      <c r="D3362" s="259" t="s">
        <v>15463</v>
      </c>
      <c r="E3362" s="210" t="s">
        <v>201</v>
      </c>
    </row>
    <row r="3363" spans="1:5" ht="27">
      <c r="A3363" s="258">
        <v>89378</v>
      </c>
      <c r="B3363" s="257" t="s">
        <v>2556</v>
      </c>
      <c r="C3363" s="257" t="s">
        <v>90</v>
      </c>
      <c r="D3363" s="259" t="s">
        <v>15466</v>
      </c>
      <c r="E3363" s="210" t="s">
        <v>201</v>
      </c>
    </row>
    <row r="3364" spans="1:5" ht="27">
      <c r="A3364" s="258">
        <v>89379</v>
      </c>
      <c r="B3364" s="257" t="s">
        <v>2557</v>
      </c>
      <c r="C3364" s="257" t="s">
        <v>90</v>
      </c>
      <c r="D3364" s="259" t="s">
        <v>16455</v>
      </c>
      <c r="E3364" s="210" t="s">
        <v>201</v>
      </c>
    </row>
    <row r="3365" spans="1:5" ht="27">
      <c r="A3365" s="258">
        <v>89380</v>
      </c>
      <c r="B3365" s="257" t="s">
        <v>236</v>
      </c>
      <c r="C3365" s="257" t="s">
        <v>90</v>
      </c>
      <c r="D3365" s="259" t="s">
        <v>14648</v>
      </c>
      <c r="E3365" s="210" t="s">
        <v>201</v>
      </c>
    </row>
    <row r="3366" spans="1:5" ht="27">
      <c r="A3366" s="258">
        <v>89381</v>
      </c>
      <c r="B3366" s="257" t="s">
        <v>2558</v>
      </c>
      <c r="C3366" s="257" t="s">
        <v>90</v>
      </c>
      <c r="D3366" s="259" t="s">
        <v>16456</v>
      </c>
      <c r="E3366" s="210" t="s">
        <v>201</v>
      </c>
    </row>
    <row r="3367" spans="1:5" ht="27">
      <c r="A3367" s="258">
        <v>89382</v>
      </c>
      <c r="B3367" s="257" t="s">
        <v>2559</v>
      </c>
      <c r="C3367" s="257" t="s">
        <v>90</v>
      </c>
      <c r="D3367" s="259" t="s">
        <v>15783</v>
      </c>
      <c r="E3367" s="210" t="s">
        <v>201</v>
      </c>
    </row>
    <row r="3368" spans="1:5" ht="27">
      <c r="A3368" s="258">
        <v>89383</v>
      </c>
      <c r="B3368" s="257" t="s">
        <v>2560</v>
      </c>
      <c r="C3368" s="257" t="s">
        <v>90</v>
      </c>
      <c r="D3368" s="259" t="s">
        <v>16457</v>
      </c>
      <c r="E3368" s="210" t="s">
        <v>201</v>
      </c>
    </row>
    <row r="3369" spans="1:5" ht="27">
      <c r="A3369" s="258">
        <v>89384</v>
      </c>
      <c r="B3369" s="257" t="s">
        <v>2561</v>
      </c>
      <c r="C3369" s="257" t="s">
        <v>90</v>
      </c>
      <c r="D3369" s="259" t="s">
        <v>16458</v>
      </c>
      <c r="E3369" s="210" t="s">
        <v>201</v>
      </c>
    </row>
    <row r="3370" spans="1:5" ht="27">
      <c r="A3370" s="258">
        <v>89385</v>
      </c>
      <c r="B3370" s="257" t="s">
        <v>2562</v>
      </c>
      <c r="C3370" s="257" t="s">
        <v>90</v>
      </c>
      <c r="D3370" s="259" t="s">
        <v>16459</v>
      </c>
      <c r="E3370" s="210" t="s">
        <v>201</v>
      </c>
    </row>
    <row r="3371" spans="1:5" ht="27">
      <c r="A3371" s="258">
        <v>89386</v>
      </c>
      <c r="B3371" s="257" t="s">
        <v>2563</v>
      </c>
      <c r="C3371" s="257" t="s">
        <v>90</v>
      </c>
      <c r="D3371" s="259" t="s">
        <v>16460</v>
      </c>
      <c r="E3371" s="210" t="s">
        <v>201</v>
      </c>
    </row>
    <row r="3372" spans="1:5" ht="27">
      <c r="A3372" s="258">
        <v>89387</v>
      </c>
      <c r="B3372" s="257" t="s">
        <v>2564</v>
      </c>
      <c r="C3372" s="257" t="s">
        <v>90</v>
      </c>
      <c r="D3372" s="259" t="s">
        <v>16461</v>
      </c>
      <c r="E3372" s="210" t="s">
        <v>201</v>
      </c>
    </row>
    <row r="3373" spans="1:5" ht="27">
      <c r="A3373" s="258">
        <v>89388</v>
      </c>
      <c r="B3373" s="257" t="s">
        <v>2565</v>
      </c>
      <c r="C3373" s="257" t="s">
        <v>90</v>
      </c>
      <c r="D3373" s="259" t="s">
        <v>14479</v>
      </c>
      <c r="E3373" s="210" t="s">
        <v>201</v>
      </c>
    </row>
    <row r="3374" spans="1:5" ht="27">
      <c r="A3374" s="258">
        <v>89389</v>
      </c>
      <c r="B3374" s="257" t="s">
        <v>2566</v>
      </c>
      <c r="C3374" s="257" t="s">
        <v>90</v>
      </c>
      <c r="D3374" s="259" t="s">
        <v>16456</v>
      </c>
      <c r="E3374" s="210" t="s">
        <v>201</v>
      </c>
    </row>
    <row r="3375" spans="1:5" ht="27">
      <c r="A3375" s="258">
        <v>89390</v>
      </c>
      <c r="B3375" s="257" t="s">
        <v>2567</v>
      </c>
      <c r="C3375" s="257" t="s">
        <v>90</v>
      </c>
      <c r="D3375" s="259" t="s">
        <v>16462</v>
      </c>
      <c r="E3375" s="210" t="s">
        <v>201</v>
      </c>
    </row>
    <row r="3376" spans="1:5" ht="27">
      <c r="A3376" s="258">
        <v>89391</v>
      </c>
      <c r="B3376" s="257" t="s">
        <v>2568</v>
      </c>
      <c r="C3376" s="257" t="s">
        <v>90</v>
      </c>
      <c r="D3376" s="259" t="s">
        <v>16463</v>
      </c>
      <c r="E3376" s="210" t="s">
        <v>201</v>
      </c>
    </row>
    <row r="3377" spans="1:5" ht="27">
      <c r="A3377" s="258">
        <v>89392</v>
      </c>
      <c r="B3377" s="257" t="s">
        <v>2569</v>
      </c>
      <c r="C3377" s="257" t="s">
        <v>90</v>
      </c>
      <c r="D3377" s="259" t="s">
        <v>16464</v>
      </c>
      <c r="E3377" s="210" t="s">
        <v>201</v>
      </c>
    </row>
    <row r="3378" spans="1:5" ht="27">
      <c r="A3378" s="258">
        <v>89393</v>
      </c>
      <c r="B3378" s="257" t="s">
        <v>2570</v>
      </c>
      <c r="C3378" s="257" t="s">
        <v>90</v>
      </c>
      <c r="D3378" s="259" t="s">
        <v>16449</v>
      </c>
      <c r="E3378" s="210" t="s">
        <v>201</v>
      </c>
    </row>
    <row r="3379" spans="1:5" ht="27">
      <c r="A3379" s="258">
        <v>89394</v>
      </c>
      <c r="B3379" s="257" t="s">
        <v>2571</v>
      </c>
      <c r="C3379" s="257" t="s">
        <v>90</v>
      </c>
      <c r="D3379" s="259" t="s">
        <v>16465</v>
      </c>
      <c r="E3379" s="210" t="s">
        <v>201</v>
      </c>
    </row>
    <row r="3380" spans="1:5" ht="27">
      <c r="A3380" s="258">
        <v>89395</v>
      </c>
      <c r="B3380" s="257" t="s">
        <v>2572</v>
      </c>
      <c r="C3380" s="257" t="s">
        <v>90</v>
      </c>
      <c r="D3380" s="259" t="s">
        <v>16466</v>
      </c>
      <c r="E3380" s="210" t="s">
        <v>201</v>
      </c>
    </row>
    <row r="3381" spans="1:5" ht="27">
      <c r="A3381" s="258">
        <v>89396</v>
      </c>
      <c r="B3381" s="257" t="s">
        <v>2573</v>
      </c>
      <c r="C3381" s="257" t="s">
        <v>90</v>
      </c>
      <c r="D3381" s="259" t="s">
        <v>15597</v>
      </c>
      <c r="E3381" s="210" t="s">
        <v>201</v>
      </c>
    </row>
    <row r="3382" spans="1:5" ht="27">
      <c r="A3382" s="258">
        <v>89397</v>
      </c>
      <c r="B3382" s="257" t="s">
        <v>2574</v>
      </c>
      <c r="C3382" s="257" t="s">
        <v>90</v>
      </c>
      <c r="D3382" s="259" t="s">
        <v>13913</v>
      </c>
      <c r="E3382" s="210" t="s">
        <v>201</v>
      </c>
    </row>
    <row r="3383" spans="1:5" ht="27">
      <c r="A3383" s="258">
        <v>89398</v>
      </c>
      <c r="B3383" s="257" t="s">
        <v>2575</v>
      </c>
      <c r="C3383" s="257" t="s">
        <v>90</v>
      </c>
      <c r="D3383" s="259" t="s">
        <v>16467</v>
      </c>
      <c r="E3383" s="210" t="s">
        <v>201</v>
      </c>
    </row>
    <row r="3384" spans="1:5" ht="27">
      <c r="A3384" s="258">
        <v>89399</v>
      </c>
      <c r="B3384" s="257" t="s">
        <v>2576</v>
      </c>
      <c r="C3384" s="257" t="s">
        <v>90</v>
      </c>
      <c r="D3384" s="259" t="s">
        <v>16468</v>
      </c>
      <c r="E3384" s="210" t="s">
        <v>201</v>
      </c>
    </row>
    <row r="3385" spans="1:5" ht="27">
      <c r="A3385" s="258">
        <v>89400</v>
      </c>
      <c r="B3385" s="257" t="s">
        <v>2577</v>
      </c>
      <c r="C3385" s="257" t="s">
        <v>90</v>
      </c>
      <c r="D3385" s="259" t="s">
        <v>15805</v>
      </c>
      <c r="E3385" s="210" t="s">
        <v>201</v>
      </c>
    </row>
    <row r="3386" spans="1:5" ht="27">
      <c r="A3386" s="258">
        <v>89404</v>
      </c>
      <c r="B3386" s="257" t="s">
        <v>2578</v>
      </c>
      <c r="C3386" s="257" t="s">
        <v>90</v>
      </c>
      <c r="D3386" s="259" t="s">
        <v>16469</v>
      </c>
      <c r="E3386" s="210" t="s">
        <v>201</v>
      </c>
    </row>
    <row r="3387" spans="1:5" ht="27">
      <c r="A3387" s="258">
        <v>89405</v>
      </c>
      <c r="B3387" s="257" t="s">
        <v>2579</v>
      </c>
      <c r="C3387" s="257" t="s">
        <v>90</v>
      </c>
      <c r="D3387" s="259" t="s">
        <v>16470</v>
      </c>
      <c r="E3387" s="210" t="s">
        <v>201</v>
      </c>
    </row>
    <row r="3388" spans="1:5" ht="27">
      <c r="A3388" s="258">
        <v>89406</v>
      </c>
      <c r="B3388" s="257" t="s">
        <v>2580</v>
      </c>
      <c r="C3388" s="257" t="s">
        <v>90</v>
      </c>
      <c r="D3388" s="259" t="s">
        <v>16471</v>
      </c>
      <c r="E3388" s="210" t="s">
        <v>201</v>
      </c>
    </row>
    <row r="3389" spans="1:5" ht="27">
      <c r="A3389" s="258">
        <v>89407</v>
      </c>
      <c r="B3389" s="257" t="s">
        <v>2581</v>
      </c>
      <c r="C3389" s="257" t="s">
        <v>90</v>
      </c>
      <c r="D3389" s="259" t="s">
        <v>13619</v>
      </c>
      <c r="E3389" s="210" t="s">
        <v>201</v>
      </c>
    </row>
    <row r="3390" spans="1:5" ht="27">
      <c r="A3390" s="258">
        <v>89408</v>
      </c>
      <c r="B3390" s="257" t="s">
        <v>223</v>
      </c>
      <c r="C3390" s="257" t="s">
        <v>90</v>
      </c>
      <c r="D3390" s="259" t="s">
        <v>16472</v>
      </c>
      <c r="E3390" s="210" t="s">
        <v>201</v>
      </c>
    </row>
    <row r="3391" spans="1:5" ht="27">
      <c r="A3391" s="258">
        <v>89409</v>
      </c>
      <c r="B3391" s="257" t="s">
        <v>2582</v>
      </c>
      <c r="C3391" s="257" t="s">
        <v>90</v>
      </c>
      <c r="D3391" s="259" t="s">
        <v>13620</v>
      </c>
      <c r="E3391" s="210" t="s">
        <v>201</v>
      </c>
    </row>
    <row r="3392" spans="1:5" ht="27">
      <c r="A3392" s="258">
        <v>89410</v>
      </c>
      <c r="B3392" s="257" t="s">
        <v>2583</v>
      </c>
      <c r="C3392" s="257" t="s">
        <v>90</v>
      </c>
      <c r="D3392" s="259" t="s">
        <v>13634</v>
      </c>
      <c r="E3392" s="210" t="s">
        <v>201</v>
      </c>
    </row>
    <row r="3393" spans="1:5" ht="27">
      <c r="A3393" s="258">
        <v>89411</v>
      </c>
      <c r="B3393" s="257" t="s">
        <v>2584</v>
      </c>
      <c r="C3393" s="257" t="s">
        <v>90</v>
      </c>
      <c r="D3393" s="259" t="s">
        <v>14657</v>
      </c>
      <c r="E3393" s="210" t="s">
        <v>201</v>
      </c>
    </row>
    <row r="3394" spans="1:5" ht="27">
      <c r="A3394" s="258">
        <v>89412</v>
      </c>
      <c r="B3394" s="257" t="s">
        <v>2585</v>
      </c>
      <c r="C3394" s="257" t="s">
        <v>90</v>
      </c>
      <c r="D3394" s="259" t="s">
        <v>14737</v>
      </c>
      <c r="E3394" s="210" t="s">
        <v>201</v>
      </c>
    </row>
    <row r="3395" spans="1:5" ht="27">
      <c r="A3395" s="258">
        <v>89413</v>
      </c>
      <c r="B3395" s="257" t="s">
        <v>224</v>
      </c>
      <c r="C3395" s="257" t="s">
        <v>90</v>
      </c>
      <c r="D3395" s="259" t="s">
        <v>15464</v>
      </c>
      <c r="E3395" s="210" t="s">
        <v>201</v>
      </c>
    </row>
    <row r="3396" spans="1:5" ht="27">
      <c r="A3396" s="258">
        <v>89414</v>
      </c>
      <c r="B3396" s="257" t="s">
        <v>2586</v>
      </c>
      <c r="C3396" s="257" t="s">
        <v>90</v>
      </c>
      <c r="D3396" s="259" t="s">
        <v>16473</v>
      </c>
      <c r="E3396" s="210" t="s">
        <v>201</v>
      </c>
    </row>
    <row r="3397" spans="1:5" ht="27">
      <c r="A3397" s="258">
        <v>89415</v>
      </c>
      <c r="B3397" s="257" t="s">
        <v>2587</v>
      </c>
      <c r="C3397" s="257" t="s">
        <v>90</v>
      </c>
      <c r="D3397" s="259" t="s">
        <v>16474</v>
      </c>
      <c r="E3397" s="210" t="s">
        <v>201</v>
      </c>
    </row>
    <row r="3398" spans="1:5" ht="27">
      <c r="A3398" s="258">
        <v>89416</v>
      </c>
      <c r="B3398" s="257" t="s">
        <v>2588</v>
      </c>
      <c r="C3398" s="257" t="s">
        <v>90</v>
      </c>
      <c r="D3398" s="259" t="s">
        <v>16475</v>
      </c>
      <c r="E3398" s="210" t="s">
        <v>201</v>
      </c>
    </row>
    <row r="3399" spans="1:5" ht="27">
      <c r="A3399" s="258">
        <v>89417</v>
      </c>
      <c r="B3399" s="257" t="s">
        <v>2589</v>
      </c>
      <c r="C3399" s="257" t="s">
        <v>90</v>
      </c>
      <c r="D3399" s="259" t="s">
        <v>14342</v>
      </c>
      <c r="E3399" s="210" t="s">
        <v>201</v>
      </c>
    </row>
    <row r="3400" spans="1:5" ht="27">
      <c r="A3400" s="258">
        <v>89418</v>
      </c>
      <c r="B3400" s="257" t="s">
        <v>2590</v>
      </c>
      <c r="C3400" s="257" t="s">
        <v>90</v>
      </c>
      <c r="D3400" s="259" t="s">
        <v>16476</v>
      </c>
      <c r="E3400" s="210" t="s">
        <v>201</v>
      </c>
    </row>
    <row r="3401" spans="1:5" ht="27">
      <c r="A3401" s="258">
        <v>89419</v>
      </c>
      <c r="B3401" s="257" t="s">
        <v>2591</v>
      </c>
      <c r="C3401" s="257" t="s">
        <v>90</v>
      </c>
      <c r="D3401" s="259" t="s">
        <v>16477</v>
      </c>
      <c r="E3401" s="210" t="s">
        <v>201</v>
      </c>
    </row>
    <row r="3402" spans="1:5" ht="27">
      <c r="A3402" s="258">
        <v>89420</v>
      </c>
      <c r="B3402" s="257" t="s">
        <v>2592</v>
      </c>
      <c r="C3402" s="257" t="s">
        <v>90</v>
      </c>
      <c r="D3402" s="259" t="s">
        <v>16478</v>
      </c>
      <c r="E3402" s="210" t="s">
        <v>201</v>
      </c>
    </row>
    <row r="3403" spans="1:5" ht="27">
      <c r="A3403" s="258">
        <v>89421</v>
      </c>
      <c r="B3403" s="257" t="s">
        <v>2593</v>
      </c>
      <c r="C3403" s="257" t="s">
        <v>90</v>
      </c>
      <c r="D3403" s="259" t="s">
        <v>13524</v>
      </c>
      <c r="E3403" s="210" t="s">
        <v>201</v>
      </c>
    </row>
    <row r="3404" spans="1:5" ht="27">
      <c r="A3404" s="258">
        <v>89422</v>
      </c>
      <c r="B3404" s="257" t="s">
        <v>2594</v>
      </c>
      <c r="C3404" s="257" t="s">
        <v>90</v>
      </c>
      <c r="D3404" s="259" t="s">
        <v>16479</v>
      </c>
      <c r="E3404" s="210" t="s">
        <v>201</v>
      </c>
    </row>
    <row r="3405" spans="1:5" ht="27">
      <c r="A3405" s="258">
        <v>89423</v>
      </c>
      <c r="B3405" s="257" t="s">
        <v>2595</v>
      </c>
      <c r="C3405" s="257" t="s">
        <v>90</v>
      </c>
      <c r="D3405" s="259" t="s">
        <v>16480</v>
      </c>
      <c r="E3405" s="210" t="s">
        <v>201</v>
      </c>
    </row>
    <row r="3406" spans="1:5" ht="27">
      <c r="A3406" s="258">
        <v>89424</v>
      </c>
      <c r="B3406" s="257" t="s">
        <v>2596</v>
      </c>
      <c r="C3406" s="257" t="s">
        <v>90</v>
      </c>
      <c r="D3406" s="259" t="s">
        <v>14462</v>
      </c>
      <c r="E3406" s="210" t="s">
        <v>201</v>
      </c>
    </row>
    <row r="3407" spans="1:5" ht="27">
      <c r="A3407" s="258">
        <v>89425</v>
      </c>
      <c r="B3407" s="257" t="s">
        <v>2597</v>
      </c>
      <c r="C3407" s="257" t="s">
        <v>90</v>
      </c>
      <c r="D3407" s="259" t="s">
        <v>16481</v>
      </c>
      <c r="E3407" s="210" t="s">
        <v>201</v>
      </c>
    </row>
    <row r="3408" spans="1:5" ht="27">
      <c r="A3408" s="258">
        <v>89426</v>
      </c>
      <c r="B3408" s="257" t="s">
        <v>2598</v>
      </c>
      <c r="C3408" s="257" t="s">
        <v>90</v>
      </c>
      <c r="D3408" s="259" t="s">
        <v>16482</v>
      </c>
      <c r="E3408" s="210" t="s">
        <v>201</v>
      </c>
    </row>
    <row r="3409" spans="1:5" ht="27">
      <c r="A3409" s="258">
        <v>89427</v>
      </c>
      <c r="B3409" s="257" t="s">
        <v>2599</v>
      </c>
      <c r="C3409" s="257" t="s">
        <v>90</v>
      </c>
      <c r="D3409" s="259" t="s">
        <v>15664</v>
      </c>
      <c r="E3409" s="210" t="s">
        <v>201</v>
      </c>
    </row>
    <row r="3410" spans="1:5" ht="27">
      <c r="A3410" s="258">
        <v>89428</v>
      </c>
      <c r="B3410" s="257" t="s">
        <v>2600</v>
      </c>
      <c r="C3410" s="257" t="s">
        <v>90</v>
      </c>
      <c r="D3410" s="259" t="s">
        <v>14271</v>
      </c>
      <c r="E3410" s="210" t="s">
        <v>201</v>
      </c>
    </row>
    <row r="3411" spans="1:5" ht="27">
      <c r="A3411" s="258">
        <v>89429</v>
      </c>
      <c r="B3411" s="257" t="s">
        <v>2601</v>
      </c>
      <c r="C3411" s="257" t="s">
        <v>90</v>
      </c>
      <c r="D3411" s="259" t="s">
        <v>16483</v>
      </c>
      <c r="E3411" s="210" t="s">
        <v>201</v>
      </c>
    </row>
    <row r="3412" spans="1:5" ht="27">
      <c r="A3412" s="258">
        <v>89430</v>
      </c>
      <c r="B3412" s="257" t="s">
        <v>2602</v>
      </c>
      <c r="C3412" s="257" t="s">
        <v>90</v>
      </c>
      <c r="D3412" s="259" t="s">
        <v>16484</v>
      </c>
      <c r="E3412" s="210" t="s">
        <v>201</v>
      </c>
    </row>
    <row r="3413" spans="1:5" ht="27">
      <c r="A3413" s="258">
        <v>89431</v>
      </c>
      <c r="B3413" s="257" t="s">
        <v>2603</v>
      </c>
      <c r="C3413" s="257" t="s">
        <v>90</v>
      </c>
      <c r="D3413" s="259" t="s">
        <v>14467</v>
      </c>
      <c r="E3413" s="210" t="s">
        <v>201</v>
      </c>
    </row>
    <row r="3414" spans="1:5" ht="27">
      <c r="A3414" s="258">
        <v>89432</v>
      </c>
      <c r="B3414" s="257" t="s">
        <v>2604</v>
      </c>
      <c r="C3414" s="257" t="s">
        <v>90</v>
      </c>
      <c r="D3414" s="259" t="s">
        <v>16485</v>
      </c>
      <c r="E3414" s="210" t="s">
        <v>201</v>
      </c>
    </row>
    <row r="3415" spans="1:5" ht="27">
      <c r="A3415" s="258">
        <v>89433</v>
      </c>
      <c r="B3415" s="257" t="s">
        <v>2605</v>
      </c>
      <c r="C3415" s="257" t="s">
        <v>90</v>
      </c>
      <c r="D3415" s="259" t="s">
        <v>15432</v>
      </c>
      <c r="E3415" s="210" t="s">
        <v>201</v>
      </c>
    </row>
    <row r="3416" spans="1:5" ht="27">
      <c r="A3416" s="258">
        <v>89434</v>
      </c>
      <c r="B3416" s="257" t="s">
        <v>2606</v>
      </c>
      <c r="C3416" s="257" t="s">
        <v>90</v>
      </c>
      <c r="D3416" s="259" t="s">
        <v>16486</v>
      </c>
      <c r="E3416" s="210" t="s">
        <v>201</v>
      </c>
    </row>
    <row r="3417" spans="1:5" ht="27">
      <c r="A3417" s="258">
        <v>89435</v>
      </c>
      <c r="B3417" s="257" t="s">
        <v>2607</v>
      </c>
      <c r="C3417" s="257" t="s">
        <v>90</v>
      </c>
      <c r="D3417" s="259" t="s">
        <v>16487</v>
      </c>
      <c r="E3417" s="210" t="s">
        <v>201</v>
      </c>
    </row>
    <row r="3418" spans="1:5" ht="27">
      <c r="A3418" s="258">
        <v>89436</v>
      </c>
      <c r="B3418" s="257" t="s">
        <v>2608</v>
      </c>
      <c r="C3418" s="257" t="s">
        <v>90</v>
      </c>
      <c r="D3418" s="259" t="s">
        <v>16488</v>
      </c>
      <c r="E3418" s="210" t="s">
        <v>201</v>
      </c>
    </row>
    <row r="3419" spans="1:5" ht="27">
      <c r="A3419" s="258">
        <v>89437</v>
      </c>
      <c r="B3419" s="257" t="s">
        <v>2609</v>
      </c>
      <c r="C3419" s="257" t="s">
        <v>90</v>
      </c>
      <c r="D3419" s="259" t="s">
        <v>16489</v>
      </c>
      <c r="E3419" s="210" t="s">
        <v>201</v>
      </c>
    </row>
    <row r="3420" spans="1:5" ht="27">
      <c r="A3420" s="258">
        <v>89438</v>
      </c>
      <c r="B3420" s="257" t="s">
        <v>2610</v>
      </c>
      <c r="C3420" s="257" t="s">
        <v>90</v>
      </c>
      <c r="D3420" s="259" t="s">
        <v>15502</v>
      </c>
      <c r="E3420" s="210" t="s">
        <v>201</v>
      </c>
    </row>
    <row r="3421" spans="1:5" ht="27">
      <c r="A3421" s="258">
        <v>89439</v>
      </c>
      <c r="B3421" s="257" t="s">
        <v>2611</v>
      </c>
      <c r="C3421" s="257" t="s">
        <v>90</v>
      </c>
      <c r="D3421" s="259" t="s">
        <v>16460</v>
      </c>
      <c r="E3421" s="210" t="s">
        <v>201</v>
      </c>
    </row>
    <row r="3422" spans="1:5" ht="27">
      <c r="A3422" s="258">
        <v>89440</v>
      </c>
      <c r="B3422" s="257" t="s">
        <v>229</v>
      </c>
      <c r="C3422" s="257" t="s">
        <v>90</v>
      </c>
      <c r="D3422" s="259" t="s">
        <v>14628</v>
      </c>
      <c r="E3422" s="210" t="s">
        <v>201</v>
      </c>
    </row>
    <row r="3423" spans="1:5" ht="27">
      <c r="A3423" s="258">
        <v>89441</v>
      </c>
      <c r="B3423" s="257" t="s">
        <v>2612</v>
      </c>
      <c r="C3423" s="257" t="s">
        <v>90</v>
      </c>
      <c r="D3423" s="259" t="s">
        <v>16490</v>
      </c>
      <c r="E3423" s="210" t="s">
        <v>201</v>
      </c>
    </row>
    <row r="3424" spans="1:5" ht="27">
      <c r="A3424" s="258">
        <v>89442</v>
      </c>
      <c r="B3424" s="257" t="s">
        <v>2613</v>
      </c>
      <c r="C3424" s="257" t="s">
        <v>90</v>
      </c>
      <c r="D3424" s="259" t="s">
        <v>16491</v>
      </c>
      <c r="E3424" s="210" t="s">
        <v>201</v>
      </c>
    </row>
    <row r="3425" spans="1:5" ht="27">
      <c r="A3425" s="258">
        <v>89443</v>
      </c>
      <c r="B3425" s="257" t="s">
        <v>230</v>
      </c>
      <c r="C3425" s="257" t="s">
        <v>90</v>
      </c>
      <c r="D3425" s="259" t="s">
        <v>16492</v>
      </c>
      <c r="E3425" s="210" t="s">
        <v>201</v>
      </c>
    </row>
    <row r="3426" spans="1:5" ht="27">
      <c r="A3426" s="258">
        <v>89444</v>
      </c>
      <c r="B3426" s="257" t="s">
        <v>2614</v>
      </c>
      <c r="C3426" s="257" t="s">
        <v>90</v>
      </c>
      <c r="D3426" s="259" t="s">
        <v>16493</v>
      </c>
      <c r="E3426" s="210" t="s">
        <v>201</v>
      </c>
    </row>
    <row r="3427" spans="1:5" ht="27">
      <c r="A3427" s="258">
        <v>89445</v>
      </c>
      <c r="B3427" s="257" t="s">
        <v>2615</v>
      </c>
      <c r="C3427" s="257" t="s">
        <v>90</v>
      </c>
      <c r="D3427" s="259" t="s">
        <v>15840</v>
      </c>
      <c r="E3427" s="210" t="s">
        <v>201</v>
      </c>
    </row>
    <row r="3428" spans="1:5" ht="27">
      <c r="A3428" s="258">
        <v>89481</v>
      </c>
      <c r="B3428" s="257" t="s">
        <v>2616</v>
      </c>
      <c r="C3428" s="257" t="s">
        <v>90</v>
      </c>
      <c r="D3428" s="259" t="s">
        <v>16494</v>
      </c>
      <c r="E3428" s="210" t="s">
        <v>201</v>
      </c>
    </row>
    <row r="3429" spans="1:5" ht="27">
      <c r="A3429" s="258">
        <v>89485</v>
      </c>
      <c r="B3429" s="257" t="s">
        <v>2617</v>
      </c>
      <c r="C3429" s="257" t="s">
        <v>90</v>
      </c>
      <c r="D3429" s="259" t="s">
        <v>16495</v>
      </c>
      <c r="E3429" s="210" t="s">
        <v>201</v>
      </c>
    </row>
    <row r="3430" spans="1:5" ht="27">
      <c r="A3430" s="258">
        <v>89489</v>
      </c>
      <c r="B3430" s="257" t="s">
        <v>2618</v>
      </c>
      <c r="C3430" s="257" t="s">
        <v>90</v>
      </c>
      <c r="D3430" s="259" t="s">
        <v>16457</v>
      </c>
      <c r="E3430" s="210" t="s">
        <v>201</v>
      </c>
    </row>
    <row r="3431" spans="1:5" ht="27">
      <c r="A3431" s="258">
        <v>89490</v>
      </c>
      <c r="B3431" s="257" t="s">
        <v>2619</v>
      </c>
      <c r="C3431" s="257" t="s">
        <v>90</v>
      </c>
      <c r="D3431" s="259" t="s">
        <v>13924</v>
      </c>
      <c r="E3431" s="210" t="s">
        <v>201</v>
      </c>
    </row>
    <row r="3432" spans="1:5" ht="27">
      <c r="A3432" s="258">
        <v>89492</v>
      </c>
      <c r="B3432" s="257" t="s">
        <v>2620</v>
      </c>
      <c r="C3432" s="257" t="s">
        <v>90</v>
      </c>
      <c r="D3432" s="259" t="s">
        <v>16496</v>
      </c>
      <c r="E3432" s="210" t="s">
        <v>201</v>
      </c>
    </row>
    <row r="3433" spans="1:5" ht="27">
      <c r="A3433" s="258">
        <v>89493</v>
      </c>
      <c r="B3433" s="257" t="s">
        <v>2621</v>
      </c>
      <c r="C3433" s="257" t="s">
        <v>90</v>
      </c>
      <c r="D3433" s="259" t="s">
        <v>15463</v>
      </c>
      <c r="E3433" s="210" t="s">
        <v>201</v>
      </c>
    </row>
    <row r="3434" spans="1:5" ht="27">
      <c r="A3434" s="258">
        <v>89494</v>
      </c>
      <c r="B3434" s="257" t="s">
        <v>2622</v>
      </c>
      <c r="C3434" s="257" t="s">
        <v>90</v>
      </c>
      <c r="D3434" s="259" t="s">
        <v>16497</v>
      </c>
      <c r="E3434" s="210" t="s">
        <v>201</v>
      </c>
    </row>
    <row r="3435" spans="1:5" ht="27">
      <c r="A3435" s="258">
        <v>89496</v>
      </c>
      <c r="B3435" s="257" t="s">
        <v>2623</v>
      </c>
      <c r="C3435" s="257" t="s">
        <v>90</v>
      </c>
      <c r="D3435" s="259" t="s">
        <v>16498</v>
      </c>
      <c r="E3435" s="210" t="s">
        <v>201</v>
      </c>
    </row>
    <row r="3436" spans="1:5" ht="27">
      <c r="A3436" s="258">
        <v>89497</v>
      </c>
      <c r="B3436" s="257" t="s">
        <v>225</v>
      </c>
      <c r="C3436" s="257" t="s">
        <v>90</v>
      </c>
      <c r="D3436" s="259" t="s">
        <v>15428</v>
      </c>
      <c r="E3436" s="210" t="s">
        <v>201</v>
      </c>
    </row>
    <row r="3437" spans="1:5" ht="27">
      <c r="A3437" s="258">
        <v>89498</v>
      </c>
      <c r="B3437" s="257" t="s">
        <v>2624</v>
      </c>
      <c r="C3437" s="257" t="s">
        <v>90</v>
      </c>
      <c r="D3437" s="259" t="s">
        <v>16499</v>
      </c>
      <c r="E3437" s="210" t="s">
        <v>201</v>
      </c>
    </row>
    <row r="3438" spans="1:5" ht="27">
      <c r="A3438" s="258">
        <v>89499</v>
      </c>
      <c r="B3438" s="257" t="s">
        <v>2625</v>
      </c>
      <c r="C3438" s="257" t="s">
        <v>90</v>
      </c>
      <c r="D3438" s="259" t="s">
        <v>16416</v>
      </c>
      <c r="E3438" s="210" t="s">
        <v>201</v>
      </c>
    </row>
    <row r="3439" spans="1:5" ht="27">
      <c r="A3439" s="258">
        <v>89500</v>
      </c>
      <c r="B3439" s="257" t="s">
        <v>2626</v>
      </c>
      <c r="C3439" s="257" t="s">
        <v>90</v>
      </c>
      <c r="D3439" s="259" t="s">
        <v>16500</v>
      </c>
      <c r="E3439" s="210" t="s">
        <v>201</v>
      </c>
    </row>
    <row r="3440" spans="1:5" ht="27">
      <c r="A3440" s="258">
        <v>89501</v>
      </c>
      <c r="B3440" s="257" t="s">
        <v>226</v>
      </c>
      <c r="C3440" s="257" t="s">
        <v>90</v>
      </c>
      <c r="D3440" s="259" t="s">
        <v>14565</v>
      </c>
      <c r="E3440" s="210" t="s">
        <v>201</v>
      </c>
    </row>
    <row r="3441" spans="1:5" ht="27">
      <c r="A3441" s="258">
        <v>89502</v>
      </c>
      <c r="B3441" s="257" t="s">
        <v>2627</v>
      </c>
      <c r="C3441" s="257" t="s">
        <v>90</v>
      </c>
      <c r="D3441" s="259" t="s">
        <v>16501</v>
      </c>
      <c r="E3441" s="210" t="s">
        <v>201</v>
      </c>
    </row>
    <row r="3442" spans="1:5" ht="27">
      <c r="A3442" s="258">
        <v>89503</v>
      </c>
      <c r="B3442" s="257" t="s">
        <v>2628</v>
      </c>
      <c r="C3442" s="257" t="s">
        <v>90</v>
      </c>
      <c r="D3442" s="259" t="s">
        <v>16234</v>
      </c>
      <c r="E3442" s="210" t="s">
        <v>201</v>
      </c>
    </row>
    <row r="3443" spans="1:5" ht="27">
      <c r="A3443" s="258">
        <v>89504</v>
      </c>
      <c r="B3443" s="257" t="s">
        <v>2629</v>
      </c>
      <c r="C3443" s="257" t="s">
        <v>90</v>
      </c>
      <c r="D3443" s="259" t="s">
        <v>16502</v>
      </c>
      <c r="E3443" s="210" t="s">
        <v>201</v>
      </c>
    </row>
    <row r="3444" spans="1:5" ht="27">
      <c r="A3444" s="258">
        <v>89505</v>
      </c>
      <c r="B3444" s="257" t="s">
        <v>227</v>
      </c>
      <c r="C3444" s="257" t="s">
        <v>90</v>
      </c>
      <c r="D3444" s="259" t="s">
        <v>16503</v>
      </c>
      <c r="E3444" s="210" t="s">
        <v>201</v>
      </c>
    </row>
    <row r="3445" spans="1:5" ht="27">
      <c r="A3445" s="258">
        <v>89506</v>
      </c>
      <c r="B3445" s="257" t="s">
        <v>2630</v>
      </c>
      <c r="C3445" s="257" t="s">
        <v>90</v>
      </c>
      <c r="D3445" s="259" t="s">
        <v>16019</v>
      </c>
      <c r="E3445" s="210" t="s">
        <v>201</v>
      </c>
    </row>
    <row r="3446" spans="1:5" ht="27">
      <c r="A3446" s="258">
        <v>89507</v>
      </c>
      <c r="B3446" s="257" t="s">
        <v>2631</v>
      </c>
      <c r="C3446" s="257" t="s">
        <v>90</v>
      </c>
      <c r="D3446" s="259" t="s">
        <v>16504</v>
      </c>
      <c r="E3446" s="210" t="s">
        <v>201</v>
      </c>
    </row>
    <row r="3447" spans="1:5" ht="27">
      <c r="A3447" s="258">
        <v>89510</v>
      </c>
      <c r="B3447" s="257" t="s">
        <v>2632</v>
      </c>
      <c r="C3447" s="257" t="s">
        <v>90</v>
      </c>
      <c r="D3447" s="259" t="s">
        <v>16505</v>
      </c>
      <c r="E3447" s="210" t="s">
        <v>201</v>
      </c>
    </row>
    <row r="3448" spans="1:5" ht="27">
      <c r="A3448" s="258">
        <v>89513</v>
      </c>
      <c r="B3448" s="257" t="s">
        <v>228</v>
      </c>
      <c r="C3448" s="257" t="s">
        <v>90</v>
      </c>
      <c r="D3448" s="259" t="s">
        <v>16506</v>
      </c>
      <c r="E3448" s="210" t="s">
        <v>201</v>
      </c>
    </row>
    <row r="3449" spans="1:5" ht="27">
      <c r="A3449" s="258">
        <v>89514</v>
      </c>
      <c r="B3449" s="257" t="s">
        <v>2633</v>
      </c>
      <c r="C3449" s="257" t="s">
        <v>90</v>
      </c>
      <c r="D3449" s="259" t="s">
        <v>15220</v>
      </c>
      <c r="E3449" s="210" t="s">
        <v>201</v>
      </c>
    </row>
    <row r="3450" spans="1:5" ht="27">
      <c r="A3450" s="258">
        <v>89515</v>
      </c>
      <c r="B3450" s="257" t="s">
        <v>2634</v>
      </c>
      <c r="C3450" s="257" t="s">
        <v>90</v>
      </c>
      <c r="D3450" s="259" t="s">
        <v>16507</v>
      </c>
      <c r="E3450" s="210" t="s">
        <v>201</v>
      </c>
    </row>
    <row r="3451" spans="1:5" ht="27">
      <c r="A3451" s="258">
        <v>89516</v>
      </c>
      <c r="B3451" s="257" t="s">
        <v>2635</v>
      </c>
      <c r="C3451" s="257" t="s">
        <v>90</v>
      </c>
      <c r="D3451" s="259" t="s">
        <v>15179</v>
      </c>
      <c r="E3451" s="210" t="s">
        <v>201</v>
      </c>
    </row>
    <row r="3452" spans="1:5" ht="27">
      <c r="A3452" s="258">
        <v>89517</v>
      </c>
      <c r="B3452" s="257" t="s">
        <v>2636</v>
      </c>
      <c r="C3452" s="257" t="s">
        <v>90</v>
      </c>
      <c r="D3452" s="259" t="s">
        <v>16508</v>
      </c>
      <c r="E3452" s="210" t="s">
        <v>201</v>
      </c>
    </row>
    <row r="3453" spans="1:5" ht="27">
      <c r="A3453" s="258">
        <v>89518</v>
      </c>
      <c r="B3453" s="257" t="s">
        <v>2637</v>
      </c>
      <c r="C3453" s="257" t="s">
        <v>90</v>
      </c>
      <c r="D3453" s="259" t="s">
        <v>14147</v>
      </c>
      <c r="E3453" s="210" t="s">
        <v>201</v>
      </c>
    </row>
    <row r="3454" spans="1:5" ht="27">
      <c r="A3454" s="258">
        <v>89519</v>
      </c>
      <c r="B3454" s="257" t="s">
        <v>2638</v>
      </c>
      <c r="C3454" s="257" t="s">
        <v>90</v>
      </c>
      <c r="D3454" s="259" t="s">
        <v>16509</v>
      </c>
      <c r="E3454" s="210" t="s">
        <v>201</v>
      </c>
    </row>
    <row r="3455" spans="1:5" ht="27">
      <c r="A3455" s="258">
        <v>89520</v>
      </c>
      <c r="B3455" s="257" t="s">
        <v>2639</v>
      </c>
      <c r="C3455" s="257" t="s">
        <v>90</v>
      </c>
      <c r="D3455" s="259" t="s">
        <v>15731</v>
      </c>
      <c r="E3455" s="210" t="s">
        <v>201</v>
      </c>
    </row>
    <row r="3456" spans="1:5" ht="27">
      <c r="A3456" s="258">
        <v>89521</v>
      </c>
      <c r="B3456" s="257" t="s">
        <v>2640</v>
      </c>
      <c r="C3456" s="257" t="s">
        <v>90</v>
      </c>
      <c r="D3456" s="259" t="s">
        <v>16510</v>
      </c>
      <c r="E3456" s="210" t="s">
        <v>201</v>
      </c>
    </row>
    <row r="3457" spans="1:5" ht="27">
      <c r="A3457" s="258">
        <v>89522</v>
      </c>
      <c r="B3457" s="257" t="s">
        <v>2641</v>
      </c>
      <c r="C3457" s="257" t="s">
        <v>90</v>
      </c>
      <c r="D3457" s="259" t="s">
        <v>13923</v>
      </c>
      <c r="E3457" s="210" t="s">
        <v>201</v>
      </c>
    </row>
    <row r="3458" spans="1:5" ht="27">
      <c r="A3458" s="258">
        <v>89523</v>
      </c>
      <c r="B3458" s="257" t="s">
        <v>2642</v>
      </c>
      <c r="C3458" s="257" t="s">
        <v>90</v>
      </c>
      <c r="D3458" s="259" t="s">
        <v>16511</v>
      </c>
      <c r="E3458" s="210" t="s">
        <v>201</v>
      </c>
    </row>
    <row r="3459" spans="1:5" ht="27">
      <c r="A3459" s="258">
        <v>89524</v>
      </c>
      <c r="B3459" s="257" t="s">
        <v>2643</v>
      </c>
      <c r="C3459" s="257" t="s">
        <v>90</v>
      </c>
      <c r="D3459" s="259" t="s">
        <v>16512</v>
      </c>
      <c r="E3459" s="210" t="s">
        <v>201</v>
      </c>
    </row>
    <row r="3460" spans="1:5" ht="27">
      <c r="A3460" s="258">
        <v>89525</v>
      </c>
      <c r="B3460" s="257" t="s">
        <v>2644</v>
      </c>
      <c r="C3460" s="257" t="s">
        <v>90</v>
      </c>
      <c r="D3460" s="259" t="s">
        <v>16513</v>
      </c>
      <c r="E3460" s="210" t="s">
        <v>201</v>
      </c>
    </row>
    <row r="3461" spans="1:5" ht="27">
      <c r="A3461" s="258">
        <v>89526</v>
      </c>
      <c r="B3461" s="257" t="s">
        <v>2645</v>
      </c>
      <c r="C3461" s="257" t="s">
        <v>90</v>
      </c>
      <c r="D3461" s="259" t="s">
        <v>16514</v>
      </c>
      <c r="E3461" s="210" t="s">
        <v>201</v>
      </c>
    </row>
    <row r="3462" spans="1:5" ht="27">
      <c r="A3462" s="258">
        <v>89527</v>
      </c>
      <c r="B3462" s="257" t="s">
        <v>2646</v>
      </c>
      <c r="C3462" s="257" t="s">
        <v>90</v>
      </c>
      <c r="D3462" s="259" t="s">
        <v>16018</v>
      </c>
      <c r="E3462" s="210" t="s">
        <v>201</v>
      </c>
    </row>
    <row r="3463" spans="1:5" ht="27">
      <c r="A3463" s="258">
        <v>89528</v>
      </c>
      <c r="B3463" s="257" t="s">
        <v>2647</v>
      </c>
      <c r="C3463" s="257" t="s">
        <v>90</v>
      </c>
      <c r="D3463" s="259" t="s">
        <v>14372</v>
      </c>
      <c r="E3463" s="210" t="s">
        <v>201</v>
      </c>
    </row>
    <row r="3464" spans="1:5" ht="27">
      <c r="A3464" s="258">
        <v>89529</v>
      </c>
      <c r="B3464" s="257" t="s">
        <v>2648</v>
      </c>
      <c r="C3464" s="257" t="s">
        <v>90</v>
      </c>
      <c r="D3464" s="259" t="s">
        <v>16515</v>
      </c>
      <c r="E3464" s="210" t="s">
        <v>201</v>
      </c>
    </row>
    <row r="3465" spans="1:5" ht="27">
      <c r="A3465" s="258">
        <v>89530</v>
      </c>
      <c r="B3465" s="257" t="s">
        <v>2649</v>
      </c>
      <c r="C3465" s="257" t="s">
        <v>90</v>
      </c>
      <c r="D3465" s="259" t="s">
        <v>14336</v>
      </c>
      <c r="E3465" s="210" t="s">
        <v>201</v>
      </c>
    </row>
    <row r="3466" spans="1:5" ht="27">
      <c r="A3466" s="258">
        <v>89531</v>
      </c>
      <c r="B3466" s="257" t="s">
        <v>2650</v>
      </c>
      <c r="C3466" s="257" t="s">
        <v>90</v>
      </c>
      <c r="D3466" s="259" t="s">
        <v>16516</v>
      </c>
      <c r="E3466" s="210" t="s">
        <v>201</v>
      </c>
    </row>
    <row r="3467" spans="1:5" ht="27">
      <c r="A3467" s="258">
        <v>89532</v>
      </c>
      <c r="B3467" s="257" t="s">
        <v>2651</v>
      </c>
      <c r="C3467" s="257" t="s">
        <v>90</v>
      </c>
      <c r="D3467" s="259" t="s">
        <v>14303</v>
      </c>
      <c r="E3467" s="210" t="s">
        <v>201</v>
      </c>
    </row>
    <row r="3468" spans="1:5" ht="27">
      <c r="A3468" s="258">
        <v>89533</v>
      </c>
      <c r="B3468" s="257" t="s">
        <v>2652</v>
      </c>
      <c r="C3468" s="257" t="s">
        <v>90</v>
      </c>
      <c r="D3468" s="259" t="s">
        <v>16516</v>
      </c>
      <c r="E3468" s="210" t="s">
        <v>201</v>
      </c>
    </row>
    <row r="3469" spans="1:5" ht="27">
      <c r="A3469" s="258">
        <v>89534</v>
      </c>
      <c r="B3469" s="257" t="s">
        <v>2653</v>
      </c>
      <c r="C3469" s="257" t="s">
        <v>90</v>
      </c>
      <c r="D3469" s="259" t="s">
        <v>16517</v>
      </c>
      <c r="E3469" s="210" t="s">
        <v>201</v>
      </c>
    </row>
    <row r="3470" spans="1:5" ht="27">
      <c r="A3470" s="258">
        <v>89535</v>
      </c>
      <c r="B3470" s="257" t="s">
        <v>2654</v>
      </c>
      <c r="C3470" s="257" t="s">
        <v>90</v>
      </c>
      <c r="D3470" s="259" t="s">
        <v>16518</v>
      </c>
      <c r="E3470" s="210" t="s">
        <v>201</v>
      </c>
    </row>
    <row r="3471" spans="1:5" ht="27">
      <c r="A3471" s="258">
        <v>89536</v>
      </c>
      <c r="B3471" s="257" t="s">
        <v>2655</v>
      </c>
      <c r="C3471" s="257" t="s">
        <v>90</v>
      </c>
      <c r="D3471" s="259" t="s">
        <v>16519</v>
      </c>
      <c r="E3471" s="210" t="s">
        <v>201</v>
      </c>
    </row>
    <row r="3472" spans="1:5" ht="27">
      <c r="A3472" s="258">
        <v>89538</v>
      </c>
      <c r="B3472" s="257" t="s">
        <v>2656</v>
      </c>
      <c r="C3472" s="257" t="s">
        <v>90</v>
      </c>
      <c r="D3472" s="259" t="s">
        <v>16520</v>
      </c>
      <c r="E3472" s="210" t="s">
        <v>201</v>
      </c>
    </row>
    <row r="3473" spans="1:5" ht="27">
      <c r="A3473" s="258">
        <v>89540</v>
      </c>
      <c r="B3473" s="257" t="s">
        <v>2657</v>
      </c>
      <c r="C3473" s="257" t="s">
        <v>90</v>
      </c>
      <c r="D3473" s="259" t="s">
        <v>15497</v>
      </c>
      <c r="E3473" s="210" t="s">
        <v>201</v>
      </c>
    </row>
    <row r="3474" spans="1:5" ht="27">
      <c r="A3474" s="258">
        <v>89541</v>
      </c>
      <c r="B3474" s="257" t="s">
        <v>2658</v>
      </c>
      <c r="C3474" s="257" t="s">
        <v>90</v>
      </c>
      <c r="D3474" s="259" t="s">
        <v>16521</v>
      </c>
      <c r="E3474" s="210" t="s">
        <v>201</v>
      </c>
    </row>
    <row r="3475" spans="1:5" ht="27">
      <c r="A3475" s="258">
        <v>89542</v>
      </c>
      <c r="B3475" s="257" t="s">
        <v>2659</v>
      </c>
      <c r="C3475" s="257" t="s">
        <v>90</v>
      </c>
      <c r="D3475" s="259" t="s">
        <v>16522</v>
      </c>
      <c r="E3475" s="210" t="s">
        <v>201</v>
      </c>
    </row>
    <row r="3476" spans="1:5" ht="27">
      <c r="A3476" s="258">
        <v>89544</v>
      </c>
      <c r="B3476" s="257" t="s">
        <v>2660</v>
      </c>
      <c r="C3476" s="257" t="s">
        <v>90</v>
      </c>
      <c r="D3476" s="259" t="s">
        <v>15768</v>
      </c>
      <c r="E3476" s="210" t="s">
        <v>201</v>
      </c>
    </row>
    <row r="3477" spans="1:5" ht="27">
      <c r="A3477" s="258">
        <v>89545</v>
      </c>
      <c r="B3477" s="257" t="s">
        <v>2661</v>
      </c>
      <c r="C3477" s="257" t="s">
        <v>90</v>
      </c>
      <c r="D3477" s="259" t="s">
        <v>15721</v>
      </c>
      <c r="E3477" s="210" t="s">
        <v>201</v>
      </c>
    </row>
    <row r="3478" spans="1:5" ht="27">
      <c r="A3478" s="258">
        <v>89546</v>
      </c>
      <c r="B3478" s="257" t="s">
        <v>2662</v>
      </c>
      <c r="C3478" s="257" t="s">
        <v>90</v>
      </c>
      <c r="D3478" s="259" t="s">
        <v>16523</v>
      </c>
      <c r="E3478" s="210" t="s">
        <v>201</v>
      </c>
    </row>
    <row r="3479" spans="1:5" ht="27">
      <c r="A3479" s="258">
        <v>89547</v>
      </c>
      <c r="B3479" s="257" t="s">
        <v>2663</v>
      </c>
      <c r="C3479" s="257" t="s">
        <v>90</v>
      </c>
      <c r="D3479" s="259" t="s">
        <v>15674</v>
      </c>
      <c r="E3479" s="210" t="s">
        <v>201</v>
      </c>
    </row>
    <row r="3480" spans="1:5" ht="27">
      <c r="A3480" s="258">
        <v>89548</v>
      </c>
      <c r="B3480" s="257" t="s">
        <v>2664</v>
      </c>
      <c r="C3480" s="257" t="s">
        <v>90</v>
      </c>
      <c r="D3480" s="259" t="s">
        <v>16524</v>
      </c>
      <c r="E3480" s="210" t="s">
        <v>201</v>
      </c>
    </row>
    <row r="3481" spans="1:5" ht="27">
      <c r="A3481" s="258">
        <v>89549</v>
      </c>
      <c r="B3481" s="257" t="s">
        <v>2665</v>
      </c>
      <c r="C3481" s="257" t="s">
        <v>90</v>
      </c>
      <c r="D3481" s="259" t="s">
        <v>16525</v>
      </c>
      <c r="E3481" s="210" t="s">
        <v>201</v>
      </c>
    </row>
    <row r="3482" spans="1:5" ht="27">
      <c r="A3482" s="258">
        <v>89550</v>
      </c>
      <c r="B3482" s="257" t="s">
        <v>2666</v>
      </c>
      <c r="C3482" s="257" t="s">
        <v>90</v>
      </c>
      <c r="D3482" s="259" t="s">
        <v>16526</v>
      </c>
      <c r="E3482" s="210" t="s">
        <v>201</v>
      </c>
    </row>
    <row r="3483" spans="1:5" ht="27">
      <c r="A3483" s="258">
        <v>89551</v>
      </c>
      <c r="B3483" s="257" t="s">
        <v>2667</v>
      </c>
      <c r="C3483" s="257" t="s">
        <v>90</v>
      </c>
      <c r="D3483" s="259" t="s">
        <v>15429</v>
      </c>
      <c r="E3483" s="210" t="s">
        <v>201</v>
      </c>
    </row>
    <row r="3484" spans="1:5" ht="27">
      <c r="A3484" s="258">
        <v>89552</v>
      </c>
      <c r="B3484" s="257" t="s">
        <v>2668</v>
      </c>
      <c r="C3484" s="257" t="s">
        <v>90</v>
      </c>
      <c r="D3484" s="259" t="s">
        <v>16527</v>
      </c>
      <c r="E3484" s="210" t="s">
        <v>201</v>
      </c>
    </row>
    <row r="3485" spans="1:5" ht="27">
      <c r="A3485" s="258">
        <v>89553</v>
      </c>
      <c r="B3485" s="257" t="s">
        <v>2669</v>
      </c>
      <c r="C3485" s="257" t="s">
        <v>90</v>
      </c>
      <c r="D3485" s="259" t="s">
        <v>16470</v>
      </c>
      <c r="E3485" s="210" t="s">
        <v>201</v>
      </c>
    </row>
    <row r="3486" spans="1:5" ht="27">
      <c r="A3486" s="258">
        <v>89554</v>
      </c>
      <c r="B3486" s="257" t="s">
        <v>2670</v>
      </c>
      <c r="C3486" s="257" t="s">
        <v>90</v>
      </c>
      <c r="D3486" s="259" t="s">
        <v>16528</v>
      </c>
      <c r="E3486" s="210" t="s">
        <v>201</v>
      </c>
    </row>
    <row r="3487" spans="1:5" ht="27">
      <c r="A3487" s="258">
        <v>89555</v>
      </c>
      <c r="B3487" s="257" t="s">
        <v>2671</v>
      </c>
      <c r="C3487" s="257" t="s">
        <v>90</v>
      </c>
      <c r="D3487" s="259" t="s">
        <v>16529</v>
      </c>
      <c r="E3487" s="210" t="s">
        <v>201</v>
      </c>
    </row>
    <row r="3488" spans="1:5" ht="27">
      <c r="A3488" s="258">
        <v>89556</v>
      </c>
      <c r="B3488" s="257" t="s">
        <v>2672</v>
      </c>
      <c r="C3488" s="257" t="s">
        <v>90</v>
      </c>
      <c r="D3488" s="259" t="s">
        <v>16530</v>
      </c>
      <c r="E3488" s="210" t="s">
        <v>201</v>
      </c>
    </row>
    <row r="3489" spans="1:5" ht="27">
      <c r="A3489" s="258">
        <v>89557</v>
      </c>
      <c r="B3489" s="257" t="s">
        <v>2673</v>
      </c>
      <c r="C3489" s="257" t="s">
        <v>90</v>
      </c>
      <c r="D3489" s="259" t="s">
        <v>16531</v>
      </c>
      <c r="E3489" s="210" t="s">
        <v>201</v>
      </c>
    </row>
    <row r="3490" spans="1:5" ht="27">
      <c r="A3490" s="258">
        <v>89558</v>
      </c>
      <c r="B3490" s="257" t="s">
        <v>2674</v>
      </c>
      <c r="C3490" s="257" t="s">
        <v>90</v>
      </c>
      <c r="D3490" s="259" t="s">
        <v>15730</v>
      </c>
      <c r="E3490" s="210" t="s">
        <v>201</v>
      </c>
    </row>
    <row r="3491" spans="1:5" ht="27">
      <c r="A3491" s="258">
        <v>89559</v>
      </c>
      <c r="B3491" s="257" t="s">
        <v>2675</v>
      </c>
      <c r="C3491" s="257" t="s">
        <v>90</v>
      </c>
      <c r="D3491" s="259" t="s">
        <v>16015</v>
      </c>
      <c r="E3491" s="210" t="s">
        <v>201</v>
      </c>
    </row>
    <row r="3492" spans="1:5" ht="27">
      <c r="A3492" s="258">
        <v>89561</v>
      </c>
      <c r="B3492" s="257" t="s">
        <v>2676</v>
      </c>
      <c r="C3492" s="257" t="s">
        <v>90</v>
      </c>
      <c r="D3492" s="259" t="s">
        <v>16532</v>
      </c>
      <c r="E3492" s="210" t="s">
        <v>201</v>
      </c>
    </row>
    <row r="3493" spans="1:5" ht="27">
      <c r="A3493" s="258">
        <v>89562</v>
      </c>
      <c r="B3493" s="257" t="s">
        <v>237</v>
      </c>
      <c r="C3493" s="257" t="s">
        <v>90</v>
      </c>
      <c r="D3493" s="259" t="s">
        <v>14072</v>
      </c>
      <c r="E3493" s="210" t="s">
        <v>201</v>
      </c>
    </row>
    <row r="3494" spans="1:5" ht="27">
      <c r="A3494" s="258">
        <v>89563</v>
      </c>
      <c r="B3494" s="257" t="s">
        <v>2677</v>
      </c>
      <c r="C3494" s="257" t="s">
        <v>90</v>
      </c>
      <c r="D3494" s="259" t="s">
        <v>16533</v>
      </c>
      <c r="E3494" s="210" t="s">
        <v>201</v>
      </c>
    </row>
    <row r="3495" spans="1:5" ht="27">
      <c r="A3495" s="258">
        <v>89564</v>
      </c>
      <c r="B3495" s="257" t="s">
        <v>2678</v>
      </c>
      <c r="C3495" s="257" t="s">
        <v>90</v>
      </c>
      <c r="D3495" s="259" t="s">
        <v>16534</v>
      </c>
      <c r="E3495" s="210" t="s">
        <v>201</v>
      </c>
    </row>
    <row r="3496" spans="1:5" ht="27">
      <c r="A3496" s="258">
        <v>89565</v>
      </c>
      <c r="B3496" s="257" t="s">
        <v>2679</v>
      </c>
      <c r="C3496" s="257" t="s">
        <v>90</v>
      </c>
      <c r="D3496" s="259" t="s">
        <v>16535</v>
      </c>
      <c r="E3496" s="210" t="s">
        <v>201</v>
      </c>
    </row>
    <row r="3497" spans="1:5" ht="27">
      <c r="A3497" s="258">
        <v>89566</v>
      </c>
      <c r="B3497" s="257" t="s">
        <v>2680</v>
      </c>
      <c r="C3497" s="257" t="s">
        <v>90</v>
      </c>
      <c r="D3497" s="259" t="s">
        <v>16536</v>
      </c>
      <c r="E3497" s="210" t="s">
        <v>201</v>
      </c>
    </row>
    <row r="3498" spans="1:5" ht="27">
      <c r="A3498" s="258">
        <v>89567</v>
      </c>
      <c r="B3498" s="257" t="s">
        <v>2681</v>
      </c>
      <c r="C3498" s="257" t="s">
        <v>90</v>
      </c>
      <c r="D3498" s="259" t="s">
        <v>16537</v>
      </c>
      <c r="E3498" s="210" t="s">
        <v>201</v>
      </c>
    </row>
    <row r="3499" spans="1:5" ht="27">
      <c r="A3499" s="258">
        <v>89568</v>
      </c>
      <c r="B3499" s="257" t="s">
        <v>2682</v>
      </c>
      <c r="C3499" s="257" t="s">
        <v>90</v>
      </c>
      <c r="D3499" s="259" t="s">
        <v>16538</v>
      </c>
      <c r="E3499" s="210" t="s">
        <v>201</v>
      </c>
    </row>
    <row r="3500" spans="1:5" ht="27">
      <c r="A3500" s="258">
        <v>89569</v>
      </c>
      <c r="B3500" s="257" t="s">
        <v>2683</v>
      </c>
      <c r="C3500" s="257" t="s">
        <v>90</v>
      </c>
      <c r="D3500" s="259" t="s">
        <v>16539</v>
      </c>
      <c r="E3500" s="210" t="s">
        <v>201</v>
      </c>
    </row>
    <row r="3501" spans="1:5" ht="27">
      <c r="A3501" s="258">
        <v>89570</v>
      </c>
      <c r="B3501" s="257" t="s">
        <v>2684</v>
      </c>
      <c r="C3501" s="257" t="s">
        <v>90</v>
      </c>
      <c r="D3501" s="259" t="s">
        <v>14177</v>
      </c>
      <c r="E3501" s="210" t="s">
        <v>201</v>
      </c>
    </row>
    <row r="3502" spans="1:5" ht="27">
      <c r="A3502" s="258">
        <v>89571</v>
      </c>
      <c r="B3502" s="257" t="s">
        <v>2685</v>
      </c>
      <c r="C3502" s="257" t="s">
        <v>90</v>
      </c>
      <c r="D3502" s="259" t="s">
        <v>16540</v>
      </c>
      <c r="E3502" s="210" t="s">
        <v>201</v>
      </c>
    </row>
    <row r="3503" spans="1:5" ht="27">
      <c r="A3503" s="258">
        <v>89572</v>
      </c>
      <c r="B3503" s="257" t="s">
        <v>2686</v>
      </c>
      <c r="C3503" s="257" t="s">
        <v>90</v>
      </c>
      <c r="D3503" s="259" t="s">
        <v>15768</v>
      </c>
      <c r="E3503" s="210" t="s">
        <v>201</v>
      </c>
    </row>
    <row r="3504" spans="1:5" ht="27">
      <c r="A3504" s="258">
        <v>89573</v>
      </c>
      <c r="B3504" s="257" t="s">
        <v>2687</v>
      </c>
      <c r="C3504" s="257" t="s">
        <v>90</v>
      </c>
      <c r="D3504" s="259" t="s">
        <v>16541</v>
      </c>
      <c r="E3504" s="210" t="s">
        <v>201</v>
      </c>
    </row>
    <row r="3505" spans="1:5" ht="27">
      <c r="A3505" s="258">
        <v>89574</v>
      </c>
      <c r="B3505" s="257" t="s">
        <v>2688</v>
      </c>
      <c r="C3505" s="257" t="s">
        <v>90</v>
      </c>
      <c r="D3505" s="259" t="s">
        <v>16542</v>
      </c>
      <c r="E3505" s="210" t="s">
        <v>201</v>
      </c>
    </row>
    <row r="3506" spans="1:5" ht="27">
      <c r="A3506" s="258">
        <v>89575</v>
      </c>
      <c r="B3506" s="257" t="s">
        <v>2689</v>
      </c>
      <c r="C3506" s="257" t="s">
        <v>90</v>
      </c>
      <c r="D3506" s="259" t="s">
        <v>15447</v>
      </c>
      <c r="E3506" s="210" t="s">
        <v>201</v>
      </c>
    </row>
    <row r="3507" spans="1:5" ht="27">
      <c r="A3507" s="258">
        <v>89577</v>
      </c>
      <c r="B3507" s="257" t="s">
        <v>2690</v>
      </c>
      <c r="C3507" s="257" t="s">
        <v>90</v>
      </c>
      <c r="D3507" s="259" t="s">
        <v>16543</v>
      </c>
      <c r="E3507" s="210" t="s">
        <v>201</v>
      </c>
    </row>
    <row r="3508" spans="1:5" ht="27">
      <c r="A3508" s="258">
        <v>89579</v>
      </c>
      <c r="B3508" s="257" t="s">
        <v>2691</v>
      </c>
      <c r="C3508" s="257" t="s">
        <v>90</v>
      </c>
      <c r="D3508" s="259" t="s">
        <v>16544</v>
      </c>
      <c r="E3508" s="210" t="s">
        <v>201</v>
      </c>
    </row>
    <row r="3509" spans="1:5" ht="27">
      <c r="A3509" s="258">
        <v>89581</v>
      </c>
      <c r="B3509" s="257" t="s">
        <v>2692</v>
      </c>
      <c r="C3509" s="257" t="s">
        <v>90</v>
      </c>
      <c r="D3509" s="259" t="s">
        <v>16545</v>
      </c>
      <c r="E3509" s="210" t="s">
        <v>201</v>
      </c>
    </row>
    <row r="3510" spans="1:5" ht="27">
      <c r="A3510" s="258">
        <v>89582</v>
      </c>
      <c r="B3510" s="257" t="s">
        <v>2693</v>
      </c>
      <c r="C3510" s="257" t="s">
        <v>90</v>
      </c>
      <c r="D3510" s="259" t="s">
        <v>14400</v>
      </c>
      <c r="E3510" s="210" t="s">
        <v>201</v>
      </c>
    </row>
    <row r="3511" spans="1:5" ht="27">
      <c r="A3511" s="258">
        <v>89583</v>
      </c>
      <c r="B3511" s="257" t="s">
        <v>2694</v>
      </c>
      <c r="C3511" s="257" t="s">
        <v>90</v>
      </c>
      <c r="D3511" s="259" t="s">
        <v>16546</v>
      </c>
      <c r="E3511" s="210" t="s">
        <v>201</v>
      </c>
    </row>
    <row r="3512" spans="1:5" ht="27">
      <c r="A3512" s="258">
        <v>89584</v>
      </c>
      <c r="B3512" s="257" t="s">
        <v>2695</v>
      </c>
      <c r="C3512" s="257" t="s">
        <v>90</v>
      </c>
      <c r="D3512" s="259" t="s">
        <v>16547</v>
      </c>
      <c r="E3512" s="210" t="s">
        <v>201</v>
      </c>
    </row>
    <row r="3513" spans="1:5" ht="27">
      <c r="A3513" s="258">
        <v>89585</v>
      </c>
      <c r="B3513" s="257" t="s">
        <v>2696</v>
      </c>
      <c r="C3513" s="257" t="s">
        <v>90</v>
      </c>
      <c r="D3513" s="259" t="s">
        <v>16548</v>
      </c>
      <c r="E3513" s="210" t="s">
        <v>201</v>
      </c>
    </row>
    <row r="3514" spans="1:5" ht="27">
      <c r="A3514" s="258">
        <v>89586</v>
      </c>
      <c r="B3514" s="257" t="s">
        <v>2697</v>
      </c>
      <c r="C3514" s="257" t="s">
        <v>90</v>
      </c>
      <c r="D3514" s="259" t="s">
        <v>16548</v>
      </c>
      <c r="E3514" s="210" t="s">
        <v>201</v>
      </c>
    </row>
    <row r="3515" spans="1:5" ht="27">
      <c r="A3515" s="258">
        <v>89587</v>
      </c>
      <c r="B3515" s="257" t="s">
        <v>2698</v>
      </c>
      <c r="C3515" s="257" t="s">
        <v>90</v>
      </c>
      <c r="D3515" s="259" t="s">
        <v>16549</v>
      </c>
      <c r="E3515" s="210" t="s">
        <v>201</v>
      </c>
    </row>
    <row r="3516" spans="1:5" ht="27">
      <c r="A3516" s="258">
        <v>89590</v>
      </c>
      <c r="B3516" s="257" t="s">
        <v>2699</v>
      </c>
      <c r="C3516" s="257" t="s">
        <v>90</v>
      </c>
      <c r="D3516" s="259" t="s">
        <v>16550</v>
      </c>
      <c r="E3516" s="210" t="s">
        <v>201</v>
      </c>
    </row>
    <row r="3517" spans="1:5" ht="27">
      <c r="A3517" s="258">
        <v>89591</v>
      </c>
      <c r="B3517" s="257" t="s">
        <v>2700</v>
      </c>
      <c r="C3517" s="257" t="s">
        <v>90</v>
      </c>
      <c r="D3517" s="259" t="s">
        <v>16551</v>
      </c>
      <c r="E3517" s="210" t="s">
        <v>201</v>
      </c>
    </row>
    <row r="3518" spans="1:5" ht="27">
      <c r="A3518" s="258">
        <v>89592</v>
      </c>
      <c r="B3518" s="257" t="s">
        <v>2701</v>
      </c>
      <c r="C3518" s="257" t="s">
        <v>90</v>
      </c>
      <c r="D3518" s="259" t="s">
        <v>16552</v>
      </c>
      <c r="E3518" s="210" t="s">
        <v>201</v>
      </c>
    </row>
    <row r="3519" spans="1:5" ht="27">
      <c r="A3519" s="258">
        <v>89593</v>
      </c>
      <c r="B3519" s="257" t="s">
        <v>2702</v>
      </c>
      <c r="C3519" s="257" t="s">
        <v>90</v>
      </c>
      <c r="D3519" s="259" t="s">
        <v>16152</v>
      </c>
      <c r="E3519" s="210" t="s">
        <v>201</v>
      </c>
    </row>
    <row r="3520" spans="1:5" ht="27">
      <c r="A3520" s="258">
        <v>89594</v>
      </c>
      <c r="B3520" s="257" t="s">
        <v>2703</v>
      </c>
      <c r="C3520" s="257" t="s">
        <v>90</v>
      </c>
      <c r="D3520" s="259" t="s">
        <v>16553</v>
      </c>
      <c r="E3520" s="210" t="s">
        <v>201</v>
      </c>
    </row>
    <row r="3521" spans="1:5" ht="27">
      <c r="A3521" s="258">
        <v>89595</v>
      </c>
      <c r="B3521" s="257" t="s">
        <v>2704</v>
      </c>
      <c r="C3521" s="257" t="s">
        <v>90</v>
      </c>
      <c r="D3521" s="259" t="s">
        <v>16554</v>
      </c>
      <c r="E3521" s="210" t="s">
        <v>201</v>
      </c>
    </row>
    <row r="3522" spans="1:5" ht="27">
      <c r="A3522" s="258">
        <v>89596</v>
      </c>
      <c r="B3522" s="257" t="s">
        <v>2705</v>
      </c>
      <c r="C3522" s="257" t="s">
        <v>90</v>
      </c>
      <c r="D3522" s="259" t="s">
        <v>15732</v>
      </c>
      <c r="E3522" s="210" t="s">
        <v>201</v>
      </c>
    </row>
    <row r="3523" spans="1:5" ht="27">
      <c r="A3523" s="258">
        <v>89597</v>
      </c>
      <c r="B3523" s="257" t="s">
        <v>2706</v>
      </c>
      <c r="C3523" s="257" t="s">
        <v>90</v>
      </c>
      <c r="D3523" s="259" t="s">
        <v>16555</v>
      </c>
      <c r="E3523" s="210" t="s">
        <v>201</v>
      </c>
    </row>
    <row r="3524" spans="1:5" ht="27">
      <c r="A3524" s="258">
        <v>89598</v>
      </c>
      <c r="B3524" s="257" t="s">
        <v>2707</v>
      </c>
      <c r="C3524" s="257" t="s">
        <v>90</v>
      </c>
      <c r="D3524" s="259" t="s">
        <v>16556</v>
      </c>
      <c r="E3524" s="210" t="s">
        <v>201</v>
      </c>
    </row>
    <row r="3525" spans="1:5" ht="27">
      <c r="A3525" s="258">
        <v>89599</v>
      </c>
      <c r="B3525" s="257" t="s">
        <v>2708</v>
      </c>
      <c r="C3525" s="257" t="s">
        <v>90</v>
      </c>
      <c r="D3525" s="259" t="s">
        <v>16557</v>
      </c>
      <c r="E3525" s="210" t="s">
        <v>201</v>
      </c>
    </row>
    <row r="3526" spans="1:5" ht="27">
      <c r="A3526" s="258">
        <v>89600</v>
      </c>
      <c r="B3526" s="257" t="s">
        <v>2709</v>
      </c>
      <c r="C3526" s="257" t="s">
        <v>90</v>
      </c>
      <c r="D3526" s="259" t="s">
        <v>13632</v>
      </c>
      <c r="E3526" s="210" t="s">
        <v>201</v>
      </c>
    </row>
    <row r="3527" spans="1:5" ht="27">
      <c r="A3527" s="258">
        <v>89605</v>
      </c>
      <c r="B3527" s="257" t="s">
        <v>238</v>
      </c>
      <c r="C3527" s="257" t="s">
        <v>90</v>
      </c>
      <c r="D3527" s="259" t="s">
        <v>16558</v>
      </c>
      <c r="E3527" s="210" t="s">
        <v>201</v>
      </c>
    </row>
    <row r="3528" spans="1:5" ht="27">
      <c r="A3528" s="258">
        <v>89609</v>
      </c>
      <c r="B3528" s="257" t="s">
        <v>2710</v>
      </c>
      <c r="C3528" s="257" t="s">
        <v>90</v>
      </c>
      <c r="D3528" s="259" t="s">
        <v>16559</v>
      </c>
      <c r="E3528" s="210" t="s">
        <v>201</v>
      </c>
    </row>
    <row r="3529" spans="1:5" ht="27">
      <c r="A3529" s="258">
        <v>89610</v>
      </c>
      <c r="B3529" s="257" t="s">
        <v>2711</v>
      </c>
      <c r="C3529" s="257" t="s">
        <v>90</v>
      </c>
      <c r="D3529" s="259" t="s">
        <v>16560</v>
      </c>
      <c r="E3529" s="210" t="s">
        <v>201</v>
      </c>
    </row>
    <row r="3530" spans="1:5" ht="27">
      <c r="A3530" s="258">
        <v>89611</v>
      </c>
      <c r="B3530" s="257" t="s">
        <v>2712</v>
      </c>
      <c r="C3530" s="257" t="s">
        <v>90</v>
      </c>
      <c r="D3530" s="259" t="s">
        <v>16561</v>
      </c>
      <c r="E3530" s="210" t="s">
        <v>201</v>
      </c>
    </row>
    <row r="3531" spans="1:5" ht="27">
      <c r="A3531" s="258">
        <v>89612</v>
      </c>
      <c r="B3531" s="257" t="s">
        <v>2713</v>
      </c>
      <c r="C3531" s="257" t="s">
        <v>90</v>
      </c>
      <c r="D3531" s="259" t="s">
        <v>15103</v>
      </c>
      <c r="E3531" s="210" t="s">
        <v>201</v>
      </c>
    </row>
    <row r="3532" spans="1:5" ht="27">
      <c r="A3532" s="258">
        <v>89613</v>
      </c>
      <c r="B3532" s="257" t="s">
        <v>2714</v>
      </c>
      <c r="C3532" s="257" t="s">
        <v>90</v>
      </c>
      <c r="D3532" s="259" t="s">
        <v>16562</v>
      </c>
      <c r="E3532" s="210" t="s">
        <v>201</v>
      </c>
    </row>
    <row r="3533" spans="1:5" ht="27">
      <c r="A3533" s="258">
        <v>89614</v>
      </c>
      <c r="B3533" s="257" t="s">
        <v>2715</v>
      </c>
      <c r="C3533" s="257" t="s">
        <v>90</v>
      </c>
      <c r="D3533" s="259" t="s">
        <v>16563</v>
      </c>
      <c r="E3533" s="210" t="s">
        <v>201</v>
      </c>
    </row>
    <row r="3534" spans="1:5" ht="27">
      <c r="A3534" s="258">
        <v>89615</v>
      </c>
      <c r="B3534" s="257" t="s">
        <v>2716</v>
      </c>
      <c r="C3534" s="257" t="s">
        <v>90</v>
      </c>
      <c r="D3534" s="259" t="s">
        <v>16564</v>
      </c>
      <c r="E3534" s="210" t="s">
        <v>201</v>
      </c>
    </row>
    <row r="3535" spans="1:5" ht="27">
      <c r="A3535" s="258">
        <v>89616</v>
      </c>
      <c r="B3535" s="257" t="s">
        <v>2717</v>
      </c>
      <c r="C3535" s="257" t="s">
        <v>90</v>
      </c>
      <c r="D3535" s="259" t="s">
        <v>16565</v>
      </c>
      <c r="E3535" s="210" t="s">
        <v>201</v>
      </c>
    </row>
    <row r="3536" spans="1:5" ht="27">
      <c r="A3536" s="258">
        <v>89617</v>
      </c>
      <c r="B3536" s="257" t="s">
        <v>2718</v>
      </c>
      <c r="C3536" s="257" t="s">
        <v>90</v>
      </c>
      <c r="D3536" s="259" t="s">
        <v>16566</v>
      </c>
      <c r="E3536" s="210" t="s">
        <v>201</v>
      </c>
    </row>
    <row r="3537" spans="1:5" ht="27">
      <c r="A3537" s="258">
        <v>89618</v>
      </c>
      <c r="B3537" s="257" t="s">
        <v>2719</v>
      </c>
      <c r="C3537" s="257" t="s">
        <v>90</v>
      </c>
      <c r="D3537" s="259" t="s">
        <v>16567</v>
      </c>
      <c r="E3537" s="210" t="s">
        <v>201</v>
      </c>
    </row>
    <row r="3538" spans="1:5" ht="27">
      <c r="A3538" s="258">
        <v>89619</v>
      </c>
      <c r="B3538" s="257" t="s">
        <v>2720</v>
      </c>
      <c r="C3538" s="257" t="s">
        <v>90</v>
      </c>
      <c r="D3538" s="259" t="s">
        <v>15455</v>
      </c>
      <c r="E3538" s="210" t="s">
        <v>201</v>
      </c>
    </row>
    <row r="3539" spans="1:5" ht="27">
      <c r="A3539" s="258">
        <v>89620</v>
      </c>
      <c r="B3539" s="257" t="s">
        <v>2721</v>
      </c>
      <c r="C3539" s="257" t="s">
        <v>90</v>
      </c>
      <c r="D3539" s="259" t="s">
        <v>16544</v>
      </c>
      <c r="E3539" s="210" t="s">
        <v>201</v>
      </c>
    </row>
    <row r="3540" spans="1:5" ht="27">
      <c r="A3540" s="258">
        <v>89621</v>
      </c>
      <c r="B3540" s="257" t="s">
        <v>2722</v>
      </c>
      <c r="C3540" s="257" t="s">
        <v>90</v>
      </c>
      <c r="D3540" s="259" t="s">
        <v>16568</v>
      </c>
      <c r="E3540" s="210" t="s">
        <v>201</v>
      </c>
    </row>
    <row r="3541" spans="1:5" ht="27">
      <c r="A3541" s="258">
        <v>89622</v>
      </c>
      <c r="B3541" s="257" t="s">
        <v>2723</v>
      </c>
      <c r="C3541" s="257" t="s">
        <v>90</v>
      </c>
      <c r="D3541" s="259" t="s">
        <v>16569</v>
      </c>
      <c r="E3541" s="210" t="s">
        <v>201</v>
      </c>
    </row>
    <row r="3542" spans="1:5" ht="27">
      <c r="A3542" s="258">
        <v>89623</v>
      </c>
      <c r="B3542" s="257" t="s">
        <v>231</v>
      </c>
      <c r="C3542" s="257" t="s">
        <v>90</v>
      </c>
      <c r="D3542" s="259" t="s">
        <v>16570</v>
      </c>
      <c r="E3542" s="210" t="s">
        <v>201</v>
      </c>
    </row>
    <row r="3543" spans="1:5" ht="27">
      <c r="A3543" s="258">
        <v>89624</v>
      </c>
      <c r="B3543" s="257" t="s">
        <v>2724</v>
      </c>
      <c r="C3543" s="257" t="s">
        <v>90</v>
      </c>
      <c r="D3543" s="259" t="s">
        <v>16571</v>
      </c>
      <c r="E3543" s="210" t="s">
        <v>201</v>
      </c>
    </row>
    <row r="3544" spans="1:5" ht="27">
      <c r="A3544" s="258">
        <v>89625</v>
      </c>
      <c r="B3544" s="257" t="s">
        <v>232</v>
      </c>
      <c r="C3544" s="257" t="s">
        <v>90</v>
      </c>
      <c r="D3544" s="259" t="s">
        <v>16572</v>
      </c>
      <c r="E3544" s="210" t="s">
        <v>201</v>
      </c>
    </row>
    <row r="3545" spans="1:5" ht="27">
      <c r="A3545" s="258">
        <v>89626</v>
      </c>
      <c r="B3545" s="257" t="s">
        <v>2725</v>
      </c>
      <c r="C3545" s="257" t="s">
        <v>90</v>
      </c>
      <c r="D3545" s="259" t="s">
        <v>16573</v>
      </c>
      <c r="E3545" s="210" t="s">
        <v>201</v>
      </c>
    </row>
    <row r="3546" spans="1:5" ht="27">
      <c r="A3546" s="258">
        <v>89627</v>
      </c>
      <c r="B3546" s="257" t="s">
        <v>2726</v>
      </c>
      <c r="C3546" s="257" t="s">
        <v>90</v>
      </c>
      <c r="D3546" s="259" t="s">
        <v>15940</v>
      </c>
      <c r="E3546" s="210" t="s">
        <v>201</v>
      </c>
    </row>
    <row r="3547" spans="1:5" ht="27">
      <c r="A3547" s="258">
        <v>89628</v>
      </c>
      <c r="B3547" s="257" t="s">
        <v>233</v>
      </c>
      <c r="C3547" s="257" t="s">
        <v>90</v>
      </c>
      <c r="D3547" s="259" t="s">
        <v>16574</v>
      </c>
      <c r="E3547" s="210" t="s">
        <v>201</v>
      </c>
    </row>
    <row r="3548" spans="1:5" ht="27">
      <c r="A3548" s="258">
        <v>89629</v>
      </c>
      <c r="B3548" s="257" t="s">
        <v>234</v>
      </c>
      <c r="C3548" s="257" t="s">
        <v>90</v>
      </c>
      <c r="D3548" s="259" t="s">
        <v>16575</v>
      </c>
      <c r="E3548" s="210" t="s">
        <v>201</v>
      </c>
    </row>
    <row r="3549" spans="1:5" ht="27">
      <c r="A3549" s="258">
        <v>89630</v>
      </c>
      <c r="B3549" s="257" t="s">
        <v>2727</v>
      </c>
      <c r="C3549" s="257" t="s">
        <v>90</v>
      </c>
      <c r="D3549" s="259" t="s">
        <v>16576</v>
      </c>
      <c r="E3549" s="210" t="s">
        <v>201</v>
      </c>
    </row>
    <row r="3550" spans="1:5" ht="27">
      <c r="A3550" s="258">
        <v>89631</v>
      </c>
      <c r="B3550" s="257" t="s">
        <v>2728</v>
      </c>
      <c r="C3550" s="257" t="s">
        <v>90</v>
      </c>
      <c r="D3550" s="259" t="s">
        <v>16577</v>
      </c>
      <c r="E3550" s="210" t="s">
        <v>201</v>
      </c>
    </row>
    <row r="3551" spans="1:5" ht="27">
      <c r="A3551" s="258">
        <v>89632</v>
      </c>
      <c r="B3551" s="257" t="s">
        <v>2729</v>
      </c>
      <c r="C3551" s="257" t="s">
        <v>90</v>
      </c>
      <c r="D3551" s="259" t="s">
        <v>16578</v>
      </c>
      <c r="E3551" s="210" t="s">
        <v>201</v>
      </c>
    </row>
    <row r="3552" spans="1:5" ht="27">
      <c r="A3552" s="258">
        <v>89637</v>
      </c>
      <c r="B3552" s="257" t="s">
        <v>2730</v>
      </c>
      <c r="C3552" s="257" t="s">
        <v>90</v>
      </c>
      <c r="D3552" s="259" t="s">
        <v>16579</v>
      </c>
      <c r="E3552" s="210" t="s">
        <v>201</v>
      </c>
    </row>
    <row r="3553" spans="1:5" ht="27">
      <c r="A3553" s="258">
        <v>89638</v>
      </c>
      <c r="B3553" s="257" t="s">
        <v>2731</v>
      </c>
      <c r="C3553" s="257" t="s">
        <v>90</v>
      </c>
      <c r="D3553" s="259" t="s">
        <v>15491</v>
      </c>
      <c r="E3553" s="210" t="s">
        <v>201</v>
      </c>
    </row>
    <row r="3554" spans="1:5" ht="27">
      <c r="A3554" s="258">
        <v>89639</v>
      </c>
      <c r="B3554" s="257" t="s">
        <v>2732</v>
      </c>
      <c r="C3554" s="257" t="s">
        <v>90</v>
      </c>
      <c r="D3554" s="259" t="s">
        <v>15769</v>
      </c>
      <c r="E3554" s="210" t="s">
        <v>201</v>
      </c>
    </row>
    <row r="3555" spans="1:5" ht="27">
      <c r="A3555" s="258">
        <v>89640</v>
      </c>
      <c r="B3555" s="257" t="s">
        <v>5670</v>
      </c>
      <c r="C3555" s="257" t="s">
        <v>90</v>
      </c>
      <c r="D3555" s="259" t="s">
        <v>15725</v>
      </c>
      <c r="E3555" s="210" t="s">
        <v>201</v>
      </c>
    </row>
    <row r="3556" spans="1:5" ht="27">
      <c r="A3556" s="258">
        <v>89641</v>
      </c>
      <c r="B3556" s="257" t="s">
        <v>2733</v>
      </c>
      <c r="C3556" s="257" t="s">
        <v>90</v>
      </c>
      <c r="D3556" s="259" t="s">
        <v>14177</v>
      </c>
      <c r="E3556" s="210" t="s">
        <v>201</v>
      </c>
    </row>
    <row r="3557" spans="1:5" ht="27">
      <c r="A3557" s="258">
        <v>89642</v>
      </c>
      <c r="B3557" s="257" t="s">
        <v>2734</v>
      </c>
      <c r="C3557" s="257" t="s">
        <v>90</v>
      </c>
      <c r="D3557" s="259" t="s">
        <v>16580</v>
      </c>
      <c r="E3557" s="210" t="s">
        <v>201</v>
      </c>
    </row>
    <row r="3558" spans="1:5" ht="27">
      <c r="A3558" s="258">
        <v>89643</v>
      </c>
      <c r="B3558" s="257" t="s">
        <v>2735</v>
      </c>
      <c r="C3558" s="257" t="s">
        <v>90</v>
      </c>
      <c r="D3558" s="259" t="s">
        <v>16466</v>
      </c>
      <c r="E3558" s="210" t="s">
        <v>201</v>
      </c>
    </row>
    <row r="3559" spans="1:5" ht="27">
      <c r="A3559" s="258">
        <v>89644</v>
      </c>
      <c r="B3559" s="257" t="s">
        <v>5671</v>
      </c>
      <c r="C3559" s="257" t="s">
        <v>90</v>
      </c>
      <c r="D3559" s="259" t="s">
        <v>16581</v>
      </c>
      <c r="E3559" s="210" t="s">
        <v>201</v>
      </c>
    </row>
    <row r="3560" spans="1:5" ht="27">
      <c r="A3560" s="258">
        <v>89645</v>
      </c>
      <c r="B3560" s="257" t="s">
        <v>2736</v>
      </c>
      <c r="C3560" s="257" t="s">
        <v>90</v>
      </c>
      <c r="D3560" s="259" t="s">
        <v>16582</v>
      </c>
      <c r="E3560" s="210" t="s">
        <v>201</v>
      </c>
    </row>
    <row r="3561" spans="1:5" ht="27">
      <c r="A3561" s="258">
        <v>89646</v>
      </c>
      <c r="B3561" s="257" t="s">
        <v>2737</v>
      </c>
      <c r="C3561" s="257" t="s">
        <v>90</v>
      </c>
      <c r="D3561" s="259" t="s">
        <v>14473</v>
      </c>
      <c r="E3561" s="210" t="s">
        <v>201</v>
      </c>
    </row>
    <row r="3562" spans="1:5" ht="27">
      <c r="A3562" s="258">
        <v>89647</v>
      </c>
      <c r="B3562" s="257" t="s">
        <v>2738</v>
      </c>
      <c r="C3562" s="257" t="s">
        <v>90</v>
      </c>
      <c r="D3562" s="259" t="s">
        <v>16583</v>
      </c>
      <c r="E3562" s="210" t="s">
        <v>201</v>
      </c>
    </row>
    <row r="3563" spans="1:5" ht="27">
      <c r="A3563" s="258">
        <v>89648</v>
      </c>
      <c r="B3563" s="257" t="s">
        <v>2739</v>
      </c>
      <c r="C3563" s="257" t="s">
        <v>90</v>
      </c>
      <c r="D3563" s="259" t="s">
        <v>16584</v>
      </c>
      <c r="E3563" s="210" t="s">
        <v>201</v>
      </c>
    </row>
    <row r="3564" spans="1:5" ht="27">
      <c r="A3564" s="258">
        <v>89649</v>
      </c>
      <c r="B3564" s="257" t="s">
        <v>2740</v>
      </c>
      <c r="C3564" s="257" t="s">
        <v>90</v>
      </c>
      <c r="D3564" s="259" t="s">
        <v>16585</v>
      </c>
      <c r="E3564" s="210" t="s">
        <v>201</v>
      </c>
    </row>
    <row r="3565" spans="1:5" ht="27">
      <c r="A3565" s="258">
        <v>89650</v>
      </c>
      <c r="B3565" s="257" t="s">
        <v>2741</v>
      </c>
      <c r="C3565" s="257" t="s">
        <v>90</v>
      </c>
      <c r="D3565" s="259" t="s">
        <v>16585</v>
      </c>
      <c r="E3565" s="210" t="s">
        <v>201</v>
      </c>
    </row>
    <row r="3566" spans="1:5" ht="27">
      <c r="A3566" s="258">
        <v>89651</v>
      </c>
      <c r="B3566" s="257" t="s">
        <v>2742</v>
      </c>
      <c r="C3566" s="257" t="s">
        <v>90</v>
      </c>
      <c r="D3566" s="259" t="s">
        <v>13990</v>
      </c>
      <c r="E3566" s="210" t="s">
        <v>201</v>
      </c>
    </row>
    <row r="3567" spans="1:5" ht="27">
      <c r="A3567" s="258">
        <v>89652</v>
      </c>
      <c r="B3567" s="257" t="s">
        <v>2743</v>
      </c>
      <c r="C3567" s="257" t="s">
        <v>90</v>
      </c>
      <c r="D3567" s="259" t="s">
        <v>16586</v>
      </c>
      <c r="E3567" s="210" t="s">
        <v>201</v>
      </c>
    </row>
    <row r="3568" spans="1:5" ht="27">
      <c r="A3568" s="258">
        <v>89653</v>
      </c>
      <c r="B3568" s="257" t="s">
        <v>2744</v>
      </c>
      <c r="C3568" s="257" t="s">
        <v>90</v>
      </c>
      <c r="D3568" s="259" t="s">
        <v>16587</v>
      </c>
      <c r="E3568" s="210" t="s">
        <v>201</v>
      </c>
    </row>
    <row r="3569" spans="1:5" ht="27">
      <c r="A3569" s="258">
        <v>89654</v>
      </c>
      <c r="B3569" s="257" t="s">
        <v>2745</v>
      </c>
      <c r="C3569" s="257" t="s">
        <v>90</v>
      </c>
      <c r="D3569" s="259" t="s">
        <v>16588</v>
      </c>
      <c r="E3569" s="210" t="s">
        <v>201</v>
      </c>
    </row>
    <row r="3570" spans="1:5" ht="27">
      <c r="A3570" s="258">
        <v>89655</v>
      </c>
      <c r="B3570" s="257" t="s">
        <v>2746</v>
      </c>
      <c r="C3570" s="257" t="s">
        <v>90</v>
      </c>
      <c r="D3570" s="259" t="s">
        <v>13632</v>
      </c>
      <c r="E3570" s="210" t="s">
        <v>201</v>
      </c>
    </row>
    <row r="3571" spans="1:5" ht="27">
      <c r="A3571" s="258">
        <v>89656</v>
      </c>
      <c r="B3571" s="257" t="s">
        <v>2747</v>
      </c>
      <c r="C3571" s="257" t="s">
        <v>90</v>
      </c>
      <c r="D3571" s="259" t="s">
        <v>15470</v>
      </c>
      <c r="E3571" s="210" t="s">
        <v>201</v>
      </c>
    </row>
    <row r="3572" spans="1:5" ht="27">
      <c r="A3572" s="258">
        <v>89657</v>
      </c>
      <c r="B3572" s="257" t="s">
        <v>2748</v>
      </c>
      <c r="C3572" s="257" t="s">
        <v>90</v>
      </c>
      <c r="D3572" s="259" t="s">
        <v>16589</v>
      </c>
      <c r="E3572" s="210" t="s">
        <v>201</v>
      </c>
    </row>
    <row r="3573" spans="1:5" ht="27">
      <c r="A3573" s="258">
        <v>89658</v>
      </c>
      <c r="B3573" s="257" t="s">
        <v>2749</v>
      </c>
      <c r="C3573" s="257" t="s">
        <v>90</v>
      </c>
      <c r="D3573" s="259" t="s">
        <v>16236</v>
      </c>
      <c r="E3573" s="210" t="s">
        <v>201</v>
      </c>
    </row>
    <row r="3574" spans="1:5" ht="27">
      <c r="A3574" s="258">
        <v>89659</v>
      </c>
      <c r="B3574" s="257" t="s">
        <v>2750</v>
      </c>
      <c r="C3574" s="257" t="s">
        <v>90</v>
      </c>
      <c r="D3574" s="259" t="s">
        <v>16590</v>
      </c>
      <c r="E3574" s="210" t="s">
        <v>201</v>
      </c>
    </row>
    <row r="3575" spans="1:5" ht="27">
      <c r="A3575" s="258">
        <v>89660</v>
      </c>
      <c r="B3575" s="257" t="s">
        <v>2751</v>
      </c>
      <c r="C3575" s="257" t="s">
        <v>90</v>
      </c>
      <c r="D3575" s="259" t="s">
        <v>14441</v>
      </c>
      <c r="E3575" s="210" t="s">
        <v>201</v>
      </c>
    </row>
    <row r="3576" spans="1:5" ht="27">
      <c r="A3576" s="258">
        <v>89661</v>
      </c>
      <c r="B3576" s="257" t="s">
        <v>2752</v>
      </c>
      <c r="C3576" s="257" t="s">
        <v>90</v>
      </c>
      <c r="D3576" s="259" t="s">
        <v>15501</v>
      </c>
      <c r="E3576" s="210" t="s">
        <v>201</v>
      </c>
    </row>
    <row r="3577" spans="1:5" ht="27">
      <c r="A3577" s="258">
        <v>89662</v>
      </c>
      <c r="B3577" s="257" t="s">
        <v>2753</v>
      </c>
      <c r="C3577" s="257" t="s">
        <v>90</v>
      </c>
      <c r="D3577" s="259" t="s">
        <v>16591</v>
      </c>
      <c r="E3577" s="210" t="s">
        <v>201</v>
      </c>
    </row>
    <row r="3578" spans="1:5" ht="27">
      <c r="A3578" s="258">
        <v>89663</v>
      </c>
      <c r="B3578" s="257" t="s">
        <v>2754</v>
      </c>
      <c r="C3578" s="257" t="s">
        <v>90</v>
      </c>
      <c r="D3578" s="259" t="s">
        <v>13543</v>
      </c>
      <c r="E3578" s="210" t="s">
        <v>201</v>
      </c>
    </row>
    <row r="3579" spans="1:5" ht="27">
      <c r="A3579" s="258">
        <v>89664</v>
      </c>
      <c r="B3579" s="257" t="s">
        <v>2755</v>
      </c>
      <c r="C3579" s="257" t="s">
        <v>90</v>
      </c>
      <c r="D3579" s="259" t="s">
        <v>16590</v>
      </c>
      <c r="E3579" s="210" t="s">
        <v>201</v>
      </c>
    </row>
    <row r="3580" spans="1:5" ht="27">
      <c r="A3580" s="258">
        <v>89665</v>
      </c>
      <c r="B3580" s="257" t="s">
        <v>2756</v>
      </c>
      <c r="C3580" s="257" t="s">
        <v>90</v>
      </c>
      <c r="D3580" s="259" t="s">
        <v>16592</v>
      </c>
      <c r="E3580" s="210" t="s">
        <v>201</v>
      </c>
    </row>
    <row r="3581" spans="1:5" ht="27">
      <c r="A3581" s="258">
        <v>89666</v>
      </c>
      <c r="B3581" s="257" t="s">
        <v>2757</v>
      </c>
      <c r="C3581" s="257" t="s">
        <v>90</v>
      </c>
      <c r="D3581" s="259" t="s">
        <v>16593</v>
      </c>
      <c r="E3581" s="210" t="s">
        <v>201</v>
      </c>
    </row>
    <row r="3582" spans="1:5" ht="27">
      <c r="A3582" s="258">
        <v>89667</v>
      </c>
      <c r="B3582" s="257" t="s">
        <v>2758</v>
      </c>
      <c r="C3582" s="257" t="s">
        <v>90</v>
      </c>
      <c r="D3582" s="259" t="s">
        <v>16594</v>
      </c>
      <c r="E3582" s="210" t="s">
        <v>201</v>
      </c>
    </row>
    <row r="3583" spans="1:5" ht="27">
      <c r="A3583" s="258">
        <v>89668</v>
      </c>
      <c r="B3583" s="257" t="s">
        <v>2759</v>
      </c>
      <c r="C3583" s="257" t="s">
        <v>90</v>
      </c>
      <c r="D3583" s="259" t="s">
        <v>16595</v>
      </c>
      <c r="E3583" s="210" t="s">
        <v>201</v>
      </c>
    </row>
    <row r="3584" spans="1:5" ht="27">
      <c r="A3584" s="258">
        <v>89669</v>
      </c>
      <c r="B3584" s="257" t="s">
        <v>2760</v>
      </c>
      <c r="C3584" s="257" t="s">
        <v>90</v>
      </c>
      <c r="D3584" s="259" t="s">
        <v>16596</v>
      </c>
      <c r="E3584" s="210" t="s">
        <v>201</v>
      </c>
    </row>
    <row r="3585" spans="1:5" ht="27">
      <c r="A3585" s="258">
        <v>89670</v>
      </c>
      <c r="B3585" s="257" t="s">
        <v>2761</v>
      </c>
      <c r="C3585" s="257" t="s">
        <v>90</v>
      </c>
      <c r="D3585" s="259" t="s">
        <v>15666</v>
      </c>
      <c r="E3585" s="210" t="s">
        <v>201</v>
      </c>
    </row>
    <row r="3586" spans="1:5" ht="27">
      <c r="A3586" s="258">
        <v>89671</v>
      </c>
      <c r="B3586" s="257" t="s">
        <v>2762</v>
      </c>
      <c r="C3586" s="257" t="s">
        <v>90</v>
      </c>
      <c r="D3586" s="259" t="s">
        <v>16597</v>
      </c>
      <c r="E3586" s="210" t="s">
        <v>201</v>
      </c>
    </row>
    <row r="3587" spans="1:5" ht="27">
      <c r="A3587" s="258">
        <v>89672</v>
      </c>
      <c r="B3587" s="257" t="s">
        <v>2763</v>
      </c>
      <c r="C3587" s="257" t="s">
        <v>90</v>
      </c>
      <c r="D3587" s="259" t="s">
        <v>14143</v>
      </c>
      <c r="E3587" s="210" t="s">
        <v>201</v>
      </c>
    </row>
    <row r="3588" spans="1:5" ht="27">
      <c r="A3588" s="258">
        <v>89673</v>
      </c>
      <c r="B3588" s="257" t="s">
        <v>2764</v>
      </c>
      <c r="C3588" s="257" t="s">
        <v>90</v>
      </c>
      <c r="D3588" s="259" t="s">
        <v>16568</v>
      </c>
      <c r="E3588" s="210" t="s">
        <v>201</v>
      </c>
    </row>
    <row r="3589" spans="1:5" ht="27">
      <c r="A3589" s="258">
        <v>89674</v>
      </c>
      <c r="B3589" s="257" t="s">
        <v>2765</v>
      </c>
      <c r="C3589" s="257" t="s">
        <v>90</v>
      </c>
      <c r="D3589" s="259" t="s">
        <v>16598</v>
      </c>
      <c r="E3589" s="210" t="s">
        <v>201</v>
      </c>
    </row>
    <row r="3590" spans="1:5" ht="27">
      <c r="A3590" s="258">
        <v>89675</v>
      </c>
      <c r="B3590" s="257" t="s">
        <v>2766</v>
      </c>
      <c r="C3590" s="257" t="s">
        <v>90</v>
      </c>
      <c r="D3590" s="259" t="s">
        <v>14548</v>
      </c>
      <c r="E3590" s="210" t="s">
        <v>201</v>
      </c>
    </row>
    <row r="3591" spans="1:5" ht="27">
      <c r="A3591" s="258">
        <v>89676</v>
      </c>
      <c r="B3591" s="257" t="s">
        <v>2767</v>
      </c>
      <c r="C3591" s="257" t="s">
        <v>90</v>
      </c>
      <c r="D3591" s="259" t="s">
        <v>16599</v>
      </c>
      <c r="E3591" s="210" t="s">
        <v>201</v>
      </c>
    </row>
    <row r="3592" spans="1:5" ht="27">
      <c r="A3592" s="258">
        <v>89677</v>
      </c>
      <c r="B3592" s="257" t="s">
        <v>2768</v>
      </c>
      <c r="C3592" s="257" t="s">
        <v>90</v>
      </c>
      <c r="D3592" s="259" t="s">
        <v>16600</v>
      </c>
      <c r="E3592" s="210" t="s">
        <v>201</v>
      </c>
    </row>
    <row r="3593" spans="1:5" ht="27">
      <c r="A3593" s="258">
        <v>89678</v>
      </c>
      <c r="B3593" s="257" t="s">
        <v>2769</v>
      </c>
      <c r="C3593" s="257" t="s">
        <v>90</v>
      </c>
      <c r="D3593" s="259" t="s">
        <v>16601</v>
      </c>
      <c r="E3593" s="210" t="s">
        <v>201</v>
      </c>
    </row>
    <row r="3594" spans="1:5" ht="27">
      <c r="A3594" s="258">
        <v>89679</v>
      </c>
      <c r="B3594" s="257" t="s">
        <v>2770</v>
      </c>
      <c r="C3594" s="257" t="s">
        <v>90</v>
      </c>
      <c r="D3594" s="259" t="s">
        <v>16602</v>
      </c>
      <c r="E3594" s="210" t="s">
        <v>201</v>
      </c>
    </row>
    <row r="3595" spans="1:5" ht="27">
      <c r="A3595" s="258">
        <v>89680</v>
      </c>
      <c r="B3595" s="257" t="s">
        <v>2771</v>
      </c>
      <c r="C3595" s="257" t="s">
        <v>90</v>
      </c>
      <c r="D3595" s="259" t="s">
        <v>16603</v>
      </c>
      <c r="E3595" s="210" t="s">
        <v>201</v>
      </c>
    </row>
    <row r="3596" spans="1:5" ht="27">
      <c r="A3596" s="258">
        <v>89681</v>
      </c>
      <c r="B3596" s="257" t="s">
        <v>2772</v>
      </c>
      <c r="C3596" s="257" t="s">
        <v>90</v>
      </c>
      <c r="D3596" s="259" t="s">
        <v>16604</v>
      </c>
      <c r="E3596" s="210" t="s">
        <v>201</v>
      </c>
    </row>
    <row r="3597" spans="1:5" ht="27">
      <c r="A3597" s="258">
        <v>89682</v>
      </c>
      <c r="B3597" s="257" t="s">
        <v>2773</v>
      </c>
      <c r="C3597" s="257" t="s">
        <v>90</v>
      </c>
      <c r="D3597" s="259" t="s">
        <v>14957</v>
      </c>
      <c r="E3597" s="210" t="s">
        <v>201</v>
      </c>
    </row>
    <row r="3598" spans="1:5" ht="27">
      <c r="A3598" s="258">
        <v>89684</v>
      </c>
      <c r="B3598" s="257" t="s">
        <v>2774</v>
      </c>
      <c r="C3598" s="257" t="s">
        <v>90</v>
      </c>
      <c r="D3598" s="259" t="s">
        <v>15237</v>
      </c>
      <c r="E3598" s="210" t="s">
        <v>201</v>
      </c>
    </row>
    <row r="3599" spans="1:5" ht="27">
      <c r="A3599" s="258">
        <v>89685</v>
      </c>
      <c r="B3599" s="257" t="s">
        <v>2775</v>
      </c>
      <c r="C3599" s="257" t="s">
        <v>90</v>
      </c>
      <c r="D3599" s="259" t="s">
        <v>14537</v>
      </c>
      <c r="E3599" s="210" t="s">
        <v>201</v>
      </c>
    </row>
    <row r="3600" spans="1:5" ht="27">
      <c r="A3600" s="258">
        <v>89686</v>
      </c>
      <c r="B3600" s="257" t="s">
        <v>2776</v>
      </c>
      <c r="C3600" s="257" t="s">
        <v>90</v>
      </c>
      <c r="D3600" s="259" t="s">
        <v>16605</v>
      </c>
      <c r="E3600" s="210" t="s">
        <v>201</v>
      </c>
    </row>
    <row r="3601" spans="1:5" ht="27">
      <c r="A3601" s="258">
        <v>89687</v>
      </c>
      <c r="B3601" s="257" t="s">
        <v>2777</v>
      </c>
      <c r="C3601" s="257" t="s">
        <v>90</v>
      </c>
      <c r="D3601" s="259" t="s">
        <v>16606</v>
      </c>
      <c r="E3601" s="210" t="s">
        <v>201</v>
      </c>
    </row>
    <row r="3602" spans="1:5" ht="27">
      <c r="A3602" s="258">
        <v>89689</v>
      </c>
      <c r="B3602" s="257" t="s">
        <v>2778</v>
      </c>
      <c r="C3602" s="257" t="s">
        <v>90</v>
      </c>
      <c r="D3602" s="259" t="s">
        <v>13908</v>
      </c>
      <c r="E3602" s="210" t="s">
        <v>201</v>
      </c>
    </row>
    <row r="3603" spans="1:5" ht="27">
      <c r="A3603" s="258">
        <v>89690</v>
      </c>
      <c r="B3603" s="257" t="s">
        <v>2779</v>
      </c>
      <c r="C3603" s="257" t="s">
        <v>90</v>
      </c>
      <c r="D3603" s="259" t="s">
        <v>16607</v>
      </c>
      <c r="E3603" s="210" t="s">
        <v>201</v>
      </c>
    </row>
    <row r="3604" spans="1:5" ht="27">
      <c r="A3604" s="258">
        <v>89691</v>
      </c>
      <c r="B3604" s="257" t="s">
        <v>2780</v>
      </c>
      <c r="C3604" s="257" t="s">
        <v>90</v>
      </c>
      <c r="D3604" s="259" t="s">
        <v>16544</v>
      </c>
      <c r="E3604" s="210" t="s">
        <v>201</v>
      </c>
    </row>
    <row r="3605" spans="1:5" ht="27">
      <c r="A3605" s="258">
        <v>89692</v>
      </c>
      <c r="B3605" s="257" t="s">
        <v>2781</v>
      </c>
      <c r="C3605" s="257" t="s">
        <v>90</v>
      </c>
      <c r="D3605" s="259" t="s">
        <v>16608</v>
      </c>
      <c r="E3605" s="210" t="s">
        <v>201</v>
      </c>
    </row>
    <row r="3606" spans="1:5" ht="27">
      <c r="A3606" s="258">
        <v>89693</v>
      </c>
      <c r="B3606" s="257" t="s">
        <v>2782</v>
      </c>
      <c r="C3606" s="257" t="s">
        <v>90</v>
      </c>
      <c r="D3606" s="259" t="s">
        <v>16609</v>
      </c>
      <c r="E3606" s="210" t="s">
        <v>201</v>
      </c>
    </row>
    <row r="3607" spans="1:5" ht="27">
      <c r="A3607" s="258">
        <v>89694</v>
      </c>
      <c r="B3607" s="257" t="s">
        <v>2783</v>
      </c>
      <c r="C3607" s="257" t="s">
        <v>90</v>
      </c>
      <c r="D3607" s="259" t="s">
        <v>16610</v>
      </c>
      <c r="E3607" s="210" t="s">
        <v>201</v>
      </c>
    </row>
    <row r="3608" spans="1:5" ht="27">
      <c r="A3608" s="258">
        <v>89695</v>
      </c>
      <c r="B3608" s="257" t="s">
        <v>2784</v>
      </c>
      <c r="C3608" s="257" t="s">
        <v>90</v>
      </c>
      <c r="D3608" s="259" t="s">
        <v>14433</v>
      </c>
      <c r="E3608" s="210" t="s">
        <v>201</v>
      </c>
    </row>
    <row r="3609" spans="1:5" ht="27">
      <c r="A3609" s="258">
        <v>89696</v>
      </c>
      <c r="B3609" s="257" t="s">
        <v>2785</v>
      </c>
      <c r="C3609" s="257" t="s">
        <v>90</v>
      </c>
      <c r="D3609" s="259" t="s">
        <v>16611</v>
      </c>
      <c r="E3609" s="210" t="s">
        <v>201</v>
      </c>
    </row>
    <row r="3610" spans="1:5" ht="27">
      <c r="A3610" s="258">
        <v>89697</v>
      </c>
      <c r="B3610" s="257" t="s">
        <v>2786</v>
      </c>
      <c r="C3610" s="257" t="s">
        <v>90</v>
      </c>
      <c r="D3610" s="259" t="s">
        <v>16612</v>
      </c>
      <c r="E3610" s="210" t="s">
        <v>201</v>
      </c>
    </row>
    <row r="3611" spans="1:5" ht="27">
      <c r="A3611" s="258">
        <v>89698</v>
      </c>
      <c r="B3611" s="257" t="s">
        <v>2787</v>
      </c>
      <c r="C3611" s="257" t="s">
        <v>90</v>
      </c>
      <c r="D3611" s="259" t="s">
        <v>16613</v>
      </c>
      <c r="E3611" s="210" t="s">
        <v>201</v>
      </c>
    </row>
    <row r="3612" spans="1:5" ht="27">
      <c r="A3612" s="258">
        <v>89699</v>
      </c>
      <c r="B3612" s="257" t="s">
        <v>2788</v>
      </c>
      <c r="C3612" s="257" t="s">
        <v>90</v>
      </c>
      <c r="D3612" s="259" t="s">
        <v>16614</v>
      </c>
      <c r="E3612" s="210" t="s">
        <v>201</v>
      </c>
    </row>
    <row r="3613" spans="1:5" ht="27">
      <c r="A3613" s="258">
        <v>89700</v>
      </c>
      <c r="B3613" s="257" t="s">
        <v>2789</v>
      </c>
      <c r="C3613" s="257" t="s">
        <v>90</v>
      </c>
      <c r="D3613" s="259" t="s">
        <v>16615</v>
      </c>
      <c r="E3613" s="210" t="s">
        <v>201</v>
      </c>
    </row>
    <row r="3614" spans="1:5" ht="27">
      <c r="A3614" s="258">
        <v>89701</v>
      </c>
      <c r="B3614" s="257" t="s">
        <v>2790</v>
      </c>
      <c r="C3614" s="257" t="s">
        <v>90</v>
      </c>
      <c r="D3614" s="259" t="s">
        <v>16616</v>
      </c>
      <c r="E3614" s="210" t="s">
        <v>201</v>
      </c>
    </row>
    <row r="3615" spans="1:5" ht="27">
      <c r="A3615" s="258">
        <v>89702</v>
      </c>
      <c r="B3615" s="257" t="s">
        <v>2791</v>
      </c>
      <c r="C3615" s="257" t="s">
        <v>90</v>
      </c>
      <c r="D3615" s="259" t="s">
        <v>16615</v>
      </c>
      <c r="E3615" s="210" t="s">
        <v>201</v>
      </c>
    </row>
    <row r="3616" spans="1:5" ht="27">
      <c r="A3616" s="258">
        <v>89703</v>
      </c>
      <c r="B3616" s="257" t="s">
        <v>2792</v>
      </c>
      <c r="C3616" s="257" t="s">
        <v>90</v>
      </c>
      <c r="D3616" s="259" t="s">
        <v>14729</v>
      </c>
      <c r="E3616" s="210" t="s">
        <v>201</v>
      </c>
    </row>
    <row r="3617" spans="1:5" ht="27">
      <c r="A3617" s="258">
        <v>89704</v>
      </c>
      <c r="B3617" s="257" t="s">
        <v>2793</v>
      </c>
      <c r="C3617" s="257" t="s">
        <v>90</v>
      </c>
      <c r="D3617" s="259" t="s">
        <v>16617</v>
      </c>
      <c r="E3617" s="210" t="s">
        <v>201</v>
      </c>
    </row>
    <row r="3618" spans="1:5" ht="27">
      <c r="A3618" s="258">
        <v>89705</v>
      </c>
      <c r="B3618" s="257" t="s">
        <v>2794</v>
      </c>
      <c r="C3618" s="257" t="s">
        <v>90</v>
      </c>
      <c r="D3618" s="259" t="s">
        <v>16618</v>
      </c>
      <c r="E3618" s="210" t="s">
        <v>201</v>
      </c>
    </row>
    <row r="3619" spans="1:5" ht="27">
      <c r="A3619" s="258">
        <v>89706</v>
      </c>
      <c r="B3619" s="257" t="s">
        <v>2795</v>
      </c>
      <c r="C3619" s="257" t="s">
        <v>90</v>
      </c>
      <c r="D3619" s="259" t="s">
        <v>13533</v>
      </c>
      <c r="E3619" s="210" t="s">
        <v>201</v>
      </c>
    </row>
    <row r="3620" spans="1:5" ht="27">
      <c r="A3620" s="258">
        <v>89718</v>
      </c>
      <c r="B3620" s="257" t="s">
        <v>2796</v>
      </c>
      <c r="C3620" s="257" t="s">
        <v>5</v>
      </c>
      <c r="D3620" s="259" t="s">
        <v>16619</v>
      </c>
      <c r="E3620" s="210" t="s">
        <v>201</v>
      </c>
    </row>
    <row r="3621" spans="1:5" ht="27">
      <c r="A3621" s="258">
        <v>89719</v>
      </c>
      <c r="B3621" s="257" t="s">
        <v>2797</v>
      </c>
      <c r="C3621" s="257" t="s">
        <v>90</v>
      </c>
      <c r="D3621" s="259" t="s">
        <v>16620</v>
      </c>
      <c r="E3621" s="210" t="s">
        <v>201</v>
      </c>
    </row>
    <row r="3622" spans="1:5" ht="27">
      <c r="A3622" s="258">
        <v>89720</v>
      </c>
      <c r="B3622" s="257" t="s">
        <v>2798</v>
      </c>
      <c r="C3622" s="257" t="s">
        <v>90</v>
      </c>
      <c r="D3622" s="259" t="s">
        <v>16621</v>
      </c>
      <c r="E3622" s="210" t="s">
        <v>201</v>
      </c>
    </row>
    <row r="3623" spans="1:5" ht="27">
      <c r="A3623" s="258">
        <v>89721</v>
      </c>
      <c r="B3623" s="257" t="s">
        <v>2799</v>
      </c>
      <c r="C3623" s="257" t="s">
        <v>90</v>
      </c>
      <c r="D3623" s="259" t="s">
        <v>15431</v>
      </c>
      <c r="E3623" s="210" t="s">
        <v>201</v>
      </c>
    </row>
    <row r="3624" spans="1:5" ht="27">
      <c r="A3624" s="258">
        <v>89722</v>
      </c>
      <c r="B3624" s="257" t="s">
        <v>5672</v>
      </c>
      <c r="C3624" s="257" t="s">
        <v>90</v>
      </c>
      <c r="D3624" s="259" t="s">
        <v>16622</v>
      </c>
      <c r="E3624" s="210" t="s">
        <v>201</v>
      </c>
    </row>
    <row r="3625" spans="1:5" ht="27">
      <c r="A3625" s="258">
        <v>89723</v>
      </c>
      <c r="B3625" s="257" t="s">
        <v>2800</v>
      </c>
      <c r="C3625" s="257" t="s">
        <v>90</v>
      </c>
      <c r="D3625" s="259" t="s">
        <v>16623</v>
      </c>
      <c r="E3625" s="210" t="s">
        <v>201</v>
      </c>
    </row>
    <row r="3626" spans="1:5" ht="27">
      <c r="A3626" s="258">
        <v>89724</v>
      </c>
      <c r="B3626" s="257" t="s">
        <v>2801</v>
      </c>
      <c r="C3626" s="257" t="s">
        <v>90</v>
      </c>
      <c r="D3626" s="259" t="s">
        <v>16624</v>
      </c>
      <c r="E3626" s="210" t="s">
        <v>201</v>
      </c>
    </row>
    <row r="3627" spans="1:5" ht="27">
      <c r="A3627" s="258">
        <v>89725</v>
      </c>
      <c r="B3627" s="257" t="s">
        <v>2802</v>
      </c>
      <c r="C3627" s="257" t="s">
        <v>90</v>
      </c>
      <c r="D3627" s="259" t="s">
        <v>16625</v>
      </c>
      <c r="E3627" s="210" t="s">
        <v>201</v>
      </c>
    </row>
    <row r="3628" spans="1:5" ht="27">
      <c r="A3628" s="258">
        <v>89726</v>
      </c>
      <c r="B3628" s="257" t="s">
        <v>2803</v>
      </c>
      <c r="C3628" s="257" t="s">
        <v>90</v>
      </c>
      <c r="D3628" s="259" t="s">
        <v>16626</v>
      </c>
      <c r="E3628" s="210" t="s">
        <v>201</v>
      </c>
    </row>
    <row r="3629" spans="1:5" ht="27">
      <c r="A3629" s="258">
        <v>89727</v>
      </c>
      <c r="B3629" s="257" t="s">
        <v>2804</v>
      </c>
      <c r="C3629" s="257" t="s">
        <v>90</v>
      </c>
      <c r="D3629" s="259" t="s">
        <v>16627</v>
      </c>
      <c r="E3629" s="210" t="s">
        <v>201</v>
      </c>
    </row>
    <row r="3630" spans="1:5" ht="27">
      <c r="A3630" s="258">
        <v>89728</v>
      </c>
      <c r="B3630" s="257" t="s">
        <v>2805</v>
      </c>
      <c r="C3630" s="257" t="s">
        <v>90</v>
      </c>
      <c r="D3630" s="259" t="s">
        <v>16628</v>
      </c>
      <c r="E3630" s="210" t="s">
        <v>201</v>
      </c>
    </row>
    <row r="3631" spans="1:5" ht="27">
      <c r="A3631" s="258">
        <v>89729</v>
      </c>
      <c r="B3631" s="257" t="s">
        <v>2806</v>
      </c>
      <c r="C3631" s="257" t="s">
        <v>90</v>
      </c>
      <c r="D3631" s="259" t="s">
        <v>16558</v>
      </c>
      <c r="E3631" s="210" t="s">
        <v>201</v>
      </c>
    </row>
    <row r="3632" spans="1:5" ht="27">
      <c r="A3632" s="258">
        <v>89730</v>
      </c>
      <c r="B3632" s="257" t="s">
        <v>2807</v>
      </c>
      <c r="C3632" s="257" t="s">
        <v>90</v>
      </c>
      <c r="D3632" s="259" t="s">
        <v>16629</v>
      </c>
      <c r="E3632" s="210" t="s">
        <v>201</v>
      </c>
    </row>
    <row r="3633" spans="1:5" ht="27">
      <c r="A3633" s="258">
        <v>89731</v>
      </c>
      <c r="B3633" s="257" t="s">
        <v>2808</v>
      </c>
      <c r="C3633" s="257" t="s">
        <v>90</v>
      </c>
      <c r="D3633" s="259" t="s">
        <v>16476</v>
      </c>
      <c r="E3633" s="210" t="s">
        <v>201</v>
      </c>
    </row>
    <row r="3634" spans="1:5" ht="27">
      <c r="A3634" s="258">
        <v>89732</v>
      </c>
      <c r="B3634" s="257" t="s">
        <v>2809</v>
      </c>
      <c r="C3634" s="257" t="s">
        <v>90</v>
      </c>
      <c r="D3634" s="259" t="s">
        <v>16352</v>
      </c>
      <c r="E3634" s="210" t="s">
        <v>201</v>
      </c>
    </row>
    <row r="3635" spans="1:5" ht="27">
      <c r="A3635" s="258">
        <v>89733</v>
      </c>
      <c r="B3635" s="257" t="s">
        <v>2810</v>
      </c>
      <c r="C3635" s="257" t="s">
        <v>90</v>
      </c>
      <c r="D3635" s="259" t="s">
        <v>16630</v>
      </c>
      <c r="E3635" s="210" t="s">
        <v>201</v>
      </c>
    </row>
    <row r="3636" spans="1:5" ht="27">
      <c r="A3636" s="258">
        <v>89734</v>
      </c>
      <c r="B3636" s="257" t="s">
        <v>2811</v>
      </c>
      <c r="C3636" s="257" t="s">
        <v>90</v>
      </c>
      <c r="D3636" s="259" t="s">
        <v>16558</v>
      </c>
      <c r="E3636" s="210" t="s">
        <v>201</v>
      </c>
    </row>
    <row r="3637" spans="1:5" ht="27">
      <c r="A3637" s="258">
        <v>89735</v>
      </c>
      <c r="B3637" s="257" t="s">
        <v>2812</v>
      </c>
      <c r="C3637" s="257" t="s">
        <v>90</v>
      </c>
      <c r="D3637" s="259" t="s">
        <v>16631</v>
      </c>
      <c r="E3637" s="210" t="s">
        <v>201</v>
      </c>
    </row>
    <row r="3638" spans="1:5" ht="27">
      <c r="A3638" s="258">
        <v>89736</v>
      </c>
      <c r="B3638" s="257" t="s">
        <v>2813</v>
      </c>
      <c r="C3638" s="257" t="s">
        <v>90</v>
      </c>
      <c r="D3638" s="259" t="s">
        <v>16632</v>
      </c>
      <c r="E3638" s="210" t="s">
        <v>201</v>
      </c>
    </row>
    <row r="3639" spans="1:5" ht="27">
      <c r="A3639" s="258">
        <v>89737</v>
      </c>
      <c r="B3639" s="257" t="s">
        <v>2814</v>
      </c>
      <c r="C3639" s="257" t="s">
        <v>90</v>
      </c>
      <c r="D3639" s="259" t="s">
        <v>14360</v>
      </c>
      <c r="E3639" s="210" t="s">
        <v>201</v>
      </c>
    </row>
    <row r="3640" spans="1:5" ht="27">
      <c r="A3640" s="258">
        <v>89738</v>
      </c>
      <c r="B3640" s="257" t="s">
        <v>2815</v>
      </c>
      <c r="C3640" s="257" t="s">
        <v>90</v>
      </c>
      <c r="D3640" s="259" t="s">
        <v>15841</v>
      </c>
      <c r="E3640" s="210" t="s">
        <v>201</v>
      </c>
    </row>
    <row r="3641" spans="1:5" ht="27">
      <c r="A3641" s="258">
        <v>89739</v>
      </c>
      <c r="B3641" s="257" t="s">
        <v>2816</v>
      </c>
      <c r="C3641" s="257" t="s">
        <v>90</v>
      </c>
      <c r="D3641" s="259" t="s">
        <v>16633</v>
      </c>
      <c r="E3641" s="210" t="s">
        <v>201</v>
      </c>
    </row>
    <row r="3642" spans="1:5" ht="27">
      <c r="A3642" s="258">
        <v>89740</v>
      </c>
      <c r="B3642" s="257" t="s">
        <v>2817</v>
      </c>
      <c r="C3642" s="257" t="s">
        <v>90</v>
      </c>
      <c r="D3642" s="259" t="s">
        <v>14419</v>
      </c>
      <c r="E3642" s="210" t="s">
        <v>201</v>
      </c>
    </row>
    <row r="3643" spans="1:5" ht="27">
      <c r="A3643" s="258">
        <v>89741</v>
      </c>
      <c r="B3643" s="257" t="s">
        <v>2818</v>
      </c>
      <c r="C3643" s="257" t="s">
        <v>90</v>
      </c>
      <c r="D3643" s="259" t="s">
        <v>16634</v>
      </c>
      <c r="E3643" s="210" t="s">
        <v>201</v>
      </c>
    </row>
    <row r="3644" spans="1:5" ht="27">
      <c r="A3644" s="258">
        <v>89742</v>
      </c>
      <c r="B3644" s="257" t="s">
        <v>2819</v>
      </c>
      <c r="C3644" s="257" t="s">
        <v>90</v>
      </c>
      <c r="D3644" s="259" t="s">
        <v>16635</v>
      </c>
      <c r="E3644" s="210" t="s">
        <v>201</v>
      </c>
    </row>
    <row r="3645" spans="1:5" ht="27">
      <c r="A3645" s="258">
        <v>89743</v>
      </c>
      <c r="B3645" s="257" t="s">
        <v>2820</v>
      </c>
      <c r="C3645" s="257" t="s">
        <v>90</v>
      </c>
      <c r="D3645" s="259" t="s">
        <v>14478</v>
      </c>
      <c r="E3645" s="210" t="s">
        <v>201</v>
      </c>
    </row>
    <row r="3646" spans="1:5" ht="27">
      <c r="A3646" s="258">
        <v>89744</v>
      </c>
      <c r="B3646" s="257" t="s">
        <v>2821</v>
      </c>
      <c r="C3646" s="257" t="s">
        <v>90</v>
      </c>
      <c r="D3646" s="259" t="s">
        <v>16636</v>
      </c>
      <c r="E3646" s="210" t="s">
        <v>201</v>
      </c>
    </row>
    <row r="3647" spans="1:5" ht="27">
      <c r="A3647" s="258">
        <v>89745</v>
      </c>
      <c r="B3647" s="257" t="s">
        <v>2822</v>
      </c>
      <c r="C3647" s="257" t="s">
        <v>90</v>
      </c>
      <c r="D3647" s="259" t="s">
        <v>16555</v>
      </c>
      <c r="E3647" s="210" t="s">
        <v>201</v>
      </c>
    </row>
    <row r="3648" spans="1:5" ht="27">
      <c r="A3648" s="258">
        <v>89746</v>
      </c>
      <c r="B3648" s="257" t="s">
        <v>2823</v>
      </c>
      <c r="C3648" s="257" t="s">
        <v>90</v>
      </c>
      <c r="D3648" s="259" t="s">
        <v>14030</v>
      </c>
      <c r="E3648" s="210" t="s">
        <v>201</v>
      </c>
    </row>
    <row r="3649" spans="1:5" ht="27">
      <c r="A3649" s="258">
        <v>89747</v>
      </c>
      <c r="B3649" s="257" t="s">
        <v>2824</v>
      </c>
      <c r="C3649" s="257" t="s">
        <v>90</v>
      </c>
      <c r="D3649" s="259" t="s">
        <v>14932</v>
      </c>
      <c r="E3649" s="210" t="s">
        <v>201</v>
      </c>
    </row>
    <row r="3650" spans="1:5" ht="27">
      <c r="A3650" s="258">
        <v>89748</v>
      </c>
      <c r="B3650" s="257" t="s">
        <v>2825</v>
      </c>
      <c r="C3650" s="257" t="s">
        <v>90</v>
      </c>
      <c r="D3650" s="259" t="s">
        <v>16637</v>
      </c>
      <c r="E3650" s="210" t="s">
        <v>201</v>
      </c>
    </row>
    <row r="3651" spans="1:5" ht="27">
      <c r="A3651" s="258">
        <v>89749</v>
      </c>
      <c r="B3651" s="257" t="s">
        <v>2826</v>
      </c>
      <c r="C3651" s="257" t="s">
        <v>90</v>
      </c>
      <c r="D3651" s="259" t="s">
        <v>15841</v>
      </c>
      <c r="E3651" s="210" t="s">
        <v>201</v>
      </c>
    </row>
    <row r="3652" spans="1:5" ht="27">
      <c r="A3652" s="258">
        <v>89750</v>
      </c>
      <c r="B3652" s="257" t="s">
        <v>2827</v>
      </c>
      <c r="C3652" s="257" t="s">
        <v>90</v>
      </c>
      <c r="D3652" s="259" t="s">
        <v>16638</v>
      </c>
      <c r="E3652" s="210" t="s">
        <v>201</v>
      </c>
    </row>
    <row r="3653" spans="1:5" ht="27">
      <c r="A3653" s="258">
        <v>89751</v>
      </c>
      <c r="B3653" s="257" t="s">
        <v>2828</v>
      </c>
      <c r="C3653" s="257" t="s">
        <v>90</v>
      </c>
      <c r="D3653" s="259" t="s">
        <v>14302</v>
      </c>
      <c r="E3653" s="210" t="s">
        <v>201</v>
      </c>
    </row>
    <row r="3654" spans="1:5" ht="27">
      <c r="A3654" s="258">
        <v>89752</v>
      </c>
      <c r="B3654" s="257" t="s">
        <v>2829</v>
      </c>
      <c r="C3654" s="257" t="s">
        <v>90</v>
      </c>
      <c r="D3654" s="259" t="s">
        <v>13985</v>
      </c>
      <c r="E3654" s="210" t="s">
        <v>201</v>
      </c>
    </row>
    <row r="3655" spans="1:5" ht="27">
      <c r="A3655" s="258">
        <v>89753</v>
      </c>
      <c r="B3655" s="257" t="s">
        <v>2830</v>
      </c>
      <c r="C3655" s="257" t="s">
        <v>90</v>
      </c>
      <c r="D3655" s="259" t="s">
        <v>14932</v>
      </c>
      <c r="E3655" s="210" t="s">
        <v>201</v>
      </c>
    </row>
    <row r="3656" spans="1:5" ht="27">
      <c r="A3656" s="258">
        <v>89754</v>
      </c>
      <c r="B3656" s="257" t="s">
        <v>2831</v>
      </c>
      <c r="C3656" s="257" t="s">
        <v>90</v>
      </c>
      <c r="D3656" s="259" t="s">
        <v>13913</v>
      </c>
      <c r="E3656" s="210" t="s">
        <v>201</v>
      </c>
    </row>
    <row r="3657" spans="1:5" ht="27">
      <c r="A3657" s="258">
        <v>89755</v>
      </c>
      <c r="B3657" s="257" t="s">
        <v>2832</v>
      </c>
      <c r="C3657" s="257" t="s">
        <v>90</v>
      </c>
      <c r="D3657" s="259" t="s">
        <v>14740</v>
      </c>
      <c r="E3657" s="210" t="s">
        <v>201</v>
      </c>
    </row>
    <row r="3658" spans="1:5" ht="27">
      <c r="A3658" s="258">
        <v>89756</v>
      </c>
      <c r="B3658" s="257" t="s">
        <v>2833</v>
      </c>
      <c r="C3658" s="257" t="s">
        <v>90</v>
      </c>
      <c r="D3658" s="259" t="s">
        <v>15738</v>
      </c>
      <c r="E3658" s="210" t="s">
        <v>201</v>
      </c>
    </row>
    <row r="3659" spans="1:5" ht="27">
      <c r="A3659" s="258">
        <v>89757</v>
      </c>
      <c r="B3659" s="257" t="s">
        <v>2834</v>
      </c>
      <c r="C3659" s="257" t="s">
        <v>90</v>
      </c>
      <c r="D3659" s="259" t="s">
        <v>16639</v>
      </c>
      <c r="E3659" s="210" t="s">
        <v>201</v>
      </c>
    </row>
    <row r="3660" spans="1:5" ht="27">
      <c r="A3660" s="258">
        <v>89758</v>
      </c>
      <c r="B3660" s="257" t="s">
        <v>2835</v>
      </c>
      <c r="C3660" s="257" t="s">
        <v>90</v>
      </c>
      <c r="D3660" s="259" t="s">
        <v>16640</v>
      </c>
      <c r="E3660" s="210" t="s">
        <v>201</v>
      </c>
    </row>
    <row r="3661" spans="1:5" ht="27">
      <c r="A3661" s="258">
        <v>89759</v>
      </c>
      <c r="B3661" s="257" t="s">
        <v>2836</v>
      </c>
      <c r="C3661" s="257" t="s">
        <v>90</v>
      </c>
      <c r="D3661" s="259" t="s">
        <v>15433</v>
      </c>
      <c r="E3661" s="210" t="s">
        <v>201</v>
      </c>
    </row>
    <row r="3662" spans="1:5" ht="27">
      <c r="A3662" s="258">
        <v>89760</v>
      </c>
      <c r="B3662" s="257" t="s">
        <v>2837</v>
      </c>
      <c r="C3662" s="257" t="s">
        <v>90</v>
      </c>
      <c r="D3662" s="259" t="s">
        <v>13545</v>
      </c>
      <c r="E3662" s="210" t="s">
        <v>201</v>
      </c>
    </row>
    <row r="3663" spans="1:5" ht="27">
      <c r="A3663" s="258">
        <v>89761</v>
      </c>
      <c r="B3663" s="257" t="s">
        <v>2838</v>
      </c>
      <c r="C3663" s="257" t="s">
        <v>90</v>
      </c>
      <c r="D3663" s="259" t="s">
        <v>16641</v>
      </c>
      <c r="E3663" s="210" t="s">
        <v>201</v>
      </c>
    </row>
    <row r="3664" spans="1:5" ht="27">
      <c r="A3664" s="258">
        <v>89762</v>
      </c>
      <c r="B3664" s="257" t="s">
        <v>2839</v>
      </c>
      <c r="C3664" s="257" t="s">
        <v>90</v>
      </c>
      <c r="D3664" s="259" t="s">
        <v>16642</v>
      </c>
      <c r="E3664" s="210" t="s">
        <v>201</v>
      </c>
    </row>
    <row r="3665" spans="1:5" ht="27">
      <c r="A3665" s="258">
        <v>89763</v>
      </c>
      <c r="B3665" s="257" t="s">
        <v>2840</v>
      </c>
      <c r="C3665" s="257" t="s">
        <v>90</v>
      </c>
      <c r="D3665" s="259" t="s">
        <v>16643</v>
      </c>
      <c r="E3665" s="210" t="s">
        <v>201</v>
      </c>
    </row>
    <row r="3666" spans="1:5" ht="27">
      <c r="A3666" s="258">
        <v>89764</v>
      </c>
      <c r="B3666" s="257" t="s">
        <v>2841</v>
      </c>
      <c r="C3666" s="257" t="s">
        <v>90</v>
      </c>
      <c r="D3666" s="259" t="s">
        <v>16644</v>
      </c>
      <c r="E3666" s="210" t="s">
        <v>201</v>
      </c>
    </row>
    <row r="3667" spans="1:5" ht="27">
      <c r="A3667" s="258">
        <v>89765</v>
      </c>
      <c r="B3667" s="257" t="s">
        <v>2842</v>
      </c>
      <c r="C3667" s="257" t="s">
        <v>90</v>
      </c>
      <c r="D3667" s="259" t="s">
        <v>16352</v>
      </c>
      <c r="E3667" s="210" t="s">
        <v>201</v>
      </c>
    </row>
    <row r="3668" spans="1:5" ht="27">
      <c r="A3668" s="258">
        <v>89766</v>
      </c>
      <c r="B3668" s="257" t="s">
        <v>2843</v>
      </c>
      <c r="C3668" s="257" t="s">
        <v>90</v>
      </c>
      <c r="D3668" s="259" t="s">
        <v>14469</v>
      </c>
      <c r="E3668" s="210" t="s">
        <v>201</v>
      </c>
    </row>
    <row r="3669" spans="1:5" ht="27">
      <c r="A3669" s="258">
        <v>89767</v>
      </c>
      <c r="B3669" s="257" t="s">
        <v>2844</v>
      </c>
      <c r="C3669" s="257" t="s">
        <v>90</v>
      </c>
      <c r="D3669" s="259" t="s">
        <v>14469</v>
      </c>
      <c r="E3669" s="210" t="s">
        <v>201</v>
      </c>
    </row>
    <row r="3670" spans="1:5" ht="27">
      <c r="A3670" s="258">
        <v>89768</v>
      </c>
      <c r="B3670" s="257" t="s">
        <v>2845</v>
      </c>
      <c r="C3670" s="257" t="s">
        <v>90</v>
      </c>
      <c r="D3670" s="259" t="s">
        <v>16645</v>
      </c>
      <c r="E3670" s="210" t="s">
        <v>201</v>
      </c>
    </row>
    <row r="3671" spans="1:5" ht="27">
      <c r="A3671" s="258">
        <v>89769</v>
      </c>
      <c r="B3671" s="257" t="s">
        <v>2846</v>
      </c>
      <c r="C3671" s="257" t="s">
        <v>90</v>
      </c>
      <c r="D3671" s="259" t="s">
        <v>16646</v>
      </c>
      <c r="E3671" s="210" t="s">
        <v>201</v>
      </c>
    </row>
    <row r="3672" spans="1:5" ht="27">
      <c r="A3672" s="258">
        <v>89772</v>
      </c>
      <c r="B3672" s="257" t="s">
        <v>2847</v>
      </c>
      <c r="C3672" s="257" t="s">
        <v>5</v>
      </c>
      <c r="D3672" s="259" t="s">
        <v>16647</v>
      </c>
      <c r="E3672" s="210" t="s">
        <v>201</v>
      </c>
    </row>
    <row r="3673" spans="1:5" ht="27">
      <c r="A3673" s="258">
        <v>89774</v>
      </c>
      <c r="B3673" s="257" t="s">
        <v>2848</v>
      </c>
      <c r="C3673" s="257" t="s">
        <v>90</v>
      </c>
      <c r="D3673" s="259" t="s">
        <v>16648</v>
      </c>
      <c r="E3673" s="210" t="s">
        <v>201</v>
      </c>
    </row>
    <row r="3674" spans="1:5" ht="27">
      <c r="A3674" s="258">
        <v>89776</v>
      </c>
      <c r="B3674" s="257" t="s">
        <v>2849</v>
      </c>
      <c r="C3674" s="257" t="s">
        <v>90</v>
      </c>
      <c r="D3674" s="259" t="s">
        <v>16649</v>
      </c>
      <c r="E3674" s="210" t="s">
        <v>201</v>
      </c>
    </row>
    <row r="3675" spans="1:5" ht="27">
      <c r="A3675" s="258">
        <v>89777</v>
      </c>
      <c r="B3675" s="257" t="s">
        <v>2850</v>
      </c>
      <c r="C3675" s="257" t="s">
        <v>90</v>
      </c>
      <c r="D3675" s="259" t="s">
        <v>14940</v>
      </c>
      <c r="E3675" s="210" t="s">
        <v>201</v>
      </c>
    </row>
    <row r="3676" spans="1:5" ht="27">
      <c r="A3676" s="258">
        <v>89778</v>
      </c>
      <c r="B3676" s="257" t="s">
        <v>2851</v>
      </c>
      <c r="C3676" s="257" t="s">
        <v>90</v>
      </c>
      <c r="D3676" s="259" t="s">
        <v>15802</v>
      </c>
      <c r="E3676" s="210" t="s">
        <v>201</v>
      </c>
    </row>
    <row r="3677" spans="1:5" ht="27">
      <c r="A3677" s="258">
        <v>89779</v>
      </c>
      <c r="B3677" s="257" t="s">
        <v>2852</v>
      </c>
      <c r="C3677" s="257" t="s">
        <v>90</v>
      </c>
      <c r="D3677" s="259" t="s">
        <v>16650</v>
      </c>
      <c r="E3677" s="210" t="s">
        <v>201</v>
      </c>
    </row>
    <row r="3678" spans="1:5" ht="27">
      <c r="A3678" s="258">
        <v>89780</v>
      </c>
      <c r="B3678" s="257" t="s">
        <v>2853</v>
      </c>
      <c r="C3678" s="257" t="s">
        <v>90</v>
      </c>
      <c r="D3678" s="259" t="s">
        <v>14940</v>
      </c>
      <c r="E3678" s="210" t="s">
        <v>201</v>
      </c>
    </row>
    <row r="3679" spans="1:5" ht="27">
      <c r="A3679" s="258">
        <v>89781</v>
      </c>
      <c r="B3679" s="257" t="s">
        <v>2854</v>
      </c>
      <c r="C3679" s="257" t="s">
        <v>90</v>
      </c>
      <c r="D3679" s="259" t="s">
        <v>16651</v>
      </c>
      <c r="E3679" s="210" t="s">
        <v>201</v>
      </c>
    </row>
    <row r="3680" spans="1:5" ht="27">
      <c r="A3680" s="258">
        <v>89782</v>
      </c>
      <c r="B3680" s="257" t="s">
        <v>2855</v>
      </c>
      <c r="C3680" s="257" t="s">
        <v>90</v>
      </c>
      <c r="D3680" s="259" t="s">
        <v>15479</v>
      </c>
      <c r="E3680" s="210" t="s">
        <v>201</v>
      </c>
    </row>
    <row r="3681" spans="1:5" ht="27">
      <c r="A3681" s="258">
        <v>89783</v>
      </c>
      <c r="B3681" s="257" t="s">
        <v>2856</v>
      </c>
      <c r="C3681" s="257" t="s">
        <v>90</v>
      </c>
      <c r="D3681" s="259" t="s">
        <v>16453</v>
      </c>
      <c r="E3681" s="210" t="s">
        <v>201</v>
      </c>
    </row>
    <row r="3682" spans="1:5" ht="27">
      <c r="A3682" s="258">
        <v>89784</v>
      </c>
      <c r="B3682" s="257" t="s">
        <v>2857</v>
      </c>
      <c r="C3682" s="257" t="s">
        <v>90</v>
      </c>
      <c r="D3682" s="259" t="s">
        <v>16652</v>
      </c>
      <c r="E3682" s="210" t="s">
        <v>201</v>
      </c>
    </row>
    <row r="3683" spans="1:5" ht="27">
      <c r="A3683" s="258">
        <v>89785</v>
      </c>
      <c r="B3683" s="257" t="s">
        <v>2858</v>
      </c>
      <c r="C3683" s="257" t="s">
        <v>90</v>
      </c>
      <c r="D3683" s="259" t="s">
        <v>16618</v>
      </c>
      <c r="E3683" s="210" t="s">
        <v>201</v>
      </c>
    </row>
    <row r="3684" spans="1:5" ht="27">
      <c r="A3684" s="258">
        <v>89786</v>
      </c>
      <c r="B3684" s="257" t="s">
        <v>2859</v>
      </c>
      <c r="C3684" s="257" t="s">
        <v>90</v>
      </c>
      <c r="D3684" s="259" t="s">
        <v>16546</v>
      </c>
      <c r="E3684" s="210" t="s">
        <v>201</v>
      </c>
    </row>
    <row r="3685" spans="1:5" ht="27">
      <c r="A3685" s="258">
        <v>89787</v>
      </c>
      <c r="B3685" s="257" t="s">
        <v>2860</v>
      </c>
      <c r="C3685" s="257" t="s">
        <v>90</v>
      </c>
      <c r="D3685" s="259" t="s">
        <v>16651</v>
      </c>
      <c r="E3685" s="210" t="s">
        <v>201</v>
      </c>
    </row>
    <row r="3686" spans="1:5" ht="27">
      <c r="A3686" s="258">
        <v>89788</v>
      </c>
      <c r="B3686" s="257" t="s">
        <v>2861</v>
      </c>
      <c r="C3686" s="257" t="s">
        <v>90</v>
      </c>
      <c r="D3686" s="259" t="s">
        <v>16653</v>
      </c>
      <c r="E3686" s="210" t="s">
        <v>201</v>
      </c>
    </row>
    <row r="3687" spans="1:5" ht="27">
      <c r="A3687" s="258">
        <v>89789</v>
      </c>
      <c r="B3687" s="257" t="s">
        <v>2862</v>
      </c>
      <c r="C3687" s="257" t="s">
        <v>90</v>
      </c>
      <c r="D3687" s="259" t="s">
        <v>14286</v>
      </c>
      <c r="E3687" s="210" t="s">
        <v>201</v>
      </c>
    </row>
    <row r="3688" spans="1:5" ht="27">
      <c r="A3688" s="258">
        <v>89790</v>
      </c>
      <c r="B3688" s="257" t="s">
        <v>2863</v>
      </c>
      <c r="C3688" s="257" t="s">
        <v>90</v>
      </c>
      <c r="D3688" s="259" t="s">
        <v>16654</v>
      </c>
      <c r="E3688" s="210" t="s">
        <v>201</v>
      </c>
    </row>
    <row r="3689" spans="1:5" ht="27">
      <c r="A3689" s="258">
        <v>89791</v>
      </c>
      <c r="B3689" s="257" t="s">
        <v>2864</v>
      </c>
      <c r="C3689" s="257" t="s">
        <v>90</v>
      </c>
      <c r="D3689" s="259" t="s">
        <v>16655</v>
      </c>
      <c r="E3689" s="210" t="s">
        <v>201</v>
      </c>
    </row>
    <row r="3690" spans="1:5" ht="27">
      <c r="A3690" s="258">
        <v>89792</v>
      </c>
      <c r="B3690" s="257" t="s">
        <v>2865</v>
      </c>
      <c r="C3690" s="257" t="s">
        <v>90</v>
      </c>
      <c r="D3690" s="259" t="s">
        <v>16656</v>
      </c>
      <c r="E3690" s="210" t="s">
        <v>201</v>
      </c>
    </row>
    <row r="3691" spans="1:5" ht="27">
      <c r="A3691" s="258">
        <v>89793</v>
      </c>
      <c r="B3691" s="257" t="s">
        <v>2866</v>
      </c>
      <c r="C3691" s="257" t="s">
        <v>90</v>
      </c>
      <c r="D3691" s="259" t="s">
        <v>16657</v>
      </c>
      <c r="E3691" s="210" t="s">
        <v>201</v>
      </c>
    </row>
    <row r="3692" spans="1:5" ht="27">
      <c r="A3692" s="258">
        <v>89794</v>
      </c>
      <c r="B3692" s="257" t="s">
        <v>2867</v>
      </c>
      <c r="C3692" s="257" t="s">
        <v>90</v>
      </c>
      <c r="D3692" s="259" t="s">
        <v>16658</v>
      </c>
      <c r="E3692" s="210" t="s">
        <v>201</v>
      </c>
    </row>
    <row r="3693" spans="1:5" ht="27">
      <c r="A3693" s="258">
        <v>89795</v>
      </c>
      <c r="B3693" s="257" t="s">
        <v>2868</v>
      </c>
      <c r="C3693" s="257" t="s">
        <v>90</v>
      </c>
      <c r="D3693" s="259" t="s">
        <v>16659</v>
      </c>
      <c r="E3693" s="210" t="s">
        <v>201</v>
      </c>
    </row>
    <row r="3694" spans="1:5" ht="27">
      <c r="A3694" s="258">
        <v>89796</v>
      </c>
      <c r="B3694" s="257" t="s">
        <v>2869</v>
      </c>
      <c r="C3694" s="257" t="s">
        <v>90</v>
      </c>
      <c r="D3694" s="259" t="s">
        <v>16246</v>
      </c>
      <c r="E3694" s="210" t="s">
        <v>201</v>
      </c>
    </row>
    <row r="3695" spans="1:5" ht="27">
      <c r="A3695" s="258">
        <v>89797</v>
      </c>
      <c r="B3695" s="257" t="s">
        <v>2870</v>
      </c>
      <c r="C3695" s="257" t="s">
        <v>90</v>
      </c>
      <c r="D3695" s="259" t="s">
        <v>16660</v>
      </c>
      <c r="E3695" s="210" t="s">
        <v>201</v>
      </c>
    </row>
    <row r="3696" spans="1:5" ht="27">
      <c r="A3696" s="258">
        <v>89801</v>
      </c>
      <c r="B3696" s="257" t="s">
        <v>2871</v>
      </c>
      <c r="C3696" s="257" t="s">
        <v>90</v>
      </c>
      <c r="D3696" s="259" t="s">
        <v>16661</v>
      </c>
      <c r="E3696" s="210" t="s">
        <v>201</v>
      </c>
    </row>
    <row r="3697" spans="1:5" ht="27">
      <c r="A3697" s="258">
        <v>89802</v>
      </c>
      <c r="B3697" s="257" t="s">
        <v>2872</v>
      </c>
      <c r="C3697" s="257" t="s">
        <v>90</v>
      </c>
      <c r="D3697" s="259" t="s">
        <v>16566</v>
      </c>
      <c r="E3697" s="210" t="s">
        <v>201</v>
      </c>
    </row>
    <row r="3698" spans="1:5" ht="27">
      <c r="A3698" s="258">
        <v>89803</v>
      </c>
      <c r="B3698" s="257" t="s">
        <v>2873</v>
      </c>
      <c r="C3698" s="257" t="s">
        <v>90</v>
      </c>
      <c r="D3698" s="259" t="s">
        <v>16662</v>
      </c>
      <c r="E3698" s="210" t="s">
        <v>201</v>
      </c>
    </row>
    <row r="3699" spans="1:5" ht="27">
      <c r="A3699" s="258">
        <v>89804</v>
      </c>
      <c r="B3699" s="257" t="s">
        <v>2874</v>
      </c>
      <c r="C3699" s="257" t="s">
        <v>90</v>
      </c>
      <c r="D3699" s="259" t="s">
        <v>16663</v>
      </c>
      <c r="E3699" s="210" t="s">
        <v>201</v>
      </c>
    </row>
    <row r="3700" spans="1:5" ht="27">
      <c r="A3700" s="258">
        <v>89805</v>
      </c>
      <c r="B3700" s="257" t="s">
        <v>2875</v>
      </c>
      <c r="C3700" s="257" t="s">
        <v>90</v>
      </c>
      <c r="D3700" s="259" t="s">
        <v>16664</v>
      </c>
      <c r="E3700" s="210" t="s">
        <v>201</v>
      </c>
    </row>
    <row r="3701" spans="1:5" ht="27">
      <c r="A3701" s="258">
        <v>89806</v>
      </c>
      <c r="B3701" s="257" t="s">
        <v>2876</v>
      </c>
      <c r="C3701" s="257" t="s">
        <v>90</v>
      </c>
      <c r="D3701" s="259" t="s">
        <v>16665</v>
      </c>
      <c r="E3701" s="210" t="s">
        <v>201</v>
      </c>
    </row>
    <row r="3702" spans="1:5" ht="27">
      <c r="A3702" s="258">
        <v>89807</v>
      </c>
      <c r="B3702" s="257" t="s">
        <v>2877</v>
      </c>
      <c r="C3702" s="257" t="s">
        <v>90</v>
      </c>
      <c r="D3702" s="259" t="s">
        <v>15272</v>
      </c>
      <c r="E3702" s="210" t="s">
        <v>201</v>
      </c>
    </row>
    <row r="3703" spans="1:5" ht="27">
      <c r="A3703" s="258">
        <v>89808</v>
      </c>
      <c r="B3703" s="257" t="s">
        <v>2878</v>
      </c>
      <c r="C3703" s="257" t="s">
        <v>90</v>
      </c>
      <c r="D3703" s="259" t="s">
        <v>16666</v>
      </c>
      <c r="E3703" s="210" t="s">
        <v>201</v>
      </c>
    </row>
    <row r="3704" spans="1:5" ht="27">
      <c r="A3704" s="258">
        <v>89809</v>
      </c>
      <c r="B3704" s="257" t="s">
        <v>2879</v>
      </c>
      <c r="C3704" s="257" t="s">
        <v>90</v>
      </c>
      <c r="D3704" s="259" t="s">
        <v>16667</v>
      </c>
      <c r="E3704" s="210" t="s">
        <v>201</v>
      </c>
    </row>
    <row r="3705" spans="1:5" ht="27">
      <c r="A3705" s="258">
        <v>89810</v>
      </c>
      <c r="B3705" s="257" t="s">
        <v>2880</v>
      </c>
      <c r="C3705" s="257" t="s">
        <v>90</v>
      </c>
      <c r="D3705" s="259" t="s">
        <v>16668</v>
      </c>
      <c r="E3705" s="210" t="s">
        <v>201</v>
      </c>
    </row>
    <row r="3706" spans="1:5" ht="27">
      <c r="A3706" s="258">
        <v>89811</v>
      </c>
      <c r="B3706" s="257" t="s">
        <v>2881</v>
      </c>
      <c r="C3706" s="257" t="s">
        <v>90</v>
      </c>
      <c r="D3706" s="259" t="s">
        <v>16669</v>
      </c>
      <c r="E3706" s="210" t="s">
        <v>201</v>
      </c>
    </row>
    <row r="3707" spans="1:5" ht="27">
      <c r="A3707" s="258">
        <v>89812</v>
      </c>
      <c r="B3707" s="257" t="s">
        <v>2882</v>
      </c>
      <c r="C3707" s="257" t="s">
        <v>90</v>
      </c>
      <c r="D3707" s="259" t="s">
        <v>16153</v>
      </c>
      <c r="E3707" s="210" t="s">
        <v>201</v>
      </c>
    </row>
    <row r="3708" spans="1:5" ht="27">
      <c r="A3708" s="258">
        <v>89813</v>
      </c>
      <c r="B3708" s="257" t="s">
        <v>2883</v>
      </c>
      <c r="C3708" s="257" t="s">
        <v>90</v>
      </c>
      <c r="D3708" s="259" t="s">
        <v>16670</v>
      </c>
      <c r="E3708" s="210" t="s">
        <v>201</v>
      </c>
    </row>
    <row r="3709" spans="1:5" ht="27">
      <c r="A3709" s="258">
        <v>89814</v>
      </c>
      <c r="B3709" s="257" t="s">
        <v>2884</v>
      </c>
      <c r="C3709" s="257" t="s">
        <v>90</v>
      </c>
      <c r="D3709" s="259" t="s">
        <v>16671</v>
      </c>
      <c r="E3709" s="210" t="s">
        <v>201</v>
      </c>
    </row>
    <row r="3710" spans="1:5" ht="27">
      <c r="A3710" s="258">
        <v>89815</v>
      </c>
      <c r="B3710" s="257" t="s">
        <v>2885</v>
      </c>
      <c r="C3710" s="257" t="s">
        <v>90</v>
      </c>
      <c r="D3710" s="259" t="s">
        <v>16672</v>
      </c>
      <c r="E3710" s="210" t="s">
        <v>201</v>
      </c>
    </row>
    <row r="3711" spans="1:5" ht="27">
      <c r="A3711" s="258">
        <v>89816</v>
      </c>
      <c r="B3711" s="257" t="s">
        <v>2886</v>
      </c>
      <c r="C3711" s="257" t="s">
        <v>90</v>
      </c>
      <c r="D3711" s="259" t="s">
        <v>16673</v>
      </c>
      <c r="E3711" s="210" t="s">
        <v>201</v>
      </c>
    </row>
    <row r="3712" spans="1:5" ht="27">
      <c r="A3712" s="258">
        <v>89817</v>
      </c>
      <c r="B3712" s="257" t="s">
        <v>2887</v>
      </c>
      <c r="C3712" s="257" t="s">
        <v>90</v>
      </c>
      <c r="D3712" s="259" t="s">
        <v>16674</v>
      </c>
      <c r="E3712" s="210" t="s">
        <v>201</v>
      </c>
    </row>
    <row r="3713" spans="1:5" ht="27">
      <c r="A3713" s="258">
        <v>89818</v>
      </c>
      <c r="B3713" s="257" t="s">
        <v>2888</v>
      </c>
      <c r="C3713" s="257" t="s">
        <v>90</v>
      </c>
      <c r="D3713" s="259" t="s">
        <v>16367</v>
      </c>
      <c r="E3713" s="210" t="s">
        <v>201</v>
      </c>
    </row>
    <row r="3714" spans="1:5" ht="27">
      <c r="A3714" s="258">
        <v>89819</v>
      </c>
      <c r="B3714" s="257" t="s">
        <v>2889</v>
      </c>
      <c r="C3714" s="257" t="s">
        <v>90</v>
      </c>
      <c r="D3714" s="259" t="s">
        <v>16557</v>
      </c>
      <c r="E3714" s="210" t="s">
        <v>201</v>
      </c>
    </row>
    <row r="3715" spans="1:5" ht="27">
      <c r="A3715" s="258">
        <v>89820</v>
      </c>
      <c r="B3715" s="257" t="s">
        <v>2890</v>
      </c>
      <c r="C3715" s="257" t="s">
        <v>90</v>
      </c>
      <c r="D3715" s="259" t="s">
        <v>16675</v>
      </c>
      <c r="E3715" s="210" t="s">
        <v>201</v>
      </c>
    </row>
    <row r="3716" spans="1:5" ht="27">
      <c r="A3716" s="258">
        <v>89821</v>
      </c>
      <c r="B3716" s="257" t="s">
        <v>2891</v>
      </c>
      <c r="C3716" s="257" t="s">
        <v>90</v>
      </c>
      <c r="D3716" s="259" t="s">
        <v>16239</v>
      </c>
      <c r="E3716" s="210" t="s">
        <v>201</v>
      </c>
    </row>
    <row r="3717" spans="1:5" ht="27">
      <c r="A3717" s="258">
        <v>89822</v>
      </c>
      <c r="B3717" s="257" t="s">
        <v>2892</v>
      </c>
      <c r="C3717" s="257" t="s">
        <v>90</v>
      </c>
      <c r="D3717" s="259" t="s">
        <v>16676</v>
      </c>
      <c r="E3717" s="210" t="s">
        <v>201</v>
      </c>
    </row>
    <row r="3718" spans="1:5" ht="27">
      <c r="A3718" s="258">
        <v>89823</v>
      </c>
      <c r="B3718" s="257" t="s">
        <v>2893</v>
      </c>
      <c r="C3718" s="257" t="s">
        <v>90</v>
      </c>
      <c r="D3718" s="259" t="s">
        <v>14653</v>
      </c>
      <c r="E3718" s="210" t="s">
        <v>201</v>
      </c>
    </row>
    <row r="3719" spans="1:5" ht="27">
      <c r="A3719" s="258">
        <v>89824</v>
      </c>
      <c r="B3719" s="257" t="s">
        <v>2894</v>
      </c>
      <c r="C3719" s="257" t="s">
        <v>90</v>
      </c>
      <c r="D3719" s="259" t="s">
        <v>16677</v>
      </c>
      <c r="E3719" s="210" t="s">
        <v>201</v>
      </c>
    </row>
    <row r="3720" spans="1:5" ht="27">
      <c r="A3720" s="258">
        <v>89825</v>
      </c>
      <c r="B3720" s="257" t="s">
        <v>2895</v>
      </c>
      <c r="C3720" s="257" t="s">
        <v>90</v>
      </c>
      <c r="D3720" s="259" t="s">
        <v>16492</v>
      </c>
      <c r="E3720" s="210" t="s">
        <v>201</v>
      </c>
    </row>
    <row r="3721" spans="1:5" ht="27">
      <c r="A3721" s="258">
        <v>89826</v>
      </c>
      <c r="B3721" s="257" t="s">
        <v>2896</v>
      </c>
      <c r="C3721" s="257" t="s">
        <v>90</v>
      </c>
      <c r="D3721" s="259" t="s">
        <v>16678</v>
      </c>
      <c r="E3721" s="210" t="s">
        <v>201</v>
      </c>
    </row>
    <row r="3722" spans="1:5" ht="27">
      <c r="A3722" s="258">
        <v>89827</v>
      </c>
      <c r="B3722" s="257" t="s">
        <v>2897</v>
      </c>
      <c r="C3722" s="257" t="s">
        <v>90</v>
      </c>
      <c r="D3722" s="259" t="s">
        <v>15501</v>
      </c>
      <c r="E3722" s="210" t="s">
        <v>201</v>
      </c>
    </row>
    <row r="3723" spans="1:5" ht="27">
      <c r="A3723" s="258">
        <v>89828</v>
      </c>
      <c r="B3723" s="257" t="s">
        <v>2898</v>
      </c>
      <c r="C3723" s="257" t="s">
        <v>90</v>
      </c>
      <c r="D3723" s="259" t="s">
        <v>16679</v>
      </c>
      <c r="E3723" s="210" t="s">
        <v>201</v>
      </c>
    </row>
    <row r="3724" spans="1:5" ht="27">
      <c r="A3724" s="258">
        <v>89829</v>
      </c>
      <c r="B3724" s="257" t="s">
        <v>2899</v>
      </c>
      <c r="C3724" s="257" t="s">
        <v>90</v>
      </c>
      <c r="D3724" s="259" t="s">
        <v>16680</v>
      </c>
      <c r="E3724" s="210" t="s">
        <v>201</v>
      </c>
    </row>
    <row r="3725" spans="1:5" ht="27">
      <c r="A3725" s="258">
        <v>89830</v>
      </c>
      <c r="B3725" s="257" t="s">
        <v>2900</v>
      </c>
      <c r="C3725" s="257" t="s">
        <v>90</v>
      </c>
      <c r="D3725" s="259" t="s">
        <v>14088</v>
      </c>
      <c r="E3725" s="210" t="s">
        <v>201</v>
      </c>
    </row>
    <row r="3726" spans="1:5" ht="27">
      <c r="A3726" s="258">
        <v>89831</v>
      </c>
      <c r="B3726" s="257" t="s">
        <v>2901</v>
      </c>
      <c r="C3726" s="257" t="s">
        <v>90</v>
      </c>
      <c r="D3726" s="259" t="s">
        <v>16681</v>
      </c>
      <c r="E3726" s="210" t="s">
        <v>201</v>
      </c>
    </row>
    <row r="3727" spans="1:5" ht="27">
      <c r="A3727" s="258">
        <v>89832</v>
      </c>
      <c r="B3727" s="257" t="s">
        <v>2902</v>
      </c>
      <c r="C3727" s="257" t="s">
        <v>90</v>
      </c>
      <c r="D3727" s="259" t="s">
        <v>16682</v>
      </c>
      <c r="E3727" s="210" t="s">
        <v>201</v>
      </c>
    </row>
    <row r="3728" spans="1:5" ht="27">
      <c r="A3728" s="258">
        <v>89833</v>
      </c>
      <c r="B3728" s="257" t="s">
        <v>2903</v>
      </c>
      <c r="C3728" s="257" t="s">
        <v>90</v>
      </c>
      <c r="D3728" s="259" t="s">
        <v>16683</v>
      </c>
      <c r="E3728" s="210" t="s">
        <v>201</v>
      </c>
    </row>
    <row r="3729" spans="1:5" ht="27">
      <c r="A3729" s="258">
        <v>89834</v>
      </c>
      <c r="B3729" s="257" t="s">
        <v>2904</v>
      </c>
      <c r="C3729" s="257" t="s">
        <v>90</v>
      </c>
      <c r="D3729" s="259" t="s">
        <v>16684</v>
      </c>
      <c r="E3729" s="210" t="s">
        <v>201</v>
      </c>
    </row>
    <row r="3730" spans="1:5" ht="27">
      <c r="A3730" s="258">
        <v>89835</v>
      </c>
      <c r="B3730" s="257" t="s">
        <v>2905</v>
      </c>
      <c r="C3730" s="257" t="s">
        <v>90</v>
      </c>
      <c r="D3730" s="259" t="s">
        <v>16685</v>
      </c>
      <c r="E3730" s="210" t="s">
        <v>201</v>
      </c>
    </row>
    <row r="3731" spans="1:5" ht="27">
      <c r="A3731" s="258">
        <v>89836</v>
      </c>
      <c r="B3731" s="257" t="s">
        <v>2906</v>
      </c>
      <c r="C3731" s="257" t="s">
        <v>90</v>
      </c>
      <c r="D3731" s="259" t="s">
        <v>16686</v>
      </c>
      <c r="E3731" s="210" t="s">
        <v>201</v>
      </c>
    </row>
    <row r="3732" spans="1:5" ht="27">
      <c r="A3732" s="258">
        <v>89837</v>
      </c>
      <c r="B3732" s="257" t="s">
        <v>2907</v>
      </c>
      <c r="C3732" s="257" t="s">
        <v>90</v>
      </c>
      <c r="D3732" s="259" t="s">
        <v>13590</v>
      </c>
      <c r="E3732" s="210" t="s">
        <v>201</v>
      </c>
    </row>
    <row r="3733" spans="1:5" ht="27">
      <c r="A3733" s="258">
        <v>89838</v>
      </c>
      <c r="B3733" s="257" t="s">
        <v>2908</v>
      </c>
      <c r="C3733" s="257" t="s">
        <v>90</v>
      </c>
      <c r="D3733" s="259" t="s">
        <v>16687</v>
      </c>
      <c r="E3733" s="210" t="s">
        <v>201</v>
      </c>
    </row>
    <row r="3734" spans="1:5" ht="27">
      <c r="A3734" s="258">
        <v>89839</v>
      </c>
      <c r="B3734" s="257" t="s">
        <v>2909</v>
      </c>
      <c r="C3734" s="257" t="s">
        <v>90</v>
      </c>
      <c r="D3734" s="259" t="s">
        <v>16688</v>
      </c>
      <c r="E3734" s="210" t="s">
        <v>201</v>
      </c>
    </row>
    <row r="3735" spans="1:5" ht="27">
      <c r="A3735" s="258">
        <v>89840</v>
      </c>
      <c r="B3735" s="257" t="s">
        <v>2910</v>
      </c>
      <c r="C3735" s="257" t="s">
        <v>90</v>
      </c>
      <c r="D3735" s="259" t="s">
        <v>16689</v>
      </c>
      <c r="E3735" s="210" t="s">
        <v>201</v>
      </c>
    </row>
    <row r="3736" spans="1:5" ht="27">
      <c r="A3736" s="258">
        <v>89841</v>
      </c>
      <c r="B3736" s="257" t="s">
        <v>2911</v>
      </c>
      <c r="C3736" s="257" t="s">
        <v>90</v>
      </c>
      <c r="D3736" s="259" t="s">
        <v>16690</v>
      </c>
      <c r="E3736" s="210" t="s">
        <v>201</v>
      </c>
    </row>
    <row r="3737" spans="1:5" ht="27">
      <c r="A3737" s="258">
        <v>89842</v>
      </c>
      <c r="B3737" s="257" t="s">
        <v>2912</v>
      </c>
      <c r="C3737" s="257" t="s">
        <v>90</v>
      </c>
      <c r="D3737" s="259" t="s">
        <v>16691</v>
      </c>
      <c r="E3737" s="210" t="s">
        <v>201</v>
      </c>
    </row>
    <row r="3738" spans="1:5" ht="27">
      <c r="A3738" s="258">
        <v>89844</v>
      </c>
      <c r="B3738" s="257" t="s">
        <v>2913</v>
      </c>
      <c r="C3738" s="257" t="s">
        <v>90</v>
      </c>
      <c r="D3738" s="259" t="s">
        <v>14136</v>
      </c>
      <c r="E3738" s="210" t="s">
        <v>201</v>
      </c>
    </row>
    <row r="3739" spans="1:5" ht="27">
      <c r="A3739" s="258">
        <v>89845</v>
      </c>
      <c r="B3739" s="257" t="s">
        <v>2914</v>
      </c>
      <c r="C3739" s="257" t="s">
        <v>90</v>
      </c>
      <c r="D3739" s="259" t="s">
        <v>16692</v>
      </c>
      <c r="E3739" s="210" t="s">
        <v>201</v>
      </c>
    </row>
    <row r="3740" spans="1:5" ht="27">
      <c r="A3740" s="258">
        <v>89846</v>
      </c>
      <c r="B3740" s="257" t="s">
        <v>2915</v>
      </c>
      <c r="C3740" s="257" t="s">
        <v>90</v>
      </c>
      <c r="D3740" s="259" t="s">
        <v>16693</v>
      </c>
      <c r="E3740" s="210" t="s">
        <v>201</v>
      </c>
    </row>
    <row r="3741" spans="1:5" ht="27">
      <c r="A3741" s="258">
        <v>89847</v>
      </c>
      <c r="B3741" s="257" t="s">
        <v>2916</v>
      </c>
      <c r="C3741" s="257" t="s">
        <v>90</v>
      </c>
      <c r="D3741" s="259" t="s">
        <v>16694</v>
      </c>
      <c r="E3741" s="210" t="s">
        <v>201</v>
      </c>
    </row>
    <row r="3742" spans="1:5" ht="27">
      <c r="A3742" s="258">
        <v>89850</v>
      </c>
      <c r="B3742" s="257" t="s">
        <v>2917</v>
      </c>
      <c r="C3742" s="257" t="s">
        <v>90</v>
      </c>
      <c r="D3742" s="259" t="s">
        <v>14170</v>
      </c>
      <c r="E3742" s="210" t="s">
        <v>201</v>
      </c>
    </row>
    <row r="3743" spans="1:5" ht="27">
      <c r="A3743" s="258">
        <v>89851</v>
      </c>
      <c r="B3743" s="257" t="s">
        <v>2918</v>
      </c>
      <c r="C3743" s="257" t="s">
        <v>90</v>
      </c>
      <c r="D3743" s="259" t="s">
        <v>16695</v>
      </c>
      <c r="E3743" s="210" t="s">
        <v>201</v>
      </c>
    </row>
    <row r="3744" spans="1:5" ht="27">
      <c r="A3744" s="258">
        <v>89852</v>
      </c>
      <c r="B3744" s="257" t="s">
        <v>2919</v>
      </c>
      <c r="C3744" s="257" t="s">
        <v>90</v>
      </c>
      <c r="D3744" s="259" t="s">
        <v>16696</v>
      </c>
      <c r="E3744" s="210" t="s">
        <v>201</v>
      </c>
    </row>
    <row r="3745" spans="1:5" ht="27">
      <c r="A3745" s="258">
        <v>89853</v>
      </c>
      <c r="B3745" s="257" t="s">
        <v>2920</v>
      </c>
      <c r="C3745" s="257" t="s">
        <v>90</v>
      </c>
      <c r="D3745" s="259" t="s">
        <v>16697</v>
      </c>
      <c r="E3745" s="210" t="s">
        <v>201</v>
      </c>
    </row>
    <row r="3746" spans="1:5" ht="27">
      <c r="A3746" s="258">
        <v>89854</v>
      </c>
      <c r="B3746" s="257" t="s">
        <v>2921</v>
      </c>
      <c r="C3746" s="257" t="s">
        <v>90</v>
      </c>
      <c r="D3746" s="259" t="s">
        <v>16698</v>
      </c>
      <c r="E3746" s="210" t="s">
        <v>201</v>
      </c>
    </row>
    <row r="3747" spans="1:5" ht="27">
      <c r="A3747" s="258">
        <v>89855</v>
      </c>
      <c r="B3747" s="257" t="s">
        <v>2922</v>
      </c>
      <c r="C3747" s="257" t="s">
        <v>90</v>
      </c>
      <c r="D3747" s="259" t="s">
        <v>16699</v>
      </c>
      <c r="E3747" s="210" t="s">
        <v>201</v>
      </c>
    </row>
    <row r="3748" spans="1:5" ht="27">
      <c r="A3748" s="258">
        <v>89856</v>
      </c>
      <c r="B3748" s="257" t="s">
        <v>2923</v>
      </c>
      <c r="C3748" s="257" t="s">
        <v>90</v>
      </c>
      <c r="D3748" s="259" t="s">
        <v>14371</v>
      </c>
      <c r="E3748" s="210" t="s">
        <v>201</v>
      </c>
    </row>
    <row r="3749" spans="1:5" ht="27">
      <c r="A3749" s="258">
        <v>89857</v>
      </c>
      <c r="B3749" s="257" t="s">
        <v>2924</v>
      </c>
      <c r="C3749" s="257" t="s">
        <v>90</v>
      </c>
      <c r="D3749" s="259" t="s">
        <v>16700</v>
      </c>
      <c r="E3749" s="210" t="s">
        <v>201</v>
      </c>
    </row>
    <row r="3750" spans="1:5" ht="27">
      <c r="A3750" s="258">
        <v>89859</v>
      </c>
      <c r="B3750" s="257" t="s">
        <v>2925</v>
      </c>
      <c r="C3750" s="257" t="s">
        <v>90</v>
      </c>
      <c r="D3750" s="259" t="s">
        <v>16701</v>
      </c>
      <c r="E3750" s="210" t="s">
        <v>201</v>
      </c>
    </row>
    <row r="3751" spans="1:5" ht="27">
      <c r="A3751" s="258">
        <v>89860</v>
      </c>
      <c r="B3751" s="257" t="s">
        <v>2926</v>
      </c>
      <c r="C3751" s="257" t="s">
        <v>90</v>
      </c>
      <c r="D3751" s="259" t="s">
        <v>16702</v>
      </c>
      <c r="E3751" s="210" t="s">
        <v>201</v>
      </c>
    </row>
    <row r="3752" spans="1:5" ht="27">
      <c r="A3752" s="258">
        <v>89861</v>
      </c>
      <c r="B3752" s="257" t="s">
        <v>2927</v>
      </c>
      <c r="C3752" s="257" t="s">
        <v>90</v>
      </c>
      <c r="D3752" s="259" t="s">
        <v>16703</v>
      </c>
      <c r="E3752" s="210" t="s">
        <v>201</v>
      </c>
    </row>
    <row r="3753" spans="1:5" ht="27">
      <c r="A3753" s="258">
        <v>89862</v>
      </c>
      <c r="B3753" s="257" t="s">
        <v>2928</v>
      </c>
      <c r="C3753" s="257" t="s">
        <v>90</v>
      </c>
      <c r="D3753" s="259" t="s">
        <v>16704</v>
      </c>
      <c r="E3753" s="210" t="s">
        <v>201</v>
      </c>
    </row>
    <row r="3754" spans="1:5" ht="27">
      <c r="A3754" s="258">
        <v>89863</v>
      </c>
      <c r="B3754" s="257" t="s">
        <v>2929</v>
      </c>
      <c r="C3754" s="257" t="s">
        <v>90</v>
      </c>
      <c r="D3754" s="259" t="s">
        <v>16705</v>
      </c>
      <c r="E3754" s="210" t="s">
        <v>201</v>
      </c>
    </row>
    <row r="3755" spans="1:5" ht="27">
      <c r="A3755" s="258">
        <v>89866</v>
      </c>
      <c r="B3755" s="257" t="s">
        <v>2930</v>
      </c>
      <c r="C3755" s="257" t="s">
        <v>90</v>
      </c>
      <c r="D3755" s="259" t="s">
        <v>16706</v>
      </c>
      <c r="E3755" s="210" t="s">
        <v>201</v>
      </c>
    </row>
    <row r="3756" spans="1:5" ht="27">
      <c r="A3756" s="258">
        <v>89867</v>
      </c>
      <c r="B3756" s="257" t="s">
        <v>2931</v>
      </c>
      <c r="C3756" s="257" t="s">
        <v>90</v>
      </c>
      <c r="D3756" s="259" t="s">
        <v>16707</v>
      </c>
      <c r="E3756" s="210" t="s">
        <v>201</v>
      </c>
    </row>
    <row r="3757" spans="1:5" ht="27">
      <c r="A3757" s="258">
        <v>89868</v>
      </c>
      <c r="B3757" s="257" t="s">
        <v>2932</v>
      </c>
      <c r="C3757" s="257" t="s">
        <v>90</v>
      </c>
      <c r="D3757" s="259" t="s">
        <v>14140</v>
      </c>
      <c r="E3757" s="210" t="s">
        <v>201</v>
      </c>
    </row>
    <row r="3758" spans="1:5" ht="27">
      <c r="A3758" s="258">
        <v>89869</v>
      </c>
      <c r="B3758" s="257" t="s">
        <v>2933</v>
      </c>
      <c r="C3758" s="257" t="s">
        <v>90</v>
      </c>
      <c r="D3758" s="259" t="s">
        <v>15680</v>
      </c>
      <c r="E3758" s="210" t="s">
        <v>201</v>
      </c>
    </row>
    <row r="3759" spans="1:5" ht="27">
      <c r="A3759" s="258">
        <v>89979</v>
      </c>
      <c r="B3759" s="257" t="s">
        <v>2934</v>
      </c>
      <c r="C3759" s="257" t="s">
        <v>90</v>
      </c>
      <c r="D3759" s="259" t="s">
        <v>16708</v>
      </c>
      <c r="E3759" s="210" t="s">
        <v>201</v>
      </c>
    </row>
    <row r="3760" spans="1:5" ht="27">
      <c r="A3760" s="258">
        <v>89980</v>
      </c>
      <c r="B3760" s="257" t="s">
        <v>2935</v>
      </c>
      <c r="C3760" s="257" t="s">
        <v>90</v>
      </c>
      <c r="D3760" s="259" t="s">
        <v>15438</v>
      </c>
      <c r="E3760" s="210" t="s">
        <v>201</v>
      </c>
    </row>
    <row r="3761" spans="1:5" ht="27">
      <c r="A3761" s="258">
        <v>89981</v>
      </c>
      <c r="B3761" s="257" t="s">
        <v>2936</v>
      </c>
      <c r="C3761" s="257" t="s">
        <v>90</v>
      </c>
      <c r="D3761" s="259" t="s">
        <v>16709</v>
      </c>
      <c r="E3761" s="210" t="s">
        <v>201</v>
      </c>
    </row>
    <row r="3762" spans="1:5" ht="27">
      <c r="A3762" s="258">
        <v>90373</v>
      </c>
      <c r="B3762" s="257" t="s">
        <v>2937</v>
      </c>
      <c r="C3762" s="257" t="s">
        <v>90</v>
      </c>
      <c r="D3762" s="259" t="s">
        <v>16710</v>
      </c>
      <c r="E3762" s="210" t="s">
        <v>201</v>
      </c>
    </row>
    <row r="3763" spans="1:5" ht="27">
      <c r="A3763" s="258">
        <v>90374</v>
      </c>
      <c r="B3763" s="257" t="s">
        <v>2938</v>
      </c>
      <c r="C3763" s="257" t="s">
        <v>90</v>
      </c>
      <c r="D3763" s="259" t="s">
        <v>15258</v>
      </c>
      <c r="E3763" s="210" t="s">
        <v>201</v>
      </c>
    </row>
    <row r="3764" spans="1:5" ht="27">
      <c r="A3764" s="258">
        <v>90375</v>
      </c>
      <c r="B3764" s="257" t="s">
        <v>2939</v>
      </c>
      <c r="C3764" s="257" t="s">
        <v>90</v>
      </c>
      <c r="D3764" s="259" t="s">
        <v>14359</v>
      </c>
      <c r="E3764" s="210" t="s">
        <v>201</v>
      </c>
    </row>
    <row r="3765" spans="1:5" ht="27">
      <c r="A3765" s="258">
        <v>92287</v>
      </c>
      <c r="B3765" s="257" t="s">
        <v>5673</v>
      </c>
      <c r="C3765" s="257" t="s">
        <v>90</v>
      </c>
      <c r="D3765" s="259" t="s">
        <v>16711</v>
      </c>
      <c r="E3765" s="210" t="s">
        <v>201</v>
      </c>
    </row>
    <row r="3766" spans="1:5" ht="27">
      <c r="A3766" s="258">
        <v>92288</v>
      </c>
      <c r="B3766" s="257" t="s">
        <v>5674</v>
      </c>
      <c r="C3766" s="257" t="s">
        <v>90</v>
      </c>
      <c r="D3766" s="259" t="s">
        <v>14094</v>
      </c>
      <c r="E3766" s="210" t="s">
        <v>201</v>
      </c>
    </row>
    <row r="3767" spans="1:5" ht="27">
      <c r="A3767" s="258">
        <v>92289</v>
      </c>
      <c r="B3767" s="257" t="s">
        <v>5675</v>
      </c>
      <c r="C3767" s="257" t="s">
        <v>90</v>
      </c>
      <c r="D3767" s="259" t="s">
        <v>16712</v>
      </c>
      <c r="E3767" s="210" t="s">
        <v>201</v>
      </c>
    </row>
    <row r="3768" spans="1:5" ht="27">
      <c r="A3768" s="258">
        <v>92290</v>
      </c>
      <c r="B3768" s="257" t="s">
        <v>5676</v>
      </c>
      <c r="C3768" s="257" t="s">
        <v>90</v>
      </c>
      <c r="D3768" s="259" t="s">
        <v>16713</v>
      </c>
      <c r="E3768" s="210" t="s">
        <v>201</v>
      </c>
    </row>
    <row r="3769" spans="1:5" ht="27">
      <c r="A3769" s="258">
        <v>92291</v>
      </c>
      <c r="B3769" s="257" t="s">
        <v>5677</v>
      </c>
      <c r="C3769" s="257" t="s">
        <v>90</v>
      </c>
      <c r="D3769" s="259" t="s">
        <v>16714</v>
      </c>
      <c r="E3769" s="210" t="s">
        <v>201</v>
      </c>
    </row>
    <row r="3770" spans="1:5" ht="27">
      <c r="A3770" s="258">
        <v>92292</v>
      </c>
      <c r="B3770" s="257" t="s">
        <v>5678</v>
      </c>
      <c r="C3770" s="257" t="s">
        <v>90</v>
      </c>
      <c r="D3770" s="259" t="s">
        <v>16715</v>
      </c>
      <c r="E3770" s="210" t="s">
        <v>201</v>
      </c>
    </row>
    <row r="3771" spans="1:5" ht="27">
      <c r="A3771" s="258">
        <v>92293</v>
      </c>
      <c r="B3771" s="257" t="s">
        <v>5679</v>
      </c>
      <c r="C3771" s="257" t="s">
        <v>90</v>
      </c>
      <c r="D3771" s="259" t="s">
        <v>16716</v>
      </c>
      <c r="E3771" s="210" t="s">
        <v>201</v>
      </c>
    </row>
    <row r="3772" spans="1:5" ht="27">
      <c r="A3772" s="258">
        <v>92294</v>
      </c>
      <c r="B3772" s="257" t="s">
        <v>5680</v>
      </c>
      <c r="C3772" s="257" t="s">
        <v>90</v>
      </c>
      <c r="D3772" s="259" t="s">
        <v>16717</v>
      </c>
      <c r="E3772" s="210" t="s">
        <v>201</v>
      </c>
    </row>
    <row r="3773" spans="1:5" ht="27">
      <c r="A3773" s="258">
        <v>92295</v>
      </c>
      <c r="B3773" s="257" t="s">
        <v>5681</v>
      </c>
      <c r="C3773" s="257" t="s">
        <v>90</v>
      </c>
      <c r="D3773" s="259" t="s">
        <v>16718</v>
      </c>
      <c r="E3773" s="210" t="s">
        <v>201</v>
      </c>
    </row>
    <row r="3774" spans="1:5" ht="27">
      <c r="A3774" s="258">
        <v>92296</v>
      </c>
      <c r="B3774" s="257" t="s">
        <v>5682</v>
      </c>
      <c r="C3774" s="257" t="s">
        <v>90</v>
      </c>
      <c r="D3774" s="259" t="s">
        <v>16719</v>
      </c>
      <c r="E3774" s="210" t="s">
        <v>201</v>
      </c>
    </row>
    <row r="3775" spans="1:5" ht="27">
      <c r="A3775" s="258">
        <v>92297</v>
      </c>
      <c r="B3775" s="257" t="s">
        <v>5683</v>
      </c>
      <c r="C3775" s="257" t="s">
        <v>90</v>
      </c>
      <c r="D3775" s="259" t="s">
        <v>16720</v>
      </c>
      <c r="E3775" s="210" t="s">
        <v>201</v>
      </c>
    </row>
    <row r="3776" spans="1:5" ht="27">
      <c r="A3776" s="258">
        <v>92298</v>
      </c>
      <c r="B3776" s="257" t="s">
        <v>5684</v>
      </c>
      <c r="C3776" s="257" t="s">
        <v>90</v>
      </c>
      <c r="D3776" s="259" t="s">
        <v>16721</v>
      </c>
      <c r="E3776" s="210" t="s">
        <v>201</v>
      </c>
    </row>
    <row r="3777" spans="1:5" ht="27">
      <c r="A3777" s="258">
        <v>92299</v>
      </c>
      <c r="B3777" s="257" t="s">
        <v>5685</v>
      </c>
      <c r="C3777" s="257" t="s">
        <v>90</v>
      </c>
      <c r="D3777" s="259" t="s">
        <v>16560</v>
      </c>
      <c r="E3777" s="210" t="s">
        <v>201</v>
      </c>
    </row>
    <row r="3778" spans="1:5" ht="27">
      <c r="A3778" s="258">
        <v>92300</v>
      </c>
      <c r="B3778" s="257" t="s">
        <v>5686</v>
      </c>
      <c r="C3778" s="257" t="s">
        <v>90</v>
      </c>
      <c r="D3778" s="259" t="s">
        <v>16573</v>
      </c>
      <c r="E3778" s="210" t="s">
        <v>201</v>
      </c>
    </row>
    <row r="3779" spans="1:5" ht="27">
      <c r="A3779" s="258">
        <v>92301</v>
      </c>
      <c r="B3779" s="257" t="s">
        <v>5687</v>
      </c>
      <c r="C3779" s="257" t="s">
        <v>90</v>
      </c>
      <c r="D3779" s="259" t="s">
        <v>16722</v>
      </c>
      <c r="E3779" s="210" t="s">
        <v>201</v>
      </c>
    </row>
    <row r="3780" spans="1:5" ht="27">
      <c r="A3780" s="258">
        <v>92302</v>
      </c>
      <c r="B3780" s="257" t="s">
        <v>5688</v>
      </c>
      <c r="C3780" s="257" t="s">
        <v>90</v>
      </c>
      <c r="D3780" s="259" t="s">
        <v>16723</v>
      </c>
      <c r="E3780" s="210" t="s">
        <v>201</v>
      </c>
    </row>
    <row r="3781" spans="1:5" ht="27">
      <c r="A3781" s="258">
        <v>92303</v>
      </c>
      <c r="B3781" s="257" t="s">
        <v>5689</v>
      </c>
      <c r="C3781" s="257" t="s">
        <v>90</v>
      </c>
      <c r="D3781" s="259" t="s">
        <v>16724</v>
      </c>
      <c r="E3781" s="210" t="s">
        <v>201</v>
      </c>
    </row>
    <row r="3782" spans="1:5" ht="27">
      <c r="A3782" s="258">
        <v>92304</v>
      </c>
      <c r="B3782" s="257" t="s">
        <v>5690</v>
      </c>
      <c r="C3782" s="257" t="s">
        <v>90</v>
      </c>
      <c r="D3782" s="259" t="s">
        <v>16725</v>
      </c>
      <c r="E3782" s="210" t="s">
        <v>201</v>
      </c>
    </row>
    <row r="3783" spans="1:5" ht="27">
      <c r="A3783" s="258">
        <v>92311</v>
      </c>
      <c r="B3783" s="257" t="s">
        <v>5691</v>
      </c>
      <c r="C3783" s="257" t="s">
        <v>90</v>
      </c>
      <c r="D3783" s="259" t="s">
        <v>16726</v>
      </c>
      <c r="E3783" s="210" t="s">
        <v>201</v>
      </c>
    </row>
    <row r="3784" spans="1:5" ht="27">
      <c r="A3784" s="258">
        <v>92312</v>
      </c>
      <c r="B3784" s="257" t="s">
        <v>5692</v>
      </c>
      <c r="C3784" s="257" t="s">
        <v>90</v>
      </c>
      <c r="D3784" s="259" t="s">
        <v>16631</v>
      </c>
      <c r="E3784" s="210" t="s">
        <v>201</v>
      </c>
    </row>
    <row r="3785" spans="1:5" ht="27">
      <c r="A3785" s="258">
        <v>92313</v>
      </c>
      <c r="B3785" s="257" t="s">
        <v>5693</v>
      </c>
      <c r="C3785" s="257" t="s">
        <v>90</v>
      </c>
      <c r="D3785" s="259" t="s">
        <v>13923</v>
      </c>
      <c r="E3785" s="210" t="s">
        <v>201</v>
      </c>
    </row>
    <row r="3786" spans="1:5" ht="27">
      <c r="A3786" s="258">
        <v>92314</v>
      </c>
      <c r="B3786" s="257" t="s">
        <v>5694</v>
      </c>
      <c r="C3786" s="257" t="s">
        <v>90</v>
      </c>
      <c r="D3786" s="259" t="s">
        <v>16429</v>
      </c>
      <c r="E3786" s="210" t="s">
        <v>201</v>
      </c>
    </row>
    <row r="3787" spans="1:5" ht="27">
      <c r="A3787" s="258">
        <v>92315</v>
      </c>
      <c r="B3787" s="257" t="s">
        <v>5695</v>
      </c>
      <c r="C3787" s="257" t="s">
        <v>90</v>
      </c>
      <c r="D3787" s="259" t="s">
        <v>15447</v>
      </c>
      <c r="E3787" s="210" t="s">
        <v>201</v>
      </c>
    </row>
    <row r="3788" spans="1:5" ht="27">
      <c r="A3788" s="258">
        <v>92316</v>
      </c>
      <c r="B3788" s="257" t="s">
        <v>5696</v>
      </c>
      <c r="C3788" s="257" t="s">
        <v>90</v>
      </c>
      <c r="D3788" s="259" t="s">
        <v>16727</v>
      </c>
      <c r="E3788" s="210" t="s">
        <v>201</v>
      </c>
    </row>
    <row r="3789" spans="1:5" ht="27">
      <c r="A3789" s="258">
        <v>92317</v>
      </c>
      <c r="B3789" s="257" t="s">
        <v>5697</v>
      </c>
      <c r="C3789" s="257" t="s">
        <v>90</v>
      </c>
      <c r="D3789" s="259" t="s">
        <v>16728</v>
      </c>
      <c r="E3789" s="210" t="s">
        <v>201</v>
      </c>
    </row>
    <row r="3790" spans="1:5" ht="27">
      <c r="A3790" s="258">
        <v>92318</v>
      </c>
      <c r="B3790" s="257" t="s">
        <v>5698</v>
      </c>
      <c r="C3790" s="257" t="s">
        <v>90</v>
      </c>
      <c r="D3790" s="259" t="s">
        <v>16729</v>
      </c>
      <c r="E3790" s="210" t="s">
        <v>201</v>
      </c>
    </row>
    <row r="3791" spans="1:5" ht="27">
      <c r="A3791" s="258">
        <v>92319</v>
      </c>
      <c r="B3791" s="257" t="s">
        <v>5699</v>
      </c>
      <c r="C3791" s="257" t="s">
        <v>90</v>
      </c>
      <c r="D3791" s="259" t="s">
        <v>16730</v>
      </c>
      <c r="E3791" s="210" t="s">
        <v>201</v>
      </c>
    </row>
    <row r="3792" spans="1:5" ht="27">
      <c r="A3792" s="258">
        <v>92326</v>
      </c>
      <c r="B3792" s="257" t="s">
        <v>5700</v>
      </c>
      <c r="C3792" s="257" t="s">
        <v>90</v>
      </c>
      <c r="D3792" s="259" t="s">
        <v>14147</v>
      </c>
      <c r="E3792" s="210" t="s">
        <v>201</v>
      </c>
    </row>
    <row r="3793" spans="1:5" ht="27">
      <c r="A3793" s="258">
        <v>92327</v>
      </c>
      <c r="B3793" s="257" t="s">
        <v>5701</v>
      </c>
      <c r="C3793" s="257" t="s">
        <v>90</v>
      </c>
      <c r="D3793" s="259" t="s">
        <v>16731</v>
      </c>
      <c r="E3793" s="210" t="s">
        <v>201</v>
      </c>
    </row>
    <row r="3794" spans="1:5" ht="27">
      <c r="A3794" s="258">
        <v>92328</v>
      </c>
      <c r="B3794" s="257" t="s">
        <v>5702</v>
      </c>
      <c r="C3794" s="257" t="s">
        <v>90</v>
      </c>
      <c r="D3794" s="259" t="s">
        <v>16732</v>
      </c>
      <c r="E3794" s="210" t="s">
        <v>201</v>
      </c>
    </row>
    <row r="3795" spans="1:5" ht="27">
      <c r="A3795" s="258">
        <v>92329</v>
      </c>
      <c r="B3795" s="257" t="s">
        <v>5703</v>
      </c>
      <c r="C3795" s="257" t="s">
        <v>90</v>
      </c>
      <c r="D3795" s="259" t="s">
        <v>13671</v>
      </c>
      <c r="E3795" s="210" t="s">
        <v>201</v>
      </c>
    </row>
    <row r="3796" spans="1:5" ht="27">
      <c r="A3796" s="258">
        <v>92330</v>
      </c>
      <c r="B3796" s="257" t="s">
        <v>5704</v>
      </c>
      <c r="C3796" s="257" t="s">
        <v>90</v>
      </c>
      <c r="D3796" s="259" t="s">
        <v>16733</v>
      </c>
      <c r="E3796" s="210" t="s">
        <v>201</v>
      </c>
    </row>
    <row r="3797" spans="1:5" ht="27">
      <c r="A3797" s="258">
        <v>92331</v>
      </c>
      <c r="B3797" s="257" t="s">
        <v>5705</v>
      </c>
      <c r="C3797" s="257" t="s">
        <v>90</v>
      </c>
      <c r="D3797" s="259" t="s">
        <v>14100</v>
      </c>
      <c r="E3797" s="210" t="s">
        <v>201</v>
      </c>
    </row>
    <row r="3798" spans="1:5" ht="27">
      <c r="A3798" s="258">
        <v>92332</v>
      </c>
      <c r="B3798" s="257" t="s">
        <v>5706</v>
      </c>
      <c r="C3798" s="257" t="s">
        <v>90</v>
      </c>
      <c r="D3798" s="259" t="s">
        <v>14367</v>
      </c>
      <c r="E3798" s="210" t="s">
        <v>201</v>
      </c>
    </row>
    <row r="3799" spans="1:5" ht="27">
      <c r="A3799" s="258">
        <v>92333</v>
      </c>
      <c r="B3799" s="257" t="s">
        <v>5707</v>
      </c>
      <c r="C3799" s="257" t="s">
        <v>90</v>
      </c>
      <c r="D3799" s="259" t="s">
        <v>16734</v>
      </c>
      <c r="E3799" s="210" t="s">
        <v>201</v>
      </c>
    </row>
    <row r="3800" spans="1:5" ht="27">
      <c r="A3800" s="258">
        <v>92334</v>
      </c>
      <c r="B3800" s="257" t="s">
        <v>5708</v>
      </c>
      <c r="C3800" s="257" t="s">
        <v>90</v>
      </c>
      <c r="D3800" s="259" t="s">
        <v>16735</v>
      </c>
      <c r="E3800" s="210" t="s">
        <v>201</v>
      </c>
    </row>
    <row r="3801" spans="1:5" ht="27">
      <c r="A3801" s="258">
        <v>92344</v>
      </c>
      <c r="B3801" s="257" t="s">
        <v>2940</v>
      </c>
      <c r="C3801" s="257" t="s">
        <v>90</v>
      </c>
      <c r="D3801" s="259" t="s">
        <v>16736</v>
      </c>
      <c r="E3801" s="210" t="s">
        <v>201</v>
      </c>
    </row>
    <row r="3802" spans="1:5" ht="27">
      <c r="A3802" s="258">
        <v>92345</v>
      </c>
      <c r="B3802" s="257" t="s">
        <v>2941</v>
      </c>
      <c r="C3802" s="257" t="s">
        <v>90</v>
      </c>
      <c r="D3802" s="259" t="s">
        <v>16737</v>
      </c>
      <c r="E3802" s="210" t="s">
        <v>201</v>
      </c>
    </row>
    <row r="3803" spans="1:5" ht="27">
      <c r="A3803" s="258">
        <v>92346</v>
      </c>
      <c r="B3803" s="257" t="s">
        <v>2942</v>
      </c>
      <c r="C3803" s="257" t="s">
        <v>90</v>
      </c>
      <c r="D3803" s="259" t="s">
        <v>15604</v>
      </c>
      <c r="E3803" s="210" t="s">
        <v>201</v>
      </c>
    </row>
    <row r="3804" spans="1:5" ht="27">
      <c r="A3804" s="258">
        <v>92347</v>
      </c>
      <c r="B3804" s="257" t="s">
        <v>2943</v>
      </c>
      <c r="C3804" s="257" t="s">
        <v>90</v>
      </c>
      <c r="D3804" s="259" t="s">
        <v>16738</v>
      </c>
      <c r="E3804" s="210" t="s">
        <v>201</v>
      </c>
    </row>
    <row r="3805" spans="1:5" ht="27">
      <c r="A3805" s="258">
        <v>92348</v>
      </c>
      <c r="B3805" s="257" t="s">
        <v>2944</v>
      </c>
      <c r="C3805" s="257" t="s">
        <v>90</v>
      </c>
      <c r="D3805" s="259" t="s">
        <v>16739</v>
      </c>
      <c r="E3805" s="210" t="s">
        <v>201</v>
      </c>
    </row>
    <row r="3806" spans="1:5" ht="27">
      <c r="A3806" s="258">
        <v>92349</v>
      </c>
      <c r="B3806" s="257" t="s">
        <v>2945</v>
      </c>
      <c r="C3806" s="257" t="s">
        <v>90</v>
      </c>
      <c r="D3806" s="259" t="s">
        <v>16740</v>
      </c>
      <c r="E3806" s="210" t="s">
        <v>201</v>
      </c>
    </row>
    <row r="3807" spans="1:5" ht="27">
      <c r="A3807" s="258">
        <v>92350</v>
      </c>
      <c r="B3807" s="257" t="s">
        <v>2946</v>
      </c>
      <c r="C3807" s="257" t="s">
        <v>90</v>
      </c>
      <c r="D3807" s="259" t="s">
        <v>16741</v>
      </c>
      <c r="E3807" s="210" t="s">
        <v>201</v>
      </c>
    </row>
    <row r="3808" spans="1:5" ht="27">
      <c r="A3808" s="258">
        <v>92351</v>
      </c>
      <c r="B3808" s="257" t="s">
        <v>2947</v>
      </c>
      <c r="C3808" s="257" t="s">
        <v>90</v>
      </c>
      <c r="D3808" s="259" t="s">
        <v>14261</v>
      </c>
      <c r="E3808" s="210" t="s">
        <v>201</v>
      </c>
    </row>
    <row r="3809" spans="1:5" ht="27">
      <c r="A3809" s="258">
        <v>92352</v>
      </c>
      <c r="B3809" s="257" t="s">
        <v>2948</v>
      </c>
      <c r="C3809" s="257" t="s">
        <v>90</v>
      </c>
      <c r="D3809" s="259" t="s">
        <v>16742</v>
      </c>
      <c r="E3809" s="210" t="s">
        <v>201</v>
      </c>
    </row>
    <row r="3810" spans="1:5" ht="27">
      <c r="A3810" s="258">
        <v>92353</v>
      </c>
      <c r="B3810" s="257" t="s">
        <v>2949</v>
      </c>
      <c r="C3810" s="257" t="s">
        <v>90</v>
      </c>
      <c r="D3810" s="259" t="s">
        <v>16743</v>
      </c>
      <c r="E3810" s="210" t="s">
        <v>201</v>
      </c>
    </row>
    <row r="3811" spans="1:5" ht="27">
      <c r="A3811" s="258">
        <v>92354</v>
      </c>
      <c r="B3811" s="257" t="s">
        <v>2950</v>
      </c>
      <c r="C3811" s="257" t="s">
        <v>90</v>
      </c>
      <c r="D3811" s="259" t="s">
        <v>16744</v>
      </c>
      <c r="E3811" s="210" t="s">
        <v>201</v>
      </c>
    </row>
    <row r="3812" spans="1:5" ht="27">
      <c r="A3812" s="258">
        <v>92355</v>
      </c>
      <c r="B3812" s="257" t="s">
        <v>2951</v>
      </c>
      <c r="C3812" s="257" t="s">
        <v>90</v>
      </c>
      <c r="D3812" s="259" t="s">
        <v>16745</v>
      </c>
      <c r="E3812" s="210" t="s">
        <v>201</v>
      </c>
    </row>
    <row r="3813" spans="1:5" ht="27">
      <c r="A3813" s="258">
        <v>92356</v>
      </c>
      <c r="B3813" s="257" t="s">
        <v>2952</v>
      </c>
      <c r="C3813" s="257" t="s">
        <v>90</v>
      </c>
      <c r="D3813" s="259" t="s">
        <v>16746</v>
      </c>
      <c r="E3813" s="210" t="s">
        <v>201</v>
      </c>
    </row>
    <row r="3814" spans="1:5" ht="27">
      <c r="A3814" s="258">
        <v>92357</v>
      </c>
      <c r="B3814" s="257" t="s">
        <v>2953</v>
      </c>
      <c r="C3814" s="257" t="s">
        <v>90</v>
      </c>
      <c r="D3814" s="259" t="s">
        <v>16747</v>
      </c>
      <c r="E3814" s="210" t="s">
        <v>201</v>
      </c>
    </row>
    <row r="3815" spans="1:5" ht="27">
      <c r="A3815" s="258">
        <v>92358</v>
      </c>
      <c r="B3815" s="257" t="s">
        <v>2954</v>
      </c>
      <c r="C3815" s="257" t="s">
        <v>90</v>
      </c>
      <c r="D3815" s="259" t="s">
        <v>16748</v>
      </c>
      <c r="E3815" s="210" t="s">
        <v>201</v>
      </c>
    </row>
    <row r="3816" spans="1:5" ht="27">
      <c r="A3816" s="258">
        <v>92369</v>
      </c>
      <c r="B3816" s="257" t="s">
        <v>2955</v>
      </c>
      <c r="C3816" s="257" t="s">
        <v>90</v>
      </c>
      <c r="D3816" s="259" t="s">
        <v>16749</v>
      </c>
      <c r="E3816" s="210" t="s">
        <v>201</v>
      </c>
    </row>
    <row r="3817" spans="1:5" ht="27">
      <c r="A3817" s="258">
        <v>92370</v>
      </c>
      <c r="B3817" s="257" t="s">
        <v>2956</v>
      </c>
      <c r="C3817" s="257" t="s">
        <v>90</v>
      </c>
      <c r="D3817" s="259" t="s">
        <v>16750</v>
      </c>
      <c r="E3817" s="210" t="s">
        <v>201</v>
      </c>
    </row>
    <row r="3818" spans="1:5" ht="27">
      <c r="A3818" s="258">
        <v>92371</v>
      </c>
      <c r="B3818" s="257" t="s">
        <v>2957</v>
      </c>
      <c r="C3818" s="257" t="s">
        <v>90</v>
      </c>
      <c r="D3818" s="259" t="s">
        <v>16751</v>
      </c>
      <c r="E3818" s="210" t="s">
        <v>201</v>
      </c>
    </row>
    <row r="3819" spans="1:5" ht="27">
      <c r="A3819" s="258">
        <v>92372</v>
      </c>
      <c r="B3819" s="257" t="s">
        <v>2958</v>
      </c>
      <c r="C3819" s="257" t="s">
        <v>90</v>
      </c>
      <c r="D3819" s="259" t="s">
        <v>16752</v>
      </c>
      <c r="E3819" s="210" t="s">
        <v>201</v>
      </c>
    </row>
    <row r="3820" spans="1:5" ht="27">
      <c r="A3820" s="258">
        <v>92373</v>
      </c>
      <c r="B3820" s="257" t="s">
        <v>2959</v>
      </c>
      <c r="C3820" s="257" t="s">
        <v>90</v>
      </c>
      <c r="D3820" s="259" t="s">
        <v>13952</v>
      </c>
      <c r="E3820" s="210" t="s">
        <v>201</v>
      </c>
    </row>
    <row r="3821" spans="1:5" ht="27">
      <c r="A3821" s="258">
        <v>92374</v>
      </c>
      <c r="B3821" s="257" t="s">
        <v>2960</v>
      </c>
      <c r="C3821" s="257" t="s">
        <v>90</v>
      </c>
      <c r="D3821" s="259" t="s">
        <v>16753</v>
      </c>
      <c r="E3821" s="210" t="s">
        <v>201</v>
      </c>
    </row>
    <row r="3822" spans="1:5" ht="27">
      <c r="A3822" s="258">
        <v>92375</v>
      </c>
      <c r="B3822" s="257" t="s">
        <v>2961</v>
      </c>
      <c r="C3822" s="257" t="s">
        <v>90</v>
      </c>
      <c r="D3822" s="259" t="s">
        <v>16754</v>
      </c>
      <c r="E3822" s="210" t="s">
        <v>201</v>
      </c>
    </row>
    <row r="3823" spans="1:5" ht="27">
      <c r="A3823" s="258">
        <v>92376</v>
      </c>
      <c r="B3823" s="257" t="s">
        <v>2962</v>
      </c>
      <c r="C3823" s="257" t="s">
        <v>90</v>
      </c>
      <c r="D3823" s="259" t="s">
        <v>16755</v>
      </c>
      <c r="E3823" s="210" t="s">
        <v>201</v>
      </c>
    </row>
    <row r="3824" spans="1:5" ht="27">
      <c r="A3824" s="258">
        <v>92377</v>
      </c>
      <c r="B3824" s="257" t="s">
        <v>118</v>
      </c>
      <c r="C3824" s="257" t="s">
        <v>90</v>
      </c>
      <c r="D3824" s="259" t="s">
        <v>16756</v>
      </c>
      <c r="E3824" s="210" t="s">
        <v>201</v>
      </c>
    </row>
    <row r="3825" spans="1:5" ht="27">
      <c r="A3825" s="258">
        <v>92378</v>
      </c>
      <c r="B3825" s="257" t="s">
        <v>2963</v>
      </c>
      <c r="C3825" s="257" t="s">
        <v>90</v>
      </c>
      <c r="D3825" s="259" t="s">
        <v>16757</v>
      </c>
      <c r="E3825" s="210" t="s">
        <v>201</v>
      </c>
    </row>
    <row r="3826" spans="1:5" ht="27">
      <c r="A3826" s="258">
        <v>92379</v>
      </c>
      <c r="B3826" s="257" t="s">
        <v>2964</v>
      </c>
      <c r="C3826" s="257" t="s">
        <v>90</v>
      </c>
      <c r="D3826" s="259" t="s">
        <v>16277</v>
      </c>
      <c r="E3826" s="210" t="s">
        <v>201</v>
      </c>
    </row>
    <row r="3827" spans="1:5" ht="27">
      <c r="A3827" s="258">
        <v>92380</v>
      </c>
      <c r="B3827" s="257" t="s">
        <v>2965</v>
      </c>
      <c r="C3827" s="257" t="s">
        <v>90</v>
      </c>
      <c r="D3827" s="259" t="s">
        <v>16758</v>
      </c>
      <c r="E3827" s="210" t="s">
        <v>201</v>
      </c>
    </row>
    <row r="3828" spans="1:5" ht="27">
      <c r="A3828" s="258">
        <v>92381</v>
      </c>
      <c r="B3828" s="257" t="s">
        <v>2966</v>
      </c>
      <c r="C3828" s="257" t="s">
        <v>90</v>
      </c>
      <c r="D3828" s="259" t="s">
        <v>14381</v>
      </c>
      <c r="E3828" s="210" t="s">
        <v>201</v>
      </c>
    </row>
    <row r="3829" spans="1:5" ht="27">
      <c r="A3829" s="258">
        <v>92382</v>
      </c>
      <c r="B3829" s="257" t="s">
        <v>2967</v>
      </c>
      <c r="C3829" s="257" t="s">
        <v>90</v>
      </c>
      <c r="D3829" s="259" t="s">
        <v>16759</v>
      </c>
      <c r="E3829" s="210" t="s">
        <v>201</v>
      </c>
    </row>
    <row r="3830" spans="1:5" ht="27">
      <c r="A3830" s="258">
        <v>92383</v>
      </c>
      <c r="B3830" s="257" t="s">
        <v>2968</v>
      </c>
      <c r="C3830" s="257" t="s">
        <v>90</v>
      </c>
      <c r="D3830" s="259" t="s">
        <v>16760</v>
      </c>
      <c r="E3830" s="210" t="s">
        <v>201</v>
      </c>
    </row>
    <row r="3831" spans="1:5" ht="27">
      <c r="A3831" s="258">
        <v>92384</v>
      </c>
      <c r="B3831" s="257" t="s">
        <v>2969</v>
      </c>
      <c r="C3831" s="257" t="s">
        <v>90</v>
      </c>
      <c r="D3831" s="259" t="s">
        <v>16761</v>
      </c>
      <c r="E3831" s="210" t="s">
        <v>201</v>
      </c>
    </row>
    <row r="3832" spans="1:5" ht="27">
      <c r="A3832" s="258">
        <v>92385</v>
      </c>
      <c r="B3832" s="257" t="s">
        <v>2970</v>
      </c>
      <c r="C3832" s="257" t="s">
        <v>90</v>
      </c>
      <c r="D3832" s="259" t="s">
        <v>15655</v>
      </c>
      <c r="E3832" s="210" t="s">
        <v>201</v>
      </c>
    </row>
    <row r="3833" spans="1:5" ht="27">
      <c r="A3833" s="258">
        <v>92386</v>
      </c>
      <c r="B3833" s="257" t="s">
        <v>2971</v>
      </c>
      <c r="C3833" s="257" t="s">
        <v>90</v>
      </c>
      <c r="D3833" s="259" t="s">
        <v>16762</v>
      </c>
      <c r="E3833" s="210" t="s">
        <v>201</v>
      </c>
    </row>
    <row r="3834" spans="1:5" ht="27">
      <c r="A3834" s="258">
        <v>92387</v>
      </c>
      <c r="B3834" s="257" t="s">
        <v>2972</v>
      </c>
      <c r="C3834" s="257" t="s">
        <v>90</v>
      </c>
      <c r="D3834" s="259" t="s">
        <v>16763</v>
      </c>
      <c r="E3834" s="210" t="s">
        <v>201</v>
      </c>
    </row>
    <row r="3835" spans="1:5" ht="27">
      <c r="A3835" s="258">
        <v>92388</v>
      </c>
      <c r="B3835" s="257" t="s">
        <v>2973</v>
      </c>
      <c r="C3835" s="257" t="s">
        <v>90</v>
      </c>
      <c r="D3835" s="259" t="s">
        <v>16764</v>
      </c>
      <c r="E3835" s="210" t="s">
        <v>201</v>
      </c>
    </row>
    <row r="3836" spans="1:5" ht="27">
      <c r="A3836" s="258">
        <v>92389</v>
      </c>
      <c r="B3836" s="257" t="s">
        <v>2974</v>
      </c>
      <c r="C3836" s="257" t="s">
        <v>90</v>
      </c>
      <c r="D3836" s="259" t="s">
        <v>16765</v>
      </c>
      <c r="E3836" s="210" t="s">
        <v>201</v>
      </c>
    </row>
    <row r="3837" spans="1:5" ht="27">
      <c r="A3837" s="258">
        <v>92390</v>
      </c>
      <c r="B3837" s="257" t="s">
        <v>119</v>
      </c>
      <c r="C3837" s="257" t="s">
        <v>90</v>
      </c>
      <c r="D3837" s="259" t="s">
        <v>16766</v>
      </c>
      <c r="E3837" s="210" t="s">
        <v>201</v>
      </c>
    </row>
    <row r="3838" spans="1:5" ht="27">
      <c r="A3838" s="258">
        <v>92635</v>
      </c>
      <c r="B3838" s="257" t="s">
        <v>2975</v>
      </c>
      <c r="C3838" s="257" t="s">
        <v>90</v>
      </c>
      <c r="D3838" s="259" t="s">
        <v>16767</v>
      </c>
      <c r="E3838" s="210" t="s">
        <v>201</v>
      </c>
    </row>
    <row r="3839" spans="1:5" ht="27">
      <c r="A3839" s="258">
        <v>92636</v>
      </c>
      <c r="B3839" s="257" t="s">
        <v>258</v>
      </c>
      <c r="C3839" s="257" t="s">
        <v>90</v>
      </c>
      <c r="D3839" s="259" t="s">
        <v>16768</v>
      </c>
      <c r="E3839" s="210" t="s">
        <v>201</v>
      </c>
    </row>
    <row r="3840" spans="1:5" ht="27">
      <c r="A3840" s="258">
        <v>92637</v>
      </c>
      <c r="B3840" s="257" t="s">
        <v>2976</v>
      </c>
      <c r="C3840" s="257" t="s">
        <v>90</v>
      </c>
      <c r="D3840" s="259" t="s">
        <v>16769</v>
      </c>
      <c r="E3840" s="210" t="s">
        <v>201</v>
      </c>
    </row>
    <row r="3841" spans="1:5" ht="27">
      <c r="A3841" s="258">
        <v>92638</v>
      </c>
      <c r="B3841" s="257" t="s">
        <v>2977</v>
      </c>
      <c r="C3841" s="257" t="s">
        <v>90</v>
      </c>
      <c r="D3841" s="259" t="s">
        <v>16770</v>
      </c>
      <c r="E3841" s="210" t="s">
        <v>201</v>
      </c>
    </row>
    <row r="3842" spans="1:5" ht="27">
      <c r="A3842" s="258">
        <v>92639</v>
      </c>
      <c r="B3842" s="257" t="s">
        <v>2978</v>
      </c>
      <c r="C3842" s="257" t="s">
        <v>90</v>
      </c>
      <c r="D3842" s="259" t="s">
        <v>16771</v>
      </c>
      <c r="E3842" s="210" t="s">
        <v>201</v>
      </c>
    </row>
    <row r="3843" spans="1:5" ht="27">
      <c r="A3843" s="258">
        <v>92640</v>
      </c>
      <c r="B3843" s="257" t="s">
        <v>2979</v>
      </c>
      <c r="C3843" s="257" t="s">
        <v>90</v>
      </c>
      <c r="D3843" s="259" t="s">
        <v>16772</v>
      </c>
      <c r="E3843" s="210" t="s">
        <v>201</v>
      </c>
    </row>
    <row r="3844" spans="1:5" ht="27">
      <c r="A3844" s="258">
        <v>92642</v>
      </c>
      <c r="B3844" s="257" t="s">
        <v>120</v>
      </c>
      <c r="C3844" s="257" t="s">
        <v>90</v>
      </c>
      <c r="D3844" s="259" t="s">
        <v>16773</v>
      </c>
      <c r="E3844" s="210" t="s">
        <v>201</v>
      </c>
    </row>
    <row r="3845" spans="1:5" ht="27">
      <c r="A3845" s="258">
        <v>92644</v>
      </c>
      <c r="B3845" s="257" t="s">
        <v>259</v>
      </c>
      <c r="C3845" s="257" t="s">
        <v>90</v>
      </c>
      <c r="D3845" s="259" t="s">
        <v>16774</v>
      </c>
      <c r="E3845" s="210" t="s">
        <v>201</v>
      </c>
    </row>
    <row r="3846" spans="1:5" ht="27">
      <c r="A3846" s="258">
        <v>92657</v>
      </c>
      <c r="B3846" s="257" t="s">
        <v>2980</v>
      </c>
      <c r="C3846" s="257" t="s">
        <v>90</v>
      </c>
      <c r="D3846" s="259" t="s">
        <v>16775</v>
      </c>
      <c r="E3846" s="210" t="s">
        <v>201</v>
      </c>
    </row>
    <row r="3847" spans="1:5" ht="27">
      <c r="A3847" s="258">
        <v>92658</v>
      </c>
      <c r="B3847" s="257" t="s">
        <v>2981</v>
      </c>
      <c r="C3847" s="257" t="s">
        <v>90</v>
      </c>
      <c r="D3847" s="259" t="s">
        <v>16776</v>
      </c>
      <c r="E3847" s="210" t="s">
        <v>201</v>
      </c>
    </row>
    <row r="3848" spans="1:5" ht="27">
      <c r="A3848" s="258">
        <v>92659</v>
      </c>
      <c r="B3848" s="257" t="s">
        <v>2982</v>
      </c>
      <c r="C3848" s="257" t="s">
        <v>90</v>
      </c>
      <c r="D3848" s="259" t="s">
        <v>16777</v>
      </c>
      <c r="E3848" s="210" t="s">
        <v>201</v>
      </c>
    </row>
    <row r="3849" spans="1:5" ht="27">
      <c r="A3849" s="258">
        <v>92660</v>
      </c>
      <c r="B3849" s="257" t="s">
        <v>2983</v>
      </c>
      <c r="C3849" s="257" t="s">
        <v>90</v>
      </c>
      <c r="D3849" s="259" t="s">
        <v>16778</v>
      </c>
      <c r="E3849" s="210" t="s">
        <v>201</v>
      </c>
    </row>
    <row r="3850" spans="1:5" ht="27">
      <c r="A3850" s="258">
        <v>92661</v>
      </c>
      <c r="B3850" s="257" t="s">
        <v>2984</v>
      </c>
      <c r="C3850" s="257" t="s">
        <v>90</v>
      </c>
      <c r="D3850" s="259" t="s">
        <v>16779</v>
      </c>
      <c r="E3850" s="210" t="s">
        <v>201</v>
      </c>
    </row>
    <row r="3851" spans="1:5" ht="27">
      <c r="A3851" s="258">
        <v>92662</v>
      </c>
      <c r="B3851" s="257" t="s">
        <v>2985</v>
      </c>
      <c r="C3851" s="257" t="s">
        <v>90</v>
      </c>
      <c r="D3851" s="259" t="s">
        <v>16780</v>
      </c>
      <c r="E3851" s="210" t="s">
        <v>201</v>
      </c>
    </row>
    <row r="3852" spans="1:5" ht="27">
      <c r="A3852" s="258">
        <v>92663</v>
      </c>
      <c r="B3852" s="257" t="s">
        <v>2986</v>
      </c>
      <c r="C3852" s="257" t="s">
        <v>90</v>
      </c>
      <c r="D3852" s="259" t="s">
        <v>16781</v>
      </c>
      <c r="E3852" s="210" t="s">
        <v>201</v>
      </c>
    </row>
    <row r="3853" spans="1:5" ht="27">
      <c r="A3853" s="258">
        <v>92664</v>
      </c>
      <c r="B3853" s="257" t="s">
        <v>2987</v>
      </c>
      <c r="C3853" s="257" t="s">
        <v>90</v>
      </c>
      <c r="D3853" s="259" t="s">
        <v>15362</v>
      </c>
      <c r="E3853" s="210" t="s">
        <v>201</v>
      </c>
    </row>
    <row r="3854" spans="1:5" ht="27">
      <c r="A3854" s="258">
        <v>92665</v>
      </c>
      <c r="B3854" s="257" t="s">
        <v>2988</v>
      </c>
      <c r="C3854" s="257" t="s">
        <v>90</v>
      </c>
      <c r="D3854" s="259" t="s">
        <v>16782</v>
      </c>
      <c r="E3854" s="210" t="s">
        <v>201</v>
      </c>
    </row>
    <row r="3855" spans="1:5" ht="27">
      <c r="A3855" s="258">
        <v>92666</v>
      </c>
      <c r="B3855" s="257" t="s">
        <v>121</v>
      </c>
      <c r="C3855" s="257" t="s">
        <v>90</v>
      </c>
      <c r="D3855" s="259" t="s">
        <v>16783</v>
      </c>
      <c r="E3855" s="210" t="s">
        <v>201</v>
      </c>
    </row>
    <row r="3856" spans="1:5" ht="27">
      <c r="A3856" s="258">
        <v>92667</v>
      </c>
      <c r="B3856" s="257" t="s">
        <v>2989</v>
      </c>
      <c r="C3856" s="257" t="s">
        <v>90</v>
      </c>
      <c r="D3856" s="259" t="s">
        <v>15922</v>
      </c>
      <c r="E3856" s="210" t="s">
        <v>201</v>
      </c>
    </row>
    <row r="3857" spans="1:5" ht="27">
      <c r="A3857" s="258">
        <v>92668</v>
      </c>
      <c r="B3857" s="257" t="s">
        <v>2990</v>
      </c>
      <c r="C3857" s="257" t="s">
        <v>90</v>
      </c>
      <c r="D3857" s="259" t="s">
        <v>16784</v>
      </c>
      <c r="E3857" s="210" t="s">
        <v>201</v>
      </c>
    </row>
    <row r="3858" spans="1:5" ht="27">
      <c r="A3858" s="258">
        <v>92669</v>
      </c>
      <c r="B3858" s="257" t="s">
        <v>2991</v>
      </c>
      <c r="C3858" s="257" t="s">
        <v>90</v>
      </c>
      <c r="D3858" s="259" t="s">
        <v>16785</v>
      </c>
      <c r="E3858" s="210" t="s">
        <v>201</v>
      </c>
    </row>
    <row r="3859" spans="1:5" ht="27">
      <c r="A3859" s="258">
        <v>92670</v>
      </c>
      <c r="B3859" s="257" t="s">
        <v>2992</v>
      </c>
      <c r="C3859" s="257" t="s">
        <v>90</v>
      </c>
      <c r="D3859" s="259" t="s">
        <v>16786</v>
      </c>
      <c r="E3859" s="210" t="s">
        <v>201</v>
      </c>
    </row>
    <row r="3860" spans="1:5" ht="27">
      <c r="A3860" s="258">
        <v>92671</v>
      </c>
      <c r="B3860" s="257" t="s">
        <v>2993</v>
      </c>
      <c r="C3860" s="257" t="s">
        <v>90</v>
      </c>
      <c r="D3860" s="259" t="s">
        <v>16787</v>
      </c>
      <c r="E3860" s="210" t="s">
        <v>201</v>
      </c>
    </row>
    <row r="3861" spans="1:5" ht="27">
      <c r="A3861" s="258">
        <v>92672</v>
      </c>
      <c r="B3861" s="257" t="s">
        <v>2994</v>
      </c>
      <c r="C3861" s="257" t="s">
        <v>90</v>
      </c>
      <c r="D3861" s="259" t="s">
        <v>16788</v>
      </c>
      <c r="E3861" s="210" t="s">
        <v>201</v>
      </c>
    </row>
    <row r="3862" spans="1:5" ht="27">
      <c r="A3862" s="258">
        <v>92673</v>
      </c>
      <c r="B3862" s="257" t="s">
        <v>2995</v>
      </c>
      <c r="C3862" s="257" t="s">
        <v>90</v>
      </c>
      <c r="D3862" s="259" t="s">
        <v>16789</v>
      </c>
      <c r="E3862" s="210" t="s">
        <v>201</v>
      </c>
    </row>
    <row r="3863" spans="1:5" ht="27">
      <c r="A3863" s="258">
        <v>92674</v>
      </c>
      <c r="B3863" s="257" t="s">
        <v>2996</v>
      </c>
      <c r="C3863" s="257" t="s">
        <v>90</v>
      </c>
      <c r="D3863" s="259" t="s">
        <v>16790</v>
      </c>
      <c r="E3863" s="210" t="s">
        <v>201</v>
      </c>
    </row>
    <row r="3864" spans="1:5" ht="27">
      <c r="A3864" s="258">
        <v>92675</v>
      </c>
      <c r="B3864" s="257" t="s">
        <v>2997</v>
      </c>
      <c r="C3864" s="257" t="s">
        <v>90</v>
      </c>
      <c r="D3864" s="259" t="s">
        <v>16791</v>
      </c>
      <c r="E3864" s="210" t="s">
        <v>201</v>
      </c>
    </row>
    <row r="3865" spans="1:5" ht="27">
      <c r="A3865" s="258">
        <v>92676</v>
      </c>
      <c r="B3865" s="257" t="s">
        <v>2998</v>
      </c>
      <c r="C3865" s="257" t="s">
        <v>90</v>
      </c>
      <c r="D3865" s="259" t="s">
        <v>16540</v>
      </c>
      <c r="E3865" s="210" t="s">
        <v>201</v>
      </c>
    </row>
    <row r="3866" spans="1:5" ht="27">
      <c r="A3866" s="258">
        <v>92677</v>
      </c>
      <c r="B3866" s="257" t="s">
        <v>2999</v>
      </c>
      <c r="C3866" s="257" t="s">
        <v>90</v>
      </c>
      <c r="D3866" s="259" t="s">
        <v>16792</v>
      </c>
      <c r="E3866" s="210" t="s">
        <v>201</v>
      </c>
    </row>
    <row r="3867" spans="1:5" ht="27">
      <c r="A3867" s="258">
        <v>92678</v>
      </c>
      <c r="B3867" s="257" t="s">
        <v>3000</v>
      </c>
      <c r="C3867" s="257" t="s">
        <v>90</v>
      </c>
      <c r="D3867" s="259" t="s">
        <v>16793</v>
      </c>
      <c r="E3867" s="210" t="s">
        <v>201</v>
      </c>
    </row>
    <row r="3868" spans="1:5" ht="27">
      <c r="A3868" s="258">
        <v>92679</v>
      </c>
      <c r="B3868" s="257" t="s">
        <v>3001</v>
      </c>
      <c r="C3868" s="257" t="s">
        <v>90</v>
      </c>
      <c r="D3868" s="259" t="s">
        <v>16794</v>
      </c>
      <c r="E3868" s="210" t="s">
        <v>201</v>
      </c>
    </row>
    <row r="3869" spans="1:5" ht="27">
      <c r="A3869" s="258">
        <v>92680</v>
      </c>
      <c r="B3869" s="257" t="s">
        <v>3002</v>
      </c>
      <c r="C3869" s="257" t="s">
        <v>90</v>
      </c>
      <c r="D3869" s="259" t="s">
        <v>16795</v>
      </c>
      <c r="E3869" s="210" t="s">
        <v>201</v>
      </c>
    </row>
    <row r="3870" spans="1:5" ht="27">
      <c r="A3870" s="258">
        <v>92681</v>
      </c>
      <c r="B3870" s="257" t="s">
        <v>3003</v>
      </c>
      <c r="C3870" s="257" t="s">
        <v>90</v>
      </c>
      <c r="D3870" s="259" t="s">
        <v>16796</v>
      </c>
      <c r="E3870" s="210" t="s">
        <v>201</v>
      </c>
    </row>
    <row r="3871" spans="1:5" ht="27">
      <c r="A3871" s="258">
        <v>92682</v>
      </c>
      <c r="B3871" s="257" t="s">
        <v>3004</v>
      </c>
      <c r="C3871" s="257" t="s">
        <v>90</v>
      </c>
      <c r="D3871" s="259" t="s">
        <v>16797</v>
      </c>
      <c r="E3871" s="210" t="s">
        <v>201</v>
      </c>
    </row>
    <row r="3872" spans="1:5" ht="27">
      <c r="A3872" s="258">
        <v>92683</v>
      </c>
      <c r="B3872" s="257" t="s">
        <v>3005</v>
      </c>
      <c r="C3872" s="257" t="s">
        <v>90</v>
      </c>
      <c r="D3872" s="259" t="s">
        <v>16035</v>
      </c>
      <c r="E3872" s="210" t="s">
        <v>201</v>
      </c>
    </row>
    <row r="3873" spans="1:5" ht="27">
      <c r="A3873" s="258">
        <v>92684</v>
      </c>
      <c r="B3873" s="257" t="s">
        <v>3006</v>
      </c>
      <c r="C3873" s="257" t="s">
        <v>90</v>
      </c>
      <c r="D3873" s="259" t="s">
        <v>16798</v>
      </c>
      <c r="E3873" s="210" t="s">
        <v>201</v>
      </c>
    </row>
    <row r="3874" spans="1:5" ht="27">
      <c r="A3874" s="258">
        <v>92685</v>
      </c>
      <c r="B3874" s="257" t="s">
        <v>3007</v>
      </c>
      <c r="C3874" s="257" t="s">
        <v>90</v>
      </c>
      <c r="D3874" s="259" t="s">
        <v>16799</v>
      </c>
      <c r="E3874" s="210" t="s">
        <v>201</v>
      </c>
    </row>
    <row r="3875" spans="1:5" ht="27">
      <c r="A3875" s="258">
        <v>92686</v>
      </c>
      <c r="B3875" s="257" t="s">
        <v>3008</v>
      </c>
      <c r="C3875" s="257" t="s">
        <v>90</v>
      </c>
      <c r="D3875" s="259" t="s">
        <v>16800</v>
      </c>
      <c r="E3875" s="210" t="s">
        <v>201</v>
      </c>
    </row>
    <row r="3876" spans="1:5" ht="27">
      <c r="A3876" s="258">
        <v>92692</v>
      </c>
      <c r="B3876" s="257" t="s">
        <v>3009</v>
      </c>
      <c r="C3876" s="257" t="s">
        <v>90</v>
      </c>
      <c r="D3876" s="259" t="s">
        <v>14336</v>
      </c>
      <c r="E3876" s="210" t="s">
        <v>201</v>
      </c>
    </row>
    <row r="3877" spans="1:5" ht="27">
      <c r="A3877" s="258">
        <v>92693</v>
      </c>
      <c r="B3877" s="257" t="s">
        <v>3010</v>
      </c>
      <c r="C3877" s="257" t="s">
        <v>90</v>
      </c>
      <c r="D3877" s="259" t="s">
        <v>16801</v>
      </c>
      <c r="E3877" s="210" t="s">
        <v>201</v>
      </c>
    </row>
    <row r="3878" spans="1:5" ht="27">
      <c r="A3878" s="258">
        <v>92694</v>
      </c>
      <c r="B3878" s="257" t="s">
        <v>3011</v>
      </c>
      <c r="C3878" s="257" t="s">
        <v>90</v>
      </c>
      <c r="D3878" s="259" t="s">
        <v>13548</v>
      </c>
      <c r="E3878" s="210" t="s">
        <v>201</v>
      </c>
    </row>
    <row r="3879" spans="1:5" ht="27">
      <c r="A3879" s="258">
        <v>92695</v>
      </c>
      <c r="B3879" s="257" t="s">
        <v>3012</v>
      </c>
      <c r="C3879" s="257" t="s">
        <v>90</v>
      </c>
      <c r="D3879" s="259" t="s">
        <v>13873</v>
      </c>
      <c r="E3879" s="210" t="s">
        <v>201</v>
      </c>
    </row>
    <row r="3880" spans="1:5" ht="27">
      <c r="A3880" s="258">
        <v>92696</v>
      </c>
      <c r="B3880" s="257" t="s">
        <v>3013</v>
      </c>
      <c r="C3880" s="257" t="s">
        <v>90</v>
      </c>
      <c r="D3880" s="259" t="s">
        <v>16802</v>
      </c>
      <c r="E3880" s="210" t="s">
        <v>201</v>
      </c>
    </row>
    <row r="3881" spans="1:5" ht="27">
      <c r="A3881" s="258">
        <v>92697</v>
      </c>
      <c r="B3881" s="257" t="s">
        <v>3014</v>
      </c>
      <c r="C3881" s="257" t="s">
        <v>90</v>
      </c>
      <c r="D3881" s="259" t="s">
        <v>16803</v>
      </c>
      <c r="E3881" s="210" t="s">
        <v>201</v>
      </c>
    </row>
    <row r="3882" spans="1:5" ht="27">
      <c r="A3882" s="258">
        <v>92698</v>
      </c>
      <c r="B3882" s="257" t="s">
        <v>3015</v>
      </c>
      <c r="C3882" s="257" t="s">
        <v>90</v>
      </c>
      <c r="D3882" s="259" t="s">
        <v>16652</v>
      </c>
      <c r="E3882" s="210" t="s">
        <v>201</v>
      </c>
    </row>
    <row r="3883" spans="1:5" ht="27">
      <c r="A3883" s="258">
        <v>92699</v>
      </c>
      <c r="B3883" s="257" t="s">
        <v>3016</v>
      </c>
      <c r="C3883" s="257" t="s">
        <v>90</v>
      </c>
      <c r="D3883" s="259" t="s">
        <v>16804</v>
      </c>
      <c r="E3883" s="210" t="s">
        <v>201</v>
      </c>
    </row>
    <row r="3884" spans="1:5" ht="27">
      <c r="A3884" s="258">
        <v>92700</v>
      </c>
      <c r="B3884" s="257" t="s">
        <v>3017</v>
      </c>
      <c r="C3884" s="257" t="s">
        <v>90</v>
      </c>
      <c r="D3884" s="259" t="s">
        <v>16805</v>
      </c>
      <c r="E3884" s="210" t="s">
        <v>201</v>
      </c>
    </row>
    <row r="3885" spans="1:5" ht="27">
      <c r="A3885" s="258">
        <v>92701</v>
      </c>
      <c r="B3885" s="257" t="s">
        <v>3018</v>
      </c>
      <c r="C3885" s="257" t="s">
        <v>90</v>
      </c>
      <c r="D3885" s="259" t="s">
        <v>16683</v>
      </c>
      <c r="E3885" s="210" t="s">
        <v>201</v>
      </c>
    </row>
    <row r="3886" spans="1:5" ht="27">
      <c r="A3886" s="258">
        <v>92702</v>
      </c>
      <c r="B3886" s="257" t="s">
        <v>3019</v>
      </c>
      <c r="C3886" s="257" t="s">
        <v>90</v>
      </c>
      <c r="D3886" s="259" t="s">
        <v>16806</v>
      </c>
      <c r="E3886" s="210" t="s">
        <v>201</v>
      </c>
    </row>
    <row r="3887" spans="1:5" ht="27">
      <c r="A3887" s="258">
        <v>92703</v>
      </c>
      <c r="B3887" s="257" t="s">
        <v>3020</v>
      </c>
      <c r="C3887" s="257" t="s">
        <v>90</v>
      </c>
      <c r="D3887" s="259" t="s">
        <v>14151</v>
      </c>
      <c r="E3887" s="210" t="s">
        <v>201</v>
      </c>
    </row>
    <row r="3888" spans="1:5" ht="27">
      <c r="A3888" s="258">
        <v>92704</v>
      </c>
      <c r="B3888" s="257" t="s">
        <v>3021</v>
      </c>
      <c r="C3888" s="257" t="s">
        <v>90</v>
      </c>
      <c r="D3888" s="259" t="s">
        <v>16807</v>
      </c>
      <c r="E3888" s="210" t="s">
        <v>201</v>
      </c>
    </row>
    <row r="3889" spans="1:5" ht="27">
      <c r="A3889" s="258">
        <v>92705</v>
      </c>
      <c r="B3889" s="257" t="s">
        <v>3022</v>
      </c>
      <c r="C3889" s="257" t="s">
        <v>90</v>
      </c>
      <c r="D3889" s="259" t="s">
        <v>16808</v>
      </c>
      <c r="E3889" s="210" t="s">
        <v>201</v>
      </c>
    </row>
    <row r="3890" spans="1:5" ht="27">
      <c r="A3890" s="258">
        <v>92706</v>
      </c>
      <c r="B3890" s="257" t="s">
        <v>3023</v>
      </c>
      <c r="C3890" s="257" t="s">
        <v>90</v>
      </c>
      <c r="D3890" s="259" t="s">
        <v>15336</v>
      </c>
      <c r="E3890" s="210" t="s">
        <v>201</v>
      </c>
    </row>
    <row r="3891" spans="1:5" ht="27">
      <c r="A3891" s="258">
        <v>92889</v>
      </c>
      <c r="B3891" s="257" t="s">
        <v>3024</v>
      </c>
      <c r="C3891" s="257" t="s">
        <v>90</v>
      </c>
      <c r="D3891" s="259" t="s">
        <v>16809</v>
      </c>
      <c r="E3891" s="210" t="s">
        <v>201</v>
      </c>
    </row>
    <row r="3892" spans="1:5" ht="27">
      <c r="A3892" s="258">
        <v>92890</v>
      </c>
      <c r="B3892" s="257" t="s">
        <v>3025</v>
      </c>
      <c r="C3892" s="257" t="s">
        <v>90</v>
      </c>
      <c r="D3892" s="259" t="s">
        <v>16810</v>
      </c>
      <c r="E3892" s="210" t="s">
        <v>201</v>
      </c>
    </row>
    <row r="3893" spans="1:5" ht="27">
      <c r="A3893" s="258">
        <v>92891</v>
      </c>
      <c r="B3893" s="257" t="s">
        <v>3026</v>
      </c>
      <c r="C3893" s="257" t="s">
        <v>90</v>
      </c>
      <c r="D3893" s="259" t="s">
        <v>16811</v>
      </c>
      <c r="E3893" s="210" t="s">
        <v>201</v>
      </c>
    </row>
    <row r="3894" spans="1:5" ht="27">
      <c r="A3894" s="258">
        <v>92892</v>
      </c>
      <c r="B3894" s="257" t="s">
        <v>262</v>
      </c>
      <c r="C3894" s="257" t="s">
        <v>90</v>
      </c>
      <c r="D3894" s="259" t="s">
        <v>16812</v>
      </c>
      <c r="E3894" s="210" t="s">
        <v>201</v>
      </c>
    </row>
    <row r="3895" spans="1:5" ht="27">
      <c r="A3895" s="258">
        <v>92893</v>
      </c>
      <c r="B3895" s="257" t="s">
        <v>3027</v>
      </c>
      <c r="C3895" s="257" t="s">
        <v>90</v>
      </c>
      <c r="D3895" s="259" t="s">
        <v>16813</v>
      </c>
      <c r="E3895" s="210" t="s">
        <v>201</v>
      </c>
    </row>
    <row r="3896" spans="1:5" ht="27">
      <c r="A3896" s="258">
        <v>92894</v>
      </c>
      <c r="B3896" s="257" t="s">
        <v>3028</v>
      </c>
      <c r="C3896" s="257" t="s">
        <v>90</v>
      </c>
      <c r="D3896" s="259" t="s">
        <v>16814</v>
      </c>
      <c r="E3896" s="210" t="s">
        <v>201</v>
      </c>
    </row>
    <row r="3897" spans="1:5" ht="27">
      <c r="A3897" s="258">
        <v>92895</v>
      </c>
      <c r="B3897" s="257" t="s">
        <v>3029</v>
      </c>
      <c r="C3897" s="257" t="s">
        <v>90</v>
      </c>
      <c r="D3897" s="259" t="s">
        <v>16815</v>
      </c>
      <c r="E3897" s="210" t="s">
        <v>201</v>
      </c>
    </row>
    <row r="3898" spans="1:5" ht="27">
      <c r="A3898" s="258">
        <v>92896</v>
      </c>
      <c r="B3898" s="257" t="s">
        <v>260</v>
      </c>
      <c r="C3898" s="257" t="s">
        <v>90</v>
      </c>
      <c r="D3898" s="259" t="s">
        <v>16816</v>
      </c>
      <c r="E3898" s="210" t="s">
        <v>201</v>
      </c>
    </row>
    <row r="3899" spans="1:5" ht="27">
      <c r="A3899" s="258">
        <v>92897</v>
      </c>
      <c r="B3899" s="257" t="s">
        <v>261</v>
      </c>
      <c r="C3899" s="257" t="s">
        <v>90</v>
      </c>
      <c r="D3899" s="259" t="s">
        <v>16817</v>
      </c>
      <c r="E3899" s="210" t="s">
        <v>201</v>
      </c>
    </row>
    <row r="3900" spans="1:5" ht="27">
      <c r="A3900" s="258">
        <v>92898</v>
      </c>
      <c r="B3900" s="257" t="s">
        <v>3030</v>
      </c>
      <c r="C3900" s="257" t="s">
        <v>90</v>
      </c>
      <c r="D3900" s="259" t="s">
        <v>16818</v>
      </c>
      <c r="E3900" s="210" t="s">
        <v>201</v>
      </c>
    </row>
    <row r="3901" spans="1:5" ht="27">
      <c r="A3901" s="258">
        <v>92899</v>
      </c>
      <c r="B3901" s="257" t="s">
        <v>3031</v>
      </c>
      <c r="C3901" s="257" t="s">
        <v>90</v>
      </c>
      <c r="D3901" s="259" t="s">
        <v>16819</v>
      </c>
      <c r="E3901" s="210" t="s">
        <v>201</v>
      </c>
    </row>
    <row r="3902" spans="1:5" ht="27">
      <c r="A3902" s="258">
        <v>92900</v>
      </c>
      <c r="B3902" s="257" t="s">
        <v>3032</v>
      </c>
      <c r="C3902" s="257" t="s">
        <v>90</v>
      </c>
      <c r="D3902" s="259" t="s">
        <v>16820</v>
      </c>
      <c r="E3902" s="210" t="s">
        <v>201</v>
      </c>
    </row>
    <row r="3903" spans="1:5" ht="27">
      <c r="A3903" s="258">
        <v>92901</v>
      </c>
      <c r="B3903" s="257" t="s">
        <v>3033</v>
      </c>
      <c r="C3903" s="257" t="s">
        <v>90</v>
      </c>
      <c r="D3903" s="259" t="s">
        <v>16821</v>
      </c>
      <c r="E3903" s="210" t="s">
        <v>201</v>
      </c>
    </row>
    <row r="3904" spans="1:5" ht="27">
      <c r="A3904" s="258">
        <v>92902</v>
      </c>
      <c r="B3904" s="257" t="s">
        <v>3034</v>
      </c>
      <c r="C3904" s="257" t="s">
        <v>90</v>
      </c>
      <c r="D3904" s="259" t="s">
        <v>16822</v>
      </c>
      <c r="E3904" s="210" t="s">
        <v>201</v>
      </c>
    </row>
    <row r="3905" spans="1:5" ht="27">
      <c r="A3905" s="258">
        <v>92903</v>
      </c>
      <c r="B3905" s="257" t="s">
        <v>3035</v>
      </c>
      <c r="C3905" s="257" t="s">
        <v>90</v>
      </c>
      <c r="D3905" s="259" t="s">
        <v>16823</v>
      </c>
      <c r="E3905" s="210" t="s">
        <v>201</v>
      </c>
    </row>
    <row r="3906" spans="1:5" ht="27">
      <c r="A3906" s="258">
        <v>92904</v>
      </c>
      <c r="B3906" s="257" t="s">
        <v>3036</v>
      </c>
      <c r="C3906" s="257" t="s">
        <v>90</v>
      </c>
      <c r="D3906" s="259" t="s">
        <v>16380</v>
      </c>
      <c r="E3906" s="210" t="s">
        <v>201</v>
      </c>
    </row>
    <row r="3907" spans="1:5" ht="27">
      <c r="A3907" s="258">
        <v>92905</v>
      </c>
      <c r="B3907" s="257" t="s">
        <v>3037</v>
      </c>
      <c r="C3907" s="257" t="s">
        <v>90</v>
      </c>
      <c r="D3907" s="259" t="s">
        <v>16824</v>
      </c>
      <c r="E3907" s="210" t="s">
        <v>201</v>
      </c>
    </row>
    <row r="3908" spans="1:5" ht="27">
      <c r="A3908" s="258">
        <v>92906</v>
      </c>
      <c r="B3908" s="257" t="s">
        <v>3038</v>
      </c>
      <c r="C3908" s="257" t="s">
        <v>90</v>
      </c>
      <c r="D3908" s="259" t="s">
        <v>16825</v>
      </c>
      <c r="E3908" s="210" t="s">
        <v>201</v>
      </c>
    </row>
    <row r="3909" spans="1:5" ht="27">
      <c r="A3909" s="258">
        <v>92907</v>
      </c>
      <c r="B3909" s="257" t="s">
        <v>5709</v>
      </c>
      <c r="C3909" s="257" t="s">
        <v>90</v>
      </c>
      <c r="D3909" s="259" t="s">
        <v>16826</v>
      </c>
      <c r="E3909" s="210" t="s">
        <v>201</v>
      </c>
    </row>
    <row r="3910" spans="1:5" ht="27">
      <c r="A3910" s="258">
        <v>92908</v>
      </c>
      <c r="B3910" s="257" t="s">
        <v>5710</v>
      </c>
      <c r="C3910" s="257" t="s">
        <v>90</v>
      </c>
      <c r="D3910" s="259" t="s">
        <v>16826</v>
      </c>
      <c r="E3910" s="210" t="s">
        <v>201</v>
      </c>
    </row>
    <row r="3911" spans="1:5" ht="27">
      <c r="A3911" s="258">
        <v>92909</v>
      </c>
      <c r="B3911" s="257" t="s">
        <v>3039</v>
      </c>
      <c r="C3911" s="257" t="s">
        <v>90</v>
      </c>
      <c r="D3911" s="259" t="s">
        <v>16826</v>
      </c>
      <c r="E3911" s="210" t="s">
        <v>201</v>
      </c>
    </row>
    <row r="3912" spans="1:5" ht="27">
      <c r="A3912" s="258">
        <v>92910</v>
      </c>
      <c r="B3912" s="257" t="s">
        <v>5711</v>
      </c>
      <c r="C3912" s="257" t="s">
        <v>90</v>
      </c>
      <c r="D3912" s="259" t="s">
        <v>16827</v>
      </c>
      <c r="E3912" s="210" t="s">
        <v>201</v>
      </c>
    </row>
    <row r="3913" spans="1:5" ht="27">
      <c r="A3913" s="258">
        <v>92911</v>
      </c>
      <c r="B3913" s="257" t="s">
        <v>5712</v>
      </c>
      <c r="C3913" s="257" t="s">
        <v>90</v>
      </c>
      <c r="D3913" s="259" t="s">
        <v>16827</v>
      </c>
      <c r="E3913" s="210" t="s">
        <v>201</v>
      </c>
    </row>
    <row r="3914" spans="1:5" ht="27">
      <c r="A3914" s="258">
        <v>92912</v>
      </c>
      <c r="B3914" s="257" t="s">
        <v>5713</v>
      </c>
      <c r="C3914" s="257" t="s">
        <v>90</v>
      </c>
      <c r="D3914" s="259" t="s">
        <v>16828</v>
      </c>
      <c r="E3914" s="210" t="s">
        <v>201</v>
      </c>
    </row>
    <row r="3915" spans="1:5" ht="27">
      <c r="A3915" s="258">
        <v>92913</v>
      </c>
      <c r="B3915" s="257" t="s">
        <v>5714</v>
      </c>
      <c r="C3915" s="257" t="s">
        <v>90</v>
      </c>
      <c r="D3915" s="259" t="s">
        <v>16829</v>
      </c>
      <c r="E3915" s="210" t="s">
        <v>201</v>
      </c>
    </row>
    <row r="3916" spans="1:5" ht="27">
      <c r="A3916" s="258">
        <v>92914</v>
      </c>
      <c r="B3916" s="257" t="s">
        <v>3040</v>
      </c>
      <c r="C3916" s="257" t="s">
        <v>90</v>
      </c>
      <c r="D3916" s="259" t="s">
        <v>16829</v>
      </c>
      <c r="E3916" s="210" t="s">
        <v>201</v>
      </c>
    </row>
    <row r="3917" spans="1:5" ht="27">
      <c r="A3917" s="258">
        <v>92918</v>
      </c>
      <c r="B3917" s="257" t="s">
        <v>3041</v>
      </c>
      <c r="C3917" s="257" t="s">
        <v>90</v>
      </c>
      <c r="D3917" s="259" t="s">
        <v>16830</v>
      </c>
      <c r="E3917" s="210" t="s">
        <v>201</v>
      </c>
    </row>
    <row r="3918" spans="1:5" ht="27">
      <c r="A3918" s="258">
        <v>92920</v>
      </c>
      <c r="B3918" s="257" t="s">
        <v>3042</v>
      </c>
      <c r="C3918" s="257" t="s">
        <v>90</v>
      </c>
      <c r="D3918" s="259" t="s">
        <v>16831</v>
      </c>
      <c r="E3918" s="210" t="s">
        <v>201</v>
      </c>
    </row>
    <row r="3919" spans="1:5" ht="27">
      <c r="A3919" s="258">
        <v>92925</v>
      </c>
      <c r="B3919" s="257" t="s">
        <v>3043</v>
      </c>
      <c r="C3919" s="257" t="s">
        <v>90</v>
      </c>
      <c r="D3919" s="259" t="s">
        <v>16832</v>
      </c>
      <c r="E3919" s="210" t="s">
        <v>201</v>
      </c>
    </row>
    <row r="3920" spans="1:5" ht="27">
      <c r="A3920" s="258">
        <v>92926</v>
      </c>
      <c r="B3920" s="257" t="s">
        <v>3044</v>
      </c>
      <c r="C3920" s="257" t="s">
        <v>90</v>
      </c>
      <c r="D3920" s="259" t="s">
        <v>16833</v>
      </c>
      <c r="E3920" s="210" t="s">
        <v>201</v>
      </c>
    </row>
    <row r="3921" spans="1:5" ht="27">
      <c r="A3921" s="258">
        <v>92927</v>
      </c>
      <c r="B3921" s="257" t="s">
        <v>3045</v>
      </c>
      <c r="C3921" s="257" t="s">
        <v>90</v>
      </c>
      <c r="D3921" s="259" t="s">
        <v>16833</v>
      </c>
      <c r="E3921" s="210" t="s">
        <v>201</v>
      </c>
    </row>
    <row r="3922" spans="1:5" ht="27">
      <c r="A3922" s="258">
        <v>92928</v>
      </c>
      <c r="B3922" s="257" t="s">
        <v>5715</v>
      </c>
      <c r="C3922" s="257" t="s">
        <v>90</v>
      </c>
      <c r="D3922" s="259" t="s">
        <v>16834</v>
      </c>
      <c r="E3922" s="210" t="s">
        <v>201</v>
      </c>
    </row>
    <row r="3923" spans="1:5" ht="27">
      <c r="A3923" s="258">
        <v>92929</v>
      </c>
      <c r="B3923" s="257" t="s">
        <v>5716</v>
      </c>
      <c r="C3923" s="257" t="s">
        <v>90</v>
      </c>
      <c r="D3923" s="259" t="s">
        <v>16834</v>
      </c>
      <c r="E3923" s="210" t="s">
        <v>201</v>
      </c>
    </row>
    <row r="3924" spans="1:5" ht="27">
      <c r="A3924" s="258">
        <v>92930</v>
      </c>
      <c r="B3924" s="257" t="s">
        <v>5717</v>
      </c>
      <c r="C3924" s="257" t="s">
        <v>90</v>
      </c>
      <c r="D3924" s="259" t="s">
        <v>16834</v>
      </c>
      <c r="E3924" s="210" t="s">
        <v>201</v>
      </c>
    </row>
    <row r="3925" spans="1:5" ht="27">
      <c r="A3925" s="258">
        <v>92931</v>
      </c>
      <c r="B3925" s="257" t="s">
        <v>5718</v>
      </c>
      <c r="C3925" s="257" t="s">
        <v>90</v>
      </c>
      <c r="D3925" s="259" t="s">
        <v>16835</v>
      </c>
      <c r="E3925" s="210" t="s">
        <v>201</v>
      </c>
    </row>
    <row r="3926" spans="1:5" ht="27">
      <c r="A3926" s="258">
        <v>92932</v>
      </c>
      <c r="B3926" s="257" t="s">
        <v>5719</v>
      </c>
      <c r="C3926" s="257" t="s">
        <v>90</v>
      </c>
      <c r="D3926" s="259" t="s">
        <v>16835</v>
      </c>
      <c r="E3926" s="210" t="s">
        <v>201</v>
      </c>
    </row>
    <row r="3927" spans="1:5" ht="27">
      <c r="A3927" s="258">
        <v>92933</v>
      </c>
      <c r="B3927" s="257" t="s">
        <v>3046</v>
      </c>
      <c r="C3927" s="257" t="s">
        <v>90</v>
      </c>
      <c r="D3927" s="259" t="s">
        <v>16835</v>
      </c>
      <c r="E3927" s="210" t="s">
        <v>201</v>
      </c>
    </row>
    <row r="3928" spans="1:5" ht="27">
      <c r="A3928" s="258">
        <v>92934</v>
      </c>
      <c r="B3928" s="257" t="s">
        <v>5720</v>
      </c>
      <c r="C3928" s="257" t="s">
        <v>90</v>
      </c>
      <c r="D3928" s="259" t="s">
        <v>16836</v>
      </c>
      <c r="E3928" s="210" t="s">
        <v>201</v>
      </c>
    </row>
    <row r="3929" spans="1:5" ht="27">
      <c r="A3929" s="258">
        <v>92935</v>
      </c>
      <c r="B3929" s="257" t="s">
        <v>5721</v>
      </c>
      <c r="C3929" s="257" t="s">
        <v>90</v>
      </c>
      <c r="D3929" s="259" t="s">
        <v>16836</v>
      </c>
      <c r="E3929" s="210" t="s">
        <v>201</v>
      </c>
    </row>
    <row r="3930" spans="1:5" ht="27">
      <c r="A3930" s="258">
        <v>92936</v>
      </c>
      <c r="B3930" s="257" t="s">
        <v>5722</v>
      </c>
      <c r="C3930" s="257" t="s">
        <v>90</v>
      </c>
      <c r="D3930" s="259" t="s">
        <v>16837</v>
      </c>
      <c r="E3930" s="210" t="s">
        <v>201</v>
      </c>
    </row>
    <row r="3931" spans="1:5" ht="27">
      <c r="A3931" s="258">
        <v>92937</v>
      </c>
      <c r="B3931" s="257" t="s">
        <v>3047</v>
      </c>
      <c r="C3931" s="257" t="s">
        <v>90</v>
      </c>
      <c r="D3931" s="259" t="s">
        <v>16837</v>
      </c>
      <c r="E3931" s="210" t="s">
        <v>201</v>
      </c>
    </row>
    <row r="3932" spans="1:5" ht="27">
      <c r="A3932" s="258">
        <v>92938</v>
      </c>
      <c r="B3932" s="257" t="s">
        <v>3048</v>
      </c>
      <c r="C3932" s="257" t="s">
        <v>90</v>
      </c>
      <c r="D3932" s="259" t="s">
        <v>15615</v>
      </c>
      <c r="E3932" s="210" t="s">
        <v>201</v>
      </c>
    </row>
    <row r="3933" spans="1:5" ht="27">
      <c r="A3933" s="258">
        <v>92939</v>
      </c>
      <c r="B3933" s="257" t="s">
        <v>3049</v>
      </c>
      <c r="C3933" s="257" t="s">
        <v>90</v>
      </c>
      <c r="D3933" s="259" t="s">
        <v>16718</v>
      </c>
      <c r="E3933" s="210" t="s">
        <v>201</v>
      </c>
    </row>
    <row r="3934" spans="1:5" ht="27">
      <c r="A3934" s="258">
        <v>92940</v>
      </c>
      <c r="B3934" s="257" t="s">
        <v>5723</v>
      </c>
      <c r="C3934" s="257" t="s">
        <v>90</v>
      </c>
      <c r="D3934" s="259" t="s">
        <v>16838</v>
      </c>
      <c r="E3934" s="210" t="s">
        <v>201</v>
      </c>
    </row>
    <row r="3935" spans="1:5" ht="27">
      <c r="A3935" s="258">
        <v>92941</v>
      </c>
      <c r="B3935" s="257" t="s">
        <v>5724</v>
      </c>
      <c r="C3935" s="257" t="s">
        <v>90</v>
      </c>
      <c r="D3935" s="259" t="s">
        <v>16839</v>
      </c>
      <c r="E3935" s="210" t="s">
        <v>201</v>
      </c>
    </row>
    <row r="3936" spans="1:5" ht="27">
      <c r="A3936" s="258">
        <v>92942</v>
      </c>
      <c r="B3936" s="257" t="s">
        <v>5725</v>
      </c>
      <c r="C3936" s="257" t="s">
        <v>90</v>
      </c>
      <c r="D3936" s="259" t="s">
        <v>16839</v>
      </c>
      <c r="E3936" s="210" t="s">
        <v>201</v>
      </c>
    </row>
    <row r="3937" spans="1:5" ht="27">
      <c r="A3937" s="258">
        <v>92943</v>
      </c>
      <c r="B3937" s="257" t="s">
        <v>5726</v>
      </c>
      <c r="C3937" s="257" t="s">
        <v>90</v>
      </c>
      <c r="D3937" s="259" t="s">
        <v>16840</v>
      </c>
      <c r="E3937" s="210" t="s">
        <v>201</v>
      </c>
    </row>
    <row r="3938" spans="1:5" ht="27">
      <c r="A3938" s="258">
        <v>92944</v>
      </c>
      <c r="B3938" s="257" t="s">
        <v>5727</v>
      </c>
      <c r="C3938" s="257" t="s">
        <v>90</v>
      </c>
      <c r="D3938" s="259" t="s">
        <v>16840</v>
      </c>
      <c r="E3938" s="210" t="s">
        <v>201</v>
      </c>
    </row>
    <row r="3939" spans="1:5" ht="27">
      <c r="A3939" s="258">
        <v>92945</v>
      </c>
      <c r="B3939" s="257" t="s">
        <v>5728</v>
      </c>
      <c r="C3939" s="257" t="s">
        <v>90</v>
      </c>
      <c r="D3939" s="259" t="s">
        <v>16840</v>
      </c>
      <c r="E3939" s="210" t="s">
        <v>201</v>
      </c>
    </row>
    <row r="3940" spans="1:5" ht="27">
      <c r="A3940" s="258">
        <v>92946</v>
      </c>
      <c r="B3940" s="257" t="s">
        <v>5729</v>
      </c>
      <c r="C3940" s="257" t="s">
        <v>90</v>
      </c>
      <c r="D3940" s="259" t="s">
        <v>15947</v>
      </c>
      <c r="E3940" s="210" t="s">
        <v>201</v>
      </c>
    </row>
    <row r="3941" spans="1:5" ht="27">
      <c r="A3941" s="258">
        <v>92947</v>
      </c>
      <c r="B3941" s="257" t="s">
        <v>5730</v>
      </c>
      <c r="C3941" s="257" t="s">
        <v>90</v>
      </c>
      <c r="D3941" s="259" t="s">
        <v>15947</v>
      </c>
      <c r="E3941" s="210" t="s">
        <v>201</v>
      </c>
    </row>
    <row r="3942" spans="1:5" ht="27">
      <c r="A3942" s="258">
        <v>92948</v>
      </c>
      <c r="B3942" s="257" t="s">
        <v>3050</v>
      </c>
      <c r="C3942" s="257" t="s">
        <v>90</v>
      </c>
      <c r="D3942" s="259" t="s">
        <v>15947</v>
      </c>
      <c r="E3942" s="210" t="s">
        <v>201</v>
      </c>
    </row>
    <row r="3943" spans="1:5" ht="27">
      <c r="A3943" s="258">
        <v>92949</v>
      </c>
      <c r="B3943" s="257" t="s">
        <v>5731</v>
      </c>
      <c r="C3943" s="257" t="s">
        <v>90</v>
      </c>
      <c r="D3943" s="259" t="s">
        <v>15288</v>
      </c>
      <c r="E3943" s="210" t="s">
        <v>201</v>
      </c>
    </row>
    <row r="3944" spans="1:5" ht="27">
      <c r="A3944" s="258">
        <v>92950</v>
      </c>
      <c r="B3944" s="257" t="s">
        <v>3051</v>
      </c>
      <c r="C3944" s="257" t="s">
        <v>90</v>
      </c>
      <c r="D3944" s="259" t="s">
        <v>15288</v>
      </c>
      <c r="E3944" s="210" t="s">
        <v>201</v>
      </c>
    </row>
    <row r="3945" spans="1:5" ht="27">
      <c r="A3945" s="258">
        <v>92951</v>
      </c>
      <c r="B3945" s="257" t="s">
        <v>5732</v>
      </c>
      <c r="C3945" s="257" t="s">
        <v>90</v>
      </c>
      <c r="D3945" s="259" t="s">
        <v>16841</v>
      </c>
      <c r="E3945" s="210" t="s">
        <v>201</v>
      </c>
    </row>
    <row r="3946" spans="1:5" ht="27">
      <c r="A3946" s="258">
        <v>92952</v>
      </c>
      <c r="B3946" s="257" t="s">
        <v>3052</v>
      </c>
      <c r="C3946" s="257" t="s">
        <v>90</v>
      </c>
      <c r="D3946" s="259" t="s">
        <v>16841</v>
      </c>
      <c r="E3946" s="210" t="s">
        <v>201</v>
      </c>
    </row>
    <row r="3947" spans="1:5" ht="27">
      <c r="A3947" s="258">
        <v>92953</v>
      </c>
      <c r="B3947" s="257" t="s">
        <v>3053</v>
      </c>
      <c r="C3947" s="257" t="s">
        <v>90</v>
      </c>
      <c r="D3947" s="259" t="s">
        <v>16842</v>
      </c>
      <c r="E3947" s="210" t="s">
        <v>201</v>
      </c>
    </row>
    <row r="3948" spans="1:5" ht="27">
      <c r="A3948" s="258">
        <v>93050</v>
      </c>
      <c r="B3948" s="257" t="s">
        <v>5733</v>
      </c>
      <c r="C3948" s="257" t="s">
        <v>90</v>
      </c>
      <c r="D3948" s="259" t="s">
        <v>14391</v>
      </c>
      <c r="E3948" s="210" t="s">
        <v>201</v>
      </c>
    </row>
    <row r="3949" spans="1:5" ht="27">
      <c r="A3949" s="258">
        <v>93051</v>
      </c>
      <c r="B3949" s="257" t="s">
        <v>5734</v>
      </c>
      <c r="C3949" s="257" t="s">
        <v>90</v>
      </c>
      <c r="D3949" s="259" t="s">
        <v>15444</v>
      </c>
      <c r="E3949" s="210" t="s">
        <v>201</v>
      </c>
    </row>
    <row r="3950" spans="1:5" ht="27">
      <c r="A3950" s="258">
        <v>93052</v>
      </c>
      <c r="B3950" s="257" t="s">
        <v>5735</v>
      </c>
      <c r="C3950" s="257" t="s">
        <v>90</v>
      </c>
      <c r="D3950" s="259" t="s">
        <v>16843</v>
      </c>
      <c r="E3950" s="210" t="s">
        <v>201</v>
      </c>
    </row>
    <row r="3951" spans="1:5" ht="27">
      <c r="A3951" s="258">
        <v>93054</v>
      </c>
      <c r="B3951" s="257" t="s">
        <v>5736</v>
      </c>
      <c r="C3951" s="257" t="s">
        <v>90</v>
      </c>
      <c r="D3951" s="259" t="s">
        <v>16584</v>
      </c>
      <c r="E3951" s="210" t="s">
        <v>201</v>
      </c>
    </row>
    <row r="3952" spans="1:5" ht="27">
      <c r="A3952" s="258">
        <v>93055</v>
      </c>
      <c r="B3952" s="257" t="s">
        <v>5737</v>
      </c>
      <c r="C3952" s="257" t="s">
        <v>90</v>
      </c>
      <c r="D3952" s="259" t="s">
        <v>16844</v>
      </c>
      <c r="E3952" s="210" t="s">
        <v>201</v>
      </c>
    </row>
    <row r="3953" spans="1:5" ht="27">
      <c r="A3953" s="258">
        <v>93056</v>
      </c>
      <c r="B3953" s="257" t="s">
        <v>5738</v>
      </c>
      <c r="C3953" s="257" t="s">
        <v>90</v>
      </c>
      <c r="D3953" s="259" t="s">
        <v>16717</v>
      </c>
      <c r="E3953" s="210" t="s">
        <v>201</v>
      </c>
    </row>
    <row r="3954" spans="1:5" ht="27">
      <c r="A3954" s="258">
        <v>93057</v>
      </c>
      <c r="B3954" s="257" t="s">
        <v>5739</v>
      </c>
      <c r="C3954" s="257" t="s">
        <v>90</v>
      </c>
      <c r="D3954" s="259" t="s">
        <v>14956</v>
      </c>
      <c r="E3954" s="210" t="s">
        <v>201</v>
      </c>
    </row>
    <row r="3955" spans="1:5" ht="27">
      <c r="A3955" s="258">
        <v>93058</v>
      </c>
      <c r="B3955" s="257" t="s">
        <v>5740</v>
      </c>
      <c r="C3955" s="257" t="s">
        <v>90</v>
      </c>
      <c r="D3955" s="259" t="s">
        <v>16845</v>
      </c>
      <c r="E3955" s="210" t="s">
        <v>201</v>
      </c>
    </row>
    <row r="3956" spans="1:5" ht="27">
      <c r="A3956" s="258">
        <v>93059</v>
      </c>
      <c r="B3956" s="257" t="s">
        <v>5741</v>
      </c>
      <c r="C3956" s="257" t="s">
        <v>90</v>
      </c>
      <c r="D3956" s="259" t="s">
        <v>16846</v>
      </c>
      <c r="E3956" s="210" t="s">
        <v>201</v>
      </c>
    </row>
    <row r="3957" spans="1:5" ht="27">
      <c r="A3957" s="258">
        <v>93060</v>
      </c>
      <c r="B3957" s="257" t="s">
        <v>5742</v>
      </c>
      <c r="C3957" s="257" t="s">
        <v>90</v>
      </c>
      <c r="D3957" s="259" t="s">
        <v>16847</v>
      </c>
      <c r="E3957" s="210" t="s">
        <v>201</v>
      </c>
    </row>
    <row r="3958" spans="1:5" ht="27">
      <c r="A3958" s="258">
        <v>93061</v>
      </c>
      <c r="B3958" s="257" t="s">
        <v>5743</v>
      </c>
      <c r="C3958" s="257" t="s">
        <v>90</v>
      </c>
      <c r="D3958" s="259" t="s">
        <v>16651</v>
      </c>
      <c r="E3958" s="210" t="s">
        <v>201</v>
      </c>
    </row>
    <row r="3959" spans="1:5" ht="27">
      <c r="A3959" s="258">
        <v>93062</v>
      </c>
      <c r="B3959" s="257" t="s">
        <v>5744</v>
      </c>
      <c r="C3959" s="257" t="s">
        <v>90</v>
      </c>
      <c r="D3959" s="259" t="s">
        <v>16848</v>
      </c>
      <c r="E3959" s="210" t="s">
        <v>201</v>
      </c>
    </row>
    <row r="3960" spans="1:5" ht="27">
      <c r="A3960" s="258">
        <v>93063</v>
      </c>
      <c r="B3960" s="257" t="s">
        <v>5745</v>
      </c>
      <c r="C3960" s="257" t="s">
        <v>90</v>
      </c>
      <c r="D3960" s="259" t="s">
        <v>16849</v>
      </c>
      <c r="E3960" s="210" t="s">
        <v>201</v>
      </c>
    </row>
    <row r="3961" spans="1:5" ht="27">
      <c r="A3961" s="258">
        <v>93064</v>
      </c>
      <c r="B3961" s="257" t="s">
        <v>5746</v>
      </c>
      <c r="C3961" s="257" t="s">
        <v>90</v>
      </c>
      <c r="D3961" s="259" t="s">
        <v>16850</v>
      </c>
      <c r="E3961" s="210" t="s">
        <v>201</v>
      </c>
    </row>
    <row r="3962" spans="1:5" ht="27">
      <c r="A3962" s="258">
        <v>93065</v>
      </c>
      <c r="B3962" s="257" t="s">
        <v>5747</v>
      </c>
      <c r="C3962" s="257" t="s">
        <v>90</v>
      </c>
      <c r="D3962" s="259" t="s">
        <v>16851</v>
      </c>
      <c r="E3962" s="210" t="s">
        <v>201</v>
      </c>
    </row>
    <row r="3963" spans="1:5" ht="27">
      <c r="A3963" s="258">
        <v>93066</v>
      </c>
      <c r="B3963" s="257" t="s">
        <v>5748</v>
      </c>
      <c r="C3963" s="257" t="s">
        <v>90</v>
      </c>
      <c r="D3963" s="259" t="s">
        <v>16852</v>
      </c>
      <c r="E3963" s="210" t="s">
        <v>201</v>
      </c>
    </row>
    <row r="3964" spans="1:5" ht="27">
      <c r="A3964" s="258">
        <v>93067</v>
      </c>
      <c r="B3964" s="257" t="s">
        <v>5749</v>
      </c>
      <c r="C3964" s="257" t="s">
        <v>90</v>
      </c>
      <c r="D3964" s="259" t="s">
        <v>16853</v>
      </c>
      <c r="E3964" s="210" t="s">
        <v>201</v>
      </c>
    </row>
    <row r="3965" spans="1:5" ht="27">
      <c r="A3965" s="258">
        <v>93068</v>
      </c>
      <c r="B3965" s="257" t="s">
        <v>5750</v>
      </c>
      <c r="C3965" s="257" t="s">
        <v>90</v>
      </c>
      <c r="D3965" s="259" t="s">
        <v>16854</v>
      </c>
      <c r="E3965" s="210" t="s">
        <v>201</v>
      </c>
    </row>
    <row r="3966" spans="1:5" ht="27">
      <c r="A3966" s="258">
        <v>93069</v>
      </c>
      <c r="B3966" s="257" t="s">
        <v>5751</v>
      </c>
      <c r="C3966" s="257" t="s">
        <v>90</v>
      </c>
      <c r="D3966" s="259" t="s">
        <v>16855</v>
      </c>
      <c r="E3966" s="210" t="s">
        <v>201</v>
      </c>
    </row>
    <row r="3967" spans="1:5" ht="27">
      <c r="A3967" s="258">
        <v>93070</v>
      </c>
      <c r="B3967" s="257" t="s">
        <v>5752</v>
      </c>
      <c r="C3967" s="257" t="s">
        <v>90</v>
      </c>
      <c r="D3967" s="259" t="s">
        <v>16721</v>
      </c>
      <c r="E3967" s="210" t="s">
        <v>201</v>
      </c>
    </row>
    <row r="3968" spans="1:5" ht="27">
      <c r="A3968" s="258">
        <v>93071</v>
      </c>
      <c r="B3968" s="257" t="s">
        <v>5753</v>
      </c>
      <c r="C3968" s="257" t="s">
        <v>90</v>
      </c>
      <c r="D3968" s="259" t="s">
        <v>16724</v>
      </c>
      <c r="E3968" s="210" t="s">
        <v>201</v>
      </c>
    </row>
    <row r="3969" spans="1:5" ht="27">
      <c r="A3969" s="258">
        <v>93072</v>
      </c>
      <c r="B3969" s="257" t="s">
        <v>5754</v>
      </c>
      <c r="C3969" s="257" t="s">
        <v>90</v>
      </c>
      <c r="D3969" s="259" t="s">
        <v>16856</v>
      </c>
      <c r="E3969" s="210" t="s">
        <v>201</v>
      </c>
    </row>
    <row r="3970" spans="1:5" ht="27">
      <c r="A3970" s="258">
        <v>93073</v>
      </c>
      <c r="B3970" s="257" t="s">
        <v>5755</v>
      </c>
      <c r="C3970" s="257" t="s">
        <v>90</v>
      </c>
      <c r="D3970" s="259" t="s">
        <v>16857</v>
      </c>
      <c r="E3970" s="210" t="s">
        <v>201</v>
      </c>
    </row>
    <row r="3971" spans="1:5" ht="27">
      <c r="A3971" s="258">
        <v>93074</v>
      </c>
      <c r="B3971" s="257" t="s">
        <v>5756</v>
      </c>
      <c r="C3971" s="257" t="s">
        <v>90</v>
      </c>
      <c r="D3971" s="259" t="s">
        <v>16858</v>
      </c>
      <c r="E3971" s="210" t="s">
        <v>201</v>
      </c>
    </row>
    <row r="3972" spans="1:5" ht="27">
      <c r="A3972" s="258">
        <v>93075</v>
      </c>
      <c r="B3972" s="257" t="s">
        <v>5757</v>
      </c>
      <c r="C3972" s="257" t="s">
        <v>90</v>
      </c>
      <c r="D3972" s="259" t="s">
        <v>16859</v>
      </c>
      <c r="E3972" s="210" t="s">
        <v>201</v>
      </c>
    </row>
    <row r="3973" spans="1:5" ht="27">
      <c r="A3973" s="258">
        <v>93076</v>
      </c>
      <c r="B3973" s="257" t="s">
        <v>5758</v>
      </c>
      <c r="C3973" s="257" t="s">
        <v>90</v>
      </c>
      <c r="D3973" s="259" t="s">
        <v>16860</v>
      </c>
      <c r="E3973" s="210" t="s">
        <v>201</v>
      </c>
    </row>
    <row r="3974" spans="1:5" ht="27">
      <c r="A3974" s="258">
        <v>93077</v>
      </c>
      <c r="B3974" s="257" t="s">
        <v>5759</v>
      </c>
      <c r="C3974" s="257" t="s">
        <v>90</v>
      </c>
      <c r="D3974" s="259" t="s">
        <v>14097</v>
      </c>
      <c r="E3974" s="210" t="s">
        <v>201</v>
      </c>
    </row>
    <row r="3975" spans="1:5" ht="27">
      <c r="A3975" s="258">
        <v>93078</v>
      </c>
      <c r="B3975" s="257" t="s">
        <v>5760</v>
      </c>
      <c r="C3975" s="257" t="s">
        <v>90</v>
      </c>
      <c r="D3975" s="259" t="s">
        <v>15380</v>
      </c>
      <c r="E3975" s="210" t="s">
        <v>201</v>
      </c>
    </row>
    <row r="3976" spans="1:5" ht="27">
      <c r="A3976" s="258">
        <v>93079</v>
      </c>
      <c r="B3976" s="257" t="s">
        <v>5761</v>
      </c>
      <c r="C3976" s="257" t="s">
        <v>90</v>
      </c>
      <c r="D3976" s="259" t="s">
        <v>13908</v>
      </c>
      <c r="E3976" s="210" t="s">
        <v>201</v>
      </c>
    </row>
    <row r="3977" spans="1:5" ht="27">
      <c r="A3977" s="258">
        <v>93080</v>
      </c>
      <c r="B3977" s="257" t="s">
        <v>5762</v>
      </c>
      <c r="C3977" s="257" t="s">
        <v>90</v>
      </c>
      <c r="D3977" s="259" t="s">
        <v>16861</v>
      </c>
      <c r="E3977" s="210" t="s">
        <v>201</v>
      </c>
    </row>
    <row r="3978" spans="1:5" ht="27">
      <c r="A3978" s="258">
        <v>93081</v>
      </c>
      <c r="B3978" s="257" t="s">
        <v>5763</v>
      </c>
      <c r="C3978" s="257" t="s">
        <v>90</v>
      </c>
      <c r="D3978" s="259" t="s">
        <v>16450</v>
      </c>
      <c r="E3978" s="210" t="s">
        <v>201</v>
      </c>
    </row>
    <row r="3979" spans="1:5" ht="27">
      <c r="A3979" s="258">
        <v>93082</v>
      </c>
      <c r="B3979" s="257" t="s">
        <v>5764</v>
      </c>
      <c r="C3979" s="257" t="s">
        <v>90</v>
      </c>
      <c r="D3979" s="259" t="s">
        <v>14652</v>
      </c>
      <c r="E3979" s="210" t="s">
        <v>201</v>
      </c>
    </row>
    <row r="3980" spans="1:5" ht="27">
      <c r="A3980" s="258">
        <v>93083</v>
      </c>
      <c r="B3980" s="257" t="s">
        <v>5765</v>
      </c>
      <c r="C3980" s="257" t="s">
        <v>90</v>
      </c>
      <c r="D3980" s="259" t="s">
        <v>16862</v>
      </c>
      <c r="E3980" s="210" t="s">
        <v>201</v>
      </c>
    </row>
    <row r="3981" spans="1:5" ht="27">
      <c r="A3981" s="258">
        <v>93084</v>
      </c>
      <c r="B3981" s="257" t="s">
        <v>5766</v>
      </c>
      <c r="C3981" s="257" t="s">
        <v>90</v>
      </c>
      <c r="D3981" s="259" t="s">
        <v>16863</v>
      </c>
      <c r="E3981" s="210" t="s">
        <v>201</v>
      </c>
    </row>
    <row r="3982" spans="1:5" ht="27">
      <c r="A3982" s="258">
        <v>93085</v>
      </c>
      <c r="B3982" s="257" t="s">
        <v>5767</v>
      </c>
      <c r="C3982" s="257" t="s">
        <v>90</v>
      </c>
      <c r="D3982" s="259" t="s">
        <v>16864</v>
      </c>
      <c r="E3982" s="210" t="s">
        <v>201</v>
      </c>
    </row>
    <row r="3983" spans="1:5" ht="27">
      <c r="A3983" s="258">
        <v>93086</v>
      </c>
      <c r="B3983" s="257" t="s">
        <v>5768</v>
      </c>
      <c r="C3983" s="257" t="s">
        <v>90</v>
      </c>
      <c r="D3983" s="259" t="s">
        <v>16865</v>
      </c>
      <c r="E3983" s="210" t="s">
        <v>201</v>
      </c>
    </row>
    <row r="3984" spans="1:5" ht="27">
      <c r="A3984" s="258">
        <v>93087</v>
      </c>
      <c r="B3984" s="257" t="s">
        <v>5769</v>
      </c>
      <c r="C3984" s="257" t="s">
        <v>90</v>
      </c>
      <c r="D3984" s="259" t="s">
        <v>15457</v>
      </c>
      <c r="E3984" s="210" t="s">
        <v>201</v>
      </c>
    </row>
    <row r="3985" spans="1:5" ht="27">
      <c r="A3985" s="258">
        <v>93088</v>
      </c>
      <c r="B3985" s="257" t="s">
        <v>5770</v>
      </c>
      <c r="C3985" s="257" t="s">
        <v>90</v>
      </c>
      <c r="D3985" s="259" t="s">
        <v>16866</v>
      </c>
      <c r="E3985" s="210" t="s">
        <v>201</v>
      </c>
    </row>
    <row r="3986" spans="1:5" ht="27">
      <c r="A3986" s="258">
        <v>93089</v>
      </c>
      <c r="B3986" s="257" t="s">
        <v>5771</v>
      </c>
      <c r="C3986" s="257" t="s">
        <v>90</v>
      </c>
      <c r="D3986" s="259" t="s">
        <v>16867</v>
      </c>
      <c r="E3986" s="210" t="s">
        <v>201</v>
      </c>
    </row>
    <row r="3987" spans="1:5" ht="27">
      <c r="A3987" s="258">
        <v>93090</v>
      </c>
      <c r="B3987" s="257" t="s">
        <v>5772</v>
      </c>
      <c r="C3987" s="257" t="s">
        <v>90</v>
      </c>
      <c r="D3987" s="259" t="s">
        <v>16727</v>
      </c>
      <c r="E3987" s="210" t="s">
        <v>201</v>
      </c>
    </row>
    <row r="3988" spans="1:5" ht="27">
      <c r="A3988" s="258">
        <v>93091</v>
      </c>
      <c r="B3988" s="257" t="s">
        <v>5773</v>
      </c>
      <c r="C3988" s="257" t="s">
        <v>90</v>
      </c>
      <c r="D3988" s="259" t="s">
        <v>14343</v>
      </c>
      <c r="E3988" s="210" t="s">
        <v>201</v>
      </c>
    </row>
    <row r="3989" spans="1:5" ht="27">
      <c r="A3989" s="258">
        <v>93092</v>
      </c>
      <c r="B3989" s="257" t="s">
        <v>5774</v>
      </c>
      <c r="C3989" s="257" t="s">
        <v>90</v>
      </c>
      <c r="D3989" s="259" t="s">
        <v>16868</v>
      </c>
      <c r="E3989" s="210" t="s">
        <v>201</v>
      </c>
    </row>
    <row r="3990" spans="1:5" ht="27">
      <c r="A3990" s="258">
        <v>93093</v>
      </c>
      <c r="B3990" s="257" t="s">
        <v>5775</v>
      </c>
      <c r="C3990" s="257" t="s">
        <v>90</v>
      </c>
      <c r="D3990" s="259" t="s">
        <v>14088</v>
      </c>
      <c r="E3990" s="210" t="s">
        <v>201</v>
      </c>
    </row>
    <row r="3991" spans="1:5" ht="27">
      <c r="A3991" s="258">
        <v>93094</v>
      </c>
      <c r="B3991" s="257" t="s">
        <v>5776</v>
      </c>
      <c r="C3991" s="257" t="s">
        <v>90</v>
      </c>
      <c r="D3991" s="259" t="s">
        <v>16869</v>
      </c>
      <c r="E3991" s="210" t="s">
        <v>201</v>
      </c>
    </row>
    <row r="3992" spans="1:5" ht="27">
      <c r="A3992" s="258">
        <v>93095</v>
      </c>
      <c r="B3992" s="257" t="s">
        <v>5777</v>
      </c>
      <c r="C3992" s="257" t="s">
        <v>90</v>
      </c>
      <c r="D3992" s="259" t="s">
        <v>16870</v>
      </c>
      <c r="E3992" s="210" t="s">
        <v>201</v>
      </c>
    </row>
    <row r="3993" spans="1:5" ht="27">
      <c r="A3993" s="258">
        <v>93096</v>
      </c>
      <c r="B3993" s="257" t="s">
        <v>5778</v>
      </c>
      <c r="C3993" s="257" t="s">
        <v>90</v>
      </c>
      <c r="D3993" s="259" t="s">
        <v>16871</v>
      </c>
      <c r="E3993" s="210" t="s">
        <v>201</v>
      </c>
    </row>
    <row r="3994" spans="1:5" ht="27">
      <c r="A3994" s="258">
        <v>93097</v>
      </c>
      <c r="B3994" s="257" t="s">
        <v>5779</v>
      </c>
      <c r="C3994" s="257" t="s">
        <v>90</v>
      </c>
      <c r="D3994" s="259" t="s">
        <v>14479</v>
      </c>
      <c r="E3994" s="210" t="s">
        <v>201</v>
      </c>
    </row>
    <row r="3995" spans="1:5" ht="27">
      <c r="A3995" s="258">
        <v>93098</v>
      </c>
      <c r="B3995" s="257" t="s">
        <v>5780</v>
      </c>
      <c r="C3995" s="257" t="s">
        <v>90</v>
      </c>
      <c r="D3995" s="259" t="s">
        <v>13757</v>
      </c>
      <c r="E3995" s="210" t="s">
        <v>201</v>
      </c>
    </row>
    <row r="3996" spans="1:5" ht="27">
      <c r="A3996" s="258">
        <v>93099</v>
      </c>
      <c r="B3996" s="257" t="s">
        <v>5781</v>
      </c>
      <c r="C3996" s="257" t="s">
        <v>90</v>
      </c>
      <c r="D3996" s="259" t="s">
        <v>14173</v>
      </c>
      <c r="E3996" s="210" t="s">
        <v>201</v>
      </c>
    </row>
    <row r="3997" spans="1:5" ht="27">
      <c r="A3997" s="258">
        <v>93100</v>
      </c>
      <c r="B3997" s="257" t="s">
        <v>5782</v>
      </c>
      <c r="C3997" s="257" t="s">
        <v>90</v>
      </c>
      <c r="D3997" s="259" t="s">
        <v>16872</v>
      </c>
      <c r="E3997" s="210" t="s">
        <v>201</v>
      </c>
    </row>
    <row r="3998" spans="1:5" ht="27">
      <c r="A3998" s="258">
        <v>93101</v>
      </c>
      <c r="B3998" s="257" t="s">
        <v>5783</v>
      </c>
      <c r="C3998" s="257" t="s">
        <v>90</v>
      </c>
      <c r="D3998" s="259" t="s">
        <v>16873</v>
      </c>
      <c r="E3998" s="210" t="s">
        <v>201</v>
      </c>
    </row>
    <row r="3999" spans="1:5" ht="27">
      <c r="A3999" s="258">
        <v>93102</v>
      </c>
      <c r="B3999" s="257" t="s">
        <v>5784</v>
      </c>
      <c r="C3999" s="257" t="s">
        <v>90</v>
      </c>
      <c r="D3999" s="259" t="s">
        <v>16874</v>
      </c>
      <c r="E3999" s="210" t="s">
        <v>201</v>
      </c>
    </row>
    <row r="4000" spans="1:5" ht="27">
      <c r="A4000" s="258">
        <v>93103</v>
      </c>
      <c r="B4000" s="257" t="s">
        <v>5785</v>
      </c>
      <c r="C4000" s="257" t="s">
        <v>90</v>
      </c>
      <c r="D4000" s="259" t="s">
        <v>16875</v>
      </c>
      <c r="E4000" s="210" t="s">
        <v>201</v>
      </c>
    </row>
    <row r="4001" spans="1:5" ht="27">
      <c r="A4001" s="258">
        <v>93104</v>
      </c>
      <c r="B4001" s="257" t="s">
        <v>5786</v>
      </c>
      <c r="C4001" s="257" t="s">
        <v>90</v>
      </c>
      <c r="D4001" s="259" t="s">
        <v>16603</v>
      </c>
      <c r="E4001" s="210" t="s">
        <v>201</v>
      </c>
    </row>
    <row r="4002" spans="1:5" ht="27">
      <c r="A4002" s="258">
        <v>93105</v>
      </c>
      <c r="B4002" s="257" t="s">
        <v>5787</v>
      </c>
      <c r="C4002" s="257" t="s">
        <v>90</v>
      </c>
      <c r="D4002" s="259" t="s">
        <v>16876</v>
      </c>
      <c r="E4002" s="210" t="s">
        <v>201</v>
      </c>
    </row>
    <row r="4003" spans="1:5" ht="27">
      <c r="A4003" s="258">
        <v>93106</v>
      </c>
      <c r="B4003" s="257" t="s">
        <v>5788</v>
      </c>
      <c r="C4003" s="257" t="s">
        <v>90</v>
      </c>
      <c r="D4003" s="259" t="s">
        <v>16877</v>
      </c>
      <c r="E4003" s="210" t="s">
        <v>201</v>
      </c>
    </row>
    <row r="4004" spans="1:5" ht="27">
      <c r="A4004" s="258">
        <v>93107</v>
      </c>
      <c r="B4004" s="257" t="s">
        <v>5789</v>
      </c>
      <c r="C4004" s="257" t="s">
        <v>90</v>
      </c>
      <c r="D4004" s="259" t="s">
        <v>16878</v>
      </c>
      <c r="E4004" s="210" t="s">
        <v>201</v>
      </c>
    </row>
    <row r="4005" spans="1:5" ht="27">
      <c r="A4005" s="258">
        <v>93108</v>
      </c>
      <c r="B4005" s="257" t="s">
        <v>5790</v>
      </c>
      <c r="C4005" s="257" t="s">
        <v>90</v>
      </c>
      <c r="D4005" s="259" t="s">
        <v>16466</v>
      </c>
      <c r="E4005" s="210" t="s">
        <v>201</v>
      </c>
    </row>
    <row r="4006" spans="1:5" ht="27">
      <c r="A4006" s="258">
        <v>93109</v>
      </c>
      <c r="B4006" s="257" t="s">
        <v>5791</v>
      </c>
      <c r="C4006" s="257" t="s">
        <v>90</v>
      </c>
      <c r="D4006" s="259" t="s">
        <v>16879</v>
      </c>
      <c r="E4006" s="210" t="s">
        <v>201</v>
      </c>
    </row>
    <row r="4007" spans="1:5" ht="27">
      <c r="A4007" s="258">
        <v>93110</v>
      </c>
      <c r="B4007" s="257" t="s">
        <v>5792</v>
      </c>
      <c r="C4007" s="257" t="s">
        <v>90</v>
      </c>
      <c r="D4007" s="259" t="s">
        <v>15500</v>
      </c>
      <c r="E4007" s="210" t="s">
        <v>201</v>
      </c>
    </row>
    <row r="4008" spans="1:5" ht="27">
      <c r="A4008" s="258">
        <v>93111</v>
      </c>
      <c r="B4008" s="257" t="s">
        <v>5793</v>
      </c>
      <c r="C4008" s="257" t="s">
        <v>90</v>
      </c>
      <c r="D4008" s="259" t="s">
        <v>16329</v>
      </c>
      <c r="E4008" s="210" t="s">
        <v>201</v>
      </c>
    </row>
    <row r="4009" spans="1:5" ht="27">
      <c r="A4009" s="258">
        <v>93112</v>
      </c>
      <c r="B4009" s="257" t="s">
        <v>5794</v>
      </c>
      <c r="C4009" s="257" t="s">
        <v>90</v>
      </c>
      <c r="D4009" s="259" t="s">
        <v>16246</v>
      </c>
      <c r="E4009" s="210" t="s">
        <v>201</v>
      </c>
    </row>
    <row r="4010" spans="1:5" ht="27">
      <c r="A4010" s="258">
        <v>93113</v>
      </c>
      <c r="B4010" s="257" t="s">
        <v>5795</v>
      </c>
      <c r="C4010" s="257" t="s">
        <v>90</v>
      </c>
      <c r="D4010" s="259" t="s">
        <v>14100</v>
      </c>
      <c r="E4010" s="210" t="s">
        <v>201</v>
      </c>
    </row>
    <row r="4011" spans="1:5" ht="27">
      <c r="A4011" s="258">
        <v>93114</v>
      </c>
      <c r="B4011" s="257" t="s">
        <v>5796</v>
      </c>
      <c r="C4011" s="257" t="s">
        <v>90</v>
      </c>
      <c r="D4011" s="259" t="s">
        <v>16778</v>
      </c>
      <c r="E4011" s="210" t="s">
        <v>201</v>
      </c>
    </row>
    <row r="4012" spans="1:5" ht="27">
      <c r="A4012" s="258">
        <v>93115</v>
      </c>
      <c r="B4012" s="257" t="s">
        <v>5797</v>
      </c>
      <c r="C4012" s="257" t="s">
        <v>90</v>
      </c>
      <c r="D4012" s="259" t="s">
        <v>16880</v>
      </c>
      <c r="E4012" s="210" t="s">
        <v>201</v>
      </c>
    </row>
    <row r="4013" spans="1:5" ht="27">
      <c r="A4013" s="258">
        <v>93116</v>
      </c>
      <c r="B4013" s="257" t="s">
        <v>5798</v>
      </c>
      <c r="C4013" s="257" t="s">
        <v>90</v>
      </c>
      <c r="D4013" s="259" t="s">
        <v>16881</v>
      </c>
      <c r="E4013" s="210" t="s">
        <v>201</v>
      </c>
    </row>
    <row r="4014" spans="1:5" ht="27">
      <c r="A4014" s="258">
        <v>93117</v>
      </c>
      <c r="B4014" s="257" t="s">
        <v>5799</v>
      </c>
      <c r="C4014" s="257" t="s">
        <v>90</v>
      </c>
      <c r="D4014" s="259" t="s">
        <v>16882</v>
      </c>
      <c r="E4014" s="210" t="s">
        <v>201</v>
      </c>
    </row>
    <row r="4015" spans="1:5" ht="27">
      <c r="A4015" s="258">
        <v>93118</v>
      </c>
      <c r="B4015" s="257" t="s">
        <v>5800</v>
      </c>
      <c r="C4015" s="257" t="s">
        <v>90</v>
      </c>
      <c r="D4015" s="259" t="s">
        <v>16883</v>
      </c>
      <c r="E4015" s="210" t="s">
        <v>201</v>
      </c>
    </row>
    <row r="4016" spans="1:5" ht="27">
      <c r="A4016" s="258">
        <v>93119</v>
      </c>
      <c r="B4016" s="257" t="s">
        <v>5801</v>
      </c>
      <c r="C4016" s="257" t="s">
        <v>90</v>
      </c>
      <c r="D4016" s="259" t="s">
        <v>15788</v>
      </c>
      <c r="E4016" s="210" t="s">
        <v>201</v>
      </c>
    </row>
    <row r="4017" spans="1:5" ht="27">
      <c r="A4017" s="258">
        <v>93120</v>
      </c>
      <c r="B4017" s="257" t="s">
        <v>5802</v>
      </c>
      <c r="C4017" s="257" t="s">
        <v>90</v>
      </c>
      <c r="D4017" s="259" t="s">
        <v>16884</v>
      </c>
      <c r="E4017" s="210" t="s">
        <v>201</v>
      </c>
    </row>
    <row r="4018" spans="1:5" ht="27">
      <c r="A4018" s="258">
        <v>93121</v>
      </c>
      <c r="B4018" s="257" t="s">
        <v>5803</v>
      </c>
      <c r="C4018" s="257" t="s">
        <v>90</v>
      </c>
      <c r="D4018" s="259" t="s">
        <v>16885</v>
      </c>
      <c r="E4018" s="210" t="s">
        <v>201</v>
      </c>
    </row>
    <row r="4019" spans="1:5" ht="27">
      <c r="A4019" s="258">
        <v>93122</v>
      </c>
      <c r="B4019" s="257" t="s">
        <v>5804</v>
      </c>
      <c r="C4019" s="257" t="s">
        <v>90</v>
      </c>
      <c r="D4019" s="259" t="s">
        <v>16886</v>
      </c>
      <c r="E4019" s="210" t="s">
        <v>201</v>
      </c>
    </row>
    <row r="4020" spans="1:5" ht="27">
      <c r="A4020" s="258">
        <v>93123</v>
      </c>
      <c r="B4020" s="257" t="s">
        <v>5805</v>
      </c>
      <c r="C4020" s="257" t="s">
        <v>90</v>
      </c>
      <c r="D4020" s="259" t="s">
        <v>16887</v>
      </c>
      <c r="E4020" s="210" t="s">
        <v>201</v>
      </c>
    </row>
    <row r="4021" spans="1:5" ht="27">
      <c r="A4021" s="258">
        <v>93124</v>
      </c>
      <c r="B4021" s="257" t="s">
        <v>5806</v>
      </c>
      <c r="C4021" s="257" t="s">
        <v>90</v>
      </c>
      <c r="D4021" s="259" t="s">
        <v>16888</v>
      </c>
      <c r="E4021" s="210" t="s">
        <v>201</v>
      </c>
    </row>
    <row r="4022" spans="1:5" ht="27">
      <c r="A4022" s="258">
        <v>93125</v>
      </c>
      <c r="B4022" s="257" t="s">
        <v>5807</v>
      </c>
      <c r="C4022" s="257" t="s">
        <v>90</v>
      </c>
      <c r="D4022" s="259" t="s">
        <v>16889</v>
      </c>
      <c r="E4022" s="210" t="s">
        <v>201</v>
      </c>
    </row>
    <row r="4023" spans="1:5" ht="27">
      <c r="A4023" s="258">
        <v>93126</v>
      </c>
      <c r="B4023" s="257" t="s">
        <v>5808</v>
      </c>
      <c r="C4023" s="257" t="s">
        <v>90</v>
      </c>
      <c r="D4023" s="259" t="s">
        <v>16890</v>
      </c>
      <c r="E4023" s="210" t="s">
        <v>201</v>
      </c>
    </row>
    <row r="4024" spans="1:5" ht="27">
      <c r="A4024" s="258">
        <v>93133</v>
      </c>
      <c r="B4024" s="257" t="s">
        <v>5809</v>
      </c>
      <c r="C4024" s="257" t="s">
        <v>90</v>
      </c>
      <c r="D4024" s="259" t="s">
        <v>16891</v>
      </c>
      <c r="E4024" s="210" t="s">
        <v>201</v>
      </c>
    </row>
    <row r="4025" spans="1:5" ht="40.5">
      <c r="A4025" s="258">
        <v>94465</v>
      </c>
      <c r="B4025" s="257" t="s">
        <v>3054</v>
      </c>
      <c r="C4025" s="257" t="s">
        <v>90</v>
      </c>
      <c r="D4025" s="259" t="s">
        <v>16892</v>
      </c>
      <c r="E4025" s="210" t="s">
        <v>201</v>
      </c>
    </row>
    <row r="4026" spans="1:5" ht="40.5">
      <c r="A4026" s="258">
        <v>94466</v>
      </c>
      <c r="B4026" s="257" t="s">
        <v>3055</v>
      </c>
      <c r="C4026" s="257" t="s">
        <v>90</v>
      </c>
      <c r="D4026" s="259" t="s">
        <v>16893</v>
      </c>
      <c r="E4026" s="210" t="s">
        <v>201</v>
      </c>
    </row>
    <row r="4027" spans="1:5" ht="40.5">
      <c r="A4027" s="258">
        <v>94467</v>
      </c>
      <c r="B4027" s="257" t="s">
        <v>3056</v>
      </c>
      <c r="C4027" s="257" t="s">
        <v>90</v>
      </c>
      <c r="D4027" s="259" t="s">
        <v>16894</v>
      </c>
      <c r="E4027" s="210" t="s">
        <v>201</v>
      </c>
    </row>
    <row r="4028" spans="1:5" ht="40.5">
      <c r="A4028" s="258">
        <v>94468</v>
      </c>
      <c r="B4028" s="257" t="s">
        <v>3057</v>
      </c>
      <c r="C4028" s="257" t="s">
        <v>90</v>
      </c>
      <c r="D4028" s="259" t="s">
        <v>16895</v>
      </c>
      <c r="E4028" s="210" t="s">
        <v>201</v>
      </c>
    </row>
    <row r="4029" spans="1:5" ht="40.5">
      <c r="A4029" s="258">
        <v>94469</v>
      </c>
      <c r="B4029" s="257" t="s">
        <v>3058</v>
      </c>
      <c r="C4029" s="257" t="s">
        <v>90</v>
      </c>
      <c r="D4029" s="259" t="s">
        <v>16896</v>
      </c>
      <c r="E4029" s="210" t="s">
        <v>201</v>
      </c>
    </row>
    <row r="4030" spans="1:5" ht="40.5">
      <c r="A4030" s="258">
        <v>94470</v>
      </c>
      <c r="B4030" s="257" t="s">
        <v>3059</v>
      </c>
      <c r="C4030" s="257" t="s">
        <v>90</v>
      </c>
      <c r="D4030" s="259" t="s">
        <v>16897</v>
      </c>
      <c r="E4030" s="210" t="s">
        <v>201</v>
      </c>
    </row>
    <row r="4031" spans="1:5" ht="40.5">
      <c r="A4031" s="258">
        <v>94471</v>
      </c>
      <c r="B4031" s="257" t="s">
        <v>3060</v>
      </c>
      <c r="C4031" s="257" t="s">
        <v>90</v>
      </c>
      <c r="D4031" s="259" t="s">
        <v>16898</v>
      </c>
      <c r="E4031" s="210" t="s">
        <v>201</v>
      </c>
    </row>
    <row r="4032" spans="1:5" ht="40.5">
      <c r="A4032" s="258">
        <v>94472</v>
      </c>
      <c r="B4032" s="257" t="s">
        <v>3061</v>
      </c>
      <c r="C4032" s="257" t="s">
        <v>90</v>
      </c>
      <c r="D4032" s="259" t="s">
        <v>16899</v>
      </c>
      <c r="E4032" s="210" t="s">
        <v>201</v>
      </c>
    </row>
    <row r="4033" spans="1:5" ht="40.5">
      <c r="A4033" s="258">
        <v>94473</v>
      </c>
      <c r="B4033" s="257" t="s">
        <v>3062</v>
      </c>
      <c r="C4033" s="257" t="s">
        <v>90</v>
      </c>
      <c r="D4033" s="259" t="s">
        <v>16900</v>
      </c>
      <c r="E4033" s="210" t="s">
        <v>201</v>
      </c>
    </row>
    <row r="4034" spans="1:5" ht="40.5">
      <c r="A4034" s="258">
        <v>94474</v>
      </c>
      <c r="B4034" s="257" t="s">
        <v>3063</v>
      </c>
      <c r="C4034" s="257" t="s">
        <v>90</v>
      </c>
      <c r="D4034" s="259" t="s">
        <v>16901</v>
      </c>
      <c r="E4034" s="210" t="s">
        <v>201</v>
      </c>
    </row>
    <row r="4035" spans="1:5" ht="40.5">
      <c r="A4035" s="258">
        <v>94475</v>
      </c>
      <c r="B4035" s="257" t="s">
        <v>3064</v>
      </c>
      <c r="C4035" s="257" t="s">
        <v>90</v>
      </c>
      <c r="D4035" s="259" t="s">
        <v>16902</v>
      </c>
      <c r="E4035" s="210" t="s">
        <v>201</v>
      </c>
    </row>
    <row r="4036" spans="1:5" ht="40.5">
      <c r="A4036" s="258">
        <v>94476</v>
      </c>
      <c r="B4036" s="257" t="s">
        <v>3065</v>
      </c>
      <c r="C4036" s="257" t="s">
        <v>90</v>
      </c>
      <c r="D4036" s="259" t="s">
        <v>16903</v>
      </c>
      <c r="E4036" s="210" t="s">
        <v>201</v>
      </c>
    </row>
    <row r="4037" spans="1:5" ht="40.5">
      <c r="A4037" s="258">
        <v>94477</v>
      </c>
      <c r="B4037" s="257" t="s">
        <v>3066</v>
      </c>
      <c r="C4037" s="257" t="s">
        <v>90</v>
      </c>
      <c r="D4037" s="259" t="s">
        <v>14432</v>
      </c>
      <c r="E4037" s="210" t="s">
        <v>201</v>
      </c>
    </row>
    <row r="4038" spans="1:5" ht="40.5">
      <c r="A4038" s="258">
        <v>94478</v>
      </c>
      <c r="B4038" s="257" t="s">
        <v>3067</v>
      </c>
      <c r="C4038" s="257" t="s">
        <v>90</v>
      </c>
      <c r="D4038" s="259" t="s">
        <v>16904</v>
      </c>
      <c r="E4038" s="210" t="s">
        <v>201</v>
      </c>
    </row>
    <row r="4039" spans="1:5" ht="40.5">
      <c r="A4039" s="258">
        <v>94479</v>
      </c>
      <c r="B4039" s="257" t="s">
        <v>3068</v>
      </c>
      <c r="C4039" s="257" t="s">
        <v>90</v>
      </c>
      <c r="D4039" s="259" t="s">
        <v>16905</v>
      </c>
      <c r="E4039" s="210" t="s">
        <v>201</v>
      </c>
    </row>
    <row r="4040" spans="1:5" ht="27">
      <c r="A4040" s="258">
        <v>94606</v>
      </c>
      <c r="B4040" s="257" t="s">
        <v>5810</v>
      </c>
      <c r="C4040" s="257" t="s">
        <v>90</v>
      </c>
      <c r="D4040" s="259" t="s">
        <v>15338</v>
      </c>
      <c r="E4040" s="210" t="s">
        <v>201</v>
      </c>
    </row>
    <row r="4041" spans="1:5" ht="27">
      <c r="A4041" s="258">
        <v>94608</v>
      </c>
      <c r="B4041" s="257" t="s">
        <v>5811</v>
      </c>
      <c r="C4041" s="257" t="s">
        <v>90</v>
      </c>
      <c r="D4041" s="259" t="s">
        <v>16906</v>
      </c>
      <c r="E4041" s="210" t="s">
        <v>201</v>
      </c>
    </row>
    <row r="4042" spans="1:5" ht="27">
      <c r="A4042" s="258">
        <v>94610</v>
      </c>
      <c r="B4042" s="257" t="s">
        <v>5812</v>
      </c>
      <c r="C4042" s="257" t="s">
        <v>90</v>
      </c>
      <c r="D4042" s="259" t="s">
        <v>16907</v>
      </c>
      <c r="E4042" s="210" t="s">
        <v>201</v>
      </c>
    </row>
    <row r="4043" spans="1:5" ht="27">
      <c r="A4043" s="258">
        <v>94612</v>
      </c>
      <c r="B4043" s="257" t="s">
        <v>5813</v>
      </c>
      <c r="C4043" s="257" t="s">
        <v>90</v>
      </c>
      <c r="D4043" s="259" t="s">
        <v>16908</v>
      </c>
      <c r="E4043" s="210" t="s">
        <v>201</v>
      </c>
    </row>
    <row r="4044" spans="1:5" ht="40.5">
      <c r="A4044" s="258">
        <v>94614</v>
      </c>
      <c r="B4044" s="257" t="s">
        <v>5814</v>
      </c>
      <c r="C4044" s="257" t="s">
        <v>90</v>
      </c>
      <c r="D4044" s="259" t="s">
        <v>16909</v>
      </c>
      <c r="E4044" s="210" t="s">
        <v>201</v>
      </c>
    </row>
    <row r="4045" spans="1:5" ht="40.5">
      <c r="A4045" s="258">
        <v>94615</v>
      </c>
      <c r="B4045" s="257" t="s">
        <v>5815</v>
      </c>
      <c r="C4045" s="257" t="s">
        <v>90</v>
      </c>
      <c r="D4045" s="259" t="s">
        <v>16910</v>
      </c>
      <c r="E4045" s="210" t="s">
        <v>201</v>
      </c>
    </row>
    <row r="4046" spans="1:5" ht="40.5">
      <c r="A4046" s="258">
        <v>94616</v>
      </c>
      <c r="B4046" s="257" t="s">
        <v>5816</v>
      </c>
      <c r="C4046" s="257" t="s">
        <v>90</v>
      </c>
      <c r="D4046" s="259" t="s">
        <v>16911</v>
      </c>
      <c r="E4046" s="210" t="s">
        <v>201</v>
      </c>
    </row>
    <row r="4047" spans="1:5" ht="40.5">
      <c r="A4047" s="258">
        <v>94617</v>
      </c>
      <c r="B4047" s="257" t="s">
        <v>5817</v>
      </c>
      <c r="C4047" s="257" t="s">
        <v>90</v>
      </c>
      <c r="D4047" s="259" t="s">
        <v>16912</v>
      </c>
      <c r="E4047" s="210" t="s">
        <v>201</v>
      </c>
    </row>
    <row r="4048" spans="1:5" ht="40.5">
      <c r="A4048" s="258">
        <v>94618</v>
      </c>
      <c r="B4048" s="257" t="s">
        <v>5818</v>
      </c>
      <c r="C4048" s="257" t="s">
        <v>90</v>
      </c>
      <c r="D4048" s="259" t="s">
        <v>16913</v>
      </c>
      <c r="E4048" s="210" t="s">
        <v>201</v>
      </c>
    </row>
    <row r="4049" spans="1:5" ht="40.5">
      <c r="A4049" s="258">
        <v>94620</v>
      </c>
      <c r="B4049" s="257" t="s">
        <v>5819</v>
      </c>
      <c r="C4049" s="257" t="s">
        <v>90</v>
      </c>
      <c r="D4049" s="259" t="s">
        <v>16914</v>
      </c>
      <c r="E4049" s="210" t="s">
        <v>201</v>
      </c>
    </row>
    <row r="4050" spans="1:5" ht="27">
      <c r="A4050" s="258">
        <v>94622</v>
      </c>
      <c r="B4050" s="257" t="s">
        <v>5820</v>
      </c>
      <c r="C4050" s="257" t="s">
        <v>90</v>
      </c>
      <c r="D4050" s="259" t="s">
        <v>16915</v>
      </c>
      <c r="E4050" s="210" t="s">
        <v>201</v>
      </c>
    </row>
    <row r="4051" spans="1:5" ht="27">
      <c r="A4051" s="258">
        <v>94623</v>
      </c>
      <c r="B4051" s="257" t="s">
        <v>5821</v>
      </c>
      <c r="C4051" s="257" t="s">
        <v>90</v>
      </c>
      <c r="D4051" s="259" t="s">
        <v>16916</v>
      </c>
      <c r="E4051" s="210" t="s">
        <v>201</v>
      </c>
    </row>
    <row r="4052" spans="1:5" ht="27">
      <c r="A4052" s="258">
        <v>94624</v>
      </c>
      <c r="B4052" s="257" t="s">
        <v>5822</v>
      </c>
      <c r="C4052" s="257" t="s">
        <v>90</v>
      </c>
      <c r="D4052" s="259" t="s">
        <v>16917</v>
      </c>
      <c r="E4052" s="210" t="s">
        <v>201</v>
      </c>
    </row>
    <row r="4053" spans="1:5" ht="27">
      <c r="A4053" s="258">
        <v>94625</v>
      </c>
      <c r="B4053" s="257" t="s">
        <v>5823</v>
      </c>
      <c r="C4053" s="257" t="s">
        <v>90</v>
      </c>
      <c r="D4053" s="259" t="s">
        <v>16918</v>
      </c>
      <c r="E4053" s="210" t="s">
        <v>201</v>
      </c>
    </row>
    <row r="4054" spans="1:5" ht="40.5">
      <c r="A4054" s="258">
        <v>94656</v>
      </c>
      <c r="B4054" s="257" t="s">
        <v>3069</v>
      </c>
      <c r="C4054" s="257" t="s">
        <v>90</v>
      </c>
      <c r="D4054" s="259" t="s">
        <v>13540</v>
      </c>
      <c r="E4054" s="210" t="s">
        <v>201</v>
      </c>
    </row>
    <row r="4055" spans="1:5" ht="27">
      <c r="A4055" s="258">
        <v>94657</v>
      </c>
      <c r="B4055" s="257" t="s">
        <v>3070</v>
      </c>
      <c r="C4055" s="257" t="s">
        <v>90</v>
      </c>
      <c r="D4055" s="259" t="s">
        <v>16919</v>
      </c>
      <c r="E4055" s="210" t="s">
        <v>201</v>
      </c>
    </row>
    <row r="4056" spans="1:5" ht="40.5">
      <c r="A4056" s="258">
        <v>94658</v>
      </c>
      <c r="B4056" s="257" t="s">
        <v>3071</v>
      </c>
      <c r="C4056" s="257" t="s">
        <v>90</v>
      </c>
      <c r="D4056" s="259" t="s">
        <v>16920</v>
      </c>
      <c r="E4056" s="210" t="s">
        <v>201</v>
      </c>
    </row>
    <row r="4057" spans="1:5" ht="27">
      <c r="A4057" s="258">
        <v>94659</v>
      </c>
      <c r="B4057" s="257" t="s">
        <v>3072</v>
      </c>
      <c r="C4057" s="257" t="s">
        <v>90</v>
      </c>
      <c r="D4057" s="259" t="s">
        <v>16921</v>
      </c>
      <c r="E4057" s="210" t="s">
        <v>201</v>
      </c>
    </row>
    <row r="4058" spans="1:5" ht="40.5">
      <c r="A4058" s="258">
        <v>94660</v>
      </c>
      <c r="B4058" s="257" t="s">
        <v>3073</v>
      </c>
      <c r="C4058" s="257" t="s">
        <v>90</v>
      </c>
      <c r="D4058" s="259" t="s">
        <v>13544</v>
      </c>
      <c r="E4058" s="210" t="s">
        <v>201</v>
      </c>
    </row>
    <row r="4059" spans="1:5" ht="27">
      <c r="A4059" s="258">
        <v>94661</v>
      </c>
      <c r="B4059" s="257" t="s">
        <v>3074</v>
      </c>
      <c r="C4059" s="257" t="s">
        <v>90</v>
      </c>
      <c r="D4059" s="259" t="s">
        <v>16922</v>
      </c>
      <c r="E4059" s="210" t="s">
        <v>201</v>
      </c>
    </row>
    <row r="4060" spans="1:5" ht="40.5">
      <c r="A4060" s="258">
        <v>94662</v>
      </c>
      <c r="B4060" s="257" t="s">
        <v>3075</v>
      </c>
      <c r="C4060" s="257" t="s">
        <v>90</v>
      </c>
      <c r="D4060" s="259" t="s">
        <v>16923</v>
      </c>
      <c r="E4060" s="210" t="s">
        <v>201</v>
      </c>
    </row>
    <row r="4061" spans="1:5" ht="27">
      <c r="A4061" s="258">
        <v>94663</v>
      </c>
      <c r="B4061" s="257" t="s">
        <v>3076</v>
      </c>
      <c r="C4061" s="257" t="s">
        <v>90</v>
      </c>
      <c r="D4061" s="259" t="s">
        <v>16569</v>
      </c>
      <c r="E4061" s="210" t="s">
        <v>201</v>
      </c>
    </row>
    <row r="4062" spans="1:5" ht="40.5">
      <c r="A4062" s="258">
        <v>94664</v>
      </c>
      <c r="B4062" s="257" t="s">
        <v>3077</v>
      </c>
      <c r="C4062" s="257" t="s">
        <v>90</v>
      </c>
      <c r="D4062" s="259" t="s">
        <v>16924</v>
      </c>
      <c r="E4062" s="210" t="s">
        <v>201</v>
      </c>
    </row>
    <row r="4063" spans="1:5" ht="27">
      <c r="A4063" s="258">
        <v>94665</v>
      </c>
      <c r="B4063" s="257" t="s">
        <v>3078</v>
      </c>
      <c r="C4063" s="257" t="s">
        <v>90</v>
      </c>
      <c r="D4063" s="259" t="s">
        <v>16925</v>
      </c>
      <c r="E4063" s="210" t="s">
        <v>201</v>
      </c>
    </row>
    <row r="4064" spans="1:5" ht="40.5">
      <c r="A4064" s="258">
        <v>94666</v>
      </c>
      <c r="B4064" s="257" t="s">
        <v>3079</v>
      </c>
      <c r="C4064" s="257" t="s">
        <v>90</v>
      </c>
      <c r="D4064" s="259" t="s">
        <v>16926</v>
      </c>
      <c r="E4064" s="210" t="s">
        <v>201</v>
      </c>
    </row>
    <row r="4065" spans="1:5" ht="27">
      <c r="A4065" s="258">
        <v>94667</v>
      </c>
      <c r="B4065" s="257" t="s">
        <v>3080</v>
      </c>
      <c r="C4065" s="257" t="s">
        <v>90</v>
      </c>
      <c r="D4065" s="259" t="s">
        <v>16785</v>
      </c>
      <c r="E4065" s="210" t="s">
        <v>201</v>
      </c>
    </row>
    <row r="4066" spans="1:5" ht="40.5">
      <c r="A4066" s="258">
        <v>94668</v>
      </c>
      <c r="B4066" s="257" t="s">
        <v>3081</v>
      </c>
      <c r="C4066" s="257" t="s">
        <v>90</v>
      </c>
      <c r="D4066" s="259" t="s">
        <v>16927</v>
      </c>
      <c r="E4066" s="210" t="s">
        <v>201</v>
      </c>
    </row>
    <row r="4067" spans="1:5" ht="27">
      <c r="A4067" s="258">
        <v>94669</v>
      </c>
      <c r="B4067" s="257" t="s">
        <v>3082</v>
      </c>
      <c r="C4067" s="257" t="s">
        <v>90</v>
      </c>
      <c r="D4067" s="259" t="s">
        <v>16928</v>
      </c>
      <c r="E4067" s="210" t="s">
        <v>201</v>
      </c>
    </row>
    <row r="4068" spans="1:5" ht="40.5">
      <c r="A4068" s="258">
        <v>94670</v>
      </c>
      <c r="B4068" s="257" t="s">
        <v>3083</v>
      </c>
      <c r="C4068" s="257" t="s">
        <v>90</v>
      </c>
      <c r="D4068" s="259" t="s">
        <v>15368</v>
      </c>
      <c r="E4068" s="210" t="s">
        <v>201</v>
      </c>
    </row>
    <row r="4069" spans="1:5" ht="27">
      <c r="A4069" s="258">
        <v>94671</v>
      </c>
      <c r="B4069" s="257" t="s">
        <v>3084</v>
      </c>
      <c r="C4069" s="257" t="s">
        <v>90</v>
      </c>
      <c r="D4069" s="259" t="s">
        <v>16929</v>
      </c>
      <c r="E4069" s="210" t="s">
        <v>201</v>
      </c>
    </row>
    <row r="4070" spans="1:5" ht="40.5">
      <c r="A4070" s="258">
        <v>94672</v>
      </c>
      <c r="B4070" s="257" t="s">
        <v>3085</v>
      </c>
      <c r="C4070" s="257" t="s">
        <v>90</v>
      </c>
      <c r="D4070" s="259" t="s">
        <v>16378</v>
      </c>
      <c r="E4070" s="210" t="s">
        <v>201</v>
      </c>
    </row>
    <row r="4071" spans="1:5" ht="27">
      <c r="A4071" s="258">
        <v>94673</v>
      </c>
      <c r="B4071" s="257" t="s">
        <v>3086</v>
      </c>
      <c r="C4071" s="257" t="s">
        <v>90</v>
      </c>
      <c r="D4071" s="259" t="s">
        <v>13524</v>
      </c>
      <c r="E4071" s="210" t="s">
        <v>201</v>
      </c>
    </row>
    <row r="4072" spans="1:5" ht="27">
      <c r="A4072" s="258">
        <v>94674</v>
      </c>
      <c r="B4072" s="257" t="s">
        <v>3087</v>
      </c>
      <c r="C4072" s="257" t="s">
        <v>90</v>
      </c>
      <c r="D4072" s="259" t="s">
        <v>13888</v>
      </c>
      <c r="E4072" s="210" t="s">
        <v>201</v>
      </c>
    </row>
    <row r="4073" spans="1:5" ht="27">
      <c r="A4073" s="258">
        <v>94675</v>
      </c>
      <c r="B4073" s="257" t="s">
        <v>3088</v>
      </c>
      <c r="C4073" s="257" t="s">
        <v>90</v>
      </c>
      <c r="D4073" s="259" t="s">
        <v>16930</v>
      </c>
      <c r="E4073" s="210" t="s">
        <v>201</v>
      </c>
    </row>
    <row r="4074" spans="1:5" ht="27">
      <c r="A4074" s="258">
        <v>94676</v>
      </c>
      <c r="B4074" s="257" t="s">
        <v>3089</v>
      </c>
      <c r="C4074" s="257" t="s">
        <v>90</v>
      </c>
      <c r="D4074" s="259" t="s">
        <v>16931</v>
      </c>
      <c r="E4074" s="210" t="s">
        <v>201</v>
      </c>
    </row>
    <row r="4075" spans="1:5" ht="27">
      <c r="A4075" s="258">
        <v>94677</v>
      </c>
      <c r="B4075" s="257" t="s">
        <v>3090</v>
      </c>
      <c r="C4075" s="257" t="s">
        <v>90</v>
      </c>
      <c r="D4075" s="259" t="s">
        <v>16932</v>
      </c>
      <c r="E4075" s="210" t="s">
        <v>201</v>
      </c>
    </row>
    <row r="4076" spans="1:5" ht="27">
      <c r="A4076" s="258">
        <v>94678</v>
      </c>
      <c r="B4076" s="257" t="s">
        <v>3091</v>
      </c>
      <c r="C4076" s="257" t="s">
        <v>90</v>
      </c>
      <c r="D4076" s="259" t="s">
        <v>16255</v>
      </c>
      <c r="E4076" s="210" t="s">
        <v>201</v>
      </c>
    </row>
    <row r="4077" spans="1:5" ht="27">
      <c r="A4077" s="258">
        <v>94679</v>
      </c>
      <c r="B4077" s="257" t="s">
        <v>3092</v>
      </c>
      <c r="C4077" s="257" t="s">
        <v>90</v>
      </c>
      <c r="D4077" s="259" t="s">
        <v>16933</v>
      </c>
      <c r="E4077" s="210" t="s">
        <v>201</v>
      </c>
    </row>
    <row r="4078" spans="1:5" ht="27">
      <c r="A4078" s="258">
        <v>94680</v>
      </c>
      <c r="B4078" s="257" t="s">
        <v>3093</v>
      </c>
      <c r="C4078" s="257" t="s">
        <v>90</v>
      </c>
      <c r="D4078" s="259" t="s">
        <v>16934</v>
      </c>
      <c r="E4078" s="210" t="s">
        <v>201</v>
      </c>
    </row>
    <row r="4079" spans="1:5" ht="27">
      <c r="A4079" s="258">
        <v>94681</v>
      </c>
      <c r="B4079" s="257" t="s">
        <v>3094</v>
      </c>
      <c r="C4079" s="257" t="s">
        <v>90</v>
      </c>
      <c r="D4079" s="259" t="s">
        <v>16935</v>
      </c>
      <c r="E4079" s="210" t="s">
        <v>201</v>
      </c>
    </row>
    <row r="4080" spans="1:5" ht="27">
      <c r="A4080" s="258">
        <v>94682</v>
      </c>
      <c r="B4080" s="257" t="s">
        <v>3095</v>
      </c>
      <c r="C4080" s="257" t="s">
        <v>90</v>
      </c>
      <c r="D4080" s="259" t="s">
        <v>16936</v>
      </c>
      <c r="E4080" s="210" t="s">
        <v>201</v>
      </c>
    </row>
    <row r="4081" spans="1:5" ht="27">
      <c r="A4081" s="258">
        <v>94683</v>
      </c>
      <c r="B4081" s="257" t="s">
        <v>3096</v>
      </c>
      <c r="C4081" s="257" t="s">
        <v>90</v>
      </c>
      <c r="D4081" s="259" t="s">
        <v>16937</v>
      </c>
      <c r="E4081" s="210" t="s">
        <v>201</v>
      </c>
    </row>
    <row r="4082" spans="1:5" ht="27">
      <c r="A4082" s="257">
        <v>94684</v>
      </c>
      <c r="B4082" s="257" t="s">
        <v>3097</v>
      </c>
      <c r="C4082" s="257" t="s">
        <v>90</v>
      </c>
      <c r="D4082" s="259" t="s">
        <v>16938</v>
      </c>
      <c r="E4082" s="210" t="s">
        <v>201</v>
      </c>
    </row>
    <row r="4083" spans="1:5" ht="27">
      <c r="A4083" s="257">
        <v>94685</v>
      </c>
      <c r="B4083" s="257" t="s">
        <v>3098</v>
      </c>
      <c r="C4083" s="257" t="s">
        <v>90</v>
      </c>
      <c r="D4083" s="259" t="s">
        <v>16939</v>
      </c>
      <c r="E4083" s="210" t="s">
        <v>201</v>
      </c>
    </row>
    <row r="4084" spans="1:5" ht="27">
      <c r="A4084" s="257">
        <v>94686</v>
      </c>
      <c r="B4084" s="257" t="s">
        <v>3099</v>
      </c>
      <c r="C4084" s="257" t="s">
        <v>90</v>
      </c>
      <c r="D4084" s="259" t="s">
        <v>16940</v>
      </c>
      <c r="E4084" s="210" t="s">
        <v>201</v>
      </c>
    </row>
    <row r="4085" spans="1:5" ht="27">
      <c r="A4085" s="257">
        <v>94687</v>
      </c>
      <c r="B4085" s="257" t="s">
        <v>3100</v>
      </c>
      <c r="C4085" s="257" t="s">
        <v>90</v>
      </c>
      <c r="D4085" s="259" t="s">
        <v>16941</v>
      </c>
      <c r="E4085" s="210" t="s">
        <v>201</v>
      </c>
    </row>
    <row r="4086" spans="1:5" ht="27">
      <c r="A4086" s="257">
        <v>94688</v>
      </c>
      <c r="B4086" s="257" t="s">
        <v>3101</v>
      </c>
      <c r="C4086" s="257" t="s">
        <v>90</v>
      </c>
      <c r="D4086" s="259" t="s">
        <v>15446</v>
      </c>
      <c r="E4086" s="210" t="s">
        <v>201</v>
      </c>
    </row>
    <row r="4087" spans="1:5" ht="40.5">
      <c r="A4087" s="258">
        <v>94689</v>
      </c>
      <c r="B4087" s="257" t="s">
        <v>3102</v>
      </c>
      <c r="C4087" s="257" t="s">
        <v>90</v>
      </c>
      <c r="D4087" s="259" t="s">
        <v>16942</v>
      </c>
      <c r="E4087" s="210" t="s">
        <v>201</v>
      </c>
    </row>
    <row r="4088" spans="1:5" ht="27">
      <c r="A4088" s="258">
        <v>94690</v>
      </c>
      <c r="B4088" s="257" t="s">
        <v>3103</v>
      </c>
      <c r="C4088" s="257" t="s">
        <v>90</v>
      </c>
      <c r="D4088" s="259" t="s">
        <v>16930</v>
      </c>
      <c r="E4088" s="210" t="s">
        <v>201</v>
      </c>
    </row>
    <row r="4089" spans="1:5" ht="40.5">
      <c r="A4089" s="258">
        <v>94691</v>
      </c>
      <c r="B4089" s="257" t="s">
        <v>3104</v>
      </c>
      <c r="C4089" s="257" t="s">
        <v>90</v>
      </c>
      <c r="D4089" s="259" t="s">
        <v>16943</v>
      </c>
      <c r="E4089" s="210" t="s">
        <v>201</v>
      </c>
    </row>
    <row r="4090" spans="1:5" ht="27">
      <c r="A4090" s="258">
        <v>94692</v>
      </c>
      <c r="B4090" s="257" t="s">
        <v>3105</v>
      </c>
      <c r="C4090" s="257" t="s">
        <v>90</v>
      </c>
      <c r="D4090" s="259" t="s">
        <v>14281</v>
      </c>
      <c r="E4090" s="210" t="s">
        <v>201</v>
      </c>
    </row>
    <row r="4091" spans="1:5" ht="27">
      <c r="A4091" s="258">
        <v>94693</v>
      </c>
      <c r="B4091" s="257" t="s">
        <v>3106</v>
      </c>
      <c r="C4091" s="257" t="s">
        <v>90</v>
      </c>
      <c r="D4091" s="259" t="s">
        <v>15977</v>
      </c>
      <c r="E4091" s="210" t="s">
        <v>201</v>
      </c>
    </row>
    <row r="4092" spans="1:5" ht="27">
      <c r="A4092" s="258">
        <v>94694</v>
      </c>
      <c r="B4092" s="257" t="s">
        <v>3107</v>
      </c>
      <c r="C4092" s="257" t="s">
        <v>90</v>
      </c>
      <c r="D4092" s="259" t="s">
        <v>13923</v>
      </c>
      <c r="E4092" s="210" t="s">
        <v>201</v>
      </c>
    </row>
    <row r="4093" spans="1:5" ht="27">
      <c r="A4093" s="258">
        <v>94695</v>
      </c>
      <c r="B4093" s="257" t="s">
        <v>3108</v>
      </c>
      <c r="C4093" s="257" t="s">
        <v>90</v>
      </c>
      <c r="D4093" s="259" t="s">
        <v>14543</v>
      </c>
      <c r="E4093" s="210" t="s">
        <v>201</v>
      </c>
    </row>
    <row r="4094" spans="1:5" ht="27">
      <c r="A4094" s="258">
        <v>94696</v>
      </c>
      <c r="B4094" s="257" t="s">
        <v>3109</v>
      </c>
      <c r="C4094" s="257" t="s">
        <v>90</v>
      </c>
      <c r="D4094" s="259" t="s">
        <v>16944</v>
      </c>
      <c r="E4094" s="210" t="s">
        <v>201</v>
      </c>
    </row>
    <row r="4095" spans="1:5" ht="27">
      <c r="A4095" s="258">
        <v>94697</v>
      </c>
      <c r="B4095" s="257" t="s">
        <v>3110</v>
      </c>
      <c r="C4095" s="257" t="s">
        <v>90</v>
      </c>
      <c r="D4095" s="259" t="s">
        <v>16945</v>
      </c>
      <c r="E4095" s="210" t="s">
        <v>201</v>
      </c>
    </row>
    <row r="4096" spans="1:5" ht="27">
      <c r="A4096" s="258">
        <v>94698</v>
      </c>
      <c r="B4096" s="257" t="s">
        <v>3111</v>
      </c>
      <c r="C4096" s="257" t="s">
        <v>90</v>
      </c>
      <c r="D4096" s="259" t="s">
        <v>16946</v>
      </c>
      <c r="E4096" s="210" t="s">
        <v>201</v>
      </c>
    </row>
    <row r="4097" spans="1:5" ht="27">
      <c r="A4097" s="257">
        <v>94699</v>
      </c>
      <c r="B4097" s="257" t="s">
        <v>3112</v>
      </c>
      <c r="C4097" s="257" t="s">
        <v>90</v>
      </c>
      <c r="D4097" s="259" t="s">
        <v>16947</v>
      </c>
      <c r="E4097" s="210" t="s">
        <v>201</v>
      </c>
    </row>
    <row r="4098" spans="1:5" ht="27">
      <c r="A4098" s="258">
        <v>94700</v>
      </c>
      <c r="B4098" s="257" t="s">
        <v>3113</v>
      </c>
      <c r="C4098" s="257" t="s">
        <v>90</v>
      </c>
      <c r="D4098" s="259" t="s">
        <v>16948</v>
      </c>
      <c r="E4098" s="210" t="s">
        <v>201</v>
      </c>
    </row>
    <row r="4099" spans="1:5" ht="27">
      <c r="A4099" s="258">
        <v>94701</v>
      </c>
      <c r="B4099" s="257" t="s">
        <v>3114</v>
      </c>
      <c r="C4099" s="257" t="s">
        <v>90</v>
      </c>
      <c r="D4099" s="259" t="s">
        <v>16949</v>
      </c>
      <c r="E4099" s="210" t="s">
        <v>201</v>
      </c>
    </row>
    <row r="4100" spans="1:5" ht="40.5">
      <c r="A4100" s="258">
        <v>94702</v>
      </c>
      <c r="B4100" s="257" t="s">
        <v>3115</v>
      </c>
      <c r="C4100" s="257" t="s">
        <v>90</v>
      </c>
      <c r="D4100" s="259" t="s">
        <v>16950</v>
      </c>
      <c r="E4100" s="210" t="s">
        <v>201</v>
      </c>
    </row>
    <row r="4101" spans="1:5" ht="40.5">
      <c r="A4101" s="258">
        <v>94703</v>
      </c>
      <c r="B4101" s="257" t="s">
        <v>3116</v>
      </c>
      <c r="C4101" s="257" t="s">
        <v>90</v>
      </c>
      <c r="D4101" s="259" t="s">
        <v>16951</v>
      </c>
      <c r="E4101" s="210" t="s">
        <v>201</v>
      </c>
    </row>
    <row r="4102" spans="1:5" ht="40.5">
      <c r="A4102" s="258">
        <v>94704</v>
      </c>
      <c r="B4102" s="257" t="s">
        <v>3117</v>
      </c>
      <c r="C4102" s="257" t="s">
        <v>90</v>
      </c>
      <c r="D4102" s="259" t="s">
        <v>13683</v>
      </c>
      <c r="E4102" s="210" t="s">
        <v>201</v>
      </c>
    </row>
    <row r="4103" spans="1:5" ht="40.5">
      <c r="A4103" s="258">
        <v>94705</v>
      </c>
      <c r="B4103" s="257" t="s">
        <v>3118</v>
      </c>
      <c r="C4103" s="257" t="s">
        <v>90</v>
      </c>
      <c r="D4103" s="259" t="s">
        <v>16952</v>
      </c>
      <c r="E4103" s="210" t="s">
        <v>201</v>
      </c>
    </row>
    <row r="4104" spans="1:5" ht="40.5">
      <c r="A4104" s="258">
        <v>94706</v>
      </c>
      <c r="B4104" s="257" t="s">
        <v>3119</v>
      </c>
      <c r="C4104" s="257" t="s">
        <v>90</v>
      </c>
      <c r="D4104" s="259" t="s">
        <v>16953</v>
      </c>
      <c r="E4104" s="210" t="s">
        <v>201</v>
      </c>
    </row>
    <row r="4105" spans="1:5" ht="40.5">
      <c r="A4105" s="258">
        <v>94707</v>
      </c>
      <c r="B4105" s="257" t="s">
        <v>3120</v>
      </c>
      <c r="C4105" s="257" t="s">
        <v>90</v>
      </c>
      <c r="D4105" s="259" t="s">
        <v>16954</v>
      </c>
      <c r="E4105" s="210" t="s">
        <v>201</v>
      </c>
    </row>
    <row r="4106" spans="1:5" ht="40.5">
      <c r="A4106" s="258">
        <v>94708</v>
      </c>
      <c r="B4106" s="257" t="s">
        <v>3121</v>
      </c>
      <c r="C4106" s="257" t="s">
        <v>90</v>
      </c>
      <c r="D4106" s="259" t="s">
        <v>16955</v>
      </c>
      <c r="E4106" s="210" t="s">
        <v>201</v>
      </c>
    </row>
    <row r="4107" spans="1:5" ht="40.5">
      <c r="A4107" s="258">
        <v>94709</v>
      </c>
      <c r="B4107" s="257" t="s">
        <v>3122</v>
      </c>
      <c r="C4107" s="257" t="s">
        <v>90</v>
      </c>
      <c r="D4107" s="259" t="s">
        <v>16956</v>
      </c>
      <c r="E4107" s="210" t="s">
        <v>201</v>
      </c>
    </row>
    <row r="4108" spans="1:5" ht="40.5">
      <c r="A4108" s="258">
        <v>94710</v>
      </c>
      <c r="B4108" s="257" t="s">
        <v>3123</v>
      </c>
      <c r="C4108" s="257" t="s">
        <v>90</v>
      </c>
      <c r="D4108" s="259" t="s">
        <v>15983</v>
      </c>
      <c r="E4108" s="210" t="s">
        <v>201</v>
      </c>
    </row>
    <row r="4109" spans="1:5" ht="40.5">
      <c r="A4109" s="258">
        <v>94711</v>
      </c>
      <c r="B4109" s="257" t="s">
        <v>3124</v>
      </c>
      <c r="C4109" s="257" t="s">
        <v>90</v>
      </c>
      <c r="D4109" s="259" t="s">
        <v>14047</v>
      </c>
      <c r="E4109" s="210" t="s">
        <v>201</v>
      </c>
    </row>
    <row r="4110" spans="1:5" ht="40.5">
      <c r="A4110" s="258">
        <v>94712</v>
      </c>
      <c r="B4110" s="257" t="s">
        <v>3125</v>
      </c>
      <c r="C4110" s="257" t="s">
        <v>90</v>
      </c>
      <c r="D4110" s="259" t="s">
        <v>16957</v>
      </c>
      <c r="E4110" s="210" t="s">
        <v>201</v>
      </c>
    </row>
    <row r="4111" spans="1:5" ht="40.5">
      <c r="A4111" s="258">
        <v>94713</v>
      </c>
      <c r="B4111" s="257" t="s">
        <v>3126</v>
      </c>
      <c r="C4111" s="257" t="s">
        <v>90</v>
      </c>
      <c r="D4111" s="259" t="s">
        <v>16958</v>
      </c>
      <c r="E4111" s="210" t="s">
        <v>201</v>
      </c>
    </row>
    <row r="4112" spans="1:5" ht="40.5">
      <c r="A4112" s="258">
        <v>94714</v>
      </c>
      <c r="B4112" s="257" t="s">
        <v>3127</v>
      </c>
      <c r="C4112" s="257" t="s">
        <v>90</v>
      </c>
      <c r="D4112" s="259" t="s">
        <v>16959</v>
      </c>
      <c r="E4112" s="210" t="s">
        <v>201</v>
      </c>
    </row>
    <row r="4113" spans="1:5" ht="40.5">
      <c r="A4113" s="258">
        <v>94715</v>
      </c>
      <c r="B4113" s="257" t="s">
        <v>3128</v>
      </c>
      <c r="C4113" s="257" t="s">
        <v>90</v>
      </c>
      <c r="D4113" s="259" t="s">
        <v>16960</v>
      </c>
      <c r="E4113" s="210" t="s">
        <v>201</v>
      </c>
    </row>
    <row r="4114" spans="1:5" ht="27">
      <c r="A4114" s="258">
        <v>94724</v>
      </c>
      <c r="B4114" s="257" t="s">
        <v>3129</v>
      </c>
      <c r="C4114" s="257" t="s">
        <v>90</v>
      </c>
      <c r="D4114" s="259" t="s">
        <v>16961</v>
      </c>
      <c r="E4114" s="210" t="s">
        <v>201</v>
      </c>
    </row>
    <row r="4115" spans="1:5" ht="27">
      <c r="A4115" s="258">
        <v>94725</v>
      </c>
      <c r="B4115" s="257" t="s">
        <v>3130</v>
      </c>
      <c r="C4115" s="257" t="s">
        <v>90</v>
      </c>
      <c r="D4115" s="259" t="s">
        <v>16962</v>
      </c>
      <c r="E4115" s="210" t="s">
        <v>201</v>
      </c>
    </row>
    <row r="4116" spans="1:5" ht="27">
      <c r="A4116" s="258">
        <v>94726</v>
      </c>
      <c r="B4116" s="257" t="s">
        <v>3131</v>
      </c>
      <c r="C4116" s="257" t="s">
        <v>90</v>
      </c>
      <c r="D4116" s="259" t="s">
        <v>15376</v>
      </c>
      <c r="E4116" s="210" t="s">
        <v>201</v>
      </c>
    </row>
    <row r="4117" spans="1:5" ht="27">
      <c r="A4117" s="258">
        <v>94727</v>
      </c>
      <c r="B4117" s="257" t="s">
        <v>3132</v>
      </c>
      <c r="C4117" s="257" t="s">
        <v>90</v>
      </c>
      <c r="D4117" s="259" t="s">
        <v>16482</v>
      </c>
      <c r="E4117" s="210" t="s">
        <v>201</v>
      </c>
    </row>
    <row r="4118" spans="1:5" ht="27">
      <c r="A4118" s="258">
        <v>94728</v>
      </c>
      <c r="B4118" s="257" t="s">
        <v>3133</v>
      </c>
      <c r="C4118" s="257" t="s">
        <v>90</v>
      </c>
      <c r="D4118" s="259" t="s">
        <v>16963</v>
      </c>
      <c r="E4118" s="210" t="s">
        <v>201</v>
      </c>
    </row>
    <row r="4119" spans="1:5" ht="27">
      <c r="A4119" s="258">
        <v>94729</v>
      </c>
      <c r="B4119" s="257" t="s">
        <v>3134</v>
      </c>
      <c r="C4119" s="257" t="s">
        <v>90</v>
      </c>
      <c r="D4119" s="259" t="s">
        <v>16580</v>
      </c>
      <c r="E4119" s="210" t="s">
        <v>201</v>
      </c>
    </row>
    <row r="4120" spans="1:5" ht="27">
      <c r="A4120" s="258">
        <v>94730</v>
      </c>
      <c r="B4120" s="257" t="s">
        <v>3135</v>
      </c>
      <c r="C4120" s="257" t="s">
        <v>90</v>
      </c>
      <c r="D4120" s="259" t="s">
        <v>16964</v>
      </c>
      <c r="E4120" s="210" t="s">
        <v>201</v>
      </c>
    </row>
    <row r="4121" spans="1:5" ht="27">
      <c r="A4121" s="258">
        <v>94731</v>
      </c>
      <c r="B4121" s="257" t="s">
        <v>3136</v>
      </c>
      <c r="C4121" s="257" t="s">
        <v>90</v>
      </c>
      <c r="D4121" s="259" t="s">
        <v>16965</v>
      </c>
      <c r="E4121" s="210" t="s">
        <v>201</v>
      </c>
    </row>
    <row r="4122" spans="1:5" ht="27">
      <c r="A4122" s="258">
        <v>94733</v>
      </c>
      <c r="B4122" s="257" t="s">
        <v>3137</v>
      </c>
      <c r="C4122" s="257" t="s">
        <v>90</v>
      </c>
      <c r="D4122" s="259" t="s">
        <v>16966</v>
      </c>
      <c r="E4122" s="210" t="s">
        <v>201</v>
      </c>
    </row>
    <row r="4123" spans="1:5" ht="27">
      <c r="A4123" s="258">
        <v>94737</v>
      </c>
      <c r="B4123" s="257" t="s">
        <v>3138</v>
      </c>
      <c r="C4123" s="257" t="s">
        <v>90</v>
      </c>
      <c r="D4123" s="259" t="s">
        <v>16967</v>
      </c>
      <c r="E4123" s="210" t="s">
        <v>201</v>
      </c>
    </row>
    <row r="4124" spans="1:5" ht="27">
      <c r="A4124" s="258">
        <v>94740</v>
      </c>
      <c r="B4124" s="257" t="s">
        <v>3139</v>
      </c>
      <c r="C4124" s="257" t="s">
        <v>90</v>
      </c>
      <c r="D4124" s="259" t="s">
        <v>15222</v>
      </c>
      <c r="E4124" s="210" t="s">
        <v>201</v>
      </c>
    </row>
    <row r="4125" spans="1:5" ht="27">
      <c r="A4125" s="258">
        <v>94741</v>
      </c>
      <c r="B4125" s="257" t="s">
        <v>3140</v>
      </c>
      <c r="C4125" s="257" t="s">
        <v>90</v>
      </c>
      <c r="D4125" s="259" t="s">
        <v>15490</v>
      </c>
      <c r="E4125" s="210" t="s">
        <v>201</v>
      </c>
    </row>
    <row r="4126" spans="1:5" ht="27">
      <c r="A4126" s="258">
        <v>94742</v>
      </c>
      <c r="B4126" s="257" t="s">
        <v>3141</v>
      </c>
      <c r="C4126" s="257" t="s">
        <v>90</v>
      </c>
      <c r="D4126" s="259" t="s">
        <v>16968</v>
      </c>
      <c r="E4126" s="210" t="s">
        <v>201</v>
      </c>
    </row>
    <row r="4127" spans="1:5" ht="27">
      <c r="A4127" s="258">
        <v>94743</v>
      </c>
      <c r="B4127" s="257" t="s">
        <v>3142</v>
      </c>
      <c r="C4127" s="257" t="s">
        <v>90</v>
      </c>
      <c r="D4127" s="259" t="s">
        <v>13545</v>
      </c>
      <c r="E4127" s="210" t="s">
        <v>201</v>
      </c>
    </row>
    <row r="4128" spans="1:5" ht="27">
      <c r="A4128" s="258">
        <v>94744</v>
      </c>
      <c r="B4128" s="257" t="s">
        <v>3143</v>
      </c>
      <c r="C4128" s="257" t="s">
        <v>90</v>
      </c>
      <c r="D4128" s="259" t="s">
        <v>16969</v>
      </c>
      <c r="E4128" s="210" t="s">
        <v>201</v>
      </c>
    </row>
    <row r="4129" spans="1:5" ht="27">
      <c r="A4129" s="258">
        <v>94746</v>
      </c>
      <c r="B4129" s="257" t="s">
        <v>3144</v>
      </c>
      <c r="C4129" s="257" t="s">
        <v>90</v>
      </c>
      <c r="D4129" s="259" t="s">
        <v>13971</v>
      </c>
      <c r="E4129" s="210" t="s">
        <v>201</v>
      </c>
    </row>
    <row r="4130" spans="1:5" ht="27">
      <c r="A4130" s="258">
        <v>94748</v>
      </c>
      <c r="B4130" s="257" t="s">
        <v>3145</v>
      </c>
      <c r="C4130" s="257" t="s">
        <v>90</v>
      </c>
      <c r="D4130" s="259" t="s">
        <v>16970</v>
      </c>
      <c r="E4130" s="210" t="s">
        <v>201</v>
      </c>
    </row>
    <row r="4131" spans="1:5" ht="27">
      <c r="A4131" s="258">
        <v>94750</v>
      </c>
      <c r="B4131" s="257" t="s">
        <v>3146</v>
      </c>
      <c r="C4131" s="257" t="s">
        <v>90</v>
      </c>
      <c r="D4131" s="259" t="s">
        <v>16971</v>
      </c>
      <c r="E4131" s="210" t="s">
        <v>201</v>
      </c>
    </row>
    <row r="4132" spans="1:5" ht="27">
      <c r="A4132" s="258">
        <v>94752</v>
      </c>
      <c r="B4132" s="257" t="s">
        <v>3147</v>
      </c>
      <c r="C4132" s="257" t="s">
        <v>90</v>
      </c>
      <c r="D4132" s="259" t="s">
        <v>16972</v>
      </c>
      <c r="E4132" s="210" t="s">
        <v>201</v>
      </c>
    </row>
    <row r="4133" spans="1:5" ht="27">
      <c r="A4133" s="258">
        <v>94756</v>
      </c>
      <c r="B4133" s="257" t="s">
        <v>3148</v>
      </c>
      <c r="C4133" s="257" t="s">
        <v>90</v>
      </c>
      <c r="D4133" s="259" t="s">
        <v>14479</v>
      </c>
      <c r="E4133" s="210" t="s">
        <v>201</v>
      </c>
    </row>
    <row r="4134" spans="1:5" ht="27">
      <c r="A4134" s="258">
        <v>94757</v>
      </c>
      <c r="B4134" s="257" t="s">
        <v>3149</v>
      </c>
      <c r="C4134" s="257" t="s">
        <v>90</v>
      </c>
      <c r="D4134" s="259" t="s">
        <v>13546</v>
      </c>
      <c r="E4134" s="210" t="s">
        <v>201</v>
      </c>
    </row>
    <row r="4135" spans="1:5" ht="27">
      <c r="A4135" s="258">
        <v>94758</v>
      </c>
      <c r="B4135" s="257" t="s">
        <v>3150</v>
      </c>
      <c r="C4135" s="257" t="s">
        <v>90</v>
      </c>
      <c r="D4135" s="259" t="s">
        <v>16973</v>
      </c>
      <c r="E4135" s="210" t="s">
        <v>201</v>
      </c>
    </row>
    <row r="4136" spans="1:5" ht="27">
      <c r="A4136" s="258">
        <v>94759</v>
      </c>
      <c r="B4136" s="257" t="s">
        <v>3151</v>
      </c>
      <c r="C4136" s="257" t="s">
        <v>90</v>
      </c>
      <c r="D4136" s="259" t="s">
        <v>16250</v>
      </c>
      <c r="E4136" s="210" t="s">
        <v>201</v>
      </c>
    </row>
    <row r="4137" spans="1:5" ht="27">
      <c r="A4137" s="258">
        <v>94760</v>
      </c>
      <c r="B4137" s="257" t="s">
        <v>3152</v>
      </c>
      <c r="C4137" s="257" t="s">
        <v>90</v>
      </c>
      <c r="D4137" s="259" t="s">
        <v>16974</v>
      </c>
      <c r="E4137" s="210" t="s">
        <v>201</v>
      </c>
    </row>
    <row r="4138" spans="1:5" ht="27">
      <c r="A4138" s="258">
        <v>94761</v>
      </c>
      <c r="B4138" s="257" t="s">
        <v>3153</v>
      </c>
      <c r="C4138" s="257" t="s">
        <v>90</v>
      </c>
      <c r="D4138" s="259" t="s">
        <v>16693</v>
      </c>
      <c r="E4138" s="210" t="s">
        <v>201</v>
      </c>
    </row>
    <row r="4139" spans="1:5" ht="27">
      <c r="A4139" s="258">
        <v>94762</v>
      </c>
      <c r="B4139" s="257" t="s">
        <v>3154</v>
      </c>
      <c r="C4139" s="257" t="s">
        <v>90</v>
      </c>
      <c r="D4139" s="259" t="s">
        <v>16975</v>
      </c>
      <c r="E4139" s="210" t="s">
        <v>201</v>
      </c>
    </row>
    <row r="4140" spans="1:5" ht="40.5">
      <c r="A4140" s="258">
        <v>94783</v>
      </c>
      <c r="B4140" s="257" t="s">
        <v>3155</v>
      </c>
      <c r="C4140" s="257" t="s">
        <v>90</v>
      </c>
      <c r="D4140" s="259" t="s">
        <v>16631</v>
      </c>
      <c r="E4140" s="210" t="s">
        <v>201</v>
      </c>
    </row>
    <row r="4141" spans="1:5" ht="40.5">
      <c r="A4141" s="258">
        <v>94785</v>
      </c>
      <c r="B4141" s="257" t="s">
        <v>3156</v>
      </c>
      <c r="C4141" s="257" t="s">
        <v>90</v>
      </c>
      <c r="D4141" s="259" t="s">
        <v>13552</v>
      </c>
      <c r="E4141" s="210" t="s">
        <v>201</v>
      </c>
    </row>
    <row r="4142" spans="1:5" ht="40.5">
      <c r="A4142" s="258">
        <v>94786</v>
      </c>
      <c r="B4142" s="257" t="s">
        <v>3157</v>
      </c>
      <c r="C4142" s="257" t="s">
        <v>90</v>
      </c>
      <c r="D4142" s="259" t="s">
        <v>16788</v>
      </c>
      <c r="E4142" s="210" t="s">
        <v>201</v>
      </c>
    </row>
    <row r="4143" spans="1:5" ht="40.5">
      <c r="A4143" s="258">
        <v>94787</v>
      </c>
      <c r="B4143" s="257" t="s">
        <v>3158</v>
      </c>
      <c r="C4143" s="257" t="s">
        <v>90</v>
      </c>
      <c r="D4143" s="259" t="s">
        <v>16976</v>
      </c>
      <c r="E4143" s="210" t="s">
        <v>201</v>
      </c>
    </row>
    <row r="4144" spans="1:5" ht="40.5">
      <c r="A4144" s="258">
        <v>94788</v>
      </c>
      <c r="B4144" s="257" t="s">
        <v>3159</v>
      </c>
      <c r="C4144" s="257" t="s">
        <v>90</v>
      </c>
      <c r="D4144" s="259" t="s">
        <v>16155</v>
      </c>
      <c r="E4144" s="210" t="s">
        <v>201</v>
      </c>
    </row>
    <row r="4145" spans="1:5" ht="40.5">
      <c r="A4145" s="258">
        <v>94789</v>
      </c>
      <c r="B4145" s="257" t="s">
        <v>3160</v>
      </c>
      <c r="C4145" s="257" t="s">
        <v>90</v>
      </c>
      <c r="D4145" s="259" t="s">
        <v>16977</v>
      </c>
      <c r="E4145" s="210" t="s">
        <v>201</v>
      </c>
    </row>
    <row r="4146" spans="1:5" ht="40.5">
      <c r="A4146" s="258">
        <v>94790</v>
      </c>
      <c r="B4146" s="257" t="s">
        <v>3161</v>
      </c>
      <c r="C4146" s="257" t="s">
        <v>90</v>
      </c>
      <c r="D4146" s="259" t="s">
        <v>16978</v>
      </c>
      <c r="E4146" s="210" t="s">
        <v>201</v>
      </c>
    </row>
    <row r="4147" spans="1:5" ht="40.5">
      <c r="A4147" s="258">
        <v>94791</v>
      </c>
      <c r="B4147" s="257" t="s">
        <v>3162</v>
      </c>
      <c r="C4147" s="257" t="s">
        <v>90</v>
      </c>
      <c r="D4147" s="259" t="s">
        <v>16979</v>
      </c>
      <c r="E4147" s="210" t="s">
        <v>201</v>
      </c>
    </row>
    <row r="4148" spans="1:5" ht="27">
      <c r="A4148" s="258">
        <v>94863</v>
      </c>
      <c r="B4148" s="257" t="s">
        <v>3163</v>
      </c>
      <c r="C4148" s="257" t="s">
        <v>90</v>
      </c>
      <c r="D4148" s="259" t="s">
        <v>16980</v>
      </c>
      <c r="E4148" s="210" t="s">
        <v>201</v>
      </c>
    </row>
    <row r="4149" spans="1:5" ht="40.5">
      <c r="A4149" s="258">
        <v>95141</v>
      </c>
      <c r="B4149" s="257" t="s">
        <v>3164</v>
      </c>
      <c r="C4149" s="257" t="s">
        <v>90</v>
      </c>
      <c r="D4149" s="259" t="s">
        <v>16981</v>
      </c>
      <c r="E4149" s="210" t="s">
        <v>201</v>
      </c>
    </row>
    <row r="4150" spans="1:5" ht="27">
      <c r="A4150" s="258">
        <v>95237</v>
      </c>
      <c r="B4150" s="257" t="s">
        <v>3165</v>
      </c>
      <c r="C4150" s="257" t="s">
        <v>90</v>
      </c>
      <c r="D4150" s="259" t="s">
        <v>13689</v>
      </c>
      <c r="E4150" s="210" t="s">
        <v>201</v>
      </c>
    </row>
    <row r="4151" spans="1:5" ht="27">
      <c r="A4151" s="258">
        <v>95693</v>
      </c>
      <c r="B4151" s="257" t="s">
        <v>3166</v>
      </c>
      <c r="C4151" s="257" t="s">
        <v>90</v>
      </c>
      <c r="D4151" s="259" t="s">
        <v>14151</v>
      </c>
      <c r="E4151" s="210" t="s">
        <v>201</v>
      </c>
    </row>
    <row r="4152" spans="1:5" ht="27">
      <c r="A4152" s="258">
        <v>95694</v>
      </c>
      <c r="B4152" s="257" t="s">
        <v>3167</v>
      </c>
      <c r="C4152" s="257" t="s">
        <v>90</v>
      </c>
      <c r="D4152" s="259" t="s">
        <v>13883</v>
      </c>
      <c r="E4152" s="210" t="s">
        <v>201</v>
      </c>
    </row>
    <row r="4153" spans="1:5" ht="27">
      <c r="A4153" s="258">
        <v>95695</v>
      </c>
      <c r="B4153" s="257" t="s">
        <v>3168</v>
      </c>
      <c r="C4153" s="257" t="s">
        <v>90</v>
      </c>
      <c r="D4153" s="259" t="s">
        <v>16982</v>
      </c>
      <c r="E4153" s="210" t="s">
        <v>201</v>
      </c>
    </row>
    <row r="4154" spans="1:5" ht="27">
      <c r="A4154" s="258">
        <v>95696</v>
      </c>
      <c r="B4154" s="257" t="s">
        <v>5824</v>
      </c>
      <c r="C4154" s="257" t="s">
        <v>90</v>
      </c>
      <c r="D4154" s="259" t="s">
        <v>16983</v>
      </c>
      <c r="E4154" s="210" t="s">
        <v>201</v>
      </c>
    </row>
    <row r="4155" spans="1:5" ht="27">
      <c r="A4155" s="258">
        <v>96637</v>
      </c>
      <c r="B4155" s="257" t="s">
        <v>4812</v>
      </c>
      <c r="C4155" s="257" t="s">
        <v>90</v>
      </c>
      <c r="D4155" s="259" t="s">
        <v>15808</v>
      </c>
      <c r="E4155" s="210" t="s">
        <v>201</v>
      </c>
    </row>
    <row r="4156" spans="1:5" ht="27">
      <c r="A4156" s="258">
        <v>96638</v>
      </c>
      <c r="B4156" s="257" t="s">
        <v>4813</v>
      </c>
      <c r="C4156" s="257" t="s">
        <v>90</v>
      </c>
      <c r="D4156" s="259" t="s">
        <v>16984</v>
      </c>
      <c r="E4156" s="210" t="s">
        <v>201</v>
      </c>
    </row>
    <row r="4157" spans="1:5" ht="27">
      <c r="A4157" s="258">
        <v>96639</v>
      </c>
      <c r="B4157" s="257" t="s">
        <v>4814</v>
      </c>
      <c r="C4157" s="257" t="s">
        <v>90</v>
      </c>
      <c r="D4157" s="259" t="s">
        <v>16985</v>
      </c>
      <c r="E4157" s="210" t="s">
        <v>201</v>
      </c>
    </row>
    <row r="4158" spans="1:5" ht="27">
      <c r="A4158" s="258">
        <v>96640</v>
      </c>
      <c r="B4158" s="257" t="s">
        <v>4815</v>
      </c>
      <c r="C4158" s="257" t="s">
        <v>90</v>
      </c>
      <c r="D4158" s="259" t="s">
        <v>16986</v>
      </c>
      <c r="E4158" s="210" t="s">
        <v>201</v>
      </c>
    </row>
    <row r="4159" spans="1:5" ht="27">
      <c r="A4159" s="258">
        <v>96641</v>
      </c>
      <c r="B4159" s="257" t="s">
        <v>4816</v>
      </c>
      <c r="C4159" s="257" t="s">
        <v>90</v>
      </c>
      <c r="D4159" s="259" t="s">
        <v>16987</v>
      </c>
      <c r="E4159" s="210" t="s">
        <v>201</v>
      </c>
    </row>
    <row r="4160" spans="1:5" ht="27">
      <c r="A4160" s="258">
        <v>96642</v>
      </c>
      <c r="B4160" s="257" t="s">
        <v>4817</v>
      </c>
      <c r="C4160" s="257" t="s">
        <v>90</v>
      </c>
      <c r="D4160" s="259" t="s">
        <v>16988</v>
      </c>
      <c r="E4160" s="210" t="s">
        <v>201</v>
      </c>
    </row>
    <row r="4161" spans="1:5" ht="27">
      <c r="A4161" s="258">
        <v>96643</v>
      </c>
      <c r="B4161" s="257" t="s">
        <v>4818</v>
      </c>
      <c r="C4161" s="257" t="s">
        <v>90</v>
      </c>
      <c r="D4161" s="259" t="s">
        <v>16989</v>
      </c>
      <c r="E4161" s="210" t="s">
        <v>201</v>
      </c>
    </row>
    <row r="4162" spans="1:5" ht="27">
      <c r="A4162" s="258">
        <v>96650</v>
      </c>
      <c r="B4162" s="257" t="s">
        <v>4819</v>
      </c>
      <c r="C4162" s="257" t="s">
        <v>90</v>
      </c>
      <c r="D4162" s="259" t="s">
        <v>16990</v>
      </c>
      <c r="E4162" s="210" t="s">
        <v>201</v>
      </c>
    </row>
    <row r="4163" spans="1:5" ht="27">
      <c r="A4163" s="258">
        <v>96651</v>
      </c>
      <c r="B4163" s="257" t="s">
        <v>4820</v>
      </c>
      <c r="C4163" s="257" t="s">
        <v>90</v>
      </c>
      <c r="D4163" s="259" t="s">
        <v>15431</v>
      </c>
      <c r="E4163" s="210" t="s">
        <v>201</v>
      </c>
    </row>
    <row r="4164" spans="1:5" ht="27">
      <c r="A4164" s="258">
        <v>96652</v>
      </c>
      <c r="B4164" s="257" t="s">
        <v>4821</v>
      </c>
      <c r="C4164" s="257" t="s">
        <v>90</v>
      </c>
      <c r="D4164" s="259" t="s">
        <v>15761</v>
      </c>
      <c r="E4164" s="210" t="s">
        <v>201</v>
      </c>
    </row>
    <row r="4165" spans="1:5" ht="27">
      <c r="A4165" s="258">
        <v>96653</v>
      </c>
      <c r="B4165" s="257" t="s">
        <v>4822</v>
      </c>
      <c r="C4165" s="257" t="s">
        <v>90</v>
      </c>
      <c r="D4165" s="259" t="s">
        <v>16991</v>
      </c>
      <c r="E4165" s="210" t="s">
        <v>201</v>
      </c>
    </row>
    <row r="4166" spans="1:5" ht="27">
      <c r="A4166" s="258">
        <v>96654</v>
      </c>
      <c r="B4166" s="257" t="s">
        <v>4823</v>
      </c>
      <c r="C4166" s="257" t="s">
        <v>90</v>
      </c>
      <c r="D4166" s="259" t="s">
        <v>16992</v>
      </c>
      <c r="E4166" s="210" t="s">
        <v>201</v>
      </c>
    </row>
    <row r="4167" spans="1:5" ht="27">
      <c r="A4167" s="258">
        <v>96655</v>
      </c>
      <c r="B4167" s="257" t="s">
        <v>4824</v>
      </c>
      <c r="C4167" s="257" t="s">
        <v>90</v>
      </c>
      <c r="D4167" s="259" t="s">
        <v>16993</v>
      </c>
      <c r="E4167" s="210" t="s">
        <v>201</v>
      </c>
    </row>
    <row r="4168" spans="1:5" ht="27">
      <c r="A4168" s="258">
        <v>96656</v>
      </c>
      <c r="B4168" s="257" t="s">
        <v>4825</v>
      </c>
      <c r="C4168" s="257" t="s">
        <v>90</v>
      </c>
      <c r="D4168" s="259" t="s">
        <v>14111</v>
      </c>
      <c r="E4168" s="210" t="s">
        <v>201</v>
      </c>
    </row>
    <row r="4169" spans="1:5" ht="27">
      <c r="A4169" s="258">
        <v>96657</v>
      </c>
      <c r="B4169" s="257" t="s">
        <v>4826</v>
      </c>
      <c r="C4169" s="257" t="s">
        <v>90</v>
      </c>
      <c r="D4169" s="259" t="s">
        <v>16994</v>
      </c>
      <c r="E4169" s="210" t="s">
        <v>201</v>
      </c>
    </row>
    <row r="4170" spans="1:5" ht="27">
      <c r="A4170" s="258">
        <v>96658</v>
      </c>
      <c r="B4170" s="257" t="s">
        <v>4827</v>
      </c>
      <c r="C4170" s="257" t="s">
        <v>90</v>
      </c>
      <c r="D4170" s="259" t="s">
        <v>16455</v>
      </c>
      <c r="E4170" s="210" t="s">
        <v>201</v>
      </c>
    </row>
    <row r="4171" spans="1:5" ht="27">
      <c r="A4171" s="258">
        <v>96659</v>
      </c>
      <c r="B4171" s="257" t="s">
        <v>4828</v>
      </c>
      <c r="C4171" s="257" t="s">
        <v>90</v>
      </c>
      <c r="D4171" s="259" t="s">
        <v>16995</v>
      </c>
      <c r="E4171" s="210" t="s">
        <v>201</v>
      </c>
    </row>
    <row r="4172" spans="1:5" ht="27">
      <c r="A4172" s="258">
        <v>96660</v>
      </c>
      <c r="B4172" s="257" t="s">
        <v>4829</v>
      </c>
      <c r="C4172" s="257" t="s">
        <v>90</v>
      </c>
      <c r="D4172" s="259" t="s">
        <v>16996</v>
      </c>
      <c r="E4172" s="210" t="s">
        <v>201</v>
      </c>
    </row>
    <row r="4173" spans="1:5" ht="27">
      <c r="A4173" s="258">
        <v>96661</v>
      </c>
      <c r="B4173" s="257" t="s">
        <v>4830</v>
      </c>
      <c r="C4173" s="257" t="s">
        <v>90</v>
      </c>
      <c r="D4173" s="259" t="s">
        <v>16265</v>
      </c>
      <c r="E4173" s="210" t="s">
        <v>201</v>
      </c>
    </row>
    <row r="4174" spans="1:5" ht="27">
      <c r="A4174" s="258">
        <v>96662</v>
      </c>
      <c r="B4174" s="257" t="s">
        <v>4831</v>
      </c>
      <c r="C4174" s="257" t="s">
        <v>90</v>
      </c>
      <c r="D4174" s="259" t="s">
        <v>15427</v>
      </c>
      <c r="E4174" s="210" t="s">
        <v>201</v>
      </c>
    </row>
    <row r="4175" spans="1:5" ht="27">
      <c r="A4175" s="258">
        <v>96663</v>
      </c>
      <c r="B4175" s="257" t="s">
        <v>4832</v>
      </c>
      <c r="C4175" s="257" t="s">
        <v>90</v>
      </c>
      <c r="D4175" s="259" t="s">
        <v>13602</v>
      </c>
      <c r="E4175" s="210" t="s">
        <v>201</v>
      </c>
    </row>
    <row r="4176" spans="1:5" ht="27">
      <c r="A4176" s="257">
        <v>96664</v>
      </c>
      <c r="B4176" s="257" t="s">
        <v>4833</v>
      </c>
      <c r="C4176" s="257" t="s">
        <v>90</v>
      </c>
      <c r="D4176" s="260" t="s">
        <v>14446</v>
      </c>
      <c r="E4176" s="210" t="s">
        <v>201</v>
      </c>
    </row>
    <row r="4177" spans="1:5" ht="27">
      <c r="A4177" s="257">
        <v>96665</v>
      </c>
      <c r="B4177" s="257" t="s">
        <v>4834</v>
      </c>
      <c r="C4177" s="257" t="s">
        <v>90</v>
      </c>
      <c r="D4177" s="260" t="s">
        <v>16997</v>
      </c>
      <c r="E4177" s="210" t="s">
        <v>201</v>
      </c>
    </row>
    <row r="4178" spans="1:5" ht="27">
      <c r="A4178" s="258">
        <v>96666</v>
      </c>
      <c r="B4178" s="257" t="s">
        <v>4835</v>
      </c>
      <c r="C4178" s="257" t="s">
        <v>90</v>
      </c>
      <c r="D4178" s="260" t="s">
        <v>16998</v>
      </c>
      <c r="E4178" s="210" t="s">
        <v>201</v>
      </c>
    </row>
    <row r="4179" spans="1:5" ht="27">
      <c r="A4179" s="258">
        <v>96667</v>
      </c>
      <c r="B4179" s="257" t="s">
        <v>4836</v>
      </c>
      <c r="C4179" s="257" t="s">
        <v>90</v>
      </c>
      <c r="D4179" s="259" t="s">
        <v>16999</v>
      </c>
      <c r="E4179" s="210" t="s">
        <v>201</v>
      </c>
    </row>
    <row r="4180" spans="1:5" ht="27">
      <c r="A4180" s="258">
        <v>96684</v>
      </c>
      <c r="B4180" s="257" t="s">
        <v>4837</v>
      </c>
      <c r="C4180" s="257" t="s">
        <v>90</v>
      </c>
      <c r="D4180" s="259" t="s">
        <v>14289</v>
      </c>
      <c r="E4180" s="210" t="s">
        <v>201</v>
      </c>
    </row>
    <row r="4181" spans="1:5" ht="27">
      <c r="A4181" s="258">
        <v>96685</v>
      </c>
      <c r="B4181" s="257" t="s">
        <v>4838</v>
      </c>
      <c r="C4181" s="257" t="s">
        <v>90</v>
      </c>
      <c r="D4181" s="259" t="s">
        <v>14436</v>
      </c>
      <c r="E4181" s="210" t="s">
        <v>201</v>
      </c>
    </row>
    <row r="4182" spans="1:5" ht="27">
      <c r="A4182" s="257">
        <v>96686</v>
      </c>
      <c r="B4182" s="257" t="s">
        <v>4839</v>
      </c>
      <c r="C4182" s="257" t="s">
        <v>90</v>
      </c>
      <c r="D4182" s="259" t="s">
        <v>17000</v>
      </c>
      <c r="E4182" s="210" t="s">
        <v>201</v>
      </c>
    </row>
    <row r="4183" spans="1:5" ht="27">
      <c r="A4183" s="257">
        <v>96687</v>
      </c>
      <c r="B4183" s="257" t="s">
        <v>4840</v>
      </c>
      <c r="C4183" s="257" t="s">
        <v>90</v>
      </c>
      <c r="D4183" s="259" t="s">
        <v>17001</v>
      </c>
      <c r="E4183" s="210" t="s">
        <v>201</v>
      </c>
    </row>
    <row r="4184" spans="1:5" ht="27">
      <c r="A4184" s="257">
        <v>96688</v>
      </c>
      <c r="B4184" s="257" t="s">
        <v>4841</v>
      </c>
      <c r="C4184" s="257" t="s">
        <v>90</v>
      </c>
      <c r="D4184" s="259" t="s">
        <v>16500</v>
      </c>
      <c r="E4184" s="210" t="s">
        <v>201</v>
      </c>
    </row>
    <row r="4185" spans="1:5" ht="27">
      <c r="A4185" s="257">
        <v>96689</v>
      </c>
      <c r="B4185" s="257" t="s">
        <v>4842</v>
      </c>
      <c r="C4185" s="257" t="s">
        <v>90</v>
      </c>
      <c r="D4185" s="259" t="s">
        <v>16590</v>
      </c>
      <c r="E4185" s="210" t="s">
        <v>201</v>
      </c>
    </row>
    <row r="4186" spans="1:5" ht="27">
      <c r="A4186" s="257">
        <v>96690</v>
      </c>
      <c r="B4186" s="257" t="s">
        <v>4843</v>
      </c>
      <c r="C4186" s="257" t="s">
        <v>90</v>
      </c>
      <c r="D4186" s="259" t="s">
        <v>16489</v>
      </c>
      <c r="E4186" s="210" t="s">
        <v>201</v>
      </c>
    </row>
    <row r="4187" spans="1:5" ht="27">
      <c r="A4187" s="257">
        <v>96691</v>
      </c>
      <c r="B4187" s="257" t="s">
        <v>4844</v>
      </c>
      <c r="C4187" s="257" t="s">
        <v>90</v>
      </c>
      <c r="D4187" s="259" t="s">
        <v>16545</v>
      </c>
      <c r="E4187" s="210" t="s">
        <v>201</v>
      </c>
    </row>
    <row r="4188" spans="1:5" ht="27">
      <c r="A4188" s="257">
        <v>96692</v>
      </c>
      <c r="B4188" s="257" t="s">
        <v>4845</v>
      </c>
      <c r="C4188" s="257" t="s">
        <v>90</v>
      </c>
      <c r="D4188" s="259" t="s">
        <v>16831</v>
      </c>
      <c r="E4188" s="210" t="s">
        <v>201</v>
      </c>
    </row>
    <row r="4189" spans="1:5" ht="27">
      <c r="A4189" s="257">
        <v>96693</v>
      </c>
      <c r="B4189" s="257" t="s">
        <v>4846</v>
      </c>
      <c r="C4189" s="257" t="s">
        <v>90</v>
      </c>
      <c r="D4189" s="259" t="s">
        <v>17002</v>
      </c>
      <c r="E4189" s="210" t="s">
        <v>201</v>
      </c>
    </row>
    <row r="4190" spans="1:5" ht="27">
      <c r="A4190" s="257">
        <v>96694</v>
      </c>
      <c r="B4190" s="257" t="s">
        <v>4847</v>
      </c>
      <c r="C4190" s="257" t="s">
        <v>90</v>
      </c>
      <c r="D4190" s="259" t="s">
        <v>17003</v>
      </c>
      <c r="E4190" s="210" t="s">
        <v>201</v>
      </c>
    </row>
    <row r="4191" spans="1:5" ht="27">
      <c r="A4191" s="257">
        <v>96695</v>
      </c>
      <c r="B4191" s="257" t="s">
        <v>4848</v>
      </c>
      <c r="C4191" s="257" t="s">
        <v>90</v>
      </c>
      <c r="D4191" s="259" t="s">
        <v>17004</v>
      </c>
      <c r="E4191" s="210" t="s">
        <v>201</v>
      </c>
    </row>
    <row r="4192" spans="1:5" ht="27">
      <c r="A4192" s="257">
        <v>96696</v>
      </c>
      <c r="B4192" s="257" t="s">
        <v>4849</v>
      </c>
      <c r="C4192" s="257" t="s">
        <v>90</v>
      </c>
      <c r="D4192" s="259" t="s">
        <v>17005</v>
      </c>
      <c r="E4192" s="210" t="s">
        <v>201</v>
      </c>
    </row>
    <row r="4193" spans="1:5" ht="27">
      <c r="A4193" s="257">
        <v>96697</v>
      </c>
      <c r="B4193" s="257" t="s">
        <v>4850</v>
      </c>
      <c r="C4193" s="257" t="s">
        <v>90</v>
      </c>
      <c r="D4193" s="259" t="s">
        <v>17006</v>
      </c>
      <c r="E4193" s="210" t="s">
        <v>201</v>
      </c>
    </row>
    <row r="4194" spans="1:5" ht="27">
      <c r="A4194" s="257">
        <v>96698</v>
      </c>
      <c r="B4194" s="257" t="s">
        <v>4851</v>
      </c>
      <c r="C4194" s="257" t="s">
        <v>90</v>
      </c>
      <c r="D4194" s="259" t="s">
        <v>15810</v>
      </c>
      <c r="E4194" s="210" t="s">
        <v>201</v>
      </c>
    </row>
    <row r="4195" spans="1:5" ht="27">
      <c r="A4195" s="257">
        <v>96699</v>
      </c>
      <c r="B4195" s="257" t="s">
        <v>4852</v>
      </c>
      <c r="C4195" s="257" t="s">
        <v>90</v>
      </c>
      <c r="D4195" s="259" t="s">
        <v>16370</v>
      </c>
      <c r="E4195" s="210" t="s">
        <v>201</v>
      </c>
    </row>
    <row r="4196" spans="1:5" ht="27">
      <c r="A4196" s="257">
        <v>96700</v>
      </c>
      <c r="B4196" s="257" t="s">
        <v>4853</v>
      </c>
      <c r="C4196" s="257" t="s">
        <v>90</v>
      </c>
      <c r="D4196" s="259" t="s">
        <v>16532</v>
      </c>
      <c r="E4196" s="210" t="s">
        <v>201</v>
      </c>
    </row>
    <row r="4197" spans="1:5" ht="27">
      <c r="A4197" s="257">
        <v>96701</v>
      </c>
      <c r="B4197" s="257" t="s">
        <v>4854</v>
      </c>
      <c r="C4197" s="257" t="s">
        <v>90</v>
      </c>
      <c r="D4197" s="259" t="s">
        <v>17007</v>
      </c>
      <c r="E4197" s="210" t="s">
        <v>201</v>
      </c>
    </row>
    <row r="4198" spans="1:5" ht="27">
      <c r="A4198" s="257">
        <v>96702</v>
      </c>
      <c r="B4198" s="257" t="s">
        <v>4855</v>
      </c>
      <c r="C4198" s="257" t="s">
        <v>90</v>
      </c>
      <c r="D4198" s="259" t="s">
        <v>17008</v>
      </c>
      <c r="E4198" s="210" t="s">
        <v>201</v>
      </c>
    </row>
    <row r="4199" spans="1:5" ht="27">
      <c r="A4199" s="257">
        <v>96703</v>
      </c>
      <c r="B4199" s="257" t="s">
        <v>4856</v>
      </c>
      <c r="C4199" s="257" t="s">
        <v>90</v>
      </c>
      <c r="D4199" s="259" t="s">
        <v>14299</v>
      </c>
      <c r="E4199" s="210" t="s">
        <v>201</v>
      </c>
    </row>
    <row r="4200" spans="1:5" ht="27">
      <c r="A4200" s="257">
        <v>96704</v>
      </c>
      <c r="B4200" s="257" t="s">
        <v>4857</v>
      </c>
      <c r="C4200" s="257" t="s">
        <v>90</v>
      </c>
      <c r="D4200" s="259" t="s">
        <v>17009</v>
      </c>
      <c r="E4200" s="210" t="s">
        <v>201</v>
      </c>
    </row>
    <row r="4201" spans="1:5" ht="27">
      <c r="A4201" s="257">
        <v>96705</v>
      </c>
      <c r="B4201" s="257" t="s">
        <v>4858</v>
      </c>
      <c r="C4201" s="257" t="s">
        <v>90</v>
      </c>
      <c r="D4201" s="259" t="s">
        <v>16622</v>
      </c>
      <c r="E4201" s="210" t="s">
        <v>201</v>
      </c>
    </row>
    <row r="4202" spans="1:5" ht="27">
      <c r="A4202" s="257">
        <v>96706</v>
      </c>
      <c r="B4202" s="257" t="s">
        <v>4859</v>
      </c>
      <c r="C4202" s="257" t="s">
        <v>90</v>
      </c>
      <c r="D4202" s="259" t="s">
        <v>17010</v>
      </c>
      <c r="E4202" s="210" t="s">
        <v>201</v>
      </c>
    </row>
    <row r="4203" spans="1:5" ht="27">
      <c r="A4203" s="257">
        <v>96707</v>
      </c>
      <c r="B4203" s="257" t="s">
        <v>4860</v>
      </c>
      <c r="C4203" s="257" t="s">
        <v>90</v>
      </c>
      <c r="D4203" s="259" t="s">
        <v>17011</v>
      </c>
      <c r="E4203" s="210" t="s">
        <v>201</v>
      </c>
    </row>
    <row r="4204" spans="1:5" ht="27">
      <c r="A4204" s="257">
        <v>96708</v>
      </c>
      <c r="B4204" s="257" t="s">
        <v>4861</v>
      </c>
      <c r="C4204" s="257" t="s">
        <v>90</v>
      </c>
      <c r="D4204" s="259" t="s">
        <v>17012</v>
      </c>
      <c r="E4204" s="210" t="s">
        <v>201</v>
      </c>
    </row>
    <row r="4205" spans="1:5" ht="27">
      <c r="A4205" s="257">
        <v>96709</v>
      </c>
      <c r="B4205" s="257" t="s">
        <v>4862</v>
      </c>
      <c r="C4205" s="257" t="s">
        <v>90</v>
      </c>
      <c r="D4205" s="259" t="s">
        <v>17013</v>
      </c>
      <c r="E4205" s="210" t="s">
        <v>201</v>
      </c>
    </row>
    <row r="4206" spans="1:5" ht="27">
      <c r="A4206" s="257">
        <v>96710</v>
      </c>
      <c r="B4206" s="257" t="s">
        <v>4863</v>
      </c>
      <c r="C4206" s="257" t="s">
        <v>90</v>
      </c>
      <c r="D4206" s="259" t="s">
        <v>17014</v>
      </c>
      <c r="E4206" s="210" t="s">
        <v>201</v>
      </c>
    </row>
    <row r="4207" spans="1:5" ht="27">
      <c r="A4207" s="257">
        <v>96711</v>
      </c>
      <c r="B4207" s="257" t="s">
        <v>4864</v>
      </c>
      <c r="C4207" s="257" t="s">
        <v>90</v>
      </c>
      <c r="D4207" s="259" t="s">
        <v>16624</v>
      </c>
      <c r="E4207" s="210" t="s">
        <v>201</v>
      </c>
    </row>
    <row r="4208" spans="1:5" ht="27">
      <c r="A4208" s="258">
        <v>96712</v>
      </c>
      <c r="B4208" s="257" t="s">
        <v>4865</v>
      </c>
      <c r="C4208" s="257" t="s">
        <v>90</v>
      </c>
      <c r="D4208" s="259" t="s">
        <v>17015</v>
      </c>
      <c r="E4208" s="210" t="s">
        <v>201</v>
      </c>
    </row>
    <row r="4209" spans="1:5" ht="27">
      <c r="A4209" s="258">
        <v>96713</v>
      </c>
      <c r="B4209" s="257" t="s">
        <v>4866</v>
      </c>
      <c r="C4209" s="257" t="s">
        <v>90</v>
      </c>
      <c r="D4209" s="259" t="s">
        <v>16933</v>
      </c>
      <c r="E4209" s="210" t="s">
        <v>201</v>
      </c>
    </row>
    <row r="4210" spans="1:5" ht="27">
      <c r="A4210" s="258">
        <v>96714</v>
      </c>
      <c r="B4210" s="257" t="s">
        <v>4867</v>
      </c>
      <c r="C4210" s="257" t="s">
        <v>90</v>
      </c>
      <c r="D4210" s="259" t="s">
        <v>15944</v>
      </c>
      <c r="E4210" s="210" t="s">
        <v>201</v>
      </c>
    </row>
    <row r="4211" spans="1:5" ht="27">
      <c r="A4211" s="258">
        <v>96715</v>
      </c>
      <c r="B4211" s="257" t="s">
        <v>4868</v>
      </c>
      <c r="C4211" s="257" t="s">
        <v>90</v>
      </c>
      <c r="D4211" s="259" t="s">
        <v>17016</v>
      </c>
      <c r="E4211" s="210" t="s">
        <v>201</v>
      </c>
    </row>
    <row r="4212" spans="1:5" ht="27">
      <c r="A4212" s="258">
        <v>96716</v>
      </c>
      <c r="B4212" s="257" t="s">
        <v>4869</v>
      </c>
      <c r="C4212" s="257" t="s">
        <v>90</v>
      </c>
      <c r="D4212" s="259" t="s">
        <v>17017</v>
      </c>
      <c r="E4212" s="210" t="s">
        <v>201</v>
      </c>
    </row>
    <row r="4213" spans="1:5" ht="27">
      <c r="A4213" s="258">
        <v>96717</v>
      </c>
      <c r="B4213" s="257" t="s">
        <v>4870</v>
      </c>
      <c r="C4213" s="257" t="s">
        <v>90</v>
      </c>
      <c r="D4213" s="259" t="s">
        <v>17018</v>
      </c>
      <c r="E4213" s="210" t="s">
        <v>201</v>
      </c>
    </row>
    <row r="4214" spans="1:5" ht="27">
      <c r="A4214" s="258">
        <v>96736</v>
      </c>
      <c r="B4214" s="257" t="s">
        <v>4871</v>
      </c>
      <c r="C4214" s="257" t="s">
        <v>90</v>
      </c>
      <c r="D4214" s="259" t="s">
        <v>17019</v>
      </c>
      <c r="E4214" s="210" t="s">
        <v>201</v>
      </c>
    </row>
    <row r="4215" spans="1:5" ht="27">
      <c r="A4215" s="258">
        <v>96737</v>
      </c>
      <c r="B4215" s="257" t="s">
        <v>4872</v>
      </c>
      <c r="C4215" s="257" t="s">
        <v>90</v>
      </c>
      <c r="D4215" s="259" t="s">
        <v>17020</v>
      </c>
      <c r="E4215" s="210" t="s">
        <v>201</v>
      </c>
    </row>
    <row r="4216" spans="1:5" ht="27">
      <c r="A4216" s="258">
        <v>96738</v>
      </c>
      <c r="B4216" s="257" t="s">
        <v>4873</v>
      </c>
      <c r="C4216" s="257" t="s">
        <v>90</v>
      </c>
      <c r="D4216" s="259" t="s">
        <v>17021</v>
      </c>
      <c r="E4216" s="210" t="s">
        <v>201</v>
      </c>
    </row>
    <row r="4217" spans="1:5" ht="27">
      <c r="A4217" s="258">
        <v>96739</v>
      </c>
      <c r="B4217" s="257" t="s">
        <v>4874</v>
      </c>
      <c r="C4217" s="257" t="s">
        <v>90</v>
      </c>
      <c r="D4217" s="259" t="s">
        <v>15680</v>
      </c>
      <c r="E4217" s="210" t="s">
        <v>201</v>
      </c>
    </row>
    <row r="4218" spans="1:5" ht="27">
      <c r="A4218" s="258">
        <v>96740</v>
      </c>
      <c r="B4218" s="257" t="s">
        <v>4875</v>
      </c>
      <c r="C4218" s="257" t="s">
        <v>90</v>
      </c>
      <c r="D4218" s="259" t="s">
        <v>13648</v>
      </c>
      <c r="E4218" s="210" t="s">
        <v>201</v>
      </c>
    </row>
    <row r="4219" spans="1:5" ht="27">
      <c r="A4219" s="258">
        <v>96741</v>
      </c>
      <c r="B4219" s="257" t="s">
        <v>4876</v>
      </c>
      <c r="C4219" s="257" t="s">
        <v>90</v>
      </c>
      <c r="D4219" s="259" t="s">
        <v>17022</v>
      </c>
      <c r="E4219" s="210" t="s">
        <v>201</v>
      </c>
    </row>
    <row r="4220" spans="1:5" ht="27">
      <c r="A4220" s="258">
        <v>96742</v>
      </c>
      <c r="B4220" s="257" t="s">
        <v>4877</v>
      </c>
      <c r="C4220" s="257" t="s">
        <v>90</v>
      </c>
      <c r="D4220" s="259" t="s">
        <v>17023</v>
      </c>
      <c r="E4220" s="210" t="s">
        <v>201</v>
      </c>
    </row>
    <row r="4221" spans="1:5" ht="27">
      <c r="A4221" s="258">
        <v>96743</v>
      </c>
      <c r="B4221" s="257" t="s">
        <v>4878</v>
      </c>
      <c r="C4221" s="257" t="s">
        <v>90</v>
      </c>
      <c r="D4221" s="259" t="s">
        <v>17024</v>
      </c>
      <c r="E4221" s="210" t="s">
        <v>201</v>
      </c>
    </row>
    <row r="4222" spans="1:5" ht="27">
      <c r="A4222" s="258">
        <v>96744</v>
      </c>
      <c r="B4222" s="257" t="s">
        <v>4879</v>
      </c>
      <c r="C4222" s="257" t="s">
        <v>90</v>
      </c>
      <c r="D4222" s="259" t="s">
        <v>17025</v>
      </c>
      <c r="E4222" s="210" t="s">
        <v>201</v>
      </c>
    </row>
    <row r="4223" spans="1:5" ht="27">
      <c r="A4223" s="258">
        <v>96745</v>
      </c>
      <c r="B4223" s="257" t="s">
        <v>4880</v>
      </c>
      <c r="C4223" s="257" t="s">
        <v>90</v>
      </c>
      <c r="D4223" s="259" t="s">
        <v>17026</v>
      </c>
      <c r="E4223" s="210" t="s">
        <v>201</v>
      </c>
    </row>
    <row r="4224" spans="1:5" ht="27">
      <c r="A4224" s="258">
        <v>96746</v>
      </c>
      <c r="B4224" s="257" t="s">
        <v>4881</v>
      </c>
      <c r="C4224" s="257" t="s">
        <v>90</v>
      </c>
      <c r="D4224" s="259" t="s">
        <v>17027</v>
      </c>
      <c r="E4224" s="210" t="s">
        <v>201</v>
      </c>
    </row>
    <row r="4225" spans="1:5" ht="27">
      <c r="A4225" s="258">
        <v>96747</v>
      </c>
      <c r="B4225" s="257" t="s">
        <v>4882</v>
      </c>
      <c r="C4225" s="257" t="s">
        <v>90</v>
      </c>
      <c r="D4225" s="259" t="s">
        <v>14629</v>
      </c>
      <c r="E4225" s="210" t="s">
        <v>201</v>
      </c>
    </row>
    <row r="4226" spans="1:5" ht="27">
      <c r="A4226" s="258">
        <v>96748</v>
      </c>
      <c r="B4226" s="257" t="s">
        <v>4883</v>
      </c>
      <c r="C4226" s="257" t="s">
        <v>90</v>
      </c>
      <c r="D4226" s="259" t="s">
        <v>17028</v>
      </c>
      <c r="E4226" s="210" t="s">
        <v>201</v>
      </c>
    </row>
    <row r="4227" spans="1:5" ht="27">
      <c r="A4227" s="258">
        <v>96749</v>
      </c>
      <c r="B4227" s="257" t="s">
        <v>4884</v>
      </c>
      <c r="C4227" s="257" t="s">
        <v>90</v>
      </c>
      <c r="D4227" s="259" t="s">
        <v>17029</v>
      </c>
      <c r="E4227" s="210" t="s">
        <v>201</v>
      </c>
    </row>
    <row r="4228" spans="1:5" ht="27">
      <c r="A4228" s="258">
        <v>96750</v>
      </c>
      <c r="B4228" s="257" t="s">
        <v>4885</v>
      </c>
      <c r="C4228" s="257" t="s">
        <v>90</v>
      </c>
      <c r="D4228" s="259" t="s">
        <v>16202</v>
      </c>
      <c r="E4228" s="210" t="s">
        <v>201</v>
      </c>
    </row>
    <row r="4229" spans="1:5" ht="27">
      <c r="A4229" s="258">
        <v>96751</v>
      </c>
      <c r="B4229" s="257" t="s">
        <v>4886</v>
      </c>
      <c r="C4229" s="257" t="s">
        <v>90</v>
      </c>
      <c r="D4229" s="259" t="s">
        <v>17030</v>
      </c>
      <c r="E4229" s="210" t="s">
        <v>201</v>
      </c>
    </row>
    <row r="4230" spans="1:5" ht="27">
      <c r="A4230" s="258">
        <v>96752</v>
      </c>
      <c r="B4230" s="257" t="s">
        <v>4887</v>
      </c>
      <c r="C4230" s="257" t="s">
        <v>90</v>
      </c>
      <c r="D4230" s="259" t="s">
        <v>17031</v>
      </c>
      <c r="E4230" s="210" t="s">
        <v>201</v>
      </c>
    </row>
    <row r="4231" spans="1:5" ht="27">
      <c r="A4231" s="258">
        <v>96753</v>
      </c>
      <c r="B4231" s="257" t="s">
        <v>4888</v>
      </c>
      <c r="C4231" s="257" t="s">
        <v>90</v>
      </c>
      <c r="D4231" s="259" t="s">
        <v>17032</v>
      </c>
      <c r="E4231" s="210" t="s">
        <v>201</v>
      </c>
    </row>
    <row r="4232" spans="1:5" ht="27">
      <c r="A4232" s="258">
        <v>96754</v>
      </c>
      <c r="B4232" s="257" t="s">
        <v>4889</v>
      </c>
      <c r="C4232" s="257" t="s">
        <v>90</v>
      </c>
      <c r="D4232" s="259" t="s">
        <v>17033</v>
      </c>
      <c r="E4232" s="210" t="s">
        <v>201</v>
      </c>
    </row>
    <row r="4233" spans="1:5" ht="27">
      <c r="A4233" s="258">
        <v>96755</v>
      </c>
      <c r="B4233" s="257" t="s">
        <v>4890</v>
      </c>
      <c r="C4233" s="257" t="s">
        <v>90</v>
      </c>
      <c r="D4233" s="259" t="s">
        <v>17034</v>
      </c>
      <c r="E4233" s="210" t="s">
        <v>201</v>
      </c>
    </row>
    <row r="4234" spans="1:5" ht="27">
      <c r="A4234" s="258">
        <v>96756</v>
      </c>
      <c r="B4234" s="257" t="s">
        <v>4891</v>
      </c>
      <c r="C4234" s="257" t="s">
        <v>90</v>
      </c>
      <c r="D4234" s="259" t="s">
        <v>14343</v>
      </c>
      <c r="E4234" s="210" t="s">
        <v>201</v>
      </c>
    </row>
    <row r="4235" spans="1:5" ht="27">
      <c r="A4235" s="258">
        <v>96757</v>
      </c>
      <c r="B4235" s="257" t="s">
        <v>4892</v>
      </c>
      <c r="C4235" s="257" t="s">
        <v>90</v>
      </c>
      <c r="D4235" s="259" t="s">
        <v>13755</v>
      </c>
      <c r="E4235" s="210" t="s">
        <v>201</v>
      </c>
    </row>
    <row r="4236" spans="1:5" ht="27">
      <c r="A4236" s="258">
        <v>96758</v>
      </c>
      <c r="B4236" s="257" t="s">
        <v>4893</v>
      </c>
      <c r="C4236" s="257" t="s">
        <v>90</v>
      </c>
      <c r="D4236" s="259" t="s">
        <v>17035</v>
      </c>
      <c r="E4236" s="210" t="s">
        <v>201</v>
      </c>
    </row>
    <row r="4237" spans="1:5" ht="27">
      <c r="A4237" s="258">
        <v>96759</v>
      </c>
      <c r="B4237" s="257" t="s">
        <v>4894</v>
      </c>
      <c r="C4237" s="257" t="s">
        <v>90</v>
      </c>
      <c r="D4237" s="259" t="s">
        <v>14048</v>
      </c>
      <c r="E4237" s="210" t="s">
        <v>201</v>
      </c>
    </row>
    <row r="4238" spans="1:5" ht="27">
      <c r="A4238" s="258">
        <v>96760</v>
      </c>
      <c r="B4238" s="257" t="s">
        <v>4895</v>
      </c>
      <c r="C4238" s="257" t="s">
        <v>90</v>
      </c>
      <c r="D4238" s="259" t="s">
        <v>15982</v>
      </c>
      <c r="E4238" s="210" t="s">
        <v>201</v>
      </c>
    </row>
    <row r="4239" spans="1:5" ht="27">
      <c r="A4239" s="258">
        <v>96761</v>
      </c>
      <c r="B4239" s="257" t="s">
        <v>4896</v>
      </c>
      <c r="C4239" s="257" t="s">
        <v>90</v>
      </c>
      <c r="D4239" s="259" t="s">
        <v>17036</v>
      </c>
      <c r="E4239" s="210" t="s">
        <v>201</v>
      </c>
    </row>
    <row r="4240" spans="1:5" ht="27">
      <c r="A4240" s="258">
        <v>96762</v>
      </c>
      <c r="B4240" s="257" t="s">
        <v>4897</v>
      </c>
      <c r="C4240" s="257" t="s">
        <v>90</v>
      </c>
      <c r="D4240" s="259" t="s">
        <v>17037</v>
      </c>
      <c r="E4240" s="210" t="s">
        <v>201</v>
      </c>
    </row>
    <row r="4241" spans="1:5" ht="27">
      <c r="A4241" s="258">
        <v>96763</v>
      </c>
      <c r="B4241" s="257" t="s">
        <v>4898</v>
      </c>
      <c r="C4241" s="257" t="s">
        <v>90</v>
      </c>
      <c r="D4241" s="259" t="s">
        <v>15962</v>
      </c>
      <c r="E4241" s="210" t="s">
        <v>201</v>
      </c>
    </row>
    <row r="4242" spans="1:5" ht="27">
      <c r="A4242" s="258">
        <v>96764</v>
      </c>
      <c r="B4242" s="257" t="s">
        <v>4899</v>
      </c>
      <c r="C4242" s="257" t="s">
        <v>90</v>
      </c>
      <c r="D4242" s="259" t="s">
        <v>17038</v>
      </c>
      <c r="E4242" s="210" t="s">
        <v>201</v>
      </c>
    </row>
    <row r="4243" spans="1:5" ht="27">
      <c r="A4243" s="258">
        <v>96802</v>
      </c>
      <c r="B4243" s="257" t="s">
        <v>4900</v>
      </c>
      <c r="C4243" s="257" t="s">
        <v>90</v>
      </c>
      <c r="D4243" s="259" t="s">
        <v>17039</v>
      </c>
      <c r="E4243" s="210" t="s">
        <v>201</v>
      </c>
    </row>
    <row r="4244" spans="1:5" ht="27">
      <c r="A4244" s="258">
        <v>96803</v>
      </c>
      <c r="B4244" s="257" t="s">
        <v>4901</v>
      </c>
      <c r="C4244" s="257" t="s">
        <v>90</v>
      </c>
      <c r="D4244" s="259" t="s">
        <v>17040</v>
      </c>
      <c r="E4244" s="210" t="s">
        <v>201</v>
      </c>
    </row>
    <row r="4245" spans="1:5" ht="27">
      <c r="A4245" s="258">
        <v>96804</v>
      </c>
      <c r="B4245" s="257" t="s">
        <v>4902</v>
      </c>
      <c r="C4245" s="257" t="s">
        <v>90</v>
      </c>
      <c r="D4245" s="259" t="s">
        <v>17041</v>
      </c>
      <c r="E4245" s="210" t="s">
        <v>201</v>
      </c>
    </row>
    <row r="4246" spans="1:5" ht="27">
      <c r="A4246" s="258">
        <v>96805</v>
      </c>
      <c r="B4246" s="257" t="s">
        <v>4903</v>
      </c>
      <c r="C4246" s="257" t="s">
        <v>90</v>
      </c>
      <c r="D4246" s="259" t="s">
        <v>17042</v>
      </c>
      <c r="E4246" s="210" t="s">
        <v>201</v>
      </c>
    </row>
    <row r="4247" spans="1:5" ht="27">
      <c r="A4247" s="258">
        <v>96806</v>
      </c>
      <c r="B4247" s="257" t="s">
        <v>4904</v>
      </c>
      <c r="C4247" s="257" t="s">
        <v>90</v>
      </c>
      <c r="D4247" s="259" t="s">
        <v>17043</v>
      </c>
      <c r="E4247" s="210" t="s">
        <v>201</v>
      </c>
    </row>
    <row r="4248" spans="1:5" ht="27">
      <c r="A4248" s="258">
        <v>96807</v>
      </c>
      <c r="B4248" s="257" t="s">
        <v>4905</v>
      </c>
      <c r="C4248" s="257" t="s">
        <v>90</v>
      </c>
      <c r="D4248" s="259" t="s">
        <v>17044</v>
      </c>
      <c r="E4248" s="210" t="s">
        <v>201</v>
      </c>
    </row>
    <row r="4249" spans="1:5" ht="27">
      <c r="A4249" s="258">
        <v>96808</v>
      </c>
      <c r="B4249" s="257" t="s">
        <v>4906</v>
      </c>
      <c r="C4249" s="257" t="s">
        <v>90</v>
      </c>
      <c r="D4249" s="259" t="s">
        <v>17045</v>
      </c>
      <c r="E4249" s="210" t="s">
        <v>201</v>
      </c>
    </row>
    <row r="4250" spans="1:5" ht="27">
      <c r="A4250" s="258">
        <v>96809</v>
      </c>
      <c r="B4250" s="257" t="s">
        <v>4907</v>
      </c>
      <c r="C4250" s="257" t="s">
        <v>90</v>
      </c>
      <c r="D4250" s="259" t="s">
        <v>14178</v>
      </c>
      <c r="E4250" s="210" t="s">
        <v>201</v>
      </c>
    </row>
    <row r="4251" spans="1:5" ht="27">
      <c r="A4251" s="258">
        <v>96810</v>
      </c>
      <c r="B4251" s="257" t="s">
        <v>4908</v>
      </c>
      <c r="C4251" s="257" t="s">
        <v>90</v>
      </c>
      <c r="D4251" s="259" t="s">
        <v>16622</v>
      </c>
      <c r="E4251" s="210" t="s">
        <v>201</v>
      </c>
    </row>
    <row r="4252" spans="1:5" ht="27">
      <c r="A4252" s="258">
        <v>96811</v>
      </c>
      <c r="B4252" s="257" t="s">
        <v>4909</v>
      </c>
      <c r="C4252" s="257" t="s">
        <v>90</v>
      </c>
      <c r="D4252" s="259" t="s">
        <v>17046</v>
      </c>
      <c r="E4252" s="210" t="s">
        <v>201</v>
      </c>
    </row>
    <row r="4253" spans="1:5" ht="27">
      <c r="A4253" s="258">
        <v>96812</v>
      </c>
      <c r="B4253" s="257" t="s">
        <v>4910</v>
      </c>
      <c r="C4253" s="257" t="s">
        <v>90</v>
      </c>
      <c r="D4253" s="259" t="s">
        <v>14358</v>
      </c>
      <c r="E4253" s="210" t="s">
        <v>201</v>
      </c>
    </row>
    <row r="4254" spans="1:5" ht="27">
      <c r="A4254" s="258">
        <v>96813</v>
      </c>
      <c r="B4254" s="257" t="s">
        <v>4911</v>
      </c>
      <c r="C4254" s="257" t="s">
        <v>90</v>
      </c>
      <c r="D4254" s="259" t="s">
        <v>16987</v>
      </c>
      <c r="E4254" s="210" t="s">
        <v>201</v>
      </c>
    </row>
    <row r="4255" spans="1:5" ht="27">
      <c r="A4255" s="258">
        <v>96814</v>
      </c>
      <c r="B4255" s="257" t="s">
        <v>4912</v>
      </c>
      <c r="C4255" s="257" t="s">
        <v>90</v>
      </c>
      <c r="D4255" s="259" t="s">
        <v>17047</v>
      </c>
      <c r="E4255" s="210" t="s">
        <v>201</v>
      </c>
    </row>
    <row r="4256" spans="1:5" ht="27">
      <c r="A4256" s="258">
        <v>96815</v>
      </c>
      <c r="B4256" s="257" t="s">
        <v>4913</v>
      </c>
      <c r="C4256" s="257" t="s">
        <v>90</v>
      </c>
      <c r="D4256" s="259" t="s">
        <v>14536</v>
      </c>
      <c r="E4256" s="210" t="s">
        <v>201</v>
      </c>
    </row>
    <row r="4257" spans="1:5" ht="27">
      <c r="A4257" s="258">
        <v>96816</v>
      </c>
      <c r="B4257" s="257" t="s">
        <v>4914</v>
      </c>
      <c r="C4257" s="257" t="s">
        <v>90</v>
      </c>
      <c r="D4257" s="259" t="s">
        <v>16884</v>
      </c>
      <c r="E4257" s="210" t="s">
        <v>201</v>
      </c>
    </row>
    <row r="4258" spans="1:5" ht="27">
      <c r="A4258" s="258">
        <v>96817</v>
      </c>
      <c r="B4258" s="257" t="s">
        <v>4915</v>
      </c>
      <c r="C4258" s="257" t="s">
        <v>90</v>
      </c>
      <c r="D4258" s="259" t="s">
        <v>17048</v>
      </c>
      <c r="E4258" s="210" t="s">
        <v>201</v>
      </c>
    </row>
    <row r="4259" spans="1:5" ht="27">
      <c r="A4259" s="258">
        <v>96818</v>
      </c>
      <c r="B4259" s="257" t="s">
        <v>4916</v>
      </c>
      <c r="C4259" s="257" t="s">
        <v>90</v>
      </c>
      <c r="D4259" s="259" t="s">
        <v>17049</v>
      </c>
      <c r="E4259" s="210" t="s">
        <v>201</v>
      </c>
    </row>
    <row r="4260" spans="1:5" ht="27">
      <c r="A4260" s="258">
        <v>96819</v>
      </c>
      <c r="B4260" s="257" t="s">
        <v>4917</v>
      </c>
      <c r="C4260" s="257" t="s">
        <v>90</v>
      </c>
      <c r="D4260" s="259" t="s">
        <v>17049</v>
      </c>
      <c r="E4260" s="210" t="s">
        <v>201</v>
      </c>
    </row>
    <row r="4261" spans="1:5" ht="27">
      <c r="A4261" s="258">
        <v>96820</v>
      </c>
      <c r="B4261" s="257" t="s">
        <v>4918</v>
      </c>
      <c r="C4261" s="257" t="s">
        <v>90</v>
      </c>
      <c r="D4261" s="259" t="s">
        <v>17050</v>
      </c>
      <c r="E4261" s="210" t="s">
        <v>201</v>
      </c>
    </row>
    <row r="4262" spans="1:5" ht="27">
      <c r="A4262" s="258">
        <v>96821</v>
      </c>
      <c r="B4262" s="257" t="s">
        <v>4919</v>
      </c>
      <c r="C4262" s="257" t="s">
        <v>90</v>
      </c>
      <c r="D4262" s="259" t="s">
        <v>17051</v>
      </c>
      <c r="E4262" s="210" t="s">
        <v>201</v>
      </c>
    </row>
    <row r="4263" spans="1:5" ht="27">
      <c r="A4263" s="258">
        <v>96822</v>
      </c>
      <c r="B4263" s="257" t="s">
        <v>4920</v>
      </c>
      <c r="C4263" s="257" t="s">
        <v>90</v>
      </c>
      <c r="D4263" s="259" t="s">
        <v>17052</v>
      </c>
      <c r="E4263" s="210" t="s">
        <v>201</v>
      </c>
    </row>
    <row r="4264" spans="1:5" ht="27">
      <c r="A4264" s="258">
        <v>96823</v>
      </c>
      <c r="B4264" s="257" t="s">
        <v>4921</v>
      </c>
      <c r="C4264" s="257" t="s">
        <v>90</v>
      </c>
      <c r="D4264" s="259" t="s">
        <v>14433</v>
      </c>
      <c r="E4264" s="210" t="s">
        <v>201</v>
      </c>
    </row>
    <row r="4265" spans="1:5" ht="27">
      <c r="A4265" s="258">
        <v>96824</v>
      </c>
      <c r="B4265" s="257" t="s">
        <v>4922</v>
      </c>
      <c r="C4265" s="257" t="s">
        <v>90</v>
      </c>
      <c r="D4265" s="259" t="s">
        <v>16931</v>
      </c>
      <c r="E4265" s="210" t="s">
        <v>201</v>
      </c>
    </row>
    <row r="4266" spans="1:5" ht="27">
      <c r="A4266" s="258">
        <v>96825</v>
      </c>
      <c r="B4266" s="257" t="s">
        <v>4923</v>
      </c>
      <c r="C4266" s="257" t="s">
        <v>90</v>
      </c>
      <c r="D4266" s="259" t="s">
        <v>17053</v>
      </c>
      <c r="E4266" s="210" t="s">
        <v>201</v>
      </c>
    </row>
    <row r="4267" spans="1:5" ht="27">
      <c r="A4267" s="258">
        <v>96826</v>
      </c>
      <c r="B4267" s="257" t="s">
        <v>4924</v>
      </c>
      <c r="C4267" s="257" t="s">
        <v>90</v>
      </c>
      <c r="D4267" s="259" t="s">
        <v>17054</v>
      </c>
      <c r="E4267" s="210" t="s">
        <v>201</v>
      </c>
    </row>
    <row r="4268" spans="1:5" ht="27">
      <c r="A4268" s="258">
        <v>96827</v>
      </c>
      <c r="B4268" s="257" t="s">
        <v>4925</v>
      </c>
      <c r="C4268" s="257" t="s">
        <v>90</v>
      </c>
      <c r="D4268" s="259" t="s">
        <v>17055</v>
      </c>
      <c r="E4268" s="210" t="s">
        <v>201</v>
      </c>
    </row>
    <row r="4269" spans="1:5" ht="27">
      <c r="A4269" s="258">
        <v>96828</v>
      </c>
      <c r="B4269" s="257" t="s">
        <v>4926</v>
      </c>
      <c r="C4269" s="257" t="s">
        <v>90</v>
      </c>
      <c r="D4269" s="259" t="s">
        <v>17056</v>
      </c>
      <c r="E4269" s="210" t="s">
        <v>201</v>
      </c>
    </row>
    <row r="4270" spans="1:5" ht="27">
      <c r="A4270" s="258">
        <v>96829</v>
      </c>
      <c r="B4270" s="257" t="s">
        <v>4927</v>
      </c>
      <c r="C4270" s="257" t="s">
        <v>90</v>
      </c>
      <c r="D4270" s="259" t="s">
        <v>17057</v>
      </c>
      <c r="E4270" s="210" t="s">
        <v>201</v>
      </c>
    </row>
    <row r="4271" spans="1:5" ht="27">
      <c r="A4271" s="258">
        <v>96830</v>
      </c>
      <c r="B4271" s="257" t="s">
        <v>4928</v>
      </c>
      <c r="C4271" s="257" t="s">
        <v>90</v>
      </c>
      <c r="D4271" s="259" t="s">
        <v>17058</v>
      </c>
      <c r="E4271" s="210" t="s">
        <v>201</v>
      </c>
    </row>
    <row r="4272" spans="1:5" ht="27">
      <c r="A4272" s="258">
        <v>96831</v>
      </c>
      <c r="B4272" s="257" t="s">
        <v>4929</v>
      </c>
      <c r="C4272" s="257" t="s">
        <v>90</v>
      </c>
      <c r="D4272" s="259" t="s">
        <v>17059</v>
      </c>
      <c r="E4272" s="210" t="s">
        <v>201</v>
      </c>
    </row>
    <row r="4273" spans="1:5" ht="27">
      <c r="A4273" s="258">
        <v>96832</v>
      </c>
      <c r="B4273" s="257" t="s">
        <v>4930</v>
      </c>
      <c r="C4273" s="257" t="s">
        <v>90</v>
      </c>
      <c r="D4273" s="259" t="s">
        <v>16642</v>
      </c>
      <c r="E4273" s="210" t="s">
        <v>201</v>
      </c>
    </row>
    <row r="4274" spans="1:5" ht="27">
      <c r="A4274" s="258">
        <v>96833</v>
      </c>
      <c r="B4274" s="257" t="s">
        <v>4931</v>
      </c>
      <c r="C4274" s="257" t="s">
        <v>90</v>
      </c>
      <c r="D4274" s="259" t="s">
        <v>17060</v>
      </c>
      <c r="E4274" s="210" t="s">
        <v>201</v>
      </c>
    </row>
    <row r="4275" spans="1:5" ht="27">
      <c r="A4275" s="258">
        <v>96834</v>
      </c>
      <c r="B4275" s="257" t="s">
        <v>4932</v>
      </c>
      <c r="C4275" s="257" t="s">
        <v>90</v>
      </c>
      <c r="D4275" s="259" t="s">
        <v>17061</v>
      </c>
      <c r="E4275" s="210" t="s">
        <v>201</v>
      </c>
    </row>
    <row r="4276" spans="1:5" ht="27">
      <c r="A4276" s="258">
        <v>96835</v>
      </c>
      <c r="B4276" s="257" t="s">
        <v>4933</v>
      </c>
      <c r="C4276" s="257" t="s">
        <v>90</v>
      </c>
      <c r="D4276" s="259" t="s">
        <v>17062</v>
      </c>
      <c r="E4276" s="210" t="s">
        <v>201</v>
      </c>
    </row>
    <row r="4277" spans="1:5" ht="27">
      <c r="A4277" s="258">
        <v>96836</v>
      </c>
      <c r="B4277" s="257" t="s">
        <v>4934</v>
      </c>
      <c r="C4277" s="257" t="s">
        <v>90</v>
      </c>
      <c r="D4277" s="259" t="s">
        <v>17063</v>
      </c>
      <c r="E4277" s="210" t="s">
        <v>201</v>
      </c>
    </row>
    <row r="4278" spans="1:5" ht="27">
      <c r="A4278" s="258">
        <v>96837</v>
      </c>
      <c r="B4278" s="257" t="s">
        <v>4935</v>
      </c>
      <c r="C4278" s="257" t="s">
        <v>90</v>
      </c>
      <c r="D4278" s="259" t="s">
        <v>17064</v>
      </c>
      <c r="E4278" s="210" t="s">
        <v>201</v>
      </c>
    </row>
    <row r="4279" spans="1:5" ht="27">
      <c r="A4279" s="258">
        <v>96838</v>
      </c>
      <c r="B4279" s="257" t="s">
        <v>4936</v>
      </c>
      <c r="C4279" s="257" t="s">
        <v>90</v>
      </c>
      <c r="D4279" s="259" t="s">
        <v>15597</v>
      </c>
      <c r="E4279" s="210" t="s">
        <v>201</v>
      </c>
    </row>
    <row r="4280" spans="1:5" ht="27">
      <c r="A4280" s="258">
        <v>96839</v>
      </c>
      <c r="B4280" s="257" t="s">
        <v>4937</v>
      </c>
      <c r="C4280" s="257" t="s">
        <v>90</v>
      </c>
      <c r="D4280" s="259" t="s">
        <v>17065</v>
      </c>
      <c r="E4280" s="210" t="s">
        <v>201</v>
      </c>
    </row>
    <row r="4281" spans="1:5" ht="27">
      <c r="A4281" s="258">
        <v>96840</v>
      </c>
      <c r="B4281" s="257" t="s">
        <v>4938</v>
      </c>
      <c r="C4281" s="257" t="s">
        <v>90</v>
      </c>
      <c r="D4281" s="259" t="s">
        <v>17066</v>
      </c>
      <c r="E4281" s="210" t="s">
        <v>201</v>
      </c>
    </row>
    <row r="4282" spans="1:5" ht="27">
      <c r="A4282" s="258">
        <v>96841</v>
      </c>
      <c r="B4282" s="257" t="s">
        <v>4939</v>
      </c>
      <c r="C4282" s="257" t="s">
        <v>90</v>
      </c>
      <c r="D4282" s="259" t="s">
        <v>17067</v>
      </c>
      <c r="E4282" s="210" t="s">
        <v>201</v>
      </c>
    </row>
    <row r="4283" spans="1:5" ht="27">
      <c r="A4283" s="258">
        <v>96842</v>
      </c>
      <c r="B4283" s="257" t="s">
        <v>4940</v>
      </c>
      <c r="C4283" s="257" t="s">
        <v>90</v>
      </c>
      <c r="D4283" s="259" t="s">
        <v>16189</v>
      </c>
      <c r="E4283" s="210" t="s">
        <v>201</v>
      </c>
    </row>
    <row r="4284" spans="1:5" ht="27">
      <c r="A4284" s="258">
        <v>96843</v>
      </c>
      <c r="B4284" s="257" t="s">
        <v>4941</v>
      </c>
      <c r="C4284" s="257" t="s">
        <v>90</v>
      </c>
      <c r="D4284" s="259" t="s">
        <v>17068</v>
      </c>
      <c r="E4284" s="210" t="s">
        <v>201</v>
      </c>
    </row>
    <row r="4285" spans="1:5" ht="27">
      <c r="A4285" s="258">
        <v>96844</v>
      </c>
      <c r="B4285" s="257" t="s">
        <v>4942</v>
      </c>
      <c r="C4285" s="257" t="s">
        <v>90</v>
      </c>
      <c r="D4285" s="259" t="s">
        <v>17069</v>
      </c>
      <c r="E4285" s="210" t="s">
        <v>201</v>
      </c>
    </row>
    <row r="4286" spans="1:5" ht="27">
      <c r="A4286" s="258">
        <v>96845</v>
      </c>
      <c r="B4286" s="257" t="s">
        <v>4943</v>
      </c>
      <c r="C4286" s="257" t="s">
        <v>90</v>
      </c>
      <c r="D4286" s="259" t="s">
        <v>17070</v>
      </c>
      <c r="E4286" s="210" t="s">
        <v>201</v>
      </c>
    </row>
    <row r="4287" spans="1:5" ht="27">
      <c r="A4287" s="258">
        <v>96846</v>
      </c>
      <c r="B4287" s="257" t="s">
        <v>4944</v>
      </c>
      <c r="C4287" s="257" t="s">
        <v>90</v>
      </c>
      <c r="D4287" s="259" t="s">
        <v>14734</v>
      </c>
      <c r="E4287" s="210" t="s">
        <v>201</v>
      </c>
    </row>
    <row r="4288" spans="1:5" ht="27">
      <c r="A4288" s="258">
        <v>96847</v>
      </c>
      <c r="B4288" s="257" t="s">
        <v>4945</v>
      </c>
      <c r="C4288" s="257" t="s">
        <v>90</v>
      </c>
      <c r="D4288" s="259" t="s">
        <v>17071</v>
      </c>
      <c r="E4288" s="210" t="s">
        <v>201</v>
      </c>
    </row>
    <row r="4289" spans="1:6" ht="27">
      <c r="A4289" s="258">
        <v>96848</v>
      </c>
      <c r="B4289" s="257" t="s">
        <v>4946</v>
      </c>
      <c r="C4289" s="257" t="s">
        <v>90</v>
      </c>
      <c r="D4289" s="259" t="s">
        <v>17072</v>
      </c>
      <c r="E4289" s="210" t="s">
        <v>201</v>
      </c>
    </row>
    <row r="4290" spans="1:6" ht="27">
      <c r="A4290" s="258">
        <v>96849</v>
      </c>
      <c r="B4290" s="257" t="s">
        <v>4947</v>
      </c>
      <c r="C4290" s="257" t="s">
        <v>90</v>
      </c>
      <c r="D4290" s="259" t="s">
        <v>17073</v>
      </c>
      <c r="E4290" s="210" t="s">
        <v>201</v>
      </c>
    </row>
    <row r="4291" spans="1:6" ht="27">
      <c r="A4291" s="258">
        <v>96850</v>
      </c>
      <c r="B4291" s="257" t="s">
        <v>4948</v>
      </c>
      <c r="C4291" s="257" t="s">
        <v>90</v>
      </c>
      <c r="D4291" s="259" t="s">
        <v>17074</v>
      </c>
      <c r="E4291" s="210" t="s">
        <v>201</v>
      </c>
    </row>
    <row r="4292" spans="1:6" ht="27">
      <c r="A4292" s="258">
        <v>96851</v>
      </c>
      <c r="B4292" s="257" t="s">
        <v>4949</v>
      </c>
      <c r="C4292" s="257" t="s">
        <v>90</v>
      </c>
      <c r="D4292" s="259" t="s">
        <v>17075</v>
      </c>
      <c r="E4292" s="210" t="s">
        <v>201</v>
      </c>
    </row>
    <row r="4293" spans="1:6" ht="27">
      <c r="A4293" s="258">
        <v>96852</v>
      </c>
      <c r="B4293" s="257" t="s">
        <v>4950</v>
      </c>
      <c r="C4293" s="257" t="s">
        <v>90</v>
      </c>
      <c r="D4293" s="259" t="s">
        <v>17076</v>
      </c>
      <c r="E4293" s="210" t="s">
        <v>201</v>
      </c>
    </row>
    <row r="4294" spans="1:6" ht="27">
      <c r="A4294" s="258">
        <v>96853</v>
      </c>
      <c r="B4294" s="257" t="s">
        <v>4951</v>
      </c>
      <c r="C4294" s="257" t="s">
        <v>90</v>
      </c>
      <c r="D4294" s="259" t="s">
        <v>17077</v>
      </c>
      <c r="E4294" s="210" t="s">
        <v>201</v>
      </c>
    </row>
    <row r="4295" spans="1:6" ht="27">
      <c r="A4295" s="258">
        <v>96854</v>
      </c>
      <c r="B4295" s="257" t="s">
        <v>4952</v>
      </c>
      <c r="C4295" s="257" t="s">
        <v>90</v>
      </c>
      <c r="D4295" s="259" t="s">
        <v>17078</v>
      </c>
      <c r="E4295" s="210" t="s">
        <v>201</v>
      </c>
    </row>
    <row r="4296" spans="1:6" ht="27">
      <c r="A4296" s="258">
        <v>96855</v>
      </c>
      <c r="B4296" s="257" t="s">
        <v>4953</v>
      </c>
      <c r="C4296" s="257" t="s">
        <v>90</v>
      </c>
      <c r="D4296" s="259" t="s">
        <v>16468</v>
      </c>
      <c r="E4296" s="210" t="s">
        <v>201</v>
      </c>
    </row>
    <row r="4297" spans="1:6" ht="27">
      <c r="A4297" s="258">
        <v>96856</v>
      </c>
      <c r="B4297" s="257" t="s">
        <v>4954</v>
      </c>
      <c r="C4297" s="257" t="s">
        <v>90</v>
      </c>
      <c r="D4297" s="259" t="s">
        <v>17079</v>
      </c>
      <c r="E4297" s="210" t="s">
        <v>201</v>
      </c>
    </row>
    <row r="4298" spans="1:6" ht="27">
      <c r="A4298" s="258">
        <v>96857</v>
      </c>
      <c r="B4298" s="257" t="s">
        <v>4955</v>
      </c>
      <c r="C4298" s="257" t="s">
        <v>90</v>
      </c>
      <c r="D4298" s="259" t="s">
        <v>17080</v>
      </c>
      <c r="E4298" s="210" t="s">
        <v>201</v>
      </c>
    </row>
    <row r="4299" spans="1:6" ht="27">
      <c r="A4299" s="258">
        <v>96858</v>
      </c>
      <c r="B4299" s="257" t="s">
        <v>4956</v>
      </c>
      <c r="C4299" s="257" t="s">
        <v>90</v>
      </c>
      <c r="D4299" s="259" t="s">
        <v>17081</v>
      </c>
      <c r="E4299" s="210" t="s">
        <v>201</v>
      </c>
    </row>
    <row r="4300" spans="1:6" ht="27">
      <c r="A4300" s="258">
        <v>96859</v>
      </c>
      <c r="B4300" s="257" t="s">
        <v>4957</v>
      </c>
      <c r="C4300" s="257" t="s">
        <v>90</v>
      </c>
      <c r="D4300" s="259" t="s">
        <v>15951</v>
      </c>
      <c r="E4300" s="210" t="s">
        <v>201</v>
      </c>
    </row>
    <row r="4301" spans="1:6" ht="27">
      <c r="A4301" s="258">
        <v>96860</v>
      </c>
      <c r="B4301" s="257" t="s">
        <v>4958</v>
      </c>
      <c r="C4301" s="257" t="s">
        <v>90</v>
      </c>
      <c r="D4301" s="259" t="s">
        <v>17082</v>
      </c>
      <c r="E4301" s="210" t="s">
        <v>201</v>
      </c>
    </row>
    <row r="4302" spans="1:6" ht="27">
      <c r="A4302" s="258">
        <v>96861</v>
      </c>
      <c r="B4302" s="257" t="s">
        <v>4959</v>
      </c>
      <c r="C4302" s="257" t="s">
        <v>90</v>
      </c>
      <c r="D4302" s="259" t="s">
        <v>17083</v>
      </c>
      <c r="E4302" s="210" t="s">
        <v>201</v>
      </c>
    </row>
    <row r="4303" spans="1:6" s="315" customFormat="1" ht="27">
      <c r="A4303" s="311">
        <v>96862</v>
      </c>
      <c r="B4303" s="312" t="s">
        <v>4960</v>
      </c>
      <c r="C4303" s="312" t="s">
        <v>90</v>
      </c>
      <c r="D4303" s="313" t="s">
        <v>17079</v>
      </c>
      <c r="E4303" s="314" t="s">
        <v>201</v>
      </c>
      <c r="F4303" s="352"/>
    </row>
    <row r="4304" spans="1:6" s="315" customFormat="1" ht="27">
      <c r="A4304" s="311">
        <v>96863</v>
      </c>
      <c r="B4304" s="312" t="s">
        <v>4961</v>
      </c>
      <c r="C4304" s="312" t="s">
        <v>90</v>
      </c>
      <c r="D4304" s="313" t="s">
        <v>17084</v>
      </c>
      <c r="E4304" s="314" t="s">
        <v>201</v>
      </c>
      <c r="F4304" s="352"/>
    </row>
    <row r="4305" spans="1:6" s="315" customFormat="1" ht="27">
      <c r="A4305" s="311">
        <v>96864</v>
      </c>
      <c r="B4305" s="312" t="s">
        <v>4962</v>
      </c>
      <c r="C4305" s="312" t="s">
        <v>90</v>
      </c>
      <c r="D4305" s="313" t="s">
        <v>17085</v>
      </c>
      <c r="E4305" s="314" t="s">
        <v>201</v>
      </c>
      <c r="F4305" s="352"/>
    </row>
    <row r="4306" spans="1:6" s="315" customFormat="1" ht="27">
      <c r="A4306" s="311">
        <v>96865</v>
      </c>
      <c r="B4306" s="312" t="s">
        <v>4963</v>
      </c>
      <c r="C4306" s="312" t="s">
        <v>90</v>
      </c>
      <c r="D4306" s="313" t="s">
        <v>14029</v>
      </c>
      <c r="E4306" s="314" t="s">
        <v>201</v>
      </c>
      <c r="F4306" s="352"/>
    </row>
    <row r="4307" spans="1:6" s="315" customFormat="1" ht="27">
      <c r="A4307" s="311">
        <v>96866</v>
      </c>
      <c r="B4307" s="312" t="s">
        <v>4964</v>
      </c>
      <c r="C4307" s="312" t="s">
        <v>90</v>
      </c>
      <c r="D4307" s="313" t="s">
        <v>17086</v>
      </c>
      <c r="E4307" s="314" t="s">
        <v>201</v>
      </c>
      <c r="F4307" s="352"/>
    </row>
    <row r="4308" spans="1:6" ht="27">
      <c r="A4308" s="258">
        <v>96867</v>
      </c>
      <c r="B4308" s="257" t="s">
        <v>4965</v>
      </c>
      <c r="C4308" s="257" t="s">
        <v>90</v>
      </c>
      <c r="D4308" s="259" t="s">
        <v>17087</v>
      </c>
      <c r="E4308" s="210" t="s">
        <v>201</v>
      </c>
    </row>
    <row r="4309" spans="1:6" ht="27">
      <c r="A4309" s="258">
        <v>96868</v>
      </c>
      <c r="B4309" s="257" t="s">
        <v>4966</v>
      </c>
      <c r="C4309" s="257" t="s">
        <v>90</v>
      </c>
      <c r="D4309" s="259" t="s">
        <v>15846</v>
      </c>
      <c r="E4309" s="210" t="s">
        <v>201</v>
      </c>
    </row>
    <row r="4310" spans="1:6" ht="27">
      <c r="A4310" s="258">
        <v>96869</v>
      </c>
      <c r="B4310" s="257" t="s">
        <v>4967</v>
      </c>
      <c r="C4310" s="257" t="s">
        <v>90</v>
      </c>
      <c r="D4310" s="259" t="s">
        <v>16840</v>
      </c>
      <c r="E4310" s="210" t="s">
        <v>201</v>
      </c>
    </row>
    <row r="4311" spans="1:6" ht="13.5">
      <c r="A4311" s="258">
        <v>96870</v>
      </c>
      <c r="B4311" s="257" t="s">
        <v>4968</v>
      </c>
      <c r="C4311" s="257" t="s">
        <v>90</v>
      </c>
      <c r="D4311" s="259" t="s">
        <v>17088</v>
      </c>
      <c r="E4311" s="210" t="s">
        <v>201</v>
      </c>
    </row>
    <row r="4312" spans="1:6" ht="27">
      <c r="A4312" s="258">
        <v>96871</v>
      </c>
      <c r="B4312" s="257" t="s">
        <v>4969</v>
      </c>
      <c r="C4312" s="257" t="s">
        <v>90</v>
      </c>
      <c r="D4312" s="259" t="s">
        <v>16276</v>
      </c>
      <c r="E4312" s="210" t="s">
        <v>201</v>
      </c>
    </row>
    <row r="4313" spans="1:6" ht="27">
      <c r="A4313" s="258">
        <v>96872</v>
      </c>
      <c r="B4313" s="257" t="s">
        <v>4970</v>
      </c>
      <c r="C4313" s="257" t="s">
        <v>90</v>
      </c>
      <c r="D4313" s="259" t="s">
        <v>17089</v>
      </c>
      <c r="E4313" s="210" t="s">
        <v>201</v>
      </c>
    </row>
    <row r="4314" spans="1:6" ht="27">
      <c r="A4314" s="258">
        <v>96873</v>
      </c>
      <c r="B4314" s="257" t="s">
        <v>4971</v>
      </c>
      <c r="C4314" s="257" t="s">
        <v>90</v>
      </c>
      <c r="D4314" s="259" t="s">
        <v>17090</v>
      </c>
      <c r="E4314" s="210" t="s">
        <v>201</v>
      </c>
    </row>
    <row r="4315" spans="1:6" ht="27">
      <c r="A4315" s="258">
        <v>96874</v>
      </c>
      <c r="B4315" s="257" t="s">
        <v>4972</v>
      </c>
      <c r="C4315" s="257" t="s">
        <v>90</v>
      </c>
      <c r="D4315" s="259" t="s">
        <v>17091</v>
      </c>
      <c r="E4315" s="210" t="s">
        <v>201</v>
      </c>
    </row>
    <row r="4316" spans="1:6" ht="27">
      <c r="A4316" s="258">
        <v>96875</v>
      </c>
      <c r="B4316" s="257" t="s">
        <v>4973</v>
      </c>
      <c r="C4316" s="257" t="s">
        <v>90</v>
      </c>
      <c r="D4316" s="259" t="s">
        <v>17092</v>
      </c>
      <c r="E4316" s="210" t="s">
        <v>201</v>
      </c>
    </row>
    <row r="4317" spans="1:6" ht="27">
      <c r="A4317" s="258">
        <v>96876</v>
      </c>
      <c r="B4317" s="257" t="s">
        <v>4974</v>
      </c>
      <c r="C4317" s="257" t="s">
        <v>90</v>
      </c>
      <c r="D4317" s="259" t="s">
        <v>17093</v>
      </c>
      <c r="E4317" s="210" t="s">
        <v>201</v>
      </c>
    </row>
    <row r="4318" spans="1:6" ht="27">
      <c r="A4318" s="258">
        <v>96877</v>
      </c>
      <c r="B4318" s="257" t="s">
        <v>4975</v>
      </c>
      <c r="C4318" s="257" t="s">
        <v>90</v>
      </c>
      <c r="D4318" s="259" t="s">
        <v>17094</v>
      </c>
      <c r="E4318" s="210" t="s">
        <v>201</v>
      </c>
    </row>
    <row r="4319" spans="1:6" ht="27">
      <c r="A4319" s="258">
        <v>96878</v>
      </c>
      <c r="B4319" s="257" t="s">
        <v>4976</v>
      </c>
      <c r="C4319" s="257" t="s">
        <v>90</v>
      </c>
      <c r="D4319" s="259" t="s">
        <v>17095</v>
      </c>
      <c r="E4319" s="210" t="s">
        <v>201</v>
      </c>
    </row>
    <row r="4320" spans="1:6" ht="27">
      <c r="A4320" s="258">
        <v>96879</v>
      </c>
      <c r="B4320" s="257" t="s">
        <v>4977</v>
      </c>
      <c r="C4320" s="257" t="s">
        <v>90</v>
      </c>
      <c r="D4320" s="259" t="s">
        <v>17096</v>
      </c>
      <c r="E4320" s="210" t="s">
        <v>201</v>
      </c>
    </row>
    <row r="4321" spans="1:5" ht="27">
      <c r="A4321" s="258">
        <v>96880</v>
      </c>
      <c r="B4321" s="257" t="s">
        <v>4978</v>
      </c>
      <c r="C4321" s="257" t="s">
        <v>90</v>
      </c>
      <c r="D4321" s="259" t="s">
        <v>17097</v>
      </c>
      <c r="E4321" s="210" t="s">
        <v>201</v>
      </c>
    </row>
    <row r="4322" spans="1:5" ht="27">
      <c r="A4322" s="258">
        <v>96881</v>
      </c>
      <c r="B4322" s="257" t="s">
        <v>4979</v>
      </c>
      <c r="C4322" s="257" t="s">
        <v>90</v>
      </c>
      <c r="D4322" s="259" t="s">
        <v>17098</v>
      </c>
      <c r="E4322" s="210" t="s">
        <v>201</v>
      </c>
    </row>
    <row r="4323" spans="1:5" ht="27">
      <c r="A4323" s="258">
        <v>97425</v>
      </c>
      <c r="B4323" s="257" t="s">
        <v>5825</v>
      </c>
      <c r="C4323" s="257" t="s">
        <v>90</v>
      </c>
      <c r="D4323" s="259" t="s">
        <v>14446</v>
      </c>
      <c r="E4323" s="210" t="s">
        <v>201</v>
      </c>
    </row>
    <row r="4324" spans="1:5" ht="27">
      <c r="A4324" s="258">
        <v>97426</v>
      </c>
      <c r="B4324" s="257" t="s">
        <v>5826</v>
      </c>
      <c r="C4324" s="257" t="s">
        <v>90</v>
      </c>
      <c r="D4324" s="259" t="s">
        <v>14061</v>
      </c>
      <c r="E4324" s="210" t="s">
        <v>201</v>
      </c>
    </row>
    <row r="4325" spans="1:5" ht="27">
      <c r="A4325" s="258">
        <v>97427</v>
      </c>
      <c r="B4325" s="257" t="s">
        <v>5827</v>
      </c>
      <c r="C4325" s="257" t="s">
        <v>90</v>
      </c>
      <c r="D4325" s="259" t="s">
        <v>16666</v>
      </c>
      <c r="E4325" s="210" t="s">
        <v>201</v>
      </c>
    </row>
    <row r="4326" spans="1:5" ht="27">
      <c r="A4326" s="258">
        <v>97428</v>
      </c>
      <c r="B4326" s="257" t="s">
        <v>5828</v>
      </c>
      <c r="C4326" s="257" t="s">
        <v>90</v>
      </c>
      <c r="D4326" s="259" t="s">
        <v>15689</v>
      </c>
      <c r="E4326" s="210" t="s">
        <v>201</v>
      </c>
    </row>
    <row r="4327" spans="1:5" ht="27">
      <c r="A4327" s="258">
        <v>97429</v>
      </c>
      <c r="B4327" s="257" t="s">
        <v>5829</v>
      </c>
      <c r="C4327" s="257" t="s">
        <v>90</v>
      </c>
      <c r="D4327" s="259" t="s">
        <v>17099</v>
      </c>
      <c r="E4327" s="210" t="s">
        <v>201</v>
      </c>
    </row>
    <row r="4328" spans="1:5" ht="27">
      <c r="A4328" s="258">
        <v>97430</v>
      </c>
      <c r="B4328" s="257" t="s">
        <v>5830</v>
      </c>
      <c r="C4328" s="257" t="s">
        <v>90</v>
      </c>
      <c r="D4328" s="259" t="s">
        <v>17100</v>
      </c>
      <c r="E4328" s="210" t="s">
        <v>201</v>
      </c>
    </row>
    <row r="4329" spans="1:5" ht="27">
      <c r="A4329" s="258">
        <v>97431</v>
      </c>
      <c r="B4329" s="257" t="s">
        <v>5831</v>
      </c>
      <c r="C4329" s="257" t="s">
        <v>90</v>
      </c>
      <c r="D4329" s="260" t="s">
        <v>17101</v>
      </c>
      <c r="E4329" s="210" t="s">
        <v>201</v>
      </c>
    </row>
    <row r="4330" spans="1:5" ht="27">
      <c r="A4330" s="258">
        <v>97432</v>
      </c>
      <c r="B4330" s="257" t="s">
        <v>5832</v>
      </c>
      <c r="C4330" s="257" t="s">
        <v>90</v>
      </c>
      <c r="D4330" s="260" t="s">
        <v>14046</v>
      </c>
      <c r="E4330" s="210" t="s">
        <v>201</v>
      </c>
    </row>
    <row r="4331" spans="1:5" ht="27">
      <c r="A4331" s="258">
        <v>97433</v>
      </c>
      <c r="B4331" s="257" t="s">
        <v>5833</v>
      </c>
      <c r="C4331" s="257" t="s">
        <v>90</v>
      </c>
      <c r="D4331" s="259" t="s">
        <v>17102</v>
      </c>
      <c r="E4331" s="210" t="s">
        <v>201</v>
      </c>
    </row>
    <row r="4332" spans="1:5" ht="27">
      <c r="A4332" s="258">
        <v>97434</v>
      </c>
      <c r="B4332" s="257" t="s">
        <v>5834</v>
      </c>
      <c r="C4332" s="257" t="s">
        <v>90</v>
      </c>
      <c r="D4332" s="259" t="s">
        <v>17103</v>
      </c>
      <c r="E4332" s="210" t="s">
        <v>201</v>
      </c>
    </row>
    <row r="4333" spans="1:5" ht="27">
      <c r="A4333" s="258">
        <v>97435</v>
      </c>
      <c r="B4333" s="257" t="s">
        <v>5835</v>
      </c>
      <c r="C4333" s="257" t="s">
        <v>90</v>
      </c>
      <c r="D4333" s="259" t="s">
        <v>17104</v>
      </c>
      <c r="E4333" s="210" t="s">
        <v>201</v>
      </c>
    </row>
    <row r="4334" spans="1:5" ht="27">
      <c r="A4334" s="258">
        <v>97436</v>
      </c>
      <c r="B4334" s="257" t="s">
        <v>5836</v>
      </c>
      <c r="C4334" s="257" t="s">
        <v>90</v>
      </c>
      <c r="D4334" s="259" t="s">
        <v>17105</v>
      </c>
      <c r="E4334" s="210" t="s">
        <v>201</v>
      </c>
    </row>
    <row r="4335" spans="1:5" ht="27">
      <c r="A4335" s="258">
        <v>97437</v>
      </c>
      <c r="B4335" s="257" t="s">
        <v>5837</v>
      </c>
      <c r="C4335" s="257" t="s">
        <v>90</v>
      </c>
      <c r="D4335" s="259" t="s">
        <v>17106</v>
      </c>
      <c r="E4335" s="210" t="s">
        <v>201</v>
      </c>
    </row>
    <row r="4336" spans="1:5" ht="27">
      <c r="A4336" s="258">
        <v>97438</v>
      </c>
      <c r="B4336" s="257" t="s">
        <v>5838</v>
      </c>
      <c r="C4336" s="257" t="s">
        <v>90</v>
      </c>
      <c r="D4336" s="259" t="s">
        <v>17107</v>
      </c>
      <c r="E4336" s="210" t="s">
        <v>201</v>
      </c>
    </row>
    <row r="4337" spans="1:5" ht="27">
      <c r="A4337" s="258">
        <v>97439</v>
      </c>
      <c r="B4337" s="257" t="s">
        <v>5839</v>
      </c>
      <c r="C4337" s="257" t="s">
        <v>90</v>
      </c>
      <c r="D4337" s="259" t="s">
        <v>17108</v>
      </c>
      <c r="E4337" s="210" t="s">
        <v>201</v>
      </c>
    </row>
    <row r="4338" spans="1:5" ht="27">
      <c r="A4338" s="258">
        <v>97440</v>
      </c>
      <c r="B4338" s="257" t="s">
        <v>5840</v>
      </c>
      <c r="C4338" s="257" t="s">
        <v>90</v>
      </c>
      <c r="D4338" s="259" t="s">
        <v>17109</v>
      </c>
      <c r="E4338" s="210" t="s">
        <v>201</v>
      </c>
    </row>
    <row r="4339" spans="1:5" ht="27">
      <c r="A4339" s="258">
        <v>97442</v>
      </c>
      <c r="B4339" s="257" t="s">
        <v>5841</v>
      </c>
      <c r="C4339" s="257" t="s">
        <v>90</v>
      </c>
      <c r="D4339" s="259" t="s">
        <v>17110</v>
      </c>
      <c r="E4339" s="210" t="s">
        <v>201</v>
      </c>
    </row>
    <row r="4340" spans="1:5" ht="27">
      <c r="A4340" s="258">
        <v>97443</v>
      </c>
      <c r="B4340" s="257" t="s">
        <v>5842</v>
      </c>
      <c r="C4340" s="257" t="s">
        <v>90</v>
      </c>
      <c r="D4340" s="259" t="s">
        <v>17111</v>
      </c>
      <c r="E4340" s="210" t="s">
        <v>201</v>
      </c>
    </row>
    <row r="4341" spans="1:5" ht="27">
      <c r="A4341" s="257">
        <v>97444</v>
      </c>
      <c r="B4341" s="257" t="s">
        <v>5843</v>
      </c>
      <c r="C4341" s="257" t="s">
        <v>90</v>
      </c>
      <c r="D4341" s="259" t="s">
        <v>13801</v>
      </c>
      <c r="E4341" s="210" t="s">
        <v>201</v>
      </c>
    </row>
    <row r="4342" spans="1:5" ht="27">
      <c r="A4342" s="257">
        <v>97446</v>
      </c>
      <c r="B4342" s="257" t="s">
        <v>5844</v>
      </c>
      <c r="C4342" s="257" t="s">
        <v>90</v>
      </c>
      <c r="D4342" s="259" t="s">
        <v>15621</v>
      </c>
      <c r="E4342" s="210" t="s">
        <v>201</v>
      </c>
    </row>
    <row r="4343" spans="1:5" ht="27">
      <c r="A4343" s="257">
        <v>97447</v>
      </c>
      <c r="B4343" s="257" t="s">
        <v>5845</v>
      </c>
      <c r="C4343" s="257" t="s">
        <v>90</v>
      </c>
      <c r="D4343" s="259" t="s">
        <v>15621</v>
      </c>
      <c r="E4343" s="210" t="s">
        <v>201</v>
      </c>
    </row>
    <row r="4344" spans="1:5" ht="27">
      <c r="A4344" s="257">
        <v>97449</v>
      </c>
      <c r="B4344" s="257" t="s">
        <v>5846</v>
      </c>
      <c r="C4344" s="257" t="s">
        <v>90</v>
      </c>
      <c r="D4344" s="259" t="s">
        <v>17112</v>
      </c>
      <c r="E4344" s="210" t="s">
        <v>201</v>
      </c>
    </row>
    <row r="4345" spans="1:5" ht="27">
      <c r="A4345" s="257">
        <v>97450</v>
      </c>
      <c r="B4345" s="257" t="s">
        <v>5847</v>
      </c>
      <c r="C4345" s="257" t="s">
        <v>90</v>
      </c>
      <c r="D4345" s="259" t="s">
        <v>17113</v>
      </c>
      <c r="E4345" s="210" t="s">
        <v>201</v>
      </c>
    </row>
    <row r="4346" spans="1:5" ht="27">
      <c r="A4346" s="257">
        <v>97452</v>
      </c>
      <c r="B4346" s="257" t="s">
        <v>5848</v>
      </c>
      <c r="C4346" s="257" t="s">
        <v>90</v>
      </c>
      <c r="D4346" s="259" t="s">
        <v>14707</v>
      </c>
      <c r="E4346" s="210" t="s">
        <v>201</v>
      </c>
    </row>
    <row r="4347" spans="1:5" ht="27">
      <c r="A4347" s="257">
        <v>97453</v>
      </c>
      <c r="B4347" s="257" t="s">
        <v>5849</v>
      </c>
      <c r="C4347" s="257" t="s">
        <v>90</v>
      </c>
      <c r="D4347" s="260" t="s">
        <v>17114</v>
      </c>
      <c r="E4347" s="210" t="s">
        <v>201</v>
      </c>
    </row>
    <row r="4348" spans="1:5" ht="27">
      <c r="A4348" s="257">
        <v>97454</v>
      </c>
      <c r="B4348" s="257" t="s">
        <v>5850</v>
      </c>
      <c r="C4348" s="257" t="s">
        <v>90</v>
      </c>
      <c r="D4348" s="260" t="s">
        <v>17115</v>
      </c>
      <c r="E4348" s="210" t="s">
        <v>201</v>
      </c>
    </row>
    <row r="4349" spans="1:5" ht="27">
      <c r="A4349" s="257">
        <v>97455</v>
      </c>
      <c r="B4349" s="257" t="s">
        <v>5851</v>
      </c>
      <c r="C4349" s="257" t="s">
        <v>90</v>
      </c>
      <c r="D4349" s="260" t="s">
        <v>17116</v>
      </c>
      <c r="E4349" s="210" t="s">
        <v>201</v>
      </c>
    </row>
    <row r="4350" spans="1:5" ht="27">
      <c r="A4350" s="257">
        <v>97456</v>
      </c>
      <c r="B4350" s="257" t="s">
        <v>5852</v>
      </c>
      <c r="C4350" s="257" t="s">
        <v>90</v>
      </c>
      <c r="D4350" s="259" t="s">
        <v>17117</v>
      </c>
      <c r="E4350" s="210" t="s">
        <v>201</v>
      </c>
    </row>
    <row r="4351" spans="1:5" ht="27">
      <c r="A4351" s="257">
        <v>97457</v>
      </c>
      <c r="B4351" s="257" t="s">
        <v>5853</v>
      </c>
      <c r="C4351" s="257" t="s">
        <v>90</v>
      </c>
      <c r="D4351" s="259" t="s">
        <v>17118</v>
      </c>
      <c r="E4351" s="210" t="s">
        <v>201</v>
      </c>
    </row>
    <row r="4352" spans="1:5" ht="27">
      <c r="A4352" s="257">
        <v>97458</v>
      </c>
      <c r="B4352" s="257" t="s">
        <v>5854</v>
      </c>
      <c r="C4352" s="257" t="s">
        <v>90</v>
      </c>
      <c r="D4352" s="259" t="s">
        <v>17119</v>
      </c>
      <c r="E4352" s="210" t="s">
        <v>201</v>
      </c>
    </row>
    <row r="4353" spans="1:5" ht="27">
      <c r="A4353" s="257">
        <v>97459</v>
      </c>
      <c r="B4353" s="257" t="s">
        <v>5855</v>
      </c>
      <c r="C4353" s="257" t="s">
        <v>90</v>
      </c>
      <c r="D4353" s="260" t="s">
        <v>17120</v>
      </c>
      <c r="E4353" s="210" t="s">
        <v>201</v>
      </c>
    </row>
    <row r="4354" spans="1:5" ht="27">
      <c r="A4354" s="257">
        <v>97460</v>
      </c>
      <c r="B4354" s="257" t="s">
        <v>5856</v>
      </c>
      <c r="C4354" s="257" t="s">
        <v>90</v>
      </c>
      <c r="D4354" s="259" t="s">
        <v>17121</v>
      </c>
      <c r="E4354" s="210" t="s">
        <v>201</v>
      </c>
    </row>
    <row r="4355" spans="1:5" ht="27">
      <c r="A4355" s="257">
        <v>97461</v>
      </c>
      <c r="B4355" s="257" t="s">
        <v>5857</v>
      </c>
      <c r="C4355" s="257" t="s">
        <v>90</v>
      </c>
      <c r="D4355" s="259" t="s">
        <v>17122</v>
      </c>
      <c r="E4355" s="210" t="s">
        <v>201</v>
      </c>
    </row>
    <row r="4356" spans="1:5" ht="27">
      <c r="A4356" s="257">
        <v>97462</v>
      </c>
      <c r="B4356" s="257" t="s">
        <v>5858</v>
      </c>
      <c r="C4356" s="257" t="s">
        <v>90</v>
      </c>
      <c r="D4356" s="259" t="s">
        <v>14567</v>
      </c>
      <c r="E4356" s="210" t="s">
        <v>201</v>
      </c>
    </row>
    <row r="4357" spans="1:5" ht="27">
      <c r="A4357" s="258">
        <v>97464</v>
      </c>
      <c r="B4357" s="257" t="s">
        <v>5859</v>
      </c>
      <c r="C4357" s="257" t="s">
        <v>90</v>
      </c>
      <c r="D4357" s="259" t="s">
        <v>16151</v>
      </c>
      <c r="E4357" s="210" t="s">
        <v>201</v>
      </c>
    </row>
    <row r="4358" spans="1:5" ht="27">
      <c r="A4358" s="258">
        <v>97465</v>
      </c>
      <c r="B4358" s="257" t="s">
        <v>5860</v>
      </c>
      <c r="C4358" s="257" t="s">
        <v>90</v>
      </c>
      <c r="D4358" s="259" t="s">
        <v>15366</v>
      </c>
      <c r="E4358" s="210" t="s">
        <v>201</v>
      </c>
    </row>
    <row r="4359" spans="1:5" ht="27">
      <c r="A4359" s="258">
        <v>97467</v>
      </c>
      <c r="B4359" s="257" t="s">
        <v>5861</v>
      </c>
      <c r="C4359" s="257" t="s">
        <v>90</v>
      </c>
      <c r="D4359" s="260" t="s">
        <v>17123</v>
      </c>
      <c r="E4359" s="210" t="s">
        <v>201</v>
      </c>
    </row>
    <row r="4360" spans="1:5" ht="27">
      <c r="A4360" s="258">
        <v>97468</v>
      </c>
      <c r="B4360" s="257" t="s">
        <v>5862</v>
      </c>
      <c r="C4360" s="257" t="s">
        <v>90</v>
      </c>
      <c r="D4360" s="259" t="s">
        <v>17124</v>
      </c>
      <c r="E4360" s="210" t="s">
        <v>201</v>
      </c>
    </row>
    <row r="4361" spans="1:5" ht="27">
      <c r="A4361" s="258">
        <v>97470</v>
      </c>
      <c r="B4361" s="257" t="s">
        <v>5863</v>
      </c>
      <c r="C4361" s="257" t="s">
        <v>90</v>
      </c>
      <c r="D4361" s="259" t="s">
        <v>17125</v>
      </c>
      <c r="E4361" s="210" t="s">
        <v>201</v>
      </c>
    </row>
    <row r="4362" spans="1:5" ht="27">
      <c r="A4362" s="258">
        <v>97471</v>
      </c>
      <c r="B4362" s="257" t="s">
        <v>5864</v>
      </c>
      <c r="C4362" s="257" t="s">
        <v>90</v>
      </c>
      <c r="D4362" s="259" t="s">
        <v>17126</v>
      </c>
      <c r="E4362" s="210" t="s">
        <v>201</v>
      </c>
    </row>
    <row r="4363" spans="1:5" ht="27">
      <c r="A4363" s="257">
        <v>97474</v>
      </c>
      <c r="B4363" s="257" t="s">
        <v>5865</v>
      </c>
      <c r="C4363" s="257" t="s">
        <v>90</v>
      </c>
      <c r="D4363" s="259" t="s">
        <v>17127</v>
      </c>
      <c r="E4363" s="210" t="s">
        <v>201</v>
      </c>
    </row>
    <row r="4364" spans="1:5" ht="27">
      <c r="A4364" s="257">
        <v>97475</v>
      </c>
      <c r="B4364" s="257" t="s">
        <v>5866</v>
      </c>
      <c r="C4364" s="257" t="s">
        <v>90</v>
      </c>
      <c r="D4364" s="259" t="s">
        <v>17128</v>
      </c>
      <c r="E4364" s="210" t="s">
        <v>201</v>
      </c>
    </row>
    <row r="4365" spans="1:5" ht="27">
      <c r="A4365" s="257">
        <v>97477</v>
      </c>
      <c r="B4365" s="257" t="s">
        <v>5867</v>
      </c>
      <c r="C4365" s="257" t="s">
        <v>90</v>
      </c>
      <c r="D4365" s="259" t="s">
        <v>17129</v>
      </c>
      <c r="E4365" s="210" t="s">
        <v>201</v>
      </c>
    </row>
    <row r="4366" spans="1:5" ht="27">
      <c r="A4366" s="257">
        <v>97478</v>
      </c>
      <c r="B4366" s="257" t="s">
        <v>5868</v>
      </c>
      <c r="C4366" s="257" t="s">
        <v>90</v>
      </c>
      <c r="D4366" s="259" t="s">
        <v>17130</v>
      </c>
      <c r="E4366" s="210" t="s">
        <v>201</v>
      </c>
    </row>
    <row r="4367" spans="1:5" ht="27">
      <c r="A4367" s="257">
        <v>97479</v>
      </c>
      <c r="B4367" s="257" t="s">
        <v>5869</v>
      </c>
      <c r="C4367" s="257" t="s">
        <v>90</v>
      </c>
      <c r="D4367" s="259" t="s">
        <v>16653</v>
      </c>
      <c r="E4367" s="210" t="s">
        <v>201</v>
      </c>
    </row>
    <row r="4368" spans="1:5" ht="27">
      <c r="A4368" s="257">
        <v>97480</v>
      </c>
      <c r="B4368" s="257" t="s">
        <v>5870</v>
      </c>
      <c r="C4368" s="257" t="s">
        <v>90</v>
      </c>
      <c r="D4368" s="259" t="s">
        <v>16653</v>
      </c>
      <c r="E4368" s="210" t="s">
        <v>201</v>
      </c>
    </row>
    <row r="4369" spans="1:5" ht="27">
      <c r="A4369" s="257">
        <v>97481</v>
      </c>
      <c r="B4369" s="257" t="s">
        <v>5871</v>
      </c>
      <c r="C4369" s="257" t="s">
        <v>90</v>
      </c>
      <c r="D4369" s="259" t="s">
        <v>17131</v>
      </c>
      <c r="E4369" s="210" t="s">
        <v>201</v>
      </c>
    </row>
    <row r="4370" spans="1:5" ht="27">
      <c r="A4370" s="257">
        <v>97482</v>
      </c>
      <c r="B4370" s="257" t="s">
        <v>5872</v>
      </c>
      <c r="C4370" s="257" t="s">
        <v>90</v>
      </c>
      <c r="D4370" s="259" t="s">
        <v>17131</v>
      </c>
      <c r="E4370" s="210" t="s">
        <v>201</v>
      </c>
    </row>
    <row r="4371" spans="1:5" ht="27">
      <c r="A4371" s="257">
        <v>97483</v>
      </c>
      <c r="B4371" s="257" t="s">
        <v>5873</v>
      </c>
      <c r="C4371" s="257" t="s">
        <v>90</v>
      </c>
      <c r="D4371" s="259" t="s">
        <v>17132</v>
      </c>
      <c r="E4371" s="210" t="s">
        <v>201</v>
      </c>
    </row>
    <row r="4372" spans="1:5" ht="27">
      <c r="A4372" s="257">
        <v>97484</v>
      </c>
      <c r="B4372" s="257" t="s">
        <v>5874</v>
      </c>
      <c r="C4372" s="257" t="s">
        <v>90</v>
      </c>
      <c r="D4372" s="259" t="s">
        <v>17132</v>
      </c>
      <c r="E4372" s="210" t="s">
        <v>201</v>
      </c>
    </row>
    <row r="4373" spans="1:5" ht="27">
      <c r="A4373" s="258">
        <v>97485</v>
      </c>
      <c r="B4373" s="257" t="s">
        <v>5875</v>
      </c>
      <c r="C4373" s="257" t="s">
        <v>90</v>
      </c>
      <c r="D4373" s="259" t="s">
        <v>17133</v>
      </c>
      <c r="E4373" s="210" t="s">
        <v>201</v>
      </c>
    </row>
    <row r="4374" spans="1:5" ht="27">
      <c r="A4374" s="258">
        <v>97486</v>
      </c>
      <c r="B4374" s="257" t="s">
        <v>5876</v>
      </c>
      <c r="C4374" s="257" t="s">
        <v>90</v>
      </c>
      <c r="D4374" s="259" t="s">
        <v>17134</v>
      </c>
      <c r="E4374" s="210" t="s">
        <v>201</v>
      </c>
    </row>
    <row r="4375" spans="1:5" ht="27">
      <c r="A4375" s="258">
        <v>97487</v>
      </c>
      <c r="B4375" s="257" t="s">
        <v>5877</v>
      </c>
      <c r="C4375" s="257" t="s">
        <v>90</v>
      </c>
      <c r="D4375" s="259" t="s">
        <v>17135</v>
      </c>
      <c r="E4375" s="210" t="s">
        <v>201</v>
      </c>
    </row>
    <row r="4376" spans="1:5" ht="27">
      <c r="A4376" s="258">
        <v>97488</v>
      </c>
      <c r="B4376" s="257" t="s">
        <v>5878</v>
      </c>
      <c r="C4376" s="257" t="s">
        <v>90</v>
      </c>
      <c r="D4376" s="259" t="s">
        <v>17136</v>
      </c>
      <c r="E4376" s="210" t="s">
        <v>201</v>
      </c>
    </row>
    <row r="4377" spans="1:5" ht="27">
      <c r="A4377" s="258">
        <v>97489</v>
      </c>
      <c r="B4377" s="257" t="s">
        <v>5879</v>
      </c>
      <c r="C4377" s="257" t="s">
        <v>90</v>
      </c>
      <c r="D4377" s="259" t="s">
        <v>17137</v>
      </c>
      <c r="E4377" s="210" t="s">
        <v>201</v>
      </c>
    </row>
    <row r="4378" spans="1:5" ht="27">
      <c r="A4378" s="258">
        <v>97490</v>
      </c>
      <c r="B4378" s="257" t="s">
        <v>5880</v>
      </c>
      <c r="C4378" s="257" t="s">
        <v>90</v>
      </c>
      <c r="D4378" s="259" t="s">
        <v>17138</v>
      </c>
      <c r="E4378" s="210" t="s">
        <v>201</v>
      </c>
    </row>
    <row r="4379" spans="1:5" ht="27">
      <c r="A4379" s="258">
        <v>97491</v>
      </c>
      <c r="B4379" s="257" t="s">
        <v>5881</v>
      </c>
      <c r="C4379" s="257" t="s">
        <v>90</v>
      </c>
      <c r="D4379" s="259" t="s">
        <v>17139</v>
      </c>
      <c r="E4379" s="210" t="s">
        <v>201</v>
      </c>
    </row>
    <row r="4380" spans="1:5" ht="27">
      <c r="A4380" s="258">
        <v>97492</v>
      </c>
      <c r="B4380" s="257" t="s">
        <v>5882</v>
      </c>
      <c r="C4380" s="257" t="s">
        <v>90</v>
      </c>
      <c r="D4380" s="259" t="s">
        <v>17140</v>
      </c>
      <c r="E4380" s="210" t="s">
        <v>201</v>
      </c>
    </row>
    <row r="4381" spans="1:5" ht="27">
      <c r="A4381" s="258">
        <v>97493</v>
      </c>
      <c r="B4381" s="257" t="s">
        <v>5883</v>
      </c>
      <c r="C4381" s="257" t="s">
        <v>90</v>
      </c>
      <c r="D4381" s="259" t="s">
        <v>17141</v>
      </c>
      <c r="E4381" s="210" t="s">
        <v>201</v>
      </c>
    </row>
    <row r="4382" spans="1:5" ht="27">
      <c r="A4382" s="258">
        <v>97494</v>
      </c>
      <c r="B4382" s="257" t="s">
        <v>5884</v>
      </c>
      <c r="C4382" s="257" t="s">
        <v>90</v>
      </c>
      <c r="D4382" s="259" t="s">
        <v>17142</v>
      </c>
      <c r="E4382" s="210" t="s">
        <v>201</v>
      </c>
    </row>
    <row r="4383" spans="1:5" ht="27">
      <c r="A4383" s="258">
        <v>97495</v>
      </c>
      <c r="B4383" s="257" t="s">
        <v>5885</v>
      </c>
      <c r="C4383" s="257" t="s">
        <v>90</v>
      </c>
      <c r="D4383" s="259" t="s">
        <v>17143</v>
      </c>
      <c r="E4383" s="210" t="s">
        <v>201</v>
      </c>
    </row>
    <row r="4384" spans="1:5" ht="27">
      <c r="A4384" s="258">
        <v>97496</v>
      </c>
      <c r="B4384" s="257" t="s">
        <v>5886</v>
      </c>
      <c r="C4384" s="257" t="s">
        <v>90</v>
      </c>
      <c r="D4384" s="259" t="s">
        <v>17144</v>
      </c>
      <c r="E4384" s="210" t="s">
        <v>201</v>
      </c>
    </row>
    <row r="4385" spans="1:5" ht="27">
      <c r="A4385" s="258">
        <v>97499</v>
      </c>
      <c r="B4385" s="257" t="s">
        <v>5887</v>
      </c>
      <c r="C4385" s="257" t="s">
        <v>90</v>
      </c>
      <c r="D4385" s="259" t="s">
        <v>17145</v>
      </c>
      <c r="E4385" s="210" t="s">
        <v>201</v>
      </c>
    </row>
    <row r="4386" spans="1:5" ht="27">
      <c r="A4386" s="257">
        <v>97500</v>
      </c>
      <c r="B4386" s="257" t="s">
        <v>5888</v>
      </c>
      <c r="C4386" s="257" t="s">
        <v>90</v>
      </c>
      <c r="D4386" s="259" t="s">
        <v>13903</v>
      </c>
      <c r="E4386" s="210" t="s">
        <v>201</v>
      </c>
    </row>
    <row r="4387" spans="1:5" ht="27">
      <c r="A4387" s="257">
        <v>97502</v>
      </c>
      <c r="B4387" s="257" t="s">
        <v>5889</v>
      </c>
      <c r="C4387" s="257" t="s">
        <v>90</v>
      </c>
      <c r="D4387" s="259" t="s">
        <v>17146</v>
      </c>
      <c r="E4387" s="210" t="s">
        <v>201</v>
      </c>
    </row>
    <row r="4388" spans="1:5" ht="27">
      <c r="A4388" s="257">
        <v>97503</v>
      </c>
      <c r="B4388" s="257" t="s">
        <v>5890</v>
      </c>
      <c r="C4388" s="257" t="s">
        <v>90</v>
      </c>
      <c r="D4388" s="259" t="s">
        <v>17147</v>
      </c>
      <c r="E4388" s="210" t="s">
        <v>201</v>
      </c>
    </row>
    <row r="4389" spans="1:5" ht="27">
      <c r="A4389" s="257">
        <v>97505</v>
      </c>
      <c r="B4389" s="257" t="s">
        <v>5891</v>
      </c>
      <c r="C4389" s="257" t="s">
        <v>90</v>
      </c>
      <c r="D4389" s="259" t="s">
        <v>17148</v>
      </c>
      <c r="E4389" s="210" t="s">
        <v>201</v>
      </c>
    </row>
    <row r="4390" spans="1:5" ht="27">
      <c r="A4390" s="257">
        <v>97506</v>
      </c>
      <c r="B4390" s="257" t="s">
        <v>5892</v>
      </c>
      <c r="C4390" s="257" t="s">
        <v>90</v>
      </c>
      <c r="D4390" s="259" t="s">
        <v>17149</v>
      </c>
      <c r="E4390" s="210" t="s">
        <v>201</v>
      </c>
    </row>
    <row r="4391" spans="1:5" ht="27">
      <c r="A4391" s="257">
        <v>97508</v>
      </c>
      <c r="B4391" s="257" t="s">
        <v>5893</v>
      </c>
      <c r="C4391" s="257" t="s">
        <v>90</v>
      </c>
      <c r="D4391" s="259" t="s">
        <v>17150</v>
      </c>
      <c r="E4391" s="210" t="s">
        <v>201</v>
      </c>
    </row>
    <row r="4392" spans="1:5" ht="27">
      <c r="A4392" s="257">
        <v>97509</v>
      </c>
      <c r="B4392" s="257" t="s">
        <v>5894</v>
      </c>
      <c r="C4392" s="257" t="s">
        <v>90</v>
      </c>
      <c r="D4392" s="259" t="s">
        <v>17151</v>
      </c>
      <c r="E4392" s="210" t="s">
        <v>201</v>
      </c>
    </row>
    <row r="4393" spans="1:5" ht="27">
      <c r="A4393" s="257">
        <v>97511</v>
      </c>
      <c r="B4393" s="257" t="s">
        <v>5895</v>
      </c>
      <c r="C4393" s="257" t="s">
        <v>90</v>
      </c>
      <c r="D4393" s="259" t="s">
        <v>17152</v>
      </c>
      <c r="E4393" s="210" t="s">
        <v>201</v>
      </c>
    </row>
    <row r="4394" spans="1:5" ht="27">
      <c r="A4394" s="258">
        <v>97512</v>
      </c>
      <c r="B4394" s="257" t="s">
        <v>5896</v>
      </c>
      <c r="C4394" s="257" t="s">
        <v>90</v>
      </c>
      <c r="D4394" s="259" t="s">
        <v>15104</v>
      </c>
      <c r="E4394" s="210" t="s">
        <v>201</v>
      </c>
    </row>
    <row r="4395" spans="1:5" ht="27">
      <c r="A4395" s="258">
        <v>97514</v>
      </c>
      <c r="B4395" s="257" t="s">
        <v>5897</v>
      </c>
      <c r="C4395" s="257" t="s">
        <v>90</v>
      </c>
      <c r="D4395" s="259" t="s">
        <v>17153</v>
      </c>
      <c r="E4395" s="210" t="s">
        <v>201</v>
      </c>
    </row>
    <row r="4396" spans="1:5" ht="27">
      <c r="A4396" s="258">
        <v>97515</v>
      </c>
      <c r="B4396" s="257" t="s">
        <v>5898</v>
      </c>
      <c r="C4396" s="257" t="s">
        <v>90</v>
      </c>
      <c r="D4396" s="259" t="s">
        <v>17154</v>
      </c>
      <c r="E4396" s="210" t="s">
        <v>201</v>
      </c>
    </row>
    <row r="4397" spans="1:5" ht="27">
      <c r="A4397" s="258">
        <v>97517</v>
      </c>
      <c r="B4397" s="257" t="s">
        <v>5899</v>
      </c>
      <c r="C4397" s="257" t="s">
        <v>90</v>
      </c>
      <c r="D4397" s="259" t="s">
        <v>15689</v>
      </c>
      <c r="E4397" s="210" t="s">
        <v>201</v>
      </c>
    </row>
    <row r="4398" spans="1:5" ht="27">
      <c r="A4398" s="258">
        <v>97518</v>
      </c>
      <c r="B4398" s="257" t="s">
        <v>5900</v>
      </c>
      <c r="C4398" s="257" t="s">
        <v>90</v>
      </c>
      <c r="D4398" s="259" t="s">
        <v>15689</v>
      </c>
      <c r="E4398" s="210" t="s">
        <v>201</v>
      </c>
    </row>
    <row r="4399" spans="1:5" ht="27">
      <c r="A4399" s="258">
        <v>97519</v>
      </c>
      <c r="B4399" s="257" t="s">
        <v>5901</v>
      </c>
      <c r="C4399" s="257" t="s">
        <v>90</v>
      </c>
      <c r="D4399" s="259" t="s">
        <v>17155</v>
      </c>
      <c r="E4399" s="210" t="s">
        <v>201</v>
      </c>
    </row>
    <row r="4400" spans="1:5" ht="27">
      <c r="A4400" s="258">
        <v>97520</v>
      </c>
      <c r="B4400" s="257" t="s">
        <v>5902</v>
      </c>
      <c r="C4400" s="257" t="s">
        <v>90</v>
      </c>
      <c r="D4400" s="259" t="s">
        <v>17155</v>
      </c>
      <c r="E4400" s="210" t="s">
        <v>201</v>
      </c>
    </row>
    <row r="4401" spans="1:5" ht="27">
      <c r="A4401" s="258">
        <v>97521</v>
      </c>
      <c r="B4401" s="257" t="s">
        <v>5903</v>
      </c>
      <c r="C4401" s="257" t="s">
        <v>90</v>
      </c>
      <c r="D4401" s="259" t="s">
        <v>17156</v>
      </c>
      <c r="E4401" s="210" t="s">
        <v>201</v>
      </c>
    </row>
    <row r="4402" spans="1:5" ht="27">
      <c r="A4402" s="258">
        <v>97522</v>
      </c>
      <c r="B4402" s="257" t="s">
        <v>5904</v>
      </c>
      <c r="C4402" s="257" t="s">
        <v>90</v>
      </c>
      <c r="D4402" s="259" t="s">
        <v>17156</v>
      </c>
      <c r="E4402" s="210" t="s">
        <v>201</v>
      </c>
    </row>
    <row r="4403" spans="1:5" ht="27">
      <c r="A4403" s="258">
        <v>97523</v>
      </c>
      <c r="B4403" s="257" t="s">
        <v>5905</v>
      </c>
      <c r="C4403" s="257" t="s">
        <v>90</v>
      </c>
      <c r="D4403" s="259" t="s">
        <v>17157</v>
      </c>
      <c r="E4403" s="210" t="s">
        <v>201</v>
      </c>
    </row>
    <row r="4404" spans="1:5" ht="27">
      <c r="A4404" s="258">
        <v>97524</v>
      </c>
      <c r="B4404" s="257" t="s">
        <v>5906</v>
      </c>
      <c r="C4404" s="257" t="s">
        <v>90</v>
      </c>
      <c r="D4404" s="259" t="s">
        <v>17158</v>
      </c>
      <c r="E4404" s="210" t="s">
        <v>201</v>
      </c>
    </row>
    <row r="4405" spans="1:5" ht="27">
      <c r="A4405" s="258">
        <v>97525</v>
      </c>
      <c r="B4405" s="257" t="s">
        <v>5907</v>
      </c>
      <c r="C4405" s="257" t="s">
        <v>90</v>
      </c>
      <c r="D4405" s="259" t="s">
        <v>17159</v>
      </c>
      <c r="E4405" s="210" t="s">
        <v>201</v>
      </c>
    </row>
    <row r="4406" spans="1:5" ht="27">
      <c r="A4406" s="258">
        <v>97526</v>
      </c>
      <c r="B4406" s="257" t="s">
        <v>5908</v>
      </c>
      <c r="C4406" s="257" t="s">
        <v>90</v>
      </c>
      <c r="D4406" s="259" t="s">
        <v>17160</v>
      </c>
      <c r="E4406" s="210" t="s">
        <v>201</v>
      </c>
    </row>
    <row r="4407" spans="1:5" ht="27">
      <c r="A4407" s="258">
        <v>97527</v>
      </c>
      <c r="B4407" s="257" t="s">
        <v>5909</v>
      </c>
      <c r="C4407" s="257" t="s">
        <v>90</v>
      </c>
      <c r="D4407" s="259" t="s">
        <v>17161</v>
      </c>
      <c r="E4407" s="210" t="s">
        <v>201</v>
      </c>
    </row>
    <row r="4408" spans="1:5" ht="27">
      <c r="A4408" s="258">
        <v>97528</v>
      </c>
      <c r="B4408" s="257" t="s">
        <v>5910</v>
      </c>
      <c r="C4408" s="257" t="s">
        <v>90</v>
      </c>
      <c r="D4408" s="259" t="s">
        <v>17162</v>
      </c>
      <c r="E4408" s="210" t="s">
        <v>201</v>
      </c>
    </row>
    <row r="4409" spans="1:5" ht="27">
      <c r="A4409" s="258">
        <v>97529</v>
      </c>
      <c r="B4409" s="257" t="s">
        <v>5911</v>
      </c>
      <c r="C4409" s="257" t="s">
        <v>90</v>
      </c>
      <c r="D4409" s="259" t="s">
        <v>17163</v>
      </c>
      <c r="E4409" s="210" t="s">
        <v>201</v>
      </c>
    </row>
    <row r="4410" spans="1:5" ht="27">
      <c r="A4410" s="258">
        <v>97530</v>
      </c>
      <c r="B4410" s="257" t="s">
        <v>5912</v>
      </c>
      <c r="C4410" s="257" t="s">
        <v>90</v>
      </c>
      <c r="D4410" s="259" t="s">
        <v>17164</v>
      </c>
      <c r="E4410" s="210" t="s">
        <v>201</v>
      </c>
    </row>
    <row r="4411" spans="1:5" ht="27">
      <c r="A4411" s="258">
        <v>97531</v>
      </c>
      <c r="B4411" s="257" t="s">
        <v>5913</v>
      </c>
      <c r="C4411" s="257" t="s">
        <v>90</v>
      </c>
      <c r="D4411" s="259" t="s">
        <v>17165</v>
      </c>
      <c r="E4411" s="210" t="s">
        <v>201</v>
      </c>
    </row>
    <row r="4412" spans="1:5" ht="27">
      <c r="A4412" s="258">
        <v>97532</v>
      </c>
      <c r="B4412" s="257" t="s">
        <v>5914</v>
      </c>
      <c r="C4412" s="257" t="s">
        <v>90</v>
      </c>
      <c r="D4412" s="259" t="s">
        <v>17166</v>
      </c>
      <c r="E4412" s="210" t="s">
        <v>201</v>
      </c>
    </row>
    <row r="4413" spans="1:5" ht="27">
      <c r="A4413" s="258">
        <v>97533</v>
      </c>
      <c r="B4413" s="257" t="s">
        <v>5915</v>
      </c>
      <c r="C4413" s="257" t="s">
        <v>90</v>
      </c>
      <c r="D4413" s="259" t="s">
        <v>17167</v>
      </c>
      <c r="E4413" s="210" t="s">
        <v>201</v>
      </c>
    </row>
    <row r="4414" spans="1:5" ht="27">
      <c r="A4414" s="258">
        <v>97534</v>
      </c>
      <c r="B4414" s="257" t="s">
        <v>5916</v>
      </c>
      <c r="C4414" s="257" t="s">
        <v>90</v>
      </c>
      <c r="D4414" s="259" t="s">
        <v>17168</v>
      </c>
      <c r="E4414" s="210" t="s">
        <v>201</v>
      </c>
    </row>
    <row r="4415" spans="1:5" ht="27">
      <c r="A4415" s="258">
        <v>97537</v>
      </c>
      <c r="B4415" s="257" t="s">
        <v>5917</v>
      </c>
      <c r="C4415" s="257" t="s">
        <v>90</v>
      </c>
      <c r="D4415" s="259" t="s">
        <v>17169</v>
      </c>
      <c r="E4415" s="210" t="s">
        <v>201</v>
      </c>
    </row>
    <row r="4416" spans="1:5" ht="27">
      <c r="A4416" s="258">
        <v>97540</v>
      </c>
      <c r="B4416" s="257" t="s">
        <v>5918</v>
      </c>
      <c r="C4416" s="257" t="s">
        <v>90</v>
      </c>
      <c r="D4416" s="259" t="s">
        <v>13658</v>
      </c>
      <c r="E4416" s="210" t="s">
        <v>201</v>
      </c>
    </row>
    <row r="4417" spans="1:5" ht="27">
      <c r="A4417" s="258">
        <v>97541</v>
      </c>
      <c r="B4417" s="257" t="s">
        <v>5919</v>
      </c>
      <c r="C4417" s="257" t="s">
        <v>90</v>
      </c>
      <c r="D4417" s="259" t="s">
        <v>17170</v>
      </c>
      <c r="E4417" s="210" t="s">
        <v>201</v>
      </c>
    </row>
    <row r="4418" spans="1:5" ht="27">
      <c r="A4418" s="258">
        <v>97543</v>
      </c>
      <c r="B4418" s="257" t="s">
        <v>5920</v>
      </c>
      <c r="C4418" s="257" t="s">
        <v>90</v>
      </c>
      <c r="D4418" s="259" t="s">
        <v>17171</v>
      </c>
      <c r="E4418" s="210" t="s">
        <v>201</v>
      </c>
    </row>
    <row r="4419" spans="1:5" ht="27">
      <c r="A4419" s="258">
        <v>97544</v>
      </c>
      <c r="B4419" s="257" t="s">
        <v>5921</v>
      </c>
      <c r="C4419" s="257" t="s">
        <v>90</v>
      </c>
      <c r="D4419" s="259" t="s">
        <v>17172</v>
      </c>
      <c r="E4419" s="210" t="s">
        <v>201</v>
      </c>
    </row>
    <row r="4420" spans="1:5" ht="27">
      <c r="A4420" s="258">
        <v>97546</v>
      </c>
      <c r="B4420" s="257" t="s">
        <v>5922</v>
      </c>
      <c r="C4420" s="257" t="s">
        <v>90</v>
      </c>
      <c r="D4420" s="259" t="s">
        <v>17173</v>
      </c>
      <c r="E4420" s="210" t="s">
        <v>201</v>
      </c>
    </row>
    <row r="4421" spans="1:5" ht="27">
      <c r="A4421" s="258">
        <v>97547</v>
      </c>
      <c r="B4421" s="257" t="s">
        <v>5923</v>
      </c>
      <c r="C4421" s="257" t="s">
        <v>90</v>
      </c>
      <c r="D4421" s="259" t="s">
        <v>17173</v>
      </c>
      <c r="E4421" s="210" t="s">
        <v>201</v>
      </c>
    </row>
    <row r="4422" spans="1:5" ht="27">
      <c r="A4422" s="258">
        <v>97548</v>
      </c>
      <c r="B4422" s="257" t="s">
        <v>5924</v>
      </c>
      <c r="C4422" s="257" t="s">
        <v>90</v>
      </c>
      <c r="D4422" s="259" t="s">
        <v>15591</v>
      </c>
      <c r="E4422" s="210" t="s">
        <v>201</v>
      </c>
    </row>
    <row r="4423" spans="1:5" ht="27">
      <c r="A4423" s="258">
        <v>97549</v>
      </c>
      <c r="B4423" s="257" t="s">
        <v>5925</v>
      </c>
      <c r="C4423" s="257" t="s">
        <v>90</v>
      </c>
      <c r="D4423" s="259" t="s">
        <v>15591</v>
      </c>
      <c r="E4423" s="210" t="s">
        <v>201</v>
      </c>
    </row>
    <row r="4424" spans="1:5" ht="27">
      <c r="A4424" s="258">
        <v>97550</v>
      </c>
      <c r="B4424" s="257" t="s">
        <v>5926</v>
      </c>
      <c r="C4424" s="257" t="s">
        <v>90</v>
      </c>
      <c r="D4424" s="259" t="s">
        <v>17174</v>
      </c>
      <c r="E4424" s="210" t="s">
        <v>201</v>
      </c>
    </row>
    <row r="4425" spans="1:5" ht="27">
      <c r="A4425" s="258">
        <v>97551</v>
      </c>
      <c r="B4425" s="257" t="s">
        <v>5927</v>
      </c>
      <c r="C4425" s="257" t="s">
        <v>90</v>
      </c>
      <c r="D4425" s="259" t="s">
        <v>17174</v>
      </c>
      <c r="E4425" s="210" t="s">
        <v>201</v>
      </c>
    </row>
    <row r="4426" spans="1:5" ht="27">
      <c r="A4426" s="258">
        <v>97552</v>
      </c>
      <c r="B4426" s="257" t="s">
        <v>5928</v>
      </c>
      <c r="C4426" s="257" t="s">
        <v>90</v>
      </c>
      <c r="D4426" s="259" t="s">
        <v>15609</v>
      </c>
      <c r="E4426" s="210" t="s">
        <v>201</v>
      </c>
    </row>
    <row r="4427" spans="1:5" ht="27">
      <c r="A4427" s="258">
        <v>97553</v>
      </c>
      <c r="B4427" s="257" t="s">
        <v>5929</v>
      </c>
      <c r="C4427" s="257" t="s">
        <v>90</v>
      </c>
      <c r="D4427" s="259" t="s">
        <v>17175</v>
      </c>
      <c r="E4427" s="210" t="s">
        <v>201</v>
      </c>
    </row>
    <row r="4428" spans="1:5" ht="27">
      <c r="A4428" s="258">
        <v>97554</v>
      </c>
      <c r="B4428" s="257" t="s">
        <v>5930</v>
      </c>
      <c r="C4428" s="257" t="s">
        <v>90</v>
      </c>
      <c r="D4428" s="259" t="s">
        <v>17176</v>
      </c>
      <c r="E4428" s="210" t="s">
        <v>201</v>
      </c>
    </row>
    <row r="4429" spans="1:5" ht="27">
      <c r="A4429" s="258">
        <v>98602</v>
      </c>
      <c r="B4429" s="257" t="s">
        <v>5931</v>
      </c>
      <c r="C4429" s="257" t="s">
        <v>90</v>
      </c>
      <c r="D4429" s="259" t="s">
        <v>17177</v>
      </c>
      <c r="E4429" s="210" t="s">
        <v>201</v>
      </c>
    </row>
    <row r="4430" spans="1:5" ht="13.5">
      <c r="A4430" s="258">
        <v>6171</v>
      </c>
      <c r="B4430" s="257" t="s">
        <v>3169</v>
      </c>
      <c r="C4430" s="257" t="s">
        <v>90</v>
      </c>
      <c r="D4430" s="259" t="s">
        <v>14951</v>
      </c>
      <c r="E4430" s="210" t="s">
        <v>201</v>
      </c>
    </row>
    <row r="4431" spans="1:5" ht="27">
      <c r="A4431" s="258" t="s">
        <v>3170</v>
      </c>
      <c r="B4431" s="257" t="s">
        <v>3171</v>
      </c>
      <c r="C4431" s="257" t="s">
        <v>90</v>
      </c>
      <c r="D4431" s="259" t="s">
        <v>17178</v>
      </c>
      <c r="E4431" s="210" t="s">
        <v>201</v>
      </c>
    </row>
    <row r="4432" spans="1:5" ht="27">
      <c r="A4432" s="258" t="s">
        <v>3172</v>
      </c>
      <c r="B4432" s="257" t="s">
        <v>3173</v>
      </c>
      <c r="C4432" s="257" t="s">
        <v>90</v>
      </c>
      <c r="D4432" s="259" t="s">
        <v>17179</v>
      </c>
      <c r="E4432" s="210" t="s">
        <v>201</v>
      </c>
    </row>
    <row r="4433" spans="1:5" ht="13.5">
      <c r="A4433" s="258">
        <v>88503</v>
      </c>
      <c r="B4433" s="257" t="s">
        <v>3174</v>
      </c>
      <c r="C4433" s="257" t="s">
        <v>90</v>
      </c>
      <c r="D4433" s="259" t="s">
        <v>17180</v>
      </c>
      <c r="E4433" s="210" t="s">
        <v>201</v>
      </c>
    </row>
    <row r="4434" spans="1:5" ht="13.5">
      <c r="A4434" s="258">
        <v>88504</v>
      </c>
      <c r="B4434" s="257" t="s">
        <v>3175</v>
      </c>
      <c r="C4434" s="257" t="s">
        <v>90</v>
      </c>
      <c r="D4434" s="259" t="s">
        <v>17181</v>
      </c>
      <c r="E4434" s="210" t="s">
        <v>201</v>
      </c>
    </row>
    <row r="4435" spans="1:5" ht="27">
      <c r="A4435" s="258">
        <v>97900</v>
      </c>
      <c r="B4435" s="257" t="s">
        <v>5932</v>
      </c>
      <c r="C4435" s="257" t="s">
        <v>90</v>
      </c>
      <c r="D4435" s="259" t="s">
        <v>17182</v>
      </c>
      <c r="E4435" s="210" t="s">
        <v>201</v>
      </c>
    </row>
    <row r="4436" spans="1:5" ht="27">
      <c r="A4436" s="258">
        <v>97901</v>
      </c>
      <c r="B4436" s="257" t="s">
        <v>5933</v>
      </c>
      <c r="C4436" s="257" t="s">
        <v>90</v>
      </c>
      <c r="D4436" s="259" t="s">
        <v>17183</v>
      </c>
      <c r="E4436" s="210" t="s">
        <v>201</v>
      </c>
    </row>
    <row r="4437" spans="1:5" ht="27">
      <c r="A4437" s="258">
        <v>97902</v>
      </c>
      <c r="B4437" s="257" t="s">
        <v>5934</v>
      </c>
      <c r="C4437" s="257" t="s">
        <v>90</v>
      </c>
      <c r="D4437" s="259" t="s">
        <v>17184</v>
      </c>
      <c r="E4437" s="210" t="s">
        <v>201</v>
      </c>
    </row>
    <row r="4438" spans="1:5" ht="27">
      <c r="A4438" s="258">
        <v>97903</v>
      </c>
      <c r="B4438" s="257" t="s">
        <v>5935</v>
      </c>
      <c r="C4438" s="257" t="s">
        <v>90</v>
      </c>
      <c r="D4438" s="259" t="s">
        <v>17185</v>
      </c>
      <c r="E4438" s="210" t="s">
        <v>201</v>
      </c>
    </row>
    <row r="4439" spans="1:5" ht="27">
      <c r="A4439" s="258">
        <v>97904</v>
      </c>
      <c r="B4439" s="257" t="s">
        <v>5936</v>
      </c>
      <c r="C4439" s="257" t="s">
        <v>90</v>
      </c>
      <c r="D4439" s="259" t="s">
        <v>17186</v>
      </c>
      <c r="E4439" s="210" t="s">
        <v>201</v>
      </c>
    </row>
    <row r="4440" spans="1:5" ht="27">
      <c r="A4440" s="258">
        <v>97905</v>
      </c>
      <c r="B4440" s="257" t="s">
        <v>5937</v>
      </c>
      <c r="C4440" s="257" t="s">
        <v>90</v>
      </c>
      <c r="D4440" s="259" t="s">
        <v>17187</v>
      </c>
      <c r="E4440" s="210" t="s">
        <v>201</v>
      </c>
    </row>
    <row r="4441" spans="1:5" ht="27">
      <c r="A4441" s="258">
        <v>97906</v>
      </c>
      <c r="B4441" s="257" t="s">
        <v>5938</v>
      </c>
      <c r="C4441" s="257" t="s">
        <v>90</v>
      </c>
      <c r="D4441" s="259" t="s">
        <v>17188</v>
      </c>
      <c r="E4441" s="210" t="s">
        <v>201</v>
      </c>
    </row>
    <row r="4442" spans="1:5" ht="27">
      <c r="A4442" s="258">
        <v>97907</v>
      </c>
      <c r="B4442" s="257" t="s">
        <v>5939</v>
      </c>
      <c r="C4442" s="257" t="s">
        <v>90</v>
      </c>
      <c r="D4442" s="259" t="s">
        <v>17189</v>
      </c>
      <c r="E4442" s="210" t="s">
        <v>201</v>
      </c>
    </row>
    <row r="4443" spans="1:5" ht="27">
      <c r="A4443" s="258">
        <v>97908</v>
      </c>
      <c r="B4443" s="257" t="s">
        <v>5940</v>
      </c>
      <c r="C4443" s="257" t="s">
        <v>90</v>
      </c>
      <c r="D4443" s="259" t="s">
        <v>17190</v>
      </c>
      <c r="E4443" s="210" t="s">
        <v>201</v>
      </c>
    </row>
    <row r="4444" spans="1:5" ht="27">
      <c r="A4444" s="258">
        <v>98102</v>
      </c>
      <c r="B4444" s="257" t="s">
        <v>5941</v>
      </c>
      <c r="C4444" s="257" t="s">
        <v>90</v>
      </c>
      <c r="D4444" s="259" t="s">
        <v>17191</v>
      </c>
      <c r="E4444" s="210" t="s">
        <v>201</v>
      </c>
    </row>
    <row r="4445" spans="1:5" ht="27">
      <c r="A4445" s="258">
        <v>98103</v>
      </c>
      <c r="B4445" s="257" t="s">
        <v>5942</v>
      </c>
      <c r="C4445" s="257" t="s">
        <v>90</v>
      </c>
      <c r="D4445" s="259" t="s">
        <v>17192</v>
      </c>
      <c r="E4445" s="210" t="s">
        <v>201</v>
      </c>
    </row>
    <row r="4446" spans="1:5" ht="27">
      <c r="A4446" s="258">
        <v>98104</v>
      </c>
      <c r="B4446" s="257" t="s">
        <v>5943</v>
      </c>
      <c r="C4446" s="257" t="s">
        <v>90</v>
      </c>
      <c r="D4446" s="259" t="s">
        <v>17193</v>
      </c>
      <c r="E4446" s="210" t="s">
        <v>201</v>
      </c>
    </row>
    <row r="4447" spans="1:5" ht="27">
      <c r="A4447" s="258">
        <v>98105</v>
      </c>
      <c r="B4447" s="257" t="s">
        <v>5944</v>
      </c>
      <c r="C4447" s="257" t="s">
        <v>90</v>
      </c>
      <c r="D4447" s="259" t="s">
        <v>17194</v>
      </c>
      <c r="E4447" s="210" t="s">
        <v>201</v>
      </c>
    </row>
    <row r="4448" spans="1:5" ht="40.5">
      <c r="A4448" s="258">
        <v>98106</v>
      </c>
      <c r="B4448" s="257" t="s">
        <v>5945</v>
      </c>
      <c r="C4448" s="257" t="s">
        <v>90</v>
      </c>
      <c r="D4448" s="259" t="s">
        <v>17195</v>
      </c>
      <c r="E4448" s="210" t="s">
        <v>201</v>
      </c>
    </row>
    <row r="4449" spans="1:5" ht="27">
      <c r="A4449" s="258">
        <v>98107</v>
      </c>
      <c r="B4449" s="257" t="s">
        <v>5946</v>
      </c>
      <c r="C4449" s="257" t="s">
        <v>90</v>
      </c>
      <c r="D4449" s="259" t="s">
        <v>17196</v>
      </c>
      <c r="E4449" s="210" t="s">
        <v>201</v>
      </c>
    </row>
    <row r="4450" spans="1:5" ht="27">
      <c r="A4450" s="258">
        <v>98108</v>
      </c>
      <c r="B4450" s="257" t="s">
        <v>5947</v>
      </c>
      <c r="C4450" s="257" t="s">
        <v>90</v>
      </c>
      <c r="D4450" s="259" t="s">
        <v>17197</v>
      </c>
      <c r="E4450" s="210" t="s">
        <v>201</v>
      </c>
    </row>
    <row r="4451" spans="1:5" ht="27">
      <c r="A4451" s="258">
        <v>99250</v>
      </c>
      <c r="B4451" s="257" t="s">
        <v>5948</v>
      </c>
      <c r="C4451" s="257" t="s">
        <v>90</v>
      </c>
      <c r="D4451" s="259" t="s">
        <v>14016</v>
      </c>
      <c r="E4451" s="210" t="s">
        <v>201</v>
      </c>
    </row>
    <row r="4452" spans="1:5" ht="27">
      <c r="A4452" s="258">
        <v>99251</v>
      </c>
      <c r="B4452" s="257" t="s">
        <v>5949</v>
      </c>
      <c r="C4452" s="257" t="s">
        <v>90</v>
      </c>
      <c r="D4452" s="259" t="s">
        <v>17198</v>
      </c>
      <c r="E4452" s="210" t="s">
        <v>201</v>
      </c>
    </row>
    <row r="4453" spans="1:5" ht="27">
      <c r="A4453" s="258">
        <v>99253</v>
      </c>
      <c r="B4453" s="257" t="s">
        <v>5950</v>
      </c>
      <c r="C4453" s="257" t="s">
        <v>90</v>
      </c>
      <c r="D4453" s="259" t="s">
        <v>17199</v>
      </c>
      <c r="E4453" s="210" t="s">
        <v>201</v>
      </c>
    </row>
    <row r="4454" spans="1:5" ht="27">
      <c r="A4454" s="258">
        <v>99255</v>
      </c>
      <c r="B4454" s="257" t="s">
        <v>5951</v>
      </c>
      <c r="C4454" s="257" t="s">
        <v>90</v>
      </c>
      <c r="D4454" s="259" t="s">
        <v>17200</v>
      </c>
      <c r="E4454" s="210" t="s">
        <v>201</v>
      </c>
    </row>
    <row r="4455" spans="1:5" ht="27">
      <c r="A4455" s="257">
        <v>99257</v>
      </c>
      <c r="B4455" s="257" t="s">
        <v>5952</v>
      </c>
      <c r="C4455" s="257" t="s">
        <v>90</v>
      </c>
      <c r="D4455" s="259" t="s">
        <v>17201</v>
      </c>
      <c r="E4455" s="210" t="s">
        <v>201</v>
      </c>
    </row>
    <row r="4456" spans="1:5" ht="27">
      <c r="A4456" s="257">
        <v>99258</v>
      </c>
      <c r="B4456" s="257" t="s">
        <v>5953</v>
      </c>
      <c r="C4456" s="257" t="s">
        <v>90</v>
      </c>
      <c r="D4456" s="259" t="s">
        <v>17202</v>
      </c>
      <c r="E4456" s="210" t="s">
        <v>201</v>
      </c>
    </row>
    <row r="4457" spans="1:5" ht="27">
      <c r="A4457" s="257">
        <v>99260</v>
      </c>
      <c r="B4457" s="257" t="s">
        <v>5954</v>
      </c>
      <c r="C4457" s="257" t="s">
        <v>90</v>
      </c>
      <c r="D4457" s="259" t="s">
        <v>17203</v>
      </c>
      <c r="E4457" s="210" t="s">
        <v>201</v>
      </c>
    </row>
    <row r="4458" spans="1:5" ht="27">
      <c r="A4458" s="257">
        <v>99262</v>
      </c>
      <c r="B4458" s="257" t="s">
        <v>5955</v>
      </c>
      <c r="C4458" s="257" t="s">
        <v>90</v>
      </c>
      <c r="D4458" s="259" t="s">
        <v>17204</v>
      </c>
      <c r="E4458" s="210" t="s">
        <v>201</v>
      </c>
    </row>
    <row r="4459" spans="1:5" ht="27">
      <c r="A4459" s="258">
        <v>99264</v>
      </c>
      <c r="B4459" s="257" t="s">
        <v>5956</v>
      </c>
      <c r="C4459" s="257" t="s">
        <v>90</v>
      </c>
      <c r="D4459" s="259" t="s">
        <v>17205</v>
      </c>
      <c r="E4459" s="210" t="s">
        <v>201</v>
      </c>
    </row>
    <row r="4460" spans="1:5" ht="27">
      <c r="A4460" s="258">
        <v>89482</v>
      </c>
      <c r="B4460" s="257" t="s">
        <v>3176</v>
      </c>
      <c r="C4460" s="257" t="s">
        <v>90</v>
      </c>
      <c r="D4460" s="259" t="s">
        <v>15894</v>
      </c>
      <c r="E4460" s="210" t="s">
        <v>201</v>
      </c>
    </row>
    <row r="4461" spans="1:5" ht="27">
      <c r="A4461" s="258">
        <v>89491</v>
      </c>
      <c r="B4461" s="257" t="s">
        <v>3177</v>
      </c>
      <c r="C4461" s="257" t="s">
        <v>90</v>
      </c>
      <c r="D4461" s="259" t="s">
        <v>17206</v>
      </c>
      <c r="E4461" s="210" t="s">
        <v>201</v>
      </c>
    </row>
    <row r="4462" spans="1:5" ht="27">
      <c r="A4462" s="258">
        <v>89495</v>
      </c>
      <c r="B4462" s="257" t="s">
        <v>3178</v>
      </c>
      <c r="C4462" s="257" t="s">
        <v>90</v>
      </c>
      <c r="D4462" s="259" t="s">
        <v>13524</v>
      </c>
      <c r="E4462" s="210" t="s">
        <v>201</v>
      </c>
    </row>
    <row r="4463" spans="1:5" ht="27">
      <c r="A4463" s="258">
        <v>89707</v>
      </c>
      <c r="B4463" s="257" t="s">
        <v>3179</v>
      </c>
      <c r="C4463" s="257" t="s">
        <v>90</v>
      </c>
      <c r="D4463" s="259" t="s">
        <v>16543</v>
      </c>
      <c r="E4463" s="210" t="s">
        <v>201</v>
      </c>
    </row>
    <row r="4464" spans="1:5" ht="27">
      <c r="A4464" s="258">
        <v>89708</v>
      </c>
      <c r="B4464" s="257" t="s">
        <v>3180</v>
      </c>
      <c r="C4464" s="257" t="s">
        <v>90</v>
      </c>
      <c r="D4464" s="259" t="s">
        <v>17207</v>
      </c>
      <c r="E4464" s="210" t="s">
        <v>201</v>
      </c>
    </row>
    <row r="4465" spans="1:5" ht="27">
      <c r="A4465" s="258">
        <v>89709</v>
      </c>
      <c r="B4465" s="257" t="s">
        <v>3181</v>
      </c>
      <c r="C4465" s="257" t="s">
        <v>90</v>
      </c>
      <c r="D4465" s="259" t="s">
        <v>17208</v>
      </c>
      <c r="E4465" s="210" t="s">
        <v>201</v>
      </c>
    </row>
    <row r="4466" spans="1:5" ht="27">
      <c r="A4466" s="258">
        <v>89710</v>
      </c>
      <c r="B4466" s="257" t="s">
        <v>3182</v>
      </c>
      <c r="C4466" s="257" t="s">
        <v>90</v>
      </c>
      <c r="D4466" s="259" t="s">
        <v>17209</v>
      </c>
      <c r="E4466" s="210" t="s">
        <v>201</v>
      </c>
    </row>
    <row r="4467" spans="1:5" ht="13.5">
      <c r="A4467" s="258">
        <v>86872</v>
      </c>
      <c r="B4467" s="257" t="s">
        <v>17210</v>
      </c>
      <c r="C4467" s="257" t="s">
        <v>90</v>
      </c>
      <c r="D4467" s="259" t="s">
        <v>17211</v>
      </c>
      <c r="E4467" s="210" t="s">
        <v>201</v>
      </c>
    </row>
    <row r="4468" spans="1:5" ht="13.5">
      <c r="A4468" s="258">
        <v>86874</v>
      </c>
      <c r="B4468" s="257" t="s">
        <v>17212</v>
      </c>
      <c r="C4468" s="257" t="s">
        <v>90</v>
      </c>
      <c r="D4468" s="259" t="s">
        <v>17213</v>
      </c>
      <c r="E4468" s="210" t="s">
        <v>201</v>
      </c>
    </row>
    <row r="4469" spans="1:5" ht="27">
      <c r="A4469" s="258">
        <v>86875</v>
      </c>
      <c r="B4469" s="257" t="s">
        <v>17214</v>
      </c>
      <c r="C4469" s="257" t="s">
        <v>90</v>
      </c>
      <c r="D4469" s="259" t="s">
        <v>17215</v>
      </c>
      <c r="E4469" s="210" t="s">
        <v>201</v>
      </c>
    </row>
    <row r="4470" spans="1:5" ht="27">
      <c r="A4470" s="258">
        <v>86876</v>
      </c>
      <c r="B4470" s="257" t="s">
        <v>17216</v>
      </c>
      <c r="C4470" s="257" t="s">
        <v>90</v>
      </c>
      <c r="D4470" s="259" t="s">
        <v>17217</v>
      </c>
      <c r="E4470" s="210" t="s">
        <v>201</v>
      </c>
    </row>
    <row r="4471" spans="1:5" ht="27">
      <c r="A4471" s="258">
        <v>86877</v>
      </c>
      <c r="B4471" s="257" t="s">
        <v>17218</v>
      </c>
      <c r="C4471" s="257" t="s">
        <v>90</v>
      </c>
      <c r="D4471" s="259" t="s">
        <v>17219</v>
      </c>
      <c r="E4471" s="210" t="s">
        <v>201</v>
      </c>
    </row>
    <row r="4472" spans="1:5" ht="27">
      <c r="A4472" s="258">
        <v>86878</v>
      </c>
      <c r="B4472" s="257" t="s">
        <v>17220</v>
      </c>
      <c r="C4472" s="257" t="s">
        <v>90</v>
      </c>
      <c r="D4472" s="259" t="s">
        <v>17221</v>
      </c>
      <c r="E4472" s="210" t="s">
        <v>201</v>
      </c>
    </row>
    <row r="4473" spans="1:5" ht="27">
      <c r="A4473" s="258">
        <v>86879</v>
      </c>
      <c r="B4473" s="257" t="s">
        <v>17222</v>
      </c>
      <c r="C4473" s="257" t="s">
        <v>90</v>
      </c>
      <c r="D4473" s="259" t="s">
        <v>13631</v>
      </c>
      <c r="E4473" s="210" t="s">
        <v>201</v>
      </c>
    </row>
    <row r="4474" spans="1:5" ht="27">
      <c r="A4474" s="258">
        <v>86880</v>
      </c>
      <c r="B4474" s="257" t="s">
        <v>17223</v>
      </c>
      <c r="C4474" s="257" t="s">
        <v>90</v>
      </c>
      <c r="D4474" s="259" t="s">
        <v>17224</v>
      </c>
      <c r="E4474" s="210" t="s">
        <v>201</v>
      </c>
    </row>
    <row r="4475" spans="1:5" ht="13.5">
      <c r="A4475" s="258">
        <v>86881</v>
      </c>
      <c r="B4475" s="257" t="s">
        <v>17225</v>
      </c>
      <c r="C4475" s="257" t="s">
        <v>90</v>
      </c>
      <c r="D4475" s="259" t="s">
        <v>17226</v>
      </c>
      <c r="E4475" s="210" t="s">
        <v>201</v>
      </c>
    </row>
    <row r="4476" spans="1:5" ht="13.5">
      <c r="A4476" s="258">
        <v>86882</v>
      </c>
      <c r="B4476" s="257" t="s">
        <v>17227</v>
      </c>
      <c r="C4476" s="257" t="s">
        <v>90</v>
      </c>
      <c r="D4476" s="259" t="s">
        <v>17228</v>
      </c>
      <c r="E4476" s="210" t="s">
        <v>201</v>
      </c>
    </row>
    <row r="4477" spans="1:5" ht="13.5">
      <c r="A4477" s="258">
        <v>86883</v>
      </c>
      <c r="B4477" s="257" t="s">
        <v>17229</v>
      </c>
      <c r="C4477" s="257" t="s">
        <v>90</v>
      </c>
      <c r="D4477" s="259" t="s">
        <v>15436</v>
      </c>
      <c r="E4477" s="210" t="s">
        <v>201</v>
      </c>
    </row>
    <row r="4478" spans="1:5" ht="13.5">
      <c r="A4478" s="258">
        <v>86884</v>
      </c>
      <c r="B4478" s="257" t="s">
        <v>17230</v>
      </c>
      <c r="C4478" s="257" t="s">
        <v>90</v>
      </c>
      <c r="D4478" s="259" t="s">
        <v>16238</v>
      </c>
      <c r="E4478" s="210" t="s">
        <v>201</v>
      </c>
    </row>
    <row r="4479" spans="1:5" ht="13.5">
      <c r="A4479" s="258">
        <v>86885</v>
      </c>
      <c r="B4479" s="257" t="s">
        <v>17231</v>
      </c>
      <c r="C4479" s="257" t="s">
        <v>90</v>
      </c>
      <c r="D4479" s="259" t="s">
        <v>16475</v>
      </c>
      <c r="E4479" s="210" t="s">
        <v>201</v>
      </c>
    </row>
    <row r="4480" spans="1:5" ht="13.5">
      <c r="A4480" s="258">
        <v>86886</v>
      </c>
      <c r="B4480" s="257" t="s">
        <v>17232</v>
      </c>
      <c r="C4480" s="257" t="s">
        <v>90</v>
      </c>
      <c r="D4480" s="259" t="s">
        <v>16547</v>
      </c>
      <c r="E4480" s="210" t="s">
        <v>201</v>
      </c>
    </row>
    <row r="4481" spans="1:5" ht="13.5">
      <c r="A4481" s="258">
        <v>86887</v>
      </c>
      <c r="B4481" s="257" t="s">
        <v>17233</v>
      </c>
      <c r="C4481" s="257" t="s">
        <v>90</v>
      </c>
      <c r="D4481" s="259" t="s">
        <v>16336</v>
      </c>
      <c r="E4481" s="210" t="s">
        <v>201</v>
      </c>
    </row>
    <row r="4482" spans="1:5" ht="27">
      <c r="A4482" s="258">
        <v>86888</v>
      </c>
      <c r="B4482" s="257" t="s">
        <v>17234</v>
      </c>
      <c r="C4482" s="257" t="s">
        <v>90</v>
      </c>
      <c r="D4482" s="259" t="s">
        <v>17235</v>
      </c>
      <c r="E4482" s="210" t="s">
        <v>201</v>
      </c>
    </row>
    <row r="4483" spans="1:5" ht="27">
      <c r="A4483" s="258">
        <v>86889</v>
      </c>
      <c r="B4483" s="257" t="s">
        <v>17236</v>
      </c>
      <c r="C4483" s="257" t="s">
        <v>90</v>
      </c>
      <c r="D4483" s="259" t="s">
        <v>17237</v>
      </c>
      <c r="E4483" s="210" t="s">
        <v>201</v>
      </c>
    </row>
    <row r="4484" spans="1:5" ht="27">
      <c r="A4484" s="258">
        <v>86893</v>
      </c>
      <c r="B4484" s="257" t="s">
        <v>17238</v>
      </c>
      <c r="C4484" s="257" t="s">
        <v>90</v>
      </c>
      <c r="D4484" s="259" t="s">
        <v>17239</v>
      </c>
      <c r="E4484" s="210" t="s">
        <v>201</v>
      </c>
    </row>
    <row r="4485" spans="1:5" ht="27">
      <c r="A4485" s="258">
        <v>86894</v>
      </c>
      <c r="B4485" s="257" t="s">
        <v>17240</v>
      </c>
      <c r="C4485" s="257" t="s">
        <v>90</v>
      </c>
      <c r="D4485" s="259" t="s">
        <v>17241</v>
      </c>
      <c r="E4485" s="210" t="s">
        <v>201</v>
      </c>
    </row>
    <row r="4486" spans="1:5" ht="27">
      <c r="A4486" s="258">
        <v>86895</v>
      </c>
      <c r="B4486" s="257" t="s">
        <v>17242</v>
      </c>
      <c r="C4486" s="257" t="s">
        <v>90</v>
      </c>
      <c r="D4486" s="259" t="s">
        <v>17243</v>
      </c>
      <c r="E4486" s="210" t="s">
        <v>201</v>
      </c>
    </row>
    <row r="4487" spans="1:5" ht="27">
      <c r="A4487" s="258">
        <v>86899</v>
      </c>
      <c r="B4487" s="257" t="s">
        <v>17244</v>
      </c>
      <c r="C4487" s="257" t="s">
        <v>90</v>
      </c>
      <c r="D4487" s="259" t="s">
        <v>17245</v>
      </c>
      <c r="E4487" s="210" t="s">
        <v>201</v>
      </c>
    </row>
    <row r="4488" spans="1:5" ht="27">
      <c r="A4488" s="258">
        <v>86900</v>
      </c>
      <c r="B4488" s="257" t="s">
        <v>17246</v>
      </c>
      <c r="C4488" s="257" t="s">
        <v>90</v>
      </c>
      <c r="D4488" s="259" t="s">
        <v>17247</v>
      </c>
      <c r="E4488" s="210" t="s">
        <v>201</v>
      </c>
    </row>
    <row r="4489" spans="1:5" ht="27">
      <c r="A4489" s="258">
        <v>86901</v>
      </c>
      <c r="B4489" s="257" t="s">
        <v>17248</v>
      </c>
      <c r="C4489" s="257" t="s">
        <v>90</v>
      </c>
      <c r="D4489" s="259" t="s">
        <v>17249</v>
      </c>
      <c r="E4489" s="210" t="s">
        <v>201</v>
      </c>
    </row>
    <row r="4490" spans="1:5" ht="27">
      <c r="A4490" s="258">
        <v>86902</v>
      </c>
      <c r="B4490" s="257" t="s">
        <v>17250</v>
      </c>
      <c r="C4490" s="257" t="s">
        <v>90</v>
      </c>
      <c r="D4490" s="259" t="s">
        <v>17251</v>
      </c>
      <c r="E4490" s="210" t="s">
        <v>201</v>
      </c>
    </row>
    <row r="4491" spans="1:5" ht="27">
      <c r="A4491" s="258">
        <v>86903</v>
      </c>
      <c r="B4491" s="257" t="s">
        <v>17252</v>
      </c>
      <c r="C4491" s="257" t="s">
        <v>90</v>
      </c>
      <c r="D4491" s="259" t="s">
        <v>17253</v>
      </c>
      <c r="E4491" s="210" t="s">
        <v>201</v>
      </c>
    </row>
    <row r="4492" spans="1:5" ht="27">
      <c r="A4492" s="258">
        <v>86904</v>
      </c>
      <c r="B4492" s="257" t="s">
        <v>17254</v>
      </c>
      <c r="C4492" s="257" t="s">
        <v>90</v>
      </c>
      <c r="D4492" s="259" t="s">
        <v>17255</v>
      </c>
      <c r="E4492" s="210" t="s">
        <v>201</v>
      </c>
    </row>
    <row r="4493" spans="1:5" ht="27">
      <c r="A4493" s="258">
        <v>86905</v>
      </c>
      <c r="B4493" s="257" t="s">
        <v>17256</v>
      </c>
      <c r="C4493" s="257" t="s">
        <v>90</v>
      </c>
      <c r="D4493" s="259" t="s">
        <v>13917</v>
      </c>
      <c r="E4493" s="210" t="s">
        <v>201</v>
      </c>
    </row>
    <row r="4494" spans="1:5" ht="27">
      <c r="A4494" s="258">
        <v>86906</v>
      </c>
      <c r="B4494" s="257" t="s">
        <v>17257</v>
      </c>
      <c r="C4494" s="257" t="s">
        <v>90</v>
      </c>
      <c r="D4494" s="259" t="s">
        <v>17258</v>
      </c>
      <c r="E4494" s="210" t="s">
        <v>201</v>
      </c>
    </row>
    <row r="4495" spans="1:5" ht="27">
      <c r="A4495" s="258">
        <v>86908</v>
      </c>
      <c r="B4495" s="257" t="s">
        <v>17259</v>
      </c>
      <c r="C4495" s="257" t="s">
        <v>90</v>
      </c>
      <c r="D4495" s="259" t="s">
        <v>17260</v>
      </c>
      <c r="E4495" s="210" t="s">
        <v>201</v>
      </c>
    </row>
    <row r="4496" spans="1:5" ht="27">
      <c r="A4496" s="258">
        <v>86909</v>
      </c>
      <c r="B4496" s="257" t="s">
        <v>17261</v>
      </c>
      <c r="C4496" s="257" t="s">
        <v>90</v>
      </c>
      <c r="D4496" s="259" t="s">
        <v>17262</v>
      </c>
      <c r="E4496" s="210" t="s">
        <v>201</v>
      </c>
    </row>
    <row r="4497" spans="1:5" ht="27">
      <c r="A4497" s="258">
        <v>86910</v>
      </c>
      <c r="B4497" s="257" t="s">
        <v>17263</v>
      </c>
      <c r="C4497" s="257" t="s">
        <v>90</v>
      </c>
      <c r="D4497" s="259" t="s">
        <v>17264</v>
      </c>
      <c r="E4497" s="210" t="s">
        <v>201</v>
      </c>
    </row>
    <row r="4498" spans="1:5" ht="27">
      <c r="A4498" s="258">
        <v>86911</v>
      </c>
      <c r="B4498" s="257" t="s">
        <v>17265</v>
      </c>
      <c r="C4498" s="257" t="s">
        <v>90</v>
      </c>
      <c r="D4498" s="259" t="s">
        <v>17266</v>
      </c>
      <c r="E4498" s="210" t="s">
        <v>201</v>
      </c>
    </row>
    <row r="4499" spans="1:5" ht="27">
      <c r="A4499" s="258">
        <v>86913</v>
      </c>
      <c r="B4499" s="257" t="s">
        <v>17267</v>
      </c>
      <c r="C4499" s="257" t="s">
        <v>90</v>
      </c>
      <c r="D4499" s="259" t="s">
        <v>16680</v>
      </c>
      <c r="E4499" s="210" t="s">
        <v>201</v>
      </c>
    </row>
    <row r="4500" spans="1:5" ht="13.5">
      <c r="A4500" s="258">
        <v>86914</v>
      </c>
      <c r="B4500" s="257" t="s">
        <v>17268</v>
      </c>
      <c r="C4500" s="257" t="s">
        <v>90</v>
      </c>
      <c r="D4500" s="259" t="s">
        <v>17269</v>
      </c>
      <c r="E4500" s="210" t="s">
        <v>201</v>
      </c>
    </row>
    <row r="4501" spans="1:5" ht="27">
      <c r="A4501" s="258">
        <v>86915</v>
      </c>
      <c r="B4501" s="257" t="s">
        <v>17270</v>
      </c>
      <c r="C4501" s="257" t="s">
        <v>90</v>
      </c>
      <c r="D4501" s="259" t="s">
        <v>17271</v>
      </c>
      <c r="E4501" s="210" t="s">
        <v>201</v>
      </c>
    </row>
    <row r="4502" spans="1:5" ht="13.5">
      <c r="A4502" s="258">
        <v>86916</v>
      </c>
      <c r="B4502" s="257" t="s">
        <v>17272</v>
      </c>
      <c r="C4502" s="257" t="s">
        <v>90</v>
      </c>
      <c r="D4502" s="259" t="s">
        <v>16777</v>
      </c>
      <c r="E4502" s="210" t="s">
        <v>201</v>
      </c>
    </row>
    <row r="4503" spans="1:5" ht="27">
      <c r="A4503" s="258">
        <v>86919</v>
      </c>
      <c r="B4503" s="257" t="s">
        <v>17273</v>
      </c>
      <c r="C4503" s="257" t="s">
        <v>90</v>
      </c>
      <c r="D4503" s="259" t="s">
        <v>17274</v>
      </c>
      <c r="E4503" s="210" t="s">
        <v>201</v>
      </c>
    </row>
    <row r="4504" spans="1:5" ht="27">
      <c r="A4504" s="258">
        <v>86920</v>
      </c>
      <c r="B4504" s="257" t="s">
        <v>17275</v>
      </c>
      <c r="C4504" s="257" t="s">
        <v>90</v>
      </c>
      <c r="D4504" s="259" t="s">
        <v>17276</v>
      </c>
      <c r="E4504" s="210" t="s">
        <v>201</v>
      </c>
    </row>
    <row r="4505" spans="1:5" ht="27">
      <c r="A4505" s="258">
        <v>86921</v>
      </c>
      <c r="B4505" s="257" t="s">
        <v>17277</v>
      </c>
      <c r="C4505" s="257" t="s">
        <v>90</v>
      </c>
      <c r="D4505" s="259" t="s">
        <v>17278</v>
      </c>
      <c r="E4505" s="210" t="s">
        <v>201</v>
      </c>
    </row>
    <row r="4506" spans="1:5" ht="40.5">
      <c r="A4506" s="258">
        <v>86922</v>
      </c>
      <c r="B4506" s="257" t="s">
        <v>17279</v>
      </c>
      <c r="C4506" s="257" t="s">
        <v>90</v>
      </c>
      <c r="D4506" s="259" t="s">
        <v>17280</v>
      </c>
      <c r="E4506" s="210" t="s">
        <v>201</v>
      </c>
    </row>
    <row r="4507" spans="1:5" ht="40.5">
      <c r="A4507" s="258">
        <v>86923</v>
      </c>
      <c r="B4507" s="257" t="s">
        <v>17281</v>
      </c>
      <c r="C4507" s="257" t="s">
        <v>90</v>
      </c>
      <c r="D4507" s="259" t="s">
        <v>17282</v>
      </c>
      <c r="E4507" s="210" t="s">
        <v>201</v>
      </c>
    </row>
    <row r="4508" spans="1:5" ht="27">
      <c r="A4508" s="258">
        <v>86924</v>
      </c>
      <c r="B4508" s="257" t="s">
        <v>17283</v>
      </c>
      <c r="C4508" s="257" t="s">
        <v>90</v>
      </c>
      <c r="D4508" s="259" t="s">
        <v>17284</v>
      </c>
      <c r="E4508" s="210" t="s">
        <v>201</v>
      </c>
    </row>
    <row r="4509" spans="1:5" ht="40.5">
      <c r="A4509" s="258">
        <v>86925</v>
      </c>
      <c r="B4509" s="257" t="s">
        <v>17285</v>
      </c>
      <c r="C4509" s="257" t="s">
        <v>90</v>
      </c>
      <c r="D4509" s="259" t="s">
        <v>17286</v>
      </c>
      <c r="E4509" s="210" t="s">
        <v>201</v>
      </c>
    </row>
    <row r="4510" spans="1:5" ht="27">
      <c r="A4510" s="258">
        <v>86926</v>
      </c>
      <c r="B4510" s="257" t="s">
        <v>17287</v>
      </c>
      <c r="C4510" s="257" t="s">
        <v>90</v>
      </c>
      <c r="D4510" s="259" t="s">
        <v>17288</v>
      </c>
      <c r="E4510" s="210" t="s">
        <v>201</v>
      </c>
    </row>
    <row r="4511" spans="1:5" ht="40.5">
      <c r="A4511" s="258">
        <v>86927</v>
      </c>
      <c r="B4511" s="257" t="s">
        <v>17289</v>
      </c>
      <c r="C4511" s="257" t="s">
        <v>90</v>
      </c>
      <c r="D4511" s="259" t="s">
        <v>17290</v>
      </c>
      <c r="E4511" s="210" t="s">
        <v>201</v>
      </c>
    </row>
    <row r="4512" spans="1:5" ht="27">
      <c r="A4512" s="258">
        <v>86928</v>
      </c>
      <c r="B4512" s="257" t="s">
        <v>17291</v>
      </c>
      <c r="C4512" s="257" t="s">
        <v>90</v>
      </c>
      <c r="D4512" s="259" t="s">
        <v>17292</v>
      </c>
      <c r="E4512" s="210" t="s">
        <v>201</v>
      </c>
    </row>
    <row r="4513" spans="1:5" ht="40.5">
      <c r="A4513" s="258">
        <v>86929</v>
      </c>
      <c r="B4513" s="257" t="s">
        <v>17293</v>
      </c>
      <c r="C4513" s="257" t="s">
        <v>90</v>
      </c>
      <c r="D4513" s="259" t="s">
        <v>17294</v>
      </c>
      <c r="E4513" s="210" t="s">
        <v>201</v>
      </c>
    </row>
    <row r="4514" spans="1:5" ht="27">
      <c r="A4514" s="258">
        <v>86930</v>
      </c>
      <c r="B4514" s="257" t="s">
        <v>17295</v>
      </c>
      <c r="C4514" s="257" t="s">
        <v>90</v>
      </c>
      <c r="D4514" s="259" t="s">
        <v>17296</v>
      </c>
      <c r="E4514" s="210" t="s">
        <v>201</v>
      </c>
    </row>
    <row r="4515" spans="1:5" ht="27">
      <c r="A4515" s="258">
        <v>86931</v>
      </c>
      <c r="B4515" s="257" t="s">
        <v>17297</v>
      </c>
      <c r="C4515" s="257" t="s">
        <v>90</v>
      </c>
      <c r="D4515" s="259" t="s">
        <v>17298</v>
      </c>
      <c r="E4515" s="210" t="s">
        <v>201</v>
      </c>
    </row>
    <row r="4516" spans="1:5" ht="27">
      <c r="A4516" s="258">
        <v>86932</v>
      </c>
      <c r="B4516" s="257" t="s">
        <v>17299</v>
      </c>
      <c r="C4516" s="257" t="s">
        <v>90</v>
      </c>
      <c r="D4516" s="259" t="s">
        <v>17300</v>
      </c>
      <c r="E4516" s="210" t="s">
        <v>201</v>
      </c>
    </row>
    <row r="4517" spans="1:5" ht="40.5">
      <c r="A4517" s="258">
        <v>86933</v>
      </c>
      <c r="B4517" s="257" t="s">
        <v>17301</v>
      </c>
      <c r="C4517" s="257" t="s">
        <v>90</v>
      </c>
      <c r="D4517" s="259" t="s">
        <v>17302</v>
      </c>
      <c r="E4517" s="210" t="s">
        <v>201</v>
      </c>
    </row>
    <row r="4518" spans="1:5" ht="40.5">
      <c r="A4518" s="258">
        <v>86934</v>
      </c>
      <c r="B4518" s="257" t="s">
        <v>17303</v>
      </c>
      <c r="C4518" s="257" t="s">
        <v>90</v>
      </c>
      <c r="D4518" s="259" t="s">
        <v>17304</v>
      </c>
      <c r="E4518" s="210" t="s">
        <v>201</v>
      </c>
    </row>
    <row r="4519" spans="1:5" ht="27">
      <c r="A4519" s="258">
        <v>86935</v>
      </c>
      <c r="B4519" s="257" t="s">
        <v>17305</v>
      </c>
      <c r="C4519" s="257" t="s">
        <v>90</v>
      </c>
      <c r="D4519" s="259" t="s">
        <v>17306</v>
      </c>
      <c r="E4519" s="210" t="s">
        <v>201</v>
      </c>
    </row>
    <row r="4520" spans="1:5" ht="27">
      <c r="A4520" s="258">
        <v>86936</v>
      </c>
      <c r="B4520" s="257" t="s">
        <v>17307</v>
      </c>
      <c r="C4520" s="257" t="s">
        <v>90</v>
      </c>
      <c r="D4520" s="259" t="s">
        <v>17308</v>
      </c>
      <c r="E4520" s="210" t="s">
        <v>201</v>
      </c>
    </row>
    <row r="4521" spans="1:5" ht="27">
      <c r="A4521" s="258">
        <v>86937</v>
      </c>
      <c r="B4521" s="257" t="s">
        <v>17309</v>
      </c>
      <c r="C4521" s="257" t="s">
        <v>90</v>
      </c>
      <c r="D4521" s="259" t="s">
        <v>17310</v>
      </c>
      <c r="E4521" s="210" t="s">
        <v>201</v>
      </c>
    </row>
    <row r="4522" spans="1:5" ht="27">
      <c r="A4522" s="258">
        <v>86938</v>
      </c>
      <c r="B4522" s="257" t="s">
        <v>17311</v>
      </c>
      <c r="C4522" s="257" t="s">
        <v>90</v>
      </c>
      <c r="D4522" s="259" t="s">
        <v>17312</v>
      </c>
      <c r="E4522" s="210" t="s">
        <v>201</v>
      </c>
    </row>
    <row r="4523" spans="1:5" ht="40.5">
      <c r="A4523" s="258">
        <v>86939</v>
      </c>
      <c r="B4523" s="257" t="s">
        <v>17313</v>
      </c>
      <c r="C4523" s="257" t="s">
        <v>90</v>
      </c>
      <c r="D4523" s="259" t="s">
        <v>17314</v>
      </c>
      <c r="E4523" s="210" t="s">
        <v>201</v>
      </c>
    </row>
    <row r="4524" spans="1:5" ht="40.5">
      <c r="A4524" s="258">
        <v>86940</v>
      </c>
      <c r="B4524" s="257" t="s">
        <v>17315</v>
      </c>
      <c r="C4524" s="257" t="s">
        <v>90</v>
      </c>
      <c r="D4524" s="259" t="s">
        <v>17316</v>
      </c>
      <c r="E4524" s="210" t="s">
        <v>201</v>
      </c>
    </row>
    <row r="4525" spans="1:5" ht="40.5">
      <c r="A4525" s="258">
        <v>86941</v>
      </c>
      <c r="B4525" s="257" t="s">
        <v>17317</v>
      </c>
      <c r="C4525" s="257" t="s">
        <v>90</v>
      </c>
      <c r="D4525" s="259" t="s">
        <v>13732</v>
      </c>
      <c r="E4525" s="210" t="s">
        <v>201</v>
      </c>
    </row>
    <row r="4526" spans="1:5" ht="40.5">
      <c r="A4526" s="258">
        <v>86942</v>
      </c>
      <c r="B4526" s="257" t="s">
        <v>17318</v>
      </c>
      <c r="C4526" s="257" t="s">
        <v>90</v>
      </c>
      <c r="D4526" s="259" t="s">
        <v>17319</v>
      </c>
      <c r="E4526" s="210" t="s">
        <v>201</v>
      </c>
    </row>
    <row r="4527" spans="1:5" ht="40.5">
      <c r="A4527" s="258">
        <v>86943</v>
      </c>
      <c r="B4527" s="257" t="s">
        <v>17320</v>
      </c>
      <c r="C4527" s="257" t="s">
        <v>90</v>
      </c>
      <c r="D4527" s="259" t="s">
        <v>17321</v>
      </c>
      <c r="E4527" s="210" t="s">
        <v>201</v>
      </c>
    </row>
    <row r="4528" spans="1:5" ht="40.5">
      <c r="A4528" s="258">
        <v>86947</v>
      </c>
      <c r="B4528" s="257" t="s">
        <v>17322</v>
      </c>
      <c r="C4528" s="257" t="s">
        <v>90</v>
      </c>
      <c r="D4528" s="259" t="s">
        <v>17323</v>
      </c>
      <c r="E4528" s="210" t="s">
        <v>201</v>
      </c>
    </row>
    <row r="4529" spans="1:5" ht="40.5">
      <c r="A4529" s="258">
        <v>93396</v>
      </c>
      <c r="B4529" s="257" t="s">
        <v>17324</v>
      </c>
      <c r="C4529" s="257" t="s">
        <v>90</v>
      </c>
      <c r="D4529" s="259" t="s">
        <v>17325</v>
      </c>
      <c r="E4529" s="210" t="s">
        <v>201</v>
      </c>
    </row>
    <row r="4530" spans="1:5" ht="40.5">
      <c r="A4530" s="258">
        <v>93441</v>
      </c>
      <c r="B4530" s="257" t="s">
        <v>17326</v>
      </c>
      <c r="C4530" s="257" t="s">
        <v>90</v>
      </c>
      <c r="D4530" s="259" t="s">
        <v>17327</v>
      </c>
      <c r="E4530" s="210" t="s">
        <v>201</v>
      </c>
    </row>
    <row r="4531" spans="1:5" ht="40.5">
      <c r="A4531" s="258">
        <v>93442</v>
      </c>
      <c r="B4531" s="257" t="s">
        <v>17328</v>
      </c>
      <c r="C4531" s="257" t="s">
        <v>90</v>
      </c>
      <c r="D4531" s="259" t="s">
        <v>17329</v>
      </c>
      <c r="E4531" s="210" t="s">
        <v>201</v>
      </c>
    </row>
    <row r="4532" spans="1:5" ht="27">
      <c r="A4532" s="258">
        <v>95469</v>
      </c>
      <c r="B4532" s="257" t="s">
        <v>17330</v>
      </c>
      <c r="C4532" s="257" t="s">
        <v>90</v>
      </c>
      <c r="D4532" s="259" t="s">
        <v>17331</v>
      </c>
      <c r="E4532" s="210" t="s">
        <v>201</v>
      </c>
    </row>
    <row r="4533" spans="1:5" ht="27">
      <c r="A4533" s="258">
        <v>95470</v>
      </c>
      <c r="B4533" s="257" t="s">
        <v>3183</v>
      </c>
      <c r="C4533" s="257" t="s">
        <v>90</v>
      </c>
      <c r="D4533" s="259" t="s">
        <v>17332</v>
      </c>
      <c r="E4533" s="210" t="s">
        <v>201</v>
      </c>
    </row>
    <row r="4534" spans="1:5" ht="27">
      <c r="A4534" s="258">
        <v>95471</v>
      </c>
      <c r="B4534" s="257" t="s">
        <v>17333</v>
      </c>
      <c r="C4534" s="257" t="s">
        <v>90</v>
      </c>
      <c r="D4534" s="259" t="s">
        <v>17334</v>
      </c>
      <c r="E4534" s="210" t="s">
        <v>201</v>
      </c>
    </row>
    <row r="4535" spans="1:5" ht="40.5">
      <c r="A4535" s="258">
        <v>95472</v>
      </c>
      <c r="B4535" s="257" t="s">
        <v>17335</v>
      </c>
      <c r="C4535" s="257" t="s">
        <v>90</v>
      </c>
      <c r="D4535" s="259" t="s">
        <v>17336</v>
      </c>
      <c r="E4535" s="210" t="s">
        <v>201</v>
      </c>
    </row>
    <row r="4536" spans="1:5" ht="13.5">
      <c r="A4536" s="258">
        <v>95542</v>
      </c>
      <c r="B4536" s="257" t="s">
        <v>17337</v>
      </c>
      <c r="C4536" s="257" t="s">
        <v>90</v>
      </c>
      <c r="D4536" s="259" t="s">
        <v>17338</v>
      </c>
      <c r="E4536" s="210" t="s">
        <v>201</v>
      </c>
    </row>
    <row r="4537" spans="1:5" ht="13.5">
      <c r="A4537" s="258">
        <v>95543</v>
      </c>
      <c r="B4537" s="257" t="s">
        <v>17339</v>
      </c>
      <c r="C4537" s="257" t="s">
        <v>90</v>
      </c>
      <c r="D4537" s="259" t="s">
        <v>17340</v>
      </c>
      <c r="E4537" s="210" t="s">
        <v>201</v>
      </c>
    </row>
    <row r="4538" spans="1:5" ht="13.5">
      <c r="A4538" s="258">
        <v>95544</v>
      </c>
      <c r="B4538" s="257" t="s">
        <v>17341</v>
      </c>
      <c r="C4538" s="257" t="s">
        <v>90</v>
      </c>
      <c r="D4538" s="259" t="s">
        <v>17342</v>
      </c>
      <c r="E4538" s="210" t="s">
        <v>201</v>
      </c>
    </row>
    <row r="4539" spans="1:5" ht="13.5">
      <c r="A4539" s="258">
        <v>95545</v>
      </c>
      <c r="B4539" s="257" t="s">
        <v>17343</v>
      </c>
      <c r="C4539" s="257" t="s">
        <v>90</v>
      </c>
      <c r="D4539" s="259" t="s">
        <v>17344</v>
      </c>
      <c r="E4539" s="210" t="s">
        <v>201</v>
      </c>
    </row>
    <row r="4540" spans="1:5" ht="13.5">
      <c r="A4540" s="258">
        <v>95546</v>
      </c>
      <c r="B4540" s="257" t="s">
        <v>17345</v>
      </c>
      <c r="C4540" s="257" t="s">
        <v>90</v>
      </c>
      <c r="D4540" s="259" t="s">
        <v>17346</v>
      </c>
      <c r="E4540" s="210" t="s">
        <v>201</v>
      </c>
    </row>
    <row r="4541" spans="1:5" ht="27">
      <c r="A4541" s="258">
        <v>95547</v>
      </c>
      <c r="B4541" s="257" t="s">
        <v>17347</v>
      </c>
      <c r="C4541" s="257" t="s">
        <v>90</v>
      </c>
      <c r="D4541" s="259" t="s">
        <v>15292</v>
      </c>
      <c r="E4541" s="210" t="s">
        <v>201</v>
      </c>
    </row>
    <row r="4542" spans="1:5" ht="13.5">
      <c r="A4542" s="258">
        <v>100848</v>
      </c>
      <c r="B4542" s="257" t="s">
        <v>17348</v>
      </c>
      <c r="C4542" s="257" t="s">
        <v>90</v>
      </c>
      <c r="D4542" s="259" t="s">
        <v>17349</v>
      </c>
      <c r="E4542" s="210" t="s">
        <v>201</v>
      </c>
    </row>
    <row r="4543" spans="1:5" ht="13.5">
      <c r="A4543" s="258">
        <v>100849</v>
      </c>
      <c r="B4543" s="257" t="s">
        <v>17350</v>
      </c>
      <c r="C4543" s="257" t="s">
        <v>90</v>
      </c>
      <c r="D4543" s="259" t="s">
        <v>14115</v>
      </c>
      <c r="E4543" s="210" t="s">
        <v>201</v>
      </c>
    </row>
    <row r="4544" spans="1:5" ht="13.5">
      <c r="A4544" s="258">
        <v>100851</v>
      </c>
      <c r="B4544" s="257" t="s">
        <v>17351</v>
      </c>
      <c r="C4544" s="257" t="s">
        <v>90</v>
      </c>
      <c r="D4544" s="259" t="s">
        <v>17352</v>
      </c>
      <c r="E4544" s="210" t="s">
        <v>201</v>
      </c>
    </row>
    <row r="4545" spans="1:5" ht="27">
      <c r="A4545" s="258">
        <v>100852</v>
      </c>
      <c r="B4545" s="257" t="s">
        <v>17353</v>
      </c>
      <c r="C4545" s="257" t="s">
        <v>90</v>
      </c>
      <c r="D4545" s="259" t="s">
        <v>17354</v>
      </c>
      <c r="E4545" s="210" t="s">
        <v>201</v>
      </c>
    </row>
    <row r="4546" spans="1:5" ht="13.5">
      <c r="A4546" s="258">
        <v>100854</v>
      </c>
      <c r="B4546" s="257" t="s">
        <v>17355</v>
      </c>
      <c r="C4546" s="257" t="s">
        <v>90</v>
      </c>
      <c r="D4546" s="259" t="s">
        <v>17356</v>
      </c>
      <c r="E4546" s="210" t="s">
        <v>201</v>
      </c>
    </row>
    <row r="4547" spans="1:5" ht="27">
      <c r="A4547" s="258">
        <v>100855</v>
      </c>
      <c r="B4547" s="257" t="s">
        <v>17357</v>
      </c>
      <c r="C4547" s="257" t="s">
        <v>90</v>
      </c>
      <c r="D4547" s="259" t="s">
        <v>17344</v>
      </c>
      <c r="E4547" s="210" t="s">
        <v>201</v>
      </c>
    </row>
    <row r="4548" spans="1:5" ht="13.5">
      <c r="A4548" s="258">
        <v>100856</v>
      </c>
      <c r="B4548" s="257" t="s">
        <v>17358</v>
      </c>
      <c r="C4548" s="257" t="s">
        <v>90</v>
      </c>
      <c r="D4548" s="259" t="s">
        <v>17359</v>
      </c>
      <c r="E4548" s="210" t="s">
        <v>201</v>
      </c>
    </row>
    <row r="4549" spans="1:5" ht="13.5">
      <c r="A4549" s="258">
        <v>100857</v>
      </c>
      <c r="B4549" s="257" t="s">
        <v>17360</v>
      </c>
      <c r="C4549" s="257" t="s">
        <v>90</v>
      </c>
      <c r="D4549" s="259" t="s">
        <v>17361</v>
      </c>
      <c r="E4549" s="210" t="s">
        <v>201</v>
      </c>
    </row>
    <row r="4550" spans="1:5" ht="13.5">
      <c r="A4550" s="258">
        <v>100858</v>
      </c>
      <c r="B4550" s="257" t="s">
        <v>17362</v>
      </c>
      <c r="C4550" s="257" t="s">
        <v>90</v>
      </c>
      <c r="D4550" s="259" t="s">
        <v>17363</v>
      </c>
      <c r="E4550" s="210" t="s">
        <v>201</v>
      </c>
    </row>
    <row r="4551" spans="1:5" ht="13.5">
      <c r="A4551" s="258">
        <v>100860</v>
      </c>
      <c r="B4551" s="257" t="s">
        <v>17364</v>
      </c>
      <c r="C4551" s="257" t="s">
        <v>90</v>
      </c>
      <c r="D4551" s="259" t="s">
        <v>17365</v>
      </c>
      <c r="E4551" s="210" t="s">
        <v>201</v>
      </c>
    </row>
    <row r="4552" spans="1:5" ht="27">
      <c r="A4552" s="258">
        <v>100861</v>
      </c>
      <c r="B4552" s="257" t="s">
        <v>17366</v>
      </c>
      <c r="C4552" s="257" t="s">
        <v>90</v>
      </c>
      <c r="D4552" s="259" t="s">
        <v>17367</v>
      </c>
      <c r="E4552" s="210" t="s">
        <v>201</v>
      </c>
    </row>
    <row r="4553" spans="1:5" ht="27">
      <c r="A4553" s="258">
        <v>100862</v>
      </c>
      <c r="B4553" s="257" t="s">
        <v>17368</v>
      </c>
      <c r="C4553" s="257" t="s">
        <v>90</v>
      </c>
      <c r="D4553" s="259" t="s">
        <v>16840</v>
      </c>
      <c r="E4553" s="210" t="s">
        <v>201</v>
      </c>
    </row>
    <row r="4554" spans="1:5" ht="27">
      <c r="A4554" s="258">
        <v>100863</v>
      </c>
      <c r="B4554" s="257" t="s">
        <v>17369</v>
      </c>
      <c r="C4554" s="257" t="s">
        <v>90</v>
      </c>
      <c r="D4554" s="259" t="s">
        <v>17370</v>
      </c>
      <c r="E4554" s="210" t="s">
        <v>201</v>
      </c>
    </row>
    <row r="4555" spans="1:5" ht="27">
      <c r="A4555" s="258">
        <v>100864</v>
      </c>
      <c r="B4555" s="257" t="s">
        <v>17371</v>
      </c>
      <c r="C4555" s="257" t="s">
        <v>90</v>
      </c>
      <c r="D4555" s="259" t="s">
        <v>17372</v>
      </c>
      <c r="E4555" s="210" t="s">
        <v>201</v>
      </c>
    </row>
    <row r="4556" spans="1:5" ht="27">
      <c r="A4556" s="258">
        <v>100865</v>
      </c>
      <c r="B4556" s="257" t="s">
        <v>17373</v>
      </c>
      <c r="C4556" s="257" t="s">
        <v>90</v>
      </c>
      <c r="D4556" s="259" t="s">
        <v>17374</v>
      </c>
      <c r="E4556" s="210" t="s">
        <v>201</v>
      </c>
    </row>
    <row r="4557" spans="1:5" ht="27">
      <c r="A4557" s="258">
        <v>100866</v>
      </c>
      <c r="B4557" s="257" t="s">
        <v>17375</v>
      </c>
      <c r="C4557" s="257" t="s">
        <v>90</v>
      </c>
      <c r="D4557" s="259" t="s">
        <v>17376</v>
      </c>
      <c r="E4557" s="210" t="s">
        <v>201</v>
      </c>
    </row>
    <row r="4558" spans="1:5" ht="27">
      <c r="A4558" s="258">
        <v>100867</v>
      </c>
      <c r="B4558" s="257" t="s">
        <v>17377</v>
      </c>
      <c r="C4558" s="257" t="s">
        <v>90</v>
      </c>
      <c r="D4558" s="259" t="s">
        <v>17378</v>
      </c>
      <c r="E4558" s="210" t="s">
        <v>201</v>
      </c>
    </row>
    <row r="4559" spans="1:5" ht="27">
      <c r="A4559" s="258">
        <v>100868</v>
      </c>
      <c r="B4559" s="257" t="s">
        <v>17379</v>
      </c>
      <c r="C4559" s="257" t="s">
        <v>90</v>
      </c>
      <c r="D4559" s="259" t="s">
        <v>17380</v>
      </c>
      <c r="E4559" s="210" t="s">
        <v>201</v>
      </c>
    </row>
    <row r="4560" spans="1:5" ht="27">
      <c r="A4560" s="258">
        <v>100869</v>
      </c>
      <c r="B4560" s="257" t="s">
        <v>17381</v>
      </c>
      <c r="C4560" s="257" t="s">
        <v>90</v>
      </c>
      <c r="D4560" s="259" t="s">
        <v>17382</v>
      </c>
      <c r="E4560" s="210" t="s">
        <v>201</v>
      </c>
    </row>
    <row r="4561" spans="1:5" ht="27">
      <c r="A4561" s="258">
        <v>100870</v>
      </c>
      <c r="B4561" s="257" t="s">
        <v>17383</v>
      </c>
      <c r="C4561" s="257" t="s">
        <v>90</v>
      </c>
      <c r="D4561" s="259" t="s">
        <v>17384</v>
      </c>
      <c r="E4561" s="210" t="s">
        <v>201</v>
      </c>
    </row>
    <row r="4562" spans="1:5" ht="27">
      <c r="A4562" s="258">
        <v>100871</v>
      </c>
      <c r="B4562" s="257" t="s">
        <v>17385</v>
      </c>
      <c r="C4562" s="257" t="s">
        <v>90</v>
      </c>
      <c r="D4562" s="259" t="s">
        <v>17386</v>
      </c>
      <c r="E4562" s="210" t="s">
        <v>201</v>
      </c>
    </row>
    <row r="4563" spans="1:5" ht="27">
      <c r="A4563" s="258">
        <v>100872</v>
      </c>
      <c r="B4563" s="257" t="s">
        <v>17387</v>
      </c>
      <c r="C4563" s="257" t="s">
        <v>90</v>
      </c>
      <c r="D4563" s="259" t="s">
        <v>17388</v>
      </c>
      <c r="E4563" s="210" t="s">
        <v>201</v>
      </c>
    </row>
    <row r="4564" spans="1:5" ht="27">
      <c r="A4564" s="258">
        <v>100873</v>
      </c>
      <c r="B4564" s="257" t="s">
        <v>17389</v>
      </c>
      <c r="C4564" s="257" t="s">
        <v>90</v>
      </c>
      <c r="D4564" s="259" t="s">
        <v>15879</v>
      </c>
      <c r="E4564" s="210" t="s">
        <v>201</v>
      </c>
    </row>
    <row r="4565" spans="1:5" ht="13.5">
      <c r="A4565" s="257">
        <v>100874</v>
      </c>
      <c r="B4565" s="257" t="s">
        <v>17390</v>
      </c>
      <c r="C4565" s="257" t="s">
        <v>90</v>
      </c>
      <c r="D4565" s="259" t="s">
        <v>17376</v>
      </c>
      <c r="E4565" s="210" t="s">
        <v>201</v>
      </c>
    </row>
    <row r="4566" spans="1:5" ht="27">
      <c r="A4566" s="257">
        <v>100875</v>
      </c>
      <c r="B4566" s="257" t="s">
        <v>17391</v>
      </c>
      <c r="C4566" s="257" t="s">
        <v>90</v>
      </c>
      <c r="D4566" s="259" t="s">
        <v>17392</v>
      </c>
      <c r="E4566" s="210" t="s">
        <v>201</v>
      </c>
    </row>
    <row r="4567" spans="1:5" ht="13.5">
      <c r="A4567" s="258">
        <v>6087</v>
      </c>
      <c r="B4567" s="257" t="s">
        <v>3184</v>
      </c>
      <c r="C4567" s="257" t="s">
        <v>90</v>
      </c>
      <c r="D4567" s="259" t="s">
        <v>14550</v>
      </c>
      <c r="E4567" s="210" t="s">
        <v>201</v>
      </c>
    </row>
    <row r="4568" spans="1:5" ht="27">
      <c r="A4568" s="258">
        <v>98052</v>
      </c>
      <c r="B4568" s="257" t="s">
        <v>5957</v>
      </c>
      <c r="C4568" s="257" t="s">
        <v>90</v>
      </c>
      <c r="D4568" s="259" t="s">
        <v>17393</v>
      </c>
      <c r="E4568" s="210" t="s">
        <v>201</v>
      </c>
    </row>
    <row r="4569" spans="1:5" ht="27">
      <c r="A4569" s="258">
        <v>98053</v>
      </c>
      <c r="B4569" s="257" t="s">
        <v>5958</v>
      </c>
      <c r="C4569" s="257" t="s">
        <v>90</v>
      </c>
      <c r="D4569" s="259" t="s">
        <v>17394</v>
      </c>
      <c r="E4569" s="210" t="s">
        <v>201</v>
      </c>
    </row>
    <row r="4570" spans="1:5" ht="27">
      <c r="A4570" s="258">
        <v>98054</v>
      </c>
      <c r="B4570" s="257" t="s">
        <v>5959</v>
      </c>
      <c r="C4570" s="257" t="s">
        <v>90</v>
      </c>
      <c r="D4570" s="259" t="s">
        <v>17395</v>
      </c>
      <c r="E4570" s="210" t="s">
        <v>201</v>
      </c>
    </row>
    <row r="4571" spans="1:5" ht="27">
      <c r="A4571" s="258">
        <v>98055</v>
      </c>
      <c r="B4571" s="257" t="s">
        <v>5960</v>
      </c>
      <c r="C4571" s="257" t="s">
        <v>90</v>
      </c>
      <c r="D4571" s="259" t="s">
        <v>17396</v>
      </c>
      <c r="E4571" s="210" t="s">
        <v>201</v>
      </c>
    </row>
    <row r="4572" spans="1:5" ht="27">
      <c r="A4572" s="258">
        <v>98056</v>
      </c>
      <c r="B4572" s="257" t="s">
        <v>5961</v>
      </c>
      <c r="C4572" s="257" t="s">
        <v>90</v>
      </c>
      <c r="D4572" s="259" t="s">
        <v>17397</v>
      </c>
      <c r="E4572" s="210" t="s">
        <v>201</v>
      </c>
    </row>
    <row r="4573" spans="1:5" ht="27">
      <c r="A4573" s="258">
        <v>98057</v>
      </c>
      <c r="B4573" s="257" t="s">
        <v>5962</v>
      </c>
      <c r="C4573" s="257" t="s">
        <v>90</v>
      </c>
      <c r="D4573" s="259" t="s">
        <v>17398</v>
      </c>
      <c r="E4573" s="210" t="s">
        <v>201</v>
      </c>
    </row>
    <row r="4574" spans="1:5" ht="27">
      <c r="A4574" s="258">
        <v>98066</v>
      </c>
      <c r="B4574" s="257" t="s">
        <v>5963</v>
      </c>
      <c r="C4574" s="257" t="s">
        <v>90</v>
      </c>
      <c r="D4574" s="259" t="s">
        <v>17399</v>
      </c>
      <c r="E4574" s="210" t="s">
        <v>201</v>
      </c>
    </row>
    <row r="4575" spans="1:5" ht="27">
      <c r="A4575" s="258">
        <v>98067</v>
      </c>
      <c r="B4575" s="257" t="s">
        <v>5964</v>
      </c>
      <c r="C4575" s="257" t="s">
        <v>90</v>
      </c>
      <c r="D4575" s="259" t="s">
        <v>17400</v>
      </c>
      <c r="E4575" s="210" t="s">
        <v>201</v>
      </c>
    </row>
    <row r="4576" spans="1:5" ht="27">
      <c r="A4576" s="258">
        <v>98068</v>
      </c>
      <c r="B4576" s="257" t="s">
        <v>5965</v>
      </c>
      <c r="C4576" s="257" t="s">
        <v>90</v>
      </c>
      <c r="D4576" s="259" t="s">
        <v>17401</v>
      </c>
      <c r="E4576" s="210" t="s">
        <v>201</v>
      </c>
    </row>
    <row r="4577" spans="1:5" ht="27">
      <c r="A4577" s="258">
        <v>98069</v>
      </c>
      <c r="B4577" s="257" t="s">
        <v>5966</v>
      </c>
      <c r="C4577" s="257" t="s">
        <v>90</v>
      </c>
      <c r="D4577" s="259" t="s">
        <v>17402</v>
      </c>
      <c r="E4577" s="210" t="s">
        <v>201</v>
      </c>
    </row>
    <row r="4578" spans="1:5" ht="27">
      <c r="A4578" s="258">
        <v>98070</v>
      </c>
      <c r="B4578" s="257" t="s">
        <v>5967</v>
      </c>
      <c r="C4578" s="257" t="s">
        <v>90</v>
      </c>
      <c r="D4578" s="259" t="s">
        <v>17403</v>
      </c>
      <c r="E4578" s="210" t="s">
        <v>201</v>
      </c>
    </row>
    <row r="4579" spans="1:5" ht="27">
      <c r="A4579" s="258">
        <v>98071</v>
      </c>
      <c r="B4579" s="257" t="s">
        <v>5968</v>
      </c>
      <c r="C4579" s="257" t="s">
        <v>90</v>
      </c>
      <c r="D4579" s="259" t="s">
        <v>17404</v>
      </c>
      <c r="E4579" s="210" t="s">
        <v>201</v>
      </c>
    </row>
    <row r="4580" spans="1:5" ht="27">
      <c r="A4580" s="258">
        <v>98072</v>
      </c>
      <c r="B4580" s="257" t="s">
        <v>5969</v>
      </c>
      <c r="C4580" s="257" t="s">
        <v>90</v>
      </c>
      <c r="D4580" s="259" t="s">
        <v>17405</v>
      </c>
      <c r="E4580" s="210" t="s">
        <v>201</v>
      </c>
    </row>
    <row r="4581" spans="1:5" ht="27">
      <c r="A4581" s="258">
        <v>98073</v>
      </c>
      <c r="B4581" s="257" t="s">
        <v>5970</v>
      </c>
      <c r="C4581" s="257" t="s">
        <v>90</v>
      </c>
      <c r="D4581" s="259" t="s">
        <v>17406</v>
      </c>
      <c r="E4581" s="210" t="s">
        <v>201</v>
      </c>
    </row>
    <row r="4582" spans="1:5" ht="27">
      <c r="A4582" s="258">
        <v>98074</v>
      </c>
      <c r="B4582" s="257" t="s">
        <v>5971</v>
      </c>
      <c r="C4582" s="257" t="s">
        <v>90</v>
      </c>
      <c r="D4582" s="259" t="s">
        <v>17407</v>
      </c>
      <c r="E4582" s="210" t="s">
        <v>201</v>
      </c>
    </row>
    <row r="4583" spans="1:5" ht="27">
      <c r="A4583" s="258">
        <v>98075</v>
      </c>
      <c r="B4583" s="257" t="s">
        <v>5972</v>
      </c>
      <c r="C4583" s="257" t="s">
        <v>90</v>
      </c>
      <c r="D4583" s="259" t="s">
        <v>17408</v>
      </c>
      <c r="E4583" s="210" t="s">
        <v>201</v>
      </c>
    </row>
    <row r="4584" spans="1:5" ht="27">
      <c r="A4584" s="258">
        <v>98076</v>
      </c>
      <c r="B4584" s="257" t="s">
        <v>5973</v>
      </c>
      <c r="C4584" s="257" t="s">
        <v>90</v>
      </c>
      <c r="D4584" s="259" t="s">
        <v>17409</v>
      </c>
      <c r="E4584" s="210" t="s">
        <v>201</v>
      </c>
    </row>
    <row r="4585" spans="1:5" ht="27">
      <c r="A4585" s="258">
        <v>98077</v>
      </c>
      <c r="B4585" s="257" t="s">
        <v>5974</v>
      </c>
      <c r="C4585" s="257" t="s">
        <v>90</v>
      </c>
      <c r="D4585" s="259" t="s">
        <v>17410</v>
      </c>
      <c r="E4585" s="210" t="s">
        <v>201</v>
      </c>
    </row>
    <row r="4586" spans="1:5" ht="27">
      <c r="A4586" s="258">
        <v>98078</v>
      </c>
      <c r="B4586" s="257" t="s">
        <v>5975</v>
      </c>
      <c r="C4586" s="257" t="s">
        <v>90</v>
      </c>
      <c r="D4586" s="259" t="s">
        <v>17411</v>
      </c>
      <c r="E4586" s="210" t="s">
        <v>201</v>
      </c>
    </row>
    <row r="4587" spans="1:5" ht="27">
      <c r="A4587" s="258">
        <v>98079</v>
      </c>
      <c r="B4587" s="257" t="s">
        <v>5976</v>
      </c>
      <c r="C4587" s="257" t="s">
        <v>90</v>
      </c>
      <c r="D4587" s="259" t="s">
        <v>17412</v>
      </c>
      <c r="E4587" s="210" t="s">
        <v>201</v>
      </c>
    </row>
    <row r="4588" spans="1:5" ht="27">
      <c r="A4588" s="258">
        <v>98080</v>
      </c>
      <c r="B4588" s="257" t="s">
        <v>5977</v>
      </c>
      <c r="C4588" s="257" t="s">
        <v>90</v>
      </c>
      <c r="D4588" s="259" t="s">
        <v>17413</v>
      </c>
      <c r="E4588" s="210" t="s">
        <v>201</v>
      </c>
    </row>
    <row r="4589" spans="1:5" ht="27">
      <c r="A4589" s="258">
        <v>98081</v>
      </c>
      <c r="B4589" s="257" t="s">
        <v>5978</v>
      </c>
      <c r="C4589" s="257" t="s">
        <v>90</v>
      </c>
      <c r="D4589" s="259" t="s">
        <v>17414</v>
      </c>
      <c r="E4589" s="210" t="s">
        <v>201</v>
      </c>
    </row>
    <row r="4590" spans="1:5" ht="27">
      <c r="A4590" s="258">
        <v>98082</v>
      </c>
      <c r="B4590" s="257" t="s">
        <v>5979</v>
      </c>
      <c r="C4590" s="257" t="s">
        <v>90</v>
      </c>
      <c r="D4590" s="259" t="s">
        <v>17415</v>
      </c>
      <c r="E4590" s="210" t="s">
        <v>201</v>
      </c>
    </row>
    <row r="4591" spans="1:5" ht="27">
      <c r="A4591" s="258">
        <v>98083</v>
      </c>
      <c r="B4591" s="257" t="s">
        <v>5980</v>
      </c>
      <c r="C4591" s="257" t="s">
        <v>90</v>
      </c>
      <c r="D4591" s="259" t="s">
        <v>17416</v>
      </c>
      <c r="E4591" s="210" t="s">
        <v>201</v>
      </c>
    </row>
    <row r="4592" spans="1:5" ht="27">
      <c r="A4592" s="258">
        <v>98084</v>
      </c>
      <c r="B4592" s="257" t="s">
        <v>5981</v>
      </c>
      <c r="C4592" s="257" t="s">
        <v>90</v>
      </c>
      <c r="D4592" s="259" t="s">
        <v>17417</v>
      </c>
      <c r="E4592" s="210" t="s">
        <v>201</v>
      </c>
    </row>
    <row r="4593" spans="1:5" ht="27">
      <c r="A4593" s="258">
        <v>98085</v>
      </c>
      <c r="B4593" s="257" t="s">
        <v>5982</v>
      </c>
      <c r="C4593" s="257" t="s">
        <v>90</v>
      </c>
      <c r="D4593" s="259" t="s">
        <v>17418</v>
      </c>
      <c r="E4593" s="210" t="s">
        <v>201</v>
      </c>
    </row>
    <row r="4594" spans="1:5" ht="27">
      <c r="A4594" s="258">
        <v>98086</v>
      </c>
      <c r="B4594" s="257" t="s">
        <v>5983</v>
      </c>
      <c r="C4594" s="257" t="s">
        <v>90</v>
      </c>
      <c r="D4594" s="259" t="s">
        <v>17419</v>
      </c>
      <c r="E4594" s="210" t="s">
        <v>201</v>
      </c>
    </row>
    <row r="4595" spans="1:5" ht="27">
      <c r="A4595" s="258">
        <v>98087</v>
      </c>
      <c r="B4595" s="257" t="s">
        <v>5984</v>
      </c>
      <c r="C4595" s="257" t="s">
        <v>90</v>
      </c>
      <c r="D4595" s="259" t="s">
        <v>17420</v>
      </c>
      <c r="E4595" s="210" t="s">
        <v>201</v>
      </c>
    </row>
    <row r="4596" spans="1:5" ht="27">
      <c r="A4596" s="258">
        <v>98088</v>
      </c>
      <c r="B4596" s="257" t="s">
        <v>5985</v>
      </c>
      <c r="C4596" s="257" t="s">
        <v>90</v>
      </c>
      <c r="D4596" s="259" t="s">
        <v>17421</v>
      </c>
      <c r="E4596" s="210" t="s">
        <v>201</v>
      </c>
    </row>
    <row r="4597" spans="1:5" ht="27">
      <c r="A4597" s="258">
        <v>98089</v>
      </c>
      <c r="B4597" s="257" t="s">
        <v>5986</v>
      </c>
      <c r="C4597" s="257" t="s">
        <v>90</v>
      </c>
      <c r="D4597" s="259" t="s">
        <v>17422</v>
      </c>
      <c r="E4597" s="210" t="s">
        <v>201</v>
      </c>
    </row>
    <row r="4598" spans="1:5" ht="27">
      <c r="A4598" s="258">
        <v>98090</v>
      </c>
      <c r="B4598" s="257" t="s">
        <v>5987</v>
      </c>
      <c r="C4598" s="257" t="s">
        <v>90</v>
      </c>
      <c r="D4598" s="259" t="s">
        <v>17423</v>
      </c>
      <c r="E4598" s="210" t="s">
        <v>201</v>
      </c>
    </row>
    <row r="4599" spans="1:5" ht="27">
      <c r="A4599" s="258">
        <v>98091</v>
      </c>
      <c r="B4599" s="257" t="s">
        <v>5988</v>
      </c>
      <c r="C4599" s="257" t="s">
        <v>90</v>
      </c>
      <c r="D4599" s="259" t="s">
        <v>17424</v>
      </c>
      <c r="E4599" s="210" t="s">
        <v>201</v>
      </c>
    </row>
    <row r="4600" spans="1:5" ht="27">
      <c r="A4600" s="258">
        <v>98092</v>
      </c>
      <c r="B4600" s="257" t="s">
        <v>5989</v>
      </c>
      <c r="C4600" s="257" t="s">
        <v>90</v>
      </c>
      <c r="D4600" s="259" t="s">
        <v>17425</v>
      </c>
      <c r="E4600" s="210" t="s">
        <v>201</v>
      </c>
    </row>
    <row r="4601" spans="1:5" ht="27">
      <c r="A4601" s="258">
        <v>98093</v>
      </c>
      <c r="B4601" s="257" t="s">
        <v>5990</v>
      </c>
      <c r="C4601" s="257" t="s">
        <v>90</v>
      </c>
      <c r="D4601" s="259" t="s">
        <v>17426</v>
      </c>
      <c r="E4601" s="210" t="s">
        <v>201</v>
      </c>
    </row>
    <row r="4602" spans="1:5" ht="27">
      <c r="A4602" s="258">
        <v>98094</v>
      </c>
      <c r="B4602" s="257" t="s">
        <v>5991</v>
      </c>
      <c r="C4602" s="257" t="s">
        <v>90</v>
      </c>
      <c r="D4602" s="259" t="s">
        <v>17427</v>
      </c>
      <c r="E4602" s="210" t="s">
        <v>201</v>
      </c>
    </row>
    <row r="4603" spans="1:5" ht="27">
      <c r="A4603" s="258">
        <v>98099</v>
      </c>
      <c r="B4603" s="257" t="s">
        <v>5992</v>
      </c>
      <c r="C4603" s="257" t="s">
        <v>90</v>
      </c>
      <c r="D4603" s="259" t="s">
        <v>17428</v>
      </c>
      <c r="E4603" s="210" t="s">
        <v>201</v>
      </c>
    </row>
    <row r="4604" spans="1:5" ht="27">
      <c r="A4604" s="258">
        <v>98100</v>
      </c>
      <c r="B4604" s="257" t="s">
        <v>5993</v>
      </c>
      <c r="C4604" s="257" t="s">
        <v>90</v>
      </c>
      <c r="D4604" s="259" t="s">
        <v>17429</v>
      </c>
      <c r="E4604" s="210" t="s">
        <v>201</v>
      </c>
    </row>
    <row r="4605" spans="1:5" ht="27">
      <c r="A4605" s="258">
        <v>98101</v>
      </c>
      <c r="B4605" s="257" t="s">
        <v>5994</v>
      </c>
      <c r="C4605" s="257" t="s">
        <v>90</v>
      </c>
      <c r="D4605" s="259" t="s">
        <v>17430</v>
      </c>
      <c r="E4605" s="210" t="s">
        <v>201</v>
      </c>
    </row>
    <row r="4606" spans="1:5" ht="40.5">
      <c r="A4606" s="258">
        <v>98109</v>
      </c>
      <c r="B4606" s="257" t="s">
        <v>5995</v>
      </c>
      <c r="C4606" s="257" t="s">
        <v>90</v>
      </c>
      <c r="D4606" s="259" t="s">
        <v>17431</v>
      </c>
      <c r="E4606" s="210" t="s">
        <v>201</v>
      </c>
    </row>
    <row r="4607" spans="1:5" ht="27">
      <c r="A4607" s="258">
        <v>98110</v>
      </c>
      <c r="B4607" s="257" t="s">
        <v>5996</v>
      </c>
      <c r="C4607" s="257" t="s">
        <v>90</v>
      </c>
      <c r="D4607" s="259" t="s">
        <v>17432</v>
      </c>
      <c r="E4607" s="210" t="s">
        <v>201</v>
      </c>
    </row>
    <row r="4608" spans="1:5" ht="27">
      <c r="A4608" s="258">
        <v>98111</v>
      </c>
      <c r="B4608" s="257" t="s">
        <v>5997</v>
      </c>
      <c r="C4608" s="257" t="s">
        <v>90</v>
      </c>
      <c r="D4608" s="259" t="s">
        <v>17433</v>
      </c>
      <c r="E4608" s="210" t="s">
        <v>201</v>
      </c>
    </row>
    <row r="4609" spans="1:5" ht="13.5">
      <c r="A4609" s="258">
        <v>98114</v>
      </c>
      <c r="B4609" s="257" t="s">
        <v>5998</v>
      </c>
      <c r="C4609" s="257" t="s">
        <v>90</v>
      </c>
      <c r="D4609" s="259" t="s">
        <v>17434</v>
      </c>
      <c r="E4609" s="210" t="s">
        <v>201</v>
      </c>
    </row>
    <row r="4610" spans="1:5" ht="27">
      <c r="A4610" s="258">
        <v>98115</v>
      </c>
      <c r="B4610" s="257" t="s">
        <v>5999</v>
      </c>
      <c r="C4610" s="257" t="s">
        <v>90</v>
      </c>
      <c r="D4610" s="259" t="s">
        <v>17435</v>
      </c>
      <c r="E4610" s="210" t="s">
        <v>201</v>
      </c>
    </row>
    <row r="4611" spans="1:5" ht="27">
      <c r="A4611" s="258">
        <v>89957</v>
      </c>
      <c r="B4611" s="257" t="s">
        <v>3185</v>
      </c>
      <c r="C4611" s="257" t="s">
        <v>90</v>
      </c>
      <c r="D4611" s="259" t="s">
        <v>17436</v>
      </c>
      <c r="E4611" s="210" t="s">
        <v>201</v>
      </c>
    </row>
    <row r="4612" spans="1:5" ht="27">
      <c r="A4612" s="258">
        <v>89959</v>
      </c>
      <c r="B4612" s="257" t="s">
        <v>3186</v>
      </c>
      <c r="C4612" s="257" t="s">
        <v>90</v>
      </c>
      <c r="D4612" s="259" t="s">
        <v>17437</v>
      </c>
      <c r="E4612" s="210" t="s">
        <v>201</v>
      </c>
    </row>
    <row r="4613" spans="1:5" ht="13.5">
      <c r="A4613" s="258" t="s">
        <v>3187</v>
      </c>
      <c r="B4613" s="257" t="s">
        <v>3188</v>
      </c>
      <c r="C4613" s="257" t="s">
        <v>90</v>
      </c>
      <c r="D4613" s="259" t="s">
        <v>17438</v>
      </c>
      <c r="E4613" s="210" t="s">
        <v>201</v>
      </c>
    </row>
    <row r="4614" spans="1:5" ht="27">
      <c r="A4614" s="258" t="s">
        <v>3189</v>
      </c>
      <c r="B4614" s="257" t="s">
        <v>3190</v>
      </c>
      <c r="C4614" s="257" t="s">
        <v>90</v>
      </c>
      <c r="D4614" s="259" t="s">
        <v>17439</v>
      </c>
      <c r="E4614" s="210" t="s">
        <v>201</v>
      </c>
    </row>
    <row r="4615" spans="1:5" ht="27">
      <c r="A4615" s="258">
        <v>89349</v>
      </c>
      <c r="B4615" s="257" t="s">
        <v>3191</v>
      </c>
      <c r="C4615" s="257" t="s">
        <v>90</v>
      </c>
      <c r="D4615" s="259" t="s">
        <v>17440</v>
      </c>
      <c r="E4615" s="210" t="s">
        <v>201</v>
      </c>
    </row>
    <row r="4616" spans="1:5" ht="27">
      <c r="A4616" s="258">
        <v>89351</v>
      </c>
      <c r="B4616" s="257" t="s">
        <v>6000</v>
      </c>
      <c r="C4616" s="257" t="s">
        <v>90</v>
      </c>
      <c r="D4616" s="259" t="s">
        <v>17441</v>
      </c>
      <c r="E4616" s="210" t="s">
        <v>201</v>
      </c>
    </row>
    <row r="4617" spans="1:5" ht="27">
      <c r="A4617" s="258">
        <v>89352</v>
      </c>
      <c r="B4617" s="257" t="s">
        <v>3192</v>
      </c>
      <c r="C4617" s="257" t="s">
        <v>90</v>
      </c>
      <c r="D4617" s="259" t="s">
        <v>17442</v>
      </c>
      <c r="E4617" s="210" t="s">
        <v>201</v>
      </c>
    </row>
    <row r="4618" spans="1:5" ht="27">
      <c r="A4618" s="258">
        <v>89353</v>
      </c>
      <c r="B4618" s="257" t="s">
        <v>92</v>
      </c>
      <c r="C4618" s="257" t="s">
        <v>90</v>
      </c>
      <c r="D4618" s="259" t="s">
        <v>17443</v>
      </c>
      <c r="E4618" s="210" t="s">
        <v>201</v>
      </c>
    </row>
    <row r="4619" spans="1:5" ht="27">
      <c r="A4619" s="258">
        <v>89354</v>
      </c>
      <c r="B4619" s="257" t="s">
        <v>3193</v>
      </c>
      <c r="C4619" s="257" t="s">
        <v>90</v>
      </c>
      <c r="D4619" s="259" t="s">
        <v>17444</v>
      </c>
      <c r="E4619" s="210" t="s">
        <v>201</v>
      </c>
    </row>
    <row r="4620" spans="1:5" ht="27">
      <c r="A4620" s="257">
        <v>89969</v>
      </c>
      <c r="B4620" s="257" t="s">
        <v>3194</v>
      </c>
      <c r="C4620" s="257" t="s">
        <v>90</v>
      </c>
      <c r="D4620" s="259" t="s">
        <v>14581</v>
      </c>
      <c r="E4620" s="210" t="s">
        <v>201</v>
      </c>
    </row>
    <row r="4621" spans="1:5" ht="27">
      <c r="A4621" s="257">
        <v>89970</v>
      </c>
      <c r="B4621" s="257" t="s">
        <v>3195</v>
      </c>
      <c r="C4621" s="257" t="s">
        <v>90</v>
      </c>
      <c r="D4621" s="259" t="s">
        <v>17445</v>
      </c>
      <c r="E4621" s="210" t="s">
        <v>201</v>
      </c>
    </row>
    <row r="4622" spans="1:5" ht="27">
      <c r="A4622" s="257">
        <v>89971</v>
      </c>
      <c r="B4622" s="257" t="s">
        <v>3196</v>
      </c>
      <c r="C4622" s="257" t="s">
        <v>90</v>
      </c>
      <c r="D4622" s="259" t="s">
        <v>17446</v>
      </c>
      <c r="E4622" s="210" t="s">
        <v>201</v>
      </c>
    </row>
    <row r="4623" spans="1:5" ht="27">
      <c r="A4623" s="258">
        <v>89972</v>
      </c>
      <c r="B4623" s="257" t="s">
        <v>3197</v>
      </c>
      <c r="C4623" s="257" t="s">
        <v>90</v>
      </c>
      <c r="D4623" s="259" t="s">
        <v>17447</v>
      </c>
      <c r="E4623" s="210" t="s">
        <v>201</v>
      </c>
    </row>
    <row r="4624" spans="1:5" ht="27">
      <c r="A4624" s="258">
        <v>89973</v>
      </c>
      <c r="B4624" s="257" t="s">
        <v>3198</v>
      </c>
      <c r="C4624" s="257" t="s">
        <v>90</v>
      </c>
      <c r="D4624" s="259" t="s">
        <v>16082</v>
      </c>
      <c r="E4624" s="210" t="s">
        <v>201</v>
      </c>
    </row>
    <row r="4625" spans="1:5" ht="27">
      <c r="A4625" s="258">
        <v>89974</v>
      </c>
      <c r="B4625" s="257" t="s">
        <v>3199</v>
      </c>
      <c r="C4625" s="257" t="s">
        <v>90</v>
      </c>
      <c r="D4625" s="259" t="s">
        <v>17448</v>
      </c>
      <c r="E4625" s="210" t="s">
        <v>201</v>
      </c>
    </row>
    <row r="4626" spans="1:5" ht="27">
      <c r="A4626" s="258">
        <v>89984</v>
      </c>
      <c r="B4626" s="257" t="s">
        <v>3200</v>
      </c>
      <c r="C4626" s="257" t="s">
        <v>90</v>
      </c>
      <c r="D4626" s="259" t="s">
        <v>17449</v>
      </c>
      <c r="E4626" s="210" t="s">
        <v>201</v>
      </c>
    </row>
    <row r="4627" spans="1:5" ht="27">
      <c r="A4627" s="258">
        <v>89985</v>
      </c>
      <c r="B4627" s="257" t="s">
        <v>3201</v>
      </c>
      <c r="C4627" s="257" t="s">
        <v>90</v>
      </c>
      <c r="D4627" s="259" t="s">
        <v>17450</v>
      </c>
      <c r="E4627" s="210" t="s">
        <v>201</v>
      </c>
    </row>
    <row r="4628" spans="1:5" ht="27">
      <c r="A4628" s="258">
        <v>89986</v>
      </c>
      <c r="B4628" s="257" t="s">
        <v>3202</v>
      </c>
      <c r="C4628" s="257" t="s">
        <v>90</v>
      </c>
      <c r="D4628" s="259" t="s">
        <v>17451</v>
      </c>
      <c r="E4628" s="210" t="s">
        <v>201</v>
      </c>
    </row>
    <row r="4629" spans="1:5" ht="27">
      <c r="A4629" s="258">
        <v>89987</v>
      </c>
      <c r="B4629" s="257" t="s">
        <v>3203</v>
      </c>
      <c r="C4629" s="257" t="s">
        <v>90</v>
      </c>
      <c r="D4629" s="259" t="s">
        <v>17452</v>
      </c>
      <c r="E4629" s="210" t="s">
        <v>201</v>
      </c>
    </row>
    <row r="4630" spans="1:5" ht="13.5">
      <c r="A4630" s="258">
        <v>90371</v>
      </c>
      <c r="B4630" s="257" t="s">
        <v>3204</v>
      </c>
      <c r="C4630" s="257" t="s">
        <v>90</v>
      </c>
      <c r="D4630" s="259" t="s">
        <v>17453</v>
      </c>
      <c r="E4630" s="210" t="s">
        <v>201</v>
      </c>
    </row>
    <row r="4631" spans="1:5" ht="27">
      <c r="A4631" s="258">
        <v>94489</v>
      </c>
      <c r="B4631" s="257" t="s">
        <v>3205</v>
      </c>
      <c r="C4631" s="257" t="s">
        <v>90</v>
      </c>
      <c r="D4631" s="259" t="s">
        <v>17454</v>
      </c>
      <c r="E4631" s="210" t="s">
        <v>201</v>
      </c>
    </row>
    <row r="4632" spans="1:5" ht="27">
      <c r="A4632" s="258">
        <v>94490</v>
      </c>
      <c r="B4632" s="257" t="s">
        <v>3206</v>
      </c>
      <c r="C4632" s="257" t="s">
        <v>90</v>
      </c>
      <c r="D4632" s="259" t="s">
        <v>17455</v>
      </c>
      <c r="E4632" s="210" t="s">
        <v>201</v>
      </c>
    </row>
    <row r="4633" spans="1:5" ht="27">
      <c r="A4633" s="258">
        <v>94491</v>
      </c>
      <c r="B4633" s="257" t="s">
        <v>3207</v>
      </c>
      <c r="C4633" s="257" t="s">
        <v>90</v>
      </c>
      <c r="D4633" s="259" t="s">
        <v>17456</v>
      </c>
      <c r="E4633" s="210" t="s">
        <v>201</v>
      </c>
    </row>
    <row r="4634" spans="1:5" ht="27">
      <c r="A4634" s="258">
        <v>94492</v>
      </c>
      <c r="B4634" s="257" t="s">
        <v>3208</v>
      </c>
      <c r="C4634" s="257" t="s">
        <v>90</v>
      </c>
      <c r="D4634" s="259" t="s">
        <v>17457</v>
      </c>
      <c r="E4634" s="210" t="s">
        <v>201</v>
      </c>
    </row>
    <row r="4635" spans="1:5" ht="27">
      <c r="A4635" s="258">
        <v>94493</v>
      </c>
      <c r="B4635" s="257" t="s">
        <v>3209</v>
      </c>
      <c r="C4635" s="257" t="s">
        <v>90</v>
      </c>
      <c r="D4635" s="259" t="s">
        <v>17458</v>
      </c>
      <c r="E4635" s="210" t="s">
        <v>201</v>
      </c>
    </row>
    <row r="4636" spans="1:5" ht="27">
      <c r="A4636" s="258">
        <v>94494</v>
      </c>
      <c r="B4636" s="257" t="s">
        <v>3210</v>
      </c>
      <c r="C4636" s="257" t="s">
        <v>90</v>
      </c>
      <c r="D4636" s="259" t="s">
        <v>17459</v>
      </c>
      <c r="E4636" s="210" t="s">
        <v>201</v>
      </c>
    </row>
    <row r="4637" spans="1:5" ht="27">
      <c r="A4637" s="258">
        <v>94495</v>
      </c>
      <c r="B4637" s="257" t="s">
        <v>3211</v>
      </c>
      <c r="C4637" s="257" t="s">
        <v>90</v>
      </c>
      <c r="D4637" s="259" t="s">
        <v>17460</v>
      </c>
      <c r="E4637" s="210" t="s">
        <v>201</v>
      </c>
    </row>
    <row r="4638" spans="1:5" ht="40.5">
      <c r="A4638" s="258">
        <v>94496</v>
      </c>
      <c r="B4638" s="257" t="s">
        <v>3212</v>
      </c>
      <c r="C4638" s="257" t="s">
        <v>90</v>
      </c>
      <c r="D4638" s="259" t="s">
        <v>17461</v>
      </c>
      <c r="E4638" s="210" t="s">
        <v>201</v>
      </c>
    </row>
    <row r="4639" spans="1:5" ht="40.5">
      <c r="A4639" s="258">
        <v>94497</v>
      </c>
      <c r="B4639" s="257" t="s">
        <v>3213</v>
      </c>
      <c r="C4639" s="257" t="s">
        <v>90</v>
      </c>
      <c r="D4639" s="259" t="s">
        <v>17462</v>
      </c>
      <c r="E4639" s="210" t="s">
        <v>201</v>
      </c>
    </row>
    <row r="4640" spans="1:5" ht="27">
      <c r="A4640" s="258">
        <v>94498</v>
      </c>
      <c r="B4640" s="257" t="s">
        <v>3214</v>
      </c>
      <c r="C4640" s="257" t="s">
        <v>90</v>
      </c>
      <c r="D4640" s="259" t="s">
        <v>17463</v>
      </c>
      <c r="E4640" s="210" t="s">
        <v>201</v>
      </c>
    </row>
    <row r="4641" spans="1:5" ht="40.5">
      <c r="A4641" s="258">
        <v>94499</v>
      </c>
      <c r="B4641" s="257" t="s">
        <v>3215</v>
      </c>
      <c r="C4641" s="257" t="s">
        <v>90</v>
      </c>
      <c r="D4641" s="259" t="s">
        <v>17464</v>
      </c>
      <c r="E4641" s="210" t="s">
        <v>201</v>
      </c>
    </row>
    <row r="4642" spans="1:5" ht="27">
      <c r="A4642" s="258">
        <v>94500</v>
      </c>
      <c r="B4642" s="257" t="s">
        <v>3216</v>
      </c>
      <c r="C4642" s="257" t="s">
        <v>90</v>
      </c>
      <c r="D4642" s="259" t="s">
        <v>17465</v>
      </c>
      <c r="E4642" s="210" t="s">
        <v>201</v>
      </c>
    </row>
    <row r="4643" spans="1:5" ht="27">
      <c r="A4643" s="258">
        <v>94501</v>
      </c>
      <c r="B4643" s="257" t="s">
        <v>3217</v>
      </c>
      <c r="C4643" s="257" t="s">
        <v>90</v>
      </c>
      <c r="D4643" s="259" t="s">
        <v>17466</v>
      </c>
      <c r="E4643" s="210" t="s">
        <v>201</v>
      </c>
    </row>
    <row r="4644" spans="1:5" ht="40.5">
      <c r="A4644" s="258">
        <v>94792</v>
      </c>
      <c r="B4644" s="257" t="s">
        <v>3218</v>
      </c>
      <c r="C4644" s="257" t="s">
        <v>90</v>
      </c>
      <c r="D4644" s="259" t="s">
        <v>13748</v>
      </c>
      <c r="E4644" s="210" t="s">
        <v>201</v>
      </c>
    </row>
    <row r="4645" spans="1:5" ht="40.5">
      <c r="A4645" s="258">
        <v>94793</v>
      </c>
      <c r="B4645" s="257" t="s">
        <v>3219</v>
      </c>
      <c r="C4645" s="257" t="s">
        <v>90</v>
      </c>
      <c r="D4645" s="259" t="s">
        <v>17467</v>
      </c>
      <c r="E4645" s="210" t="s">
        <v>201</v>
      </c>
    </row>
    <row r="4646" spans="1:5" ht="40.5">
      <c r="A4646" s="258">
        <v>94794</v>
      </c>
      <c r="B4646" s="257" t="s">
        <v>3220</v>
      </c>
      <c r="C4646" s="257" t="s">
        <v>90</v>
      </c>
      <c r="D4646" s="259" t="s">
        <v>17468</v>
      </c>
      <c r="E4646" s="210" t="s">
        <v>201</v>
      </c>
    </row>
    <row r="4647" spans="1:5" ht="13.5">
      <c r="A4647" s="258">
        <v>94795</v>
      </c>
      <c r="B4647" s="257" t="s">
        <v>6001</v>
      </c>
      <c r="C4647" s="257" t="s">
        <v>90</v>
      </c>
      <c r="D4647" s="259" t="s">
        <v>17469</v>
      </c>
      <c r="E4647" s="210" t="s">
        <v>201</v>
      </c>
    </row>
    <row r="4648" spans="1:5" ht="13.5">
      <c r="A4648" s="258">
        <v>94796</v>
      </c>
      <c r="B4648" s="257" t="s">
        <v>6002</v>
      </c>
      <c r="C4648" s="257" t="s">
        <v>90</v>
      </c>
      <c r="D4648" s="259" t="s">
        <v>17470</v>
      </c>
      <c r="E4648" s="210" t="s">
        <v>201</v>
      </c>
    </row>
    <row r="4649" spans="1:5" ht="13.5">
      <c r="A4649" s="258">
        <v>94797</v>
      </c>
      <c r="B4649" s="257" t="s">
        <v>6003</v>
      </c>
      <c r="C4649" s="257" t="s">
        <v>90</v>
      </c>
      <c r="D4649" s="259" t="s">
        <v>17471</v>
      </c>
      <c r="E4649" s="210" t="s">
        <v>201</v>
      </c>
    </row>
    <row r="4650" spans="1:5" ht="13.5">
      <c r="A4650" s="258">
        <v>94798</v>
      </c>
      <c r="B4650" s="257" t="s">
        <v>6004</v>
      </c>
      <c r="C4650" s="257" t="s">
        <v>90</v>
      </c>
      <c r="D4650" s="259" t="s">
        <v>16359</v>
      </c>
      <c r="E4650" s="210" t="s">
        <v>201</v>
      </c>
    </row>
    <row r="4651" spans="1:5" ht="13.5">
      <c r="A4651" s="258">
        <v>94799</v>
      </c>
      <c r="B4651" s="257" t="s">
        <v>6005</v>
      </c>
      <c r="C4651" s="257" t="s">
        <v>90</v>
      </c>
      <c r="D4651" s="259" t="s">
        <v>17472</v>
      </c>
      <c r="E4651" s="210" t="s">
        <v>201</v>
      </c>
    </row>
    <row r="4652" spans="1:5" ht="13.5">
      <c r="A4652" s="258">
        <v>94800</v>
      </c>
      <c r="B4652" s="257" t="s">
        <v>6006</v>
      </c>
      <c r="C4652" s="257" t="s">
        <v>90</v>
      </c>
      <c r="D4652" s="259" t="s">
        <v>17473</v>
      </c>
      <c r="E4652" s="210" t="s">
        <v>201</v>
      </c>
    </row>
    <row r="4653" spans="1:5" ht="40.5">
      <c r="A4653" s="258">
        <v>95248</v>
      </c>
      <c r="B4653" s="257" t="s">
        <v>3221</v>
      </c>
      <c r="C4653" s="257" t="s">
        <v>90</v>
      </c>
      <c r="D4653" s="259" t="s">
        <v>17474</v>
      </c>
      <c r="E4653" s="210" t="s">
        <v>201</v>
      </c>
    </row>
    <row r="4654" spans="1:5" ht="40.5">
      <c r="A4654" s="258">
        <v>95249</v>
      </c>
      <c r="B4654" s="257" t="s">
        <v>3222</v>
      </c>
      <c r="C4654" s="257" t="s">
        <v>90</v>
      </c>
      <c r="D4654" s="259" t="s">
        <v>17475</v>
      </c>
      <c r="E4654" s="210" t="s">
        <v>201</v>
      </c>
    </row>
    <row r="4655" spans="1:5" ht="27">
      <c r="A4655" s="258">
        <v>95250</v>
      </c>
      <c r="B4655" s="257" t="s">
        <v>3223</v>
      </c>
      <c r="C4655" s="257" t="s">
        <v>90</v>
      </c>
      <c r="D4655" s="259" t="s">
        <v>17476</v>
      </c>
      <c r="E4655" s="210" t="s">
        <v>201</v>
      </c>
    </row>
    <row r="4656" spans="1:5" ht="40.5">
      <c r="A4656" s="258">
        <v>95251</v>
      </c>
      <c r="B4656" s="257" t="s">
        <v>3224</v>
      </c>
      <c r="C4656" s="257" t="s">
        <v>90</v>
      </c>
      <c r="D4656" s="259" t="s">
        <v>17477</v>
      </c>
      <c r="E4656" s="210" t="s">
        <v>201</v>
      </c>
    </row>
    <row r="4657" spans="1:5" ht="40.5">
      <c r="A4657" s="258">
        <v>95252</v>
      </c>
      <c r="B4657" s="257" t="s">
        <v>3225</v>
      </c>
      <c r="C4657" s="257" t="s">
        <v>90</v>
      </c>
      <c r="D4657" s="259" t="s">
        <v>17478</v>
      </c>
      <c r="E4657" s="210" t="s">
        <v>201</v>
      </c>
    </row>
    <row r="4658" spans="1:5" ht="27">
      <c r="A4658" s="258">
        <v>95253</v>
      </c>
      <c r="B4658" s="257" t="s">
        <v>3226</v>
      </c>
      <c r="C4658" s="257" t="s">
        <v>90</v>
      </c>
      <c r="D4658" s="259" t="s">
        <v>17479</v>
      </c>
      <c r="E4658" s="210" t="s">
        <v>201</v>
      </c>
    </row>
    <row r="4659" spans="1:5" ht="27">
      <c r="A4659" s="258">
        <v>99619</v>
      </c>
      <c r="B4659" s="257" t="s">
        <v>6007</v>
      </c>
      <c r="C4659" s="257" t="s">
        <v>90</v>
      </c>
      <c r="D4659" s="259" t="s">
        <v>17480</v>
      </c>
      <c r="E4659" s="210" t="s">
        <v>201</v>
      </c>
    </row>
    <row r="4660" spans="1:5" ht="27">
      <c r="A4660" s="258">
        <v>99620</v>
      </c>
      <c r="B4660" s="257" t="s">
        <v>6008</v>
      </c>
      <c r="C4660" s="257" t="s">
        <v>90</v>
      </c>
      <c r="D4660" s="259" t="s">
        <v>17481</v>
      </c>
      <c r="E4660" s="210" t="s">
        <v>201</v>
      </c>
    </row>
    <row r="4661" spans="1:5" ht="27">
      <c r="A4661" s="258">
        <v>99621</v>
      </c>
      <c r="B4661" s="257" t="s">
        <v>6009</v>
      </c>
      <c r="C4661" s="257" t="s">
        <v>90</v>
      </c>
      <c r="D4661" s="259" t="s">
        <v>17482</v>
      </c>
      <c r="E4661" s="210" t="s">
        <v>201</v>
      </c>
    </row>
    <row r="4662" spans="1:5" ht="27">
      <c r="A4662" s="258">
        <v>99622</v>
      </c>
      <c r="B4662" s="257" t="s">
        <v>6010</v>
      </c>
      <c r="C4662" s="257" t="s">
        <v>90</v>
      </c>
      <c r="D4662" s="259" t="s">
        <v>17483</v>
      </c>
      <c r="E4662" s="210" t="s">
        <v>201</v>
      </c>
    </row>
    <row r="4663" spans="1:5" ht="27">
      <c r="A4663" s="258">
        <v>99623</v>
      </c>
      <c r="B4663" s="257" t="s">
        <v>6011</v>
      </c>
      <c r="C4663" s="257" t="s">
        <v>90</v>
      </c>
      <c r="D4663" s="259" t="s">
        <v>17484</v>
      </c>
      <c r="E4663" s="210" t="s">
        <v>201</v>
      </c>
    </row>
    <row r="4664" spans="1:5" ht="27">
      <c r="A4664" s="258">
        <v>99624</v>
      </c>
      <c r="B4664" s="257" t="s">
        <v>6012</v>
      </c>
      <c r="C4664" s="257" t="s">
        <v>90</v>
      </c>
      <c r="D4664" s="259" t="s">
        <v>17485</v>
      </c>
      <c r="E4664" s="210" t="s">
        <v>201</v>
      </c>
    </row>
    <row r="4665" spans="1:5" ht="27">
      <c r="A4665" s="258">
        <v>99625</v>
      </c>
      <c r="B4665" s="257" t="s">
        <v>6013</v>
      </c>
      <c r="C4665" s="257" t="s">
        <v>90</v>
      </c>
      <c r="D4665" s="259" t="s">
        <v>17486</v>
      </c>
      <c r="E4665" s="210" t="s">
        <v>201</v>
      </c>
    </row>
    <row r="4666" spans="1:5" ht="27">
      <c r="A4666" s="258">
        <v>99626</v>
      </c>
      <c r="B4666" s="257" t="s">
        <v>6014</v>
      </c>
      <c r="C4666" s="257" t="s">
        <v>90</v>
      </c>
      <c r="D4666" s="259" t="s">
        <v>17487</v>
      </c>
      <c r="E4666" s="210" t="s">
        <v>201</v>
      </c>
    </row>
    <row r="4667" spans="1:5" ht="27">
      <c r="A4667" s="258">
        <v>99627</v>
      </c>
      <c r="B4667" s="257" t="s">
        <v>6015</v>
      </c>
      <c r="C4667" s="257" t="s">
        <v>90</v>
      </c>
      <c r="D4667" s="259" t="s">
        <v>17488</v>
      </c>
      <c r="E4667" s="210" t="s">
        <v>201</v>
      </c>
    </row>
    <row r="4668" spans="1:5" ht="27">
      <c r="A4668" s="258">
        <v>99628</v>
      </c>
      <c r="B4668" s="257" t="s">
        <v>6016</v>
      </c>
      <c r="C4668" s="257" t="s">
        <v>90</v>
      </c>
      <c r="D4668" s="259" t="s">
        <v>17489</v>
      </c>
      <c r="E4668" s="210" t="s">
        <v>201</v>
      </c>
    </row>
    <row r="4669" spans="1:5" ht="13.5">
      <c r="A4669" s="258">
        <v>99629</v>
      </c>
      <c r="B4669" s="257" t="s">
        <v>6017</v>
      </c>
      <c r="C4669" s="257" t="s">
        <v>90</v>
      </c>
      <c r="D4669" s="259" t="s">
        <v>17490</v>
      </c>
      <c r="E4669" s="210" t="s">
        <v>201</v>
      </c>
    </row>
    <row r="4670" spans="1:5" ht="27">
      <c r="A4670" s="258">
        <v>99630</v>
      </c>
      <c r="B4670" s="257" t="s">
        <v>6018</v>
      </c>
      <c r="C4670" s="257" t="s">
        <v>90</v>
      </c>
      <c r="D4670" s="259" t="s">
        <v>16792</v>
      </c>
      <c r="E4670" s="210" t="s">
        <v>201</v>
      </c>
    </row>
    <row r="4671" spans="1:5" ht="27">
      <c r="A4671" s="258">
        <v>99631</v>
      </c>
      <c r="B4671" s="257" t="s">
        <v>6019</v>
      </c>
      <c r="C4671" s="257" t="s">
        <v>90</v>
      </c>
      <c r="D4671" s="259" t="s">
        <v>17491</v>
      </c>
      <c r="E4671" s="210" t="s">
        <v>201</v>
      </c>
    </row>
    <row r="4672" spans="1:5" ht="13.5">
      <c r="A4672" s="258">
        <v>99632</v>
      </c>
      <c r="B4672" s="257" t="s">
        <v>6020</v>
      </c>
      <c r="C4672" s="257" t="s">
        <v>90</v>
      </c>
      <c r="D4672" s="259" t="s">
        <v>17492</v>
      </c>
      <c r="E4672" s="210" t="s">
        <v>201</v>
      </c>
    </row>
    <row r="4673" spans="1:5" ht="13.5">
      <c r="A4673" s="258">
        <v>99633</v>
      </c>
      <c r="B4673" s="257" t="s">
        <v>6021</v>
      </c>
      <c r="C4673" s="257" t="s">
        <v>90</v>
      </c>
      <c r="D4673" s="259" t="s">
        <v>17493</v>
      </c>
      <c r="E4673" s="210" t="s">
        <v>201</v>
      </c>
    </row>
    <row r="4674" spans="1:5" ht="13.5">
      <c r="A4674" s="258">
        <v>99634</v>
      </c>
      <c r="B4674" s="257" t="s">
        <v>6022</v>
      </c>
      <c r="C4674" s="257" t="s">
        <v>90</v>
      </c>
      <c r="D4674" s="259" t="s">
        <v>17494</v>
      </c>
      <c r="E4674" s="210" t="s">
        <v>201</v>
      </c>
    </row>
    <row r="4675" spans="1:5" ht="27">
      <c r="A4675" s="258">
        <v>99635</v>
      </c>
      <c r="B4675" s="257" t="s">
        <v>6023</v>
      </c>
      <c r="C4675" s="257" t="s">
        <v>90</v>
      </c>
      <c r="D4675" s="259" t="s">
        <v>17495</v>
      </c>
      <c r="E4675" s="210" t="s">
        <v>201</v>
      </c>
    </row>
    <row r="4676" spans="1:5" ht="27">
      <c r="A4676" s="258">
        <v>95634</v>
      </c>
      <c r="B4676" s="257" t="s">
        <v>6024</v>
      </c>
      <c r="C4676" s="257" t="s">
        <v>90</v>
      </c>
      <c r="D4676" s="259" t="s">
        <v>17496</v>
      </c>
      <c r="E4676" s="210" t="s">
        <v>201</v>
      </c>
    </row>
    <row r="4677" spans="1:5" ht="27">
      <c r="A4677" s="258">
        <v>95635</v>
      </c>
      <c r="B4677" s="257" t="s">
        <v>6025</v>
      </c>
      <c r="C4677" s="257" t="s">
        <v>90</v>
      </c>
      <c r="D4677" s="259" t="s">
        <v>17497</v>
      </c>
      <c r="E4677" s="210" t="s">
        <v>201</v>
      </c>
    </row>
    <row r="4678" spans="1:5" ht="27">
      <c r="A4678" s="258">
        <v>95637</v>
      </c>
      <c r="B4678" s="257" t="s">
        <v>3227</v>
      </c>
      <c r="C4678" s="257" t="s">
        <v>90</v>
      </c>
      <c r="D4678" s="259" t="s">
        <v>17498</v>
      </c>
      <c r="E4678" s="210" t="s">
        <v>201</v>
      </c>
    </row>
    <row r="4679" spans="1:5" ht="27">
      <c r="A4679" s="258">
        <v>95638</v>
      </c>
      <c r="B4679" s="257" t="s">
        <v>3228</v>
      </c>
      <c r="C4679" s="257" t="s">
        <v>90</v>
      </c>
      <c r="D4679" s="259" t="s">
        <v>17499</v>
      </c>
      <c r="E4679" s="210" t="s">
        <v>201</v>
      </c>
    </row>
    <row r="4680" spans="1:5" ht="27">
      <c r="A4680" s="258">
        <v>95639</v>
      </c>
      <c r="B4680" s="257" t="s">
        <v>3229</v>
      </c>
      <c r="C4680" s="257" t="s">
        <v>90</v>
      </c>
      <c r="D4680" s="259" t="s">
        <v>17500</v>
      </c>
      <c r="E4680" s="210" t="s">
        <v>201</v>
      </c>
    </row>
    <row r="4681" spans="1:5" ht="27">
      <c r="A4681" s="258">
        <v>95641</v>
      </c>
      <c r="B4681" s="257" t="s">
        <v>3230</v>
      </c>
      <c r="C4681" s="257" t="s">
        <v>90</v>
      </c>
      <c r="D4681" s="259" t="s">
        <v>17501</v>
      </c>
      <c r="E4681" s="210" t="s">
        <v>201</v>
      </c>
    </row>
    <row r="4682" spans="1:5" ht="27">
      <c r="A4682" s="258">
        <v>95642</v>
      </c>
      <c r="B4682" s="257" t="s">
        <v>3231</v>
      </c>
      <c r="C4682" s="257" t="s">
        <v>90</v>
      </c>
      <c r="D4682" s="259" t="s">
        <v>17502</v>
      </c>
      <c r="E4682" s="210" t="s">
        <v>201</v>
      </c>
    </row>
    <row r="4683" spans="1:5" ht="27">
      <c r="A4683" s="258">
        <v>95643</v>
      </c>
      <c r="B4683" s="257" t="s">
        <v>3232</v>
      </c>
      <c r="C4683" s="257" t="s">
        <v>90</v>
      </c>
      <c r="D4683" s="259" t="s">
        <v>17503</v>
      </c>
      <c r="E4683" s="210" t="s">
        <v>201</v>
      </c>
    </row>
    <row r="4684" spans="1:5" ht="27">
      <c r="A4684" s="258">
        <v>95644</v>
      </c>
      <c r="B4684" s="257" t="s">
        <v>3233</v>
      </c>
      <c r="C4684" s="257" t="s">
        <v>90</v>
      </c>
      <c r="D4684" s="259" t="s">
        <v>17504</v>
      </c>
      <c r="E4684" s="210" t="s">
        <v>201</v>
      </c>
    </row>
    <row r="4685" spans="1:5" ht="27">
      <c r="A4685" s="258">
        <v>95645</v>
      </c>
      <c r="B4685" s="257" t="s">
        <v>3234</v>
      </c>
      <c r="C4685" s="257" t="s">
        <v>90</v>
      </c>
      <c r="D4685" s="259" t="s">
        <v>17505</v>
      </c>
      <c r="E4685" s="210" t="s">
        <v>201</v>
      </c>
    </row>
    <row r="4686" spans="1:5" ht="27">
      <c r="A4686" s="258">
        <v>95646</v>
      </c>
      <c r="B4686" s="257" t="s">
        <v>3235</v>
      </c>
      <c r="C4686" s="257" t="s">
        <v>90</v>
      </c>
      <c r="D4686" s="259" t="s">
        <v>17506</v>
      </c>
      <c r="E4686" s="210" t="s">
        <v>201</v>
      </c>
    </row>
    <row r="4687" spans="1:5" ht="27">
      <c r="A4687" s="258">
        <v>95647</v>
      </c>
      <c r="B4687" s="257" t="s">
        <v>3236</v>
      </c>
      <c r="C4687" s="257" t="s">
        <v>90</v>
      </c>
      <c r="D4687" s="259" t="s">
        <v>17507</v>
      </c>
      <c r="E4687" s="210" t="s">
        <v>201</v>
      </c>
    </row>
    <row r="4688" spans="1:5" ht="13.5">
      <c r="A4688" s="258">
        <v>95673</v>
      </c>
      <c r="B4688" s="257" t="s">
        <v>3237</v>
      </c>
      <c r="C4688" s="257" t="s">
        <v>90</v>
      </c>
      <c r="D4688" s="259" t="s">
        <v>16794</v>
      </c>
      <c r="E4688" s="210" t="s">
        <v>201</v>
      </c>
    </row>
    <row r="4689" spans="1:5" ht="13.5">
      <c r="A4689" s="258">
        <v>95674</v>
      </c>
      <c r="B4689" s="257" t="s">
        <v>3238</v>
      </c>
      <c r="C4689" s="257" t="s">
        <v>90</v>
      </c>
      <c r="D4689" s="259" t="s">
        <v>17508</v>
      </c>
      <c r="E4689" s="210" t="s">
        <v>201</v>
      </c>
    </row>
    <row r="4690" spans="1:5" ht="13.5">
      <c r="A4690" s="258">
        <v>95675</v>
      </c>
      <c r="B4690" s="257" t="s">
        <v>3239</v>
      </c>
      <c r="C4690" s="257" t="s">
        <v>90</v>
      </c>
      <c r="D4690" s="259" t="s">
        <v>17509</v>
      </c>
      <c r="E4690" s="210" t="s">
        <v>201</v>
      </c>
    </row>
    <row r="4691" spans="1:5" ht="27">
      <c r="A4691" s="258">
        <v>95676</v>
      </c>
      <c r="B4691" s="257" t="s">
        <v>3240</v>
      </c>
      <c r="C4691" s="257" t="s">
        <v>90</v>
      </c>
      <c r="D4691" s="259" t="s">
        <v>17510</v>
      </c>
      <c r="E4691" s="210" t="s">
        <v>201</v>
      </c>
    </row>
    <row r="4692" spans="1:5" ht="27">
      <c r="A4692" s="258">
        <v>97741</v>
      </c>
      <c r="B4692" s="257" t="s">
        <v>4980</v>
      </c>
      <c r="C4692" s="257" t="s">
        <v>90</v>
      </c>
      <c r="D4692" s="259" t="s">
        <v>17511</v>
      </c>
      <c r="E4692" s="210" t="s">
        <v>201</v>
      </c>
    </row>
    <row r="4693" spans="1:5" ht="13.5">
      <c r="A4693" s="258">
        <v>72285</v>
      </c>
      <c r="B4693" s="257" t="s">
        <v>3241</v>
      </c>
      <c r="C4693" s="257" t="s">
        <v>90</v>
      </c>
      <c r="D4693" s="259" t="s">
        <v>17512</v>
      </c>
      <c r="E4693" s="210" t="s">
        <v>201</v>
      </c>
    </row>
    <row r="4694" spans="1:5" ht="13.5">
      <c r="A4694" s="258">
        <v>90436</v>
      </c>
      <c r="B4694" s="257" t="s">
        <v>3242</v>
      </c>
      <c r="C4694" s="257" t="s">
        <v>90</v>
      </c>
      <c r="D4694" s="259" t="s">
        <v>15483</v>
      </c>
      <c r="E4694" s="210" t="s">
        <v>201</v>
      </c>
    </row>
    <row r="4695" spans="1:5" ht="13.5">
      <c r="A4695" s="258">
        <v>90437</v>
      </c>
      <c r="B4695" s="257" t="s">
        <v>3243</v>
      </c>
      <c r="C4695" s="257" t="s">
        <v>90</v>
      </c>
      <c r="D4695" s="259" t="s">
        <v>17513</v>
      </c>
      <c r="E4695" s="210" t="s">
        <v>201</v>
      </c>
    </row>
    <row r="4696" spans="1:5" ht="13.5">
      <c r="A4696" s="258">
        <v>90438</v>
      </c>
      <c r="B4696" s="257" t="s">
        <v>3244</v>
      </c>
      <c r="C4696" s="257" t="s">
        <v>90</v>
      </c>
      <c r="D4696" s="259" t="s">
        <v>14040</v>
      </c>
      <c r="E4696" s="210" t="s">
        <v>201</v>
      </c>
    </row>
    <row r="4697" spans="1:5" ht="13.5">
      <c r="A4697" s="258">
        <v>90439</v>
      </c>
      <c r="B4697" s="257" t="s">
        <v>3245</v>
      </c>
      <c r="C4697" s="257" t="s">
        <v>90</v>
      </c>
      <c r="D4697" s="259" t="s">
        <v>17514</v>
      </c>
      <c r="E4697" s="210" t="s">
        <v>201</v>
      </c>
    </row>
    <row r="4698" spans="1:5" ht="13.5">
      <c r="A4698" s="258">
        <v>90440</v>
      </c>
      <c r="B4698" s="257" t="s">
        <v>3246</v>
      </c>
      <c r="C4698" s="257" t="s">
        <v>90</v>
      </c>
      <c r="D4698" s="259" t="s">
        <v>17515</v>
      </c>
      <c r="E4698" s="210" t="s">
        <v>201</v>
      </c>
    </row>
    <row r="4699" spans="1:5" ht="13.5">
      <c r="A4699" s="258">
        <v>90441</v>
      </c>
      <c r="B4699" s="257" t="s">
        <v>3247</v>
      </c>
      <c r="C4699" s="257" t="s">
        <v>90</v>
      </c>
      <c r="D4699" s="259" t="s">
        <v>17516</v>
      </c>
      <c r="E4699" s="210" t="s">
        <v>201</v>
      </c>
    </row>
    <row r="4700" spans="1:5" ht="27">
      <c r="A4700" s="258">
        <v>90443</v>
      </c>
      <c r="B4700" s="257" t="s">
        <v>105</v>
      </c>
      <c r="C4700" s="257" t="s">
        <v>5</v>
      </c>
      <c r="D4700" s="259" t="s">
        <v>13820</v>
      </c>
      <c r="E4700" s="210" t="s">
        <v>201</v>
      </c>
    </row>
    <row r="4701" spans="1:5" ht="27">
      <c r="A4701" s="258">
        <v>90444</v>
      </c>
      <c r="B4701" s="257" t="s">
        <v>106</v>
      </c>
      <c r="C4701" s="257" t="s">
        <v>5</v>
      </c>
      <c r="D4701" s="259" t="s">
        <v>16265</v>
      </c>
      <c r="E4701" s="210" t="s">
        <v>201</v>
      </c>
    </row>
    <row r="4702" spans="1:5" ht="27">
      <c r="A4702" s="258">
        <v>90445</v>
      </c>
      <c r="B4702" s="257" t="s">
        <v>3248</v>
      </c>
      <c r="C4702" s="257" t="s">
        <v>5</v>
      </c>
      <c r="D4702" s="259" t="s">
        <v>16340</v>
      </c>
      <c r="E4702" s="210" t="s">
        <v>201</v>
      </c>
    </row>
    <row r="4703" spans="1:5" ht="13.5">
      <c r="A4703" s="258">
        <v>90446</v>
      </c>
      <c r="B4703" s="257" t="s">
        <v>3249</v>
      </c>
      <c r="C4703" s="257" t="s">
        <v>5</v>
      </c>
      <c r="D4703" s="259" t="s">
        <v>17517</v>
      </c>
      <c r="E4703" s="210" t="s">
        <v>201</v>
      </c>
    </row>
    <row r="4704" spans="1:5" ht="13.5">
      <c r="A4704" s="258">
        <v>90447</v>
      </c>
      <c r="B4704" s="257" t="s">
        <v>264</v>
      </c>
      <c r="C4704" s="257" t="s">
        <v>5</v>
      </c>
      <c r="D4704" s="259" t="s">
        <v>14423</v>
      </c>
      <c r="E4704" s="210" t="s">
        <v>201</v>
      </c>
    </row>
    <row r="4705" spans="1:5" ht="27">
      <c r="A4705" s="258">
        <v>90451</v>
      </c>
      <c r="B4705" s="257" t="s">
        <v>3250</v>
      </c>
      <c r="C4705" s="257" t="s">
        <v>90</v>
      </c>
      <c r="D4705" s="259" t="s">
        <v>14284</v>
      </c>
      <c r="E4705" s="210" t="s">
        <v>201</v>
      </c>
    </row>
    <row r="4706" spans="1:5" ht="27">
      <c r="A4706" s="258">
        <v>90452</v>
      </c>
      <c r="B4706" s="257" t="s">
        <v>3251</v>
      </c>
      <c r="C4706" s="257" t="s">
        <v>90</v>
      </c>
      <c r="D4706" s="259" t="s">
        <v>17518</v>
      </c>
      <c r="E4706" s="210" t="s">
        <v>201</v>
      </c>
    </row>
    <row r="4707" spans="1:5" ht="13.5">
      <c r="A4707" s="258">
        <v>90453</v>
      </c>
      <c r="B4707" s="257" t="s">
        <v>3252</v>
      </c>
      <c r="C4707" s="257" t="s">
        <v>90</v>
      </c>
      <c r="D4707" s="259" t="s">
        <v>14144</v>
      </c>
      <c r="E4707" s="210" t="s">
        <v>201</v>
      </c>
    </row>
    <row r="4708" spans="1:5" ht="27">
      <c r="A4708" s="258">
        <v>90454</v>
      </c>
      <c r="B4708" s="257" t="s">
        <v>3253</v>
      </c>
      <c r="C4708" s="257" t="s">
        <v>90</v>
      </c>
      <c r="D4708" s="259" t="s">
        <v>16483</v>
      </c>
      <c r="E4708" s="210" t="s">
        <v>201</v>
      </c>
    </row>
    <row r="4709" spans="1:5" ht="13.5">
      <c r="A4709" s="258">
        <v>90455</v>
      </c>
      <c r="B4709" s="257" t="s">
        <v>3254</v>
      </c>
      <c r="C4709" s="257" t="s">
        <v>90</v>
      </c>
      <c r="D4709" s="259" t="s">
        <v>17519</v>
      </c>
      <c r="E4709" s="210" t="s">
        <v>201</v>
      </c>
    </row>
    <row r="4710" spans="1:5" ht="13.5">
      <c r="A4710" s="258">
        <v>90456</v>
      </c>
      <c r="B4710" s="257" t="s">
        <v>3255</v>
      </c>
      <c r="C4710" s="257" t="s">
        <v>90</v>
      </c>
      <c r="D4710" s="259" t="s">
        <v>16517</v>
      </c>
      <c r="E4710" s="210" t="s">
        <v>201</v>
      </c>
    </row>
    <row r="4711" spans="1:5" ht="13.5">
      <c r="A4711" s="258">
        <v>90457</v>
      </c>
      <c r="B4711" s="257" t="s">
        <v>3256</v>
      </c>
      <c r="C4711" s="257" t="s">
        <v>90</v>
      </c>
      <c r="D4711" s="259" t="s">
        <v>17520</v>
      </c>
      <c r="E4711" s="210" t="s">
        <v>201</v>
      </c>
    </row>
    <row r="4712" spans="1:5" ht="13.5">
      <c r="A4712" s="258">
        <v>90458</v>
      </c>
      <c r="B4712" s="257" t="s">
        <v>3257</v>
      </c>
      <c r="C4712" s="257" t="s">
        <v>90</v>
      </c>
      <c r="D4712" s="259" t="s">
        <v>17521</v>
      </c>
      <c r="E4712" s="210" t="s">
        <v>201</v>
      </c>
    </row>
    <row r="4713" spans="1:5" ht="13.5">
      <c r="A4713" s="258">
        <v>90459</v>
      </c>
      <c r="B4713" s="257" t="s">
        <v>3258</v>
      </c>
      <c r="C4713" s="257" t="s">
        <v>90</v>
      </c>
      <c r="D4713" s="259" t="s">
        <v>17522</v>
      </c>
      <c r="E4713" s="210" t="s">
        <v>201</v>
      </c>
    </row>
    <row r="4714" spans="1:5" ht="13.5">
      <c r="A4714" s="258">
        <v>90460</v>
      </c>
      <c r="B4714" s="257" t="s">
        <v>3259</v>
      </c>
      <c r="C4714" s="257" t="s">
        <v>5</v>
      </c>
      <c r="D4714" s="259" t="s">
        <v>16318</v>
      </c>
      <c r="E4714" s="210" t="s">
        <v>201</v>
      </c>
    </row>
    <row r="4715" spans="1:5" ht="13.5">
      <c r="A4715" s="258">
        <v>90461</v>
      </c>
      <c r="B4715" s="257" t="s">
        <v>3260</v>
      </c>
      <c r="C4715" s="257" t="s">
        <v>5</v>
      </c>
      <c r="D4715" s="259" t="s">
        <v>17523</v>
      </c>
      <c r="E4715" s="210" t="s">
        <v>201</v>
      </c>
    </row>
    <row r="4716" spans="1:5" ht="13.5">
      <c r="A4716" s="258">
        <v>90462</v>
      </c>
      <c r="B4716" s="257" t="s">
        <v>3261</v>
      </c>
      <c r="C4716" s="257" t="s">
        <v>5</v>
      </c>
      <c r="D4716" s="259" t="s">
        <v>17524</v>
      </c>
      <c r="E4716" s="210" t="s">
        <v>201</v>
      </c>
    </row>
    <row r="4717" spans="1:5" ht="13.5">
      <c r="A4717" s="258">
        <v>90463</v>
      </c>
      <c r="B4717" s="257" t="s">
        <v>3262</v>
      </c>
      <c r="C4717" s="257" t="s">
        <v>5</v>
      </c>
      <c r="D4717" s="259" t="s">
        <v>17525</v>
      </c>
      <c r="E4717" s="210" t="s">
        <v>201</v>
      </c>
    </row>
    <row r="4718" spans="1:5" ht="27">
      <c r="A4718" s="258">
        <v>90466</v>
      </c>
      <c r="B4718" s="257" t="s">
        <v>107</v>
      </c>
      <c r="C4718" s="257" t="s">
        <v>5</v>
      </c>
      <c r="D4718" s="259" t="s">
        <v>15427</v>
      </c>
      <c r="E4718" s="210" t="s">
        <v>201</v>
      </c>
    </row>
    <row r="4719" spans="1:5" ht="27">
      <c r="A4719" s="258">
        <v>90467</v>
      </c>
      <c r="B4719" s="257" t="s">
        <v>108</v>
      </c>
      <c r="C4719" s="257" t="s">
        <v>5</v>
      </c>
      <c r="D4719" s="259" t="s">
        <v>17526</v>
      </c>
      <c r="E4719" s="210" t="s">
        <v>201</v>
      </c>
    </row>
    <row r="4720" spans="1:5" ht="27">
      <c r="A4720" s="258">
        <v>90468</v>
      </c>
      <c r="B4720" s="257" t="s">
        <v>109</v>
      </c>
      <c r="C4720" s="257" t="s">
        <v>5</v>
      </c>
      <c r="D4720" s="259" t="s">
        <v>17527</v>
      </c>
      <c r="E4720" s="210" t="s">
        <v>201</v>
      </c>
    </row>
    <row r="4721" spans="1:5" ht="27">
      <c r="A4721" s="258">
        <v>90469</v>
      </c>
      <c r="B4721" s="257" t="s">
        <v>3263</v>
      </c>
      <c r="C4721" s="257" t="s">
        <v>5</v>
      </c>
      <c r="D4721" s="259" t="s">
        <v>14648</v>
      </c>
      <c r="E4721" s="210" t="s">
        <v>201</v>
      </c>
    </row>
    <row r="4722" spans="1:5" ht="27">
      <c r="A4722" s="258">
        <v>90470</v>
      </c>
      <c r="B4722" s="257" t="s">
        <v>3264</v>
      </c>
      <c r="C4722" s="257" t="s">
        <v>5</v>
      </c>
      <c r="D4722" s="259" t="s">
        <v>17528</v>
      </c>
      <c r="E4722" s="210" t="s">
        <v>201</v>
      </c>
    </row>
    <row r="4723" spans="1:5" ht="27">
      <c r="A4723" s="258">
        <v>91166</v>
      </c>
      <c r="B4723" s="257" t="s">
        <v>3265</v>
      </c>
      <c r="C4723" s="257" t="s">
        <v>5</v>
      </c>
      <c r="D4723" s="259" t="s">
        <v>17529</v>
      </c>
      <c r="E4723" s="210" t="s">
        <v>201</v>
      </c>
    </row>
    <row r="4724" spans="1:5" ht="27">
      <c r="A4724" s="258">
        <v>91167</v>
      </c>
      <c r="B4724" s="257" t="s">
        <v>3266</v>
      </c>
      <c r="C4724" s="257" t="s">
        <v>5</v>
      </c>
      <c r="D4724" s="259" t="s">
        <v>17530</v>
      </c>
      <c r="E4724" s="210" t="s">
        <v>201</v>
      </c>
    </row>
    <row r="4725" spans="1:5" ht="27">
      <c r="A4725" s="258">
        <v>91168</v>
      </c>
      <c r="B4725" s="257" t="s">
        <v>3267</v>
      </c>
      <c r="C4725" s="257" t="s">
        <v>5</v>
      </c>
      <c r="D4725" s="259" t="s">
        <v>17531</v>
      </c>
      <c r="E4725" s="210" t="s">
        <v>201</v>
      </c>
    </row>
    <row r="4726" spans="1:5" ht="27">
      <c r="A4726" s="258">
        <v>91169</v>
      </c>
      <c r="B4726" s="257" t="s">
        <v>3268</v>
      </c>
      <c r="C4726" s="257" t="s">
        <v>5</v>
      </c>
      <c r="D4726" s="259" t="s">
        <v>16484</v>
      </c>
      <c r="E4726" s="210" t="s">
        <v>201</v>
      </c>
    </row>
    <row r="4727" spans="1:5" ht="40.5">
      <c r="A4727" s="258">
        <v>91170</v>
      </c>
      <c r="B4727" s="257" t="s">
        <v>3269</v>
      </c>
      <c r="C4727" s="257" t="s">
        <v>5</v>
      </c>
      <c r="D4727" s="259" t="s">
        <v>14245</v>
      </c>
      <c r="E4727" s="210" t="s">
        <v>201</v>
      </c>
    </row>
    <row r="4728" spans="1:5" ht="40.5">
      <c r="A4728" s="258">
        <v>91171</v>
      </c>
      <c r="B4728" s="257" t="s">
        <v>239</v>
      </c>
      <c r="C4728" s="257" t="s">
        <v>5</v>
      </c>
      <c r="D4728" s="259" t="s">
        <v>17532</v>
      </c>
      <c r="E4728" s="210" t="s">
        <v>201</v>
      </c>
    </row>
    <row r="4729" spans="1:5" ht="27">
      <c r="A4729" s="258">
        <v>91172</v>
      </c>
      <c r="B4729" s="257" t="s">
        <v>3270</v>
      </c>
      <c r="C4729" s="257" t="s">
        <v>5</v>
      </c>
      <c r="D4729" s="259" t="s">
        <v>14054</v>
      </c>
      <c r="E4729" s="210" t="s">
        <v>201</v>
      </c>
    </row>
    <row r="4730" spans="1:5" ht="27">
      <c r="A4730" s="258">
        <v>91173</v>
      </c>
      <c r="B4730" s="257" t="s">
        <v>3271</v>
      </c>
      <c r="C4730" s="257" t="s">
        <v>5</v>
      </c>
      <c r="D4730" s="259" t="s">
        <v>17533</v>
      </c>
      <c r="E4730" s="210" t="s">
        <v>201</v>
      </c>
    </row>
    <row r="4731" spans="1:5" ht="27">
      <c r="A4731" s="258">
        <v>91174</v>
      </c>
      <c r="B4731" s="257" t="s">
        <v>3272</v>
      </c>
      <c r="C4731" s="257" t="s">
        <v>5</v>
      </c>
      <c r="D4731" s="259" t="s">
        <v>17534</v>
      </c>
      <c r="E4731" s="210" t="s">
        <v>201</v>
      </c>
    </row>
    <row r="4732" spans="1:5" ht="27">
      <c r="A4732" s="258">
        <v>91175</v>
      </c>
      <c r="B4732" s="257" t="s">
        <v>3273</v>
      </c>
      <c r="C4732" s="257" t="s">
        <v>5</v>
      </c>
      <c r="D4732" s="259" t="s">
        <v>15765</v>
      </c>
      <c r="E4732" s="210" t="s">
        <v>201</v>
      </c>
    </row>
    <row r="4733" spans="1:5" ht="27">
      <c r="A4733" s="258">
        <v>91176</v>
      </c>
      <c r="B4733" s="257" t="s">
        <v>3274</v>
      </c>
      <c r="C4733" s="257" t="s">
        <v>5</v>
      </c>
      <c r="D4733" s="259" t="s">
        <v>17535</v>
      </c>
      <c r="E4733" s="210" t="s">
        <v>201</v>
      </c>
    </row>
    <row r="4734" spans="1:5" ht="27">
      <c r="A4734" s="258">
        <v>91177</v>
      </c>
      <c r="B4734" s="257" t="s">
        <v>3275</v>
      </c>
      <c r="C4734" s="257" t="s">
        <v>5</v>
      </c>
      <c r="D4734" s="259" t="s">
        <v>17536</v>
      </c>
      <c r="E4734" s="210" t="s">
        <v>201</v>
      </c>
    </row>
    <row r="4735" spans="1:5" ht="27">
      <c r="A4735" s="258">
        <v>91178</v>
      </c>
      <c r="B4735" s="257" t="s">
        <v>3276</v>
      </c>
      <c r="C4735" s="257" t="s">
        <v>5</v>
      </c>
      <c r="D4735" s="259" t="s">
        <v>17537</v>
      </c>
      <c r="E4735" s="210" t="s">
        <v>201</v>
      </c>
    </row>
    <row r="4736" spans="1:5" ht="27">
      <c r="A4736" s="258">
        <v>91179</v>
      </c>
      <c r="B4736" s="257" t="s">
        <v>3277</v>
      </c>
      <c r="C4736" s="257" t="s">
        <v>5</v>
      </c>
      <c r="D4736" s="259" t="s">
        <v>17538</v>
      </c>
      <c r="E4736" s="210" t="s">
        <v>201</v>
      </c>
    </row>
    <row r="4737" spans="1:5" ht="40.5">
      <c r="A4737" s="258">
        <v>91180</v>
      </c>
      <c r="B4737" s="257" t="s">
        <v>3278</v>
      </c>
      <c r="C4737" s="257" t="s">
        <v>5</v>
      </c>
      <c r="D4737" s="259" t="s">
        <v>16624</v>
      </c>
      <c r="E4737" s="210" t="s">
        <v>201</v>
      </c>
    </row>
    <row r="4738" spans="1:5" ht="27">
      <c r="A4738" s="258">
        <v>91181</v>
      </c>
      <c r="B4738" s="257" t="s">
        <v>3279</v>
      </c>
      <c r="C4738" s="257" t="s">
        <v>5</v>
      </c>
      <c r="D4738" s="259" t="s">
        <v>17539</v>
      </c>
      <c r="E4738" s="210" t="s">
        <v>201</v>
      </c>
    </row>
    <row r="4739" spans="1:5" ht="27">
      <c r="A4739" s="258">
        <v>91182</v>
      </c>
      <c r="B4739" s="257" t="s">
        <v>3280</v>
      </c>
      <c r="C4739" s="257" t="s">
        <v>5</v>
      </c>
      <c r="D4739" s="259" t="s">
        <v>17540</v>
      </c>
      <c r="E4739" s="210" t="s">
        <v>201</v>
      </c>
    </row>
    <row r="4740" spans="1:5" ht="27">
      <c r="A4740" s="258">
        <v>91183</v>
      </c>
      <c r="B4740" s="257" t="s">
        <v>3281</v>
      </c>
      <c r="C4740" s="257" t="s">
        <v>5</v>
      </c>
      <c r="D4740" s="259" t="s">
        <v>17541</v>
      </c>
      <c r="E4740" s="210" t="s">
        <v>201</v>
      </c>
    </row>
    <row r="4741" spans="1:5" ht="27">
      <c r="A4741" s="258">
        <v>91184</v>
      </c>
      <c r="B4741" s="257" t="s">
        <v>3282</v>
      </c>
      <c r="C4741" s="257" t="s">
        <v>5</v>
      </c>
      <c r="D4741" s="259" t="s">
        <v>17542</v>
      </c>
      <c r="E4741" s="210" t="s">
        <v>201</v>
      </c>
    </row>
    <row r="4742" spans="1:5" ht="27">
      <c r="A4742" s="258">
        <v>91185</v>
      </c>
      <c r="B4742" s="257" t="s">
        <v>3283</v>
      </c>
      <c r="C4742" s="257" t="s">
        <v>5</v>
      </c>
      <c r="D4742" s="259" t="s">
        <v>14414</v>
      </c>
      <c r="E4742" s="210" t="s">
        <v>201</v>
      </c>
    </row>
    <row r="4743" spans="1:5" ht="40.5">
      <c r="A4743" s="258">
        <v>91186</v>
      </c>
      <c r="B4743" s="257" t="s">
        <v>3284</v>
      </c>
      <c r="C4743" s="257" t="s">
        <v>5</v>
      </c>
      <c r="D4743" s="259" t="s">
        <v>17543</v>
      </c>
      <c r="E4743" s="210" t="s">
        <v>201</v>
      </c>
    </row>
    <row r="4744" spans="1:5" ht="27">
      <c r="A4744" s="258">
        <v>91187</v>
      </c>
      <c r="B4744" s="257" t="s">
        <v>3285</v>
      </c>
      <c r="C4744" s="257" t="s">
        <v>5</v>
      </c>
      <c r="D4744" s="259" t="s">
        <v>15693</v>
      </c>
      <c r="E4744" s="210" t="s">
        <v>201</v>
      </c>
    </row>
    <row r="4745" spans="1:5" ht="27">
      <c r="A4745" s="258">
        <v>91188</v>
      </c>
      <c r="B4745" s="257" t="s">
        <v>3286</v>
      </c>
      <c r="C4745" s="257" t="s">
        <v>90</v>
      </c>
      <c r="D4745" s="259" t="s">
        <v>15487</v>
      </c>
      <c r="E4745" s="210" t="s">
        <v>201</v>
      </c>
    </row>
    <row r="4746" spans="1:5" ht="27">
      <c r="A4746" s="258">
        <v>91189</v>
      </c>
      <c r="B4746" s="257" t="s">
        <v>3287</v>
      </c>
      <c r="C4746" s="257" t="s">
        <v>90</v>
      </c>
      <c r="D4746" s="259" t="s">
        <v>15351</v>
      </c>
      <c r="E4746" s="210" t="s">
        <v>201</v>
      </c>
    </row>
    <row r="4747" spans="1:5" ht="13.5">
      <c r="A4747" s="258">
        <v>91190</v>
      </c>
      <c r="B4747" s="257" t="s">
        <v>3288</v>
      </c>
      <c r="C4747" s="257" t="s">
        <v>90</v>
      </c>
      <c r="D4747" s="259" t="s">
        <v>17544</v>
      </c>
      <c r="E4747" s="210" t="s">
        <v>201</v>
      </c>
    </row>
    <row r="4748" spans="1:5" ht="13.5">
      <c r="A4748" s="257">
        <v>91191</v>
      </c>
      <c r="B4748" s="257" t="s">
        <v>3289</v>
      </c>
      <c r="C4748" s="257" t="s">
        <v>90</v>
      </c>
      <c r="D4748" s="259" t="s">
        <v>15795</v>
      </c>
      <c r="E4748" s="210" t="s">
        <v>201</v>
      </c>
    </row>
    <row r="4749" spans="1:5" ht="13.5">
      <c r="A4749" s="257">
        <v>91192</v>
      </c>
      <c r="B4749" s="257" t="s">
        <v>3290</v>
      </c>
      <c r="C4749" s="257" t="s">
        <v>90</v>
      </c>
      <c r="D4749" s="259" t="s">
        <v>17545</v>
      </c>
      <c r="E4749" s="210" t="s">
        <v>201</v>
      </c>
    </row>
    <row r="4750" spans="1:5" ht="27">
      <c r="A4750" s="257">
        <v>91222</v>
      </c>
      <c r="B4750" s="257" t="s">
        <v>110</v>
      </c>
      <c r="C4750" s="257" t="s">
        <v>5</v>
      </c>
      <c r="D4750" s="259" t="s">
        <v>15616</v>
      </c>
      <c r="E4750" s="210" t="s">
        <v>201</v>
      </c>
    </row>
    <row r="4751" spans="1:5" ht="27">
      <c r="A4751" s="258">
        <v>94480</v>
      </c>
      <c r="B4751" s="257" t="s">
        <v>3291</v>
      </c>
      <c r="C4751" s="257" t="s">
        <v>90</v>
      </c>
      <c r="D4751" s="259" t="s">
        <v>17546</v>
      </c>
      <c r="E4751" s="210" t="s">
        <v>201</v>
      </c>
    </row>
    <row r="4752" spans="1:5" ht="27">
      <c r="A4752" s="258">
        <v>94481</v>
      </c>
      <c r="B4752" s="257" t="s">
        <v>3292</v>
      </c>
      <c r="C4752" s="257" t="s">
        <v>90</v>
      </c>
      <c r="D4752" s="259" t="s">
        <v>17547</v>
      </c>
      <c r="E4752" s="210" t="s">
        <v>201</v>
      </c>
    </row>
    <row r="4753" spans="1:5" ht="40.5">
      <c r="A4753" s="258">
        <v>94482</v>
      </c>
      <c r="B4753" s="257" t="s">
        <v>3293</v>
      </c>
      <c r="C4753" s="257" t="s">
        <v>90</v>
      </c>
      <c r="D4753" s="259" t="s">
        <v>17548</v>
      </c>
      <c r="E4753" s="210" t="s">
        <v>201</v>
      </c>
    </row>
    <row r="4754" spans="1:5" ht="27">
      <c r="A4754" s="258">
        <v>94483</v>
      </c>
      <c r="B4754" s="257" t="s">
        <v>3294</v>
      </c>
      <c r="C4754" s="257" t="s">
        <v>90</v>
      </c>
      <c r="D4754" s="259" t="s">
        <v>17549</v>
      </c>
      <c r="E4754" s="210" t="s">
        <v>201</v>
      </c>
    </row>
    <row r="4755" spans="1:5" ht="13.5">
      <c r="A4755" s="258">
        <v>95541</v>
      </c>
      <c r="B4755" s="257" t="s">
        <v>3295</v>
      </c>
      <c r="C4755" s="257" t="s">
        <v>90</v>
      </c>
      <c r="D4755" s="259" t="s">
        <v>13539</v>
      </c>
      <c r="E4755" s="210" t="s">
        <v>201</v>
      </c>
    </row>
    <row r="4756" spans="1:5" ht="27">
      <c r="A4756" s="258">
        <v>95573</v>
      </c>
      <c r="B4756" s="257" t="s">
        <v>3296</v>
      </c>
      <c r="C4756" s="257" t="s">
        <v>90</v>
      </c>
      <c r="D4756" s="259" t="s">
        <v>17550</v>
      </c>
      <c r="E4756" s="210" t="s">
        <v>201</v>
      </c>
    </row>
    <row r="4757" spans="1:5" ht="27">
      <c r="A4757" s="258">
        <v>95574</v>
      </c>
      <c r="B4757" s="257" t="s">
        <v>3297</v>
      </c>
      <c r="C4757" s="257" t="s">
        <v>90</v>
      </c>
      <c r="D4757" s="259" t="s">
        <v>16675</v>
      </c>
      <c r="E4757" s="210" t="s">
        <v>201</v>
      </c>
    </row>
    <row r="4758" spans="1:5" ht="13.5">
      <c r="A4758" s="258">
        <v>96559</v>
      </c>
      <c r="B4758" s="257" t="s">
        <v>3298</v>
      </c>
      <c r="C4758" s="257" t="s">
        <v>150</v>
      </c>
      <c r="D4758" s="259" t="s">
        <v>17551</v>
      </c>
      <c r="E4758" s="210" t="s">
        <v>201</v>
      </c>
    </row>
    <row r="4759" spans="1:5" ht="13.5">
      <c r="A4759" s="258">
        <v>96560</v>
      </c>
      <c r="B4759" s="257" t="s">
        <v>3299</v>
      </c>
      <c r="C4759" s="257" t="s">
        <v>150</v>
      </c>
      <c r="D4759" s="259" t="s">
        <v>17552</v>
      </c>
      <c r="E4759" s="210" t="s">
        <v>201</v>
      </c>
    </row>
    <row r="4760" spans="1:5" ht="13.5">
      <c r="A4760" s="258">
        <v>96561</v>
      </c>
      <c r="B4760" s="257" t="s">
        <v>3300</v>
      </c>
      <c r="C4760" s="257" t="s">
        <v>150</v>
      </c>
      <c r="D4760" s="259" t="s">
        <v>17553</v>
      </c>
      <c r="E4760" s="210" t="s">
        <v>201</v>
      </c>
    </row>
    <row r="4761" spans="1:5" ht="27">
      <c r="A4761" s="258">
        <v>96562</v>
      </c>
      <c r="B4761" s="257" t="s">
        <v>3301</v>
      </c>
      <c r="C4761" s="257" t="s">
        <v>5</v>
      </c>
      <c r="D4761" s="259" t="s">
        <v>17554</v>
      </c>
      <c r="E4761" s="210" t="s">
        <v>201</v>
      </c>
    </row>
    <row r="4762" spans="1:5" ht="27">
      <c r="A4762" s="258">
        <v>96563</v>
      </c>
      <c r="B4762" s="257" t="s">
        <v>3302</v>
      </c>
      <c r="C4762" s="257" t="s">
        <v>5</v>
      </c>
      <c r="D4762" s="259" t="s">
        <v>17555</v>
      </c>
      <c r="E4762" s="210" t="s">
        <v>201</v>
      </c>
    </row>
    <row r="4763" spans="1:5" ht="13.5">
      <c r="A4763" s="258" t="s">
        <v>3303</v>
      </c>
      <c r="B4763" s="257" t="s">
        <v>3304</v>
      </c>
      <c r="C4763" s="257" t="s">
        <v>90</v>
      </c>
      <c r="D4763" s="259" t="s">
        <v>17556</v>
      </c>
      <c r="E4763" s="210" t="s">
        <v>201</v>
      </c>
    </row>
    <row r="4764" spans="1:5" ht="13.5">
      <c r="A4764" s="258" t="s">
        <v>3305</v>
      </c>
      <c r="B4764" s="257" t="s">
        <v>3306</v>
      </c>
      <c r="C4764" s="257" t="s">
        <v>90</v>
      </c>
      <c r="D4764" s="259" t="s">
        <v>17557</v>
      </c>
      <c r="E4764" s="210" t="s">
        <v>201</v>
      </c>
    </row>
    <row r="4765" spans="1:5" ht="13.5">
      <c r="A4765" s="258" t="s">
        <v>3307</v>
      </c>
      <c r="B4765" s="257" t="s">
        <v>3308</v>
      </c>
      <c r="C4765" s="257" t="s">
        <v>90</v>
      </c>
      <c r="D4765" s="259" t="s">
        <v>17558</v>
      </c>
      <c r="E4765" s="210" t="s">
        <v>201</v>
      </c>
    </row>
    <row r="4766" spans="1:5" ht="13.5">
      <c r="A4766" s="258" t="s">
        <v>3309</v>
      </c>
      <c r="B4766" s="257" t="s">
        <v>3310</v>
      </c>
      <c r="C4766" s="257" t="s">
        <v>90</v>
      </c>
      <c r="D4766" s="259" t="s">
        <v>17559</v>
      </c>
      <c r="E4766" s="210" t="s">
        <v>201</v>
      </c>
    </row>
    <row r="4767" spans="1:5" ht="13.5">
      <c r="A4767" s="258" t="s">
        <v>3311</v>
      </c>
      <c r="B4767" s="257" t="s">
        <v>3312</v>
      </c>
      <c r="C4767" s="257" t="s">
        <v>90</v>
      </c>
      <c r="D4767" s="259" t="s">
        <v>17560</v>
      </c>
      <c r="E4767" s="210" t="s">
        <v>201</v>
      </c>
    </row>
    <row r="4768" spans="1:5" ht="13.5">
      <c r="A4768" s="258" t="s">
        <v>3313</v>
      </c>
      <c r="B4768" s="257" t="s">
        <v>3314</v>
      </c>
      <c r="C4768" s="257" t="s">
        <v>90</v>
      </c>
      <c r="D4768" s="259" t="s">
        <v>17561</v>
      </c>
      <c r="E4768" s="210" t="s">
        <v>201</v>
      </c>
    </row>
    <row r="4769" spans="1:5" ht="13.5">
      <c r="A4769" s="258" t="s">
        <v>3315</v>
      </c>
      <c r="B4769" s="257" t="s">
        <v>3316</v>
      </c>
      <c r="C4769" s="257" t="s">
        <v>90</v>
      </c>
      <c r="D4769" s="259" t="s">
        <v>17562</v>
      </c>
      <c r="E4769" s="210" t="s">
        <v>201</v>
      </c>
    </row>
    <row r="4770" spans="1:5" ht="13.5">
      <c r="A4770" s="258" t="s">
        <v>3317</v>
      </c>
      <c r="B4770" s="257" t="s">
        <v>3318</v>
      </c>
      <c r="C4770" s="257" t="s">
        <v>90</v>
      </c>
      <c r="D4770" s="259" t="s">
        <v>17563</v>
      </c>
      <c r="E4770" s="210" t="s">
        <v>201</v>
      </c>
    </row>
    <row r="4771" spans="1:5" ht="13.5">
      <c r="A4771" s="258" t="s">
        <v>3319</v>
      </c>
      <c r="B4771" s="257" t="s">
        <v>3320</v>
      </c>
      <c r="C4771" s="257" t="s">
        <v>90</v>
      </c>
      <c r="D4771" s="259" t="s">
        <v>17564</v>
      </c>
      <c r="E4771" s="210" t="s">
        <v>201</v>
      </c>
    </row>
    <row r="4772" spans="1:5" ht="13.5">
      <c r="A4772" s="258" t="s">
        <v>3321</v>
      </c>
      <c r="B4772" s="257" t="s">
        <v>94</v>
      </c>
      <c r="C4772" s="257" t="s">
        <v>90</v>
      </c>
      <c r="D4772" s="259" t="s">
        <v>17565</v>
      </c>
      <c r="E4772" s="210" t="s">
        <v>201</v>
      </c>
    </row>
    <row r="4773" spans="1:5" ht="13.5">
      <c r="A4773" s="258" t="s">
        <v>3322</v>
      </c>
      <c r="B4773" s="257" t="s">
        <v>3323</v>
      </c>
      <c r="C4773" s="257" t="s">
        <v>90</v>
      </c>
      <c r="D4773" s="259" t="s">
        <v>17566</v>
      </c>
      <c r="E4773" s="210" t="s">
        <v>201</v>
      </c>
    </row>
    <row r="4774" spans="1:5" ht="13.5">
      <c r="A4774" s="258" t="s">
        <v>3324</v>
      </c>
      <c r="B4774" s="257" t="s">
        <v>3325</v>
      </c>
      <c r="C4774" s="257" t="s">
        <v>90</v>
      </c>
      <c r="D4774" s="259" t="s">
        <v>17567</v>
      </c>
      <c r="E4774" s="210" t="s">
        <v>201</v>
      </c>
    </row>
    <row r="4775" spans="1:5" ht="13.5">
      <c r="A4775" s="258" t="s">
        <v>3326</v>
      </c>
      <c r="B4775" s="257" t="s">
        <v>3327</v>
      </c>
      <c r="C4775" s="257" t="s">
        <v>90</v>
      </c>
      <c r="D4775" s="259" t="s">
        <v>17568</v>
      </c>
      <c r="E4775" s="210" t="s">
        <v>201</v>
      </c>
    </row>
    <row r="4776" spans="1:5" ht="13.5">
      <c r="A4776" s="258" t="s">
        <v>3328</v>
      </c>
      <c r="B4776" s="257" t="s">
        <v>3329</v>
      </c>
      <c r="C4776" s="257" t="s">
        <v>90</v>
      </c>
      <c r="D4776" s="259" t="s">
        <v>17558</v>
      </c>
      <c r="E4776" s="210" t="s">
        <v>201</v>
      </c>
    </row>
    <row r="4777" spans="1:5" ht="13.5">
      <c r="A4777" s="258" t="s">
        <v>3330</v>
      </c>
      <c r="B4777" s="257" t="s">
        <v>3331</v>
      </c>
      <c r="C4777" s="257" t="s">
        <v>90</v>
      </c>
      <c r="D4777" s="259" t="s">
        <v>17569</v>
      </c>
      <c r="E4777" s="210" t="s">
        <v>201</v>
      </c>
    </row>
    <row r="4778" spans="1:5" ht="13.5">
      <c r="A4778" s="258" t="s">
        <v>3332</v>
      </c>
      <c r="B4778" s="257" t="s">
        <v>3333</v>
      </c>
      <c r="C4778" s="257" t="s">
        <v>90</v>
      </c>
      <c r="D4778" s="259" t="s">
        <v>17570</v>
      </c>
      <c r="E4778" s="210" t="s">
        <v>201</v>
      </c>
    </row>
    <row r="4779" spans="1:5" ht="13.5">
      <c r="A4779" s="258">
        <v>73612</v>
      </c>
      <c r="B4779" s="257" t="s">
        <v>3334</v>
      </c>
      <c r="C4779" s="257" t="s">
        <v>90</v>
      </c>
      <c r="D4779" s="259" t="s">
        <v>17571</v>
      </c>
      <c r="E4779" s="210" t="s">
        <v>201</v>
      </c>
    </row>
    <row r="4780" spans="1:5" ht="13.5">
      <c r="A4780" s="258">
        <v>73660</v>
      </c>
      <c r="B4780" s="257" t="s">
        <v>3335</v>
      </c>
      <c r="C4780" s="257" t="s">
        <v>150</v>
      </c>
      <c r="D4780" s="259" t="s">
        <v>17572</v>
      </c>
      <c r="E4780" s="210" t="s">
        <v>201</v>
      </c>
    </row>
    <row r="4781" spans="1:5" ht="13.5">
      <c r="A4781" s="258">
        <v>73693</v>
      </c>
      <c r="B4781" s="257" t="s">
        <v>3336</v>
      </c>
      <c r="C4781" s="257" t="s">
        <v>150</v>
      </c>
      <c r="D4781" s="259" t="s">
        <v>17573</v>
      </c>
      <c r="E4781" s="210" t="s">
        <v>201</v>
      </c>
    </row>
    <row r="4782" spans="1:5" ht="13.5">
      <c r="A4782" s="258">
        <v>73694</v>
      </c>
      <c r="B4782" s="257" t="s">
        <v>3337</v>
      </c>
      <c r="C4782" s="257" t="s">
        <v>90</v>
      </c>
      <c r="D4782" s="259" t="s">
        <v>17574</v>
      </c>
      <c r="E4782" s="210" t="s">
        <v>201</v>
      </c>
    </row>
    <row r="4783" spans="1:5" ht="13.5">
      <c r="A4783" s="258">
        <v>73695</v>
      </c>
      <c r="B4783" s="257" t="s">
        <v>3338</v>
      </c>
      <c r="C4783" s="257" t="s">
        <v>90</v>
      </c>
      <c r="D4783" s="259" t="s">
        <v>17575</v>
      </c>
      <c r="E4783" s="210" t="s">
        <v>201</v>
      </c>
    </row>
    <row r="4784" spans="1:5" ht="13.5">
      <c r="A4784" s="258" t="s">
        <v>3339</v>
      </c>
      <c r="B4784" s="257" t="s">
        <v>3340</v>
      </c>
      <c r="C4784" s="257" t="s">
        <v>90</v>
      </c>
      <c r="D4784" s="259" t="s">
        <v>17571</v>
      </c>
      <c r="E4784" s="210" t="s">
        <v>201</v>
      </c>
    </row>
    <row r="4785" spans="1:5" ht="13.5">
      <c r="A4785" s="258" t="s">
        <v>3341</v>
      </c>
      <c r="B4785" s="257" t="s">
        <v>3342</v>
      </c>
      <c r="C4785" s="257" t="s">
        <v>150</v>
      </c>
      <c r="D4785" s="259" t="s">
        <v>17576</v>
      </c>
      <c r="E4785" s="210" t="s">
        <v>201</v>
      </c>
    </row>
    <row r="4786" spans="1:5" ht="13.5">
      <c r="A4786" s="258" t="s">
        <v>3343</v>
      </c>
      <c r="B4786" s="257" t="s">
        <v>3344</v>
      </c>
      <c r="C4786" s="257" t="s">
        <v>172</v>
      </c>
      <c r="D4786" s="259" t="s">
        <v>17577</v>
      </c>
      <c r="E4786" s="210" t="s">
        <v>201</v>
      </c>
    </row>
    <row r="4787" spans="1:5" ht="13.5">
      <c r="A4787" s="258" t="s">
        <v>3345</v>
      </c>
      <c r="B4787" s="257" t="s">
        <v>3346</v>
      </c>
      <c r="C4787" s="257" t="s">
        <v>172</v>
      </c>
      <c r="D4787" s="259" t="s">
        <v>17578</v>
      </c>
      <c r="E4787" s="210" t="s">
        <v>201</v>
      </c>
    </row>
    <row r="4788" spans="1:5" ht="13.5">
      <c r="A4788" s="258" t="s">
        <v>3347</v>
      </c>
      <c r="B4788" s="257" t="s">
        <v>3348</v>
      </c>
      <c r="C4788" s="257" t="s">
        <v>172</v>
      </c>
      <c r="D4788" s="259" t="s">
        <v>17577</v>
      </c>
      <c r="E4788" s="210" t="s">
        <v>201</v>
      </c>
    </row>
    <row r="4789" spans="1:5" ht="13.5">
      <c r="A4789" s="258" t="s">
        <v>3349</v>
      </c>
      <c r="B4789" s="257" t="s">
        <v>3350</v>
      </c>
      <c r="C4789" s="257" t="s">
        <v>172</v>
      </c>
      <c r="D4789" s="259" t="s">
        <v>17579</v>
      </c>
      <c r="E4789" s="210" t="s">
        <v>201</v>
      </c>
    </row>
    <row r="4790" spans="1:5" ht="13.5">
      <c r="A4790" s="258" t="s">
        <v>3351</v>
      </c>
      <c r="B4790" s="257" t="s">
        <v>3352</v>
      </c>
      <c r="C4790" s="257" t="s">
        <v>172</v>
      </c>
      <c r="D4790" s="259" t="s">
        <v>17577</v>
      </c>
      <c r="E4790" s="210" t="s">
        <v>201</v>
      </c>
    </row>
    <row r="4791" spans="1:5" ht="13.5">
      <c r="A4791" s="258" t="s">
        <v>3353</v>
      </c>
      <c r="B4791" s="257" t="s">
        <v>3354</v>
      </c>
      <c r="C4791" s="257" t="s">
        <v>90</v>
      </c>
      <c r="D4791" s="259" t="s">
        <v>17580</v>
      </c>
      <c r="E4791" s="210" t="s">
        <v>201</v>
      </c>
    </row>
    <row r="4792" spans="1:5" ht="13.5">
      <c r="A4792" s="257" t="s">
        <v>3355</v>
      </c>
      <c r="B4792" s="257" t="s">
        <v>3356</v>
      </c>
      <c r="C4792" s="257" t="s">
        <v>90</v>
      </c>
      <c r="D4792" s="259" t="s">
        <v>17581</v>
      </c>
      <c r="E4792" s="210" t="s">
        <v>201</v>
      </c>
    </row>
    <row r="4793" spans="1:5" ht="13.5">
      <c r="A4793" s="257" t="s">
        <v>3357</v>
      </c>
      <c r="B4793" s="257" t="s">
        <v>3358</v>
      </c>
      <c r="C4793" s="257" t="s">
        <v>5</v>
      </c>
      <c r="D4793" s="259" t="s">
        <v>17582</v>
      </c>
      <c r="E4793" s="210" t="s">
        <v>201</v>
      </c>
    </row>
    <row r="4794" spans="1:5" ht="13.5">
      <c r="A4794" s="257">
        <v>83878</v>
      </c>
      <c r="B4794" s="257" t="s">
        <v>3359</v>
      </c>
      <c r="C4794" s="257" t="s">
        <v>90</v>
      </c>
      <c r="D4794" s="259" t="s">
        <v>17583</v>
      </c>
      <c r="E4794" s="210" t="s">
        <v>201</v>
      </c>
    </row>
    <row r="4795" spans="1:5" ht="13.5">
      <c r="A4795" s="258">
        <v>83879</v>
      </c>
      <c r="B4795" s="257" t="s">
        <v>3360</v>
      </c>
      <c r="C4795" s="257" t="s">
        <v>90</v>
      </c>
      <c r="D4795" s="259" t="s">
        <v>17584</v>
      </c>
      <c r="E4795" s="210" t="s">
        <v>201</v>
      </c>
    </row>
    <row r="4796" spans="1:5" ht="40.5">
      <c r="A4796" s="258">
        <v>73658</v>
      </c>
      <c r="B4796" s="257" t="s">
        <v>3361</v>
      </c>
      <c r="C4796" s="257" t="s">
        <v>90</v>
      </c>
      <c r="D4796" s="259" t="s">
        <v>17585</v>
      </c>
      <c r="E4796" s="210" t="s">
        <v>201</v>
      </c>
    </row>
    <row r="4797" spans="1:5" ht="54">
      <c r="A4797" s="258">
        <v>93350</v>
      </c>
      <c r="B4797" s="257" t="s">
        <v>3362</v>
      </c>
      <c r="C4797" s="257" t="s">
        <v>90</v>
      </c>
      <c r="D4797" s="259" t="s">
        <v>17586</v>
      </c>
      <c r="E4797" s="210" t="s">
        <v>201</v>
      </c>
    </row>
    <row r="4798" spans="1:5" ht="54">
      <c r="A4798" s="258">
        <v>93351</v>
      </c>
      <c r="B4798" s="257" t="s">
        <v>3363</v>
      </c>
      <c r="C4798" s="257" t="s">
        <v>90</v>
      </c>
      <c r="D4798" s="259" t="s">
        <v>17587</v>
      </c>
      <c r="E4798" s="210" t="s">
        <v>201</v>
      </c>
    </row>
    <row r="4799" spans="1:5" ht="54">
      <c r="A4799" s="258">
        <v>93352</v>
      </c>
      <c r="B4799" s="257" t="s">
        <v>3364</v>
      </c>
      <c r="C4799" s="257" t="s">
        <v>90</v>
      </c>
      <c r="D4799" s="259" t="s">
        <v>17588</v>
      </c>
      <c r="E4799" s="210" t="s">
        <v>201</v>
      </c>
    </row>
    <row r="4800" spans="1:5" ht="54">
      <c r="A4800" s="258">
        <v>93353</v>
      </c>
      <c r="B4800" s="257" t="s">
        <v>3365</v>
      </c>
      <c r="C4800" s="257" t="s">
        <v>90</v>
      </c>
      <c r="D4800" s="259" t="s">
        <v>17589</v>
      </c>
      <c r="E4800" s="210" t="s">
        <v>201</v>
      </c>
    </row>
    <row r="4801" spans="1:5" ht="54">
      <c r="A4801" s="258">
        <v>93354</v>
      </c>
      <c r="B4801" s="257" t="s">
        <v>3366</v>
      </c>
      <c r="C4801" s="257" t="s">
        <v>90</v>
      </c>
      <c r="D4801" s="259" t="s">
        <v>17590</v>
      </c>
      <c r="E4801" s="210" t="s">
        <v>201</v>
      </c>
    </row>
    <row r="4802" spans="1:5" ht="54">
      <c r="A4802" s="258">
        <v>93355</v>
      </c>
      <c r="B4802" s="257" t="s">
        <v>3367</v>
      </c>
      <c r="C4802" s="257" t="s">
        <v>90</v>
      </c>
      <c r="D4802" s="259" t="s">
        <v>17591</v>
      </c>
      <c r="E4802" s="210" t="s">
        <v>201</v>
      </c>
    </row>
    <row r="4803" spans="1:5" ht="54">
      <c r="A4803" s="258">
        <v>93356</v>
      </c>
      <c r="B4803" s="257" t="s">
        <v>3368</v>
      </c>
      <c r="C4803" s="257" t="s">
        <v>90</v>
      </c>
      <c r="D4803" s="259" t="s">
        <v>17592</v>
      </c>
      <c r="E4803" s="210" t="s">
        <v>201</v>
      </c>
    </row>
    <row r="4804" spans="1:5" ht="54">
      <c r="A4804" s="258">
        <v>93357</v>
      </c>
      <c r="B4804" s="257" t="s">
        <v>3369</v>
      </c>
      <c r="C4804" s="257" t="s">
        <v>90</v>
      </c>
      <c r="D4804" s="259" t="s">
        <v>17593</v>
      </c>
      <c r="E4804" s="210" t="s">
        <v>201</v>
      </c>
    </row>
    <row r="4805" spans="1:5" ht="13.5">
      <c r="A4805" s="258">
        <v>83335</v>
      </c>
      <c r="B4805" s="257" t="s">
        <v>3370</v>
      </c>
      <c r="C4805" s="257" t="s">
        <v>172</v>
      </c>
      <c r="D4805" s="259" t="s">
        <v>17594</v>
      </c>
      <c r="E4805" s="210" t="s">
        <v>201</v>
      </c>
    </row>
    <row r="4806" spans="1:5" ht="13.5">
      <c r="A4806" s="258">
        <v>88548</v>
      </c>
      <c r="B4806" s="257" t="s">
        <v>3371</v>
      </c>
      <c r="C4806" s="257" t="s">
        <v>172</v>
      </c>
      <c r="D4806" s="259" t="s">
        <v>17595</v>
      </c>
      <c r="E4806" s="210" t="s">
        <v>201</v>
      </c>
    </row>
    <row r="4807" spans="1:5" ht="13.5">
      <c r="A4807" s="258" t="s">
        <v>152</v>
      </c>
      <c r="B4807" s="257" t="s">
        <v>3372</v>
      </c>
      <c r="C4807" s="257" t="s">
        <v>150</v>
      </c>
      <c r="D4807" s="259" t="s">
        <v>14181</v>
      </c>
      <c r="E4807" s="210" t="s">
        <v>201</v>
      </c>
    </row>
    <row r="4808" spans="1:5" ht="27">
      <c r="A4808" s="258" t="s">
        <v>3373</v>
      </c>
      <c r="B4808" s="257" t="s">
        <v>3374</v>
      </c>
      <c r="C4808" s="257" t="s">
        <v>172</v>
      </c>
      <c r="D4808" s="259" t="s">
        <v>17596</v>
      </c>
      <c r="E4808" s="210" t="s">
        <v>201</v>
      </c>
    </row>
    <row r="4809" spans="1:5" ht="27">
      <c r="A4809" s="258" t="s">
        <v>3375</v>
      </c>
      <c r="B4809" s="257" t="s">
        <v>3376</v>
      </c>
      <c r="C4809" s="257" t="s">
        <v>172</v>
      </c>
      <c r="D4809" s="259" t="s">
        <v>17597</v>
      </c>
      <c r="E4809" s="210" t="s">
        <v>201</v>
      </c>
    </row>
    <row r="4810" spans="1:5" ht="27">
      <c r="A4810" s="258" t="s">
        <v>3377</v>
      </c>
      <c r="B4810" s="257" t="s">
        <v>3378</v>
      </c>
      <c r="C4810" s="257" t="s">
        <v>172</v>
      </c>
      <c r="D4810" s="259" t="s">
        <v>14148</v>
      </c>
      <c r="E4810" s="210" t="s">
        <v>201</v>
      </c>
    </row>
    <row r="4811" spans="1:5" ht="27">
      <c r="A4811" s="258" t="s">
        <v>3379</v>
      </c>
      <c r="B4811" s="257" t="s">
        <v>3380</v>
      </c>
      <c r="C4811" s="257" t="s">
        <v>172</v>
      </c>
      <c r="D4811" s="259" t="s">
        <v>17598</v>
      </c>
      <c r="E4811" s="210" t="s">
        <v>201</v>
      </c>
    </row>
    <row r="4812" spans="1:5" ht="27">
      <c r="A4812" s="258" t="s">
        <v>3381</v>
      </c>
      <c r="B4812" s="257" t="s">
        <v>3382</v>
      </c>
      <c r="C4812" s="257" t="s">
        <v>172</v>
      </c>
      <c r="D4812" s="259" t="s">
        <v>14162</v>
      </c>
      <c r="E4812" s="210" t="s">
        <v>201</v>
      </c>
    </row>
    <row r="4813" spans="1:5" ht="13.5">
      <c r="A4813" s="257">
        <v>79480</v>
      </c>
      <c r="B4813" s="257" t="s">
        <v>3383</v>
      </c>
      <c r="C4813" s="257" t="s">
        <v>172</v>
      </c>
      <c r="D4813" s="259" t="s">
        <v>13953</v>
      </c>
      <c r="E4813" s="210" t="s">
        <v>201</v>
      </c>
    </row>
    <row r="4814" spans="1:5" ht="27">
      <c r="A4814" s="257">
        <v>83336</v>
      </c>
      <c r="B4814" s="257" t="s">
        <v>3384</v>
      </c>
      <c r="C4814" s="257" t="s">
        <v>172</v>
      </c>
      <c r="D4814" s="259" t="s">
        <v>13539</v>
      </c>
      <c r="E4814" s="210" t="s">
        <v>201</v>
      </c>
    </row>
    <row r="4815" spans="1:5" ht="27">
      <c r="A4815" s="257">
        <v>83338</v>
      </c>
      <c r="B4815" s="257" t="s">
        <v>3385</v>
      </c>
      <c r="C4815" s="257" t="s">
        <v>172</v>
      </c>
      <c r="D4815" s="259" t="s">
        <v>13897</v>
      </c>
      <c r="E4815" s="210" t="s">
        <v>201</v>
      </c>
    </row>
    <row r="4816" spans="1:5" ht="40.5">
      <c r="A4816" s="257">
        <v>89885</v>
      </c>
      <c r="B4816" s="257" t="s">
        <v>3386</v>
      </c>
      <c r="C4816" s="257" t="s">
        <v>172</v>
      </c>
      <c r="D4816" s="259" t="s">
        <v>17028</v>
      </c>
      <c r="E4816" s="210" t="s">
        <v>201</v>
      </c>
    </row>
    <row r="4817" spans="1:5" ht="40.5">
      <c r="A4817" s="258">
        <v>89886</v>
      </c>
      <c r="B4817" s="257" t="s">
        <v>3387</v>
      </c>
      <c r="C4817" s="257" t="s">
        <v>172</v>
      </c>
      <c r="D4817" s="259" t="s">
        <v>15222</v>
      </c>
      <c r="E4817" s="210" t="s">
        <v>201</v>
      </c>
    </row>
    <row r="4818" spans="1:5" ht="40.5">
      <c r="A4818" s="257">
        <v>89887</v>
      </c>
      <c r="B4818" s="257" t="s">
        <v>3388</v>
      </c>
      <c r="C4818" s="257" t="s">
        <v>172</v>
      </c>
      <c r="D4818" s="259" t="s">
        <v>15430</v>
      </c>
      <c r="E4818" s="210" t="s">
        <v>201</v>
      </c>
    </row>
    <row r="4819" spans="1:5" ht="40.5">
      <c r="A4819" s="258">
        <v>89888</v>
      </c>
      <c r="B4819" s="257" t="s">
        <v>3389</v>
      </c>
      <c r="C4819" s="257" t="s">
        <v>172</v>
      </c>
      <c r="D4819" s="259" t="s">
        <v>13925</v>
      </c>
      <c r="E4819" s="210" t="s">
        <v>201</v>
      </c>
    </row>
    <row r="4820" spans="1:5" ht="40.5">
      <c r="A4820" s="258">
        <v>89889</v>
      </c>
      <c r="B4820" s="257" t="s">
        <v>3390</v>
      </c>
      <c r="C4820" s="257" t="s">
        <v>172</v>
      </c>
      <c r="D4820" s="259" t="s">
        <v>15497</v>
      </c>
      <c r="E4820" s="210" t="s">
        <v>201</v>
      </c>
    </row>
    <row r="4821" spans="1:5" ht="40.5">
      <c r="A4821" s="258">
        <v>89890</v>
      </c>
      <c r="B4821" s="257" t="s">
        <v>3391</v>
      </c>
      <c r="C4821" s="257" t="s">
        <v>172</v>
      </c>
      <c r="D4821" s="259" t="s">
        <v>16525</v>
      </c>
      <c r="E4821" s="210" t="s">
        <v>201</v>
      </c>
    </row>
    <row r="4822" spans="1:5" ht="40.5">
      <c r="A4822" s="258">
        <v>89893</v>
      </c>
      <c r="B4822" s="257" t="s">
        <v>3392</v>
      </c>
      <c r="C4822" s="257" t="s">
        <v>172</v>
      </c>
      <c r="D4822" s="259" t="s">
        <v>17599</v>
      </c>
      <c r="E4822" s="210" t="s">
        <v>201</v>
      </c>
    </row>
    <row r="4823" spans="1:5" ht="40.5">
      <c r="A4823" s="258">
        <v>89894</v>
      </c>
      <c r="B4823" s="257" t="s">
        <v>3393</v>
      </c>
      <c r="C4823" s="257" t="s">
        <v>172</v>
      </c>
      <c r="D4823" s="259" t="s">
        <v>16581</v>
      </c>
      <c r="E4823" s="210" t="s">
        <v>201</v>
      </c>
    </row>
    <row r="4824" spans="1:5" ht="40.5">
      <c r="A4824" s="258">
        <v>89895</v>
      </c>
      <c r="B4824" s="257" t="s">
        <v>3394</v>
      </c>
      <c r="C4824" s="257" t="s">
        <v>172</v>
      </c>
      <c r="D4824" s="259" t="s">
        <v>17600</v>
      </c>
      <c r="E4824" s="210" t="s">
        <v>201</v>
      </c>
    </row>
    <row r="4825" spans="1:5" ht="40.5">
      <c r="A4825" s="258">
        <v>89903</v>
      </c>
      <c r="B4825" s="257" t="s">
        <v>3395</v>
      </c>
      <c r="C4825" s="257" t="s">
        <v>172</v>
      </c>
      <c r="D4825" s="259" t="s">
        <v>16480</v>
      </c>
      <c r="E4825" s="210" t="s">
        <v>201</v>
      </c>
    </row>
    <row r="4826" spans="1:5" ht="40.5">
      <c r="A4826" s="258">
        <v>89904</v>
      </c>
      <c r="B4826" s="257" t="s">
        <v>3396</v>
      </c>
      <c r="C4826" s="257" t="s">
        <v>172</v>
      </c>
      <c r="D4826" s="259" t="s">
        <v>15467</v>
      </c>
      <c r="E4826" s="210" t="s">
        <v>201</v>
      </c>
    </row>
    <row r="4827" spans="1:5" ht="40.5">
      <c r="A4827" s="258">
        <v>89905</v>
      </c>
      <c r="B4827" s="257" t="s">
        <v>3397</v>
      </c>
      <c r="C4827" s="257" t="s">
        <v>172</v>
      </c>
      <c r="D4827" s="259" t="s">
        <v>17601</v>
      </c>
      <c r="E4827" s="210" t="s">
        <v>201</v>
      </c>
    </row>
    <row r="4828" spans="1:5" ht="40.5">
      <c r="A4828" s="258">
        <v>89906</v>
      </c>
      <c r="B4828" s="257" t="s">
        <v>3398</v>
      </c>
      <c r="C4828" s="257" t="s">
        <v>172</v>
      </c>
      <c r="D4828" s="259" t="s">
        <v>15179</v>
      </c>
      <c r="E4828" s="210" t="s">
        <v>201</v>
      </c>
    </row>
    <row r="4829" spans="1:5" ht="40.5">
      <c r="A4829" s="258">
        <v>89907</v>
      </c>
      <c r="B4829" s="257" t="s">
        <v>3399</v>
      </c>
      <c r="C4829" s="257" t="s">
        <v>172</v>
      </c>
      <c r="D4829" s="259" t="s">
        <v>15434</v>
      </c>
      <c r="E4829" s="210" t="s">
        <v>201</v>
      </c>
    </row>
    <row r="4830" spans="1:5" ht="40.5">
      <c r="A4830" s="258">
        <v>89908</v>
      </c>
      <c r="B4830" s="257" t="s">
        <v>3400</v>
      </c>
      <c r="C4830" s="257" t="s">
        <v>172</v>
      </c>
      <c r="D4830" s="259" t="s">
        <v>15807</v>
      </c>
      <c r="E4830" s="210" t="s">
        <v>201</v>
      </c>
    </row>
    <row r="4831" spans="1:5" ht="40.5">
      <c r="A4831" s="258">
        <v>89911</v>
      </c>
      <c r="B4831" s="257" t="s">
        <v>3401</v>
      </c>
      <c r="C4831" s="257" t="s">
        <v>172</v>
      </c>
      <c r="D4831" s="259" t="s">
        <v>17602</v>
      </c>
      <c r="E4831" s="210" t="s">
        <v>201</v>
      </c>
    </row>
    <row r="4832" spans="1:5" ht="40.5">
      <c r="A4832" s="258">
        <v>89912</v>
      </c>
      <c r="B4832" s="257" t="s">
        <v>3402</v>
      </c>
      <c r="C4832" s="257" t="s">
        <v>172</v>
      </c>
      <c r="D4832" s="259" t="s">
        <v>15763</v>
      </c>
      <c r="E4832" s="210" t="s">
        <v>201</v>
      </c>
    </row>
    <row r="4833" spans="1:5" ht="40.5">
      <c r="A4833" s="258">
        <v>89913</v>
      </c>
      <c r="B4833" s="257" t="s">
        <v>3403</v>
      </c>
      <c r="C4833" s="257" t="s">
        <v>172</v>
      </c>
      <c r="D4833" s="259" t="s">
        <v>17603</v>
      </c>
      <c r="E4833" s="210" t="s">
        <v>201</v>
      </c>
    </row>
    <row r="4834" spans="1:5" ht="40.5">
      <c r="A4834" s="258">
        <v>89921</v>
      </c>
      <c r="B4834" s="257" t="s">
        <v>3404</v>
      </c>
      <c r="C4834" s="257" t="s">
        <v>172</v>
      </c>
      <c r="D4834" s="259" t="s">
        <v>17604</v>
      </c>
      <c r="E4834" s="210" t="s">
        <v>201</v>
      </c>
    </row>
    <row r="4835" spans="1:5" ht="40.5">
      <c r="A4835" s="258">
        <v>89922</v>
      </c>
      <c r="B4835" s="257" t="s">
        <v>3405</v>
      </c>
      <c r="C4835" s="257" t="s">
        <v>172</v>
      </c>
      <c r="D4835" s="259" t="s">
        <v>17605</v>
      </c>
      <c r="E4835" s="210" t="s">
        <v>201</v>
      </c>
    </row>
    <row r="4836" spans="1:5" ht="40.5">
      <c r="A4836" s="258">
        <v>89923</v>
      </c>
      <c r="B4836" s="257" t="s">
        <v>3406</v>
      </c>
      <c r="C4836" s="257" t="s">
        <v>172</v>
      </c>
      <c r="D4836" s="259" t="s">
        <v>15796</v>
      </c>
      <c r="E4836" s="210" t="s">
        <v>201</v>
      </c>
    </row>
    <row r="4837" spans="1:5" ht="40.5">
      <c r="A4837" s="258">
        <v>89924</v>
      </c>
      <c r="B4837" s="257" t="s">
        <v>3407</v>
      </c>
      <c r="C4837" s="257" t="s">
        <v>172</v>
      </c>
      <c r="D4837" s="259" t="s">
        <v>17606</v>
      </c>
      <c r="E4837" s="210" t="s">
        <v>201</v>
      </c>
    </row>
    <row r="4838" spans="1:5" ht="40.5">
      <c r="A4838" s="258">
        <v>89925</v>
      </c>
      <c r="B4838" s="257" t="s">
        <v>3408</v>
      </c>
      <c r="C4838" s="257" t="s">
        <v>172</v>
      </c>
      <c r="D4838" s="259" t="s">
        <v>15718</v>
      </c>
      <c r="E4838" s="210" t="s">
        <v>201</v>
      </c>
    </row>
    <row r="4839" spans="1:5" ht="40.5">
      <c r="A4839" s="258">
        <v>89926</v>
      </c>
      <c r="B4839" s="257" t="s">
        <v>3409</v>
      </c>
      <c r="C4839" s="257" t="s">
        <v>172</v>
      </c>
      <c r="D4839" s="259" t="s">
        <v>14364</v>
      </c>
      <c r="E4839" s="210" t="s">
        <v>201</v>
      </c>
    </row>
    <row r="4840" spans="1:5" ht="40.5">
      <c r="A4840" s="258">
        <v>89929</v>
      </c>
      <c r="B4840" s="257" t="s">
        <v>3410</v>
      </c>
      <c r="C4840" s="257" t="s">
        <v>172</v>
      </c>
      <c r="D4840" s="259" t="s">
        <v>14143</v>
      </c>
      <c r="E4840" s="210" t="s">
        <v>201</v>
      </c>
    </row>
    <row r="4841" spans="1:5" ht="40.5">
      <c r="A4841" s="258">
        <v>89930</v>
      </c>
      <c r="B4841" s="257" t="s">
        <v>3411</v>
      </c>
      <c r="C4841" s="257" t="s">
        <v>172</v>
      </c>
      <c r="D4841" s="259" t="s">
        <v>17607</v>
      </c>
      <c r="E4841" s="210" t="s">
        <v>201</v>
      </c>
    </row>
    <row r="4842" spans="1:5" ht="40.5">
      <c r="A4842" s="258">
        <v>89931</v>
      </c>
      <c r="B4842" s="257" t="s">
        <v>3412</v>
      </c>
      <c r="C4842" s="257" t="s">
        <v>172</v>
      </c>
      <c r="D4842" s="259" t="s">
        <v>17608</v>
      </c>
      <c r="E4842" s="210" t="s">
        <v>201</v>
      </c>
    </row>
    <row r="4843" spans="1:5" ht="40.5">
      <c r="A4843" s="258">
        <v>89939</v>
      </c>
      <c r="B4843" s="257" t="s">
        <v>3413</v>
      </c>
      <c r="C4843" s="257" t="s">
        <v>172</v>
      </c>
      <c r="D4843" s="259" t="s">
        <v>17609</v>
      </c>
      <c r="E4843" s="210" t="s">
        <v>201</v>
      </c>
    </row>
    <row r="4844" spans="1:5" ht="40.5">
      <c r="A4844" s="258">
        <v>89940</v>
      </c>
      <c r="B4844" s="257" t="s">
        <v>3414</v>
      </c>
      <c r="C4844" s="257" t="s">
        <v>172</v>
      </c>
      <c r="D4844" s="259" t="s">
        <v>17610</v>
      </c>
      <c r="E4844" s="210" t="s">
        <v>201</v>
      </c>
    </row>
    <row r="4845" spans="1:5" ht="40.5">
      <c r="A4845" s="258">
        <v>89941</v>
      </c>
      <c r="B4845" s="257" t="s">
        <v>3415</v>
      </c>
      <c r="C4845" s="257" t="s">
        <v>172</v>
      </c>
      <c r="D4845" s="259" t="s">
        <v>17611</v>
      </c>
      <c r="E4845" s="210" t="s">
        <v>201</v>
      </c>
    </row>
    <row r="4846" spans="1:5" ht="40.5">
      <c r="A4846" s="258">
        <v>89942</v>
      </c>
      <c r="B4846" s="257" t="s">
        <v>3416</v>
      </c>
      <c r="C4846" s="257" t="s">
        <v>172</v>
      </c>
      <c r="D4846" s="259" t="s">
        <v>14423</v>
      </c>
      <c r="E4846" s="210" t="s">
        <v>201</v>
      </c>
    </row>
    <row r="4847" spans="1:5" ht="40.5">
      <c r="A4847" s="258">
        <v>89943</v>
      </c>
      <c r="B4847" s="257" t="s">
        <v>3417</v>
      </c>
      <c r="C4847" s="257" t="s">
        <v>172</v>
      </c>
      <c r="D4847" s="259" t="s">
        <v>16360</v>
      </c>
      <c r="E4847" s="210" t="s">
        <v>201</v>
      </c>
    </row>
    <row r="4848" spans="1:5" ht="40.5">
      <c r="A4848" s="258">
        <v>89944</v>
      </c>
      <c r="B4848" s="257" t="s">
        <v>3418</v>
      </c>
      <c r="C4848" s="257" t="s">
        <v>172</v>
      </c>
      <c r="D4848" s="259" t="s">
        <v>17612</v>
      </c>
      <c r="E4848" s="210" t="s">
        <v>201</v>
      </c>
    </row>
    <row r="4849" spans="1:5" ht="40.5">
      <c r="A4849" s="258">
        <v>89947</v>
      </c>
      <c r="B4849" s="257" t="s">
        <v>3419</v>
      </c>
      <c r="C4849" s="257" t="s">
        <v>172</v>
      </c>
      <c r="D4849" s="259" t="s">
        <v>14565</v>
      </c>
      <c r="E4849" s="210" t="s">
        <v>201</v>
      </c>
    </row>
    <row r="4850" spans="1:5" ht="40.5">
      <c r="A4850" s="257">
        <v>89948</v>
      </c>
      <c r="B4850" s="257" t="s">
        <v>3420</v>
      </c>
      <c r="C4850" s="257" t="s">
        <v>172</v>
      </c>
      <c r="D4850" s="259" t="s">
        <v>14471</v>
      </c>
      <c r="E4850" s="210" t="s">
        <v>201</v>
      </c>
    </row>
    <row r="4851" spans="1:5" ht="40.5">
      <c r="A4851" s="257">
        <v>89949</v>
      </c>
      <c r="B4851" s="257" t="s">
        <v>3421</v>
      </c>
      <c r="C4851" s="257" t="s">
        <v>172</v>
      </c>
      <c r="D4851" s="259" t="s">
        <v>16571</v>
      </c>
      <c r="E4851" s="210" t="s">
        <v>201</v>
      </c>
    </row>
    <row r="4852" spans="1:5" ht="27">
      <c r="A4852" s="257">
        <v>96520</v>
      </c>
      <c r="B4852" s="257" t="s">
        <v>3422</v>
      </c>
      <c r="C4852" s="257" t="s">
        <v>172</v>
      </c>
      <c r="D4852" s="259" t="s">
        <v>17613</v>
      </c>
      <c r="E4852" s="210" t="s">
        <v>201</v>
      </c>
    </row>
    <row r="4853" spans="1:5" ht="27">
      <c r="A4853" s="258">
        <v>96521</v>
      </c>
      <c r="B4853" s="257" t="s">
        <v>3423</v>
      </c>
      <c r="C4853" s="257" t="s">
        <v>172</v>
      </c>
      <c r="D4853" s="259" t="s">
        <v>17614</v>
      </c>
      <c r="E4853" s="210" t="s">
        <v>201</v>
      </c>
    </row>
    <row r="4854" spans="1:5" ht="13.5">
      <c r="A4854" s="258">
        <v>96522</v>
      </c>
      <c r="B4854" s="257" t="s">
        <v>3424</v>
      </c>
      <c r="C4854" s="257" t="s">
        <v>172</v>
      </c>
      <c r="D4854" s="259" t="s">
        <v>17615</v>
      </c>
      <c r="E4854" s="210" t="s">
        <v>201</v>
      </c>
    </row>
    <row r="4855" spans="1:5" ht="13.5">
      <c r="A4855" s="258">
        <v>96523</v>
      </c>
      <c r="B4855" s="257" t="s">
        <v>3425</v>
      </c>
      <c r="C4855" s="257" t="s">
        <v>172</v>
      </c>
      <c r="D4855" s="259" t="s">
        <v>17616</v>
      </c>
      <c r="E4855" s="210" t="s">
        <v>201</v>
      </c>
    </row>
    <row r="4856" spans="1:5" ht="27">
      <c r="A4856" s="258">
        <v>96524</v>
      </c>
      <c r="B4856" s="257" t="s">
        <v>3426</v>
      </c>
      <c r="C4856" s="257" t="s">
        <v>172</v>
      </c>
      <c r="D4856" s="259" t="s">
        <v>17617</v>
      </c>
      <c r="E4856" s="210" t="s">
        <v>201</v>
      </c>
    </row>
    <row r="4857" spans="1:5" ht="27">
      <c r="A4857" s="258">
        <v>96525</v>
      </c>
      <c r="B4857" s="257" t="s">
        <v>3427</v>
      </c>
      <c r="C4857" s="257" t="s">
        <v>172</v>
      </c>
      <c r="D4857" s="259" t="s">
        <v>16684</v>
      </c>
      <c r="E4857" s="210" t="s">
        <v>201</v>
      </c>
    </row>
    <row r="4858" spans="1:5" ht="13.5">
      <c r="A4858" s="258">
        <v>96526</v>
      </c>
      <c r="B4858" s="257" t="s">
        <v>3428</v>
      </c>
      <c r="C4858" s="257" t="s">
        <v>172</v>
      </c>
      <c r="D4858" s="259" t="s">
        <v>17618</v>
      </c>
      <c r="E4858" s="210" t="s">
        <v>201</v>
      </c>
    </row>
    <row r="4859" spans="1:5" ht="13.5">
      <c r="A4859" s="258">
        <v>96527</v>
      </c>
      <c r="B4859" s="257" t="s">
        <v>3429</v>
      </c>
      <c r="C4859" s="257" t="s">
        <v>172</v>
      </c>
      <c r="D4859" s="259" t="s">
        <v>17619</v>
      </c>
      <c r="E4859" s="210" t="s">
        <v>201</v>
      </c>
    </row>
    <row r="4860" spans="1:5" ht="27">
      <c r="A4860" s="258">
        <v>96528</v>
      </c>
      <c r="B4860" s="257" t="s">
        <v>3430</v>
      </c>
      <c r="C4860" s="257" t="s">
        <v>150</v>
      </c>
      <c r="D4860" s="259" t="s">
        <v>17620</v>
      </c>
      <c r="E4860" s="210" t="s">
        <v>201</v>
      </c>
    </row>
    <row r="4861" spans="1:5" ht="40.5">
      <c r="A4861" s="258">
        <v>98116</v>
      </c>
      <c r="B4861" s="257" t="s">
        <v>6026</v>
      </c>
      <c r="C4861" s="257" t="s">
        <v>172</v>
      </c>
      <c r="D4861" s="259" t="s">
        <v>17621</v>
      </c>
      <c r="E4861" s="210" t="s">
        <v>201</v>
      </c>
    </row>
    <row r="4862" spans="1:5" ht="40.5">
      <c r="A4862" s="258">
        <v>98117</v>
      </c>
      <c r="B4862" s="257" t="s">
        <v>6027</v>
      </c>
      <c r="C4862" s="257" t="s">
        <v>172</v>
      </c>
      <c r="D4862" s="259" t="s">
        <v>17622</v>
      </c>
      <c r="E4862" s="210" t="s">
        <v>201</v>
      </c>
    </row>
    <row r="4863" spans="1:5" ht="40.5">
      <c r="A4863" s="258">
        <v>98118</v>
      </c>
      <c r="B4863" s="257" t="s">
        <v>6028</v>
      </c>
      <c r="C4863" s="257" t="s">
        <v>172</v>
      </c>
      <c r="D4863" s="259" t="s">
        <v>17623</v>
      </c>
      <c r="E4863" s="210" t="s">
        <v>201</v>
      </c>
    </row>
    <row r="4864" spans="1:5" ht="40.5">
      <c r="A4864" s="258">
        <v>98119</v>
      </c>
      <c r="B4864" s="257" t="s">
        <v>6029</v>
      </c>
      <c r="C4864" s="257" t="s">
        <v>172</v>
      </c>
      <c r="D4864" s="259" t="s">
        <v>16858</v>
      </c>
      <c r="E4864" s="210" t="s">
        <v>201</v>
      </c>
    </row>
    <row r="4865" spans="1:5" ht="27">
      <c r="A4865" s="258">
        <v>72915</v>
      </c>
      <c r="B4865" s="257" t="s">
        <v>3431</v>
      </c>
      <c r="C4865" s="257" t="s">
        <v>172</v>
      </c>
      <c r="D4865" s="259" t="s">
        <v>17624</v>
      </c>
      <c r="E4865" s="210" t="s">
        <v>201</v>
      </c>
    </row>
    <row r="4866" spans="1:5" ht="27">
      <c r="A4866" s="258">
        <v>72917</v>
      </c>
      <c r="B4866" s="257" t="s">
        <v>3432</v>
      </c>
      <c r="C4866" s="257" t="s">
        <v>172</v>
      </c>
      <c r="D4866" s="259" t="s">
        <v>17625</v>
      </c>
      <c r="E4866" s="210" t="s">
        <v>201</v>
      </c>
    </row>
    <row r="4867" spans="1:5" ht="27">
      <c r="A4867" s="258">
        <v>72918</v>
      </c>
      <c r="B4867" s="257" t="s">
        <v>3433</v>
      </c>
      <c r="C4867" s="257" t="s">
        <v>172</v>
      </c>
      <c r="D4867" s="259" t="s">
        <v>13679</v>
      </c>
      <c r="E4867" s="210" t="s">
        <v>201</v>
      </c>
    </row>
    <row r="4868" spans="1:5" ht="13.5">
      <c r="A4868" s="258" t="s">
        <v>3434</v>
      </c>
      <c r="B4868" s="257" t="s">
        <v>3435</v>
      </c>
      <c r="C4868" s="257" t="s">
        <v>172</v>
      </c>
      <c r="D4868" s="259" t="s">
        <v>17626</v>
      </c>
      <c r="E4868" s="210" t="s">
        <v>201</v>
      </c>
    </row>
    <row r="4869" spans="1:5" ht="13.5">
      <c r="A4869" s="258" t="s">
        <v>3436</v>
      </c>
      <c r="B4869" s="257" t="s">
        <v>3437</v>
      </c>
      <c r="C4869" s="257" t="s">
        <v>172</v>
      </c>
      <c r="D4869" s="259" t="s">
        <v>17627</v>
      </c>
      <c r="E4869" s="210" t="s">
        <v>201</v>
      </c>
    </row>
    <row r="4870" spans="1:5" ht="13.5">
      <c r="A4870" s="258">
        <v>83343</v>
      </c>
      <c r="B4870" s="257" t="s">
        <v>244</v>
      </c>
      <c r="C4870" s="257" t="s">
        <v>172</v>
      </c>
      <c r="D4870" s="259" t="s">
        <v>17602</v>
      </c>
      <c r="E4870" s="210" t="s">
        <v>201</v>
      </c>
    </row>
    <row r="4871" spans="1:5" ht="40.5">
      <c r="A4871" s="258">
        <v>90082</v>
      </c>
      <c r="B4871" s="257" t="s">
        <v>6030</v>
      </c>
      <c r="C4871" s="257" t="s">
        <v>172</v>
      </c>
      <c r="D4871" s="259" t="s">
        <v>15438</v>
      </c>
      <c r="E4871" s="210" t="s">
        <v>201</v>
      </c>
    </row>
    <row r="4872" spans="1:5" ht="40.5">
      <c r="A4872" s="258">
        <v>90084</v>
      </c>
      <c r="B4872" s="257" t="s">
        <v>3438</v>
      </c>
      <c r="C4872" s="257" t="s">
        <v>172</v>
      </c>
      <c r="D4872" s="259" t="s">
        <v>15434</v>
      </c>
      <c r="E4872" s="210" t="s">
        <v>201</v>
      </c>
    </row>
    <row r="4873" spans="1:5" ht="40.5">
      <c r="A4873" s="258">
        <v>90085</v>
      </c>
      <c r="B4873" s="257" t="s">
        <v>3439</v>
      </c>
      <c r="C4873" s="257" t="s">
        <v>172</v>
      </c>
      <c r="D4873" s="259" t="s">
        <v>16620</v>
      </c>
      <c r="E4873" s="210" t="s">
        <v>201</v>
      </c>
    </row>
    <row r="4874" spans="1:5" ht="40.5">
      <c r="A4874" s="258">
        <v>90086</v>
      </c>
      <c r="B4874" s="257" t="s">
        <v>3440</v>
      </c>
      <c r="C4874" s="257" t="s">
        <v>172</v>
      </c>
      <c r="D4874" s="259" t="s">
        <v>15455</v>
      </c>
      <c r="E4874" s="210" t="s">
        <v>201</v>
      </c>
    </row>
    <row r="4875" spans="1:5" ht="40.5">
      <c r="A4875" s="258">
        <v>90087</v>
      </c>
      <c r="B4875" s="257" t="s">
        <v>3441</v>
      </c>
      <c r="C4875" s="257" t="s">
        <v>172</v>
      </c>
      <c r="D4875" s="259" t="s">
        <v>13522</v>
      </c>
      <c r="E4875" s="210" t="s">
        <v>201</v>
      </c>
    </row>
    <row r="4876" spans="1:5" ht="40.5">
      <c r="A4876" s="258">
        <v>90088</v>
      </c>
      <c r="B4876" s="257" t="s">
        <v>3442</v>
      </c>
      <c r="C4876" s="257" t="s">
        <v>172</v>
      </c>
      <c r="D4876" s="259" t="s">
        <v>13631</v>
      </c>
      <c r="E4876" s="210" t="s">
        <v>201</v>
      </c>
    </row>
    <row r="4877" spans="1:5" ht="40.5">
      <c r="A4877" s="258">
        <v>90090</v>
      </c>
      <c r="B4877" s="257" t="s">
        <v>3443</v>
      </c>
      <c r="C4877" s="257" t="s">
        <v>172</v>
      </c>
      <c r="D4877" s="259" t="s">
        <v>16360</v>
      </c>
      <c r="E4877" s="210" t="s">
        <v>201</v>
      </c>
    </row>
    <row r="4878" spans="1:5" ht="40.5">
      <c r="A4878" s="258">
        <v>90091</v>
      </c>
      <c r="B4878" s="257" t="s">
        <v>6031</v>
      </c>
      <c r="C4878" s="257" t="s">
        <v>172</v>
      </c>
      <c r="D4878" s="259" t="s">
        <v>14054</v>
      </c>
      <c r="E4878" s="210" t="s">
        <v>201</v>
      </c>
    </row>
    <row r="4879" spans="1:5" ht="40.5">
      <c r="A4879" s="258">
        <v>90092</v>
      </c>
      <c r="B4879" s="257" t="s">
        <v>3444</v>
      </c>
      <c r="C4879" s="257" t="s">
        <v>172</v>
      </c>
      <c r="D4879" s="259" t="s">
        <v>17628</v>
      </c>
      <c r="E4879" s="210" t="s">
        <v>201</v>
      </c>
    </row>
    <row r="4880" spans="1:5" ht="40.5">
      <c r="A4880" s="258">
        <v>90093</v>
      </c>
      <c r="B4880" s="257" t="s">
        <v>3445</v>
      </c>
      <c r="C4880" s="257" t="s">
        <v>172</v>
      </c>
      <c r="D4880" s="259" t="s">
        <v>14309</v>
      </c>
      <c r="E4880" s="210" t="s">
        <v>201</v>
      </c>
    </row>
    <row r="4881" spans="1:5" ht="40.5">
      <c r="A4881" s="258">
        <v>90094</v>
      </c>
      <c r="B4881" s="257" t="s">
        <v>3446</v>
      </c>
      <c r="C4881" s="257" t="s">
        <v>172</v>
      </c>
      <c r="D4881" s="259" t="s">
        <v>14191</v>
      </c>
      <c r="E4881" s="210" t="s">
        <v>201</v>
      </c>
    </row>
    <row r="4882" spans="1:5" ht="40.5">
      <c r="A4882" s="258">
        <v>90095</v>
      </c>
      <c r="B4882" s="257" t="s">
        <v>3447</v>
      </c>
      <c r="C4882" s="257" t="s">
        <v>172</v>
      </c>
      <c r="D4882" s="259" t="s">
        <v>14011</v>
      </c>
      <c r="E4882" s="210" t="s">
        <v>201</v>
      </c>
    </row>
    <row r="4883" spans="1:5" ht="40.5">
      <c r="A4883" s="258">
        <v>90096</v>
      </c>
      <c r="B4883" s="257" t="s">
        <v>3448</v>
      </c>
      <c r="C4883" s="257" t="s">
        <v>172</v>
      </c>
      <c r="D4883" s="259" t="s">
        <v>14020</v>
      </c>
      <c r="E4883" s="210" t="s">
        <v>201</v>
      </c>
    </row>
    <row r="4884" spans="1:5" ht="40.5">
      <c r="A4884" s="258">
        <v>90098</v>
      </c>
      <c r="B4884" s="257" t="s">
        <v>3449</v>
      </c>
      <c r="C4884" s="257" t="s">
        <v>172</v>
      </c>
      <c r="D4884" s="259" t="s">
        <v>13614</v>
      </c>
      <c r="E4884" s="210" t="s">
        <v>201</v>
      </c>
    </row>
    <row r="4885" spans="1:5" ht="40.5">
      <c r="A4885" s="258">
        <v>90099</v>
      </c>
      <c r="B4885" s="257" t="s">
        <v>3450</v>
      </c>
      <c r="C4885" s="257" t="s">
        <v>172</v>
      </c>
      <c r="D4885" s="259" t="s">
        <v>15803</v>
      </c>
      <c r="E4885" s="210" t="s">
        <v>201</v>
      </c>
    </row>
    <row r="4886" spans="1:5" ht="40.5">
      <c r="A4886" s="258">
        <v>90100</v>
      </c>
      <c r="B4886" s="257" t="s">
        <v>3451</v>
      </c>
      <c r="C4886" s="257" t="s">
        <v>172</v>
      </c>
      <c r="D4886" s="259" t="s">
        <v>17629</v>
      </c>
      <c r="E4886" s="210" t="s">
        <v>201</v>
      </c>
    </row>
    <row r="4887" spans="1:5" ht="40.5">
      <c r="A4887" s="258">
        <v>90101</v>
      </c>
      <c r="B4887" s="257" t="s">
        <v>3452</v>
      </c>
      <c r="C4887" s="257" t="s">
        <v>172</v>
      </c>
      <c r="D4887" s="259" t="s">
        <v>16473</v>
      </c>
      <c r="E4887" s="210" t="s">
        <v>201</v>
      </c>
    </row>
    <row r="4888" spans="1:5" ht="54">
      <c r="A4888" s="258">
        <v>90102</v>
      </c>
      <c r="B4888" s="257" t="s">
        <v>3453</v>
      </c>
      <c r="C4888" s="257" t="s">
        <v>172</v>
      </c>
      <c r="D4888" s="259" t="s">
        <v>15841</v>
      </c>
      <c r="E4888" s="210" t="s">
        <v>201</v>
      </c>
    </row>
    <row r="4889" spans="1:5" ht="54">
      <c r="A4889" s="258">
        <v>90105</v>
      </c>
      <c r="B4889" s="257" t="s">
        <v>3454</v>
      </c>
      <c r="C4889" s="257" t="s">
        <v>172</v>
      </c>
      <c r="D4889" s="259" t="s">
        <v>13541</v>
      </c>
      <c r="E4889" s="210" t="s">
        <v>201</v>
      </c>
    </row>
    <row r="4890" spans="1:5" ht="54">
      <c r="A4890" s="258">
        <v>90106</v>
      </c>
      <c r="B4890" s="257" t="s">
        <v>3455</v>
      </c>
      <c r="C4890" s="257" t="s">
        <v>172</v>
      </c>
      <c r="D4890" s="259" t="s">
        <v>17630</v>
      </c>
      <c r="E4890" s="210" t="s">
        <v>201</v>
      </c>
    </row>
    <row r="4891" spans="1:5" ht="54">
      <c r="A4891" s="258">
        <v>90107</v>
      </c>
      <c r="B4891" s="257" t="s">
        <v>6032</v>
      </c>
      <c r="C4891" s="257" t="s">
        <v>172</v>
      </c>
      <c r="D4891" s="259" t="s">
        <v>17631</v>
      </c>
      <c r="E4891" s="210" t="s">
        <v>201</v>
      </c>
    </row>
    <row r="4892" spans="1:5" ht="54">
      <c r="A4892" s="258">
        <v>90108</v>
      </c>
      <c r="B4892" s="257" t="s">
        <v>3456</v>
      </c>
      <c r="C4892" s="257" t="s">
        <v>172</v>
      </c>
      <c r="D4892" s="259" t="s">
        <v>17632</v>
      </c>
      <c r="E4892" s="210" t="s">
        <v>201</v>
      </c>
    </row>
    <row r="4893" spans="1:5" ht="13.5">
      <c r="A4893" s="258">
        <v>93358</v>
      </c>
      <c r="B4893" s="257" t="s">
        <v>6033</v>
      </c>
      <c r="C4893" s="257" t="s">
        <v>172</v>
      </c>
      <c r="D4893" s="259" t="s">
        <v>17633</v>
      </c>
      <c r="E4893" s="210" t="s">
        <v>201</v>
      </c>
    </row>
    <row r="4894" spans="1:5" ht="40.5">
      <c r="A4894" s="258">
        <v>94304</v>
      </c>
      <c r="B4894" s="257" t="s">
        <v>3457</v>
      </c>
      <c r="C4894" s="257" t="s">
        <v>172</v>
      </c>
      <c r="D4894" s="259" t="s">
        <v>17634</v>
      </c>
      <c r="E4894" s="210" t="s">
        <v>201</v>
      </c>
    </row>
    <row r="4895" spans="1:5" ht="40.5">
      <c r="A4895" s="257">
        <v>94305</v>
      </c>
      <c r="B4895" s="257" t="s">
        <v>3458</v>
      </c>
      <c r="C4895" s="257" t="s">
        <v>172</v>
      </c>
      <c r="D4895" s="259" t="s">
        <v>16265</v>
      </c>
      <c r="E4895" s="210" t="s">
        <v>201</v>
      </c>
    </row>
    <row r="4896" spans="1:5" ht="40.5">
      <c r="A4896" s="257">
        <v>94306</v>
      </c>
      <c r="B4896" s="257" t="s">
        <v>3459</v>
      </c>
      <c r="C4896" s="257" t="s">
        <v>172</v>
      </c>
      <c r="D4896" s="259" t="s">
        <v>13657</v>
      </c>
      <c r="E4896" s="210" t="s">
        <v>201</v>
      </c>
    </row>
    <row r="4897" spans="1:6" ht="40.5">
      <c r="A4897" s="257">
        <v>94307</v>
      </c>
      <c r="B4897" s="257" t="s">
        <v>3460</v>
      </c>
      <c r="C4897" s="257" t="s">
        <v>172</v>
      </c>
      <c r="D4897" s="259" t="s">
        <v>17635</v>
      </c>
      <c r="E4897" s="210" t="s">
        <v>201</v>
      </c>
    </row>
    <row r="4898" spans="1:6" ht="40.5">
      <c r="A4898" s="258">
        <v>94308</v>
      </c>
      <c r="B4898" s="257" t="s">
        <v>3461</v>
      </c>
      <c r="C4898" s="257" t="s">
        <v>172</v>
      </c>
      <c r="D4898" s="259" t="s">
        <v>17636</v>
      </c>
      <c r="E4898" s="210" t="s">
        <v>201</v>
      </c>
    </row>
    <row r="4899" spans="1:6" ht="40.5">
      <c r="A4899" s="258">
        <v>94309</v>
      </c>
      <c r="B4899" s="257" t="s">
        <v>3462</v>
      </c>
      <c r="C4899" s="257" t="s">
        <v>172</v>
      </c>
      <c r="D4899" s="259" t="s">
        <v>17637</v>
      </c>
      <c r="E4899" s="210" t="s">
        <v>201</v>
      </c>
    </row>
    <row r="4900" spans="1:6" ht="40.5">
      <c r="A4900" s="257">
        <v>94310</v>
      </c>
      <c r="B4900" s="257" t="s">
        <v>3463</v>
      </c>
      <c r="C4900" s="257" t="s">
        <v>172</v>
      </c>
      <c r="D4900" s="259" t="s">
        <v>17638</v>
      </c>
      <c r="E4900" s="210" t="s">
        <v>201</v>
      </c>
    </row>
    <row r="4901" spans="1:6" ht="40.5">
      <c r="A4901" s="258">
        <v>94315</v>
      </c>
      <c r="B4901" s="257" t="s">
        <v>3464</v>
      </c>
      <c r="C4901" s="257" t="s">
        <v>172</v>
      </c>
      <c r="D4901" s="259" t="s">
        <v>14571</v>
      </c>
      <c r="E4901" s="210" t="s">
        <v>201</v>
      </c>
    </row>
    <row r="4902" spans="1:6" ht="40.5">
      <c r="A4902" s="258">
        <v>94316</v>
      </c>
      <c r="B4902" s="257" t="s">
        <v>3465</v>
      </c>
      <c r="C4902" s="257" t="s">
        <v>172</v>
      </c>
      <c r="D4902" s="259" t="s">
        <v>17639</v>
      </c>
      <c r="E4902" s="210" t="s">
        <v>201</v>
      </c>
    </row>
    <row r="4903" spans="1:6" ht="40.5">
      <c r="A4903" s="258">
        <v>94317</v>
      </c>
      <c r="B4903" s="257" t="s">
        <v>3466</v>
      </c>
      <c r="C4903" s="257" t="s">
        <v>172</v>
      </c>
      <c r="D4903" s="259" t="s">
        <v>15762</v>
      </c>
      <c r="E4903" s="210" t="s">
        <v>201</v>
      </c>
    </row>
    <row r="4904" spans="1:6" ht="40.5">
      <c r="A4904" s="258">
        <v>94318</v>
      </c>
      <c r="B4904" s="257" t="s">
        <v>3467</v>
      </c>
      <c r="C4904" s="257" t="s">
        <v>172</v>
      </c>
      <c r="D4904" s="259" t="s">
        <v>17640</v>
      </c>
      <c r="E4904" s="210" t="s">
        <v>201</v>
      </c>
    </row>
    <row r="4905" spans="1:6" s="497" customFormat="1" ht="13.5">
      <c r="A4905" s="492">
        <v>94319</v>
      </c>
      <c r="B4905" s="493" t="s">
        <v>3468</v>
      </c>
      <c r="C4905" s="493" t="s">
        <v>172</v>
      </c>
      <c r="D4905" s="494" t="s">
        <v>17641</v>
      </c>
      <c r="E4905" s="495" t="s">
        <v>201</v>
      </c>
      <c r="F4905" s="496"/>
    </row>
    <row r="4906" spans="1:6" ht="40.5">
      <c r="A4906" s="258">
        <v>94327</v>
      </c>
      <c r="B4906" s="257" t="s">
        <v>3469</v>
      </c>
      <c r="C4906" s="257" t="s">
        <v>172</v>
      </c>
      <c r="D4906" s="259" t="s">
        <v>17642</v>
      </c>
      <c r="E4906" s="210" t="s">
        <v>201</v>
      </c>
    </row>
    <row r="4907" spans="1:6" ht="40.5">
      <c r="A4907" s="258">
        <v>94328</v>
      </c>
      <c r="B4907" s="257" t="s">
        <v>3470</v>
      </c>
      <c r="C4907" s="257" t="s">
        <v>172</v>
      </c>
      <c r="D4907" s="259" t="s">
        <v>17643</v>
      </c>
      <c r="E4907" s="210" t="s">
        <v>201</v>
      </c>
    </row>
    <row r="4908" spans="1:6" ht="40.5">
      <c r="A4908" s="258">
        <v>94329</v>
      </c>
      <c r="B4908" s="257" t="s">
        <v>3471</v>
      </c>
      <c r="C4908" s="257" t="s">
        <v>172</v>
      </c>
      <c r="D4908" s="259" t="s">
        <v>17644</v>
      </c>
      <c r="E4908" s="210" t="s">
        <v>201</v>
      </c>
    </row>
    <row r="4909" spans="1:6" ht="40.5">
      <c r="A4909" s="258">
        <v>94330</v>
      </c>
      <c r="B4909" s="257" t="s">
        <v>3472</v>
      </c>
      <c r="C4909" s="257" t="s">
        <v>172</v>
      </c>
      <c r="D4909" s="259" t="s">
        <v>17645</v>
      </c>
      <c r="E4909" s="210" t="s">
        <v>201</v>
      </c>
    </row>
    <row r="4910" spans="1:6" ht="40.5">
      <c r="A4910" s="258">
        <v>94331</v>
      </c>
      <c r="B4910" s="257" t="s">
        <v>3473</v>
      </c>
      <c r="C4910" s="257" t="s">
        <v>172</v>
      </c>
      <c r="D4910" s="259" t="s">
        <v>17646</v>
      </c>
      <c r="E4910" s="210" t="s">
        <v>201</v>
      </c>
    </row>
    <row r="4911" spans="1:6" ht="40.5">
      <c r="A4911" s="258">
        <v>94332</v>
      </c>
      <c r="B4911" s="257" t="s">
        <v>3474</v>
      </c>
      <c r="C4911" s="257" t="s">
        <v>172</v>
      </c>
      <c r="D4911" s="259" t="s">
        <v>17647</v>
      </c>
      <c r="E4911" s="210" t="s">
        <v>201</v>
      </c>
    </row>
    <row r="4912" spans="1:6" ht="40.5">
      <c r="A4912" s="258">
        <v>94333</v>
      </c>
      <c r="B4912" s="257" t="s">
        <v>3475</v>
      </c>
      <c r="C4912" s="257" t="s">
        <v>172</v>
      </c>
      <c r="D4912" s="259" t="s">
        <v>17648</v>
      </c>
      <c r="E4912" s="210" t="s">
        <v>201</v>
      </c>
    </row>
    <row r="4913" spans="1:5" ht="40.5">
      <c r="A4913" s="258">
        <v>94338</v>
      </c>
      <c r="B4913" s="257" t="s">
        <v>3476</v>
      </c>
      <c r="C4913" s="257" t="s">
        <v>172</v>
      </c>
      <c r="D4913" s="259" t="s">
        <v>13813</v>
      </c>
      <c r="E4913" s="210" t="s">
        <v>201</v>
      </c>
    </row>
    <row r="4914" spans="1:5" ht="40.5">
      <c r="A4914" s="258">
        <v>94339</v>
      </c>
      <c r="B4914" s="257" t="s">
        <v>3477</v>
      </c>
      <c r="C4914" s="257" t="s">
        <v>172</v>
      </c>
      <c r="D4914" s="259" t="s">
        <v>17649</v>
      </c>
      <c r="E4914" s="210" t="s">
        <v>201</v>
      </c>
    </row>
    <row r="4915" spans="1:5" ht="40.5">
      <c r="A4915" s="258">
        <v>94340</v>
      </c>
      <c r="B4915" s="257" t="s">
        <v>3478</v>
      </c>
      <c r="C4915" s="257" t="s">
        <v>172</v>
      </c>
      <c r="D4915" s="259" t="s">
        <v>17650</v>
      </c>
      <c r="E4915" s="210" t="s">
        <v>201</v>
      </c>
    </row>
    <row r="4916" spans="1:5" ht="40.5">
      <c r="A4916" s="258">
        <v>94341</v>
      </c>
      <c r="B4916" s="257" t="s">
        <v>3479</v>
      </c>
      <c r="C4916" s="257" t="s">
        <v>172</v>
      </c>
      <c r="D4916" s="259" t="s">
        <v>17651</v>
      </c>
      <c r="E4916" s="210" t="s">
        <v>201</v>
      </c>
    </row>
    <row r="4917" spans="1:5" ht="13.5">
      <c r="A4917" s="258">
        <v>94342</v>
      </c>
      <c r="B4917" s="257" t="s">
        <v>3480</v>
      </c>
      <c r="C4917" s="257" t="s">
        <v>172</v>
      </c>
      <c r="D4917" s="259" t="s">
        <v>17652</v>
      </c>
      <c r="E4917" s="210" t="s">
        <v>201</v>
      </c>
    </row>
    <row r="4918" spans="1:5" ht="27">
      <c r="A4918" s="257">
        <v>96385</v>
      </c>
      <c r="B4918" s="257" t="s">
        <v>7155</v>
      </c>
      <c r="C4918" s="257" t="s">
        <v>172</v>
      </c>
      <c r="D4918" s="259" t="s">
        <v>17653</v>
      </c>
      <c r="E4918" s="210" t="s">
        <v>201</v>
      </c>
    </row>
    <row r="4919" spans="1:5" ht="27">
      <c r="A4919" s="257">
        <v>96386</v>
      </c>
      <c r="B4919" s="257" t="s">
        <v>7156</v>
      </c>
      <c r="C4919" s="257" t="s">
        <v>172</v>
      </c>
      <c r="D4919" s="259" t="s">
        <v>17654</v>
      </c>
      <c r="E4919" s="210" t="s">
        <v>201</v>
      </c>
    </row>
    <row r="4920" spans="1:5" ht="13.5">
      <c r="A4920" s="258">
        <v>83346</v>
      </c>
      <c r="B4920" s="257" t="s">
        <v>3481</v>
      </c>
      <c r="C4920" s="257" t="s">
        <v>172</v>
      </c>
      <c r="D4920" s="259" t="s">
        <v>17655</v>
      </c>
      <c r="E4920" s="210" t="s">
        <v>201</v>
      </c>
    </row>
    <row r="4921" spans="1:5" ht="40.5">
      <c r="A4921" s="257">
        <v>93360</v>
      </c>
      <c r="B4921" s="257" t="s">
        <v>6034</v>
      </c>
      <c r="C4921" s="257" t="s">
        <v>172</v>
      </c>
      <c r="D4921" s="259" t="s">
        <v>16527</v>
      </c>
      <c r="E4921" s="210" t="s">
        <v>201</v>
      </c>
    </row>
    <row r="4922" spans="1:5" ht="40.5">
      <c r="A4922" s="258">
        <v>93361</v>
      </c>
      <c r="B4922" s="257" t="s">
        <v>6035</v>
      </c>
      <c r="C4922" s="257" t="s">
        <v>172</v>
      </c>
      <c r="D4922" s="259" t="s">
        <v>15783</v>
      </c>
      <c r="E4922" s="210" t="s">
        <v>201</v>
      </c>
    </row>
    <row r="4923" spans="1:5" ht="40.5">
      <c r="A4923" s="258">
        <v>93362</v>
      </c>
      <c r="B4923" s="257" t="s">
        <v>6036</v>
      </c>
      <c r="C4923" s="257" t="s">
        <v>172</v>
      </c>
      <c r="D4923" s="259" t="s">
        <v>15459</v>
      </c>
      <c r="E4923" s="210" t="s">
        <v>201</v>
      </c>
    </row>
    <row r="4924" spans="1:5" ht="40.5">
      <c r="A4924" s="258">
        <v>93363</v>
      </c>
      <c r="B4924" s="257" t="s">
        <v>6037</v>
      </c>
      <c r="C4924" s="257" t="s">
        <v>172</v>
      </c>
      <c r="D4924" s="259" t="s">
        <v>17656</v>
      </c>
      <c r="E4924" s="210" t="s">
        <v>201</v>
      </c>
    </row>
    <row r="4925" spans="1:5" ht="40.5">
      <c r="A4925" s="258">
        <v>93364</v>
      </c>
      <c r="B4925" s="257" t="s">
        <v>3482</v>
      </c>
      <c r="C4925" s="257" t="s">
        <v>172</v>
      </c>
      <c r="D4925" s="259" t="s">
        <v>14628</v>
      </c>
      <c r="E4925" s="210" t="s">
        <v>201</v>
      </c>
    </row>
    <row r="4926" spans="1:5" ht="40.5">
      <c r="A4926" s="258">
        <v>93365</v>
      </c>
      <c r="B4926" s="257" t="s">
        <v>6038</v>
      </c>
      <c r="C4926" s="257" t="s">
        <v>172</v>
      </c>
      <c r="D4926" s="259" t="s">
        <v>16523</v>
      </c>
      <c r="E4926" s="210" t="s">
        <v>201</v>
      </c>
    </row>
    <row r="4927" spans="1:5" ht="40.5">
      <c r="A4927" s="258">
        <v>93366</v>
      </c>
      <c r="B4927" s="257" t="s">
        <v>6039</v>
      </c>
      <c r="C4927" s="257" t="s">
        <v>172</v>
      </c>
      <c r="D4927" s="259" t="s">
        <v>15179</v>
      </c>
      <c r="E4927" s="210" t="s">
        <v>201</v>
      </c>
    </row>
    <row r="4928" spans="1:5" ht="40.5">
      <c r="A4928" s="258">
        <v>93367</v>
      </c>
      <c r="B4928" s="257" t="s">
        <v>6040</v>
      </c>
      <c r="C4928" s="257" t="s">
        <v>172</v>
      </c>
      <c r="D4928" s="259" t="s">
        <v>17657</v>
      </c>
      <c r="E4928" s="210" t="s">
        <v>201</v>
      </c>
    </row>
    <row r="4929" spans="1:5" ht="40.5">
      <c r="A4929" s="258">
        <v>93368</v>
      </c>
      <c r="B4929" s="257" t="s">
        <v>6041</v>
      </c>
      <c r="C4929" s="257" t="s">
        <v>172</v>
      </c>
      <c r="D4929" s="259" t="s">
        <v>17658</v>
      </c>
      <c r="E4929" s="210" t="s">
        <v>201</v>
      </c>
    </row>
    <row r="4930" spans="1:5" ht="40.5">
      <c r="A4930" s="258">
        <v>93369</v>
      </c>
      <c r="B4930" s="257" t="s">
        <v>3483</v>
      </c>
      <c r="C4930" s="257" t="s">
        <v>172</v>
      </c>
      <c r="D4930" s="259" t="s">
        <v>13874</v>
      </c>
      <c r="E4930" s="210" t="s">
        <v>201</v>
      </c>
    </row>
    <row r="4931" spans="1:5" ht="40.5">
      <c r="A4931" s="258">
        <v>93370</v>
      </c>
      <c r="B4931" s="257" t="s">
        <v>6042</v>
      </c>
      <c r="C4931" s="257" t="s">
        <v>172</v>
      </c>
      <c r="D4931" s="259" t="s">
        <v>14299</v>
      </c>
      <c r="E4931" s="210" t="s">
        <v>201</v>
      </c>
    </row>
    <row r="4932" spans="1:5" ht="40.5">
      <c r="A4932" s="258">
        <v>93371</v>
      </c>
      <c r="B4932" s="257" t="s">
        <v>3484</v>
      </c>
      <c r="C4932" s="257" t="s">
        <v>172</v>
      </c>
      <c r="D4932" s="259" t="s">
        <v>15426</v>
      </c>
      <c r="E4932" s="210" t="s">
        <v>201</v>
      </c>
    </row>
    <row r="4933" spans="1:5" ht="40.5">
      <c r="A4933" s="258">
        <v>93372</v>
      </c>
      <c r="B4933" s="257" t="s">
        <v>6043</v>
      </c>
      <c r="C4933" s="257" t="s">
        <v>172</v>
      </c>
      <c r="D4933" s="259" t="s">
        <v>15464</v>
      </c>
      <c r="E4933" s="210" t="s">
        <v>201</v>
      </c>
    </row>
    <row r="4934" spans="1:5" ht="40.5">
      <c r="A4934" s="258">
        <v>93373</v>
      </c>
      <c r="B4934" s="257" t="s">
        <v>3485</v>
      </c>
      <c r="C4934" s="257" t="s">
        <v>172</v>
      </c>
      <c r="D4934" s="259" t="s">
        <v>13630</v>
      </c>
      <c r="E4934" s="210" t="s">
        <v>201</v>
      </c>
    </row>
    <row r="4935" spans="1:5" ht="40.5">
      <c r="A4935" s="258">
        <v>93374</v>
      </c>
      <c r="B4935" s="257" t="s">
        <v>3486</v>
      </c>
      <c r="C4935" s="257" t="s">
        <v>172</v>
      </c>
      <c r="D4935" s="259" t="s">
        <v>17638</v>
      </c>
      <c r="E4935" s="210" t="s">
        <v>201</v>
      </c>
    </row>
    <row r="4936" spans="1:5" ht="40.5">
      <c r="A4936" s="258">
        <v>93375</v>
      </c>
      <c r="B4936" s="257" t="s">
        <v>6044</v>
      </c>
      <c r="C4936" s="257" t="s">
        <v>172</v>
      </c>
      <c r="D4936" s="259" t="s">
        <v>13632</v>
      </c>
      <c r="E4936" s="210" t="s">
        <v>201</v>
      </c>
    </row>
    <row r="4937" spans="1:5" ht="40.5">
      <c r="A4937" s="258">
        <v>93376</v>
      </c>
      <c r="B4937" s="257" t="s">
        <v>6045</v>
      </c>
      <c r="C4937" s="257" t="s">
        <v>172</v>
      </c>
      <c r="D4937" s="259" t="s">
        <v>13625</v>
      </c>
      <c r="E4937" s="210" t="s">
        <v>201</v>
      </c>
    </row>
    <row r="4938" spans="1:5" ht="40.5">
      <c r="A4938" s="258">
        <v>93377</v>
      </c>
      <c r="B4938" s="257" t="s">
        <v>3487</v>
      </c>
      <c r="C4938" s="257" t="s">
        <v>172</v>
      </c>
      <c r="D4938" s="259" t="s">
        <v>13542</v>
      </c>
      <c r="E4938" s="210" t="s">
        <v>201</v>
      </c>
    </row>
    <row r="4939" spans="1:5" ht="40.5">
      <c r="A4939" s="258">
        <v>93378</v>
      </c>
      <c r="B4939" s="257" t="s">
        <v>6046</v>
      </c>
      <c r="C4939" s="257" t="s">
        <v>172</v>
      </c>
      <c r="D4939" s="259" t="s">
        <v>17659</v>
      </c>
      <c r="E4939" s="210" t="s">
        <v>201</v>
      </c>
    </row>
    <row r="4940" spans="1:5" ht="40.5">
      <c r="A4940" s="258">
        <v>93379</v>
      </c>
      <c r="B4940" s="257" t="s">
        <v>6047</v>
      </c>
      <c r="C4940" s="257" t="s">
        <v>172</v>
      </c>
      <c r="D4940" s="259" t="s">
        <v>17660</v>
      </c>
      <c r="E4940" s="210" t="s">
        <v>201</v>
      </c>
    </row>
    <row r="4941" spans="1:5" ht="40.5">
      <c r="A4941" s="258">
        <v>93380</v>
      </c>
      <c r="B4941" s="257" t="s">
        <v>6048</v>
      </c>
      <c r="C4941" s="257" t="s">
        <v>172</v>
      </c>
      <c r="D4941" s="259" t="s">
        <v>15803</v>
      </c>
      <c r="E4941" s="210" t="s">
        <v>201</v>
      </c>
    </row>
    <row r="4942" spans="1:5" ht="40.5">
      <c r="A4942" s="258">
        <v>93381</v>
      </c>
      <c r="B4942" s="257" t="s">
        <v>3488</v>
      </c>
      <c r="C4942" s="257" t="s">
        <v>172</v>
      </c>
      <c r="D4942" s="259" t="s">
        <v>17661</v>
      </c>
      <c r="E4942" s="210" t="s">
        <v>201</v>
      </c>
    </row>
    <row r="4943" spans="1:5" ht="13.5">
      <c r="A4943" s="258">
        <v>93382</v>
      </c>
      <c r="B4943" s="257" t="s">
        <v>3489</v>
      </c>
      <c r="C4943" s="257" t="s">
        <v>172</v>
      </c>
      <c r="D4943" s="259" t="s">
        <v>17662</v>
      </c>
      <c r="E4943" s="210" t="s">
        <v>201</v>
      </c>
    </row>
    <row r="4944" spans="1:5" ht="13.5">
      <c r="A4944" s="258">
        <v>96995</v>
      </c>
      <c r="B4944" s="257" t="s">
        <v>4981</v>
      </c>
      <c r="C4944" s="257" t="s">
        <v>172</v>
      </c>
      <c r="D4944" s="259" t="s">
        <v>17663</v>
      </c>
      <c r="E4944" s="210" t="s">
        <v>201</v>
      </c>
    </row>
    <row r="4945" spans="1:5" ht="13.5">
      <c r="A4945" s="258">
        <v>72838</v>
      </c>
      <c r="B4945" s="257" t="s">
        <v>3490</v>
      </c>
      <c r="C4945" s="257" t="s">
        <v>3491</v>
      </c>
      <c r="D4945" s="259" t="s">
        <v>14370</v>
      </c>
      <c r="E4945" s="210" t="s">
        <v>201</v>
      </c>
    </row>
    <row r="4946" spans="1:5" ht="13.5">
      <c r="A4946" s="258">
        <v>72839</v>
      </c>
      <c r="B4946" s="257" t="s">
        <v>3492</v>
      </c>
      <c r="C4946" s="257" t="s">
        <v>3491</v>
      </c>
      <c r="D4946" s="259" t="s">
        <v>14026</v>
      </c>
      <c r="E4946" s="210" t="s">
        <v>201</v>
      </c>
    </row>
    <row r="4947" spans="1:5" ht="13.5">
      <c r="A4947" s="258">
        <v>72840</v>
      </c>
      <c r="B4947" s="257" t="s">
        <v>3493</v>
      </c>
      <c r="C4947" s="257" t="s">
        <v>3491</v>
      </c>
      <c r="D4947" s="259" t="s">
        <v>14198</v>
      </c>
      <c r="E4947" s="210" t="s">
        <v>201</v>
      </c>
    </row>
    <row r="4948" spans="1:5" ht="27">
      <c r="A4948" s="258">
        <v>72844</v>
      </c>
      <c r="B4948" s="257" t="s">
        <v>3494</v>
      </c>
      <c r="C4948" s="257" t="s">
        <v>3495</v>
      </c>
      <c r="D4948" s="259" t="s">
        <v>14350</v>
      </c>
      <c r="E4948" s="210" t="s">
        <v>201</v>
      </c>
    </row>
    <row r="4949" spans="1:5" ht="27">
      <c r="A4949" s="258">
        <v>72845</v>
      </c>
      <c r="B4949" s="257" t="s">
        <v>3496</v>
      </c>
      <c r="C4949" s="257" t="s">
        <v>3495</v>
      </c>
      <c r="D4949" s="259" t="s">
        <v>14297</v>
      </c>
      <c r="E4949" s="210" t="s">
        <v>201</v>
      </c>
    </row>
    <row r="4950" spans="1:5" ht="13.5">
      <c r="A4950" s="258">
        <v>72846</v>
      </c>
      <c r="B4950" s="257" t="s">
        <v>3497</v>
      </c>
      <c r="C4950" s="257" t="s">
        <v>3495</v>
      </c>
      <c r="D4950" s="259" t="s">
        <v>14394</v>
      </c>
      <c r="E4950" s="210" t="s">
        <v>201</v>
      </c>
    </row>
    <row r="4951" spans="1:5" ht="13.5">
      <c r="A4951" s="258">
        <v>72847</v>
      </c>
      <c r="B4951" s="257" t="s">
        <v>3498</v>
      </c>
      <c r="C4951" s="257" t="s">
        <v>3495</v>
      </c>
      <c r="D4951" s="259" t="s">
        <v>16236</v>
      </c>
      <c r="E4951" s="210" t="s">
        <v>201</v>
      </c>
    </row>
    <row r="4952" spans="1:5" ht="13.5">
      <c r="A4952" s="258">
        <v>72848</v>
      </c>
      <c r="B4952" s="257" t="s">
        <v>3499</v>
      </c>
      <c r="C4952" s="257" t="s">
        <v>3495</v>
      </c>
      <c r="D4952" s="259" t="s">
        <v>13664</v>
      </c>
      <c r="E4952" s="210" t="s">
        <v>201</v>
      </c>
    </row>
    <row r="4953" spans="1:5" ht="27">
      <c r="A4953" s="258">
        <v>72849</v>
      </c>
      <c r="B4953" s="257" t="s">
        <v>3500</v>
      </c>
      <c r="C4953" s="257" t="s">
        <v>3495</v>
      </c>
      <c r="D4953" s="259" t="s">
        <v>13953</v>
      </c>
      <c r="E4953" s="210" t="s">
        <v>201</v>
      </c>
    </row>
    <row r="4954" spans="1:5" ht="27">
      <c r="A4954" s="258">
        <v>72850</v>
      </c>
      <c r="B4954" s="257" t="s">
        <v>3501</v>
      </c>
      <c r="C4954" s="257" t="s">
        <v>3495</v>
      </c>
      <c r="D4954" s="259" t="s">
        <v>14481</v>
      </c>
      <c r="E4954" s="210" t="s">
        <v>201</v>
      </c>
    </row>
    <row r="4955" spans="1:5" ht="13.5">
      <c r="A4955" s="258">
        <v>72882</v>
      </c>
      <c r="B4955" s="257" t="s">
        <v>3490</v>
      </c>
      <c r="C4955" s="257" t="s">
        <v>215</v>
      </c>
      <c r="D4955" s="259" t="s">
        <v>13643</v>
      </c>
      <c r="E4955" s="210" t="s">
        <v>201</v>
      </c>
    </row>
    <row r="4956" spans="1:5" ht="13.5">
      <c r="A4956" s="258">
        <v>72883</v>
      </c>
      <c r="B4956" s="257" t="s">
        <v>3492</v>
      </c>
      <c r="C4956" s="257" t="s">
        <v>215</v>
      </c>
      <c r="D4956" s="259" t="s">
        <v>14249</v>
      </c>
      <c r="E4956" s="210" t="s">
        <v>201</v>
      </c>
    </row>
    <row r="4957" spans="1:5" ht="13.5">
      <c r="A4957" s="258">
        <v>72884</v>
      </c>
      <c r="B4957" s="257" t="s">
        <v>3493</v>
      </c>
      <c r="C4957" s="257" t="s">
        <v>215</v>
      </c>
      <c r="D4957" s="259" t="s">
        <v>14370</v>
      </c>
      <c r="E4957" s="210" t="s">
        <v>201</v>
      </c>
    </row>
    <row r="4958" spans="1:5" ht="27">
      <c r="A4958" s="258">
        <v>72888</v>
      </c>
      <c r="B4958" s="257" t="s">
        <v>3494</v>
      </c>
      <c r="C4958" s="257" t="s">
        <v>172</v>
      </c>
      <c r="D4958" s="259" t="s">
        <v>14369</v>
      </c>
      <c r="E4958" s="210" t="s">
        <v>201</v>
      </c>
    </row>
    <row r="4959" spans="1:5" ht="27">
      <c r="A4959" s="258">
        <v>72890</v>
      </c>
      <c r="B4959" s="257" t="s">
        <v>3502</v>
      </c>
      <c r="C4959" s="257" t="s">
        <v>172</v>
      </c>
      <c r="D4959" s="259" t="s">
        <v>17664</v>
      </c>
      <c r="E4959" s="210" t="s">
        <v>201</v>
      </c>
    </row>
    <row r="4960" spans="1:5" ht="27">
      <c r="A4960" s="258">
        <v>72891</v>
      </c>
      <c r="B4960" s="257" t="s">
        <v>3503</v>
      </c>
      <c r="C4960" s="257" t="s">
        <v>172</v>
      </c>
      <c r="D4960" s="259" t="s">
        <v>17628</v>
      </c>
      <c r="E4960" s="210" t="s">
        <v>201</v>
      </c>
    </row>
    <row r="4961" spans="1:5" ht="27">
      <c r="A4961" s="258">
        <v>72892</v>
      </c>
      <c r="B4961" s="257" t="s">
        <v>3504</v>
      </c>
      <c r="C4961" s="257" t="s">
        <v>172</v>
      </c>
      <c r="D4961" s="259" t="s">
        <v>17009</v>
      </c>
      <c r="E4961" s="210" t="s">
        <v>201</v>
      </c>
    </row>
    <row r="4962" spans="1:5" ht="27">
      <c r="A4962" s="258">
        <v>72893</v>
      </c>
      <c r="B4962" s="257" t="s">
        <v>3505</v>
      </c>
      <c r="C4962" s="257" t="s">
        <v>172</v>
      </c>
      <c r="D4962" s="259" t="s">
        <v>14232</v>
      </c>
      <c r="E4962" s="210" t="s">
        <v>201</v>
      </c>
    </row>
    <row r="4963" spans="1:5" ht="27">
      <c r="A4963" s="258">
        <v>72894</v>
      </c>
      <c r="B4963" s="257" t="s">
        <v>3506</v>
      </c>
      <c r="C4963" s="257" t="s">
        <v>172</v>
      </c>
      <c r="D4963" s="259" t="s">
        <v>17665</v>
      </c>
      <c r="E4963" s="210" t="s">
        <v>201</v>
      </c>
    </row>
    <row r="4964" spans="1:5" ht="27">
      <c r="A4964" s="258">
        <v>72895</v>
      </c>
      <c r="B4964" s="257" t="s">
        <v>3507</v>
      </c>
      <c r="C4964" s="257" t="s">
        <v>172</v>
      </c>
      <c r="D4964" s="259" t="s">
        <v>17666</v>
      </c>
      <c r="E4964" s="210" t="s">
        <v>201</v>
      </c>
    </row>
    <row r="4965" spans="1:5" ht="13.5">
      <c r="A4965" s="258">
        <v>72897</v>
      </c>
      <c r="B4965" s="257" t="s">
        <v>3508</v>
      </c>
      <c r="C4965" s="257" t="s">
        <v>172</v>
      </c>
      <c r="D4965" s="259" t="s">
        <v>17667</v>
      </c>
      <c r="E4965" s="210" t="s">
        <v>201</v>
      </c>
    </row>
    <row r="4966" spans="1:5" ht="13.5">
      <c r="A4966" s="258">
        <v>72898</v>
      </c>
      <c r="B4966" s="257" t="s">
        <v>214</v>
      </c>
      <c r="C4966" s="257" t="s">
        <v>172</v>
      </c>
      <c r="D4966" s="259" t="s">
        <v>14459</v>
      </c>
      <c r="E4966" s="210" t="s">
        <v>201</v>
      </c>
    </row>
    <row r="4967" spans="1:5" ht="13.5">
      <c r="A4967" s="258">
        <v>72899</v>
      </c>
      <c r="B4967" s="257" t="s">
        <v>3509</v>
      </c>
      <c r="C4967" s="257" t="s">
        <v>172</v>
      </c>
      <c r="D4967" s="259" t="s">
        <v>14309</v>
      </c>
      <c r="E4967" s="210" t="s">
        <v>201</v>
      </c>
    </row>
    <row r="4968" spans="1:5" ht="13.5">
      <c r="A4968" s="258">
        <v>72900</v>
      </c>
      <c r="B4968" s="257" t="s">
        <v>3510</v>
      </c>
      <c r="C4968" s="257" t="s">
        <v>172</v>
      </c>
      <c r="D4968" s="259" t="s">
        <v>16521</v>
      </c>
      <c r="E4968" s="210" t="s">
        <v>201</v>
      </c>
    </row>
    <row r="4969" spans="1:5" ht="27">
      <c r="A4969" s="258" t="s">
        <v>3511</v>
      </c>
      <c r="B4969" s="257" t="s">
        <v>3512</v>
      </c>
      <c r="C4969" s="257" t="s">
        <v>172</v>
      </c>
      <c r="D4969" s="259" t="s">
        <v>17668</v>
      </c>
      <c r="E4969" s="210" t="s">
        <v>201</v>
      </c>
    </row>
    <row r="4970" spans="1:5" ht="13.5">
      <c r="A4970" s="258">
        <v>83356</v>
      </c>
      <c r="B4970" s="257" t="s">
        <v>3513</v>
      </c>
      <c r="C4970" s="257" t="s">
        <v>215</v>
      </c>
      <c r="D4970" s="259" t="s">
        <v>14351</v>
      </c>
      <c r="E4970" s="210" t="s">
        <v>201</v>
      </c>
    </row>
    <row r="4971" spans="1:5" ht="13.5">
      <c r="A4971" s="258">
        <v>83358</v>
      </c>
      <c r="B4971" s="257" t="s">
        <v>3514</v>
      </c>
      <c r="C4971" s="257" t="s">
        <v>215</v>
      </c>
      <c r="D4971" s="259" t="s">
        <v>17669</v>
      </c>
      <c r="E4971" s="210" t="s">
        <v>201</v>
      </c>
    </row>
    <row r="4972" spans="1:5" ht="13.5">
      <c r="A4972" s="258">
        <v>95303</v>
      </c>
      <c r="B4972" s="257" t="s">
        <v>3515</v>
      </c>
      <c r="C4972" s="257" t="s">
        <v>215</v>
      </c>
      <c r="D4972" s="259" t="s">
        <v>14345</v>
      </c>
      <c r="E4972" s="210" t="s">
        <v>201</v>
      </c>
    </row>
    <row r="4973" spans="1:5" ht="27">
      <c r="A4973" s="258">
        <v>97912</v>
      </c>
      <c r="B4973" s="257" t="s">
        <v>4982</v>
      </c>
      <c r="C4973" s="257" t="s">
        <v>215</v>
      </c>
      <c r="D4973" s="259" t="s">
        <v>14380</v>
      </c>
      <c r="E4973" s="210" t="s">
        <v>201</v>
      </c>
    </row>
    <row r="4974" spans="1:5" ht="27">
      <c r="A4974" s="257">
        <v>97913</v>
      </c>
      <c r="B4974" s="257" t="s">
        <v>4983</v>
      </c>
      <c r="C4974" s="257" t="s">
        <v>215</v>
      </c>
      <c r="D4974" s="259" t="s">
        <v>17670</v>
      </c>
      <c r="E4974" s="210" t="s">
        <v>201</v>
      </c>
    </row>
    <row r="4975" spans="1:5" ht="27">
      <c r="A4975" s="258">
        <v>97914</v>
      </c>
      <c r="B4975" s="257" t="s">
        <v>4984</v>
      </c>
      <c r="C4975" s="257" t="s">
        <v>215</v>
      </c>
      <c r="D4975" s="259" t="s">
        <v>14169</v>
      </c>
      <c r="E4975" s="210" t="s">
        <v>201</v>
      </c>
    </row>
    <row r="4976" spans="1:5" ht="27">
      <c r="A4976" s="258">
        <v>97915</v>
      </c>
      <c r="B4976" s="257" t="s">
        <v>4985</v>
      </c>
      <c r="C4976" s="257" t="s">
        <v>215</v>
      </c>
      <c r="D4976" s="259" t="s">
        <v>14369</v>
      </c>
      <c r="E4976" s="210" t="s">
        <v>201</v>
      </c>
    </row>
    <row r="4977" spans="1:5" ht="27">
      <c r="A4977" s="258">
        <v>97916</v>
      </c>
      <c r="B4977" s="257" t="s">
        <v>4986</v>
      </c>
      <c r="C4977" s="257" t="s">
        <v>3491</v>
      </c>
      <c r="D4977" s="259" t="s">
        <v>14000</v>
      </c>
      <c r="E4977" s="210" t="s">
        <v>201</v>
      </c>
    </row>
    <row r="4978" spans="1:5" ht="27">
      <c r="A4978" s="258">
        <v>97917</v>
      </c>
      <c r="B4978" s="257" t="s">
        <v>4987</v>
      </c>
      <c r="C4978" s="257" t="s">
        <v>3491</v>
      </c>
      <c r="D4978" s="259" t="s">
        <v>14369</v>
      </c>
      <c r="E4978" s="210" t="s">
        <v>201</v>
      </c>
    </row>
    <row r="4979" spans="1:5" ht="27">
      <c r="A4979" s="258">
        <v>97918</v>
      </c>
      <c r="B4979" s="257" t="s">
        <v>4988</v>
      </c>
      <c r="C4979" s="257" t="s">
        <v>3491</v>
      </c>
      <c r="D4979" s="259" t="s">
        <v>14370</v>
      </c>
      <c r="E4979" s="210" t="s">
        <v>201</v>
      </c>
    </row>
    <row r="4980" spans="1:5" ht="27">
      <c r="A4980" s="258">
        <v>97919</v>
      </c>
      <c r="B4980" s="257" t="s">
        <v>4989</v>
      </c>
      <c r="C4980" s="257" t="s">
        <v>3491</v>
      </c>
      <c r="D4980" s="259" t="s">
        <v>14350</v>
      </c>
      <c r="E4980" s="210" t="s">
        <v>201</v>
      </c>
    </row>
    <row r="4981" spans="1:5" ht="27">
      <c r="A4981" s="257">
        <v>94097</v>
      </c>
      <c r="B4981" s="257" t="s">
        <v>93</v>
      </c>
      <c r="C4981" s="257" t="s">
        <v>150</v>
      </c>
      <c r="D4981" s="259" t="s">
        <v>13629</v>
      </c>
      <c r="E4981" s="210" t="s">
        <v>201</v>
      </c>
    </row>
    <row r="4982" spans="1:5" ht="27">
      <c r="A4982" s="257">
        <v>94098</v>
      </c>
      <c r="B4982" s="257" t="s">
        <v>3516</v>
      </c>
      <c r="C4982" s="257" t="s">
        <v>150</v>
      </c>
      <c r="D4982" s="259" t="s">
        <v>17671</v>
      </c>
      <c r="E4982" s="210" t="s">
        <v>201</v>
      </c>
    </row>
    <row r="4983" spans="1:5" ht="27">
      <c r="A4983" s="257">
        <v>94099</v>
      </c>
      <c r="B4983" s="257" t="s">
        <v>295</v>
      </c>
      <c r="C4983" s="257" t="s">
        <v>150</v>
      </c>
      <c r="D4983" s="259" t="s">
        <v>14552</v>
      </c>
      <c r="E4983" s="210" t="s">
        <v>201</v>
      </c>
    </row>
    <row r="4984" spans="1:5" ht="27">
      <c r="A4984" s="257">
        <v>94100</v>
      </c>
      <c r="B4984" s="257" t="s">
        <v>3517</v>
      </c>
      <c r="C4984" s="257" t="s">
        <v>150</v>
      </c>
      <c r="D4984" s="259" t="s">
        <v>17672</v>
      </c>
      <c r="E4984" s="210" t="s">
        <v>201</v>
      </c>
    </row>
    <row r="4985" spans="1:5" ht="27">
      <c r="A4985" s="258">
        <v>94102</v>
      </c>
      <c r="B4985" s="257" t="s">
        <v>3518</v>
      </c>
      <c r="C4985" s="257" t="s">
        <v>172</v>
      </c>
      <c r="D4985" s="259" t="s">
        <v>16715</v>
      </c>
      <c r="E4985" s="210" t="s">
        <v>201</v>
      </c>
    </row>
    <row r="4986" spans="1:5" ht="27">
      <c r="A4986" s="258">
        <v>94103</v>
      </c>
      <c r="B4986" s="257" t="s">
        <v>3519</v>
      </c>
      <c r="C4986" s="257" t="s">
        <v>172</v>
      </c>
      <c r="D4986" s="259" t="s">
        <v>17673</v>
      </c>
      <c r="E4986" s="210" t="s">
        <v>201</v>
      </c>
    </row>
    <row r="4987" spans="1:5" ht="27">
      <c r="A4987" s="258">
        <v>94104</v>
      </c>
      <c r="B4987" s="257" t="s">
        <v>3520</v>
      </c>
      <c r="C4987" s="257" t="s">
        <v>172</v>
      </c>
      <c r="D4987" s="259" t="s">
        <v>17674</v>
      </c>
      <c r="E4987" s="210" t="s">
        <v>201</v>
      </c>
    </row>
    <row r="4988" spans="1:5" ht="27">
      <c r="A4988" s="257">
        <v>94105</v>
      </c>
      <c r="B4988" s="257" t="s">
        <v>3521</v>
      </c>
      <c r="C4988" s="257" t="s">
        <v>172</v>
      </c>
      <c r="D4988" s="259" t="s">
        <v>17675</v>
      </c>
      <c r="E4988" s="210" t="s">
        <v>201</v>
      </c>
    </row>
    <row r="4989" spans="1:5" ht="27">
      <c r="A4989" s="258">
        <v>94106</v>
      </c>
      <c r="B4989" s="257" t="s">
        <v>3522</v>
      </c>
      <c r="C4989" s="257" t="s">
        <v>172</v>
      </c>
      <c r="D4989" s="259" t="s">
        <v>17676</v>
      </c>
      <c r="E4989" s="210" t="s">
        <v>201</v>
      </c>
    </row>
    <row r="4990" spans="1:5" ht="27">
      <c r="A4990" s="258">
        <v>94107</v>
      </c>
      <c r="B4990" s="257" t="s">
        <v>3523</v>
      </c>
      <c r="C4990" s="257" t="s">
        <v>172</v>
      </c>
      <c r="D4990" s="259" t="s">
        <v>17677</v>
      </c>
      <c r="E4990" s="210" t="s">
        <v>201</v>
      </c>
    </row>
    <row r="4991" spans="1:5" ht="27">
      <c r="A4991" s="258">
        <v>94108</v>
      </c>
      <c r="B4991" s="257" t="s">
        <v>3524</v>
      </c>
      <c r="C4991" s="257" t="s">
        <v>172</v>
      </c>
      <c r="D4991" s="259" t="s">
        <v>17678</v>
      </c>
      <c r="E4991" s="210" t="s">
        <v>201</v>
      </c>
    </row>
    <row r="4992" spans="1:5" ht="27">
      <c r="A4992" s="258">
        <v>94110</v>
      </c>
      <c r="B4992" s="257" t="s">
        <v>3525</v>
      </c>
      <c r="C4992" s="257" t="s">
        <v>172</v>
      </c>
      <c r="D4992" s="259" t="s">
        <v>17679</v>
      </c>
      <c r="E4992" s="210" t="s">
        <v>201</v>
      </c>
    </row>
    <row r="4993" spans="1:5" ht="27">
      <c r="A4993" s="258">
        <v>94111</v>
      </c>
      <c r="B4993" s="257" t="s">
        <v>3526</v>
      </c>
      <c r="C4993" s="257" t="s">
        <v>172</v>
      </c>
      <c r="D4993" s="259" t="s">
        <v>17680</v>
      </c>
      <c r="E4993" s="210" t="s">
        <v>201</v>
      </c>
    </row>
    <row r="4994" spans="1:5" ht="27">
      <c r="A4994" s="258">
        <v>94112</v>
      </c>
      <c r="B4994" s="257" t="s">
        <v>3527</v>
      </c>
      <c r="C4994" s="257" t="s">
        <v>172</v>
      </c>
      <c r="D4994" s="259" t="s">
        <v>17681</v>
      </c>
      <c r="E4994" s="210" t="s">
        <v>201</v>
      </c>
    </row>
    <row r="4995" spans="1:5" ht="27">
      <c r="A4995" s="257">
        <v>94113</v>
      </c>
      <c r="B4995" s="257" t="s">
        <v>3528</v>
      </c>
      <c r="C4995" s="257" t="s">
        <v>172</v>
      </c>
      <c r="D4995" s="259" t="s">
        <v>17682</v>
      </c>
      <c r="E4995" s="210" t="s">
        <v>201</v>
      </c>
    </row>
    <row r="4996" spans="1:5" ht="27">
      <c r="A4996" s="257">
        <v>94114</v>
      </c>
      <c r="B4996" s="257" t="s">
        <v>3529</v>
      </c>
      <c r="C4996" s="257" t="s">
        <v>172</v>
      </c>
      <c r="D4996" s="259" t="s">
        <v>17683</v>
      </c>
      <c r="E4996" s="210" t="s">
        <v>201</v>
      </c>
    </row>
    <row r="4997" spans="1:5" ht="27">
      <c r="A4997" s="257">
        <v>94115</v>
      </c>
      <c r="B4997" s="257" t="s">
        <v>3530</v>
      </c>
      <c r="C4997" s="257" t="s">
        <v>172</v>
      </c>
      <c r="D4997" s="259" t="s">
        <v>17684</v>
      </c>
      <c r="E4997" s="210" t="s">
        <v>201</v>
      </c>
    </row>
    <row r="4998" spans="1:5" ht="27">
      <c r="A4998" s="257">
        <v>94116</v>
      </c>
      <c r="B4998" s="257" t="s">
        <v>3531</v>
      </c>
      <c r="C4998" s="257" t="s">
        <v>172</v>
      </c>
      <c r="D4998" s="259" t="s">
        <v>17685</v>
      </c>
      <c r="E4998" s="210" t="s">
        <v>201</v>
      </c>
    </row>
    <row r="4999" spans="1:5" ht="27">
      <c r="A4999" s="257">
        <v>94117</v>
      </c>
      <c r="B4999" s="257" t="s">
        <v>3532</v>
      </c>
      <c r="C4999" s="257" t="s">
        <v>172</v>
      </c>
      <c r="D4999" s="259" t="s">
        <v>17686</v>
      </c>
      <c r="E4999" s="210" t="s">
        <v>201</v>
      </c>
    </row>
    <row r="5000" spans="1:5" ht="27">
      <c r="A5000" s="257">
        <v>94118</v>
      </c>
      <c r="B5000" s="257" t="s">
        <v>3533</v>
      </c>
      <c r="C5000" s="257" t="s">
        <v>172</v>
      </c>
      <c r="D5000" s="259" t="s">
        <v>17687</v>
      </c>
      <c r="E5000" s="210" t="s">
        <v>201</v>
      </c>
    </row>
    <row r="5001" spans="1:5" ht="13.5">
      <c r="A5001" s="257">
        <v>6514</v>
      </c>
      <c r="B5001" s="257" t="s">
        <v>3534</v>
      </c>
      <c r="C5001" s="257" t="s">
        <v>172</v>
      </c>
      <c r="D5001" s="259" t="s">
        <v>17688</v>
      </c>
      <c r="E5001" s="210" t="s">
        <v>201</v>
      </c>
    </row>
    <row r="5002" spans="1:5" ht="13.5">
      <c r="A5002" s="257">
        <v>88549</v>
      </c>
      <c r="B5002" s="257" t="s">
        <v>3535</v>
      </c>
      <c r="C5002" s="257" t="s">
        <v>172</v>
      </c>
      <c r="D5002" s="259" t="s">
        <v>17689</v>
      </c>
      <c r="E5002" s="210" t="s">
        <v>201</v>
      </c>
    </row>
    <row r="5003" spans="1:5" ht="13.5">
      <c r="A5003" s="257" t="s">
        <v>3536</v>
      </c>
      <c r="B5003" s="257" t="s">
        <v>185</v>
      </c>
      <c r="C5003" s="257" t="s">
        <v>172</v>
      </c>
      <c r="D5003" s="259" t="s">
        <v>14303</v>
      </c>
      <c r="E5003" s="210" t="s">
        <v>201</v>
      </c>
    </row>
    <row r="5004" spans="1:5" ht="13.5">
      <c r="A5004" s="257">
        <v>95606</v>
      </c>
      <c r="B5004" s="257" t="s">
        <v>3537</v>
      </c>
      <c r="C5004" s="257" t="s">
        <v>172</v>
      </c>
      <c r="D5004" s="259" t="s">
        <v>17690</v>
      </c>
      <c r="E5004" s="210" t="s">
        <v>201</v>
      </c>
    </row>
    <row r="5005" spans="1:5" ht="27">
      <c r="A5005" s="257">
        <v>72131</v>
      </c>
      <c r="B5005" s="257" t="s">
        <v>3538</v>
      </c>
      <c r="C5005" s="257" t="s">
        <v>150</v>
      </c>
      <c r="D5005" s="259" t="s">
        <v>17691</v>
      </c>
      <c r="E5005" s="210" t="s">
        <v>201</v>
      </c>
    </row>
    <row r="5006" spans="1:5" ht="27">
      <c r="A5006" s="258">
        <v>72132</v>
      </c>
      <c r="B5006" s="257" t="s">
        <v>125</v>
      </c>
      <c r="C5006" s="257" t="s">
        <v>150</v>
      </c>
      <c r="D5006" s="259" t="s">
        <v>17103</v>
      </c>
      <c r="E5006" s="210" t="s">
        <v>201</v>
      </c>
    </row>
    <row r="5007" spans="1:5" ht="27">
      <c r="A5007" s="258">
        <v>72133</v>
      </c>
      <c r="B5007" s="257" t="s">
        <v>3539</v>
      </c>
      <c r="C5007" s="257" t="s">
        <v>150</v>
      </c>
      <c r="D5007" s="259" t="s">
        <v>17692</v>
      </c>
      <c r="E5007" s="210" t="s">
        <v>201</v>
      </c>
    </row>
    <row r="5008" spans="1:5" ht="40.5">
      <c r="A5008" s="258">
        <v>87471</v>
      </c>
      <c r="B5008" s="257" t="s">
        <v>3540</v>
      </c>
      <c r="C5008" s="257" t="s">
        <v>150</v>
      </c>
      <c r="D5008" s="259" t="s">
        <v>17693</v>
      </c>
      <c r="E5008" s="210" t="s">
        <v>201</v>
      </c>
    </row>
    <row r="5009" spans="1:5" ht="40.5">
      <c r="A5009" s="258">
        <v>87472</v>
      </c>
      <c r="B5009" s="257" t="s">
        <v>3541</v>
      </c>
      <c r="C5009" s="257" t="s">
        <v>150</v>
      </c>
      <c r="D5009" s="259" t="s">
        <v>17694</v>
      </c>
      <c r="E5009" s="210" t="s">
        <v>201</v>
      </c>
    </row>
    <row r="5010" spans="1:5" ht="40.5">
      <c r="A5010" s="258">
        <v>87473</v>
      </c>
      <c r="B5010" s="257" t="s">
        <v>3542</v>
      </c>
      <c r="C5010" s="257" t="s">
        <v>150</v>
      </c>
      <c r="D5010" s="259" t="s">
        <v>17695</v>
      </c>
      <c r="E5010" s="210" t="s">
        <v>201</v>
      </c>
    </row>
    <row r="5011" spans="1:5" ht="40.5">
      <c r="A5011" s="257">
        <v>87474</v>
      </c>
      <c r="B5011" s="257" t="s">
        <v>3543</v>
      </c>
      <c r="C5011" s="257" t="s">
        <v>150</v>
      </c>
      <c r="D5011" s="259" t="s">
        <v>17696</v>
      </c>
      <c r="E5011" s="210" t="s">
        <v>201</v>
      </c>
    </row>
    <row r="5012" spans="1:5" ht="40.5">
      <c r="A5012" s="257">
        <v>87475</v>
      </c>
      <c r="B5012" s="257" t="s">
        <v>3544</v>
      </c>
      <c r="C5012" s="257" t="s">
        <v>150</v>
      </c>
      <c r="D5012" s="259" t="s">
        <v>17697</v>
      </c>
      <c r="E5012" s="210" t="s">
        <v>201</v>
      </c>
    </row>
    <row r="5013" spans="1:5" ht="40.5">
      <c r="A5013" s="258">
        <v>87476</v>
      </c>
      <c r="B5013" s="257" t="s">
        <v>3545</v>
      </c>
      <c r="C5013" s="257" t="s">
        <v>150</v>
      </c>
      <c r="D5013" s="259" t="s">
        <v>17698</v>
      </c>
      <c r="E5013" s="210" t="s">
        <v>201</v>
      </c>
    </row>
    <row r="5014" spans="1:5" ht="40.5">
      <c r="A5014" s="257">
        <v>87477</v>
      </c>
      <c r="B5014" s="257" t="s">
        <v>3546</v>
      </c>
      <c r="C5014" s="257" t="s">
        <v>150</v>
      </c>
      <c r="D5014" s="259" t="s">
        <v>17699</v>
      </c>
      <c r="E5014" s="210" t="s">
        <v>201</v>
      </c>
    </row>
    <row r="5015" spans="1:5" ht="40.5">
      <c r="A5015" s="258">
        <v>87478</v>
      </c>
      <c r="B5015" s="257" t="s">
        <v>3547</v>
      </c>
      <c r="C5015" s="257" t="s">
        <v>150</v>
      </c>
      <c r="D5015" s="259" t="s">
        <v>17011</v>
      </c>
      <c r="E5015" s="210" t="s">
        <v>201</v>
      </c>
    </row>
    <row r="5016" spans="1:5" ht="40.5">
      <c r="A5016" s="258">
        <v>87479</v>
      </c>
      <c r="B5016" s="257" t="s">
        <v>3548</v>
      </c>
      <c r="C5016" s="257" t="s">
        <v>150</v>
      </c>
      <c r="D5016" s="259" t="s">
        <v>17700</v>
      </c>
      <c r="E5016" s="210" t="s">
        <v>201</v>
      </c>
    </row>
    <row r="5017" spans="1:5" ht="40.5">
      <c r="A5017" s="258">
        <v>87480</v>
      </c>
      <c r="B5017" s="257" t="s">
        <v>3549</v>
      </c>
      <c r="C5017" s="257" t="s">
        <v>150</v>
      </c>
      <c r="D5017" s="259" t="s">
        <v>17701</v>
      </c>
      <c r="E5017" s="210" t="s">
        <v>201</v>
      </c>
    </row>
    <row r="5018" spans="1:5" ht="40.5">
      <c r="A5018" s="258">
        <v>87481</v>
      </c>
      <c r="B5018" s="257" t="s">
        <v>3550</v>
      </c>
      <c r="C5018" s="257" t="s">
        <v>150</v>
      </c>
      <c r="D5018" s="259" t="s">
        <v>17702</v>
      </c>
      <c r="E5018" s="210" t="s">
        <v>201</v>
      </c>
    </row>
    <row r="5019" spans="1:5" ht="40.5">
      <c r="A5019" s="258">
        <v>87482</v>
      </c>
      <c r="B5019" s="257" t="s">
        <v>3551</v>
      </c>
      <c r="C5019" s="257" t="s">
        <v>150</v>
      </c>
      <c r="D5019" s="259" t="s">
        <v>17703</v>
      </c>
      <c r="E5019" s="210" t="s">
        <v>201</v>
      </c>
    </row>
    <row r="5020" spans="1:5" ht="40.5">
      <c r="A5020" s="258">
        <v>87483</v>
      </c>
      <c r="B5020" s="257" t="s">
        <v>3552</v>
      </c>
      <c r="C5020" s="257" t="s">
        <v>150</v>
      </c>
      <c r="D5020" s="259" t="s">
        <v>17704</v>
      </c>
      <c r="E5020" s="210" t="s">
        <v>201</v>
      </c>
    </row>
    <row r="5021" spans="1:5" ht="40.5">
      <c r="A5021" s="257">
        <v>87484</v>
      </c>
      <c r="B5021" s="257" t="s">
        <v>3553</v>
      </c>
      <c r="C5021" s="257" t="s">
        <v>150</v>
      </c>
      <c r="D5021" s="259" t="s">
        <v>17705</v>
      </c>
      <c r="E5021" s="210" t="s">
        <v>201</v>
      </c>
    </row>
    <row r="5022" spans="1:5" ht="40.5">
      <c r="A5022" s="257">
        <v>87485</v>
      </c>
      <c r="B5022" s="257" t="s">
        <v>3554</v>
      </c>
      <c r="C5022" s="257" t="s">
        <v>150</v>
      </c>
      <c r="D5022" s="259" t="s">
        <v>17706</v>
      </c>
      <c r="E5022" s="210" t="s">
        <v>201</v>
      </c>
    </row>
    <row r="5023" spans="1:5" ht="40.5">
      <c r="A5023" s="257">
        <v>87487</v>
      </c>
      <c r="B5023" s="257" t="s">
        <v>3555</v>
      </c>
      <c r="C5023" s="257" t="s">
        <v>150</v>
      </c>
      <c r="D5023" s="259" t="s">
        <v>17707</v>
      </c>
      <c r="E5023" s="210" t="s">
        <v>201</v>
      </c>
    </row>
    <row r="5024" spans="1:5" ht="40.5">
      <c r="A5024" s="257">
        <v>87488</v>
      </c>
      <c r="B5024" s="257" t="s">
        <v>3556</v>
      </c>
      <c r="C5024" s="257" t="s">
        <v>150</v>
      </c>
      <c r="D5024" s="259" t="s">
        <v>17708</v>
      </c>
      <c r="E5024" s="210" t="s">
        <v>201</v>
      </c>
    </row>
    <row r="5025" spans="1:5" ht="40.5">
      <c r="A5025" s="257">
        <v>87489</v>
      </c>
      <c r="B5025" s="257" t="s">
        <v>3557</v>
      </c>
      <c r="C5025" s="257" t="s">
        <v>150</v>
      </c>
      <c r="D5025" s="259" t="s">
        <v>16003</v>
      </c>
      <c r="E5025" s="210" t="s">
        <v>201</v>
      </c>
    </row>
    <row r="5026" spans="1:5" ht="40.5">
      <c r="A5026" s="257">
        <v>87490</v>
      </c>
      <c r="B5026" s="257" t="s">
        <v>3558</v>
      </c>
      <c r="C5026" s="257" t="s">
        <v>150</v>
      </c>
      <c r="D5026" s="259" t="s">
        <v>15945</v>
      </c>
      <c r="E5026" s="210" t="s">
        <v>201</v>
      </c>
    </row>
    <row r="5027" spans="1:5" ht="40.5">
      <c r="A5027" s="257">
        <v>87491</v>
      </c>
      <c r="B5027" s="257" t="s">
        <v>3559</v>
      </c>
      <c r="C5027" s="257" t="s">
        <v>150</v>
      </c>
      <c r="D5027" s="259" t="s">
        <v>17709</v>
      </c>
      <c r="E5027" s="210" t="s">
        <v>201</v>
      </c>
    </row>
    <row r="5028" spans="1:5" ht="40.5">
      <c r="A5028" s="257">
        <v>87492</v>
      </c>
      <c r="B5028" s="257" t="s">
        <v>3560</v>
      </c>
      <c r="C5028" s="257" t="s">
        <v>150</v>
      </c>
      <c r="D5028" s="259" t="s">
        <v>17710</v>
      </c>
      <c r="E5028" s="210" t="s">
        <v>201</v>
      </c>
    </row>
    <row r="5029" spans="1:5" ht="40.5">
      <c r="A5029" s="257">
        <v>87493</v>
      </c>
      <c r="B5029" s="257" t="s">
        <v>3561</v>
      </c>
      <c r="C5029" s="257" t="s">
        <v>150</v>
      </c>
      <c r="D5029" s="259" t="s">
        <v>17711</v>
      </c>
      <c r="E5029" s="210" t="s">
        <v>201</v>
      </c>
    </row>
    <row r="5030" spans="1:5" ht="40.5">
      <c r="A5030" s="257">
        <v>87494</v>
      </c>
      <c r="B5030" s="257" t="s">
        <v>3562</v>
      </c>
      <c r="C5030" s="257" t="s">
        <v>150</v>
      </c>
      <c r="D5030" s="259" t="s">
        <v>17712</v>
      </c>
      <c r="E5030" s="210" t="s">
        <v>201</v>
      </c>
    </row>
    <row r="5031" spans="1:5" ht="40.5">
      <c r="A5031" s="257">
        <v>87495</v>
      </c>
      <c r="B5031" s="257" t="s">
        <v>3563</v>
      </c>
      <c r="C5031" s="257" t="s">
        <v>150</v>
      </c>
      <c r="D5031" s="259" t="s">
        <v>17713</v>
      </c>
      <c r="E5031" s="210" t="s">
        <v>201</v>
      </c>
    </row>
    <row r="5032" spans="1:5" ht="40.5">
      <c r="A5032" s="257">
        <v>87496</v>
      </c>
      <c r="B5032" s="257" t="s">
        <v>3564</v>
      </c>
      <c r="C5032" s="257" t="s">
        <v>150</v>
      </c>
      <c r="D5032" s="259" t="s">
        <v>17714</v>
      </c>
      <c r="E5032" s="210" t="s">
        <v>201</v>
      </c>
    </row>
    <row r="5033" spans="1:5" ht="40.5">
      <c r="A5033" s="257">
        <v>87497</v>
      </c>
      <c r="B5033" s="257" t="s">
        <v>3565</v>
      </c>
      <c r="C5033" s="257" t="s">
        <v>150</v>
      </c>
      <c r="D5033" s="259" t="s">
        <v>15712</v>
      </c>
      <c r="E5033" s="210" t="s">
        <v>201</v>
      </c>
    </row>
    <row r="5034" spans="1:5" ht="40.5">
      <c r="A5034" s="257">
        <v>87498</v>
      </c>
      <c r="B5034" s="257" t="s">
        <v>3566</v>
      </c>
      <c r="C5034" s="257" t="s">
        <v>150</v>
      </c>
      <c r="D5034" s="259" t="s">
        <v>17715</v>
      </c>
      <c r="E5034" s="210" t="s">
        <v>201</v>
      </c>
    </row>
    <row r="5035" spans="1:5" ht="40.5">
      <c r="A5035" s="257">
        <v>87499</v>
      </c>
      <c r="B5035" s="257" t="s">
        <v>3567</v>
      </c>
      <c r="C5035" s="257" t="s">
        <v>150</v>
      </c>
      <c r="D5035" s="259" t="s">
        <v>17716</v>
      </c>
      <c r="E5035" s="210" t="s">
        <v>201</v>
      </c>
    </row>
    <row r="5036" spans="1:5" ht="40.5">
      <c r="A5036" s="257">
        <v>87500</v>
      </c>
      <c r="B5036" s="257" t="s">
        <v>3568</v>
      </c>
      <c r="C5036" s="257" t="s">
        <v>150</v>
      </c>
      <c r="D5036" s="259" t="s">
        <v>17717</v>
      </c>
      <c r="E5036" s="210" t="s">
        <v>201</v>
      </c>
    </row>
    <row r="5037" spans="1:5" ht="40.5">
      <c r="A5037" s="257">
        <v>87501</v>
      </c>
      <c r="B5037" s="257" t="s">
        <v>3569</v>
      </c>
      <c r="C5037" s="257" t="s">
        <v>150</v>
      </c>
      <c r="D5037" s="259" t="s">
        <v>17718</v>
      </c>
      <c r="E5037" s="210" t="s">
        <v>201</v>
      </c>
    </row>
    <row r="5038" spans="1:5" ht="40.5">
      <c r="A5038" s="257">
        <v>87502</v>
      </c>
      <c r="B5038" s="257" t="s">
        <v>3570</v>
      </c>
      <c r="C5038" s="257" t="s">
        <v>150</v>
      </c>
      <c r="D5038" s="259" t="s">
        <v>17719</v>
      </c>
      <c r="E5038" s="210" t="s">
        <v>201</v>
      </c>
    </row>
    <row r="5039" spans="1:5" ht="40.5">
      <c r="A5039" s="258">
        <v>87503</v>
      </c>
      <c r="B5039" s="257" t="s">
        <v>3571</v>
      </c>
      <c r="C5039" s="257" t="s">
        <v>150</v>
      </c>
      <c r="D5039" s="259" t="s">
        <v>17720</v>
      </c>
      <c r="E5039" s="210" t="s">
        <v>201</v>
      </c>
    </row>
    <row r="5040" spans="1:5" ht="40.5">
      <c r="A5040" s="258">
        <v>87504</v>
      </c>
      <c r="B5040" s="257" t="s">
        <v>3572</v>
      </c>
      <c r="C5040" s="257" t="s">
        <v>150</v>
      </c>
      <c r="D5040" s="259" t="s">
        <v>17721</v>
      </c>
      <c r="E5040" s="210" t="s">
        <v>201</v>
      </c>
    </row>
    <row r="5041" spans="1:5" ht="40.5">
      <c r="A5041" s="258">
        <v>87505</v>
      </c>
      <c r="B5041" s="257" t="s">
        <v>3573</v>
      </c>
      <c r="C5041" s="257" t="s">
        <v>150</v>
      </c>
      <c r="D5041" s="259" t="s">
        <v>17722</v>
      </c>
      <c r="E5041" s="210" t="s">
        <v>201</v>
      </c>
    </row>
    <row r="5042" spans="1:5" ht="40.5">
      <c r="A5042" s="258">
        <v>87506</v>
      </c>
      <c r="B5042" s="257" t="s">
        <v>3574</v>
      </c>
      <c r="C5042" s="257" t="s">
        <v>150</v>
      </c>
      <c r="D5042" s="259" t="s">
        <v>16946</v>
      </c>
      <c r="E5042" s="210" t="s">
        <v>201</v>
      </c>
    </row>
    <row r="5043" spans="1:5" ht="40.5">
      <c r="A5043" s="258">
        <v>87507</v>
      </c>
      <c r="B5043" s="257" t="s">
        <v>3575</v>
      </c>
      <c r="C5043" s="257" t="s">
        <v>150</v>
      </c>
      <c r="D5043" s="259" t="s">
        <v>17723</v>
      </c>
      <c r="E5043" s="210" t="s">
        <v>201</v>
      </c>
    </row>
    <row r="5044" spans="1:5" ht="40.5">
      <c r="A5044" s="258">
        <v>87508</v>
      </c>
      <c r="B5044" s="257" t="s">
        <v>3576</v>
      </c>
      <c r="C5044" s="257" t="s">
        <v>150</v>
      </c>
      <c r="D5044" s="259" t="s">
        <v>17724</v>
      </c>
      <c r="E5044" s="210" t="s">
        <v>201</v>
      </c>
    </row>
    <row r="5045" spans="1:5" ht="40.5">
      <c r="A5045" s="258">
        <v>87509</v>
      </c>
      <c r="B5045" s="257" t="s">
        <v>3577</v>
      </c>
      <c r="C5045" s="257" t="s">
        <v>150</v>
      </c>
      <c r="D5045" s="259" t="s">
        <v>17725</v>
      </c>
      <c r="E5045" s="210" t="s">
        <v>201</v>
      </c>
    </row>
    <row r="5046" spans="1:5" ht="40.5">
      <c r="A5046" s="257">
        <v>87510</v>
      </c>
      <c r="B5046" s="257" t="s">
        <v>3578</v>
      </c>
      <c r="C5046" s="257" t="s">
        <v>150</v>
      </c>
      <c r="D5046" s="259" t="s">
        <v>17726</v>
      </c>
      <c r="E5046" s="210" t="s">
        <v>201</v>
      </c>
    </row>
    <row r="5047" spans="1:5" ht="40.5">
      <c r="A5047" s="258">
        <v>87511</v>
      </c>
      <c r="B5047" s="257" t="s">
        <v>3579</v>
      </c>
      <c r="C5047" s="257" t="s">
        <v>150</v>
      </c>
      <c r="D5047" s="259" t="s">
        <v>17727</v>
      </c>
      <c r="E5047" s="210" t="s">
        <v>201</v>
      </c>
    </row>
    <row r="5048" spans="1:5" ht="40.5">
      <c r="A5048" s="258">
        <v>87512</v>
      </c>
      <c r="B5048" s="257" t="s">
        <v>3580</v>
      </c>
      <c r="C5048" s="257" t="s">
        <v>150</v>
      </c>
      <c r="D5048" s="259" t="s">
        <v>17728</v>
      </c>
      <c r="E5048" s="210" t="s">
        <v>201</v>
      </c>
    </row>
    <row r="5049" spans="1:5" ht="40.5">
      <c r="A5049" s="258">
        <v>87513</v>
      </c>
      <c r="B5049" s="257" t="s">
        <v>3581</v>
      </c>
      <c r="C5049" s="257" t="s">
        <v>150</v>
      </c>
      <c r="D5049" s="259" t="s">
        <v>17729</v>
      </c>
      <c r="E5049" s="210" t="s">
        <v>201</v>
      </c>
    </row>
    <row r="5050" spans="1:5" ht="40.5">
      <c r="A5050" s="258">
        <v>87514</v>
      </c>
      <c r="B5050" s="257" t="s">
        <v>3582</v>
      </c>
      <c r="C5050" s="257" t="s">
        <v>150</v>
      </c>
      <c r="D5050" s="259" t="s">
        <v>17730</v>
      </c>
      <c r="E5050" s="210" t="s">
        <v>201</v>
      </c>
    </row>
    <row r="5051" spans="1:5" ht="40.5">
      <c r="A5051" s="258">
        <v>87515</v>
      </c>
      <c r="B5051" s="257" t="s">
        <v>3583</v>
      </c>
      <c r="C5051" s="257" t="s">
        <v>150</v>
      </c>
      <c r="D5051" s="259" t="s">
        <v>17731</v>
      </c>
      <c r="E5051" s="210" t="s">
        <v>201</v>
      </c>
    </row>
    <row r="5052" spans="1:5" ht="40.5">
      <c r="A5052" s="258">
        <v>87516</v>
      </c>
      <c r="B5052" s="257" t="s">
        <v>3584</v>
      </c>
      <c r="C5052" s="257" t="s">
        <v>150</v>
      </c>
      <c r="D5052" s="259" t="s">
        <v>17158</v>
      </c>
      <c r="E5052" s="210" t="s">
        <v>201</v>
      </c>
    </row>
    <row r="5053" spans="1:5" ht="40.5">
      <c r="A5053" s="258">
        <v>87517</v>
      </c>
      <c r="B5053" s="257" t="s">
        <v>3585</v>
      </c>
      <c r="C5053" s="257" t="s">
        <v>150</v>
      </c>
      <c r="D5053" s="259" t="s">
        <v>17732</v>
      </c>
      <c r="E5053" s="210" t="s">
        <v>201</v>
      </c>
    </row>
    <row r="5054" spans="1:5" ht="40.5">
      <c r="A5054" s="258">
        <v>87518</v>
      </c>
      <c r="B5054" s="257" t="s">
        <v>3586</v>
      </c>
      <c r="C5054" s="257" t="s">
        <v>150</v>
      </c>
      <c r="D5054" s="259" t="s">
        <v>17733</v>
      </c>
      <c r="E5054" s="210" t="s">
        <v>201</v>
      </c>
    </row>
    <row r="5055" spans="1:5" ht="40.5">
      <c r="A5055" s="258">
        <v>87519</v>
      </c>
      <c r="B5055" s="257" t="s">
        <v>3587</v>
      </c>
      <c r="C5055" s="257" t="s">
        <v>150</v>
      </c>
      <c r="D5055" s="259" t="s">
        <v>17734</v>
      </c>
      <c r="E5055" s="210" t="s">
        <v>201</v>
      </c>
    </row>
    <row r="5056" spans="1:5" ht="40.5">
      <c r="A5056" s="258">
        <v>87520</v>
      </c>
      <c r="B5056" s="257" t="s">
        <v>3588</v>
      </c>
      <c r="C5056" s="257" t="s">
        <v>150</v>
      </c>
      <c r="D5056" s="259" t="s">
        <v>17735</v>
      </c>
      <c r="E5056" s="210" t="s">
        <v>201</v>
      </c>
    </row>
    <row r="5057" spans="1:5" ht="40.5">
      <c r="A5057" s="258">
        <v>87521</v>
      </c>
      <c r="B5057" s="257" t="s">
        <v>3589</v>
      </c>
      <c r="C5057" s="257" t="s">
        <v>150</v>
      </c>
      <c r="D5057" s="259" t="s">
        <v>17736</v>
      </c>
      <c r="E5057" s="210" t="s">
        <v>201</v>
      </c>
    </row>
    <row r="5058" spans="1:5" ht="40.5">
      <c r="A5058" s="258">
        <v>87522</v>
      </c>
      <c r="B5058" s="257" t="s">
        <v>3590</v>
      </c>
      <c r="C5058" s="257" t="s">
        <v>150</v>
      </c>
      <c r="D5058" s="259" t="s">
        <v>17737</v>
      </c>
      <c r="E5058" s="210" t="s">
        <v>201</v>
      </c>
    </row>
    <row r="5059" spans="1:5" ht="40.5">
      <c r="A5059" s="258">
        <v>87523</v>
      </c>
      <c r="B5059" s="257" t="s">
        <v>3591</v>
      </c>
      <c r="C5059" s="257" t="s">
        <v>150</v>
      </c>
      <c r="D5059" s="259" t="s">
        <v>17738</v>
      </c>
      <c r="E5059" s="210" t="s">
        <v>201</v>
      </c>
    </row>
    <row r="5060" spans="1:5" ht="40.5">
      <c r="A5060" s="258">
        <v>87524</v>
      </c>
      <c r="B5060" s="257" t="s">
        <v>3592</v>
      </c>
      <c r="C5060" s="257" t="s">
        <v>150</v>
      </c>
      <c r="D5060" s="259" t="s">
        <v>17739</v>
      </c>
      <c r="E5060" s="210" t="s">
        <v>201</v>
      </c>
    </row>
    <row r="5061" spans="1:5" ht="40.5">
      <c r="A5061" s="258">
        <v>87525</v>
      </c>
      <c r="B5061" s="257" t="s">
        <v>3593</v>
      </c>
      <c r="C5061" s="257" t="s">
        <v>150</v>
      </c>
      <c r="D5061" s="259" t="s">
        <v>17740</v>
      </c>
      <c r="E5061" s="210" t="s">
        <v>201</v>
      </c>
    </row>
    <row r="5062" spans="1:5" ht="40.5">
      <c r="A5062" s="258">
        <v>87526</v>
      </c>
      <c r="B5062" s="257" t="s">
        <v>3594</v>
      </c>
      <c r="C5062" s="257" t="s">
        <v>150</v>
      </c>
      <c r="D5062" s="259" t="s">
        <v>17741</v>
      </c>
      <c r="E5062" s="210" t="s">
        <v>201</v>
      </c>
    </row>
    <row r="5063" spans="1:5" ht="27">
      <c r="A5063" s="258">
        <v>89043</v>
      </c>
      <c r="B5063" s="257" t="s">
        <v>3595</v>
      </c>
      <c r="C5063" s="257" t="s">
        <v>150</v>
      </c>
      <c r="D5063" s="259" t="s">
        <v>17742</v>
      </c>
      <c r="E5063" s="210" t="s">
        <v>201</v>
      </c>
    </row>
    <row r="5064" spans="1:5" ht="40.5">
      <c r="A5064" s="258">
        <v>89168</v>
      </c>
      <c r="B5064" s="257" t="s">
        <v>164</v>
      </c>
      <c r="C5064" s="257" t="s">
        <v>150</v>
      </c>
      <c r="D5064" s="259" t="s">
        <v>17743</v>
      </c>
      <c r="E5064" s="210" t="s">
        <v>201</v>
      </c>
    </row>
    <row r="5065" spans="1:5" ht="40.5">
      <c r="A5065" s="258">
        <v>89977</v>
      </c>
      <c r="B5065" s="257" t="s">
        <v>3596</v>
      </c>
      <c r="C5065" s="257" t="s">
        <v>150</v>
      </c>
      <c r="D5065" s="259" t="s">
        <v>17744</v>
      </c>
      <c r="E5065" s="210" t="s">
        <v>201</v>
      </c>
    </row>
    <row r="5066" spans="1:5" ht="40.5">
      <c r="A5066" s="258">
        <v>90112</v>
      </c>
      <c r="B5066" s="257" t="s">
        <v>3597</v>
      </c>
      <c r="C5066" s="257" t="s">
        <v>150</v>
      </c>
      <c r="D5066" s="259" t="s">
        <v>17745</v>
      </c>
      <c r="E5066" s="210" t="s">
        <v>201</v>
      </c>
    </row>
    <row r="5067" spans="1:5" ht="27">
      <c r="A5067" s="258">
        <v>95474</v>
      </c>
      <c r="B5067" s="257" t="s">
        <v>3598</v>
      </c>
      <c r="C5067" s="257" t="s">
        <v>172</v>
      </c>
      <c r="D5067" s="259" t="s">
        <v>17746</v>
      </c>
      <c r="E5067" s="210" t="s">
        <v>201</v>
      </c>
    </row>
    <row r="5068" spans="1:5" ht="40.5">
      <c r="A5068" s="257">
        <v>89282</v>
      </c>
      <c r="B5068" s="257" t="s">
        <v>3599</v>
      </c>
      <c r="C5068" s="257" t="s">
        <v>150</v>
      </c>
      <c r="D5068" s="259" t="s">
        <v>17514</v>
      </c>
      <c r="E5068" s="210" t="s">
        <v>201</v>
      </c>
    </row>
    <row r="5069" spans="1:5" ht="40.5">
      <c r="A5069" s="257">
        <v>89283</v>
      </c>
      <c r="B5069" s="257" t="s">
        <v>3600</v>
      </c>
      <c r="C5069" s="257" t="s">
        <v>150</v>
      </c>
      <c r="D5069" s="259" t="s">
        <v>17747</v>
      </c>
      <c r="E5069" s="210" t="s">
        <v>201</v>
      </c>
    </row>
    <row r="5070" spans="1:5" ht="40.5">
      <c r="A5070" s="258">
        <v>89284</v>
      </c>
      <c r="B5070" s="257" t="s">
        <v>3601</v>
      </c>
      <c r="C5070" s="257" t="s">
        <v>150</v>
      </c>
      <c r="D5070" s="259" t="s">
        <v>15375</v>
      </c>
      <c r="E5070" s="210" t="s">
        <v>201</v>
      </c>
    </row>
    <row r="5071" spans="1:5" ht="40.5">
      <c r="A5071" s="258">
        <v>89285</v>
      </c>
      <c r="B5071" s="257" t="s">
        <v>3602</v>
      </c>
      <c r="C5071" s="257" t="s">
        <v>150</v>
      </c>
      <c r="D5071" s="259" t="s">
        <v>17748</v>
      </c>
      <c r="E5071" s="210" t="s">
        <v>201</v>
      </c>
    </row>
    <row r="5072" spans="1:5" ht="40.5">
      <c r="A5072" s="258">
        <v>89286</v>
      </c>
      <c r="B5072" s="257" t="s">
        <v>3603</v>
      </c>
      <c r="C5072" s="257" t="s">
        <v>150</v>
      </c>
      <c r="D5072" s="259" t="s">
        <v>17749</v>
      </c>
      <c r="E5072" s="210" t="s">
        <v>201</v>
      </c>
    </row>
    <row r="5073" spans="1:5" ht="40.5">
      <c r="A5073" s="258">
        <v>89287</v>
      </c>
      <c r="B5073" s="257" t="s">
        <v>3604</v>
      </c>
      <c r="C5073" s="257" t="s">
        <v>150</v>
      </c>
      <c r="D5073" s="259" t="s">
        <v>17750</v>
      </c>
      <c r="E5073" s="210" t="s">
        <v>201</v>
      </c>
    </row>
    <row r="5074" spans="1:5" ht="40.5">
      <c r="A5074" s="258">
        <v>89288</v>
      </c>
      <c r="B5074" s="257" t="s">
        <v>3605</v>
      </c>
      <c r="C5074" s="257" t="s">
        <v>150</v>
      </c>
      <c r="D5074" s="259" t="s">
        <v>17751</v>
      </c>
      <c r="E5074" s="210" t="s">
        <v>201</v>
      </c>
    </row>
    <row r="5075" spans="1:5" ht="40.5">
      <c r="A5075" s="257">
        <v>89289</v>
      </c>
      <c r="B5075" s="257" t="s">
        <v>3606</v>
      </c>
      <c r="C5075" s="257" t="s">
        <v>150</v>
      </c>
      <c r="D5075" s="259" t="s">
        <v>17752</v>
      </c>
      <c r="E5075" s="210" t="s">
        <v>201</v>
      </c>
    </row>
    <row r="5076" spans="1:5" ht="40.5">
      <c r="A5076" s="258">
        <v>89290</v>
      </c>
      <c r="B5076" s="257" t="s">
        <v>3607</v>
      </c>
      <c r="C5076" s="257" t="s">
        <v>150</v>
      </c>
      <c r="D5076" s="259" t="s">
        <v>17753</v>
      </c>
      <c r="E5076" s="210" t="s">
        <v>201</v>
      </c>
    </row>
    <row r="5077" spans="1:5" ht="40.5">
      <c r="A5077" s="258">
        <v>89291</v>
      </c>
      <c r="B5077" s="257" t="s">
        <v>3608</v>
      </c>
      <c r="C5077" s="257" t="s">
        <v>150</v>
      </c>
      <c r="D5077" s="259" t="s">
        <v>17754</v>
      </c>
      <c r="E5077" s="210" t="s">
        <v>201</v>
      </c>
    </row>
    <row r="5078" spans="1:5" ht="40.5">
      <c r="A5078" s="258">
        <v>89292</v>
      </c>
      <c r="B5078" s="257" t="s">
        <v>3609</v>
      </c>
      <c r="C5078" s="257" t="s">
        <v>150</v>
      </c>
      <c r="D5078" s="259" t="s">
        <v>17755</v>
      </c>
      <c r="E5078" s="210" t="s">
        <v>201</v>
      </c>
    </row>
    <row r="5079" spans="1:5" ht="40.5">
      <c r="A5079" s="258">
        <v>89293</v>
      </c>
      <c r="B5079" s="257" t="s">
        <v>3610</v>
      </c>
      <c r="C5079" s="257" t="s">
        <v>150</v>
      </c>
      <c r="D5079" s="259" t="s">
        <v>17756</v>
      </c>
      <c r="E5079" s="210" t="s">
        <v>201</v>
      </c>
    </row>
    <row r="5080" spans="1:5" ht="40.5">
      <c r="A5080" s="258">
        <v>89294</v>
      </c>
      <c r="B5080" s="257" t="s">
        <v>3611</v>
      </c>
      <c r="C5080" s="257" t="s">
        <v>150</v>
      </c>
      <c r="D5080" s="259" t="s">
        <v>15348</v>
      </c>
      <c r="E5080" s="210" t="s">
        <v>201</v>
      </c>
    </row>
    <row r="5081" spans="1:5" ht="40.5">
      <c r="A5081" s="258">
        <v>89295</v>
      </c>
      <c r="B5081" s="257" t="s">
        <v>3612</v>
      </c>
      <c r="C5081" s="257" t="s">
        <v>150</v>
      </c>
      <c r="D5081" s="259" t="s">
        <v>17757</v>
      </c>
      <c r="E5081" s="210" t="s">
        <v>201</v>
      </c>
    </row>
    <row r="5082" spans="1:5" ht="40.5">
      <c r="A5082" s="258">
        <v>89296</v>
      </c>
      <c r="B5082" s="257" t="s">
        <v>3613</v>
      </c>
      <c r="C5082" s="257" t="s">
        <v>150</v>
      </c>
      <c r="D5082" s="259" t="s">
        <v>17758</v>
      </c>
      <c r="E5082" s="210" t="s">
        <v>201</v>
      </c>
    </row>
    <row r="5083" spans="1:5" ht="40.5">
      <c r="A5083" s="258">
        <v>89297</v>
      </c>
      <c r="B5083" s="257" t="s">
        <v>3614</v>
      </c>
      <c r="C5083" s="257" t="s">
        <v>150</v>
      </c>
      <c r="D5083" s="259" t="s">
        <v>17759</v>
      </c>
      <c r="E5083" s="210" t="s">
        <v>201</v>
      </c>
    </row>
    <row r="5084" spans="1:5" ht="40.5">
      <c r="A5084" s="258">
        <v>89298</v>
      </c>
      <c r="B5084" s="257" t="s">
        <v>3615</v>
      </c>
      <c r="C5084" s="257" t="s">
        <v>150</v>
      </c>
      <c r="D5084" s="259" t="s">
        <v>17760</v>
      </c>
      <c r="E5084" s="210" t="s">
        <v>201</v>
      </c>
    </row>
    <row r="5085" spans="1:5" ht="40.5">
      <c r="A5085" s="258">
        <v>89299</v>
      </c>
      <c r="B5085" s="257" t="s">
        <v>3616</v>
      </c>
      <c r="C5085" s="257" t="s">
        <v>150</v>
      </c>
      <c r="D5085" s="259" t="s">
        <v>13610</v>
      </c>
      <c r="E5085" s="210" t="s">
        <v>201</v>
      </c>
    </row>
    <row r="5086" spans="1:5" ht="40.5">
      <c r="A5086" s="257">
        <v>89300</v>
      </c>
      <c r="B5086" s="257" t="s">
        <v>3617</v>
      </c>
      <c r="C5086" s="257" t="s">
        <v>150</v>
      </c>
      <c r="D5086" s="259" t="s">
        <v>17761</v>
      </c>
      <c r="E5086" s="210" t="s">
        <v>201</v>
      </c>
    </row>
    <row r="5087" spans="1:5" ht="40.5">
      <c r="A5087" s="258">
        <v>89301</v>
      </c>
      <c r="B5087" s="257" t="s">
        <v>3618</v>
      </c>
      <c r="C5087" s="257" t="s">
        <v>150</v>
      </c>
      <c r="D5087" s="259" t="s">
        <v>17762</v>
      </c>
      <c r="E5087" s="210" t="s">
        <v>201</v>
      </c>
    </row>
    <row r="5088" spans="1:5" ht="40.5">
      <c r="A5088" s="257">
        <v>89302</v>
      </c>
      <c r="B5088" s="257" t="s">
        <v>3619</v>
      </c>
      <c r="C5088" s="257" t="s">
        <v>150</v>
      </c>
      <c r="D5088" s="259" t="s">
        <v>17763</v>
      </c>
      <c r="E5088" s="210" t="s">
        <v>201</v>
      </c>
    </row>
    <row r="5089" spans="1:5" ht="40.5">
      <c r="A5089" s="258">
        <v>89303</v>
      </c>
      <c r="B5089" s="257" t="s">
        <v>3620</v>
      </c>
      <c r="C5089" s="257" t="s">
        <v>150</v>
      </c>
      <c r="D5089" s="259" t="s">
        <v>17764</v>
      </c>
      <c r="E5089" s="210" t="s">
        <v>201</v>
      </c>
    </row>
    <row r="5090" spans="1:5" ht="40.5">
      <c r="A5090" s="258">
        <v>89304</v>
      </c>
      <c r="B5090" s="257" t="s">
        <v>3621</v>
      </c>
      <c r="C5090" s="257" t="s">
        <v>150</v>
      </c>
      <c r="D5090" s="259" t="s">
        <v>17765</v>
      </c>
      <c r="E5090" s="210" t="s">
        <v>201</v>
      </c>
    </row>
    <row r="5091" spans="1:5" ht="40.5">
      <c r="A5091" s="258">
        <v>89305</v>
      </c>
      <c r="B5091" s="257" t="s">
        <v>3622</v>
      </c>
      <c r="C5091" s="257" t="s">
        <v>150</v>
      </c>
      <c r="D5091" s="259" t="s">
        <v>14506</v>
      </c>
      <c r="E5091" s="210" t="s">
        <v>201</v>
      </c>
    </row>
    <row r="5092" spans="1:5" ht="40.5">
      <c r="A5092" s="258">
        <v>89306</v>
      </c>
      <c r="B5092" s="257" t="s">
        <v>3623</v>
      </c>
      <c r="C5092" s="257" t="s">
        <v>150</v>
      </c>
      <c r="D5092" s="259" t="s">
        <v>17764</v>
      </c>
      <c r="E5092" s="210" t="s">
        <v>201</v>
      </c>
    </row>
    <row r="5093" spans="1:5" ht="40.5">
      <c r="A5093" s="258">
        <v>89307</v>
      </c>
      <c r="B5093" s="257" t="s">
        <v>3624</v>
      </c>
      <c r="C5093" s="257" t="s">
        <v>150</v>
      </c>
      <c r="D5093" s="259" t="s">
        <v>17766</v>
      </c>
      <c r="E5093" s="210" t="s">
        <v>201</v>
      </c>
    </row>
    <row r="5094" spans="1:5" ht="40.5">
      <c r="A5094" s="257">
        <v>89308</v>
      </c>
      <c r="B5094" s="257" t="s">
        <v>3625</v>
      </c>
      <c r="C5094" s="257" t="s">
        <v>150</v>
      </c>
      <c r="D5094" s="259" t="s">
        <v>17767</v>
      </c>
      <c r="E5094" s="210" t="s">
        <v>201</v>
      </c>
    </row>
    <row r="5095" spans="1:5" ht="40.5">
      <c r="A5095" s="258">
        <v>89309</v>
      </c>
      <c r="B5095" s="257" t="s">
        <v>3626</v>
      </c>
      <c r="C5095" s="257" t="s">
        <v>150</v>
      </c>
      <c r="D5095" s="259" t="s">
        <v>17768</v>
      </c>
      <c r="E5095" s="210" t="s">
        <v>201</v>
      </c>
    </row>
    <row r="5096" spans="1:5" ht="40.5">
      <c r="A5096" s="258">
        <v>89310</v>
      </c>
      <c r="B5096" s="257" t="s">
        <v>3627</v>
      </c>
      <c r="C5096" s="257" t="s">
        <v>150</v>
      </c>
      <c r="D5096" s="259" t="s">
        <v>17769</v>
      </c>
      <c r="E5096" s="210" t="s">
        <v>201</v>
      </c>
    </row>
    <row r="5097" spans="1:5" ht="40.5">
      <c r="A5097" s="258">
        <v>89311</v>
      </c>
      <c r="B5097" s="257" t="s">
        <v>3628</v>
      </c>
      <c r="C5097" s="257" t="s">
        <v>150</v>
      </c>
      <c r="D5097" s="259" t="s">
        <v>17491</v>
      </c>
      <c r="E5097" s="210" t="s">
        <v>201</v>
      </c>
    </row>
    <row r="5098" spans="1:5" ht="40.5">
      <c r="A5098" s="258">
        <v>89312</v>
      </c>
      <c r="B5098" s="257" t="s">
        <v>3629</v>
      </c>
      <c r="C5098" s="257" t="s">
        <v>150</v>
      </c>
      <c r="D5098" s="259" t="s">
        <v>17770</v>
      </c>
      <c r="E5098" s="210" t="s">
        <v>201</v>
      </c>
    </row>
    <row r="5099" spans="1:5" ht="40.5">
      <c r="A5099" s="258">
        <v>89313</v>
      </c>
      <c r="B5099" s="257" t="s">
        <v>3630</v>
      </c>
      <c r="C5099" s="257" t="s">
        <v>150</v>
      </c>
      <c r="D5099" s="259" t="s">
        <v>17771</v>
      </c>
      <c r="E5099" s="210" t="s">
        <v>201</v>
      </c>
    </row>
    <row r="5100" spans="1:5" ht="27">
      <c r="A5100" s="258">
        <v>95465</v>
      </c>
      <c r="B5100" s="257" t="s">
        <v>3631</v>
      </c>
      <c r="C5100" s="257" t="s">
        <v>150</v>
      </c>
      <c r="D5100" s="259" t="s">
        <v>17772</v>
      </c>
      <c r="E5100" s="210" t="s">
        <v>201</v>
      </c>
    </row>
    <row r="5101" spans="1:5" ht="40.5">
      <c r="A5101" s="258">
        <v>87447</v>
      </c>
      <c r="B5101" s="257" t="s">
        <v>3632</v>
      </c>
      <c r="C5101" s="257" t="s">
        <v>150</v>
      </c>
      <c r="D5101" s="259" t="s">
        <v>17163</v>
      </c>
      <c r="E5101" s="210" t="s">
        <v>201</v>
      </c>
    </row>
    <row r="5102" spans="1:5" ht="40.5">
      <c r="A5102" s="258">
        <v>87448</v>
      </c>
      <c r="B5102" s="257" t="s">
        <v>3633</v>
      </c>
      <c r="C5102" s="257" t="s">
        <v>150</v>
      </c>
      <c r="D5102" s="259" t="s">
        <v>17773</v>
      </c>
      <c r="E5102" s="210" t="s">
        <v>201</v>
      </c>
    </row>
    <row r="5103" spans="1:5" ht="40.5">
      <c r="A5103" s="258">
        <v>87449</v>
      </c>
      <c r="B5103" s="257" t="s">
        <v>3634</v>
      </c>
      <c r="C5103" s="257" t="s">
        <v>150</v>
      </c>
      <c r="D5103" s="259" t="s">
        <v>17774</v>
      </c>
      <c r="E5103" s="210" t="s">
        <v>201</v>
      </c>
    </row>
    <row r="5104" spans="1:5" ht="40.5">
      <c r="A5104" s="258">
        <v>87450</v>
      </c>
      <c r="B5104" s="257" t="s">
        <v>3635</v>
      </c>
      <c r="C5104" s="257" t="s">
        <v>150</v>
      </c>
      <c r="D5104" s="259" t="s">
        <v>17775</v>
      </c>
      <c r="E5104" s="210" t="s">
        <v>201</v>
      </c>
    </row>
    <row r="5105" spans="1:5" ht="40.5">
      <c r="A5105" s="258">
        <v>87451</v>
      </c>
      <c r="B5105" s="257" t="s">
        <v>3636</v>
      </c>
      <c r="C5105" s="257" t="s">
        <v>150</v>
      </c>
      <c r="D5105" s="259" t="s">
        <v>17776</v>
      </c>
      <c r="E5105" s="210" t="s">
        <v>201</v>
      </c>
    </row>
    <row r="5106" spans="1:5" ht="40.5">
      <c r="A5106" s="258">
        <v>87452</v>
      </c>
      <c r="B5106" s="257" t="s">
        <v>3637</v>
      </c>
      <c r="C5106" s="257" t="s">
        <v>150</v>
      </c>
      <c r="D5106" s="259" t="s">
        <v>17777</v>
      </c>
      <c r="E5106" s="210" t="s">
        <v>201</v>
      </c>
    </row>
    <row r="5107" spans="1:5" ht="40.5">
      <c r="A5107" s="258">
        <v>87453</v>
      </c>
      <c r="B5107" s="257" t="s">
        <v>3638</v>
      </c>
      <c r="C5107" s="257" t="s">
        <v>150</v>
      </c>
      <c r="D5107" s="259" t="s">
        <v>15375</v>
      </c>
      <c r="E5107" s="210" t="s">
        <v>201</v>
      </c>
    </row>
    <row r="5108" spans="1:5" ht="40.5">
      <c r="A5108" s="258">
        <v>87454</v>
      </c>
      <c r="B5108" s="257" t="s">
        <v>3639</v>
      </c>
      <c r="C5108" s="257" t="s">
        <v>150</v>
      </c>
      <c r="D5108" s="259" t="s">
        <v>17778</v>
      </c>
      <c r="E5108" s="210" t="s">
        <v>201</v>
      </c>
    </row>
    <row r="5109" spans="1:5" ht="40.5">
      <c r="A5109" s="258">
        <v>87455</v>
      </c>
      <c r="B5109" s="257" t="s">
        <v>3640</v>
      </c>
      <c r="C5109" s="257" t="s">
        <v>150</v>
      </c>
      <c r="D5109" s="259" t="s">
        <v>17779</v>
      </c>
      <c r="E5109" s="210" t="s">
        <v>201</v>
      </c>
    </row>
    <row r="5110" spans="1:5" ht="40.5">
      <c r="A5110" s="258">
        <v>87456</v>
      </c>
      <c r="B5110" s="257" t="s">
        <v>3641</v>
      </c>
      <c r="C5110" s="257" t="s">
        <v>150</v>
      </c>
      <c r="D5110" s="259" t="s">
        <v>13560</v>
      </c>
      <c r="E5110" s="210" t="s">
        <v>201</v>
      </c>
    </row>
    <row r="5111" spans="1:5" ht="40.5">
      <c r="A5111" s="258">
        <v>87457</v>
      </c>
      <c r="B5111" s="257" t="s">
        <v>3642</v>
      </c>
      <c r="C5111" s="257" t="s">
        <v>150</v>
      </c>
      <c r="D5111" s="259" t="s">
        <v>17780</v>
      </c>
      <c r="E5111" s="210" t="s">
        <v>201</v>
      </c>
    </row>
    <row r="5112" spans="1:5" ht="40.5">
      <c r="A5112" s="258">
        <v>87458</v>
      </c>
      <c r="B5112" s="257" t="s">
        <v>3643</v>
      </c>
      <c r="C5112" s="257" t="s">
        <v>150</v>
      </c>
      <c r="D5112" s="259" t="s">
        <v>17781</v>
      </c>
      <c r="E5112" s="210" t="s">
        <v>201</v>
      </c>
    </row>
    <row r="5113" spans="1:5" ht="40.5">
      <c r="A5113" s="258">
        <v>87459</v>
      </c>
      <c r="B5113" s="257" t="s">
        <v>3644</v>
      </c>
      <c r="C5113" s="257" t="s">
        <v>150</v>
      </c>
      <c r="D5113" s="259" t="s">
        <v>17782</v>
      </c>
      <c r="E5113" s="210" t="s">
        <v>201</v>
      </c>
    </row>
    <row r="5114" spans="1:5" ht="40.5">
      <c r="A5114" s="258">
        <v>87460</v>
      </c>
      <c r="B5114" s="257" t="s">
        <v>3645</v>
      </c>
      <c r="C5114" s="257" t="s">
        <v>150</v>
      </c>
      <c r="D5114" s="259" t="s">
        <v>17783</v>
      </c>
      <c r="E5114" s="210" t="s">
        <v>201</v>
      </c>
    </row>
    <row r="5115" spans="1:5" ht="40.5">
      <c r="A5115" s="258">
        <v>87461</v>
      </c>
      <c r="B5115" s="257" t="s">
        <v>3646</v>
      </c>
      <c r="C5115" s="257" t="s">
        <v>150</v>
      </c>
      <c r="D5115" s="259" t="s">
        <v>17784</v>
      </c>
      <c r="E5115" s="210" t="s">
        <v>201</v>
      </c>
    </row>
    <row r="5116" spans="1:5" ht="40.5">
      <c r="A5116" s="258">
        <v>87462</v>
      </c>
      <c r="B5116" s="257" t="s">
        <v>3647</v>
      </c>
      <c r="C5116" s="257" t="s">
        <v>150</v>
      </c>
      <c r="D5116" s="259" t="s">
        <v>17785</v>
      </c>
      <c r="E5116" s="210" t="s">
        <v>201</v>
      </c>
    </row>
    <row r="5117" spans="1:5" ht="40.5">
      <c r="A5117" s="258">
        <v>87463</v>
      </c>
      <c r="B5117" s="257" t="s">
        <v>3648</v>
      </c>
      <c r="C5117" s="257" t="s">
        <v>150</v>
      </c>
      <c r="D5117" s="259" t="s">
        <v>17786</v>
      </c>
      <c r="E5117" s="210" t="s">
        <v>201</v>
      </c>
    </row>
    <row r="5118" spans="1:5" ht="40.5">
      <c r="A5118" s="258">
        <v>87464</v>
      </c>
      <c r="B5118" s="257" t="s">
        <v>3649</v>
      </c>
      <c r="C5118" s="257" t="s">
        <v>150</v>
      </c>
      <c r="D5118" s="259" t="s">
        <v>17787</v>
      </c>
      <c r="E5118" s="210" t="s">
        <v>201</v>
      </c>
    </row>
    <row r="5119" spans="1:5" ht="40.5">
      <c r="A5119" s="258">
        <v>87465</v>
      </c>
      <c r="B5119" s="257" t="s">
        <v>3650</v>
      </c>
      <c r="C5119" s="257" t="s">
        <v>150</v>
      </c>
      <c r="D5119" s="259" t="s">
        <v>16769</v>
      </c>
      <c r="E5119" s="210" t="s">
        <v>201</v>
      </c>
    </row>
    <row r="5120" spans="1:5" ht="40.5">
      <c r="A5120" s="258">
        <v>87466</v>
      </c>
      <c r="B5120" s="257" t="s">
        <v>3651</v>
      </c>
      <c r="C5120" s="257" t="s">
        <v>150</v>
      </c>
      <c r="D5120" s="259" t="s">
        <v>17788</v>
      </c>
      <c r="E5120" s="210" t="s">
        <v>201</v>
      </c>
    </row>
    <row r="5121" spans="1:5" ht="40.5">
      <c r="A5121" s="258">
        <v>87467</v>
      </c>
      <c r="B5121" s="257" t="s">
        <v>3652</v>
      </c>
      <c r="C5121" s="257" t="s">
        <v>150</v>
      </c>
      <c r="D5121" s="259" t="s">
        <v>17789</v>
      </c>
      <c r="E5121" s="210" t="s">
        <v>201</v>
      </c>
    </row>
    <row r="5122" spans="1:5" ht="40.5">
      <c r="A5122" s="258">
        <v>87468</v>
      </c>
      <c r="B5122" s="257" t="s">
        <v>3653</v>
      </c>
      <c r="C5122" s="257" t="s">
        <v>150</v>
      </c>
      <c r="D5122" s="259" t="s">
        <v>17790</v>
      </c>
      <c r="E5122" s="210" t="s">
        <v>201</v>
      </c>
    </row>
    <row r="5123" spans="1:5" ht="40.5">
      <c r="A5123" s="258">
        <v>87469</v>
      </c>
      <c r="B5123" s="257" t="s">
        <v>3654</v>
      </c>
      <c r="C5123" s="257" t="s">
        <v>150</v>
      </c>
      <c r="D5123" s="259" t="s">
        <v>17791</v>
      </c>
      <c r="E5123" s="210" t="s">
        <v>201</v>
      </c>
    </row>
    <row r="5124" spans="1:5" ht="40.5">
      <c r="A5124" s="258">
        <v>87470</v>
      </c>
      <c r="B5124" s="257" t="s">
        <v>3655</v>
      </c>
      <c r="C5124" s="257" t="s">
        <v>150</v>
      </c>
      <c r="D5124" s="259" t="s">
        <v>17792</v>
      </c>
      <c r="E5124" s="210" t="s">
        <v>201</v>
      </c>
    </row>
    <row r="5125" spans="1:5" ht="27">
      <c r="A5125" s="258">
        <v>89044</v>
      </c>
      <c r="B5125" s="257" t="s">
        <v>3656</v>
      </c>
      <c r="C5125" s="257" t="s">
        <v>150</v>
      </c>
      <c r="D5125" s="259" t="s">
        <v>17793</v>
      </c>
      <c r="E5125" s="210" t="s">
        <v>201</v>
      </c>
    </row>
    <row r="5126" spans="1:5" ht="40.5">
      <c r="A5126" s="258">
        <v>89169</v>
      </c>
      <c r="B5126" s="257" t="s">
        <v>3657</v>
      </c>
      <c r="C5126" s="257" t="s">
        <v>150</v>
      </c>
      <c r="D5126" s="259" t="s">
        <v>17794</v>
      </c>
      <c r="E5126" s="210" t="s">
        <v>201</v>
      </c>
    </row>
    <row r="5127" spans="1:5" ht="40.5">
      <c r="A5127" s="258">
        <v>89978</v>
      </c>
      <c r="B5127" s="257" t="s">
        <v>163</v>
      </c>
      <c r="C5127" s="257" t="s">
        <v>150</v>
      </c>
      <c r="D5127" s="259" t="s">
        <v>17795</v>
      </c>
      <c r="E5127" s="210" t="s">
        <v>201</v>
      </c>
    </row>
    <row r="5128" spans="1:5" ht="27">
      <c r="A5128" s="258" t="s">
        <v>3658</v>
      </c>
      <c r="B5128" s="257" t="s">
        <v>3659</v>
      </c>
      <c r="C5128" s="257" t="s">
        <v>150</v>
      </c>
      <c r="D5128" s="259" t="s">
        <v>17796</v>
      </c>
      <c r="E5128" s="210" t="s">
        <v>201</v>
      </c>
    </row>
    <row r="5129" spans="1:5" ht="27">
      <c r="A5129" s="258" t="s">
        <v>3660</v>
      </c>
      <c r="B5129" s="257" t="s">
        <v>3661</v>
      </c>
      <c r="C5129" s="257" t="s">
        <v>150</v>
      </c>
      <c r="D5129" s="259" t="s">
        <v>17797</v>
      </c>
      <c r="E5129" s="210" t="s">
        <v>201</v>
      </c>
    </row>
    <row r="5130" spans="1:5" ht="27">
      <c r="A5130" s="258" t="s">
        <v>3662</v>
      </c>
      <c r="B5130" s="257" t="s">
        <v>3663</v>
      </c>
      <c r="C5130" s="257" t="s">
        <v>150</v>
      </c>
      <c r="D5130" s="259" t="s">
        <v>17798</v>
      </c>
      <c r="E5130" s="210" t="s">
        <v>201</v>
      </c>
    </row>
    <row r="5131" spans="1:5" ht="27">
      <c r="A5131" s="258">
        <v>89453</v>
      </c>
      <c r="B5131" s="257" t="s">
        <v>3664</v>
      </c>
      <c r="C5131" s="257" t="s">
        <v>150</v>
      </c>
      <c r="D5131" s="259" t="s">
        <v>17799</v>
      </c>
      <c r="E5131" s="210" t="s">
        <v>201</v>
      </c>
    </row>
    <row r="5132" spans="1:5" ht="27">
      <c r="A5132" s="258">
        <v>89454</v>
      </c>
      <c r="B5132" s="257" t="s">
        <v>3665</v>
      </c>
      <c r="C5132" s="257" t="s">
        <v>150</v>
      </c>
      <c r="D5132" s="259" t="s">
        <v>17800</v>
      </c>
      <c r="E5132" s="210" t="s">
        <v>201</v>
      </c>
    </row>
    <row r="5133" spans="1:5" ht="27">
      <c r="A5133" s="258">
        <v>89455</v>
      </c>
      <c r="B5133" s="257" t="s">
        <v>3666</v>
      </c>
      <c r="C5133" s="257" t="s">
        <v>150</v>
      </c>
      <c r="D5133" s="259" t="s">
        <v>16980</v>
      </c>
      <c r="E5133" s="210" t="s">
        <v>201</v>
      </c>
    </row>
    <row r="5134" spans="1:5" ht="27">
      <c r="A5134" s="258">
        <v>89456</v>
      </c>
      <c r="B5134" s="257" t="s">
        <v>3667</v>
      </c>
      <c r="C5134" s="257" t="s">
        <v>150</v>
      </c>
      <c r="D5134" s="259" t="s">
        <v>17801</v>
      </c>
      <c r="E5134" s="210" t="s">
        <v>201</v>
      </c>
    </row>
    <row r="5135" spans="1:5" ht="27">
      <c r="A5135" s="258">
        <v>89457</v>
      </c>
      <c r="B5135" s="257" t="s">
        <v>3668</v>
      </c>
      <c r="C5135" s="257" t="s">
        <v>150</v>
      </c>
      <c r="D5135" s="259" t="s">
        <v>17802</v>
      </c>
      <c r="E5135" s="210" t="s">
        <v>201</v>
      </c>
    </row>
    <row r="5136" spans="1:5" ht="27">
      <c r="A5136" s="258">
        <v>89458</v>
      </c>
      <c r="B5136" s="257" t="s">
        <v>3669</v>
      </c>
      <c r="C5136" s="257" t="s">
        <v>150</v>
      </c>
      <c r="D5136" s="259" t="s">
        <v>17803</v>
      </c>
      <c r="E5136" s="210" t="s">
        <v>201</v>
      </c>
    </row>
    <row r="5137" spans="1:5" ht="27">
      <c r="A5137" s="258">
        <v>89459</v>
      </c>
      <c r="B5137" s="257" t="s">
        <v>3670</v>
      </c>
      <c r="C5137" s="257" t="s">
        <v>150</v>
      </c>
      <c r="D5137" s="259" t="s">
        <v>17804</v>
      </c>
      <c r="E5137" s="210" t="s">
        <v>201</v>
      </c>
    </row>
    <row r="5138" spans="1:5" ht="27">
      <c r="A5138" s="258">
        <v>89460</v>
      </c>
      <c r="B5138" s="257" t="s">
        <v>3671</v>
      </c>
      <c r="C5138" s="257" t="s">
        <v>150</v>
      </c>
      <c r="D5138" s="259" t="s">
        <v>17805</v>
      </c>
      <c r="E5138" s="210" t="s">
        <v>201</v>
      </c>
    </row>
    <row r="5139" spans="1:5" ht="27">
      <c r="A5139" s="258">
        <v>89462</v>
      </c>
      <c r="B5139" s="257" t="s">
        <v>3672</v>
      </c>
      <c r="C5139" s="257" t="s">
        <v>150</v>
      </c>
      <c r="D5139" s="259" t="s">
        <v>17806</v>
      </c>
      <c r="E5139" s="210" t="s">
        <v>201</v>
      </c>
    </row>
    <row r="5140" spans="1:5" ht="27">
      <c r="A5140" s="258">
        <v>89463</v>
      </c>
      <c r="B5140" s="257" t="s">
        <v>3673</v>
      </c>
      <c r="C5140" s="257" t="s">
        <v>150</v>
      </c>
      <c r="D5140" s="259" t="s">
        <v>17807</v>
      </c>
      <c r="E5140" s="210" t="s">
        <v>201</v>
      </c>
    </row>
    <row r="5141" spans="1:5" ht="27">
      <c r="A5141" s="258">
        <v>89464</v>
      </c>
      <c r="B5141" s="257" t="s">
        <v>3674</v>
      </c>
      <c r="C5141" s="257" t="s">
        <v>150</v>
      </c>
      <c r="D5141" s="259" t="s">
        <v>17808</v>
      </c>
      <c r="E5141" s="210" t="s">
        <v>201</v>
      </c>
    </row>
    <row r="5142" spans="1:5" ht="27">
      <c r="A5142" s="258">
        <v>89465</v>
      </c>
      <c r="B5142" s="257" t="s">
        <v>3675</v>
      </c>
      <c r="C5142" s="257" t="s">
        <v>150</v>
      </c>
      <c r="D5142" s="259" t="s">
        <v>17809</v>
      </c>
      <c r="E5142" s="210" t="s">
        <v>201</v>
      </c>
    </row>
    <row r="5143" spans="1:5" ht="27">
      <c r="A5143" s="258">
        <v>89466</v>
      </c>
      <c r="B5143" s="257" t="s">
        <v>3676</v>
      </c>
      <c r="C5143" s="257" t="s">
        <v>150</v>
      </c>
      <c r="D5143" s="259" t="s">
        <v>17810</v>
      </c>
      <c r="E5143" s="210" t="s">
        <v>201</v>
      </c>
    </row>
    <row r="5144" spans="1:5" ht="27">
      <c r="A5144" s="258">
        <v>89467</v>
      </c>
      <c r="B5144" s="257" t="s">
        <v>3677</v>
      </c>
      <c r="C5144" s="257" t="s">
        <v>150</v>
      </c>
      <c r="D5144" s="259" t="s">
        <v>17811</v>
      </c>
      <c r="E5144" s="210" t="s">
        <v>201</v>
      </c>
    </row>
    <row r="5145" spans="1:5" ht="27">
      <c r="A5145" s="258">
        <v>89468</v>
      </c>
      <c r="B5145" s="257" t="s">
        <v>3678</v>
      </c>
      <c r="C5145" s="257" t="s">
        <v>150</v>
      </c>
      <c r="D5145" s="259" t="s">
        <v>17812</v>
      </c>
      <c r="E5145" s="210" t="s">
        <v>201</v>
      </c>
    </row>
    <row r="5146" spans="1:5" ht="27">
      <c r="A5146" s="258">
        <v>89469</v>
      </c>
      <c r="B5146" s="257" t="s">
        <v>3679</v>
      </c>
      <c r="C5146" s="257" t="s">
        <v>150</v>
      </c>
      <c r="D5146" s="259" t="s">
        <v>17787</v>
      </c>
      <c r="E5146" s="210" t="s">
        <v>201</v>
      </c>
    </row>
    <row r="5147" spans="1:5" ht="40.5">
      <c r="A5147" s="258">
        <v>89470</v>
      </c>
      <c r="B5147" s="257" t="s">
        <v>3680</v>
      </c>
      <c r="C5147" s="257" t="s">
        <v>150</v>
      </c>
      <c r="D5147" s="259" t="s">
        <v>17813</v>
      </c>
      <c r="E5147" s="210" t="s">
        <v>201</v>
      </c>
    </row>
    <row r="5148" spans="1:5" ht="40.5">
      <c r="A5148" s="258">
        <v>89471</v>
      </c>
      <c r="B5148" s="257" t="s">
        <v>3681</v>
      </c>
      <c r="C5148" s="257" t="s">
        <v>150</v>
      </c>
      <c r="D5148" s="259" t="s">
        <v>17814</v>
      </c>
      <c r="E5148" s="210" t="s">
        <v>201</v>
      </c>
    </row>
    <row r="5149" spans="1:5" ht="40.5">
      <c r="A5149" s="258">
        <v>89472</v>
      </c>
      <c r="B5149" s="257" t="s">
        <v>3682</v>
      </c>
      <c r="C5149" s="257" t="s">
        <v>150</v>
      </c>
      <c r="D5149" s="259" t="s">
        <v>17815</v>
      </c>
      <c r="E5149" s="210" t="s">
        <v>201</v>
      </c>
    </row>
    <row r="5150" spans="1:5" ht="40.5">
      <c r="A5150" s="258">
        <v>89473</v>
      </c>
      <c r="B5150" s="257" t="s">
        <v>3683</v>
      </c>
      <c r="C5150" s="257" t="s">
        <v>150</v>
      </c>
      <c r="D5150" s="259" t="s">
        <v>17816</v>
      </c>
      <c r="E5150" s="210" t="s">
        <v>201</v>
      </c>
    </row>
    <row r="5151" spans="1:5" ht="40.5">
      <c r="A5151" s="258">
        <v>89474</v>
      </c>
      <c r="B5151" s="257" t="s">
        <v>3684</v>
      </c>
      <c r="C5151" s="257" t="s">
        <v>150</v>
      </c>
      <c r="D5151" s="259" t="s">
        <v>16739</v>
      </c>
      <c r="E5151" s="210" t="s">
        <v>201</v>
      </c>
    </row>
    <row r="5152" spans="1:5" ht="40.5">
      <c r="A5152" s="258">
        <v>89475</v>
      </c>
      <c r="B5152" s="257" t="s">
        <v>3685</v>
      </c>
      <c r="C5152" s="257" t="s">
        <v>150</v>
      </c>
      <c r="D5152" s="259" t="s">
        <v>17817</v>
      </c>
      <c r="E5152" s="210" t="s">
        <v>201</v>
      </c>
    </row>
    <row r="5153" spans="1:5" ht="40.5">
      <c r="A5153" s="258">
        <v>89476</v>
      </c>
      <c r="B5153" s="257" t="s">
        <v>3686</v>
      </c>
      <c r="C5153" s="257" t="s">
        <v>150</v>
      </c>
      <c r="D5153" s="259" t="s">
        <v>17013</v>
      </c>
      <c r="E5153" s="210" t="s">
        <v>201</v>
      </c>
    </row>
    <row r="5154" spans="1:5" ht="40.5">
      <c r="A5154" s="258">
        <v>89477</v>
      </c>
      <c r="B5154" s="257" t="s">
        <v>3687</v>
      </c>
      <c r="C5154" s="257" t="s">
        <v>150</v>
      </c>
      <c r="D5154" s="259" t="s">
        <v>17818</v>
      </c>
      <c r="E5154" s="210" t="s">
        <v>201</v>
      </c>
    </row>
    <row r="5155" spans="1:5" ht="40.5">
      <c r="A5155" s="258">
        <v>89478</v>
      </c>
      <c r="B5155" s="257" t="s">
        <v>3688</v>
      </c>
      <c r="C5155" s="257" t="s">
        <v>150</v>
      </c>
      <c r="D5155" s="259" t="s">
        <v>17819</v>
      </c>
      <c r="E5155" s="210" t="s">
        <v>201</v>
      </c>
    </row>
    <row r="5156" spans="1:5" ht="40.5">
      <c r="A5156" s="258">
        <v>89479</v>
      </c>
      <c r="B5156" s="257" t="s">
        <v>3689</v>
      </c>
      <c r="C5156" s="257" t="s">
        <v>150</v>
      </c>
      <c r="D5156" s="259" t="s">
        <v>15076</v>
      </c>
      <c r="E5156" s="210" t="s">
        <v>201</v>
      </c>
    </row>
    <row r="5157" spans="1:5" ht="40.5">
      <c r="A5157" s="258">
        <v>89480</v>
      </c>
      <c r="B5157" s="257" t="s">
        <v>3690</v>
      </c>
      <c r="C5157" s="257" t="s">
        <v>150</v>
      </c>
      <c r="D5157" s="259" t="s">
        <v>17820</v>
      </c>
      <c r="E5157" s="210" t="s">
        <v>201</v>
      </c>
    </row>
    <row r="5158" spans="1:5" ht="40.5">
      <c r="A5158" s="258">
        <v>89483</v>
      </c>
      <c r="B5158" s="257" t="s">
        <v>3691</v>
      </c>
      <c r="C5158" s="257" t="s">
        <v>150</v>
      </c>
      <c r="D5158" s="259" t="s">
        <v>17821</v>
      </c>
      <c r="E5158" s="210" t="s">
        <v>201</v>
      </c>
    </row>
    <row r="5159" spans="1:5" ht="40.5">
      <c r="A5159" s="258">
        <v>89484</v>
      </c>
      <c r="B5159" s="257" t="s">
        <v>3692</v>
      </c>
      <c r="C5159" s="257" t="s">
        <v>150</v>
      </c>
      <c r="D5159" s="259" t="s">
        <v>17822</v>
      </c>
      <c r="E5159" s="210" t="s">
        <v>201</v>
      </c>
    </row>
    <row r="5160" spans="1:5" ht="40.5">
      <c r="A5160" s="258">
        <v>89486</v>
      </c>
      <c r="B5160" s="257" t="s">
        <v>3693</v>
      </c>
      <c r="C5160" s="257" t="s">
        <v>150</v>
      </c>
      <c r="D5160" s="259" t="s">
        <v>17823</v>
      </c>
      <c r="E5160" s="210" t="s">
        <v>201</v>
      </c>
    </row>
    <row r="5161" spans="1:5" ht="40.5">
      <c r="A5161" s="258">
        <v>89487</v>
      </c>
      <c r="B5161" s="257" t="s">
        <v>3694</v>
      </c>
      <c r="C5161" s="257" t="s">
        <v>150</v>
      </c>
      <c r="D5161" s="259" t="s">
        <v>17824</v>
      </c>
      <c r="E5161" s="210" t="s">
        <v>201</v>
      </c>
    </row>
    <row r="5162" spans="1:5" ht="40.5">
      <c r="A5162" s="258">
        <v>89488</v>
      </c>
      <c r="B5162" s="257" t="s">
        <v>3695</v>
      </c>
      <c r="C5162" s="257" t="s">
        <v>150</v>
      </c>
      <c r="D5162" s="259" t="s">
        <v>17825</v>
      </c>
      <c r="E5162" s="210" t="s">
        <v>201</v>
      </c>
    </row>
    <row r="5163" spans="1:5" ht="40.5">
      <c r="A5163" s="258">
        <v>91815</v>
      </c>
      <c r="B5163" s="257" t="s">
        <v>3696</v>
      </c>
      <c r="C5163" s="257" t="s">
        <v>150</v>
      </c>
      <c r="D5163" s="259" t="s">
        <v>17826</v>
      </c>
      <c r="E5163" s="210" t="s">
        <v>201</v>
      </c>
    </row>
    <row r="5164" spans="1:5" ht="40.5">
      <c r="A5164" s="258">
        <v>91816</v>
      </c>
      <c r="B5164" s="257" t="s">
        <v>3697</v>
      </c>
      <c r="C5164" s="257" t="s">
        <v>150</v>
      </c>
      <c r="D5164" s="259" t="s">
        <v>17827</v>
      </c>
      <c r="E5164" s="210" t="s">
        <v>201</v>
      </c>
    </row>
    <row r="5165" spans="1:5" ht="27">
      <c r="A5165" s="258">
        <v>72139</v>
      </c>
      <c r="B5165" s="257" t="s">
        <v>3698</v>
      </c>
      <c r="C5165" s="257" t="s">
        <v>150</v>
      </c>
      <c r="D5165" s="259" t="s">
        <v>17828</v>
      </c>
      <c r="E5165" s="210" t="s">
        <v>201</v>
      </c>
    </row>
    <row r="5166" spans="1:5" ht="27">
      <c r="A5166" s="258">
        <v>72175</v>
      </c>
      <c r="B5166" s="257" t="s">
        <v>3699</v>
      </c>
      <c r="C5166" s="257" t="s">
        <v>150</v>
      </c>
      <c r="D5166" s="259" t="s">
        <v>17829</v>
      </c>
      <c r="E5166" s="210" t="s">
        <v>201</v>
      </c>
    </row>
    <row r="5167" spans="1:5" ht="27">
      <c r="A5167" s="258">
        <v>72176</v>
      </c>
      <c r="B5167" s="257" t="s">
        <v>3700</v>
      </c>
      <c r="C5167" s="257" t="s">
        <v>150</v>
      </c>
      <c r="D5167" s="259" t="s">
        <v>17830</v>
      </c>
      <c r="E5167" s="210" t="s">
        <v>201</v>
      </c>
    </row>
    <row r="5168" spans="1:5" ht="13.5">
      <c r="A5168" s="258">
        <v>72178</v>
      </c>
      <c r="B5168" s="257" t="s">
        <v>3701</v>
      </c>
      <c r="C5168" s="257" t="s">
        <v>150</v>
      </c>
      <c r="D5168" s="259" t="s">
        <v>17831</v>
      </c>
      <c r="E5168" s="210" t="s">
        <v>201</v>
      </c>
    </row>
    <row r="5169" spans="1:5" ht="13.5">
      <c r="A5169" s="258">
        <v>72179</v>
      </c>
      <c r="B5169" s="257" t="s">
        <v>3702</v>
      </c>
      <c r="C5169" s="257" t="s">
        <v>150</v>
      </c>
      <c r="D5169" s="259" t="s">
        <v>17803</v>
      </c>
      <c r="E5169" s="210" t="s">
        <v>201</v>
      </c>
    </row>
    <row r="5170" spans="1:5" ht="27">
      <c r="A5170" s="258">
        <v>72180</v>
      </c>
      <c r="B5170" s="257" t="s">
        <v>3703</v>
      </c>
      <c r="C5170" s="257" t="s">
        <v>150</v>
      </c>
      <c r="D5170" s="259" t="s">
        <v>17832</v>
      </c>
      <c r="E5170" s="210" t="s">
        <v>201</v>
      </c>
    </row>
    <row r="5171" spans="1:5" ht="27">
      <c r="A5171" s="258">
        <v>72181</v>
      </c>
      <c r="B5171" s="257" t="s">
        <v>3704</v>
      </c>
      <c r="C5171" s="257" t="s">
        <v>150</v>
      </c>
      <c r="D5171" s="259" t="s">
        <v>17342</v>
      </c>
      <c r="E5171" s="210" t="s">
        <v>201</v>
      </c>
    </row>
    <row r="5172" spans="1:5" ht="27">
      <c r="A5172" s="258" t="s">
        <v>3705</v>
      </c>
      <c r="B5172" s="257" t="s">
        <v>3706</v>
      </c>
      <c r="C5172" s="257" t="s">
        <v>150</v>
      </c>
      <c r="D5172" s="259" t="s">
        <v>17833</v>
      </c>
      <c r="E5172" s="210" t="s">
        <v>201</v>
      </c>
    </row>
    <row r="5173" spans="1:5" ht="13.5">
      <c r="A5173" s="258" t="s">
        <v>3707</v>
      </c>
      <c r="B5173" s="257" t="s">
        <v>3708</v>
      </c>
      <c r="C5173" s="257" t="s">
        <v>150</v>
      </c>
      <c r="D5173" s="259" t="s">
        <v>17834</v>
      </c>
      <c r="E5173" s="210" t="s">
        <v>201</v>
      </c>
    </row>
    <row r="5174" spans="1:5" ht="27">
      <c r="A5174" s="258" t="s">
        <v>3709</v>
      </c>
      <c r="B5174" s="257" t="s">
        <v>3710</v>
      </c>
      <c r="C5174" s="257" t="s">
        <v>150</v>
      </c>
      <c r="D5174" s="259" t="s">
        <v>17835</v>
      </c>
      <c r="E5174" s="210" t="s">
        <v>201</v>
      </c>
    </row>
    <row r="5175" spans="1:5" ht="27">
      <c r="A5175" s="258">
        <v>79627</v>
      </c>
      <c r="B5175" s="257" t="s">
        <v>3711</v>
      </c>
      <c r="C5175" s="257" t="s">
        <v>150</v>
      </c>
      <c r="D5175" s="259" t="s">
        <v>17836</v>
      </c>
      <c r="E5175" s="210" t="s">
        <v>201</v>
      </c>
    </row>
    <row r="5176" spans="1:5" ht="27">
      <c r="A5176" s="258">
        <v>96358</v>
      </c>
      <c r="B5176" s="257" t="s">
        <v>3712</v>
      </c>
      <c r="C5176" s="257" t="s">
        <v>150</v>
      </c>
      <c r="D5176" s="259" t="s">
        <v>15279</v>
      </c>
      <c r="E5176" s="210" t="s">
        <v>201</v>
      </c>
    </row>
    <row r="5177" spans="1:5" ht="27">
      <c r="A5177" s="258">
        <v>96359</v>
      </c>
      <c r="B5177" s="257" t="s">
        <v>3713</v>
      </c>
      <c r="C5177" s="257" t="s">
        <v>150</v>
      </c>
      <c r="D5177" s="259" t="s">
        <v>17837</v>
      </c>
      <c r="E5177" s="210" t="s">
        <v>201</v>
      </c>
    </row>
    <row r="5178" spans="1:5" ht="27">
      <c r="A5178" s="258">
        <v>96360</v>
      </c>
      <c r="B5178" s="257" t="s">
        <v>3714</v>
      </c>
      <c r="C5178" s="257" t="s">
        <v>150</v>
      </c>
      <c r="D5178" s="259" t="s">
        <v>17838</v>
      </c>
      <c r="E5178" s="210" t="s">
        <v>201</v>
      </c>
    </row>
    <row r="5179" spans="1:5" ht="27">
      <c r="A5179" s="258">
        <v>96361</v>
      </c>
      <c r="B5179" s="257" t="s">
        <v>3715</v>
      </c>
      <c r="C5179" s="257" t="s">
        <v>150</v>
      </c>
      <c r="D5179" s="259" t="s">
        <v>13915</v>
      </c>
      <c r="E5179" s="210" t="s">
        <v>201</v>
      </c>
    </row>
    <row r="5180" spans="1:5" ht="27">
      <c r="A5180" s="258">
        <v>96362</v>
      </c>
      <c r="B5180" s="257" t="s">
        <v>3716</v>
      </c>
      <c r="C5180" s="257" t="s">
        <v>150</v>
      </c>
      <c r="D5180" s="259" t="s">
        <v>17839</v>
      </c>
      <c r="E5180" s="210" t="s">
        <v>201</v>
      </c>
    </row>
    <row r="5181" spans="1:5" ht="27">
      <c r="A5181" s="258">
        <v>96363</v>
      </c>
      <c r="B5181" s="257" t="s">
        <v>3717</v>
      </c>
      <c r="C5181" s="257" t="s">
        <v>150</v>
      </c>
      <c r="D5181" s="259" t="s">
        <v>17840</v>
      </c>
      <c r="E5181" s="210" t="s">
        <v>201</v>
      </c>
    </row>
    <row r="5182" spans="1:5" ht="27">
      <c r="A5182" s="258">
        <v>96364</v>
      </c>
      <c r="B5182" s="257" t="s">
        <v>3718</v>
      </c>
      <c r="C5182" s="257" t="s">
        <v>150</v>
      </c>
      <c r="D5182" s="259" t="s">
        <v>17841</v>
      </c>
      <c r="E5182" s="210" t="s">
        <v>201</v>
      </c>
    </row>
    <row r="5183" spans="1:5" ht="27">
      <c r="A5183" s="258">
        <v>96365</v>
      </c>
      <c r="B5183" s="257" t="s">
        <v>3719</v>
      </c>
      <c r="C5183" s="257" t="s">
        <v>150</v>
      </c>
      <c r="D5183" s="259" t="s">
        <v>17842</v>
      </c>
      <c r="E5183" s="210" t="s">
        <v>201</v>
      </c>
    </row>
    <row r="5184" spans="1:5" ht="27">
      <c r="A5184" s="258">
        <v>96366</v>
      </c>
      <c r="B5184" s="257" t="s">
        <v>3720</v>
      </c>
      <c r="C5184" s="257" t="s">
        <v>150</v>
      </c>
      <c r="D5184" s="259" t="s">
        <v>17843</v>
      </c>
      <c r="E5184" s="210" t="s">
        <v>201</v>
      </c>
    </row>
    <row r="5185" spans="1:5" ht="27">
      <c r="A5185" s="258">
        <v>96367</v>
      </c>
      <c r="B5185" s="257" t="s">
        <v>3721</v>
      </c>
      <c r="C5185" s="257" t="s">
        <v>150</v>
      </c>
      <c r="D5185" s="259" t="s">
        <v>17844</v>
      </c>
      <c r="E5185" s="210" t="s">
        <v>201</v>
      </c>
    </row>
    <row r="5186" spans="1:5" ht="27">
      <c r="A5186" s="258">
        <v>96368</v>
      </c>
      <c r="B5186" s="257" t="s">
        <v>3722</v>
      </c>
      <c r="C5186" s="257" t="s">
        <v>150</v>
      </c>
      <c r="D5186" s="259" t="s">
        <v>17845</v>
      </c>
      <c r="E5186" s="210" t="s">
        <v>201</v>
      </c>
    </row>
    <row r="5187" spans="1:5" ht="27">
      <c r="A5187" s="258">
        <v>96369</v>
      </c>
      <c r="B5187" s="257" t="s">
        <v>3723</v>
      </c>
      <c r="C5187" s="257" t="s">
        <v>150</v>
      </c>
      <c r="D5187" s="259" t="s">
        <v>15312</v>
      </c>
      <c r="E5187" s="210" t="s">
        <v>201</v>
      </c>
    </row>
    <row r="5188" spans="1:5" ht="27">
      <c r="A5188" s="258">
        <v>96370</v>
      </c>
      <c r="B5188" s="257" t="s">
        <v>3724</v>
      </c>
      <c r="C5188" s="257" t="s">
        <v>150</v>
      </c>
      <c r="D5188" s="259" t="s">
        <v>15050</v>
      </c>
      <c r="E5188" s="210" t="s">
        <v>201</v>
      </c>
    </row>
    <row r="5189" spans="1:5" ht="27">
      <c r="A5189" s="258">
        <v>96371</v>
      </c>
      <c r="B5189" s="257" t="s">
        <v>3725</v>
      </c>
      <c r="C5189" s="257" t="s">
        <v>150</v>
      </c>
      <c r="D5189" s="259" t="s">
        <v>17846</v>
      </c>
      <c r="E5189" s="210" t="s">
        <v>201</v>
      </c>
    </row>
    <row r="5190" spans="1:5" ht="13.5">
      <c r="A5190" s="258">
        <v>96372</v>
      </c>
      <c r="B5190" s="257" t="s">
        <v>3726</v>
      </c>
      <c r="C5190" s="257" t="s">
        <v>150</v>
      </c>
      <c r="D5190" s="259" t="s">
        <v>17847</v>
      </c>
      <c r="E5190" s="210" t="s">
        <v>201</v>
      </c>
    </row>
    <row r="5191" spans="1:5" ht="13.5">
      <c r="A5191" s="258">
        <v>96373</v>
      </c>
      <c r="B5191" s="257" t="s">
        <v>3727</v>
      </c>
      <c r="C5191" s="257" t="s">
        <v>5</v>
      </c>
      <c r="D5191" s="259" t="s">
        <v>15470</v>
      </c>
      <c r="E5191" s="210" t="s">
        <v>201</v>
      </c>
    </row>
    <row r="5192" spans="1:5" ht="13.5">
      <c r="A5192" s="258">
        <v>96374</v>
      </c>
      <c r="B5192" s="257" t="s">
        <v>3728</v>
      </c>
      <c r="C5192" s="257" t="s">
        <v>5</v>
      </c>
      <c r="D5192" s="259" t="s">
        <v>17848</v>
      </c>
      <c r="E5192" s="210" t="s">
        <v>201</v>
      </c>
    </row>
    <row r="5193" spans="1:5" ht="27">
      <c r="A5193" s="258" t="s">
        <v>3729</v>
      </c>
      <c r="B5193" s="257" t="s">
        <v>3730</v>
      </c>
      <c r="C5193" s="257" t="s">
        <v>150</v>
      </c>
      <c r="D5193" s="259" t="s">
        <v>15827</v>
      </c>
      <c r="E5193" s="210" t="s">
        <v>201</v>
      </c>
    </row>
    <row r="5194" spans="1:5" ht="27">
      <c r="A5194" s="258" t="s">
        <v>3731</v>
      </c>
      <c r="B5194" s="257" t="s">
        <v>3732</v>
      </c>
      <c r="C5194" s="257" t="s">
        <v>150</v>
      </c>
      <c r="D5194" s="259" t="s">
        <v>17849</v>
      </c>
      <c r="E5194" s="210" t="s">
        <v>201</v>
      </c>
    </row>
    <row r="5195" spans="1:5" ht="27">
      <c r="A5195" s="258" t="s">
        <v>3733</v>
      </c>
      <c r="B5195" s="257" t="s">
        <v>3734</v>
      </c>
      <c r="C5195" s="257" t="s">
        <v>150</v>
      </c>
      <c r="D5195" s="259" t="s">
        <v>17850</v>
      </c>
      <c r="E5195" s="210" t="s">
        <v>201</v>
      </c>
    </row>
    <row r="5196" spans="1:5" ht="27">
      <c r="A5196" s="258" t="s">
        <v>3735</v>
      </c>
      <c r="B5196" s="257" t="s">
        <v>3736</v>
      </c>
      <c r="C5196" s="257" t="s">
        <v>150</v>
      </c>
      <c r="D5196" s="259" t="s">
        <v>17851</v>
      </c>
      <c r="E5196" s="210" t="s">
        <v>201</v>
      </c>
    </row>
    <row r="5197" spans="1:5" ht="27">
      <c r="A5197" s="258">
        <v>83694</v>
      </c>
      <c r="B5197" s="257" t="s">
        <v>3737</v>
      </c>
      <c r="C5197" s="257" t="s">
        <v>150</v>
      </c>
      <c r="D5197" s="259" t="s">
        <v>17852</v>
      </c>
      <c r="E5197" s="210" t="s">
        <v>201</v>
      </c>
    </row>
    <row r="5198" spans="1:5" ht="13.5">
      <c r="A5198" s="258" t="s">
        <v>3738</v>
      </c>
      <c r="B5198" s="257" t="s">
        <v>3739</v>
      </c>
      <c r="C5198" s="257" t="s">
        <v>150</v>
      </c>
      <c r="D5198" s="259" t="s">
        <v>17853</v>
      </c>
      <c r="E5198" s="210" t="s">
        <v>201</v>
      </c>
    </row>
    <row r="5199" spans="1:5" ht="13.5">
      <c r="A5199" s="258">
        <v>83771</v>
      </c>
      <c r="B5199" s="257" t="s">
        <v>3740</v>
      </c>
      <c r="C5199" s="257" t="s">
        <v>172</v>
      </c>
      <c r="D5199" s="259" t="s">
        <v>15491</v>
      </c>
      <c r="E5199" s="210" t="s">
        <v>201</v>
      </c>
    </row>
    <row r="5200" spans="1:5" ht="27">
      <c r="A5200" s="258">
        <v>92970</v>
      </c>
      <c r="B5200" s="257" t="s">
        <v>3741</v>
      </c>
      <c r="C5200" s="257" t="s">
        <v>150</v>
      </c>
      <c r="D5200" s="259" t="s">
        <v>17854</v>
      </c>
      <c r="E5200" s="210" t="s">
        <v>201</v>
      </c>
    </row>
    <row r="5201" spans="1:5" ht="13.5">
      <c r="A5201" s="258">
        <v>100576</v>
      </c>
      <c r="B5201" s="257" t="s">
        <v>7157</v>
      </c>
      <c r="C5201" s="257" t="s">
        <v>150</v>
      </c>
      <c r="D5201" s="259" t="s">
        <v>14295</v>
      </c>
      <c r="E5201" s="210" t="s">
        <v>201</v>
      </c>
    </row>
    <row r="5202" spans="1:5" ht="13.5">
      <c r="A5202" s="258">
        <v>100577</v>
      </c>
      <c r="B5202" s="257" t="s">
        <v>7158</v>
      </c>
      <c r="C5202" s="257" t="s">
        <v>150</v>
      </c>
      <c r="D5202" s="259" t="s">
        <v>14026</v>
      </c>
      <c r="E5202" s="210" t="s">
        <v>201</v>
      </c>
    </row>
    <row r="5203" spans="1:5" ht="27">
      <c r="A5203" s="258">
        <v>96388</v>
      </c>
      <c r="B5203" s="257" t="s">
        <v>7159</v>
      </c>
      <c r="C5203" s="257" t="s">
        <v>172</v>
      </c>
      <c r="D5203" s="259" t="s">
        <v>15476</v>
      </c>
      <c r="E5203" s="210" t="s">
        <v>201</v>
      </c>
    </row>
    <row r="5204" spans="1:5" ht="40.5">
      <c r="A5204" s="258">
        <v>96389</v>
      </c>
      <c r="B5204" s="257" t="s">
        <v>7160</v>
      </c>
      <c r="C5204" s="257" t="s">
        <v>172</v>
      </c>
      <c r="D5204" s="259" t="s">
        <v>17855</v>
      </c>
      <c r="E5204" s="210" t="s">
        <v>201</v>
      </c>
    </row>
    <row r="5205" spans="1:5" ht="40.5">
      <c r="A5205" s="258">
        <v>96390</v>
      </c>
      <c r="B5205" s="257" t="s">
        <v>7161</v>
      </c>
      <c r="C5205" s="257" t="s">
        <v>172</v>
      </c>
      <c r="D5205" s="259" t="s">
        <v>17856</v>
      </c>
      <c r="E5205" s="210" t="s">
        <v>201</v>
      </c>
    </row>
    <row r="5206" spans="1:5" ht="27">
      <c r="A5206" s="258">
        <v>96391</v>
      </c>
      <c r="B5206" s="257" t="s">
        <v>7162</v>
      </c>
      <c r="C5206" s="257" t="s">
        <v>172</v>
      </c>
      <c r="D5206" s="259" t="s">
        <v>17857</v>
      </c>
      <c r="E5206" s="210" t="s">
        <v>201</v>
      </c>
    </row>
    <row r="5207" spans="1:5" ht="27">
      <c r="A5207" s="258">
        <v>96392</v>
      </c>
      <c r="B5207" s="257" t="s">
        <v>7163</v>
      </c>
      <c r="C5207" s="257" t="s">
        <v>172</v>
      </c>
      <c r="D5207" s="259" t="s">
        <v>17858</v>
      </c>
      <c r="E5207" s="210" t="s">
        <v>201</v>
      </c>
    </row>
    <row r="5208" spans="1:5" ht="27">
      <c r="A5208" s="258">
        <v>96396</v>
      </c>
      <c r="B5208" s="257" t="s">
        <v>7164</v>
      </c>
      <c r="C5208" s="257" t="s">
        <v>172</v>
      </c>
      <c r="D5208" s="259" t="s">
        <v>17859</v>
      </c>
      <c r="E5208" s="210" t="s">
        <v>201</v>
      </c>
    </row>
    <row r="5209" spans="1:5" ht="27">
      <c r="A5209" s="258">
        <v>96397</v>
      </c>
      <c r="B5209" s="257" t="s">
        <v>7165</v>
      </c>
      <c r="C5209" s="257" t="s">
        <v>172</v>
      </c>
      <c r="D5209" s="259" t="s">
        <v>17860</v>
      </c>
      <c r="E5209" s="210" t="s">
        <v>201</v>
      </c>
    </row>
    <row r="5210" spans="1:5" ht="27">
      <c r="A5210" s="258">
        <v>96398</v>
      </c>
      <c r="B5210" s="257" t="s">
        <v>7166</v>
      </c>
      <c r="C5210" s="257" t="s">
        <v>172</v>
      </c>
      <c r="D5210" s="259" t="s">
        <v>17861</v>
      </c>
      <c r="E5210" s="210" t="s">
        <v>201</v>
      </c>
    </row>
    <row r="5211" spans="1:5" ht="27">
      <c r="A5211" s="258">
        <v>96399</v>
      </c>
      <c r="B5211" s="257" t="s">
        <v>7167</v>
      </c>
      <c r="C5211" s="257" t="s">
        <v>172</v>
      </c>
      <c r="D5211" s="259" t="s">
        <v>17862</v>
      </c>
      <c r="E5211" s="210" t="s">
        <v>201</v>
      </c>
    </row>
    <row r="5212" spans="1:5" ht="27">
      <c r="A5212" s="258">
        <v>96400</v>
      </c>
      <c r="B5212" s="257" t="s">
        <v>7168</v>
      </c>
      <c r="C5212" s="257" t="s">
        <v>172</v>
      </c>
      <c r="D5212" s="259" t="s">
        <v>17863</v>
      </c>
      <c r="E5212" s="210" t="s">
        <v>201</v>
      </c>
    </row>
    <row r="5213" spans="1:5" ht="13.5">
      <c r="A5213" s="258">
        <v>96401</v>
      </c>
      <c r="B5213" s="257" t="s">
        <v>7169</v>
      </c>
      <c r="C5213" s="257" t="s">
        <v>150</v>
      </c>
      <c r="D5213" s="259" t="s">
        <v>15806</v>
      </c>
      <c r="E5213" s="210" t="s">
        <v>201</v>
      </c>
    </row>
    <row r="5214" spans="1:5" ht="13.5">
      <c r="A5214" s="258">
        <v>96402</v>
      </c>
      <c r="B5214" s="257" t="s">
        <v>7170</v>
      </c>
      <c r="C5214" s="257" t="s">
        <v>150</v>
      </c>
      <c r="D5214" s="259" t="s">
        <v>17864</v>
      </c>
      <c r="E5214" s="210" t="s">
        <v>201</v>
      </c>
    </row>
    <row r="5215" spans="1:5" ht="27">
      <c r="A5215" s="258">
        <v>100564</v>
      </c>
      <c r="B5215" s="257" t="s">
        <v>7171</v>
      </c>
      <c r="C5215" s="257" t="s">
        <v>172</v>
      </c>
      <c r="D5215" s="259" t="s">
        <v>16828</v>
      </c>
      <c r="E5215" s="210" t="s">
        <v>201</v>
      </c>
    </row>
    <row r="5216" spans="1:5" ht="27">
      <c r="A5216" s="258">
        <v>100565</v>
      </c>
      <c r="B5216" s="257" t="s">
        <v>7172</v>
      </c>
      <c r="C5216" s="257" t="s">
        <v>172</v>
      </c>
      <c r="D5216" s="259" t="s">
        <v>17164</v>
      </c>
      <c r="E5216" s="210" t="s">
        <v>201</v>
      </c>
    </row>
    <row r="5217" spans="1:5" ht="40.5">
      <c r="A5217" s="258">
        <v>100566</v>
      </c>
      <c r="B5217" s="257" t="s">
        <v>7173</v>
      </c>
      <c r="C5217" s="257" t="s">
        <v>172</v>
      </c>
      <c r="D5217" s="259" t="s">
        <v>17865</v>
      </c>
      <c r="E5217" s="210" t="s">
        <v>201</v>
      </c>
    </row>
    <row r="5218" spans="1:5" ht="40.5">
      <c r="A5218" s="258">
        <v>100567</v>
      </c>
      <c r="B5218" s="257" t="s">
        <v>7174</v>
      </c>
      <c r="C5218" s="257" t="s">
        <v>172</v>
      </c>
      <c r="D5218" s="259" t="s">
        <v>17866</v>
      </c>
      <c r="E5218" s="210" t="s">
        <v>201</v>
      </c>
    </row>
    <row r="5219" spans="1:5" ht="40.5">
      <c r="A5219" s="258">
        <v>100568</v>
      </c>
      <c r="B5219" s="257" t="s">
        <v>7175</v>
      </c>
      <c r="C5219" s="257" t="s">
        <v>172</v>
      </c>
      <c r="D5219" s="259" t="s">
        <v>17867</v>
      </c>
      <c r="E5219" s="210" t="s">
        <v>201</v>
      </c>
    </row>
    <row r="5220" spans="1:5" ht="40.5">
      <c r="A5220" s="258">
        <v>100569</v>
      </c>
      <c r="B5220" s="257" t="s">
        <v>7176</v>
      </c>
      <c r="C5220" s="257" t="s">
        <v>172</v>
      </c>
      <c r="D5220" s="259" t="s">
        <v>17868</v>
      </c>
      <c r="E5220" s="210" t="s">
        <v>201</v>
      </c>
    </row>
    <row r="5221" spans="1:5" ht="40.5">
      <c r="A5221" s="258">
        <v>100570</v>
      </c>
      <c r="B5221" s="257" t="s">
        <v>7177</v>
      </c>
      <c r="C5221" s="257" t="s">
        <v>172</v>
      </c>
      <c r="D5221" s="259" t="s">
        <v>17869</v>
      </c>
      <c r="E5221" s="210" t="s">
        <v>201</v>
      </c>
    </row>
    <row r="5222" spans="1:5" ht="40.5">
      <c r="A5222" s="258">
        <v>100571</v>
      </c>
      <c r="B5222" s="257" t="s">
        <v>7178</v>
      </c>
      <c r="C5222" s="257" t="s">
        <v>172</v>
      </c>
      <c r="D5222" s="259" t="s">
        <v>17870</v>
      </c>
      <c r="E5222" s="210" t="s">
        <v>201</v>
      </c>
    </row>
    <row r="5223" spans="1:5" ht="27">
      <c r="A5223" s="258">
        <v>100572</v>
      </c>
      <c r="B5223" s="257" t="s">
        <v>7179</v>
      </c>
      <c r="C5223" s="257" t="s">
        <v>172</v>
      </c>
      <c r="D5223" s="259" t="s">
        <v>16121</v>
      </c>
      <c r="E5223" s="210" t="s">
        <v>201</v>
      </c>
    </row>
    <row r="5224" spans="1:5" ht="27">
      <c r="A5224" s="258">
        <v>100573</v>
      </c>
      <c r="B5224" s="257" t="s">
        <v>7180</v>
      </c>
      <c r="C5224" s="257" t="s">
        <v>172</v>
      </c>
      <c r="D5224" s="259" t="s">
        <v>17871</v>
      </c>
      <c r="E5224" s="210" t="s">
        <v>201</v>
      </c>
    </row>
    <row r="5225" spans="1:5" ht="13.5">
      <c r="A5225" s="258">
        <v>100574</v>
      </c>
      <c r="B5225" s="257" t="s">
        <v>7181</v>
      </c>
      <c r="C5225" s="257" t="s">
        <v>172</v>
      </c>
      <c r="D5225" s="259" t="s">
        <v>14369</v>
      </c>
      <c r="E5225" s="210" t="s">
        <v>201</v>
      </c>
    </row>
    <row r="5226" spans="1:5" ht="13.5">
      <c r="A5226" s="258">
        <v>100575</v>
      </c>
      <c r="B5226" s="257" t="s">
        <v>7182</v>
      </c>
      <c r="C5226" s="257" t="s">
        <v>150</v>
      </c>
      <c r="D5226" s="259" t="s">
        <v>13920</v>
      </c>
      <c r="E5226" s="210" t="s">
        <v>201</v>
      </c>
    </row>
    <row r="5227" spans="1:5" ht="27">
      <c r="A5227" s="258">
        <v>72799</v>
      </c>
      <c r="B5227" s="257" t="s">
        <v>3742</v>
      </c>
      <c r="C5227" s="257" t="s">
        <v>150</v>
      </c>
      <c r="D5227" s="259" t="s">
        <v>17092</v>
      </c>
      <c r="E5227" s="210" t="s">
        <v>201</v>
      </c>
    </row>
    <row r="5228" spans="1:5" ht="13.5">
      <c r="A5228" s="258">
        <v>72942</v>
      </c>
      <c r="B5228" s="257" t="s">
        <v>3743</v>
      </c>
      <c r="C5228" s="257" t="s">
        <v>150</v>
      </c>
      <c r="D5228" s="259" t="s">
        <v>17872</v>
      </c>
      <c r="E5228" s="210" t="s">
        <v>201</v>
      </c>
    </row>
    <row r="5229" spans="1:5" ht="13.5">
      <c r="A5229" s="258">
        <v>72943</v>
      </c>
      <c r="B5229" s="257" t="s">
        <v>3744</v>
      </c>
      <c r="C5229" s="257" t="s">
        <v>150</v>
      </c>
      <c r="D5229" s="259" t="s">
        <v>17873</v>
      </c>
      <c r="E5229" s="210" t="s">
        <v>201</v>
      </c>
    </row>
    <row r="5230" spans="1:5" ht="13.5">
      <c r="A5230" s="258">
        <v>72972</v>
      </c>
      <c r="B5230" s="257" t="s">
        <v>3745</v>
      </c>
      <c r="C5230" s="257" t="s">
        <v>150</v>
      </c>
      <c r="D5230" s="259" t="s">
        <v>17874</v>
      </c>
      <c r="E5230" s="210" t="s">
        <v>201</v>
      </c>
    </row>
    <row r="5231" spans="1:5" ht="13.5">
      <c r="A5231" s="258">
        <v>72973</v>
      </c>
      <c r="B5231" s="257" t="s">
        <v>3746</v>
      </c>
      <c r="C5231" s="257" t="s">
        <v>5</v>
      </c>
      <c r="D5231" s="259" t="s">
        <v>17875</v>
      </c>
      <c r="E5231" s="210" t="s">
        <v>201</v>
      </c>
    </row>
    <row r="5232" spans="1:5" ht="13.5">
      <c r="A5232" s="258">
        <v>72974</v>
      </c>
      <c r="B5232" s="257" t="s">
        <v>3747</v>
      </c>
      <c r="C5232" s="257" t="s">
        <v>150</v>
      </c>
      <c r="D5232" s="259" t="s">
        <v>17876</v>
      </c>
      <c r="E5232" s="210" t="s">
        <v>201</v>
      </c>
    </row>
    <row r="5233" spans="1:5" ht="13.5">
      <c r="A5233" s="258">
        <v>72975</v>
      </c>
      <c r="B5233" s="257" t="s">
        <v>3748</v>
      </c>
      <c r="C5233" s="257" t="s">
        <v>150</v>
      </c>
      <c r="D5233" s="259" t="s">
        <v>14189</v>
      </c>
      <c r="E5233" s="210" t="s">
        <v>201</v>
      </c>
    </row>
    <row r="5234" spans="1:5" ht="27">
      <c r="A5234" s="258">
        <v>72978</v>
      </c>
      <c r="B5234" s="257" t="s">
        <v>3749</v>
      </c>
      <c r="C5234" s="257" t="s">
        <v>5</v>
      </c>
      <c r="D5234" s="259" t="s">
        <v>17877</v>
      </c>
      <c r="E5234" s="210" t="s">
        <v>201</v>
      </c>
    </row>
    <row r="5235" spans="1:5" ht="27">
      <c r="A5235" s="258">
        <v>72979</v>
      </c>
      <c r="B5235" s="257" t="s">
        <v>3750</v>
      </c>
      <c r="C5235" s="257" t="s">
        <v>150</v>
      </c>
      <c r="D5235" s="259" t="s">
        <v>15801</v>
      </c>
      <c r="E5235" s="210" t="s">
        <v>201</v>
      </c>
    </row>
    <row r="5236" spans="1:5" ht="40.5">
      <c r="A5236" s="258" t="s">
        <v>3751</v>
      </c>
      <c r="B5236" s="257" t="s">
        <v>3752</v>
      </c>
      <c r="C5236" s="257" t="s">
        <v>150</v>
      </c>
      <c r="D5236" s="259" t="s">
        <v>16521</v>
      </c>
      <c r="E5236" s="210" t="s">
        <v>201</v>
      </c>
    </row>
    <row r="5237" spans="1:5" ht="27">
      <c r="A5237" s="258" t="s">
        <v>3753</v>
      </c>
      <c r="B5237" s="257" t="s">
        <v>3754</v>
      </c>
      <c r="C5237" s="257" t="s">
        <v>172</v>
      </c>
      <c r="D5237" s="259" t="s">
        <v>17878</v>
      </c>
      <c r="E5237" s="210" t="s">
        <v>201</v>
      </c>
    </row>
    <row r="5238" spans="1:5" ht="27">
      <c r="A5238" s="258" t="s">
        <v>3755</v>
      </c>
      <c r="B5238" s="257" t="s">
        <v>3756</v>
      </c>
      <c r="C5238" s="257" t="s">
        <v>172</v>
      </c>
      <c r="D5238" s="259" t="s">
        <v>17879</v>
      </c>
      <c r="E5238" s="210" t="s">
        <v>201</v>
      </c>
    </row>
    <row r="5239" spans="1:5" ht="27">
      <c r="A5239" s="258">
        <v>92391</v>
      </c>
      <c r="B5239" s="257" t="s">
        <v>3757</v>
      </c>
      <c r="C5239" s="257" t="s">
        <v>150</v>
      </c>
      <c r="D5239" s="259" t="s">
        <v>17755</v>
      </c>
      <c r="E5239" s="210" t="s">
        <v>201</v>
      </c>
    </row>
    <row r="5240" spans="1:5" ht="27">
      <c r="A5240" s="258">
        <v>92392</v>
      </c>
      <c r="B5240" s="257" t="s">
        <v>3758</v>
      </c>
      <c r="C5240" s="257" t="s">
        <v>150</v>
      </c>
      <c r="D5240" s="259" t="s">
        <v>17880</v>
      </c>
      <c r="E5240" s="210" t="s">
        <v>201</v>
      </c>
    </row>
    <row r="5241" spans="1:5" ht="27">
      <c r="A5241" s="258">
        <v>92393</v>
      </c>
      <c r="B5241" s="257" t="s">
        <v>3759</v>
      </c>
      <c r="C5241" s="257" t="s">
        <v>150</v>
      </c>
      <c r="D5241" s="259" t="s">
        <v>17881</v>
      </c>
      <c r="E5241" s="210" t="s">
        <v>201</v>
      </c>
    </row>
    <row r="5242" spans="1:5" ht="27">
      <c r="A5242" s="258">
        <v>92394</v>
      </c>
      <c r="B5242" s="257" t="s">
        <v>3760</v>
      </c>
      <c r="C5242" s="257" t="s">
        <v>150</v>
      </c>
      <c r="D5242" s="259" t="s">
        <v>17882</v>
      </c>
      <c r="E5242" s="210" t="s">
        <v>201</v>
      </c>
    </row>
    <row r="5243" spans="1:5" ht="27">
      <c r="A5243" s="258">
        <v>92395</v>
      </c>
      <c r="B5243" s="257" t="s">
        <v>3761</v>
      </c>
      <c r="C5243" s="257" t="s">
        <v>150</v>
      </c>
      <c r="D5243" s="259" t="s">
        <v>17883</v>
      </c>
      <c r="E5243" s="210" t="s">
        <v>201</v>
      </c>
    </row>
    <row r="5244" spans="1:5" ht="27">
      <c r="A5244" s="258">
        <v>92396</v>
      </c>
      <c r="B5244" s="257" t="s">
        <v>3762</v>
      </c>
      <c r="C5244" s="257" t="s">
        <v>150</v>
      </c>
      <c r="D5244" s="259" t="s">
        <v>17884</v>
      </c>
      <c r="E5244" s="210" t="s">
        <v>201</v>
      </c>
    </row>
    <row r="5245" spans="1:5" ht="27">
      <c r="A5245" s="258">
        <v>92397</v>
      </c>
      <c r="B5245" s="257" t="s">
        <v>3763</v>
      </c>
      <c r="C5245" s="257" t="s">
        <v>150</v>
      </c>
      <c r="D5245" s="259" t="s">
        <v>16820</v>
      </c>
      <c r="E5245" s="210" t="s">
        <v>201</v>
      </c>
    </row>
    <row r="5246" spans="1:5" ht="27">
      <c r="A5246" s="258">
        <v>92398</v>
      </c>
      <c r="B5246" s="257" t="s">
        <v>3764</v>
      </c>
      <c r="C5246" s="257" t="s">
        <v>150</v>
      </c>
      <c r="D5246" s="259" t="s">
        <v>17885</v>
      </c>
      <c r="E5246" s="210" t="s">
        <v>201</v>
      </c>
    </row>
    <row r="5247" spans="1:5" ht="27">
      <c r="A5247" s="258">
        <v>92399</v>
      </c>
      <c r="B5247" s="257" t="s">
        <v>3765</v>
      </c>
      <c r="C5247" s="257" t="s">
        <v>150</v>
      </c>
      <c r="D5247" s="259" t="s">
        <v>17886</v>
      </c>
      <c r="E5247" s="210" t="s">
        <v>201</v>
      </c>
    </row>
    <row r="5248" spans="1:5" ht="27">
      <c r="A5248" s="258">
        <v>92400</v>
      </c>
      <c r="B5248" s="257" t="s">
        <v>3766</v>
      </c>
      <c r="C5248" s="257" t="s">
        <v>150</v>
      </c>
      <c r="D5248" s="259" t="s">
        <v>17887</v>
      </c>
      <c r="E5248" s="210" t="s">
        <v>201</v>
      </c>
    </row>
    <row r="5249" spans="1:5" ht="27">
      <c r="A5249" s="258">
        <v>92401</v>
      </c>
      <c r="B5249" s="257" t="s">
        <v>3767</v>
      </c>
      <c r="C5249" s="257" t="s">
        <v>150</v>
      </c>
      <c r="D5249" s="259" t="s">
        <v>17888</v>
      </c>
      <c r="E5249" s="210" t="s">
        <v>201</v>
      </c>
    </row>
    <row r="5250" spans="1:5" ht="27">
      <c r="A5250" s="258">
        <v>92402</v>
      </c>
      <c r="B5250" s="257" t="s">
        <v>3768</v>
      </c>
      <c r="C5250" s="257" t="s">
        <v>150</v>
      </c>
      <c r="D5250" s="259" t="s">
        <v>17889</v>
      </c>
      <c r="E5250" s="210" t="s">
        <v>201</v>
      </c>
    </row>
    <row r="5251" spans="1:5" ht="27">
      <c r="A5251" s="258">
        <v>92403</v>
      </c>
      <c r="B5251" s="257" t="s">
        <v>3769</v>
      </c>
      <c r="C5251" s="257" t="s">
        <v>150</v>
      </c>
      <c r="D5251" s="259" t="s">
        <v>17890</v>
      </c>
      <c r="E5251" s="210" t="s">
        <v>201</v>
      </c>
    </row>
    <row r="5252" spans="1:5" ht="27">
      <c r="A5252" s="258">
        <v>92404</v>
      </c>
      <c r="B5252" s="257" t="s">
        <v>3770</v>
      </c>
      <c r="C5252" s="257" t="s">
        <v>150</v>
      </c>
      <c r="D5252" s="259" t="s">
        <v>17891</v>
      </c>
      <c r="E5252" s="210" t="s">
        <v>201</v>
      </c>
    </row>
    <row r="5253" spans="1:5" ht="27">
      <c r="A5253" s="258">
        <v>92405</v>
      </c>
      <c r="B5253" s="257" t="s">
        <v>3771</v>
      </c>
      <c r="C5253" s="257" t="s">
        <v>150</v>
      </c>
      <c r="D5253" s="259" t="s">
        <v>17892</v>
      </c>
      <c r="E5253" s="210" t="s">
        <v>201</v>
      </c>
    </row>
    <row r="5254" spans="1:5" ht="27">
      <c r="A5254" s="258">
        <v>92406</v>
      </c>
      <c r="B5254" s="257" t="s">
        <v>3772</v>
      </c>
      <c r="C5254" s="257" t="s">
        <v>150</v>
      </c>
      <c r="D5254" s="259" t="s">
        <v>16022</v>
      </c>
      <c r="E5254" s="210" t="s">
        <v>201</v>
      </c>
    </row>
    <row r="5255" spans="1:5" ht="27">
      <c r="A5255" s="258">
        <v>92407</v>
      </c>
      <c r="B5255" s="257" t="s">
        <v>3773</v>
      </c>
      <c r="C5255" s="257" t="s">
        <v>150</v>
      </c>
      <c r="D5255" s="259" t="s">
        <v>17714</v>
      </c>
      <c r="E5255" s="210" t="s">
        <v>201</v>
      </c>
    </row>
    <row r="5256" spans="1:5" ht="27">
      <c r="A5256" s="258">
        <v>93679</v>
      </c>
      <c r="B5256" s="257" t="s">
        <v>3774</v>
      </c>
      <c r="C5256" s="257" t="s">
        <v>150</v>
      </c>
      <c r="D5256" s="259" t="s">
        <v>15994</v>
      </c>
      <c r="E5256" s="210" t="s">
        <v>201</v>
      </c>
    </row>
    <row r="5257" spans="1:5" ht="27">
      <c r="A5257" s="258">
        <v>93680</v>
      </c>
      <c r="B5257" s="257" t="s">
        <v>3775</v>
      </c>
      <c r="C5257" s="257" t="s">
        <v>150</v>
      </c>
      <c r="D5257" s="259" t="s">
        <v>17893</v>
      </c>
      <c r="E5257" s="210" t="s">
        <v>201</v>
      </c>
    </row>
    <row r="5258" spans="1:5" ht="27">
      <c r="A5258" s="258">
        <v>93681</v>
      </c>
      <c r="B5258" s="257" t="s">
        <v>3776</v>
      </c>
      <c r="C5258" s="257" t="s">
        <v>150</v>
      </c>
      <c r="D5258" s="259" t="s">
        <v>17894</v>
      </c>
      <c r="E5258" s="210" t="s">
        <v>201</v>
      </c>
    </row>
    <row r="5259" spans="1:5" ht="27">
      <c r="A5259" s="258">
        <v>93682</v>
      </c>
      <c r="B5259" s="257" t="s">
        <v>3777</v>
      </c>
      <c r="C5259" s="257" t="s">
        <v>150</v>
      </c>
      <c r="D5259" s="259" t="s">
        <v>17895</v>
      </c>
      <c r="E5259" s="210" t="s">
        <v>201</v>
      </c>
    </row>
    <row r="5260" spans="1:5" ht="13.5">
      <c r="A5260" s="258">
        <v>97114</v>
      </c>
      <c r="B5260" s="257" t="s">
        <v>4990</v>
      </c>
      <c r="C5260" s="257" t="s">
        <v>5</v>
      </c>
      <c r="D5260" s="259" t="s">
        <v>14064</v>
      </c>
      <c r="E5260" s="210" t="s">
        <v>201</v>
      </c>
    </row>
    <row r="5261" spans="1:5" ht="27">
      <c r="A5261" s="258">
        <v>97115</v>
      </c>
      <c r="B5261" s="257" t="s">
        <v>4991</v>
      </c>
      <c r="C5261" s="257" t="s">
        <v>89</v>
      </c>
      <c r="D5261" s="259" t="s">
        <v>17896</v>
      </c>
      <c r="E5261" s="210" t="s">
        <v>201</v>
      </c>
    </row>
    <row r="5262" spans="1:5" ht="27">
      <c r="A5262" s="258">
        <v>97120</v>
      </c>
      <c r="B5262" s="257" t="s">
        <v>4992</v>
      </c>
      <c r="C5262" s="257" t="s">
        <v>89</v>
      </c>
      <c r="D5262" s="259" t="s">
        <v>17897</v>
      </c>
      <c r="E5262" s="210" t="s">
        <v>201</v>
      </c>
    </row>
    <row r="5263" spans="1:5" ht="13.5">
      <c r="A5263" s="258">
        <v>97802</v>
      </c>
      <c r="B5263" s="257" t="s">
        <v>17898</v>
      </c>
      <c r="C5263" s="257" t="s">
        <v>150</v>
      </c>
      <c r="D5263" s="259" t="s">
        <v>16919</v>
      </c>
      <c r="E5263" s="210" t="s">
        <v>201</v>
      </c>
    </row>
    <row r="5264" spans="1:5" ht="27">
      <c r="A5264" s="258">
        <v>97803</v>
      </c>
      <c r="B5264" s="257" t="s">
        <v>17899</v>
      </c>
      <c r="C5264" s="257" t="s">
        <v>150</v>
      </c>
      <c r="D5264" s="259" t="s">
        <v>13753</v>
      </c>
      <c r="E5264" s="210" t="s">
        <v>201</v>
      </c>
    </row>
    <row r="5265" spans="1:5" ht="13.5">
      <c r="A5265" s="258">
        <v>97805</v>
      </c>
      <c r="B5265" s="257" t="s">
        <v>17900</v>
      </c>
      <c r="C5265" s="257" t="s">
        <v>150</v>
      </c>
      <c r="D5265" s="259" t="s">
        <v>16645</v>
      </c>
      <c r="E5265" s="210" t="s">
        <v>201</v>
      </c>
    </row>
    <row r="5266" spans="1:5" ht="27">
      <c r="A5266" s="258">
        <v>97806</v>
      </c>
      <c r="B5266" s="257" t="s">
        <v>17901</v>
      </c>
      <c r="C5266" s="257" t="s">
        <v>150</v>
      </c>
      <c r="D5266" s="259" t="s">
        <v>17902</v>
      </c>
      <c r="E5266" s="210" t="s">
        <v>201</v>
      </c>
    </row>
    <row r="5267" spans="1:5" ht="27">
      <c r="A5267" s="258">
        <v>97807</v>
      </c>
      <c r="B5267" s="257" t="s">
        <v>17903</v>
      </c>
      <c r="C5267" s="257" t="s">
        <v>150</v>
      </c>
      <c r="D5267" s="259" t="s">
        <v>17904</v>
      </c>
      <c r="E5267" s="210" t="s">
        <v>201</v>
      </c>
    </row>
    <row r="5268" spans="1:5" ht="13.5">
      <c r="A5268" s="258">
        <v>97809</v>
      </c>
      <c r="B5268" s="257" t="s">
        <v>17905</v>
      </c>
      <c r="C5268" s="257" t="s">
        <v>150</v>
      </c>
      <c r="D5268" s="259" t="s">
        <v>16631</v>
      </c>
      <c r="E5268" s="210" t="s">
        <v>201</v>
      </c>
    </row>
    <row r="5269" spans="1:5" ht="27">
      <c r="A5269" s="258">
        <v>97810</v>
      </c>
      <c r="B5269" s="257" t="s">
        <v>17906</v>
      </c>
      <c r="C5269" s="257" t="s">
        <v>150</v>
      </c>
      <c r="D5269" s="259" t="s">
        <v>15747</v>
      </c>
      <c r="E5269" s="210" t="s">
        <v>201</v>
      </c>
    </row>
    <row r="5270" spans="1:5" ht="27">
      <c r="A5270" s="258">
        <v>97811</v>
      </c>
      <c r="B5270" s="257" t="s">
        <v>17907</v>
      </c>
      <c r="C5270" s="257" t="s">
        <v>150</v>
      </c>
      <c r="D5270" s="259" t="s">
        <v>17908</v>
      </c>
      <c r="E5270" s="210" t="s">
        <v>201</v>
      </c>
    </row>
    <row r="5271" spans="1:5" ht="27">
      <c r="A5271" s="258">
        <v>72947</v>
      </c>
      <c r="B5271" s="257" t="s">
        <v>203</v>
      </c>
      <c r="C5271" s="257" t="s">
        <v>150</v>
      </c>
      <c r="D5271" s="259" t="s">
        <v>16362</v>
      </c>
      <c r="E5271" s="210" t="s">
        <v>201</v>
      </c>
    </row>
    <row r="5272" spans="1:5" ht="13.5">
      <c r="A5272" s="258">
        <v>83693</v>
      </c>
      <c r="B5272" s="257" t="s">
        <v>3778</v>
      </c>
      <c r="C5272" s="257" t="s">
        <v>150</v>
      </c>
      <c r="D5272" s="259" t="s">
        <v>14309</v>
      </c>
      <c r="E5272" s="210" t="s">
        <v>201</v>
      </c>
    </row>
    <row r="5273" spans="1:5" ht="27">
      <c r="A5273" s="258" t="s">
        <v>3779</v>
      </c>
      <c r="B5273" s="257" t="s">
        <v>3780</v>
      </c>
      <c r="C5273" s="257" t="s">
        <v>5</v>
      </c>
      <c r="D5273" s="259" t="s">
        <v>17909</v>
      </c>
      <c r="E5273" s="210" t="s">
        <v>201</v>
      </c>
    </row>
    <row r="5274" spans="1:5" ht="27">
      <c r="A5274" s="258" t="s">
        <v>3781</v>
      </c>
      <c r="B5274" s="257" t="s">
        <v>3782</v>
      </c>
      <c r="C5274" s="257" t="s">
        <v>5</v>
      </c>
      <c r="D5274" s="259" t="s">
        <v>17910</v>
      </c>
      <c r="E5274" s="210" t="s">
        <v>201</v>
      </c>
    </row>
    <row r="5275" spans="1:5" ht="27">
      <c r="A5275" s="258" t="s">
        <v>3783</v>
      </c>
      <c r="B5275" s="257" t="s">
        <v>3784</v>
      </c>
      <c r="C5275" s="257" t="s">
        <v>150</v>
      </c>
      <c r="D5275" s="259" t="s">
        <v>14423</v>
      </c>
      <c r="E5275" s="210" t="s">
        <v>201</v>
      </c>
    </row>
    <row r="5276" spans="1:5" ht="13.5">
      <c r="A5276" s="258">
        <v>72962</v>
      </c>
      <c r="B5276" s="257" t="s">
        <v>3785</v>
      </c>
      <c r="C5276" s="257" t="s">
        <v>3495</v>
      </c>
      <c r="D5276" s="259" t="s">
        <v>17911</v>
      </c>
      <c r="E5276" s="210" t="s">
        <v>201</v>
      </c>
    </row>
    <row r="5277" spans="1:5" ht="13.5">
      <c r="A5277" s="258">
        <v>72963</v>
      </c>
      <c r="B5277" s="257" t="s">
        <v>3786</v>
      </c>
      <c r="C5277" s="257" t="s">
        <v>3495</v>
      </c>
      <c r="D5277" s="259" t="s">
        <v>17912</v>
      </c>
      <c r="E5277" s="210" t="s">
        <v>201</v>
      </c>
    </row>
    <row r="5278" spans="1:5" ht="13.5">
      <c r="A5278" s="258" t="s">
        <v>3787</v>
      </c>
      <c r="B5278" s="257" t="s">
        <v>6049</v>
      </c>
      <c r="C5278" s="257" t="s">
        <v>172</v>
      </c>
      <c r="D5278" s="259" t="s">
        <v>17913</v>
      </c>
      <c r="E5278" s="210" t="s">
        <v>201</v>
      </c>
    </row>
    <row r="5279" spans="1:5" ht="27">
      <c r="A5279" s="258">
        <v>95995</v>
      </c>
      <c r="B5279" s="257" t="s">
        <v>7183</v>
      </c>
      <c r="C5279" s="257" t="s">
        <v>172</v>
      </c>
      <c r="D5279" s="259" t="s">
        <v>17914</v>
      </c>
      <c r="E5279" s="210" t="s">
        <v>201</v>
      </c>
    </row>
    <row r="5280" spans="1:5" ht="27">
      <c r="A5280" s="258">
        <v>95996</v>
      </c>
      <c r="B5280" s="257" t="s">
        <v>7184</v>
      </c>
      <c r="C5280" s="257" t="s">
        <v>172</v>
      </c>
      <c r="D5280" s="259" t="s">
        <v>17915</v>
      </c>
      <c r="E5280" s="210" t="s">
        <v>201</v>
      </c>
    </row>
    <row r="5281" spans="1:5" ht="13.5">
      <c r="A5281" s="258">
        <v>96001</v>
      </c>
      <c r="B5281" s="257" t="s">
        <v>7185</v>
      </c>
      <c r="C5281" s="257" t="s">
        <v>150</v>
      </c>
      <c r="D5281" s="259" t="s">
        <v>14303</v>
      </c>
      <c r="E5281" s="210" t="s">
        <v>201</v>
      </c>
    </row>
    <row r="5282" spans="1:5" ht="13.5">
      <c r="A5282" s="258">
        <v>96393</v>
      </c>
      <c r="B5282" s="257" t="s">
        <v>3788</v>
      </c>
      <c r="C5282" s="257" t="s">
        <v>172</v>
      </c>
      <c r="D5282" s="259" t="s">
        <v>17916</v>
      </c>
      <c r="E5282" s="210" t="s">
        <v>201</v>
      </c>
    </row>
    <row r="5283" spans="1:5" ht="27">
      <c r="A5283" s="258">
        <v>96394</v>
      </c>
      <c r="B5283" s="257" t="s">
        <v>3789</v>
      </c>
      <c r="C5283" s="257" t="s">
        <v>172</v>
      </c>
      <c r="D5283" s="259" t="s">
        <v>17917</v>
      </c>
      <c r="E5283" s="210" t="s">
        <v>201</v>
      </c>
    </row>
    <row r="5284" spans="1:5" ht="13.5">
      <c r="A5284" s="258">
        <v>96395</v>
      </c>
      <c r="B5284" s="257" t="s">
        <v>3790</v>
      </c>
      <c r="C5284" s="257" t="s">
        <v>172</v>
      </c>
      <c r="D5284" s="259" t="s">
        <v>17918</v>
      </c>
      <c r="E5284" s="210" t="s">
        <v>201</v>
      </c>
    </row>
    <row r="5285" spans="1:5" ht="13.5">
      <c r="A5285" s="258">
        <v>73445</v>
      </c>
      <c r="B5285" s="257" t="s">
        <v>3791</v>
      </c>
      <c r="C5285" s="257" t="s">
        <v>150</v>
      </c>
      <c r="D5285" s="259" t="s">
        <v>17919</v>
      </c>
      <c r="E5285" s="210" t="s">
        <v>201</v>
      </c>
    </row>
    <row r="5286" spans="1:5" ht="13.5">
      <c r="A5286" s="258">
        <v>73446</v>
      </c>
      <c r="B5286" s="257" t="s">
        <v>3792</v>
      </c>
      <c r="C5286" s="257" t="s">
        <v>150</v>
      </c>
      <c r="D5286" s="259" t="s">
        <v>17920</v>
      </c>
      <c r="E5286" s="210" t="s">
        <v>201</v>
      </c>
    </row>
    <row r="5287" spans="1:5" ht="13.5">
      <c r="A5287" s="258" t="s">
        <v>3793</v>
      </c>
      <c r="B5287" s="257" t="s">
        <v>3794</v>
      </c>
      <c r="C5287" s="257" t="s">
        <v>150</v>
      </c>
      <c r="D5287" s="259" t="s">
        <v>17921</v>
      </c>
      <c r="E5287" s="210" t="s">
        <v>201</v>
      </c>
    </row>
    <row r="5288" spans="1:5" ht="13.5">
      <c r="A5288" s="258" t="s">
        <v>3795</v>
      </c>
      <c r="B5288" s="257" t="s">
        <v>3796</v>
      </c>
      <c r="C5288" s="257" t="s">
        <v>150</v>
      </c>
      <c r="D5288" s="259" t="s">
        <v>13531</v>
      </c>
      <c r="E5288" s="210" t="s">
        <v>201</v>
      </c>
    </row>
    <row r="5289" spans="1:5" ht="13.5">
      <c r="A5289" s="258">
        <v>79462</v>
      </c>
      <c r="B5289" s="257" t="s">
        <v>3797</v>
      </c>
      <c r="C5289" s="257" t="s">
        <v>150</v>
      </c>
      <c r="D5289" s="259" t="s">
        <v>15919</v>
      </c>
      <c r="E5289" s="210" t="s">
        <v>201</v>
      </c>
    </row>
    <row r="5290" spans="1:5" ht="27">
      <c r="A5290" s="258" t="s">
        <v>3798</v>
      </c>
      <c r="B5290" s="257" t="s">
        <v>3799</v>
      </c>
      <c r="C5290" s="257" t="s">
        <v>150</v>
      </c>
      <c r="D5290" s="259" t="s">
        <v>15804</v>
      </c>
      <c r="E5290" s="210" t="s">
        <v>201</v>
      </c>
    </row>
    <row r="5291" spans="1:5" ht="13.5">
      <c r="A5291" s="258">
        <v>84651</v>
      </c>
      <c r="B5291" s="257" t="s">
        <v>3800</v>
      </c>
      <c r="C5291" s="257" t="s">
        <v>150</v>
      </c>
      <c r="D5291" s="259" t="s">
        <v>17922</v>
      </c>
      <c r="E5291" s="210" t="s">
        <v>201</v>
      </c>
    </row>
    <row r="5292" spans="1:5" ht="27">
      <c r="A5292" s="258">
        <v>88411</v>
      </c>
      <c r="B5292" s="257" t="s">
        <v>3801</v>
      </c>
      <c r="C5292" s="257" t="s">
        <v>150</v>
      </c>
      <c r="D5292" s="259" t="s">
        <v>17923</v>
      </c>
      <c r="E5292" s="210" t="s">
        <v>201</v>
      </c>
    </row>
    <row r="5293" spans="1:5" ht="27">
      <c r="A5293" s="258">
        <v>88412</v>
      </c>
      <c r="B5293" s="257" t="s">
        <v>3802</v>
      </c>
      <c r="C5293" s="257" t="s">
        <v>150</v>
      </c>
      <c r="D5293" s="259" t="s">
        <v>17924</v>
      </c>
      <c r="E5293" s="210" t="s">
        <v>201</v>
      </c>
    </row>
    <row r="5294" spans="1:5" ht="27">
      <c r="A5294" s="258">
        <v>88413</v>
      </c>
      <c r="B5294" s="257" t="s">
        <v>3803</v>
      </c>
      <c r="C5294" s="257" t="s">
        <v>150</v>
      </c>
      <c r="D5294" s="259" t="s">
        <v>14289</v>
      </c>
      <c r="E5294" s="210" t="s">
        <v>201</v>
      </c>
    </row>
    <row r="5295" spans="1:5" ht="27">
      <c r="A5295" s="258">
        <v>88414</v>
      </c>
      <c r="B5295" s="257" t="s">
        <v>3804</v>
      </c>
      <c r="C5295" s="257" t="s">
        <v>150</v>
      </c>
      <c r="D5295" s="259" t="s">
        <v>14171</v>
      </c>
      <c r="E5295" s="210" t="s">
        <v>201</v>
      </c>
    </row>
    <row r="5296" spans="1:5" ht="13.5">
      <c r="A5296" s="258">
        <v>88415</v>
      </c>
      <c r="B5296" s="257" t="s">
        <v>3805</v>
      </c>
      <c r="C5296" s="257" t="s">
        <v>150</v>
      </c>
      <c r="D5296" s="259" t="s">
        <v>14182</v>
      </c>
      <c r="E5296" s="210" t="s">
        <v>201</v>
      </c>
    </row>
    <row r="5297" spans="1:5" ht="27">
      <c r="A5297" s="258">
        <v>88416</v>
      </c>
      <c r="B5297" s="257" t="s">
        <v>3806</v>
      </c>
      <c r="C5297" s="257" t="s">
        <v>150</v>
      </c>
      <c r="D5297" s="259" t="s">
        <v>17925</v>
      </c>
      <c r="E5297" s="210" t="s">
        <v>201</v>
      </c>
    </row>
    <row r="5298" spans="1:5" ht="27">
      <c r="A5298" s="258">
        <v>88417</v>
      </c>
      <c r="B5298" s="257" t="s">
        <v>3807</v>
      </c>
      <c r="C5298" s="257" t="s">
        <v>150</v>
      </c>
      <c r="D5298" s="259" t="s">
        <v>13757</v>
      </c>
      <c r="E5298" s="210" t="s">
        <v>201</v>
      </c>
    </row>
    <row r="5299" spans="1:5" ht="27">
      <c r="A5299" s="258">
        <v>88420</v>
      </c>
      <c r="B5299" s="257" t="s">
        <v>3808</v>
      </c>
      <c r="C5299" s="257" t="s">
        <v>150</v>
      </c>
      <c r="D5299" s="259" t="s">
        <v>15942</v>
      </c>
      <c r="E5299" s="210" t="s">
        <v>201</v>
      </c>
    </row>
    <row r="5300" spans="1:5" ht="27">
      <c r="A5300" s="258">
        <v>88421</v>
      </c>
      <c r="B5300" s="257" t="s">
        <v>3809</v>
      </c>
      <c r="C5300" s="257" t="s">
        <v>150</v>
      </c>
      <c r="D5300" s="259" t="s">
        <v>16640</v>
      </c>
      <c r="E5300" s="210" t="s">
        <v>201</v>
      </c>
    </row>
    <row r="5301" spans="1:5" ht="27">
      <c r="A5301" s="258">
        <v>88423</v>
      </c>
      <c r="B5301" s="257" t="s">
        <v>3810</v>
      </c>
      <c r="C5301" s="257" t="s">
        <v>150</v>
      </c>
      <c r="D5301" s="259" t="s">
        <v>17926</v>
      </c>
      <c r="E5301" s="210" t="s">
        <v>201</v>
      </c>
    </row>
    <row r="5302" spans="1:5" ht="27">
      <c r="A5302" s="258">
        <v>88424</v>
      </c>
      <c r="B5302" s="257" t="s">
        <v>3811</v>
      </c>
      <c r="C5302" s="257" t="s">
        <v>150</v>
      </c>
      <c r="D5302" s="259" t="s">
        <v>17927</v>
      </c>
      <c r="E5302" s="210" t="s">
        <v>201</v>
      </c>
    </row>
    <row r="5303" spans="1:5" ht="27">
      <c r="A5303" s="258">
        <v>88426</v>
      </c>
      <c r="B5303" s="257" t="s">
        <v>3812</v>
      </c>
      <c r="C5303" s="257" t="s">
        <v>150</v>
      </c>
      <c r="D5303" s="259" t="s">
        <v>17666</v>
      </c>
      <c r="E5303" s="210" t="s">
        <v>201</v>
      </c>
    </row>
    <row r="5304" spans="1:5" ht="27">
      <c r="A5304" s="258">
        <v>88428</v>
      </c>
      <c r="B5304" s="257" t="s">
        <v>3813</v>
      </c>
      <c r="C5304" s="257" t="s">
        <v>150</v>
      </c>
      <c r="D5304" s="259" t="s">
        <v>16684</v>
      </c>
      <c r="E5304" s="210" t="s">
        <v>201</v>
      </c>
    </row>
    <row r="5305" spans="1:5" ht="27">
      <c r="A5305" s="258">
        <v>88429</v>
      </c>
      <c r="B5305" s="257" t="s">
        <v>3814</v>
      </c>
      <c r="C5305" s="257" t="s">
        <v>150</v>
      </c>
      <c r="D5305" s="259" t="s">
        <v>17928</v>
      </c>
      <c r="E5305" s="210" t="s">
        <v>201</v>
      </c>
    </row>
    <row r="5306" spans="1:5" ht="27">
      <c r="A5306" s="258">
        <v>88431</v>
      </c>
      <c r="B5306" s="257" t="s">
        <v>3815</v>
      </c>
      <c r="C5306" s="257" t="s">
        <v>150</v>
      </c>
      <c r="D5306" s="259" t="s">
        <v>17929</v>
      </c>
      <c r="E5306" s="210" t="s">
        <v>201</v>
      </c>
    </row>
    <row r="5307" spans="1:5" ht="27">
      <c r="A5307" s="258">
        <v>88432</v>
      </c>
      <c r="B5307" s="257" t="s">
        <v>3816</v>
      </c>
      <c r="C5307" s="257" t="s">
        <v>150</v>
      </c>
      <c r="D5307" s="259" t="s">
        <v>17930</v>
      </c>
      <c r="E5307" s="210" t="s">
        <v>201</v>
      </c>
    </row>
    <row r="5308" spans="1:5" ht="13.5">
      <c r="A5308" s="258">
        <v>88482</v>
      </c>
      <c r="B5308" s="257" t="s">
        <v>3817</v>
      </c>
      <c r="C5308" s="257" t="s">
        <v>150</v>
      </c>
      <c r="D5308" s="259" t="s">
        <v>13614</v>
      </c>
      <c r="E5308" s="210" t="s">
        <v>201</v>
      </c>
    </row>
    <row r="5309" spans="1:5" ht="13.5">
      <c r="A5309" s="258">
        <v>88483</v>
      </c>
      <c r="B5309" s="257" t="s">
        <v>3818</v>
      </c>
      <c r="C5309" s="257" t="s">
        <v>150</v>
      </c>
      <c r="D5309" s="259" t="s">
        <v>13809</v>
      </c>
      <c r="E5309" s="210" t="s">
        <v>201</v>
      </c>
    </row>
    <row r="5310" spans="1:5" ht="13.5">
      <c r="A5310" s="258">
        <v>88484</v>
      </c>
      <c r="B5310" s="257" t="s">
        <v>3819</v>
      </c>
      <c r="C5310" s="257" t="s">
        <v>150</v>
      </c>
      <c r="D5310" s="259" t="s">
        <v>17931</v>
      </c>
      <c r="E5310" s="210" t="s">
        <v>201</v>
      </c>
    </row>
    <row r="5311" spans="1:5" ht="13.5">
      <c r="A5311" s="258">
        <v>88485</v>
      </c>
      <c r="B5311" s="257" t="s">
        <v>197</v>
      </c>
      <c r="C5311" s="257" t="s">
        <v>150</v>
      </c>
      <c r="D5311" s="259" t="s">
        <v>17932</v>
      </c>
      <c r="E5311" s="210" t="s">
        <v>201</v>
      </c>
    </row>
    <row r="5312" spans="1:5" ht="13.5">
      <c r="A5312" s="258">
        <v>88486</v>
      </c>
      <c r="B5312" s="257" t="s">
        <v>3820</v>
      </c>
      <c r="C5312" s="257" t="s">
        <v>150</v>
      </c>
      <c r="D5312" s="259" t="s">
        <v>15870</v>
      </c>
      <c r="E5312" s="210" t="s">
        <v>201</v>
      </c>
    </row>
    <row r="5313" spans="1:5" ht="13.5">
      <c r="A5313" s="258">
        <v>88487</v>
      </c>
      <c r="B5313" s="257" t="s">
        <v>3821</v>
      </c>
      <c r="C5313" s="257" t="s">
        <v>150</v>
      </c>
      <c r="D5313" s="259" t="s">
        <v>16587</v>
      </c>
      <c r="E5313" s="210" t="s">
        <v>201</v>
      </c>
    </row>
    <row r="5314" spans="1:5" ht="13.5">
      <c r="A5314" s="258">
        <v>88488</v>
      </c>
      <c r="B5314" s="257" t="s">
        <v>193</v>
      </c>
      <c r="C5314" s="257" t="s">
        <v>150</v>
      </c>
      <c r="D5314" s="259" t="s">
        <v>16631</v>
      </c>
      <c r="E5314" s="210" t="s">
        <v>201</v>
      </c>
    </row>
    <row r="5315" spans="1:5" ht="13.5">
      <c r="A5315" s="258">
        <v>88489</v>
      </c>
      <c r="B5315" s="257" t="s">
        <v>199</v>
      </c>
      <c r="C5315" s="257" t="s">
        <v>150</v>
      </c>
      <c r="D5315" s="259" t="s">
        <v>16202</v>
      </c>
      <c r="E5315" s="210" t="s">
        <v>201</v>
      </c>
    </row>
    <row r="5316" spans="1:5" ht="13.5">
      <c r="A5316" s="258">
        <v>88490</v>
      </c>
      <c r="B5316" s="257" t="s">
        <v>3822</v>
      </c>
      <c r="C5316" s="257" t="s">
        <v>150</v>
      </c>
      <c r="D5316" s="259" t="s">
        <v>13673</v>
      </c>
      <c r="E5316" s="210" t="s">
        <v>201</v>
      </c>
    </row>
    <row r="5317" spans="1:5" ht="13.5">
      <c r="A5317" s="258">
        <v>88491</v>
      </c>
      <c r="B5317" s="257" t="s">
        <v>3823</v>
      </c>
      <c r="C5317" s="257" t="s">
        <v>150</v>
      </c>
      <c r="D5317" s="259" t="s">
        <v>17933</v>
      </c>
      <c r="E5317" s="210" t="s">
        <v>201</v>
      </c>
    </row>
    <row r="5318" spans="1:5" ht="13.5">
      <c r="A5318" s="258">
        <v>88492</v>
      </c>
      <c r="B5318" s="257" t="s">
        <v>3824</v>
      </c>
      <c r="C5318" s="257" t="s">
        <v>150</v>
      </c>
      <c r="D5318" s="259" t="s">
        <v>17934</v>
      </c>
      <c r="E5318" s="210" t="s">
        <v>201</v>
      </c>
    </row>
    <row r="5319" spans="1:5" ht="13.5">
      <c r="A5319" s="258">
        <v>88493</v>
      </c>
      <c r="B5319" s="257" t="s">
        <v>3825</v>
      </c>
      <c r="C5319" s="257" t="s">
        <v>150</v>
      </c>
      <c r="D5319" s="259" t="s">
        <v>17656</v>
      </c>
      <c r="E5319" s="210" t="s">
        <v>201</v>
      </c>
    </row>
    <row r="5320" spans="1:5" ht="13.5">
      <c r="A5320" s="258">
        <v>88494</v>
      </c>
      <c r="B5320" s="257" t="s">
        <v>3826</v>
      </c>
      <c r="C5320" s="257" t="s">
        <v>150</v>
      </c>
      <c r="D5320" s="259" t="s">
        <v>17067</v>
      </c>
      <c r="E5320" s="210" t="s">
        <v>201</v>
      </c>
    </row>
    <row r="5321" spans="1:5" ht="13.5">
      <c r="A5321" s="258">
        <v>88495</v>
      </c>
      <c r="B5321" s="257" t="s">
        <v>3827</v>
      </c>
      <c r="C5321" s="257" t="s">
        <v>150</v>
      </c>
      <c r="D5321" s="259" t="s">
        <v>14268</v>
      </c>
      <c r="E5321" s="210" t="s">
        <v>201</v>
      </c>
    </row>
    <row r="5322" spans="1:5" ht="13.5">
      <c r="A5322" s="258">
        <v>88496</v>
      </c>
      <c r="B5322" s="257" t="s">
        <v>192</v>
      </c>
      <c r="C5322" s="257" t="s">
        <v>150</v>
      </c>
      <c r="D5322" s="259" t="s">
        <v>17935</v>
      </c>
      <c r="E5322" s="210" t="s">
        <v>201</v>
      </c>
    </row>
    <row r="5323" spans="1:5" ht="13.5">
      <c r="A5323" s="258">
        <v>88497</v>
      </c>
      <c r="B5323" s="257" t="s">
        <v>196</v>
      </c>
      <c r="C5323" s="257" t="s">
        <v>150</v>
      </c>
      <c r="D5323" s="259" t="s">
        <v>17936</v>
      </c>
      <c r="E5323" s="210" t="s">
        <v>201</v>
      </c>
    </row>
    <row r="5324" spans="1:5" ht="13.5">
      <c r="A5324" s="258">
        <v>95305</v>
      </c>
      <c r="B5324" s="257" t="s">
        <v>3828</v>
      </c>
      <c r="C5324" s="257" t="s">
        <v>150</v>
      </c>
      <c r="D5324" s="259" t="s">
        <v>17937</v>
      </c>
      <c r="E5324" s="210" t="s">
        <v>201</v>
      </c>
    </row>
    <row r="5325" spans="1:5" ht="13.5">
      <c r="A5325" s="258">
        <v>95306</v>
      </c>
      <c r="B5325" s="257" t="s">
        <v>3829</v>
      </c>
      <c r="C5325" s="257" t="s">
        <v>150</v>
      </c>
      <c r="D5325" s="259" t="s">
        <v>17938</v>
      </c>
      <c r="E5325" s="210" t="s">
        <v>201</v>
      </c>
    </row>
    <row r="5326" spans="1:5" ht="27">
      <c r="A5326" s="258">
        <v>95622</v>
      </c>
      <c r="B5326" s="257" t="s">
        <v>3830</v>
      </c>
      <c r="C5326" s="257" t="s">
        <v>150</v>
      </c>
      <c r="D5326" s="259" t="s">
        <v>16943</v>
      </c>
      <c r="E5326" s="210" t="s">
        <v>201</v>
      </c>
    </row>
    <row r="5327" spans="1:5" ht="27">
      <c r="A5327" s="258">
        <v>95623</v>
      </c>
      <c r="B5327" s="257" t="s">
        <v>3831</v>
      </c>
      <c r="C5327" s="257" t="s">
        <v>150</v>
      </c>
      <c r="D5327" s="259" t="s">
        <v>17939</v>
      </c>
      <c r="E5327" s="210" t="s">
        <v>201</v>
      </c>
    </row>
    <row r="5328" spans="1:5" ht="27">
      <c r="A5328" s="258">
        <v>95624</v>
      </c>
      <c r="B5328" s="257" t="s">
        <v>3832</v>
      </c>
      <c r="C5328" s="257" t="s">
        <v>150</v>
      </c>
      <c r="D5328" s="259" t="s">
        <v>15820</v>
      </c>
      <c r="E5328" s="210" t="s">
        <v>201</v>
      </c>
    </row>
    <row r="5329" spans="1:5" ht="27">
      <c r="A5329" s="258">
        <v>95625</v>
      </c>
      <c r="B5329" s="257" t="s">
        <v>3833</v>
      </c>
      <c r="C5329" s="257" t="s">
        <v>150</v>
      </c>
      <c r="D5329" s="259" t="s">
        <v>17940</v>
      </c>
      <c r="E5329" s="210" t="s">
        <v>201</v>
      </c>
    </row>
    <row r="5330" spans="1:5" ht="13.5">
      <c r="A5330" s="258">
        <v>95626</v>
      </c>
      <c r="B5330" s="257" t="s">
        <v>3834</v>
      </c>
      <c r="C5330" s="257" t="s">
        <v>150</v>
      </c>
      <c r="D5330" s="259" t="s">
        <v>17941</v>
      </c>
      <c r="E5330" s="210" t="s">
        <v>201</v>
      </c>
    </row>
    <row r="5331" spans="1:5" ht="27">
      <c r="A5331" s="258">
        <v>96126</v>
      </c>
      <c r="B5331" s="257" t="s">
        <v>3835</v>
      </c>
      <c r="C5331" s="257" t="s">
        <v>150</v>
      </c>
      <c r="D5331" s="259" t="s">
        <v>17942</v>
      </c>
      <c r="E5331" s="210" t="s">
        <v>201</v>
      </c>
    </row>
    <row r="5332" spans="1:5" ht="27">
      <c r="A5332" s="258">
        <v>96127</v>
      </c>
      <c r="B5332" s="257" t="s">
        <v>3836</v>
      </c>
      <c r="C5332" s="257" t="s">
        <v>150</v>
      </c>
      <c r="D5332" s="259" t="s">
        <v>17943</v>
      </c>
      <c r="E5332" s="210" t="s">
        <v>201</v>
      </c>
    </row>
    <row r="5333" spans="1:5" ht="27">
      <c r="A5333" s="258">
        <v>96128</v>
      </c>
      <c r="B5333" s="257" t="s">
        <v>3837</v>
      </c>
      <c r="C5333" s="257" t="s">
        <v>150</v>
      </c>
      <c r="D5333" s="259" t="s">
        <v>17944</v>
      </c>
      <c r="E5333" s="210" t="s">
        <v>201</v>
      </c>
    </row>
    <row r="5334" spans="1:5" ht="27">
      <c r="A5334" s="258">
        <v>96129</v>
      </c>
      <c r="B5334" s="257" t="s">
        <v>3838</v>
      </c>
      <c r="C5334" s="257" t="s">
        <v>150</v>
      </c>
      <c r="D5334" s="259" t="s">
        <v>17945</v>
      </c>
      <c r="E5334" s="210" t="s">
        <v>201</v>
      </c>
    </row>
    <row r="5335" spans="1:5" ht="13.5">
      <c r="A5335" s="258">
        <v>96130</v>
      </c>
      <c r="B5335" s="257" t="s">
        <v>3839</v>
      </c>
      <c r="C5335" s="257" t="s">
        <v>150</v>
      </c>
      <c r="D5335" s="259" t="s">
        <v>13882</v>
      </c>
      <c r="E5335" s="210" t="s">
        <v>201</v>
      </c>
    </row>
    <row r="5336" spans="1:5" ht="27">
      <c r="A5336" s="258">
        <v>96131</v>
      </c>
      <c r="B5336" s="257" t="s">
        <v>3840</v>
      </c>
      <c r="C5336" s="257" t="s">
        <v>150</v>
      </c>
      <c r="D5336" s="259" t="s">
        <v>13588</v>
      </c>
      <c r="E5336" s="210" t="s">
        <v>201</v>
      </c>
    </row>
    <row r="5337" spans="1:5" ht="27">
      <c r="A5337" s="258">
        <v>96132</v>
      </c>
      <c r="B5337" s="257" t="s">
        <v>3841</v>
      </c>
      <c r="C5337" s="257" t="s">
        <v>150</v>
      </c>
      <c r="D5337" s="259" t="s">
        <v>17904</v>
      </c>
      <c r="E5337" s="210" t="s">
        <v>201</v>
      </c>
    </row>
    <row r="5338" spans="1:5" ht="27">
      <c r="A5338" s="258">
        <v>96133</v>
      </c>
      <c r="B5338" s="257" t="s">
        <v>3842</v>
      </c>
      <c r="C5338" s="257" t="s">
        <v>150</v>
      </c>
      <c r="D5338" s="259" t="s">
        <v>15609</v>
      </c>
      <c r="E5338" s="210" t="s">
        <v>201</v>
      </c>
    </row>
    <row r="5339" spans="1:5" ht="27">
      <c r="A5339" s="258">
        <v>96134</v>
      </c>
      <c r="B5339" s="257" t="s">
        <v>3843</v>
      </c>
      <c r="C5339" s="257" t="s">
        <v>150</v>
      </c>
      <c r="D5339" s="259" t="s">
        <v>17946</v>
      </c>
      <c r="E5339" s="210" t="s">
        <v>201</v>
      </c>
    </row>
    <row r="5340" spans="1:5" ht="13.5">
      <c r="A5340" s="258">
        <v>96135</v>
      </c>
      <c r="B5340" s="257" t="s">
        <v>3844</v>
      </c>
      <c r="C5340" s="257" t="s">
        <v>150</v>
      </c>
      <c r="D5340" s="259" t="s">
        <v>17947</v>
      </c>
      <c r="E5340" s="210" t="s">
        <v>201</v>
      </c>
    </row>
    <row r="5341" spans="1:5" ht="13.5">
      <c r="A5341" s="258">
        <v>79460</v>
      </c>
      <c r="B5341" s="257" t="s">
        <v>3845</v>
      </c>
      <c r="C5341" s="257" t="s">
        <v>150</v>
      </c>
      <c r="D5341" s="259" t="s">
        <v>17948</v>
      </c>
      <c r="E5341" s="210" t="s">
        <v>201</v>
      </c>
    </row>
    <row r="5342" spans="1:5" ht="13.5">
      <c r="A5342" s="258">
        <v>79465</v>
      </c>
      <c r="B5342" s="257" t="s">
        <v>297</v>
      </c>
      <c r="C5342" s="257" t="s">
        <v>150</v>
      </c>
      <c r="D5342" s="259" t="s">
        <v>17949</v>
      </c>
      <c r="E5342" s="210" t="s">
        <v>201</v>
      </c>
    </row>
    <row r="5343" spans="1:5" ht="13.5">
      <c r="A5343" s="258" t="s">
        <v>3846</v>
      </c>
      <c r="B5343" s="257" t="s">
        <v>3847</v>
      </c>
      <c r="C5343" s="257" t="s">
        <v>150</v>
      </c>
      <c r="D5343" s="259" t="s">
        <v>17950</v>
      </c>
      <c r="E5343" s="210" t="s">
        <v>201</v>
      </c>
    </row>
    <row r="5344" spans="1:5" ht="13.5">
      <c r="A5344" s="258">
        <v>84647</v>
      </c>
      <c r="B5344" s="257" t="s">
        <v>3848</v>
      </c>
      <c r="C5344" s="257" t="s">
        <v>150</v>
      </c>
      <c r="D5344" s="259" t="s">
        <v>17951</v>
      </c>
      <c r="E5344" s="210" t="s">
        <v>201</v>
      </c>
    </row>
    <row r="5345" spans="1:5" ht="13.5">
      <c r="A5345" s="258">
        <v>84656</v>
      </c>
      <c r="B5345" s="257" t="s">
        <v>3849</v>
      </c>
      <c r="C5345" s="257" t="s">
        <v>150</v>
      </c>
      <c r="D5345" s="259" t="s">
        <v>17952</v>
      </c>
      <c r="E5345" s="210" t="s">
        <v>201</v>
      </c>
    </row>
    <row r="5346" spans="1:5" ht="13.5">
      <c r="A5346" s="258">
        <v>6082</v>
      </c>
      <c r="B5346" s="257" t="s">
        <v>3850</v>
      </c>
      <c r="C5346" s="257" t="s">
        <v>150</v>
      </c>
      <c r="D5346" s="259" t="s">
        <v>17049</v>
      </c>
      <c r="E5346" s="210" t="s">
        <v>201</v>
      </c>
    </row>
    <row r="5347" spans="1:5" ht="13.5">
      <c r="A5347" s="258">
        <v>40905</v>
      </c>
      <c r="B5347" s="257" t="s">
        <v>3851</v>
      </c>
      <c r="C5347" s="257" t="s">
        <v>150</v>
      </c>
      <c r="D5347" s="259" t="s">
        <v>17847</v>
      </c>
      <c r="E5347" s="210" t="s">
        <v>201</v>
      </c>
    </row>
    <row r="5348" spans="1:5" ht="13.5">
      <c r="A5348" s="258" t="s">
        <v>3852</v>
      </c>
      <c r="B5348" s="257" t="s">
        <v>3853</v>
      </c>
      <c r="C5348" s="257" t="s">
        <v>150</v>
      </c>
      <c r="D5348" s="259" t="s">
        <v>17953</v>
      </c>
      <c r="E5348" s="210" t="s">
        <v>201</v>
      </c>
    </row>
    <row r="5349" spans="1:5" ht="13.5">
      <c r="A5349" s="258" t="s">
        <v>3854</v>
      </c>
      <c r="B5349" s="257" t="s">
        <v>3855</v>
      </c>
      <c r="C5349" s="257" t="s">
        <v>150</v>
      </c>
      <c r="D5349" s="259" t="s">
        <v>17954</v>
      </c>
      <c r="E5349" s="210" t="s">
        <v>201</v>
      </c>
    </row>
    <row r="5350" spans="1:5" ht="13.5">
      <c r="A5350" s="258" t="s">
        <v>3856</v>
      </c>
      <c r="B5350" s="257" t="s">
        <v>3857</v>
      </c>
      <c r="C5350" s="257" t="s">
        <v>150</v>
      </c>
      <c r="D5350" s="259" t="s">
        <v>17955</v>
      </c>
      <c r="E5350" s="210" t="s">
        <v>201</v>
      </c>
    </row>
    <row r="5351" spans="1:5" ht="13.5">
      <c r="A5351" s="258" t="s">
        <v>3858</v>
      </c>
      <c r="B5351" s="257" t="s">
        <v>3859</v>
      </c>
      <c r="C5351" s="257" t="s">
        <v>150</v>
      </c>
      <c r="D5351" s="259" t="s">
        <v>17956</v>
      </c>
      <c r="E5351" s="210" t="s">
        <v>201</v>
      </c>
    </row>
    <row r="5352" spans="1:5" ht="13.5">
      <c r="A5352" s="258">
        <v>79463</v>
      </c>
      <c r="B5352" s="257" t="s">
        <v>3860</v>
      </c>
      <c r="C5352" s="257" t="s">
        <v>150</v>
      </c>
      <c r="D5352" s="259" t="s">
        <v>17957</v>
      </c>
      <c r="E5352" s="210" t="s">
        <v>201</v>
      </c>
    </row>
    <row r="5353" spans="1:5" ht="13.5">
      <c r="A5353" s="258">
        <v>79464</v>
      </c>
      <c r="B5353" s="257" t="s">
        <v>3861</v>
      </c>
      <c r="C5353" s="257" t="s">
        <v>150</v>
      </c>
      <c r="D5353" s="259" t="s">
        <v>17958</v>
      </c>
      <c r="E5353" s="210" t="s">
        <v>201</v>
      </c>
    </row>
    <row r="5354" spans="1:5" ht="13.5">
      <c r="A5354" s="258">
        <v>79466</v>
      </c>
      <c r="B5354" s="257" t="s">
        <v>3862</v>
      </c>
      <c r="C5354" s="257" t="s">
        <v>150</v>
      </c>
      <c r="D5354" s="259" t="s">
        <v>16708</v>
      </c>
      <c r="E5354" s="210" t="s">
        <v>201</v>
      </c>
    </row>
    <row r="5355" spans="1:5" ht="13.5">
      <c r="A5355" s="258" t="s">
        <v>3863</v>
      </c>
      <c r="B5355" s="257" t="s">
        <v>3864</v>
      </c>
      <c r="C5355" s="257" t="s">
        <v>150</v>
      </c>
      <c r="D5355" s="259" t="s">
        <v>17959</v>
      </c>
      <c r="E5355" s="210" t="s">
        <v>201</v>
      </c>
    </row>
    <row r="5356" spans="1:5" ht="13.5">
      <c r="A5356" s="258">
        <v>84645</v>
      </c>
      <c r="B5356" s="257" t="s">
        <v>3865</v>
      </c>
      <c r="C5356" s="257" t="s">
        <v>150</v>
      </c>
      <c r="D5356" s="259" t="s">
        <v>14437</v>
      </c>
      <c r="E5356" s="210" t="s">
        <v>201</v>
      </c>
    </row>
    <row r="5357" spans="1:5" ht="13.5">
      <c r="A5357" s="258">
        <v>84657</v>
      </c>
      <c r="B5357" s="257" t="s">
        <v>3866</v>
      </c>
      <c r="C5357" s="257" t="s">
        <v>150</v>
      </c>
      <c r="D5357" s="259" t="s">
        <v>17960</v>
      </c>
      <c r="E5357" s="210" t="s">
        <v>201</v>
      </c>
    </row>
    <row r="5358" spans="1:5" ht="13.5">
      <c r="A5358" s="258">
        <v>84659</v>
      </c>
      <c r="B5358" s="257" t="s">
        <v>3867</v>
      </c>
      <c r="C5358" s="257" t="s">
        <v>150</v>
      </c>
      <c r="D5358" s="259" t="s">
        <v>17961</v>
      </c>
      <c r="E5358" s="210" t="s">
        <v>201</v>
      </c>
    </row>
    <row r="5359" spans="1:5" ht="13.5">
      <c r="A5359" s="258">
        <v>84679</v>
      </c>
      <c r="B5359" s="257" t="s">
        <v>3868</v>
      </c>
      <c r="C5359" s="257" t="s">
        <v>150</v>
      </c>
      <c r="D5359" s="259" t="s">
        <v>14536</v>
      </c>
      <c r="E5359" s="210" t="s">
        <v>201</v>
      </c>
    </row>
    <row r="5360" spans="1:5" ht="13.5">
      <c r="A5360" s="258">
        <v>95464</v>
      </c>
      <c r="B5360" s="257" t="s">
        <v>3869</v>
      </c>
      <c r="C5360" s="257" t="s">
        <v>150</v>
      </c>
      <c r="D5360" s="259" t="s">
        <v>17962</v>
      </c>
      <c r="E5360" s="210" t="s">
        <v>201</v>
      </c>
    </row>
    <row r="5361" spans="1:5" ht="13.5">
      <c r="A5361" s="258">
        <v>100716</v>
      </c>
      <c r="B5361" s="257" t="s">
        <v>17963</v>
      </c>
      <c r="C5361" s="257" t="s">
        <v>150</v>
      </c>
      <c r="D5361" s="259" t="s">
        <v>17964</v>
      </c>
      <c r="E5361" s="210" t="s">
        <v>201</v>
      </c>
    </row>
    <row r="5362" spans="1:5" ht="13.5">
      <c r="A5362" s="258">
        <v>100717</v>
      </c>
      <c r="B5362" s="257" t="s">
        <v>17965</v>
      </c>
      <c r="C5362" s="257" t="s">
        <v>150</v>
      </c>
      <c r="D5362" s="259" t="s">
        <v>17966</v>
      </c>
      <c r="E5362" s="210" t="s">
        <v>201</v>
      </c>
    </row>
    <row r="5363" spans="1:5" ht="13.5">
      <c r="A5363" s="258">
        <v>100718</v>
      </c>
      <c r="B5363" s="257" t="s">
        <v>17967</v>
      </c>
      <c r="C5363" s="257" t="s">
        <v>5</v>
      </c>
      <c r="D5363" s="259" t="s">
        <v>14335</v>
      </c>
      <c r="E5363" s="210" t="s">
        <v>201</v>
      </c>
    </row>
    <row r="5364" spans="1:5" ht="27">
      <c r="A5364" s="258">
        <v>100719</v>
      </c>
      <c r="B5364" s="257" t="s">
        <v>17968</v>
      </c>
      <c r="C5364" s="257" t="s">
        <v>150</v>
      </c>
      <c r="D5364" s="259" t="s">
        <v>15486</v>
      </c>
      <c r="E5364" s="210" t="s">
        <v>201</v>
      </c>
    </row>
    <row r="5365" spans="1:5" ht="27">
      <c r="A5365" s="258">
        <v>100720</v>
      </c>
      <c r="B5365" s="257" t="s">
        <v>17969</v>
      </c>
      <c r="C5365" s="257" t="s">
        <v>150</v>
      </c>
      <c r="D5365" s="259" t="s">
        <v>16985</v>
      </c>
      <c r="E5365" s="210" t="s">
        <v>201</v>
      </c>
    </row>
    <row r="5366" spans="1:5" ht="27">
      <c r="A5366" s="258">
        <v>100721</v>
      </c>
      <c r="B5366" s="257" t="s">
        <v>17970</v>
      </c>
      <c r="C5366" s="257" t="s">
        <v>150</v>
      </c>
      <c r="D5366" s="259" t="s">
        <v>16846</v>
      </c>
      <c r="E5366" s="210" t="s">
        <v>201</v>
      </c>
    </row>
    <row r="5367" spans="1:5" ht="27">
      <c r="A5367" s="258">
        <v>100722</v>
      </c>
      <c r="B5367" s="257" t="s">
        <v>17971</v>
      </c>
      <c r="C5367" s="257" t="s">
        <v>150</v>
      </c>
      <c r="D5367" s="259" t="s">
        <v>17972</v>
      </c>
      <c r="E5367" s="210" t="s">
        <v>201</v>
      </c>
    </row>
    <row r="5368" spans="1:5" ht="27">
      <c r="A5368" s="258">
        <v>100723</v>
      </c>
      <c r="B5368" s="257" t="s">
        <v>17973</v>
      </c>
      <c r="C5368" s="257" t="s">
        <v>150</v>
      </c>
      <c r="D5368" s="259" t="s">
        <v>17974</v>
      </c>
      <c r="E5368" s="210" t="s">
        <v>201</v>
      </c>
    </row>
    <row r="5369" spans="1:5" ht="27">
      <c r="A5369" s="258">
        <v>100724</v>
      </c>
      <c r="B5369" s="257" t="s">
        <v>17975</v>
      </c>
      <c r="C5369" s="257" t="s">
        <v>150</v>
      </c>
      <c r="D5369" s="259" t="s">
        <v>15440</v>
      </c>
      <c r="E5369" s="210" t="s">
        <v>201</v>
      </c>
    </row>
    <row r="5370" spans="1:5" ht="27">
      <c r="A5370" s="258">
        <v>100725</v>
      </c>
      <c r="B5370" s="257" t="s">
        <v>17976</v>
      </c>
      <c r="C5370" s="257" t="s">
        <v>150</v>
      </c>
      <c r="D5370" s="259" t="s">
        <v>17977</v>
      </c>
      <c r="E5370" s="210" t="s">
        <v>201</v>
      </c>
    </row>
    <row r="5371" spans="1:5" ht="40.5">
      <c r="A5371" s="258">
        <v>100726</v>
      </c>
      <c r="B5371" s="257" t="s">
        <v>17978</v>
      </c>
      <c r="C5371" s="257" t="s">
        <v>150</v>
      </c>
      <c r="D5371" s="259" t="s">
        <v>17979</v>
      </c>
      <c r="E5371" s="210" t="s">
        <v>201</v>
      </c>
    </row>
    <row r="5372" spans="1:5" ht="27">
      <c r="A5372" s="258">
        <v>100727</v>
      </c>
      <c r="B5372" s="257" t="s">
        <v>17980</v>
      </c>
      <c r="C5372" s="257" t="s">
        <v>150</v>
      </c>
      <c r="D5372" s="259" t="s">
        <v>14343</v>
      </c>
      <c r="E5372" s="210" t="s">
        <v>201</v>
      </c>
    </row>
    <row r="5373" spans="1:5" ht="27">
      <c r="A5373" s="258">
        <v>100728</v>
      </c>
      <c r="B5373" s="257" t="s">
        <v>17981</v>
      </c>
      <c r="C5373" s="257" t="s">
        <v>150</v>
      </c>
      <c r="D5373" s="259" t="s">
        <v>16557</v>
      </c>
      <c r="E5373" s="210" t="s">
        <v>201</v>
      </c>
    </row>
    <row r="5374" spans="1:5" ht="27">
      <c r="A5374" s="258">
        <v>100729</v>
      </c>
      <c r="B5374" s="257" t="s">
        <v>17982</v>
      </c>
      <c r="C5374" s="257" t="s">
        <v>150</v>
      </c>
      <c r="D5374" s="259" t="s">
        <v>17983</v>
      </c>
      <c r="E5374" s="210" t="s">
        <v>201</v>
      </c>
    </row>
    <row r="5375" spans="1:5" ht="27">
      <c r="A5375" s="258">
        <v>100730</v>
      </c>
      <c r="B5375" s="257" t="s">
        <v>17984</v>
      </c>
      <c r="C5375" s="257" t="s">
        <v>150</v>
      </c>
      <c r="D5375" s="259" t="s">
        <v>17985</v>
      </c>
      <c r="E5375" s="210" t="s">
        <v>201</v>
      </c>
    </row>
    <row r="5376" spans="1:5" ht="27">
      <c r="A5376" s="258">
        <v>100733</v>
      </c>
      <c r="B5376" s="257" t="s">
        <v>17986</v>
      </c>
      <c r="C5376" s="257" t="s">
        <v>150</v>
      </c>
      <c r="D5376" s="259" t="s">
        <v>17987</v>
      </c>
      <c r="E5376" s="210" t="s">
        <v>201</v>
      </c>
    </row>
    <row r="5377" spans="1:5" ht="27">
      <c r="A5377" s="258">
        <v>100734</v>
      </c>
      <c r="B5377" s="257" t="s">
        <v>17988</v>
      </c>
      <c r="C5377" s="257" t="s">
        <v>150</v>
      </c>
      <c r="D5377" s="259" t="s">
        <v>15871</v>
      </c>
      <c r="E5377" s="210" t="s">
        <v>201</v>
      </c>
    </row>
    <row r="5378" spans="1:5" ht="27">
      <c r="A5378" s="258">
        <v>100735</v>
      </c>
      <c r="B5378" s="257" t="s">
        <v>17989</v>
      </c>
      <c r="C5378" s="257" t="s">
        <v>150</v>
      </c>
      <c r="D5378" s="259" t="s">
        <v>16476</v>
      </c>
      <c r="E5378" s="210" t="s">
        <v>201</v>
      </c>
    </row>
    <row r="5379" spans="1:5" ht="27">
      <c r="A5379" s="258">
        <v>100736</v>
      </c>
      <c r="B5379" s="257" t="s">
        <v>17990</v>
      </c>
      <c r="C5379" s="257" t="s">
        <v>150</v>
      </c>
      <c r="D5379" s="259" t="s">
        <v>16942</v>
      </c>
      <c r="E5379" s="210" t="s">
        <v>201</v>
      </c>
    </row>
    <row r="5380" spans="1:5" ht="27">
      <c r="A5380" s="258">
        <v>100739</v>
      </c>
      <c r="B5380" s="257" t="s">
        <v>17991</v>
      </c>
      <c r="C5380" s="257" t="s">
        <v>150</v>
      </c>
      <c r="D5380" s="259" t="s">
        <v>15434</v>
      </c>
      <c r="E5380" s="210" t="s">
        <v>201</v>
      </c>
    </row>
    <row r="5381" spans="1:5" ht="27">
      <c r="A5381" s="258">
        <v>100740</v>
      </c>
      <c r="B5381" s="257" t="s">
        <v>17992</v>
      </c>
      <c r="C5381" s="257" t="s">
        <v>150</v>
      </c>
      <c r="D5381" s="259" t="s">
        <v>15770</v>
      </c>
      <c r="E5381" s="210" t="s">
        <v>201</v>
      </c>
    </row>
    <row r="5382" spans="1:5" ht="27">
      <c r="A5382" s="258">
        <v>100741</v>
      </c>
      <c r="B5382" s="257" t="s">
        <v>17993</v>
      </c>
      <c r="C5382" s="257" t="s">
        <v>150</v>
      </c>
      <c r="D5382" s="259" t="s">
        <v>14066</v>
      </c>
      <c r="E5382" s="210" t="s">
        <v>201</v>
      </c>
    </row>
    <row r="5383" spans="1:5" ht="27">
      <c r="A5383" s="258">
        <v>100742</v>
      </c>
      <c r="B5383" s="257" t="s">
        <v>17994</v>
      </c>
      <c r="C5383" s="257" t="s">
        <v>150</v>
      </c>
      <c r="D5383" s="259" t="s">
        <v>13928</v>
      </c>
      <c r="E5383" s="210" t="s">
        <v>201</v>
      </c>
    </row>
    <row r="5384" spans="1:5" ht="27">
      <c r="A5384" s="258">
        <v>100743</v>
      </c>
      <c r="B5384" s="257" t="s">
        <v>17995</v>
      </c>
      <c r="C5384" s="257" t="s">
        <v>150</v>
      </c>
      <c r="D5384" s="259" t="s">
        <v>14739</v>
      </c>
      <c r="E5384" s="210" t="s">
        <v>201</v>
      </c>
    </row>
    <row r="5385" spans="1:5" ht="27">
      <c r="A5385" s="258">
        <v>100744</v>
      </c>
      <c r="B5385" s="257" t="s">
        <v>17996</v>
      </c>
      <c r="C5385" s="257" t="s">
        <v>150</v>
      </c>
      <c r="D5385" s="259" t="s">
        <v>16484</v>
      </c>
      <c r="E5385" s="210" t="s">
        <v>201</v>
      </c>
    </row>
    <row r="5386" spans="1:5" ht="27">
      <c r="A5386" s="258">
        <v>100745</v>
      </c>
      <c r="B5386" s="257" t="s">
        <v>17997</v>
      </c>
      <c r="C5386" s="257" t="s">
        <v>150</v>
      </c>
      <c r="D5386" s="259" t="s">
        <v>16636</v>
      </c>
      <c r="E5386" s="210" t="s">
        <v>201</v>
      </c>
    </row>
    <row r="5387" spans="1:5" ht="27">
      <c r="A5387" s="258">
        <v>100746</v>
      </c>
      <c r="B5387" s="257" t="s">
        <v>17998</v>
      </c>
      <c r="C5387" s="257" t="s">
        <v>150</v>
      </c>
      <c r="D5387" s="259" t="s">
        <v>16651</v>
      </c>
      <c r="E5387" s="210" t="s">
        <v>201</v>
      </c>
    </row>
    <row r="5388" spans="1:5" ht="27">
      <c r="A5388" s="258">
        <v>100747</v>
      </c>
      <c r="B5388" s="257" t="s">
        <v>17999</v>
      </c>
      <c r="C5388" s="257" t="s">
        <v>150</v>
      </c>
      <c r="D5388" s="259" t="s">
        <v>18000</v>
      </c>
      <c r="E5388" s="210" t="s">
        <v>201</v>
      </c>
    </row>
    <row r="5389" spans="1:5" ht="27">
      <c r="A5389" s="258">
        <v>100748</v>
      </c>
      <c r="B5389" s="257" t="s">
        <v>18001</v>
      </c>
      <c r="C5389" s="257" t="s">
        <v>150</v>
      </c>
      <c r="D5389" s="259" t="s">
        <v>18002</v>
      </c>
      <c r="E5389" s="210" t="s">
        <v>201</v>
      </c>
    </row>
    <row r="5390" spans="1:5" ht="27">
      <c r="A5390" s="258">
        <v>100749</v>
      </c>
      <c r="B5390" s="257" t="s">
        <v>18003</v>
      </c>
      <c r="C5390" s="257" t="s">
        <v>150</v>
      </c>
      <c r="D5390" s="259" t="s">
        <v>18004</v>
      </c>
      <c r="E5390" s="210" t="s">
        <v>201</v>
      </c>
    </row>
    <row r="5391" spans="1:5" ht="27">
      <c r="A5391" s="258">
        <v>100750</v>
      </c>
      <c r="B5391" s="257" t="s">
        <v>18005</v>
      </c>
      <c r="C5391" s="257" t="s">
        <v>150</v>
      </c>
      <c r="D5391" s="259" t="s">
        <v>18006</v>
      </c>
      <c r="E5391" s="210" t="s">
        <v>201</v>
      </c>
    </row>
    <row r="5392" spans="1:5" ht="27">
      <c r="A5392" s="258">
        <v>100751</v>
      </c>
      <c r="B5392" s="257" t="s">
        <v>18007</v>
      </c>
      <c r="C5392" s="257" t="s">
        <v>150</v>
      </c>
      <c r="D5392" s="259" t="s">
        <v>18008</v>
      </c>
      <c r="E5392" s="210" t="s">
        <v>201</v>
      </c>
    </row>
    <row r="5393" spans="1:5" ht="27">
      <c r="A5393" s="258">
        <v>100752</v>
      </c>
      <c r="B5393" s="257" t="s">
        <v>18009</v>
      </c>
      <c r="C5393" s="257" t="s">
        <v>150</v>
      </c>
      <c r="D5393" s="259" t="s">
        <v>18010</v>
      </c>
      <c r="E5393" s="210" t="s">
        <v>201</v>
      </c>
    </row>
    <row r="5394" spans="1:5" ht="27">
      <c r="A5394" s="258">
        <v>100753</v>
      </c>
      <c r="B5394" s="257" t="s">
        <v>18011</v>
      </c>
      <c r="C5394" s="257" t="s">
        <v>150</v>
      </c>
      <c r="D5394" s="259" t="s">
        <v>18012</v>
      </c>
      <c r="E5394" s="210" t="s">
        <v>201</v>
      </c>
    </row>
    <row r="5395" spans="1:5" ht="27">
      <c r="A5395" s="258">
        <v>100754</v>
      </c>
      <c r="B5395" s="257" t="s">
        <v>18013</v>
      </c>
      <c r="C5395" s="257" t="s">
        <v>150</v>
      </c>
      <c r="D5395" s="259" t="s">
        <v>18014</v>
      </c>
      <c r="E5395" s="210" t="s">
        <v>201</v>
      </c>
    </row>
    <row r="5396" spans="1:5" ht="27">
      <c r="A5396" s="258">
        <v>100757</v>
      </c>
      <c r="B5396" s="257" t="s">
        <v>18015</v>
      </c>
      <c r="C5396" s="257" t="s">
        <v>150</v>
      </c>
      <c r="D5396" s="259" t="s">
        <v>18016</v>
      </c>
      <c r="E5396" s="210" t="s">
        <v>201</v>
      </c>
    </row>
    <row r="5397" spans="1:5" ht="27">
      <c r="A5397" s="258">
        <v>100758</v>
      </c>
      <c r="B5397" s="257" t="s">
        <v>18017</v>
      </c>
      <c r="C5397" s="257" t="s">
        <v>150</v>
      </c>
      <c r="D5397" s="259" t="s">
        <v>18018</v>
      </c>
      <c r="E5397" s="210" t="s">
        <v>201</v>
      </c>
    </row>
    <row r="5398" spans="1:5" ht="27">
      <c r="A5398" s="258">
        <v>100759</v>
      </c>
      <c r="B5398" s="257" t="s">
        <v>18019</v>
      </c>
      <c r="C5398" s="257" t="s">
        <v>150</v>
      </c>
      <c r="D5398" s="259" t="s">
        <v>18020</v>
      </c>
      <c r="E5398" s="210" t="s">
        <v>201</v>
      </c>
    </row>
    <row r="5399" spans="1:5" ht="27">
      <c r="A5399" s="258">
        <v>100760</v>
      </c>
      <c r="B5399" s="257" t="s">
        <v>18021</v>
      </c>
      <c r="C5399" s="257" t="s">
        <v>150</v>
      </c>
      <c r="D5399" s="259" t="s">
        <v>18022</v>
      </c>
      <c r="E5399" s="210" t="s">
        <v>201</v>
      </c>
    </row>
    <row r="5400" spans="1:5" ht="27">
      <c r="A5400" s="258">
        <v>100761</v>
      </c>
      <c r="B5400" s="257" t="s">
        <v>18023</v>
      </c>
      <c r="C5400" s="257" t="s">
        <v>150</v>
      </c>
      <c r="D5400" s="259" t="s">
        <v>18024</v>
      </c>
      <c r="E5400" s="210" t="s">
        <v>201</v>
      </c>
    </row>
    <row r="5401" spans="1:5" ht="27">
      <c r="A5401" s="258">
        <v>100762</v>
      </c>
      <c r="B5401" s="257" t="s">
        <v>18025</v>
      </c>
      <c r="C5401" s="257" t="s">
        <v>150</v>
      </c>
      <c r="D5401" s="259" t="s">
        <v>18026</v>
      </c>
      <c r="E5401" s="210" t="s">
        <v>201</v>
      </c>
    </row>
    <row r="5402" spans="1:5" ht="13.5">
      <c r="A5402" s="258">
        <v>41595</v>
      </c>
      <c r="B5402" s="257" t="s">
        <v>190</v>
      </c>
      <c r="C5402" s="257" t="s">
        <v>5</v>
      </c>
      <c r="D5402" s="259" t="s">
        <v>14425</v>
      </c>
      <c r="E5402" s="210" t="s">
        <v>201</v>
      </c>
    </row>
    <row r="5403" spans="1:5" ht="13.5">
      <c r="A5403" s="257" t="s">
        <v>3870</v>
      </c>
      <c r="B5403" s="257" t="s">
        <v>3871</v>
      </c>
      <c r="C5403" s="257" t="s">
        <v>150</v>
      </c>
      <c r="D5403" s="259" t="s">
        <v>18027</v>
      </c>
      <c r="E5403" s="210" t="s">
        <v>201</v>
      </c>
    </row>
    <row r="5404" spans="1:5" ht="13.5">
      <c r="A5404" s="258" t="s">
        <v>3872</v>
      </c>
      <c r="B5404" s="257" t="s">
        <v>3873</v>
      </c>
      <c r="C5404" s="257" t="s">
        <v>150</v>
      </c>
      <c r="D5404" s="259" t="s">
        <v>16652</v>
      </c>
      <c r="E5404" s="210" t="s">
        <v>201</v>
      </c>
    </row>
    <row r="5405" spans="1:5" ht="27">
      <c r="A5405" s="258">
        <v>79467</v>
      </c>
      <c r="B5405" s="257" t="s">
        <v>3874</v>
      </c>
      <c r="C5405" s="257" t="s">
        <v>3875</v>
      </c>
      <c r="D5405" s="259" t="s">
        <v>18028</v>
      </c>
      <c r="E5405" s="210" t="s">
        <v>201</v>
      </c>
    </row>
    <row r="5406" spans="1:5" ht="13.5">
      <c r="A5406" s="258" t="s">
        <v>3876</v>
      </c>
      <c r="B5406" s="257" t="s">
        <v>189</v>
      </c>
      <c r="C5406" s="257" t="s">
        <v>150</v>
      </c>
      <c r="D5406" s="259" t="s">
        <v>18029</v>
      </c>
      <c r="E5406" s="210" t="s">
        <v>201</v>
      </c>
    </row>
    <row r="5407" spans="1:5" ht="13.5">
      <c r="A5407" s="258">
        <v>84663</v>
      </c>
      <c r="B5407" s="257" t="s">
        <v>3877</v>
      </c>
      <c r="C5407" s="257" t="s">
        <v>150</v>
      </c>
      <c r="D5407" s="259" t="s">
        <v>18030</v>
      </c>
      <c r="E5407" s="210" t="s">
        <v>201</v>
      </c>
    </row>
    <row r="5408" spans="1:5" ht="13.5">
      <c r="A5408" s="258">
        <v>84665</v>
      </c>
      <c r="B5408" s="257" t="s">
        <v>263</v>
      </c>
      <c r="C5408" s="257" t="s">
        <v>150</v>
      </c>
      <c r="D5408" s="259" t="s">
        <v>16966</v>
      </c>
      <c r="E5408" s="210" t="s">
        <v>201</v>
      </c>
    </row>
    <row r="5409" spans="1:5" ht="13.5">
      <c r="A5409" s="258">
        <v>84666</v>
      </c>
      <c r="B5409" s="257" t="s">
        <v>3878</v>
      </c>
      <c r="C5409" s="257" t="s">
        <v>150</v>
      </c>
      <c r="D5409" s="259" t="s">
        <v>16734</v>
      </c>
      <c r="E5409" s="210" t="s">
        <v>201</v>
      </c>
    </row>
    <row r="5410" spans="1:5" ht="13.5">
      <c r="A5410" s="258">
        <v>75889</v>
      </c>
      <c r="B5410" s="257" t="s">
        <v>184</v>
      </c>
      <c r="C5410" s="257" t="s">
        <v>150</v>
      </c>
      <c r="D5410" s="259" t="s">
        <v>18031</v>
      </c>
      <c r="E5410" s="210" t="s">
        <v>201</v>
      </c>
    </row>
    <row r="5411" spans="1:5" ht="27">
      <c r="A5411" s="257">
        <v>72191</v>
      </c>
      <c r="B5411" s="257" t="s">
        <v>3879</v>
      </c>
      <c r="C5411" s="257" t="s">
        <v>150</v>
      </c>
      <c r="D5411" s="259" t="s">
        <v>18032</v>
      </c>
      <c r="E5411" s="210" t="s">
        <v>201</v>
      </c>
    </row>
    <row r="5412" spans="1:5" ht="13.5">
      <c r="A5412" s="258" t="s">
        <v>3880</v>
      </c>
      <c r="B5412" s="257" t="s">
        <v>3881</v>
      </c>
      <c r="C5412" s="257" t="s">
        <v>150</v>
      </c>
      <c r="D5412" s="259" t="s">
        <v>15838</v>
      </c>
      <c r="E5412" s="210" t="s">
        <v>201</v>
      </c>
    </row>
    <row r="5413" spans="1:5" ht="13.5">
      <c r="A5413" s="258">
        <v>84181</v>
      </c>
      <c r="B5413" s="257" t="s">
        <v>3882</v>
      </c>
      <c r="C5413" s="257" t="s">
        <v>150</v>
      </c>
      <c r="D5413" s="259" t="s">
        <v>18033</v>
      </c>
      <c r="E5413" s="210" t="s">
        <v>201</v>
      </c>
    </row>
    <row r="5414" spans="1:5" ht="27">
      <c r="A5414" s="258">
        <v>87246</v>
      </c>
      <c r="B5414" s="257" t="s">
        <v>3883</v>
      </c>
      <c r="C5414" s="257" t="s">
        <v>150</v>
      </c>
      <c r="D5414" s="259" t="s">
        <v>18034</v>
      </c>
      <c r="E5414" s="210" t="s">
        <v>201</v>
      </c>
    </row>
    <row r="5415" spans="1:5" ht="27">
      <c r="A5415" s="258">
        <v>87247</v>
      </c>
      <c r="B5415" s="257" t="s">
        <v>3884</v>
      </c>
      <c r="C5415" s="257" t="s">
        <v>150</v>
      </c>
      <c r="D5415" s="259" t="s">
        <v>18035</v>
      </c>
      <c r="E5415" s="210" t="s">
        <v>201</v>
      </c>
    </row>
    <row r="5416" spans="1:5" ht="27">
      <c r="A5416" s="258">
        <v>87248</v>
      </c>
      <c r="B5416" s="257" t="s">
        <v>3885</v>
      </c>
      <c r="C5416" s="257" t="s">
        <v>150</v>
      </c>
      <c r="D5416" s="259" t="s">
        <v>16824</v>
      </c>
      <c r="E5416" s="210" t="s">
        <v>201</v>
      </c>
    </row>
    <row r="5417" spans="1:5" ht="27">
      <c r="A5417" s="258">
        <v>87249</v>
      </c>
      <c r="B5417" s="257" t="s">
        <v>3886</v>
      </c>
      <c r="C5417" s="257" t="s">
        <v>150</v>
      </c>
      <c r="D5417" s="259" t="s">
        <v>18036</v>
      </c>
      <c r="E5417" s="210" t="s">
        <v>201</v>
      </c>
    </row>
    <row r="5418" spans="1:5" ht="27">
      <c r="A5418" s="258">
        <v>87250</v>
      </c>
      <c r="B5418" s="257" t="s">
        <v>3887</v>
      </c>
      <c r="C5418" s="257" t="s">
        <v>150</v>
      </c>
      <c r="D5418" s="259" t="s">
        <v>14029</v>
      </c>
      <c r="E5418" s="210" t="s">
        <v>201</v>
      </c>
    </row>
    <row r="5419" spans="1:5" ht="27">
      <c r="A5419" s="258">
        <v>87251</v>
      </c>
      <c r="B5419" s="257" t="s">
        <v>3888</v>
      </c>
      <c r="C5419" s="257" t="s">
        <v>150</v>
      </c>
      <c r="D5419" s="259" t="s">
        <v>18037</v>
      </c>
      <c r="E5419" s="210" t="s">
        <v>201</v>
      </c>
    </row>
    <row r="5420" spans="1:5" ht="27">
      <c r="A5420" s="258">
        <v>87255</v>
      </c>
      <c r="B5420" s="257" t="s">
        <v>3889</v>
      </c>
      <c r="C5420" s="257" t="s">
        <v>150</v>
      </c>
      <c r="D5420" s="259" t="s">
        <v>18038</v>
      </c>
      <c r="E5420" s="210" t="s">
        <v>201</v>
      </c>
    </row>
    <row r="5421" spans="1:5" ht="27">
      <c r="A5421" s="258">
        <v>87256</v>
      </c>
      <c r="B5421" s="257" t="s">
        <v>3890</v>
      </c>
      <c r="C5421" s="257" t="s">
        <v>150</v>
      </c>
      <c r="D5421" s="259" t="s">
        <v>18039</v>
      </c>
      <c r="E5421" s="210" t="s">
        <v>201</v>
      </c>
    </row>
    <row r="5422" spans="1:5" ht="27">
      <c r="A5422" s="258">
        <v>87257</v>
      </c>
      <c r="B5422" s="257" t="s">
        <v>3891</v>
      </c>
      <c r="C5422" s="257" t="s">
        <v>150</v>
      </c>
      <c r="D5422" s="259" t="s">
        <v>14166</v>
      </c>
      <c r="E5422" s="210" t="s">
        <v>201</v>
      </c>
    </row>
    <row r="5423" spans="1:5" ht="27">
      <c r="A5423" s="258">
        <v>87258</v>
      </c>
      <c r="B5423" s="257" t="s">
        <v>3892</v>
      </c>
      <c r="C5423" s="257" t="s">
        <v>150</v>
      </c>
      <c r="D5423" s="259" t="s">
        <v>18040</v>
      </c>
      <c r="E5423" s="210" t="s">
        <v>201</v>
      </c>
    </row>
    <row r="5424" spans="1:5" ht="27">
      <c r="A5424" s="258">
        <v>87259</v>
      </c>
      <c r="B5424" s="257" t="s">
        <v>3893</v>
      </c>
      <c r="C5424" s="257" t="s">
        <v>150</v>
      </c>
      <c r="D5424" s="259" t="s">
        <v>18041</v>
      </c>
      <c r="E5424" s="210" t="s">
        <v>201</v>
      </c>
    </row>
    <row r="5425" spans="1:5" ht="27">
      <c r="A5425" s="258">
        <v>87260</v>
      </c>
      <c r="B5425" s="257" t="s">
        <v>3894</v>
      </c>
      <c r="C5425" s="257" t="s">
        <v>150</v>
      </c>
      <c r="D5425" s="259" t="s">
        <v>18042</v>
      </c>
      <c r="E5425" s="210" t="s">
        <v>201</v>
      </c>
    </row>
    <row r="5426" spans="1:5" ht="27">
      <c r="A5426" s="258">
        <v>87261</v>
      </c>
      <c r="B5426" s="257" t="s">
        <v>3895</v>
      </c>
      <c r="C5426" s="257" t="s">
        <v>150</v>
      </c>
      <c r="D5426" s="259" t="s">
        <v>18043</v>
      </c>
      <c r="E5426" s="210" t="s">
        <v>201</v>
      </c>
    </row>
    <row r="5427" spans="1:5" ht="27">
      <c r="A5427" s="258">
        <v>87262</v>
      </c>
      <c r="B5427" s="257" t="s">
        <v>3896</v>
      </c>
      <c r="C5427" s="257" t="s">
        <v>150</v>
      </c>
      <c r="D5427" s="259" t="s">
        <v>18044</v>
      </c>
      <c r="E5427" s="210" t="s">
        <v>201</v>
      </c>
    </row>
    <row r="5428" spans="1:5" ht="27">
      <c r="A5428" s="258">
        <v>87263</v>
      </c>
      <c r="B5428" s="257" t="s">
        <v>3897</v>
      </c>
      <c r="C5428" s="257" t="s">
        <v>150</v>
      </c>
      <c r="D5428" s="259" t="s">
        <v>18045</v>
      </c>
      <c r="E5428" s="210" t="s">
        <v>201</v>
      </c>
    </row>
    <row r="5429" spans="1:5" ht="27">
      <c r="A5429" s="258">
        <v>89046</v>
      </c>
      <c r="B5429" s="257" t="s">
        <v>3898</v>
      </c>
      <c r="C5429" s="257" t="s">
        <v>150</v>
      </c>
      <c r="D5429" s="259" t="s">
        <v>18046</v>
      </c>
      <c r="E5429" s="210" t="s">
        <v>201</v>
      </c>
    </row>
    <row r="5430" spans="1:5" ht="40.5">
      <c r="A5430" s="258">
        <v>89171</v>
      </c>
      <c r="B5430" s="257" t="s">
        <v>3899</v>
      </c>
      <c r="C5430" s="257" t="s">
        <v>150</v>
      </c>
      <c r="D5430" s="259" t="s">
        <v>18047</v>
      </c>
      <c r="E5430" s="210" t="s">
        <v>201</v>
      </c>
    </row>
    <row r="5431" spans="1:5" ht="27">
      <c r="A5431" s="258">
        <v>93389</v>
      </c>
      <c r="B5431" s="257" t="s">
        <v>3900</v>
      </c>
      <c r="C5431" s="257" t="s">
        <v>150</v>
      </c>
      <c r="D5431" s="259" t="s">
        <v>14918</v>
      </c>
      <c r="E5431" s="210" t="s">
        <v>201</v>
      </c>
    </row>
    <row r="5432" spans="1:5" ht="27">
      <c r="A5432" s="258">
        <v>93390</v>
      </c>
      <c r="B5432" s="257" t="s">
        <v>3901</v>
      </c>
      <c r="C5432" s="257" t="s">
        <v>150</v>
      </c>
      <c r="D5432" s="259" t="s">
        <v>18048</v>
      </c>
      <c r="E5432" s="210" t="s">
        <v>201</v>
      </c>
    </row>
    <row r="5433" spans="1:5" ht="27">
      <c r="A5433" s="258">
        <v>93391</v>
      </c>
      <c r="B5433" s="257" t="s">
        <v>3902</v>
      </c>
      <c r="C5433" s="257" t="s">
        <v>150</v>
      </c>
      <c r="D5433" s="259" t="s">
        <v>18049</v>
      </c>
      <c r="E5433" s="210" t="s">
        <v>201</v>
      </c>
    </row>
    <row r="5434" spans="1:5" ht="27">
      <c r="A5434" s="258" t="s">
        <v>3903</v>
      </c>
      <c r="B5434" s="257" t="s">
        <v>3904</v>
      </c>
      <c r="C5434" s="257" t="s">
        <v>150</v>
      </c>
      <c r="D5434" s="259" t="s">
        <v>18050</v>
      </c>
      <c r="E5434" s="210" t="s">
        <v>201</v>
      </c>
    </row>
    <row r="5435" spans="1:5" ht="13.5">
      <c r="A5435" s="258" t="s">
        <v>3905</v>
      </c>
      <c r="B5435" s="257" t="s">
        <v>3906</v>
      </c>
      <c r="C5435" s="257" t="s">
        <v>150</v>
      </c>
      <c r="D5435" s="259" t="s">
        <v>18051</v>
      </c>
      <c r="E5435" s="210" t="s">
        <v>201</v>
      </c>
    </row>
    <row r="5436" spans="1:5" ht="13.5">
      <c r="A5436" s="258">
        <v>84183</v>
      </c>
      <c r="B5436" s="257" t="s">
        <v>3907</v>
      </c>
      <c r="C5436" s="257" t="s">
        <v>150</v>
      </c>
      <c r="D5436" s="259" t="s">
        <v>18052</v>
      </c>
      <c r="E5436" s="210" t="s">
        <v>201</v>
      </c>
    </row>
    <row r="5437" spans="1:5" ht="27">
      <c r="A5437" s="258">
        <v>98670</v>
      </c>
      <c r="B5437" s="257" t="s">
        <v>6050</v>
      </c>
      <c r="C5437" s="257" t="s">
        <v>150</v>
      </c>
      <c r="D5437" s="259" t="s">
        <v>18053</v>
      </c>
      <c r="E5437" s="210" t="s">
        <v>201</v>
      </c>
    </row>
    <row r="5438" spans="1:5" ht="13.5">
      <c r="A5438" s="258">
        <v>98671</v>
      </c>
      <c r="B5438" s="257" t="s">
        <v>6051</v>
      </c>
      <c r="C5438" s="257" t="s">
        <v>150</v>
      </c>
      <c r="D5438" s="259" t="s">
        <v>18054</v>
      </c>
      <c r="E5438" s="210" t="s">
        <v>201</v>
      </c>
    </row>
    <row r="5439" spans="1:5" ht="13.5">
      <c r="A5439" s="258">
        <v>98672</v>
      </c>
      <c r="B5439" s="257" t="s">
        <v>6052</v>
      </c>
      <c r="C5439" s="257" t="s">
        <v>150</v>
      </c>
      <c r="D5439" s="259" t="s">
        <v>18055</v>
      </c>
      <c r="E5439" s="210" t="s">
        <v>201</v>
      </c>
    </row>
    <row r="5440" spans="1:5" ht="27">
      <c r="A5440" s="258">
        <v>98673</v>
      </c>
      <c r="B5440" s="257" t="s">
        <v>6053</v>
      </c>
      <c r="C5440" s="257" t="s">
        <v>150</v>
      </c>
      <c r="D5440" s="259" t="s">
        <v>18056</v>
      </c>
      <c r="E5440" s="210" t="s">
        <v>201</v>
      </c>
    </row>
    <row r="5441" spans="1:5" ht="27">
      <c r="A5441" s="258">
        <v>98679</v>
      </c>
      <c r="B5441" s="257" t="s">
        <v>6054</v>
      </c>
      <c r="C5441" s="257" t="s">
        <v>150</v>
      </c>
      <c r="D5441" s="259" t="s">
        <v>16786</v>
      </c>
      <c r="E5441" s="210" t="s">
        <v>201</v>
      </c>
    </row>
    <row r="5442" spans="1:5" ht="27">
      <c r="A5442" s="258">
        <v>98680</v>
      </c>
      <c r="B5442" s="257" t="s">
        <v>6055</v>
      </c>
      <c r="C5442" s="257" t="s">
        <v>150</v>
      </c>
      <c r="D5442" s="259" t="s">
        <v>14560</v>
      </c>
      <c r="E5442" s="210" t="s">
        <v>201</v>
      </c>
    </row>
    <row r="5443" spans="1:5" ht="27">
      <c r="A5443" s="258">
        <v>98681</v>
      </c>
      <c r="B5443" s="257" t="s">
        <v>6056</v>
      </c>
      <c r="C5443" s="257" t="s">
        <v>150</v>
      </c>
      <c r="D5443" s="259" t="s">
        <v>18057</v>
      </c>
      <c r="E5443" s="210" t="s">
        <v>201</v>
      </c>
    </row>
    <row r="5444" spans="1:5" ht="27">
      <c r="A5444" s="258">
        <v>98682</v>
      </c>
      <c r="B5444" s="257" t="s">
        <v>6057</v>
      </c>
      <c r="C5444" s="257" t="s">
        <v>150</v>
      </c>
      <c r="D5444" s="259" t="s">
        <v>16953</v>
      </c>
      <c r="E5444" s="210" t="s">
        <v>201</v>
      </c>
    </row>
    <row r="5445" spans="1:5" ht="13.5">
      <c r="A5445" s="258">
        <v>98685</v>
      </c>
      <c r="B5445" s="257" t="s">
        <v>6058</v>
      </c>
      <c r="C5445" s="257" t="s">
        <v>5</v>
      </c>
      <c r="D5445" s="259" t="s">
        <v>18058</v>
      </c>
      <c r="E5445" s="210" t="s">
        <v>201</v>
      </c>
    </row>
    <row r="5446" spans="1:5" ht="13.5">
      <c r="A5446" s="258">
        <v>98686</v>
      </c>
      <c r="B5446" s="257" t="s">
        <v>6059</v>
      </c>
      <c r="C5446" s="257" t="s">
        <v>5</v>
      </c>
      <c r="D5446" s="259" t="s">
        <v>18059</v>
      </c>
      <c r="E5446" s="210" t="s">
        <v>201</v>
      </c>
    </row>
    <row r="5447" spans="1:5" ht="13.5">
      <c r="A5447" s="258">
        <v>98688</v>
      </c>
      <c r="B5447" s="257" t="s">
        <v>6060</v>
      </c>
      <c r="C5447" s="257" t="s">
        <v>5</v>
      </c>
      <c r="D5447" s="259" t="s">
        <v>14151</v>
      </c>
      <c r="E5447" s="210" t="s">
        <v>201</v>
      </c>
    </row>
    <row r="5448" spans="1:5" ht="13.5">
      <c r="A5448" s="258">
        <v>98689</v>
      </c>
      <c r="B5448" s="257" t="s">
        <v>6061</v>
      </c>
      <c r="C5448" s="257" t="s">
        <v>5</v>
      </c>
      <c r="D5448" s="259" t="s">
        <v>18060</v>
      </c>
      <c r="E5448" s="210" t="s">
        <v>201</v>
      </c>
    </row>
    <row r="5449" spans="1:5" ht="13.5">
      <c r="A5449" s="258">
        <v>72187</v>
      </c>
      <c r="B5449" s="257" t="s">
        <v>3908</v>
      </c>
      <c r="C5449" s="257" t="s">
        <v>150</v>
      </c>
      <c r="D5449" s="259" t="s">
        <v>18061</v>
      </c>
      <c r="E5449" s="210" t="s">
        <v>201</v>
      </c>
    </row>
    <row r="5450" spans="1:5" ht="27">
      <c r="A5450" s="258">
        <v>72188</v>
      </c>
      <c r="B5450" s="257" t="s">
        <v>3909</v>
      </c>
      <c r="C5450" s="257" t="s">
        <v>150</v>
      </c>
      <c r="D5450" s="260" t="s">
        <v>18061</v>
      </c>
      <c r="E5450" s="210" t="s">
        <v>201</v>
      </c>
    </row>
    <row r="5451" spans="1:5" ht="13.5">
      <c r="A5451" s="258" t="s">
        <v>3910</v>
      </c>
      <c r="B5451" s="257" t="s">
        <v>3911</v>
      </c>
      <c r="C5451" s="257" t="s">
        <v>150</v>
      </c>
      <c r="D5451" s="260" t="s">
        <v>15835</v>
      </c>
      <c r="E5451" s="210" t="s">
        <v>201</v>
      </c>
    </row>
    <row r="5452" spans="1:5" ht="13.5">
      <c r="A5452" s="258">
        <v>84186</v>
      </c>
      <c r="B5452" s="257" t="s">
        <v>3912</v>
      </c>
      <c r="C5452" s="257" t="s">
        <v>150</v>
      </c>
      <c r="D5452" s="260" t="s">
        <v>18062</v>
      </c>
      <c r="E5452" s="210" t="s">
        <v>201</v>
      </c>
    </row>
    <row r="5453" spans="1:5" ht="13.5">
      <c r="A5453" s="258">
        <v>84187</v>
      </c>
      <c r="B5453" s="257" t="s">
        <v>3913</v>
      </c>
      <c r="C5453" s="257" t="s">
        <v>150</v>
      </c>
      <c r="D5453" s="260" t="s">
        <v>18063</v>
      </c>
      <c r="E5453" s="210" t="s">
        <v>201</v>
      </c>
    </row>
    <row r="5454" spans="1:5" ht="13.5">
      <c r="A5454" s="258">
        <v>72815</v>
      </c>
      <c r="B5454" s="257" t="s">
        <v>3914</v>
      </c>
      <c r="C5454" s="257" t="s">
        <v>150</v>
      </c>
      <c r="D5454" s="260" t="s">
        <v>18064</v>
      </c>
      <c r="E5454" s="210" t="s">
        <v>201</v>
      </c>
    </row>
    <row r="5455" spans="1:5" ht="27">
      <c r="A5455" s="258">
        <v>84191</v>
      </c>
      <c r="B5455" s="257" t="s">
        <v>3915</v>
      </c>
      <c r="C5455" s="257" t="s">
        <v>150</v>
      </c>
      <c r="D5455" s="260" t="s">
        <v>14347</v>
      </c>
      <c r="E5455" s="210" t="s">
        <v>201</v>
      </c>
    </row>
    <row r="5456" spans="1:5" ht="27">
      <c r="A5456" s="258" t="s">
        <v>3916</v>
      </c>
      <c r="B5456" s="257" t="s">
        <v>3917</v>
      </c>
      <c r="C5456" s="257" t="s">
        <v>5</v>
      </c>
      <c r="D5456" s="259" t="s">
        <v>18065</v>
      </c>
      <c r="E5456" s="210" t="s">
        <v>201</v>
      </c>
    </row>
    <row r="5457" spans="1:5" ht="13.5">
      <c r="A5457" s="258">
        <v>98695</v>
      </c>
      <c r="B5457" s="257" t="s">
        <v>6062</v>
      </c>
      <c r="C5457" s="257" t="s">
        <v>5</v>
      </c>
      <c r="D5457" s="259" t="s">
        <v>18066</v>
      </c>
      <c r="E5457" s="210" t="s">
        <v>201</v>
      </c>
    </row>
    <row r="5458" spans="1:5" ht="13.5">
      <c r="A5458" s="258">
        <v>98697</v>
      </c>
      <c r="B5458" s="257" t="s">
        <v>6063</v>
      </c>
      <c r="C5458" s="257" t="s">
        <v>5</v>
      </c>
      <c r="D5458" s="259" t="s">
        <v>15591</v>
      </c>
      <c r="E5458" s="210" t="s">
        <v>201</v>
      </c>
    </row>
    <row r="5459" spans="1:5" ht="13.5">
      <c r="A5459" s="258" t="s">
        <v>3918</v>
      </c>
      <c r="B5459" s="257" t="s">
        <v>3919</v>
      </c>
      <c r="C5459" s="257" t="s">
        <v>5</v>
      </c>
      <c r="D5459" s="259" t="s">
        <v>18067</v>
      </c>
      <c r="E5459" s="210" t="s">
        <v>201</v>
      </c>
    </row>
    <row r="5460" spans="1:5" ht="13.5">
      <c r="A5460" s="258">
        <v>84162</v>
      </c>
      <c r="B5460" s="257" t="s">
        <v>3920</v>
      </c>
      <c r="C5460" s="257" t="s">
        <v>5</v>
      </c>
      <c r="D5460" s="259" t="s">
        <v>17636</v>
      </c>
      <c r="E5460" s="210" t="s">
        <v>201</v>
      </c>
    </row>
    <row r="5461" spans="1:5" ht="27">
      <c r="A5461" s="258">
        <v>88648</v>
      </c>
      <c r="B5461" s="257" t="s">
        <v>3921</v>
      </c>
      <c r="C5461" s="257" t="s">
        <v>5</v>
      </c>
      <c r="D5461" s="259" t="s">
        <v>16632</v>
      </c>
      <c r="E5461" s="210" t="s">
        <v>201</v>
      </c>
    </row>
    <row r="5462" spans="1:5" ht="27">
      <c r="A5462" s="258">
        <v>88649</v>
      </c>
      <c r="B5462" s="257" t="s">
        <v>3922</v>
      </c>
      <c r="C5462" s="257" t="s">
        <v>5</v>
      </c>
      <c r="D5462" s="259" t="s">
        <v>18068</v>
      </c>
      <c r="E5462" s="210" t="s">
        <v>201</v>
      </c>
    </row>
    <row r="5463" spans="1:5" ht="27">
      <c r="A5463" s="258">
        <v>88650</v>
      </c>
      <c r="B5463" s="257" t="s">
        <v>3923</v>
      </c>
      <c r="C5463" s="257" t="s">
        <v>5</v>
      </c>
      <c r="D5463" s="259" t="s">
        <v>16968</v>
      </c>
      <c r="E5463" s="210" t="s">
        <v>201</v>
      </c>
    </row>
    <row r="5464" spans="1:5" ht="27">
      <c r="A5464" s="258">
        <v>96467</v>
      </c>
      <c r="B5464" s="257" t="s">
        <v>3924</v>
      </c>
      <c r="C5464" s="257" t="s">
        <v>5</v>
      </c>
      <c r="D5464" s="259" t="s">
        <v>14234</v>
      </c>
      <c r="E5464" s="210" t="s">
        <v>201</v>
      </c>
    </row>
    <row r="5465" spans="1:5" ht="13.5">
      <c r="A5465" s="258" t="s">
        <v>3925</v>
      </c>
      <c r="B5465" s="257" t="s">
        <v>3926</v>
      </c>
      <c r="C5465" s="257" t="s">
        <v>5</v>
      </c>
      <c r="D5465" s="259" t="s">
        <v>18069</v>
      </c>
      <c r="E5465" s="210" t="s">
        <v>201</v>
      </c>
    </row>
    <row r="5466" spans="1:5" ht="13.5">
      <c r="A5466" s="258">
        <v>84168</v>
      </c>
      <c r="B5466" s="257" t="s">
        <v>3927</v>
      </c>
      <c r="C5466" s="257" t="s">
        <v>5</v>
      </c>
      <c r="D5466" s="259" t="s">
        <v>17147</v>
      </c>
      <c r="E5466" s="210" t="s">
        <v>201</v>
      </c>
    </row>
    <row r="5467" spans="1:5" ht="27">
      <c r="A5467" s="258">
        <v>68325</v>
      </c>
      <c r="B5467" s="257" t="s">
        <v>3928</v>
      </c>
      <c r="C5467" s="257" t="s">
        <v>150</v>
      </c>
      <c r="D5467" s="259" t="s">
        <v>18070</v>
      </c>
      <c r="E5467" s="210" t="s">
        <v>201</v>
      </c>
    </row>
    <row r="5468" spans="1:5" ht="27">
      <c r="A5468" s="258">
        <v>68333</v>
      </c>
      <c r="B5468" s="257" t="s">
        <v>3929</v>
      </c>
      <c r="C5468" s="257" t="s">
        <v>150</v>
      </c>
      <c r="D5468" s="259" t="s">
        <v>18071</v>
      </c>
      <c r="E5468" s="210" t="s">
        <v>201</v>
      </c>
    </row>
    <row r="5469" spans="1:5" ht="13.5">
      <c r="A5469" s="258">
        <v>72183</v>
      </c>
      <c r="B5469" s="257" t="s">
        <v>3930</v>
      </c>
      <c r="C5469" s="257" t="s">
        <v>150</v>
      </c>
      <c r="D5469" s="259" t="s">
        <v>13739</v>
      </c>
      <c r="E5469" s="210" t="s">
        <v>201</v>
      </c>
    </row>
    <row r="5470" spans="1:5" ht="27">
      <c r="A5470" s="258">
        <v>94990</v>
      </c>
      <c r="B5470" s="257" t="s">
        <v>3931</v>
      </c>
      <c r="C5470" s="257" t="s">
        <v>172</v>
      </c>
      <c r="D5470" s="259" t="s">
        <v>18072</v>
      </c>
      <c r="E5470" s="210" t="s">
        <v>201</v>
      </c>
    </row>
    <row r="5471" spans="1:5" ht="27">
      <c r="A5471" s="258">
        <v>94991</v>
      </c>
      <c r="B5471" s="257" t="s">
        <v>3932</v>
      </c>
      <c r="C5471" s="257" t="s">
        <v>172</v>
      </c>
      <c r="D5471" s="259" t="s">
        <v>18073</v>
      </c>
      <c r="E5471" s="210" t="s">
        <v>201</v>
      </c>
    </row>
    <row r="5472" spans="1:5" ht="27">
      <c r="A5472" s="258">
        <v>94992</v>
      </c>
      <c r="B5472" s="257" t="s">
        <v>3933</v>
      </c>
      <c r="C5472" s="257" t="s">
        <v>150</v>
      </c>
      <c r="D5472" s="259" t="s">
        <v>16814</v>
      </c>
      <c r="E5472" s="210" t="s">
        <v>201</v>
      </c>
    </row>
    <row r="5473" spans="1:5" ht="27">
      <c r="A5473" s="258">
        <v>94993</v>
      </c>
      <c r="B5473" s="257" t="s">
        <v>3934</v>
      </c>
      <c r="C5473" s="257" t="s">
        <v>150</v>
      </c>
      <c r="D5473" s="259" t="s">
        <v>18074</v>
      </c>
      <c r="E5473" s="210" t="s">
        <v>201</v>
      </c>
    </row>
    <row r="5474" spans="1:5" ht="27">
      <c r="A5474" s="258">
        <v>94994</v>
      </c>
      <c r="B5474" s="257" t="s">
        <v>3935</v>
      </c>
      <c r="C5474" s="257" t="s">
        <v>150</v>
      </c>
      <c r="D5474" s="259" t="s">
        <v>18075</v>
      </c>
      <c r="E5474" s="210" t="s">
        <v>201</v>
      </c>
    </row>
    <row r="5475" spans="1:5" ht="27">
      <c r="A5475" s="258">
        <v>94995</v>
      </c>
      <c r="B5475" s="257" t="s">
        <v>3936</v>
      </c>
      <c r="C5475" s="257" t="s">
        <v>150</v>
      </c>
      <c r="D5475" s="259" t="s">
        <v>18076</v>
      </c>
      <c r="E5475" s="210" t="s">
        <v>201</v>
      </c>
    </row>
    <row r="5476" spans="1:5" ht="27">
      <c r="A5476" s="258">
        <v>94996</v>
      </c>
      <c r="B5476" s="257" t="s">
        <v>3937</v>
      </c>
      <c r="C5476" s="257" t="s">
        <v>150</v>
      </c>
      <c r="D5476" s="259" t="s">
        <v>18077</v>
      </c>
      <c r="E5476" s="210" t="s">
        <v>201</v>
      </c>
    </row>
    <row r="5477" spans="1:5" ht="27">
      <c r="A5477" s="258">
        <v>94997</v>
      </c>
      <c r="B5477" s="257" t="s">
        <v>3938</v>
      </c>
      <c r="C5477" s="257" t="s">
        <v>150</v>
      </c>
      <c r="D5477" s="259" t="s">
        <v>18078</v>
      </c>
      <c r="E5477" s="210" t="s">
        <v>201</v>
      </c>
    </row>
    <row r="5478" spans="1:5" ht="27">
      <c r="A5478" s="258">
        <v>94998</v>
      </c>
      <c r="B5478" s="257" t="s">
        <v>3939</v>
      </c>
      <c r="C5478" s="257" t="s">
        <v>150</v>
      </c>
      <c r="D5478" s="259" t="s">
        <v>18079</v>
      </c>
      <c r="E5478" s="210" t="s">
        <v>201</v>
      </c>
    </row>
    <row r="5479" spans="1:5" ht="27">
      <c r="A5479" s="258">
        <v>94999</v>
      </c>
      <c r="B5479" s="257" t="s">
        <v>3940</v>
      </c>
      <c r="C5479" s="257" t="s">
        <v>150</v>
      </c>
      <c r="D5479" s="259" t="s">
        <v>18080</v>
      </c>
      <c r="E5479" s="210" t="s">
        <v>201</v>
      </c>
    </row>
    <row r="5480" spans="1:5" ht="27">
      <c r="A5480" s="258">
        <v>87620</v>
      </c>
      <c r="B5480" s="257" t="s">
        <v>187</v>
      </c>
      <c r="C5480" s="257" t="s">
        <v>150</v>
      </c>
      <c r="D5480" s="259" t="s">
        <v>14907</v>
      </c>
      <c r="E5480" s="210" t="s">
        <v>201</v>
      </c>
    </row>
    <row r="5481" spans="1:5" ht="27">
      <c r="A5481" s="258">
        <v>87622</v>
      </c>
      <c r="B5481" s="257" t="s">
        <v>3941</v>
      </c>
      <c r="C5481" s="257" t="s">
        <v>150</v>
      </c>
      <c r="D5481" s="259" t="s">
        <v>14908</v>
      </c>
      <c r="E5481" s="210" t="s">
        <v>201</v>
      </c>
    </row>
    <row r="5482" spans="1:5" ht="27">
      <c r="A5482" s="258">
        <v>87623</v>
      </c>
      <c r="B5482" s="257" t="s">
        <v>3942</v>
      </c>
      <c r="C5482" s="257" t="s">
        <v>150</v>
      </c>
      <c r="D5482" s="259" t="s">
        <v>18081</v>
      </c>
      <c r="E5482" s="210" t="s">
        <v>201</v>
      </c>
    </row>
    <row r="5483" spans="1:5" ht="27">
      <c r="A5483" s="258">
        <v>87624</v>
      </c>
      <c r="B5483" s="257" t="s">
        <v>3943</v>
      </c>
      <c r="C5483" s="257" t="s">
        <v>150</v>
      </c>
      <c r="D5483" s="259" t="s">
        <v>18082</v>
      </c>
      <c r="E5483" s="210" t="s">
        <v>201</v>
      </c>
    </row>
    <row r="5484" spans="1:5" ht="27">
      <c r="A5484" s="258">
        <v>87630</v>
      </c>
      <c r="B5484" s="257" t="s">
        <v>3944</v>
      </c>
      <c r="C5484" s="257" t="s">
        <v>150</v>
      </c>
      <c r="D5484" s="259" t="s">
        <v>18083</v>
      </c>
      <c r="E5484" s="210" t="s">
        <v>201</v>
      </c>
    </row>
    <row r="5485" spans="1:5" ht="27">
      <c r="A5485" s="258">
        <v>87632</v>
      </c>
      <c r="B5485" s="257" t="s">
        <v>3945</v>
      </c>
      <c r="C5485" s="257" t="s">
        <v>150</v>
      </c>
      <c r="D5485" s="259" t="s">
        <v>18084</v>
      </c>
      <c r="E5485" s="210" t="s">
        <v>201</v>
      </c>
    </row>
    <row r="5486" spans="1:5" ht="27">
      <c r="A5486" s="258">
        <v>87633</v>
      </c>
      <c r="B5486" s="257" t="s">
        <v>3946</v>
      </c>
      <c r="C5486" s="257" t="s">
        <v>150</v>
      </c>
      <c r="D5486" s="259" t="s">
        <v>16946</v>
      </c>
      <c r="E5486" s="210" t="s">
        <v>201</v>
      </c>
    </row>
    <row r="5487" spans="1:5" ht="27">
      <c r="A5487" s="258">
        <v>87634</v>
      </c>
      <c r="B5487" s="257" t="s">
        <v>3947</v>
      </c>
      <c r="C5487" s="257" t="s">
        <v>150</v>
      </c>
      <c r="D5487" s="260" t="s">
        <v>15923</v>
      </c>
      <c r="E5487" s="210" t="s">
        <v>201</v>
      </c>
    </row>
    <row r="5488" spans="1:5" ht="27">
      <c r="A5488" s="258">
        <v>87640</v>
      </c>
      <c r="B5488" s="257" t="s">
        <v>3948</v>
      </c>
      <c r="C5488" s="257" t="s">
        <v>150</v>
      </c>
      <c r="D5488" s="260" t="s">
        <v>15989</v>
      </c>
      <c r="E5488" s="210" t="s">
        <v>201</v>
      </c>
    </row>
    <row r="5489" spans="1:5" ht="27">
      <c r="A5489" s="258">
        <v>87642</v>
      </c>
      <c r="B5489" s="257" t="s">
        <v>3949</v>
      </c>
      <c r="C5489" s="257" t="s">
        <v>150</v>
      </c>
      <c r="D5489" s="260" t="s">
        <v>18085</v>
      </c>
      <c r="E5489" s="210" t="s">
        <v>201</v>
      </c>
    </row>
    <row r="5490" spans="1:5" ht="27">
      <c r="A5490" s="258">
        <v>87643</v>
      </c>
      <c r="B5490" s="257" t="s">
        <v>3950</v>
      </c>
      <c r="C5490" s="257" t="s">
        <v>150</v>
      </c>
      <c r="D5490" s="260" t="s">
        <v>18086</v>
      </c>
      <c r="E5490" s="210" t="s">
        <v>201</v>
      </c>
    </row>
    <row r="5491" spans="1:5" ht="27">
      <c r="A5491" s="258">
        <v>87644</v>
      </c>
      <c r="B5491" s="257" t="s">
        <v>3951</v>
      </c>
      <c r="C5491" s="257" t="s">
        <v>150</v>
      </c>
      <c r="D5491" s="260" t="s">
        <v>18087</v>
      </c>
      <c r="E5491" s="210" t="s">
        <v>201</v>
      </c>
    </row>
    <row r="5492" spans="1:5" ht="27">
      <c r="A5492" s="258">
        <v>87680</v>
      </c>
      <c r="B5492" s="257" t="s">
        <v>3952</v>
      </c>
      <c r="C5492" s="257" t="s">
        <v>150</v>
      </c>
      <c r="D5492" s="260" t="s">
        <v>16953</v>
      </c>
      <c r="E5492" s="210" t="s">
        <v>201</v>
      </c>
    </row>
    <row r="5493" spans="1:5" ht="27">
      <c r="A5493" s="258">
        <v>87682</v>
      </c>
      <c r="B5493" s="257" t="s">
        <v>3953</v>
      </c>
      <c r="C5493" s="257" t="s">
        <v>150</v>
      </c>
      <c r="D5493" s="260" t="s">
        <v>15714</v>
      </c>
      <c r="E5493" s="210" t="s">
        <v>201</v>
      </c>
    </row>
    <row r="5494" spans="1:5" ht="27">
      <c r="A5494" s="258">
        <v>87683</v>
      </c>
      <c r="B5494" s="257" t="s">
        <v>3954</v>
      </c>
      <c r="C5494" s="257" t="s">
        <v>150</v>
      </c>
      <c r="D5494" s="259" t="s">
        <v>18088</v>
      </c>
      <c r="E5494" s="210" t="s">
        <v>201</v>
      </c>
    </row>
    <row r="5495" spans="1:5" ht="27">
      <c r="A5495" s="258">
        <v>87684</v>
      </c>
      <c r="B5495" s="257" t="s">
        <v>3955</v>
      </c>
      <c r="C5495" s="257" t="s">
        <v>150</v>
      </c>
      <c r="D5495" s="259" t="s">
        <v>15956</v>
      </c>
      <c r="E5495" s="210" t="s">
        <v>201</v>
      </c>
    </row>
    <row r="5496" spans="1:5" ht="27">
      <c r="A5496" s="258">
        <v>87690</v>
      </c>
      <c r="B5496" s="257" t="s">
        <v>3956</v>
      </c>
      <c r="C5496" s="257" t="s">
        <v>150</v>
      </c>
      <c r="D5496" s="259" t="s">
        <v>18089</v>
      </c>
      <c r="E5496" s="210" t="s">
        <v>201</v>
      </c>
    </row>
    <row r="5497" spans="1:5" ht="27">
      <c r="A5497" s="258">
        <v>87692</v>
      </c>
      <c r="B5497" s="257" t="s">
        <v>3957</v>
      </c>
      <c r="C5497" s="257" t="s">
        <v>150</v>
      </c>
      <c r="D5497" s="259" t="s">
        <v>16038</v>
      </c>
      <c r="E5497" s="210" t="s">
        <v>201</v>
      </c>
    </row>
    <row r="5498" spans="1:5" ht="27">
      <c r="A5498" s="258">
        <v>87693</v>
      </c>
      <c r="B5498" s="257" t="s">
        <v>3958</v>
      </c>
      <c r="C5498" s="257" t="s">
        <v>150</v>
      </c>
      <c r="D5498" s="259" t="s">
        <v>15925</v>
      </c>
      <c r="E5498" s="210" t="s">
        <v>201</v>
      </c>
    </row>
    <row r="5499" spans="1:5" ht="27">
      <c r="A5499" s="258">
        <v>87694</v>
      </c>
      <c r="B5499" s="257" t="s">
        <v>3959</v>
      </c>
      <c r="C5499" s="257" t="s">
        <v>150</v>
      </c>
      <c r="D5499" s="259" t="s">
        <v>18090</v>
      </c>
      <c r="E5499" s="210" t="s">
        <v>201</v>
      </c>
    </row>
    <row r="5500" spans="1:5" ht="27">
      <c r="A5500" s="258">
        <v>87700</v>
      </c>
      <c r="B5500" s="257" t="s">
        <v>3960</v>
      </c>
      <c r="C5500" s="257" t="s">
        <v>150</v>
      </c>
      <c r="D5500" s="259" t="s">
        <v>18091</v>
      </c>
      <c r="E5500" s="210" t="s">
        <v>201</v>
      </c>
    </row>
    <row r="5501" spans="1:5" ht="27">
      <c r="A5501" s="258">
        <v>87702</v>
      </c>
      <c r="B5501" s="257" t="s">
        <v>3961</v>
      </c>
      <c r="C5501" s="257" t="s">
        <v>150</v>
      </c>
      <c r="D5501" s="259" t="s">
        <v>15708</v>
      </c>
      <c r="E5501" s="210" t="s">
        <v>201</v>
      </c>
    </row>
    <row r="5502" spans="1:5" ht="27">
      <c r="A5502" s="258">
        <v>87703</v>
      </c>
      <c r="B5502" s="257" t="s">
        <v>3962</v>
      </c>
      <c r="C5502" s="257" t="s">
        <v>150</v>
      </c>
      <c r="D5502" s="259" t="s">
        <v>15286</v>
      </c>
      <c r="E5502" s="210" t="s">
        <v>201</v>
      </c>
    </row>
    <row r="5503" spans="1:5" ht="27">
      <c r="A5503" s="258">
        <v>87704</v>
      </c>
      <c r="B5503" s="257" t="s">
        <v>3963</v>
      </c>
      <c r="C5503" s="257" t="s">
        <v>150</v>
      </c>
      <c r="D5503" s="259" t="s">
        <v>18092</v>
      </c>
      <c r="E5503" s="210" t="s">
        <v>201</v>
      </c>
    </row>
    <row r="5504" spans="1:5" ht="27">
      <c r="A5504" s="258">
        <v>87735</v>
      </c>
      <c r="B5504" s="257" t="s">
        <v>3964</v>
      </c>
      <c r="C5504" s="257" t="s">
        <v>150</v>
      </c>
      <c r="D5504" s="259" t="s">
        <v>14046</v>
      </c>
      <c r="E5504" s="210" t="s">
        <v>201</v>
      </c>
    </row>
    <row r="5505" spans="1:5" ht="27">
      <c r="A5505" s="258">
        <v>87737</v>
      </c>
      <c r="B5505" s="257" t="s">
        <v>3965</v>
      </c>
      <c r="C5505" s="257" t="s">
        <v>150</v>
      </c>
      <c r="D5505" s="259" t="s">
        <v>18093</v>
      </c>
      <c r="E5505" s="210" t="s">
        <v>201</v>
      </c>
    </row>
    <row r="5506" spans="1:5" ht="27">
      <c r="A5506" s="258">
        <v>87738</v>
      </c>
      <c r="B5506" s="257" t="s">
        <v>3966</v>
      </c>
      <c r="C5506" s="257" t="s">
        <v>150</v>
      </c>
      <c r="D5506" s="259" t="s">
        <v>17709</v>
      </c>
      <c r="E5506" s="210" t="s">
        <v>201</v>
      </c>
    </row>
    <row r="5507" spans="1:5" ht="27">
      <c r="A5507" s="258">
        <v>87739</v>
      </c>
      <c r="B5507" s="257" t="s">
        <v>3967</v>
      </c>
      <c r="C5507" s="257" t="s">
        <v>150</v>
      </c>
      <c r="D5507" s="259" t="s">
        <v>17892</v>
      </c>
      <c r="E5507" s="210" t="s">
        <v>201</v>
      </c>
    </row>
    <row r="5508" spans="1:5" ht="27">
      <c r="A5508" s="258">
        <v>87745</v>
      </c>
      <c r="B5508" s="257" t="s">
        <v>3968</v>
      </c>
      <c r="C5508" s="257" t="s">
        <v>150</v>
      </c>
      <c r="D5508" s="260" t="s">
        <v>18094</v>
      </c>
      <c r="E5508" s="210" t="s">
        <v>201</v>
      </c>
    </row>
    <row r="5509" spans="1:5" ht="27">
      <c r="A5509" s="258">
        <v>87747</v>
      </c>
      <c r="B5509" s="257" t="s">
        <v>3969</v>
      </c>
      <c r="C5509" s="257" t="s">
        <v>150</v>
      </c>
      <c r="D5509" s="260" t="s">
        <v>18095</v>
      </c>
      <c r="E5509" s="210" t="s">
        <v>201</v>
      </c>
    </row>
    <row r="5510" spans="1:5" ht="27">
      <c r="A5510" s="258">
        <v>87748</v>
      </c>
      <c r="B5510" s="257" t="s">
        <v>3970</v>
      </c>
      <c r="C5510" s="257" t="s">
        <v>150</v>
      </c>
      <c r="D5510" s="260" t="s">
        <v>18096</v>
      </c>
      <c r="E5510" s="210" t="s">
        <v>201</v>
      </c>
    </row>
    <row r="5511" spans="1:5" ht="27">
      <c r="A5511" s="258">
        <v>87749</v>
      </c>
      <c r="B5511" s="257" t="s">
        <v>3971</v>
      </c>
      <c r="C5511" s="257" t="s">
        <v>150</v>
      </c>
      <c r="D5511" s="259" t="s">
        <v>18097</v>
      </c>
      <c r="E5511" s="210" t="s">
        <v>201</v>
      </c>
    </row>
    <row r="5512" spans="1:5" ht="27">
      <c r="A5512" s="258">
        <v>87755</v>
      </c>
      <c r="B5512" s="257" t="s">
        <v>3972</v>
      </c>
      <c r="C5512" s="257" t="s">
        <v>150</v>
      </c>
      <c r="D5512" s="259" t="s">
        <v>18098</v>
      </c>
      <c r="E5512" s="210" t="s">
        <v>201</v>
      </c>
    </row>
    <row r="5513" spans="1:5" ht="27">
      <c r="A5513" s="258">
        <v>87757</v>
      </c>
      <c r="B5513" s="257" t="s">
        <v>3973</v>
      </c>
      <c r="C5513" s="257" t="s">
        <v>150</v>
      </c>
      <c r="D5513" s="259" t="s">
        <v>18099</v>
      </c>
      <c r="E5513" s="210" t="s">
        <v>201</v>
      </c>
    </row>
    <row r="5514" spans="1:5" ht="27">
      <c r="A5514" s="258">
        <v>87758</v>
      </c>
      <c r="B5514" s="257" t="s">
        <v>3974</v>
      </c>
      <c r="C5514" s="257" t="s">
        <v>150</v>
      </c>
      <c r="D5514" s="259" t="s">
        <v>15356</v>
      </c>
      <c r="E5514" s="210" t="s">
        <v>201</v>
      </c>
    </row>
    <row r="5515" spans="1:5" ht="27">
      <c r="A5515" s="258">
        <v>87759</v>
      </c>
      <c r="B5515" s="257" t="s">
        <v>3975</v>
      </c>
      <c r="C5515" s="257" t="s">
        <v>150</v>
      </c>
      <c r="D5515" s="259" t="s">
        <v>18100</v>
      </c>
      <c r="E5515" s="210" t="s">
        <v>201</v>
      </c>
    </row>
    <row r="5516" spans="1:5" ht="27">
      <c r="A5516" s="258">
        <v>87765</v>
      </c>
      <c r="B5516" s="257" t="s">
        <v>3976</v>
      </c>
      <c r="C5516" s="257" t="s">
        <v>150</v>
      </c>
      <c r="D5516" s="259" t="s">
        <v>17470</v>
      </c>
      <c r="E5516" s="210" t="s">
        <v>201</v>
      </c>
    </row>
    <row r="5517" spans="1:5" ht="27">
      <c r="A5517" s="258">
        <v>87767</v>
      </c>
      <c r="B5517" s="257" t="s">
        <v>3977</v>
      </c>
      <c r="C5517" s="257" t="s">
        <v>150</v>
      </c>
      <c r="D5517" s="260" t="s">
        <v>18101</v>
      </c>
      <c r="E5517" s="210" t="s">
        <v>201</v>
      </c>
    </row>
    <row r="5518" spans="1:5" ht="27">
      <c r="A5518" s="258">
        <v>87768</v>
      </c>
      <c r="B5518" s="257" t="s">
        <v>3978</v>
      </c>
      <c r="C5518" s="257" t="s">
        <v>150</v>
      </c>
      <c r="D5518" s="260" t="s">
        <v>18102</v>
      </c>
      <c r="E5518" s="210" t="s">
        <v>201</v>
      </c>
    </row>
    <row r="5519" spans="1:5" ht="27">
      <c r="A5519" s="258">
        <v>87769</v>
      </c>
      <c r="B5519" s="257" t="s">
        <v>3979</v>
      </c>
      <c r="C5519" s="257" t="s">
        <v>150</v>
      </c>
      <c r="D5519" s="260" t="s">
        <v>18103</v>
      </c>
      <c r="E5519" s="210" t="s">
        <v>201</v>
      </c>
    </row>
    <row r="5520" spans="1:5" ht="13.5">
      <c r="A5520" s="258">
        <v>88470</v>
      </c>
      <c r="B5520" s="257" t="s">
        <v>3980</v>
      </c>
      <c r="C5520" s="257" t="s">
        <v>150</v>
      </c>
      <c r="D5520" s="260" t="s">
        <v>18104</v>
      </c>
      <c r="E5520" s="210" t="s">
        <v>201</v>
      </c>
    </row>
    <row r="5521" spans="1:5" ht="13.5">
      <c r="A5521" s="258">
        <v>88471</v>
      </c>
      <c r="B5521" s="257" t="s">
        <v>3981</v>
      </c>
      <c r="C5521" s="257" t="s">
        <v>150</v>
      </c>
      <c r="D5521" s="260" t="s">
        <v>13693</v>
      </c>
      <c r="E5521" s="210" t="s">
        <v>201</v>
      </c>
    </row>
    <row r="5522" spans="1:5" ht="13.5">
      <c r="A5522" s="258">
        <v>88472</v>
      </c>
      <c r="B5522" s="257" t="s">
        <v>3982</v>
      </c>
      <c r="C5522" s="257" t="s">
        <v>150</v>
      </c>
      <c r="D5522" s="260" t="s">
        <v>18105</v>
      </c>
      <c r="E5522" s="210" t="s">
        <v>201</v>
      </c>
    </row>
    <row r="5523" spans="1:5" ht="13.5">
      <c r="A5523" s="258">
        <v>88476</v>
      </c>
      <c r="B5523" s="257" t="s">
        <v>3983</v>
      </c>
      <c r="C5523" s="257" t="s">
        <v>150</v>
      </c>
      <c r="D5523" s="260" t="s">
        <v>18106</v>
      </c>
      <c r="E5523" s="210" t="s">
        <v>201</v>
      </c>
    </row>
    <row r="5524" spans="1:5" ht="13.5">
      <c r="A5524" s="258">
        <v>88477</v>
      </c>
      <c r="B5524" s="257" t="s">
        <v>3984</v>
      </c>
      <c r="C5524" s="257" t="s">
        <v>150</v>
      </c>
      <c r="D5524" s="260" t="s">
        <v>18107</v>
      </c>
      <c r="E5524" s="210" t="s">
        <v>201</v>
      </c>
    </row>
    <row r="5525" spans="1:5" ht="13.5">
      <c r="A5525" s="258">
        <v>88478</v>
      </c>
      <c r="B5525" s="257" t="s">
        <v>3985</v>
      </c>
      <c r="C5525" s="257" t="s">
        <v>150</v>
      </c>
      <c r="D5525" s="260" t="s">
        <v>18108</v>
      </c>
      <c r="E5525" s="210" t="s">
        <v>201</v>
      </c>
    </row>
    <row r="5526" spans="1:5" ht="27">
      <c r="A5526" s="258">
        <v>90900</v>
      </c>
      <c r="B5526" s="257" t="s">
        <v>3986</v>
      </c>
      <c r="C5526" s="257" t="s">
        <v>150</v>
      </c>
      <c r="D5526" s="259" t="s">
        <v>18109</v>
      </c>
      <c r="E5526" s="210" t="s">
        <v>201</v>
      </c>
    </row>
    <row r="5527" spans="1:5" ht="27">
      <c r="A5527" s="258">
        <v>90902</v>
      </c>
      <c r="B5527" s="257" t="s">
        <v>3987</v>
      </c>
      <c r="C5527" s="257" t="s">
        <v>150</v>
      </c>
      <c r="D5527" s="260" t="s">
        <v>18110</v>
      </c>
      <c r="E5527" s="210" t="s">
        <v>201</v>
      </c>
    </row>
    <row r="5528" spans="1:5" ht="27">
      <c r="A5528" s="258">
        <v>90903</v>
      </c>
      <c r="B5528" s="257" t="s">
        <v>3988</v>
      </c>
      <c r="C5528" s="257" t="s">
        <v>150</v>
      </c>
      <c r="D5528" s="260" t="s">
        <v>13931</v>
      </c>
      <c r="E5528" s="210" t="s">
        <v>201</v>
      </c>
    </row>
    <row r="5529" spans="1:5" ht="27">
      <c r="A5529" s="258">
        <v>90904</v>
      </c>
      <c r="B5529" s="257" t="s">
        <v>3989</v>
      </c>
      <c r="C5529" s="257" t="s">
        <v>150</v>
      </c>
      <c r="D5529" s="260" t="s">
        <v>18111</v>
      </c>
      <c r="E5529" s="210" t="s">
        <v>201</v>
      </c>
    </row>
    <row r="5530" spans="1:5" ht="27">
      <c r="A5530" s="258">
        <v>90910</v>
      </c>
      <c r="B5530" s="257" t="s">
        <v>3990</v>
      </c>
      <c r="C5530" s="257" t="s">
        <v>150</v>
      </c>
      <c r="D5530" s="260" t="s">
        <v>18112</v>
      </c>
      <c r="E5530" s="210" t="s">
        <v>201</v>
      </c>
    </row>
    <row r="5531" spans="1:5" ht="27">
      <c r="A5531" s="258">
        <v>90912</v>
      </c>
      <c r="B5531" s="257" t="s">
        <v>3991</v>
      </c>
      <c r="C5531" s="257" t="s">
        <v>150</v>
      </c>
      <c r="D5531" s="260" t="s">
        <v>15077</v>
      </c>
      <c r="E5531" s="210" t="s">
        <v>201</v>
      </c>
    </row>
    <row r="5532" spans="1:5" ht="27">
      <c r="A5532" s="258">
        <v>90913</v>
      </c>
      <c r="B5532" s="257" t="s">
        <v>3992</v>
      </c>
      <c r="C5532" s="257" t="s">
        <v>150</v>
      </c>
      <c r="D5532" s="259" t="s">
        <v>18113</v>
      </c>
      <c r="E5532" s="210" t="s">
        <v>201</v>
      </c>
    </row>
    <row r="5533" spans="1:5" ht="27">
      <c r="A5533" s="258">
        <v>90914</v>
      </c>
      <c r="B5533" s="257" t="s">
        <v>3993</v>
      </c>
      <c r="C5533" s="257" t="s">
        <v>150</v>
      </c>
      <c r="D5533" s="259" t="s">
        <v>18114</v>
      </c>
      <c r="E5533" s="210" t="s">
        <v>201</v>
      </c>
    </row>
    <row r="5534" spans="1:5" ht="27">
      <c r="A5534" s="258">
        <v>90920</v>
      </c>
      <c r="B5534" s="257" t="s">
        <v>3994</v>
      </c>
      <c r="C5534" s="257" t="s">
        <v>150</v>
      </c>
      <c r="D5534" s="259" t="s">
        <v>18115</v>
      </c>
      <c r="E5534" s="210" t="s">
        <v>201</v>
      </c>
    </row>
    <row r="5535" spans="1:5" ht="27">
      <c r="A5535" s="258">
        <v>90922</v>
      </c>
      <c r="B5535" s="257" t="s">
        <v>3995</v>
      </c>
      <c r="C5535" s="257" t="s">
        <v>150</v>
      </c>
      <c r="D5535" s="259" t="s">
        <v>16156</v>
      </c>
      <c r="E5535" s="210" t="s">
        <v>201</v>
      </c>
    </row>
    <row r="5536" spans="1:5" ht="27">
      <c r="A5536" s="258">
        <v>90923</v>
      </c>
      <c r="B5536" s="257" t="s">
        <v>3996</v>
      </c>
      <c r="C5536" s="257" t="s">
        <v>150</v>
      </c>
      <c r="D5536" s="259" t="s">
        <v>18116</v>
      </c>
      <c r="E5536" s="210" t="s">
        <v>201</v>
      </c>
    </row>
    <row r="5537" spans="1:5" ht="27">
      <c r="A5537" s="258">
        <v>90924</v>
      </c>
      <c r="B5537" s="257" t="s">
        <v>3997</v>
      </c>
      <c r="C5537" s="257" t="s">
        <v>150</v>
      </c>
      <c r="D5537" s="259" t="s">
        <v>18117</v>
      </c>
      <c r="E5537" s="210" t="s">
        <v>201</v>
      </c>
    </row>
    <row r="5538" spans="1:5" ht="27">
      <c r="A5538" s="258">
        <v>90930</v>
      </c>
      <c r="B5538" s="257" t="s">
        <v>3998</v>
      </c>
      <c r="C5538" s="257" t="s">
        <v>150</v>
      </c>
      <c r="D5538" s="259" t="s">
        <v>18118</v>
      </c>
      <c r="E5538" s="210" t="s">
        <v>201</v>
      </c>
    </row>
    <row r="5539" spans="1:5" ht="27">
      <c r="A5539" s="258">
        <v>90932</v>
      </c>
      <c r="B5539" s="257" t="s">
        <v>3999</v>
      </c>
      <c r="C5539" s="257" t="s">
        <v>150</v>
      </c>
      <c r="D5539" s="259" t="s">
        <v>18119</v>
      </c>
      <c r="E5539" s="210" t="s">
        <v>201</v>
      </c>
    </row>
    <row r="5540" spans="1:5" ht="27">
      <c r="A5540" s="258">
        <v>90933</v>
      </c>
      <c r="B5540" s="257" t="s">
        <v>4000</v>
      </c>
      <c r="C5540" s="257" t="s">
        <v>150</v>
      </c>
      <c r="D5540" s="259" t="s">
        <v>18120</v>
      </c>
      <c r="E5540" s="210" t="s">
        <v>201</v>
      </c>
    </row>
    <row r="5541" spans="1:5" ht="27">
      <c r="A5541" s="258">
        <v>90934</v>
      </c>
      <c r="B5541" s="257" t="s">
        <v>4001</v>
      </c>
      <c r="C5541" s="257" t="s">
        <v>150</v>
      </c>
      <c r="D5541" s="259" t="s">
        <v>18121</v>
      </c>
      <c r="E5541" s="210" t="s">
        <v>201</v>
      </c>
    </row>
    <row r="5542" spans="1:5" ht="27">
      <c r="A5542" s="258">
        <v>90940</v>
      </c>
      <c r="B5542" s="257" t="s">
        <v>4002</v>
      </c>
      <c r="C5542" s="257" t="s">
        <v>150</v>
      </c>
      <c r="D5542" s="259" t="s">
        <v>18122</v>
      </c>
      <c r="E5542" s="210" t="s">
        <v>201</v>
      </c>
    </row>
    <row r="5543" spans="1:5" ht="27">
      <c r="A5543" s="258">
        <v>90942</v>
      </c>
      <c r="B5543" s="257" t="s">
        <v>4003</v>
      </c>
      <c r="C5543" s="257" t="s">
        <v>150</v>
      </c>
      <c r="D5543" s="259" t="s">
        <v>18123</v>
      </c>
      <c r="E5543" s="210" t="s">
        <v>201</v>
      </c>
    </row>
    <row r="5544" spans="1:5" ht="27">
      <c r="A5544" s="258">
        <v>90943</v>
      </c>
      <c r="B5544" s="257" t="s">
        <v>4004</v>
      </c>
      <c r="C5544" s="257" t="s">
        <v>150</v>
      </c>
      <c r="D5544" s="259" t="s">
        <v>18124</v>
      </c>
      <c r="E5544" s="210" t="s">
        <v>201</v>
      </c>
    </row>
    <row r="5545" spans="1:5" ht="27">
      <c r="A5545" s="258">
        <v>90944</v>
      </c>
      <c r="B5545" s="257" t="s">
        <v>4005</v>
      </c>
      <c r="C5545" s="257" t="s">
        <v>150</v>
      </c>
      <c r="D5545" s="259" t="s">
        <v>18125</v>
      </c>
      <c r="E5545" s="210" t="s">
        <v>201</v>
      </c>
    </row>
    <row r="5546" spans="1:5" ht="27">
      <c r="A5546" s="258">
        <v>90950</v>
      </c>
      <c r="B5546" s="257" t="s">
        <v>4006</v>
      </c>
      <c r="C5546" s="257" t="s">
        <v>150</v>
      </c>
      <c r="D5546" s="259" t="s">
        <v>18126</v>
      </c>
      <c r="E5546" s="210" t="s">
        <v>201</v>
      </c>
    </row>
    <row r="5547" spans="1:5" ht="27">
      <c r="A5547" s="258">
        <v>90952</v>
      </c>
      <c r="B5547" s="257" t="s">
        <v>4007</v>
      </c>
      <c r="C5547" s="257" t="s">
        <v>150</v>
      </c>
      <c r="D5547" s="259" t="s">
        <v>18127</v>
      </c>
      <c r="E5547" s="210" t="s">
        <v>201</v>
      </c>
    </row>
    <row r="5548" spans="1:5" ht="27">
      <c r="A5548" s="258">
        <v>90953</v>
      </c>
      <c r="B5548" s="257" t="s">
        <v>4008</v>
      </c>
      <c r="C5548" s="257" t="s">
        <v>150</v>
      </c>
      <c r="D5548" s="259" t="s">
        <v>18128</v>
      </c>
      <c r="E5548" s="210" t="s">
        <v>201</v>
      </c>
    </row>
    <row r="5549" spans="1:5" ht="27">
      <c r="A5549" s="258">
        <v>90954</v>
      </c>
      <c r="B5549" s="257" t="s">
        <v>4009</v>
      </c>
      <c r="C5549" s="257" t="s">
        <v>150</v>
      </c>
      <c r="D5549" s="259" t="s">
        <v>18129</v>
      </c>
      <c r="E5549" s="210" t="s">
        <v>201</v>
      </c>
    </row>
    <row r="5550" spans="1:5" ht="40.5">
      <c r="A5550" s="258">
        <v>94438</v>
      </c>
      <c r="B5550" s="257" t="s">
        <v>4010</v>
      </c>
      <c r="C5550" s="257" t="s">
        <v>150</v>
      </c>
      <c r="D5550" s="259" t="s">
        <v>18130</v>
      </c>
      <c r="E5550" s="210" t="s">
        <v>201</v>
      </c>
    </row>
    <row r="5551" spans="1:5" ht="54">
      <c r="A5551" s="258">
        <v>94439</v>
      </c>
      <c r="B5551" s="257" t="s">
        <v>4011</v>
      </c>
      <c r="C5551" s="257" t="s">
        <v>150</v>
      </c>
      <c r="D5551" s="259" t="s">
        <v>18131</v>
      </c>
      <c r="E5551" s="210" t="s">
        <v>201</v>
      </c>
    </row>
    <row r="5552" spans="1:5" ht="40.5">
      <c r="A5552" s="258">
        <v>94779</v>
      </c>
      <c r="B5552" s="257" t="s">
        <v>4012</v>
      </c>
      <c r="C5552" s="257" t="s">
        <v>150</v>
      </c>
      <c r="D5552" s="259" t="s">
        <v>18132</v>
      </c>
      <c r="E5552" s="210" t="s">
        <v>201</v>
      </c>
    </row>
    <row r="5553" spans="1:5" ht="40.5">
      <c r="A5553" s="258">
        <v>94782</v>
      </c>
      <c r="B5553" s="257" t="s">
        <v>4013</v>
      </c>
      <c r="C5553" s="257" t="s">
        <v>150</v>
      </c>
      <c r="D5553" s="259" t="s">
        <v>18133</v>
      </c>
      <c r="E5553" s="210" t="s">
        <v>201</v>
      </c>
    </row>
    <row r="5554" spans="1:5" ht="13.5">
      <c r="A5554" s="258">
        <v>72190</v>
      </c>
      <c r="B5554" s="257" t="s">
        <v>4014</v>
      </c>
      <c r="C5554" s="257" t="s">
        <v>5</v>
      </c>
      <c r="D5554" s="259" t="s">
        <v>18134</v>
      </c>
      <c r="E5554" s="210" t="s">
        <v>201</v>
      </c>
    </row>
    <row r="5555" spans="1:5" ht="27">
      <c r="A5555" s="258">
        <v>87871</v>
      </c>
      <c r="B5555" s="257" t="s">
        <v>4015</v>
      </c>
      <c r="C5555" s="257" t="s">
        <v>150</v>
      </c>
      <c r="D5555" s="259" t="s">
        <v>15938</v>
      </c>
      <c r="E5555" s="210" t="s">
        <v>201</v>
      </c>
    </row>
    <row r="5556" spans="1:5" ht="40.5">
      <c r="A5556" s="258">
        <v>87872</v>
      </c>
      <c r="B5556" s="257" t="s">
        <v>4016</v>
      </c>
      <c r="C5556" s="257" t="s">
        <v>150</v>
      </c>
      <c r="D5556" s="259" t="s">
        <v>18135</v>
      </c>
      <c r="E5556" s="210" t="s">
        <v>201</v>
      </c>
    </row>
    <row r="5557" spans="1:5" ht="27">
      <c r="A5557" s="258">
        <v>87873</v>
      </c>
      <c r="B5557" s="257" t="s">
        <v>4017</v>
      </c>
      <c r="C5557" s="257" t="s">
        <v>150</v>
      </c>
      <c r="D5557" s="259" t="s">
        <v>16707</v>
      </c>
      <c r="E5557" s="210" t="s">
        <v>201</v>
      </c>
    </row>
    <row r="5558" spans="1:5" ht="40.5">
      <c r="A5558" s="258">
        <v>87874</v>
      </c>
      <c r="B5558" s="257" t="s">
        <v>4018</v>
      </c>
      <c r="C5558" s="257" t="s">
        <v>150</v>
      </c>
      <c r="D5558" s="259" t="s">
        <v>18136</v>
      </c>
      <c r="E5558" s="210" t="s">
        <v>201</v>
      </c>
    </row>
    <row r="5559" spans="1:5" ht="27">
      <c r="A5559" s="258">
        <v>87876</v>
      </c>
      <c r="B5559" s="257" t="s">
        <v>4019</v>
      </c>
      <c r="C5559" s="257" t="s">
        <v>150</v>
      </c>
      <c r="D5559" s="259" t="s">
        <v>15680</v>
      </c>
      <c r="E5559" s="210" t="s">
        <v>201</v>
      </c>
    </row>
    <row r="5560" spans="1:5" ht="27">
      <c r="A5560" s="258">
        <v>87877</v>
      </c>
      <c r="B5560" s="257" t="s">
        <v>4020</v>
      </c>
      <c r="C5560" s="257" t="s">
        <v>150</v>
      </c>
      <c r="D5560" s="259" t="s">
        <v>16480</v>
      </c>
      <c r="E5560" s="210" t="s">
        <v>201</v>
      </c>
    </row>
    <row r="5561" spans="1:5" ht="27">
      <c r="A5561" s="258">
        <v>87878</v>
      </c>
      <c r="B5561" s="257" t="s">
        <v>4021</v>
      </c>
      <c r="C5561" s="257" t="s">
        <v>150</v>
      </c>
      <c r="D5561" s="259" t="s">
        <v>13860</v>
      </c>
      <c r="E5561" s="210" t="s">
        <v>201</v>
      </c>
    </row>
    <row r="5562" spans="1:5" ht="27">
      <c r="A5562" s="258">
        <v>87879</v>
      </c>
      <c r="B5562" s="257" t="s">
        <v>4022</v>
      </c>
      <c r="C5562" s="257" t="s">
        <v>150</v>
      </c>
      <c r="D5562" s="259" t="s">
        <v>18137</v>
      </c>
      <c r="E5562" s="210" t="s">
        <v>201</v>
      </c>
    </row>
    <row r="5563" spans="1:5" ht="27">
      <c r="A5563" s="258">
        <v>87881</v>
      </c>
      <c r="B5563" s="257" t="s">
        <v>4023</v>
      </c>
      <c r="C5563" s="257" t="s">
        <v>150</v>
      </c>
      <c r="D5563" s="259" t="s">
        <v>18138</v>
      </c>
      <c r="E5563" s="210" t="s">
        <v>201</v>
      </c>
    </row>
    <row r="5564" spans="1:5" ht="27">
      <c r="A5564" s="258">
        <v>87882</v>
      </c>
      <c r="B5564" s="257" t="s">
        <v>4024</v>
      </c>
      <c r="C5564" s="257" t="s">
        <v>150</v>
      </c>
      <c r="D5564" s="259" t="s">
        <v>18139</v>
      </c>
      <c r="E5564" s="210" t="s">
        <v>201</v>
      </c>
    </row>
    <row r="5565" spans="1:5" ht="27">
      <c r="A5565" s="258">
        <v>87884</v>
      </c>
      <c r="B5565" s="257" t="s">
        <v>4025</v>
      </c>
      <c r="C5565" s="257" t="s">
        <v>150</v>
      </c>
      <c r="D5565" s="259" t="s">
        <v>18140</v>
      </c>
      <c r="E5565" s="210" t="s">
        <v>201</v>
      </c>
    </row>
    <row r="5566" spans="1:5" ht="27">
      <c r="A5566" s="258">
        <v>87885</v>
      </c>
      <c r="B5566" s="257" t="s">
        <v>4026</v>
      </c>
      <c r="C5566" s="257" t="s">
        <v>150</v>
      </c>
      <c r="D5566" s="259" t="s">
        <v>15728</v>
      </c>
      <c r="E5566" s="210" t="s">
        <v>201</v>
      </c>
    </row>
    <row r="5567" spans="1:5" ht="27">
      <c r="A5567" s="258">
        <v>87886</v>
      </c>
      <c r="B5567" s="257" t="s">
        <v>4027</v>
      </c>
      <c r="C5567" s="257" t="s">
        <v>150</v>
      </c>
      <c r="D5567" s="259" t="s">
        <v>13530</v>
      </c>
      <c r="E5567" s="210" t="s">
        <v>201</v>
      </c>
    </row>
    <row r="5568" spans="1:5" ht="27">
      <c r="A5568" s="258">
        <v>87887</v>
      </c>
      <c r="B5568" s="257" t="s">
        <v>4028</v>
      </c>
      <c r="C5568" s="257" t="s">
        <v>150</v>
      </c>
      <c r="D5568" s="259" t="s">
        <v>18141</v>
      </c>
      <c r="E5568" s="210" t="s">
        <v>201</v>
      </c>
    </row>
    <row r="5569" spans="1:5" ht="40.5">
      <c r="A5569" s="258">
        <v>87888</v>
      </c>
      <c r="B5569" s="257" t="s">
        <v>4029</v>
      </c>
      <c r="C5569" s="257" t="s">
        <v>150</v>
      </c>
      <c r="D5569" s="259" t="s">
        <v>14414</v>
      </c>
      <c r="E5569" s="210" t="s">
        <v>201</v>
      </c>
    </row>
    <row r="5570" spans="1:5" ht="40.5">
      <c r="A5570" s="258">
        <v>87889</v>
      </c>
      <c r="B5570" s="257" t="s">
        <v>4030</v>
      </c>
      <c r="C5570" s="257" t="s">
        <v>150</v>
      </c>
      <c r="D5570" s="259" t="s">
        <v>18142</v>
      </c>
      <c r="E5570" s="210" t="s">
        <v>201</v>
      </c>
    </row>
    <row r="5571" spans="1:5" ht="27">
      <c r="A5571" s="258">
        <v>87891</v>
      </c>
      <c r="B5571" s="257" t="s">
        <v>4031</v>
      </c>
      <c r="C5571" s="257" t="s">
        <v>150</v>
      </c>
      <c r="D5571" s="259" t="s">
        <v>18143</v>
      </c>
      <c r="E5571" s="210" t="s">
        <v>201</v>
      </c>
    </row>
    <row r="5572" spans="1:5" ht="40.5">
      <c r="A5572" s="258">
        <v>87892</v>
      </c>
      <c r="B5572" s="257" t="s">
        <v>4032</v>
      </c>
      <c r="C5572" s="257" t="s">
        <v>150</v>
      </c>
      <c r="D5572" s="259" t="s">
        <v>15800</v>
      </c>
      <c r="E5572" s="210" t="s">
        <v>201</v>
      </c>
    </row>
    <row r="5573" spans="1:5" ht="27">
      <c r="A5573" s="258">
        <v>87893</v>
      </c>
      <c r="B5573" s="257" t="s">
        <v>4033</v>
      </c>
      <c r="C5573" s="257" t="s">
        <v>150</v>
      </c>
      <c r="D5573" s="259" t="s">
        <v>15487</v>
      </c>
      <c r="E5573" s="210" t="s">
        <v>201</v>
      </c>
    </row>
    <row r="5574" spans="1:5" ht="27">
      <c r="A5574" s="258">
        <v>87894</v>
      </c>
      <c r="B5574" s="257" t="s">
        <v>4034</v>
      </c>
      <c r="C5574" s="257" t="s">
        <v>150</v>
      </c>
      <c r="D5574" s="259" t="s">
        <v>14467</v>
      </c>
      <c r="E5574" s="210" t="s">
        <v>201</v>
      </c>
    </row>
    <row r="5575" spans="1:5" ht="27">
      <c r="A5575" s="258">
        <v>87896</v>
      </c>
      <c r="B5575" s="257" t="s">
        <v>4035</v>
      </c>
      <c r="C5575" s="257" t="s">
        <v>150</v>
      </c>
      <c r="D5575" s="259" t="s">
        <v>18144</v>
      </c>
      <c r="E5575" s="210" t="s">
        <v>201</v>
      </c>
    </row>
    <row r="5576" spans="1:5" ht="27">
      <c r="A5576" s="258">
        <v>87897</v>
      </c>
      <c r="B5576" s="257" t="s">
        <v>4036</v>
      </c>
      <c r="C5576" s="257" t="s">
        <v>150</v>
      </c>
      <c r="D5576" s="259" t="s">
        <v>16632</v>
      </c>
      <c r="E5576" s="210" t="s">
        <v>201</v>
      </c>
    </row>
    <row r="5577" spans="1:5" ht="40.5">
      <c r="A5577" s="258">
        <v>87899</v>
      </c>
      <c r="B5577" s="257" t="s">
        <v>4037</v>
      </c>
      <c r="C5577" s="257" t="s">
        <v>150</v>
      </c>
      <c r="D5577" s="259" t="s">
        <v>18145</v>
      </c>
      <c r="E5577" s="210" t="s">
        <v>201</v>
      </c>
    </row>
    <row r="5578" spans="1:5" ht="40.5">
      <c r="A5578" s="258">
        <v>87900</v>
      </c>
      <c r="B5578" s="257" t="s">
        <v>4038</v>
      </c>
      <c r="C5578" s="257" t="s">
        <v>150</v>
      </c>
      <c r="D5578" s="259" t="s">
        <v>15470</v>
      </c>
      <c r="E5578" s="210" t="s">
        <v>201</v>
      </c>
    </row>
    <row r="5579" spans="1:5" ht="27">
      <c r="A5579" s="258">
        <v>87902</v>
      </c>
      <c r="B5579" s="257" t="s">
        <v>4039</v>
      </c>
      <c r="C5579" s="257" t="s">
        <v>150</v>
      </c>
      <c r="D5579" s="259" t="s">
        <v>15731</v>
      </c>
      <c r="E5579" s="210" t="s">
        <v>201</v>
      </c>
    </row>
    <row r="5580" spans="1:5" ht="40.5">
      <c r="A5580" s="258">
        <v>87903</v>
      </c>
      <c r="B5580" s="257" t="s">
        <v>4040</v>
      </c>
      <c r="C5580" s="257" t="s">
        <v>150</v>
      </c>
      <c r="D5580" s="259" t="s">
        <v>15480</v>
      </c>
      <c r="E5580" s="210" t="s">
        <v>201</v>
      </c>
    </row>
    <row r="5581" spans="1:5" ht="27">
      <c r="A5581" s="258">
        <v>87904</v>
      </c>
      <c r="B5581" s="257" t="s">
        <v>4041</v>
      </c>
      <c r="C5581" s="257" t="s">
        <v>150</v>
      </c>
      <c r="D5581" s="259" t="s">
        <v>13636</v>
      </c>
      <c r="E5581" s="210" t="s">
        <v>201</v>
      </c>
    </row>
    <row r="5582" spans="1:5" ht="27">
      <c r="A5582" s="258">
        <v>87905</v>
      </c>
      <c r="B5582" s="257" t="s">
        <v>4042</v>
      </c>
      <c r="C5582" s="257" t="s">
        <v>150</v>
      </c>
      <c r="D5582" s="259" t="s">
        <v>13542</v>
      </c>
      <c r="E5582" s="210" t="s">
        <v>201</v>
      </c>
    </row>
    <row r="5583" spans="1:5" ht="27">
      <c r="A5583" s="258">
        <v>87907</v>
      </c>
      <c r="B5583" s="257" t="s">
        <v>4043</v>
      </c>
      <c r="C5583" s="257" t="s">
        <v>150</v>
      </c>
      <c r="D5583" s="259" t="s">
        <v>15733</v>
      </c>
      <c r="E5583" s="210" t="s">
        <v>201</v>
      </c>
    </row>
    <row r="5584" spans="1:5" ht="27">
      <c r="A5584" s="258">
        <v>87908</v>
      </c>
      <c r="B5584" s="257" t="s">
        <v>4044</v>
      </c>
      <c r="C5584" s="257" t="s">
        <v>150</v>
      </c>
      <c r="D5584" s="259" t="s">
        <v>13633</v>
      </c>
      <c r="E5584" s="210" t="s">
        <v>201</v>
      </c>
    </row>
    <row r="5585" spans="1:5" ht="27">
      <c r="A5585" s="258">
        <v>87910</v>
      </c>
      <c r="B5585" s="257" t="s">
        <v>4045</v>
      </c>
      <c r="C5585" s="257" t="s">
        <v>150</v>
      </c>
      <c r="D5585" s="259" t="s">
        <v>18146</v>
      </c>
      <c r="E5585" s="210" t="s">
        <v>201</v>
      </c>
    </row>
    <row r="5586" spans="1:5" ht="27">
      <c r="A5586" s="258">
        <v>87911</v>
      </c>
      <c r="B5586" s="257" t="s">
        <v>4046</v>
      </c>
      <c r="C5586" s="257" t="s">
        <v>150</v>
      </c>
      <c r="D5586" s="259" t="s">
        <v>18147</v>
      </c>
      <c r="E5586" s="210" t="s">
        <v>201</v>
      </c>
    </row>
    <row r="5587" spans="1:5" ht="27">
      <c r="A5587" s="258">
        <v>5991</v>
      </c>
      <c r="B5587" s="257" t="s">
        <v>124</v>
      </c>
      <c r="C5587" s="257" t="s">
        <v>150</v>
      </c>
      <c r="D5587" s="259" t="s">
        <v>18148</v>
      </c>
      <c r="E5587" s="210" t="s">
        <v>201</v>
      </c>
    </row>
    <row r="5588" spans="1:5" ht="13.5">
      <c r="A5588" s="258">
        <v>84023</v>
      </c>
      <c r="B5588" s="257" t="s">
        <v>4047</v>
      </c>
      <c r="C5588" s="257" t="s">
        <v>150</v>
      </c>
      <c r="D5588" s="259" t="s">
        <v>18149</v>
      </c>
      <c r="E5588" s="210" t="s">
        <v>201</v>
      </c>
    </row>
    <row r="5589" spans="1:5" ht="13.5">
      <c r="A5589" s="258">
        <v>84024</v>
      </c>
      <c r="B5589" s="257" t="s">
        <v>4048</v>
      </c>
      <c r="C5589" s="257" t="s">
        <v>150</v>
      </c>
      <c r="D5589" s="259" t="s">
        <v>18150</v>
      </c>
      <c r="E5589" s="210" t="s">
        <v>201</v>
      </c>
    </row>
    <row r="5590" spans="1:5" ht="13.5">
      <c r="A5590" s="258">
        <v>84026</v>
      </c>
      <c r="B5590" s="257" t="s">
        <v>4049</v>
      </c>
      <c r="C5590" s="257" t="s">
        <v>150</v>
      </c>
      <c r="D5590" s="259" t="s">
        <v>14640</v>
      </c>
      <c r="E5590" s="210" t="s">
        <v>201</v>
      </c>
    </row>
    <row r="5591" spans="1:5" ht="13.5">
      <c r="A5591" s="258">
        <v>84027</v>
      </c>
      <c r="B5591" s="257" t="s">
        <v>4050</v>
      </c>
      <c r="C5591" s="257" t="s">
        <v>150</v>
      </c>
      <c r="D5591" s="259" t="s">
        <v>18151</v>
      </c>
      <c r="E5591" s="210" t="s">
        <v>201</v>
      </c>
    </row>
    <row r="5592" spans="1:5" ht="27">
      <c r="A5592" s="258">
        <v>84028</v>
      </c>
      <c r="B5592" s="257" t="s">
        <v>4051</v>
      </c>
      <c r="C5592" s="257" t="s">
        <v>150</v>
      </c>
      <c r="D5592" s="259" t="s">
        <v>18152</v>
      </c>
      <c r="E5592" s="210" t="s">
        <v>201</v>
      </c>
    </row>
    <row r="5593" spans="1:5" ht="27">
      <c r="A5593" s="258">
        <v>84072</v>
      </c>
      <c r="B5593" s="257" t="s">
        <v>4052</v>
      </c>
      <c r="C5593" s="257" t="s">
        <v>150</v>
      </c>
      <c r="D5593" s="259" t="s">
        <v>14150</v>
      </c>
      <c r="E5593" s="210" t="s">
        <v>201</v>
      </c>
    </row>
    <row r="5594" spans="1:5" ht="27">
      <c r="A5594" s="258">
        <v>87411</v>
      </c>
      <c r="B5594" s="257" t="s">
        <v>4053</v>
      </c>
      <c r="C5594" s="257" t="s">
        <v>150</v>
      </c>
      <c r="D5594" s="259" t="s">
        <v>16335</v>
      </c>
      <c r="E5594" s="210" t="s">
        <v>201</v>
      </c>
    </row>
    <row r="5595" spans="1:5" ht="27">
      <c r="A5595" s="258">
        <v>87412</v>
      </c>
      <c r="B5595" s="257" t="s">
        <v>4054</v>
      </c>
      <c r="C5595" s="257" t="s">
        <v>150</v>
      </c>
      <c r="D5595" s="259" t="s">
        <v>18153</v>
      </c>
      <c r="E5595" s="210" t="s">
        <v>201</v>
      </c>
    </row>
    <row r="5596" spans="1:5" ht="27">
      <c r="A5596" s="258">
        <v>87413</v>
      </c>
      <c r="B5596" s="257" t="s">
        <v>4055</v>
      </c>
      <c r="C5596" s="257" t="s">
        <v>150</v>
      </c>
      <c r="D5596" s="259" t="s">
        <v>18154</v>
      </c>
      <c r="E5596" s="210" t="s">
        <v>201</v>
      </c>
    </row>
    <row r="5597" spans="1:5" ht="27">
      <c r="A5597" s="258">
        <v>87414</v>
      </c>
      <c r="B5597" s="257" t="s">
        <v>4056</v>
      </c>
      <c r="C5597" s="257" t="s">
        <v>150</v>
      </c>
      <c r="D5597" s="259" t="s">
        <v>18155</v>
      </c>
      <c r="E5597" s="210" t="s">
        <v>201</v>
      </c>
    </row>
    <row r="5598" spans="1:5" ht="27">
      <c r="A5598" s="258">
        <v>87415</v>
      </c>
      <c r="B5598" s="257" t="s">
        <v>4057</v>
      </c>
      <c r="C5598" s="257" t="s">
        <v>150</v>
      </c>
      <c r="D5598" s="259" t="s">
        <v>18156</v>
      </c>
      <c r="E5598" s="210" t="s">
        <v>201</v>
      </c>
    </row>
    <row r="5599" spans="1:5" ht="27">
      <c r="A5599" s="258">
        <v>87416</v>
      </c>
      <c r="B5599" s="257" t="s">
        <v>4058</v>
      </c>
      <c r="C5599" s="257" t="s">
        <v>150</v>
      </c>
      <c r="D5599" s="259" t="s">
        <v>16712</v>
      </c>
      <c r="E5599" s="210" t="s">
        <v>201</v>
      </c>
    </row>
    <row r="5600" spans="1:5" ht="27">
      <c r="A5600" s="258">
        <v>87417</v>
      </c>
      <c r="B5600" s="257" t="s">
        <v>4059</v>
      </c>
      <c r="C5600" s="257" t="s">
        <v>150</v>
      </c>
      <c r="D5600" s="259" t="s">
        <v>18157</v>
      </c>
      <c r="E5600" s="210" t="s">
        <v>201</v>
      </c>
    </row>
    <row r="5601" spans="1:5" ht="27">
      <c r="A5601" s="258">
        <v>87418</v>
      </c>
      <c r="B5601" s="257" t="s">
        <v>4060</v>
      </c>
      <c r="C5601" s="257" t="s">
        <v>150</v>
      </c>
      <c r="D5601" s="259" t="s">
        <v>16649</v>
      </c>
      <c r="E5601" s="210" t="s">
        <v>201</v>
      </c>
    </row>
    <row r="5602" spans="1:5" ht="27">
      <c r="A5602" s="258">
        <v>87419</v>
      </c>
      <c r="B5602" s="257" t="s">
        <v>4061</v>
      </c>
      <c r="C5602" s="257" t="s">
        <v>150</v>
      </c>
      <c r="D5602" s="259" t="s">
        <v>18158</v>
      </c>
      <c r="E5602" s="210" t="s">
        <v>201</v>
      </c>
    </row>
    <row r="5603" spans="1:5" ht="27">
      <c r="A5603" s="258">
        <v>87420</v>
      </c>
      <c r="B5603" s="257" t="s">
        <v>4062</v>
      </c>
      <c r="C5603" s="257" t="s">
        <v>150</v>
      </c>
      <c r="D5603" s="259" t="s">
        <v>18159</v>
      </c>
      <c r="E5603" s="210" t="s">
        <v>201</v>
      </c>
    </row>
    <row r="5604" spans="1:5" ht="27">
      <c r="A5604" s="258">
        <v>87421</v>
      </c>
      <c r="B5604" s="257" t="s">
        <v>4063</v>
      </c>
      <c r="C5604" s="257" t="s">
        <v>150</v>
      </c>
      <c r="D5604" s="259" t="s">
        <v>13588</v>
      </c>
      <c r="E5604" s="210" t="s">
        <v>201</v>
      </c>
    </row>
    <row r="5605" spans="1:5" ht="27">
      <c r="A5605" s="258">
        <v>87422</v>
      </c>
      <c r="B5605" s="257" t="s">
        <v>4064</v>
      </c>
      <c r="C5605" s="257" t="s">
        <v>150</v>
      </c>
      <c r="D5605" s="259" t="s">
        <v>18160</v>
      </c>
      <c r="E5605" s="210" t="s">
        <v>201</v>
      </c>
    </row>
    <row r="5606" spans="1:5" ht="27">
      <c r="A5606" s="258">
        <v>87423</v>
      </c>
      <c r="B5606" s="257" t="s">
        <v>4065</v>
      </c>
      <c r="C5606" s="257" t="s">
        <v>150</v>
      </c>
      <c r="D5606" s="259" t="s">
        <v>18161</v>
      </c>
      <c r="E5606" s="210" t="s">
        <v>201</v>
      </c>
    </row>
    <row r="5607" spans="1:5" ht="27">
      <c r="A5607" s="258">
        <v>87424</v>
      </c>
      <c r="B5607" s="257" t="s">
        <v>4066</v>
      </c>
      <c r="C5607" s="257" t="s">
        <v>150</v>
      </c>
      <c r="D5607" s="259" t="s">
        <v>16712</v>
      </c>
      <c r="E5607" s="210" t="s">
        <v>201</v>
      </c>
    </row>
    <row r="5608" spans="1:5" ht="27">
      <c r="A5608" s="258">
        <v>87425</v>
      </c>
      <c r="B5608" s="257" t="s">
        <v>4067</v>
      </c>
      <c r="C5608" s="257" t="s">
        <v>150</v>
      </c>
      <c r="D5608" s="259" t="s">
        <v>18162</v>
      </c>
      <c r="E5608" s="210" t="s">
        <v>201</v>
      </c>
    </row>
    <row r="5609" spans="1:5" ht="27">
      <c r="A5609" s="258">
        <v>87426</v>
      </c>
      <c r="B5609" s="257" t="s">
        <v>4068</v>
      </c>
      <c r="C5609" s="257" t="s">
        <v>150</v>
      </c>
      <c r="D5609" s="259" t="s">
        <v>18163</v>
      </c>
      <c r="E5609" s="210" t="s">
        <v>201</v>
      </c>
    </row>
    <row r="5610" spans="1:5" ht="27">
      <c r="A5610" s="258">
        <v>87427</v>
      </c>
      <c r="B5610" s="257" t="s">
        <v>4069</v>
      </c>
      <c r="C5610" s="257" t="s">
        <v>150</v>
      </c>
      <c r="D5610" s="259" t="s">
        <v>18164</v>
      </c>
      <c r="E5610" s="210" t="s">
        <v>201</v>
      </c>
    </row>
    <row r="5611" spans="1:5" ht="27">
      <c r="A5611" s="258">
        <v>87428</v>
      </c>
      <c r="B5611" s="257" t="s">
        <v>4070</v>
      </c>
      <c r="C5611" s="257" t="s">
        <v>150</v>
      </c>
      <c r="D5611" s="259" t="s">
        <v>13951</v>
      </c>
      <c r="E5611" s="210" t="s">
        <v>201</v>
      </c>
    </row>
    <row r="5612" spans="1:5" ht="27">
      <c r="A5612" s="258">
        <v>87429</v>
      </c>
      <c r="B5612" s="257" t="s">
        <v>4071</v>
      </c>
      <c r="C5612" s="257" t="s">
        <v>150</v>
      </c>
      <c r="D5612" s="259" t="s">
        <v>16572</v>
      </c>
      <c r="E5612" s="210" t="s">
        <v>201</v>
      </c>
    </row>
    <row r="5613" spans="1:5" ht="27">
      <c r="A5613" s="258">
        <v>87430</v>
      </c>
      <c r="B5613" s="257" t="s">
        <v>4072</v>
      </c>
      <c r="C5613" s="257" t="s">
        <v>150</v>
      </c>
      <c r="D5613" s="259" t="s">
        <v>18165</v>
      </c>
      <c r="E5613" s="210" t="s">
        <v>201</v>
      </c>
    </row>
    <row r="5614" spans="1:5" ht="27">
      <c r="A5614" s="258">
        <v>87431</v>
      </c>
      <c r="B5614" s="257" t="s">
        <v>4073</v>
      </c>
      <c r="C5614" s="257" t="s">
        <v>150</v>
      </c>
      <c r="D5614" s="259" t="s">
        <v>17064</v>
      </c>
      <c r="E5614" s="210" t="s">
        <v>201</v>
      </c>
    </row>
    <row r="5615" spans="1:5" ht="27">
      <c r="A5615" s="258">
        <v>87432</v>
      </c>
      <c r="B5615" s="257" t="s">
        <v>4074</v>
      </c>
      <c r="C5615" s="257" t="s">
        <v>150</v>
      </c>
      <c r="D5615" s="259" t="s">
        <v>18166</v>
      </c>
      <c r="E5615" s="210" t="s">
        <v>201</v>
      </c>
    </row>
    <row r="5616" spans="1:5" ht="27">
      <c r="A5616" s="258">
        <v>87433</v>
      </c>
      <c r="B5616" s="257" t="s">
        <v>4075</v>
      </c>
      <c r="C5616" s="257" t="s">
        <v>150</v>
      </c>
      <c r="D5616" s="259" t="s">
        <v>16805</v>
      </c>
      <c r="E5616" s="210" t="s">
        <v>201</v>
      </c>
    </row>
    <row r="5617" spans="1:5" ht="27">
      <c r="A5617" s="258">
        <v>87434</v>
      </c>
      <c r="B5617" s="257" t="s">
        <v>4076</v>
      </c>
      <c r="C5617" s="257" t="s">
        <v>150</v>
      </c>
      <c r="D5617" s="259" t="s">
        <v>18167</v>
      </c>
      <c r="E5617" s="210" t="s">
        <v>201</v>
      </c>
    </row>
    <row r="5618" spans="1:5" ht="27">
      <c r="A5618" s="258">
        <v>87435</v>
      </c>
      <c r="B5618" s="257" t="s">
        <v>4077</v>
      </c>
      <c r="C5618" s="257" t="s">
        <v>150</v>
      </c>
      <c r="D5618" s="259" t="s">
        <v>18168</v>
      </c>
      <c r="E5618" s="210" t="s">
        <v>201</v>
      </c>
    </row>
    <row r="5619" spans="1:5" ht="27">
      <c r="A5619" s="258">
        <v>87436</v>
      </c>
      <c r="B5619" s="257" t="s">
        <v>4078</v>
      </c>
      <c r="C5619" s="257" t="s">
        <v>150</v>
      </c>
      <c r="D5619" s="259" t="s">
        <v>14544</v>
      </c>
      <c r="E5619" s="210" t="s">
        <v>201</v>
      </c>
    </row>
    <row r="5620" spans="1:5" ht="27">
      <c r="A5620" s="258">
        <v>87437</v>
      </c>
      <c r="B5620" s="257" t="s">
        <v>4079</v>
      </c>
      <c r="C5620" s="257" t="s">
        <v>150</v>
      </c>
      <c r="D5620" s="259" t="s">
        <v>14530</v>
      </c>
      <c r="E5620" s="210" t="s">
        <v>201</v>
      </c>
    </row>
    <row r="5621" spans="1:5" ht="27">
      <c r="A5621" s="258">
        <v>87438</v>
      </c>
      <c r="B5621" s="257" t="s">
        <v>4080</v>
      </c>
      <c r="C5621" s="257" t="s">
        <v>150</v>
      </c>
      <c r="D5621" s="259" t="s">
        <v>18169</v>
      </c>
      <c r="E5621" s="210" t="s">
        <v>201</v>
      </c>
    </row>
    <row r="5622" spans="1:5" ht="27">
      <c r="A5622" s="258">
        <v>87439</v>
      </c>
      <c r="B5622" s="257" t="s">
        <v>4081</v>
      </c>
      <c r="C5622" s="257" t="s">
        <v>150</v>
      </c>
      <c r="D5622" s="259" t="s">
        <v>18170</v>
      </c>
      <c r="E5622" s="210" t="s">
        <v>201</v>
      </c>
    </row>
    <row r="5623" spans="1:5" ht="27">
      <c r="A5623" s="258">
        <v>87440</v>
      </c>
      <c r="B5623" s="257" t="s">
        <v>4082</v>
      </c>
      <c r="C5623" s="257" t="s">
        <v>150</v>
      </c>
      <c r="D5623" s="259" t="s">
        <v>18171</v>
      </c>
      <c r="E5623" s="210" t="s">
        <v>201</v>
      </c>
    </row>
    <row r="5624" spans="1:5" ht="40.5">
      <c r="A5624" s="258">
        <v>87527</v>
      </c>
      <c r="B5624" s="257" t="s">
        <v>4083</v>
      </c>
      <c r="C5624" s="257" t="s">
        <v>150</v>
      </c>
      <c r="D5624" s="259" t="s">
        <v>18172</v>
      </c>
      <c r="E5624" s="210" t="s">
        <v>201</v>
      </c>
    </row>
    <row r="5625" spans="1:5" ht="40.5">
      <c r="A5625" s="258">
        <v>87528</v>
      </c>
      <c r="B5625" s="257" t="s">
        <v>4084</v>
      </c>
      <c r="C5625" s="257" t="s">
        <v>150</v>
      </c>
      <c r="D5625" s="259" t="s">
        <v>18173</v>
      </c>
      <c r="E5625" s="210" t="s">
        <v>201</v>
      </c>
    </row>
    <row r="5626" spans="1:5" ht="40.5">
      <c r="A5626" s="258">
        <v>87529</v>
      </c>
      <c r="B5626" s="257" t="s">
        <v>195</v>
      </c>
      <c r="C5626" s="257" t="s">
        <v>150</v>
      </c>
      <c r="D5626" s="259" t="s">
        <v>18174</v>
      </c>
      <c r="E5626" s="210" t="s">
        <v>201</v>
      </c>
    </row>
    <row r="5627" spans="1:5" ht="40.5">
      <c r="A5627" s="258">
        <v>87530</v>
      </c>
      <c r="B5627" s="257" t="s">
        <v>4085</v>
      </c>
      <c r="C5627" s="257" t="s">
        <v>150</v>
      </c>
      <c r="D5627" s="259" t="s">
        <v>18175</v>
      </c>
      <c r="E5627" s="210" t="s">
        <v>201</v>
      </c>
    </row>
    <row r="5628" spans="1:5" ht="40.5">
      <c r="A5628" s="258">
        <v>87531</v>
      </c>
      <c r="B5628" s="257" t="s">
        <v>194</v>
      </c>
      <c r="C5628" s="257" t="s">
        <v>150</v>
      </c>
      <c r="D5628" s="259" t="s">
        <v>18176</v>
      </c>
      <c r="E5628" s="210" t="s">
        <v>201</v>
      </c>
    </row>
    <row r="5629" spans="1:5" ht="40.5">
      <c r="A5629" s="258">
        <v>87532</v>
      </c>
      <c r="B5629" s="257" t="s">
        <v>4086</v>
      </c>
      <c r="C5629" s="257" t="s">
        <v>150</v>
      </c>
      <c r="D5629" s="259" t="s">
        <v>15987</v>
      </c>
      <c r="E5629" s="210" t="s">
        <v>201</v>
      </c>
    </row>
    <row r="5630" spans="1:5" ht="40.5">
      <c r="A5630" s="258">
        <v>87535</v>
      </c>
      <c r="B5630" s="257" t="s">
        <v>4087</v>
      </c>
      <c r="C5630" s="257" t="s">
        <v>150</v>
      </c>
      <c r="D5630" s="259" t="s">
        <v>18177</v>
      </c>
      <c r="E5630" s="210" t="s">
        <v>201</v>
      </c>
    </row>
    <row r="5631" spans="1:5" ht="40.5">
      <c r="A5631" s="258">
        <v>87536</v>
      </c>
      <c r="B5631" s="257" t="s">
        <v>4088</v>
      </c>
      <c r="C5631" s="257" t="s">
        <v>150</v>
      </c>
      <c r="D5631" s="259" t="s">
        <v>18178</v>
      </c>
      <c r="E5631" s="210" t="s">
        <v>201</v>
      </c>
    </row>
    <row r="5632" spans="1:5" ht="54">
      <c r="A5632" s="258">
        <v>87537</v>
      </c>
      <c r="B5632" s="257" t="s">
        <v>4089</v>
      </c>
      <c r="C5632" s="257" t="s">
        <v>150</v>
      </c>
      <c r="D5632" s="259" t="s">
        <v>18179</v>
      </c>
      <c r="E5632" s="210" t="s">
        <v>201</v>
      </c>
    </row>
    <row r="5633" spans="1:5" ht="40.5">
      <c r="A5633" s="258">
        <v>87538</v>
      </c>
      <c r="B5633" s="257" t="s">
        <v>4090</v>
      </c>
      <c r="C5633" s="257" t="s">
        <v>150</v>
      </c>
      <c r="D5633" s="259" t="s">
        <v>14533</v>
      </c>
      <c r="E5633" s="210" t="s">
        <v>201</v>
      </c>
    </row>
    <row r="5634" spans="1:5" ht="54">
      <c r="A5634" s="258">
        <v>87539</v>
      </c>
      <c r="B5634" s="257" t="s">
        <v>4091</v>
      </c>
      <c r="C5634" s="257" t="s">
        <v>150</v>
      </c>
      <c r="D5634" s="259" t="s">
        <v>18180</v>
      </c>
      <c r="E5634" s="210" t="s">
        <v>201</v>
      </c>
    </row>
    <row r="5635" spans="1:5" ht="54">
      <c r="A5635" s="258">
        <v>87541</v>
      </c>
      <c r="B5635" s="257" t="s">
        <v>4092</v>
      </c>
      <c r="C5635" s="257" t="s">
        <v>150</v>
      </c>
      <c r="D5635" s="259" t="s">
        <v>18181</v>
      </c>
      <c r="E5635" s="210" t="s">
        <v>201</v>
      </c>
    </row>
    <row r="5636" spans="1:5" ht="40.5">
      <c r="A5636" s="258">
        <v>87543</v>
      </c>
      <c r="B5636" s="257" t="s">
        <v>4993</v>
      </c>
      <c r="C5636" s="257" t="s">
        <v>150</v>
      </c>
      <c r="D5636" s="259" t="s">
        <v>18182</v>
      </c>
      <c r="E5636" s="210" t="s">
        <v>201</v>
      </c>
    </row>
    <row r="5637" spans="1:5" ht="40.5">
      <c r="A5637" s="258">
        <v>87545</v>
      </c>
      <c r="B5637" s="257" t="s">
        <v>4093</v>
      </c>
      <c r="C5637" s="257" t="s">
        <v>150</v>
      </c>
      <c r="D5637" s="259" t="s">
        <v>18183</v>
      </c>
      <c r="E5637" s="210" t="s">
        <v>201</v>
      </c>
    </row>
    <row r="5638" spans="1:5" ht="40.5">
      <c r="A5638" s="258">
        <v>87546</v>
      </c>
      <c r="B5638" s="257" t="s">
        <v>4094</v>
      </c>
      <c r="C5638" s="257" t="s">
        <v>150</v>
      </c>
      <c r="D5638" s="259" t="s">
        <v>14089</v>
      </c>
      <c r="E5638" s="210" t="s">
        <v>201</v>
      </c>
    </row>
    <row r="5639" spans="1:5" ht="40.5">
      <c r="A5639" s="258">
        <v>87547</v>
      </c>
      <c r="B5639" s="257" t="s">
        <v>4095</v>
      </c>
      <c r="C5639" s="257" t="s">
        <v>150</v>
      </c>
      <c r="D5639" s="259" t="s">
        <v>14030</v>
      </c>
      <c r="E5639" s="210" t="s">
        <v>201</v>
      </c>
    </row>
    <row r="5640" spans="1:5" ht="40.5">
      <c r="A5640" s="258">
        <v>87548</v>
      </c>
      <c r="B5640" s="257" t="s">
        <v>4096</v>
      </c>
      <c r="C5640" s="257" t="s">
        <v>150</v>
      </c>
      <c r="D5640" s="259" t="s">
        <v>18184</v>
      </c>
      <c r="E5640" s="210" t="s">
        <v>201</v>
      </c>
    </row>
    <row r="5641" spans="1:5" ht="40.5">
      <c r="A5641" s="258">
        <v>87549</v>
      </c>
      <c r="B5641" s="257" t="s">
        <v>4097</v>
      </c>
      <c r="C5641" s="257" t="s">
        <v>150</v>
      </c>
      <c r="D5641" s="259" t="s">
        <v>18185</v>
      </c>
      <c r="E5641" s="210" t="s">
        <v>201</v>
      </c>
    </row>
    <row r="5642" spans="1:5" ht="40.5">
      <c r="A5642" s="258">
        <v>87550</v>
      </c>
      <c r="B5642" s="257" t="s">
        <v>4098</v>
      </c>
      <c r="C5642" s="257" t="s">
        <v>150</v>
      </c>
      <c r="D5642" s="259" t="s">
        <v>16708</v>
      </c>
      <c r="E5642" s="210" t="s">
        <v>201</v>
      </c>
    </row>
    <row r="5643" spans="1:5" ht="40.5">
      <c r="A5643" s="258">
        <v>87553</v>
      </c>
      <c r="B5643" s="257" t="s">
        <v>4099</v>
      </c>
      <c r="C5643" s="257" t="s">
        <v>150</v>
      </c>
      <c r="D5643" s="259" t="s">
        <v>14360</v>
      </c>
      <c r="E5643" s="210" t="s">
        <v>201</v>
      </c>
    </row>
    <row r="5644" spans="1:5" ht="40.5">
      <c r="A5644" s="258">
        <v>87554</v>
      </c>
      <c r="B5644" s="257" t="s">
        <v>4100</v>
      </c>
      <c r="C5644" s="257" t="s">
        <v>150</v>
      </c>
      <c r="D5644" s="259" t="s">
        <v>18186</v>
      </c>
      <c r="E5644" s="210" t="s">
        <v>201</v>
      </c>
    </row>
    <row r="5645" spans="1:5" ht="54">
      <c r="A5645" s="258">
        <v>87555</v>
      </c>
      <c r="B5645" s="257" t="s">
        <v>4101</v>
      </c>
      <c r="C5645" s="257" t="s">
        <v>150</v>
      </c>
      <c r="D5645" s="259" t="s">
        <v>18187</v>
      </c>
      <c r="E5645" s="210" t="s">
        <v>201</v>
      </c>
    </row>
    <row r="5646" spans="1:5" ht="40.5">
      <c r="A5646" s="258">
        <v>87556</v>
      </c>
      <c r="B5646" s="257" t="s">
        <v>4102</v>
      </c>
      <c r="C5646" s="257" t="s">
        <v>150</v>
      </c>
      <c r="D5646" s="259" t="s">
        <v>16981</v>
      </c>
      <c r="E5646" s="210" t="s">
        <v>201</v>
      </c>
    </row>
    <row r="5647" spans="1:5" ht="54">
      <c r="A5647" s="258">
        <v>87557</v>
      </c>
      <c r="B5647" s="257" t="s">
        <v>4103</v>
      </c>
      <c r="C5647" s="257" t="s">
        <v>150</v>
      </c>
      <c r="D5647" s="259" t="s">
        <v>18188</v>
      </c>
      <c r="E5647" s="210" t="s">
        <v>201</v>
      </c>
    </row>
    <row r="5648" spans="1:5" ht="54">
      <c r="A5648" s="258">
        <v>87559</v>
      </c>
      <c r="B5648" s="257" t="s">
        <v>4104</v>
      </c>
      <c r="C5648" s="257" t="s">
        <v>150</v>
      </c>
      <c r="D5648" s="259" t="s">
        <v>16380</v>
      </c>
      <c r="E5648" s="210" t="s">
        <v>201</v>
      </c>
    </row>
    <row r="5649" spans="1:5" ht="40.5">
      <c r="A5649" s="258">
        <v>87561</v>
      </c>
      <c r="B5649" s="257" t="s">
        <v>4105</v>
      </c>
      <c r="C5649" s="257" t="s">
        <v>150</v>
      </c>
      <c r="D5649" s="259" t="s">
        <v>15756</v>
      </c>
      <c r="E5649" s="210" t="s">
        <v>201</v>
      </c>
    </row>
    <row r="5650" spans="1:5" ht="27">
      <c r="A5650" s="258">
        <v>87775</v>
      </c>
      <c r="B5650" s="257" t="s">
        <v>200</v>
      </c>
      <c r="C5650" s="257" t="s">
        <v>150</v>
      </c>
      <c r="D5650" s="259" t="s">
        <v>16111</v>
      </c>
      <c r="E5650" s="210" t="s">
        <v>201</v>
      </c>
    </row>
    <row r="5651" spans="1:5" ht="27">
      <c r="A5651" s="258">
        <v>87777</v>
      </c>
      <c r="B5651" s="257" t="s">
        <v>4106</v>
      </c>
      <c r="C5651" s="257" t="s">
        <v>150</v>
      </c>
      <c r="D5651" s="259" t="s">
        <v>18189</v>
      </c>
      <c r="E5651" s="210" t="s">
        <v>201</v>
      </c>
    </row>
    <row r="5652" spans="1:5" ht="40.5">
      <c r="A5652" s="258">
        <v>87778</v>
      </c>
      <c r="B5652" s="257" t="s">
        <v>4107</v>
      </c>
      <c r="C5652" s="257" t="s">
        <v>150</v>
      </c>
      <c r="D5652" s="259" t="s">
        <v>16508</v>
      </c>
      <c r="E5652" s="210" t="s">
        <v>201</v>
      </c>
    </row>
    <row r="5653" spans="1:5" ht="27">
      <c r="A5653" s="258">
        <v>87779</v>
      </c>
      <c r="B5653" s="257" t="s">
        <v>4108</v>
      </c>
      <c r="C5653" s="257" t="s">
        <v>150</v>
      </c>
      <c r="D5653" s="259" t="s">
        <v>18190</v>
      </c>
      <c r="E5653" s="210" t="s">
        <v>201</v>
      </c>
    </row>
    <row r="5654" spans="1:5" ht="27">
      <c r="A5654" s="258">
        <v>87781</v>
      </c>
      <c r="B5654" s="257" t="s">
        <v>4109</v>
      </c>
      <c r="C5654" s="257" t="s">
        <v>150</v>
      </c>
      <c r="D5654" s="259" t="s">
        <v>18191</v>
      </c>
      <c r="E5654" s="210" t="s">
        <v>201</v>
      </c>
    </row>
    <row r="5655" spans="1:5" ht="40.5">
      <c r="A5655" s="258">
        <v>87783</v>
      </c>
      <c r="B5655" s="257" t="s">
        <v>4110</v>
      </c>
      <c r="C5655" s="257" t="s">
        <v>150</v>
      </c>
      <c r="D5655" s="259" t="s">
        <v>18192</v>
      </c>
      <c r="E5655" s="210" t="s">
        <v>201</v>
      </c>
    </row>
    <row r="5656" spans="1:5" ht="27">
      <c r="A5656" s="258">
        <v>87784</v>
      </c>
      <c r="B5656" s="257" t="s">
        <v>4111</v>
      </c>
      <c r="C5656" s="257" t="s">
        <v>150</v>
      </c>
      <c r="D5656" s="259" t="s">
        <v>18193</v>
      </c>
      <c r="E5656" s="210" t="s">
        <v>201</v>
      </c>
    </row>
    <row r="5657" spans="1:5" ht="27">
      <c r="A5657" s="258">
        <v>87786</v>
      </c>
      <c r="B5657" s="257" t="s">
        <v>4112</v>
      </c>
      <c r="C5657" s="257" t="s">
        <v>150</v>
      </c>
      <c r="D5657" s="259" t="s">
        <v>18194</v>
      </c>
      <c r="E5657" s="210" t="s">
        <v>201</v>
      </c>
    </row>
    <row r="5658" spans="1:5" ht="40.5">
      <c r="A5658" s="258">
        <v>87787</v>
      </c>
      <c r="B5658" s="257" t="s">
        <v>4113</v>
      </c>
      <c r="C5658" s="257" t="s">
        <v>150</v>
      </c>
      <c r="D5658" s="259" t="s">
        <v>17104</v>
      </c>
      <c r="E5658" s="210" t="s">
        <v>201</v>
      </c>
    </row>
    <row r="5659" spans="1:5" ht="40.5">
      <c r="A5659" s="258">
        <v>87788</v>
      </c>
      <c r="B5659" s="257" t="s">
        <v>4114</v>
      </c>
      <c r="C5659" s="257" t="s">
        <v>150</v>
      </c>
      <c r="D5659" s="259" t="s">
        <v>18195</v>
      </c>
      <c r="E5659" s="210" t="s">
        <v>201</v>
      </c>
    </row>
    <row r="5660" spans="1:5" ht="27">
      <c r="A5660" s="258">
        <v>87790</v>
      </c>
      <c r="B5660" s="257" t="s">
        <v>4115</v>
      </c>
      <c r="C5660" s="257" t="s">
        <v>150</v>
      </c>
      <c r="D5660" s="259" t="s">
        <v>17515</v>
      </c>
      <c r="E5660" s="210" t="s">
        <v>201</v>
      </c>
    </row>
    <row r="5661" spans="1:5" ht="40.5">
      <c r="A5661" s="258">
        <v>87791</v>
      </c>
      <c r="B5661" s="257" t="s">
        <v>4116</v>
      </c>
      <c r="C5661" s="257" t="s">
        <v>150</v>
      </c>
      <c r="D5661" s="259" t="s">
        <v>18196</v>
      </c>
      <c r="E5661" s="210" t="s">
        <v>201</v>
      </c>
    </row>
    <row r="5662" spans="1:5" ht="40.5">
      <c r="A5662" s="258">
        <v>87792</v>
      </c>
      <c r="B5662" s="257" t="s">
        <v>4117</v>
      </c>
      <c r="C5662" s="257" t="s">
        <v>150</v>
      </c>
      <c r="D5662" s="259" t="s">
        <v>16019</v>
      </c>
      <c r="E5662" s="210" t="s">
        <v>201</v>
      </c>
    </row>
    <row r="5663" spans="1:5" ht="27">
      <c r="A5663" s="258">
        <v>87794</v>
      </c>
      <c r="B5663" s="257" t="s">
        <v>4118</v>
      </c>
      <c r="C5663" s="257" t="s">
        <v>150</v>
      </c>
      <c r="D5663" s="259" t="s">
        <v>18197</v>
      </c>
      <c r="E5663" s="210" t="s">
        <v>201</v>
      </c>
    </row>
    <row r="5664" spans="1:5" ht="40.5">
      <c r="A5664" s="258">
        <v>87795</v>
      </c>
      <c r="B5664" s="257" t="s">
        <v>4119</v>
      </c>
      <c r="C5664" s="257" t="s">
        <v>150</v>
      </c>
      <c r="D5664" s="259" t="s">
        <v>18198</v>
      </c>
      <c r="E5664" s="210" t="s">
        <v>201</v>
      </c>
    </row>
    <row r="5665" spans="1:5" ht="40.5">
      <c r="A5665" s="258">
        <v>87797</v>
      </c>
      <c r="B5665" s="257" t="s">
        <v>4120</v>
      </c>
      <c r="C5665" s="257" t="s">
        <v>150</v>
      </c>
      <c r="D5665" s="259" t="s">
        <v>18199</v>
      </c>
      <c r="E5665" s="210" t="s">
        <v>201</v>
      </c>
    </row>
    <row r="5666" spans="1:5" ht="27">
      <c r="A5666" s="258">
        <v>87799</v>
      </c>
      <c r="B5666" s="257" t="s">
        <v>4121</v>
      </c>
      <c r="C5666" s="257" t="s">
        <v>150</v>
      </c>
      <c r="D5666" s="259" t="s">
        <v>18200</v>
      </c>
      <c r="E5666" s="210" t="s">
        <v>201</v>
      </c>
    </row>
    <row r="5667" spans="1:5" ht="40.5">
      <c r="A5667" s="258">
        <v>87800</v>
      </c>
      <c r="B5667" s="257" t="s">
        <v>4122</v>
      </c>
      <c r="C5667" s="257" t="s">
        <v>150</v>
      </c>
      <c r="D5667" s="259" t="s">
        <v>18201</v>
      </c>
      <c r="E5667" s="210" t="s">
        <v>201</v>
      </c>
    </row>
    <row r="5668" spans="1:5" ht="40.5">
      <c r="A5668" s="258">
        <v>87801</v>
      </c>
      <c r="B5668" s="257" t="s">
        <v>4123</v>
      </c>
      <c r="C5668" s="257" t="s">
        <v>150</v>
      </c>
      <c r="D5668" s="259" t="s">
        <v>18202</v>
      </c>
      <c r="E5668" s="210" t="s">
        <v>201</v>
      </c>
    </row>
    <row r="5669" spans="1:5" ht="27">
      <c r="A5669" s="258">
        <v>87803</v>
      </c>
      <c r="B5669" s="257" t="s">
        <v>4124</v>
      </c>
      <c r="C5669" s="257" t="s">
        <v>150</v>
      </c>
      <c r="D5669" s="259" t="s">
        <v>16540</v>
      </c>
      <c r="E5669" s="210" t="s">
        <v>201</v>
      </c>
    </row>
    <row r="5670" spans="1:5" ht="40.5">
      <c r="A5670" s="258">
        <v>87804</v>
      </c>
      <c r="B5670" s="257" t="s">
        <v>4125</v>
      </c>
      <c r="C5670" s="257" t="s">
        <v>150</v>
      </c>
      <c r="D5670" s="259" t="s">
        <v>18203</v>
      </c>
      <c r="E5670" s="210" t="s">
        <v>201</v>
      </c>
    </row>
    <row r="5671" spans="1:5" ht="40.5">
      <c r="A5671" s="258">
        <v>87805</v>
      </c>
      <c r="B5671" s="257" t="s">
        <v>4126</v>
      </c>
      <c r="C5671" s="257" t="s">
        <v>150</v>
      </c>
      <c r="D5671" s="259" t="s">
        <v>18074</v>
      </c>
      <c r="E5671" s="210" t="s">
        <v>201</v>
      </c>
    </row>
    <row r="5672" spans="1:5" ht="27">
      <c r="A5672" s="258">
        <v>87807</v>
      </c>
      <c r="B5672" s="257" t="s">
        <v>4127</v>
      </c>
      <c r="C5672" s="257" t="s">
        <v>150</v>
      </c>
      <c r="D5672" s="259" t="s">
        <v>18204</v>
      </c>
      <c r="E5672" s="210" t="s">
        <v>201</v>
      </c>
    </row>
    <row r="5673" spans="1:5" ht="40.5">
      <c r="A5673" s="258">
        <v>87808</v>
      </c>
      <c r="B5673" s="257" t="s">
        <v>4128</v>
      </c>
      <c r="C5673" s="257" t="s">
        <v>150</v>
      </c>
      <c r="D5673" s="259" t="s">
        <v>16304</v>
      </c>
      <c r="E5673" s="210" t="s">
        <v>201</v>
      </c>
    </row>
    <row r="5674" spans="1:5" ht="40.5">
      <c r="A5674" s="258">
        <v>87809</v>
      </c>
      <c r="B5674" s="257" t="s">
        <v>4129</v>
      </c>
      <c r="C5674" s="257" t="s">
        <v>150</v>
      </c>
      <c r="D5674" s="259" t="s">
        <v>18205</v>
      </c>
      <c r="E5674" s="210" t="s">
        <v>201</v>
      </c>
    </row>
    <row r="5675" spans="1:5" ht="40.5">
      <c r="A5675" s="258">
        <v>87811</v>
      </c>
      <c r="B5675" s="257" t="s">
        <v>4130</v>
      </c>
      <c r="C5675" s="257" t="s">
        <v>150</v>
      </c>
      <c r="D5675" s="259" t="s">
        <v>18206</v>
      </c>
      <c r="E5675" s="210" t="s">
        <v>201</v>
      </c>
    </row>
    <row r="5676" spans="1:5" ht="40.5">
      <c r="A5676" s="258">
        <v>87812</v>
      </c>
      <c r="B5676" s="257" t="s">
        <v>4131</v>
      </c>
      <c r="C5676" s="257" t="s">
        <v>150</v>
      </c>
      <c r="D5676" s="259" t="s">
        <v>18207</v>
      </c>
      <c r="E5676" s="210" t="s">
        <v>201</v>
      </c>
    </row>
    <row r="5677" spans="1:5" ht="40.5">
      <c r="A5677" s="258">
        <v>87813</v>
      </c>
      <c r="B5677" s="257" t="s">
        <v>4132</v>
      </c>
      <c r="C5677" s="257" t="s">
        <v>150</v>
      </c>
      <c r="D5677" s="259" t="s">
        <v>17816</v>
      </c>
      <c r="E5677" s="210" t="s">
        <v>201</v>
      </c>
    </row>
    <row r="5678" spans="1:5" ht="40.5">
      <c r="A5678" s="258">
        <v>87815</v>
      </c>
      <c r="B5678" s="257" t="s">
        <v>4133</v>
      </c>
      <c r="C5678" s="257" t="s">
        <v>150</v>
      </c>
      <c r="D5678" s="259" t="s">
        <v>18208</v>
      </c>
      <c r="E5678" s="210" t="s">
        <v>201</v>
      </c>
    </row>
    <row r="5679" spans="1:5" ht="40.5">
      <c r="A5679" s="258">
        <v>87816</v>
      </c>
      <c r="B5679" s="257" t="s">
        <v>4134</v>
      </c>
      <c r="C5679" s="257" t="s">
        <v>150</v>
      </c>
      <c r="D5679" s="259" t="s">
        <v>18209</v>
      </c>
      <c r="E5679" s="210" t="s">
        <v>201</v>
      </c>
    </row>
    <row r="5680" spans="1:5" ht="40.5">
      <c r="A5680" s="258">
        <v>87817</v>
      </c>
      <c r="B5680" s="257" t="s">
        <v>4135</v>
      </c>
      <c r="C5680" s="257" t="s">
        <v>150</v>
      </c>
      <c r="D5680" s="259" t="s">
        <v>18210</v>
      </c>
      <c r="E5680" s="210" t="s">
        <v>201</v>
      </c>
    </row>
    <row r="5681" spans="1:5" ht="40.5">
      <c r="A5681" s="258">
        <v>87819</v>
      </c>
      <c r="B5681" s="257" t="s">
        <v>4136</v>
      </c>
      <c r="C5681" s="257" t="s">
        <v>150</v>
      </c>
      <c r="D5681" s="259" t="s">
        <v>18211</v>
      </c>
      <c r="E5681" s="210" t="s">
        <v>201</v>
      </c>
    </row>
    <row r="5682" spans="1:5" ht="40.5">
      <c r="A5682" s="258">
        <v>87820</v>
      </c>
      <c r="B5682" s="257" t="s">
        <v>4137</v>
      </c>
      <c r="C5682" s="257" t="s">
        <v>150</v>
      </c>
      <c r="D5682" s="259" t="s">
        <v>18212</v>
      </c>
      <c r="E5682" s="210" t="s">
        <v>201</v>
      </c>
    </row>
    <row r="5683" spans="1:5" ht="40.5">
      <c r="A5683" s="258">
        <v>87821</v>
      </c>
      <c r="B5683" s="257" t="s">
        <v>4138</v>
      </c>
      <c r="C5683" s="257" t="s">
        <v>150</v>
      </c>
      <c r="D5683" s="259" t="s">
        <v>14161</v>
      </c>
      <c r="E5683" s="210" t="s">
        <v>201</v>
      </c>
    </row>
    <row r="5684" spans="1:5" ht="40.5">
      <c r="A5684" s="258">
        <v>87823</v>
      </c>
      <c r="B5684" s="257" t="s">
        <v>4139</v>
      </c>
      <c r="C5684" s="257" t="s">
        <v>150</v>
      </c>
      <c r="D5684" s="259" t="s">
        <v>18213</v>
      </c>
      <c r="E5684" s="210" t="s">
        <v>201</v>
      </c>
    </row>
    <row r="5685" spans="1:5" ht="40.5">
      <c r="A5685" s="258">
        <v>87824</v>
      </c>
      <c r="B5685" s="257" t="s">
        <v>4140</v>
      </c>
      <c r="C5685" s="257" t="s">
        <v>150</v>
      </c>
      <c r="D5685" s="259" t="s">
        <v>18214</v>
      </c>
      <c r="E5685" s="210" t="s">
        <v>201</v>
      </c>
    </row>
    <row r="5686" spans="1:5" ht="40.5">
      <c r="A5686" s="258">
        <v>87825</v>
      </c>
      <c r="B5686" s="257" t="s">
        <v>4141</v>
      </c>
      <c r="C5686" s="257" t="s">
        <v>150</v>
      </c>
      <c r="D5686" s="259" t="s">
        <v>15232</v>
      </c>
      <c r="E5686" s="210" t="s">
        <v>201</v>
      </c>
    </row>
    <row r="5687" spans="1:5" ht="40.5">
      <c r="A5687" s="258">
        <v>87827</v>
      </c>
      <c r="B5687" s="257" t="s">
        <v>4142</v>
      </c>
      <c r="C5687" s="257" t="s">
        <v>150</v>
      </c>
      <c r="D5687" s="259" t="s">
        <v>18215</v>
      </c>
      <c r="E5687" s="210" t="s">
        <v>201</v>
      </c>
    </row>
    <row r="5688" spans="1:5" ht="40.5">
      <c r="A5688" s="258">
        <v>87828</v>
      </c>
      <c r="B5688" s="257" t="s">
        <v>4143</v>
      </c>
      <c r="C5688" s="257" t="s">
        <v>150</v>
      </c>
      <c r="D5688" s="259" t="s">
        <v>16798</v>
      </c>
      <c r="E5688" s="210" t="s">
        <v>201</v>
      </c>
    </row>
    <row r="5689" spans="1:5" ht="40.5">
      <c r="A5689" s="258">
        <v>87829</v>
      </c>
      <c r="B5689" s="257" t="s">
        <v>4144</v>
      </c>
      <c r="C5689" s="257" t="s">
        <v>150</v>
      </c>
      <c r="D5689" s="259" t="s">
        <v>17711</v>
      </c>
      <c r="E5689" s="210" t="s">
        <v>201</v>
      </c>
    </row>
    <row r="5690" spans="1:5" ht="40.5">
      <c r="A5690" s="258">
        <v>87831</v>
      </c>
      <c r="B5690" s="257" t="s">
        <v>4145</v>
      </c>
      <c r="C5690" s="257" t="s">
        <v>150</v>
      </c>
      <c r="D5690" s="259" t="s">
        <v>18216</v>
      </c>
      <c r="E5690" s="210" t="s">
        <v>201</v>
      </c>
    </row>
    <row r="5691" spans="1:5" ht="40.5">
      <c r="A5691" s="258">
        <v>87832</v>
      </c>
      <c r="B5691" s="257" t="s">
        <v>4146</v>
      </c>
      <c r="C5691" s="257" t="s">
        <v>150</v>
      </c>
      <c r="D5691" s="259" t="s">
        <v>18217</v>
      </c>
      <c r="E5691" s="210" t="s">
        <v>201</v>
      </c>
    </row>
    <row r="5692" spans="1:5" ht="27">
      <c r="A5692" s="257">
        <v>87834</v>
      </c>
      <c r="B5692" s="257" t="s">
        <v>4147</v>
      </c>
      <c r="C5692" s="257" t="s">
        <v>150</v>
      </c>
      <c r="D5692" s="259" t="s">
        <v>18218</v>
      </c>
      <c r="E5692" s="210" t="s">
        <v>201</v>
      </c>
    </row>
    <row r="5693" spans="1:5" ht="27">
      <c r="A5693" s="257">
        <v>87835</v>
      </c>
      <c r="B5693" s="257" t="s">
        <v>4148</v>
      </c>
      <c r="C5693" s="257" t="s">
        <v>150</v>
      </c>
      <c r="D5693" s="259" t="s">
        <v>18219</v>
      </c>
      <c r="E5693" s="210" t="s">
        <v>201</v>
      </c>
    </row>
    <row r="5694" spans="1:5" ht="27">
      <c r="A5694" s="257">
        <v>87836</v>
      </c>
      <c r="B5694" s="257" t="s">
        <v>4149</v>
      </c>
      <c r="C5694" s="257" t="s">
        <v>150</v>
      </c>
      <c r="D5694" s="259" t="s">
        <v>18220</v>
      </c>
      <c r="E5694" s="210" t="s">
        <v>201</v>
      </c>
    </row>
    <row r="5695" spans="1:5" ht="27">
      <c r="A5695" s="257">
        <v>87837</v>
      </c>
      <c r="B5695" s="257" t="s">
        <v>4150</v>
      </c>
      <c r="C5695" s="257" t="s">
        <v>150</v>
      </c>
      <c r="D5695" s="259" t="s">
        <v>18221</v>
      </c>
      <c r="E5695" s="210" t="s">
        <v>201</v>
      </c>
    </row>
    <row r="5696" spans="1:5" ht="27">
      <c r="A5696" s="257">
        <v>87838</v>
      </c>
      <c r="B5696" s="257" t="s">
        <v>4151</v>
      </c>
      <c r="C5696" s="257" t="s">
        <v>150</v>
      </c>
      <c r="D5696" s="259" t="s">
        <v>18222</v>
      </c>
      <c r="E5696" s="210" t="s">
        <v>201</v>
      </c>
    </row>
    <row r="5697" spans="1:5" ht="27">
      <c r="A5697" s="257">
        <v>87839</v>
      </c>
      <c r="B5697" s="257" t="s">
        <v>4152</v>
      </c>
      <c r="C5697" s="257" t="s">
        <v>150</v>
      </c>
      <c r="D5697" s="259" t="s">
        <v>18223</v>
      </c>
      <c r="E5697" s="210" t="s">
        <v>201</v>
      </c>
    </row>
    <row r="5698" spans="1:5" ht="40.5">
      <c r="A5698" s="257">
        <v>87840</v>
      </c>
      <c r="B5698" s="257" t="s">
        <v>4153</v>
      </c>
      <c r="C5698" s="257" t="s">
        <v>150</v>
      </c>
      <c r="D5698" s="259" t="s">
        <v>18224</v>
      </c>
      <c r="E5698" s="210" t="s">
        <v>201</v>
      </c>
    </row>
    <row r="5699" spans="1:5" ht="27">
      <c r="A5699" s="257">
        <v>87841</v>
      </c>
      <c r="B5699" s="257" t="s">
        <v>4154</v>
      </c>
      <c r="C5699" s="257" t="s">
        <v>150</v>
      </c>
      <c r="D5699" s="259" t="s">
        <v>18225</v>
      </c>
      <c r="E5699" s="210" t="s">
        <v>201</v>
      </c>
    </row>
    <row r="5700" spans="1:5" ht="27">
      <c r="A5700" s="257">
        <v>87842</v>
      </c>
      <c r="B5700" s="257" t="s">
        <v>4155</v>
      </c>
      <c r="C5700" s="257" t="s">
        <v>150</v>
      </c>
      <c r="D5700" s="259" t="s">
        <v>18226</v>
      </c>
      <c r="E5700" s="210" t="s">
        <v>201</v>
      </c>
    </row>
    <row r="5701" spans="1:5" ht="27">
      <c r="A5701" s="258">
        <v>87843</v>
      </c>
      <c r="B5701" s="257" t="s">
        <v>4156</v>
      </c>
      <c r="C5701" s="257" t="s">
        <v>150</v>
      </c>
      <c r="D5701" s="259" t="s">
        <v>16746</v>
      </c>
      <c r="E5701" s="210" t="s">
        <v>201</v>
      </c>
    </row>
    <row r="5702" spans="1:5" ht="27">
      <c r="A5702" s="258">
        <v>87844</v>
      </c>
      <c r="B5702" s="257" t="s">
        <v>4157</v>
      </c>
      <c r="C5702" s="257" t="s">
        <v>150</v>
      </c>
      <c r="D5702" s="259" t="s">
        <v>18227</v>
      </c>
      <c r="E5702" s="210" t="s">
        <v>201</v>
      </c>
    </row>
    <row r="5703" spans="1:5" ht="27">
      <c r="A5703" s="258">
        <v>87845</v>
      </c>
      <c r="B5703" s="257" t="s">
        <v>4158</v>
      </c>
      <c r="C5703" s="257" t="s">
        <v>150</v>
      </c>
      <c r="D5703" s="259" t="s">
        <v>18228</v>
      </c>
      <c r="E5703" s="210" t="s">
        <v>201</v>
      </c>
    </row>
    <row r="5704" spans="1:5" ht="27">
      <c r="A5704" s="258">
        <v>87846</v>
      </c>
      <c r="B5704" s="257" t="s">
        <v>4159</v>
      </c>
      <c r="C5704" s="257" t="s">
        <v>150</v>
      </c>
      <c r="D5704" s="259" t="s">
        <v>18229</v>
      </c>
      <c r="E5704" s="210" t="s">
        <v>201</v>
      </c>
    </row>
    <row r="5705" spans="1:5" ht="27">
      <c r="A5705" s="257">
        <v>87847</v>
      </c>
      <c r="B5705" s="257" t="s">
        <v>4160</v>
      </c>
      <c r="C5705" s="257" t="s">
        <v>150</v>
      </c>
      <c r="D5705" s="259" t="s">
        <v>18230</v>
      </c>
      <c r="E5705" s="210" t="s">
        <v>201</v>
      </c>
    </row>
    <row r="5706" spans="1:5" ht="27">
      <c r="A5706" s="257">
        <v>87848</v>
      </c>
      <c r="B5706" s="257" t="s">
        <v>4161</v>
      </c>
      <c r="C5706" s="257" t="s">
        <v>150</v>
      </c>
      <c r="D5706" s="259" t="s">
        <v>18231</v>
      </c>
      <c r="E5706" s="210" t="s">
        <v>201</v>
      </c>
    </row>
    <row r="5707" spans="1:5" ht="27">
      <c r="A5707" s="258">
        <v>87849</v>
      </c>
      <c r="B5707" s="257" t="s">
        <v>4162</v>
      </c>
      <c r="C5707" s="257" t="s">
        <v>150</v>
      </c>
      <c r="D5707" s="259" t="s">
        <v>18232</v>
      </c>
      <c r="E5707" s="210" t="s">
        <v>201</v>
      </c>
    </row>
    <row r="5708" spans="1:5" ht="27">
      <c r="A5708" s="258">
        <v>87850</v>
      </c>
      <c r="B5708" s="257" t="s">
        <v>4163</v>
      </c>
      <c r="C5708" s="257" t="s">
        <v>150</v>
      </c>
      <c r="D5708" s="259" t="s">
        <v>18233</v>
      </c>
      <c r="E5708" s="210" t="s">
        <v>201</v>
      </c>
    </row>
    <row r="5709" spans="1:5" ht="27">
      <c r="A5709" s="258">
        <v>87851</v>
      </c>
      <c r="B5709" s="257" t="s">
        <v>4164</v>
      </c>
      <c r="C5709" s="257" t="s">
        <v>150</v>
      </c>
      <c r="D5709" s="259" t="s">
        <v>18234</v>
      </c>
      <c r="E5709" s="210" t="s">
        <v>201</v>
      </c>
    </row>
    <row r="5710" spans="1:5" ht="40.5">
      <c r="A5710" s="258">
        <v>87852</v>
      </c>
      <c r="B5710" s="257" t="s">
        <v>4165</v>
      </c>
      <c r="C5710" s="257" t="s">
        <v>150</v>
      </c>
      <c r="D5710" s="259" t="s">
        <v>18235</v>
      </c>
      <c r="E5710" s="210" t="s">
        <v>201</v>
      </c>
    </row>
    <row r="5711" spans="1:5" ht="40.5">
      <c r="A5711" s="258">
        <v>87853</v>
      </c>
      <c r="B5711" s="257" t="s">
        <v>4166</v>
      </c>
      <c r="C5711" s="257" t="s">
        <v>150</v>
      </c>
      <c r="D5711" s="259" t="s">
        <v>18236</v>
      </c>
      <c r="E5711" s="210" t="s">
        <v>201</v>
      </c>
    </row>
    <row r="5712" spans="1:5" ht="27">
      <c r="A5712" s="258">
        <v>87854</v>
      </c>
      <c r="B5712" s="257" t="s">
        <v>4167</v>
      </c>
      <c r="C5712" s="257" t="s">
        <v>150</v>
      </c>
      <c r="D5712" s="259" t="s">
        <v>18237</v>
      </c>
      <c r="E5712" s="210" t="s">
        <v>201</v>
      </c>
    </row>
    <row r="5713" spans="1:5" ht="27">
      <c r="A5713" s="258">
        <v>87855</v>
      </c>
      <c r="B5713" s="257" t="s">
        <v>4168</v>
      </c>
      <c r="C5713" s="257" t="s">
        <v>150</v>
      </c>
      <c r="D5713" s="259" t="s">
        <v>16298</v>
      </c>
      <c r="E5713" s="210" t="s">
        <v>201</v>
      </c>
    </row>
    <row r="5714" spans="1:5" ht="40.5">
      <c r="A5714" s="258">
        <v>87856</v>
      </c>
      <c r="B5714" s="257" t="s">
        <v>4169</v>
      </c>
      <c r="C5714" s="257" t="s">
        <v>150</v>
      </c>
      <c r="D5714" s="260" t="s">
        <v>14149</v>
      </c>
      <c r="E5714" s="210" t="s">
        <v>201</v>
      </c>
    </row>
    <row r="5715" spans="1:5" ht="27">
      <c r="A5715" s="258">
        <v>87857</v>
      </c>
      <c r="B5715" s="257" t="s">
        <v>4170</v>
      </c>
      <c r="C5715" s="257" t="s">
        <v>150</v>
      </c>
      <c r="D5715" s="259" t="s">
        <v>18238</v>
      </c>
      <c r="E5715" s="210" t="s">
        <v>201</v>
      </c>
    </row>
    <row r="5716" spans="1:5" ht="27">
      <c r="A5716" s="258">
        <v>87858</v>
      </c>
      <c r="B5716" s="257" t="s">
        <v>4171</v>
      </c>
      <c r="C5716" s="257" t="s">
        <v>150</v>
      </c>
      <c r="D5716" s="259" t="s">
        <v>18239</v>
      </c>
      <c r="E5716" s="210" t="s">
        <v>201</v>
      </c>
    </row>
    <row r="5717" spans="1:5" ht="27">
      <c r="A5717" s="258">
        <v>87859</v>
      </c>
      <c r="B5717" s="257" t="s">
        <v>4172</v>
      </c>
      <c r="C5717" s="257" t="s">
        <v>150</v>
      </c>
      <c r="D5717" s="259" t="s">
        <v>18240</v>
      </c>
      <c r="E5717" s="210" t="s">
        <v>201</v>
      </c>
    </row>
    <row r="5718" spans="1:5" ht="40.5">
      <c r="A5718" s="258">
        <v>89048</v>
      </c>
      <c r="B5718" s="257" t="s">
        <v>4173</v>
      </c>
      <c r="C5718" s="257" t="s">
        <v>150</v>
      </c>
      <c r="D5718" s="259" t="s">
        <v>18241</v>
      </c>
      <c r="E5718" s="210" t="s">
        <v>201</v>
      </c>
    </row>
    <row r="5719" spans="1:5" ht="40.5">
      <c r="A5719" s="258">
        <v>89049</v>
      </c>
      <c r="B5719" s="257" t="s">
        <v>4174</v>
      </c>
      <c r="C5719" s="257" t="s">
        <v>150</v>
      </c>
      <c r="D5719" s="259" t="s">
        <v>18242</v>
      </c>
      <c r="E5719" s="210" t="s">
        <v>201</v>
      </c>
    </row>
    <row r="5720" spans="1:5" ht="40.5">
      <c r="A5720" s="258">
        <v>89173</v>
      </c>
      <c r="B5720" s="257" t="s">
        <v>4175</v>
      </c>
      <c r="C5720" s="257" t="s">
        <v>150</v>
      </c>
      <c r="D5720" s="259" t="s">
        <v>18243</v>
      </c>
      <c r="E5720" s="210" t="s">
        <v>201</v>
      </c>
    </row>
    <row r="5721" spans="1:5" ht="40.5">
      <c r="A5721" s="258">
        <v>90406</v>
      </c>
      <c r="B5721" s="257" t="s">
        <v>4176</v>
      </c>
      <c r="C5721" s="257" t="s">
        <v>150</v>
      </c>
      <c r="D5721" s="259" t="s">
        <v>18244</v>
      </c>
      <c r="E5721" s="210" t="s">
        <v>201</v>
      </c>
    </row>
    <row r="5722" spans="1:5" ht="27">
      <c r="A5722" s="258">
        <v>90407</v>
      </c>
      <c r="B5722" s="257" t="s">
        <v>4177</v>
      </c>
      <c r="C5722" s="257" t="s">
        <v>150</v>
      </c>
      <c r="D5722" s="259" t="s">
        <v>15293</v>
      </c>
      <c r="E5722" s="210" t="s">
        <v>201</v>
      </c>
    </row>
    <row r="5723" spans="1:5" ht="40.5">
      <c r="A5723" s="258">
        <v>90408</v>
      </c>
      <c r="B5723" s="257" t="s">
        <v>4178</v>
      </c>
      <c r="C5723" s="257" t="s">
        <v>150</v>
      </c>
      <c r="D5723" s="259" t="s">
        <v>18245</v>
      </c>
      <c r="E5723" s="210" t="s">
        <v>201</v>
      </c>
    </row>
    <row r="5724" spans="1:5" ht="27">
      <c r="A5724" s="258">
        <v>90409</v>
      </c>
      <c r="B5724" s="257" t="s">
        <v>4179</v>
      </c>
      <c r="C5724" s="257" t="s">
        <v>150</v>
      </c>
      <c r="D5724" s="259" t="s">
        <v>18246</v>
      </c>
      <c r="E5724" s="210" t="s">
        <v>201</v>
      </c>
    </row>
    <row r="5725" spans="1:5" ht="13.5">
      <c r="A5725" s="258">
        <v>84084</v>
      </c>
      <c r="B5725" s="257" t="s">
        <v>151</v>
      </c>
      <c r="C5725" s="257" t="s">
        <v>150</v>
      </c>
      <c r="D5725" s="259" t="s">
        <v>15478</v>
      </c>
      <c r="E5725" s="210" t="s">
        <v>201</v>
      </c>
    </row>
    <row r="5726" spans="1:5" ht="27">
      <c r="A5726" s="258">
        <v>87242</v>
      </c>
      <c r="B5726" s="257" t="s">
        <v>4180</v>
      </c>
      <c r="C5726" s="257" t="s">
        <v>150</v>
      </c>
      <c r="D5726" s="259" t="s">
        <v>18247</v>
      </c>
      <c r="E5726" s="210" t="s">
        <v>201</v>
      </c>
    </row>
    <row r="5727" spans="1:5" ht="27">
      <c r="A5727" s="258">
        <v>87243</v>
      </c>
      <c r="B5727" s="257" t="s">
        <v>4181</v>
      </c>
      <c r="C5727" s="257" t="s">
        <v>150</v>
      </c>
      <c r="D5727" s="259" t="s">
        <v>18248</v>
      </c>
      <c r="E5727" s="210" t="s">
        <v>201</v>
      </c>
    </row>
    <row r="5728" spans="1:5" ht="27">
      <c r="A5728" s="258">
        <v>87244</v>
      </c>
      <c r="B5728" s="257" t="s">
        <v>4182</v>
      </c>
      <c r="C5728" s="257" t="s">
        <v>150</v>
      </c>
      <c r="D5728" s="259" t="s">
        <v>18249</v>
      </c>
      <c r="E5728" s="210" t="s">
        <v>201</v>
      </c>
    </row>
    <row r="5729" spans="1:5" ht="27">
      <c r="A5729" s="258">
        <v>87245</v>
      </c>
      <c r="B5729" s="257" t="s">
        <v>4183</v>
      </c>
      <c r="C5729" s="257" t="s">
        <v>150</v>
      </c>
      <c r="D5729" s="259" t="s">
        <v>18250</v>
      </c>
      <c r="E5729" s="210" t="s">
        <v>201</v>
      </c>
    </row>
    <row r="5730" spans="1:5" ht="40.5">
      <c r="A5730" s="258">
        <v>87264</v>
      </c>
      <c r="B5730" s="257" t="s">
        <v>4184</v>
      </c>
      <c r="C5730" s="257" t="s">
        <v>150</v>
      </c>
      <c r="D5730" s="259" t="s">
        <v>18251</v>
      </c>
      <c r="E5730" s="210" t="s">
        <v>201</v>
      </c>
    </row>
    <row r="5731" spans="1:5" ht="40.5">
      <c r="A5731" s="258">
        <v>87265</v>
      </c>
      <c r="B5731" s="257" t="s">
        <v>4185</v>
      </c>
      <c r="C5731" s="257" t="s">
        <v>150</v>
      </c>
      <c r="D5731" s="259" t="s">
        <v>18252</v>
      </c>
      <c r="E5731" s="210" t="s">
        <v>201</v>
      </c>
    </row>
    <row r="5732" spans="1:5" ht="27">
      <c r="A5732" s="258">
        <v>87266</v>
      </c>
      <c r="B5732" s="257" t="s">
        <v>4186</v>
      </c>
      <c r="C5732" s="257" t="s">
        <v>150</v>
      </c>
      <c r="D5732" s="259" t="s">
        <v>18253</v>
      </c>
      <c r="E5732" s="210" t="s">
        <v>201</v>
      </c>
    </row>
    <row r="5733" spans="1:5" ht="27">
      <c r="A5733" s="258">
        <v>87267</v>
      </c>
      <c r="B5733" s="257" t="s">
        <v>4187</v>
      </c>
      <c r="C5733" s="257" t="s">
        <v>150</v>
      </c>
      <c r="D5733" s="259" t="s">
        <v>13999</v>
      </c>
      <c r="E5733" s="210" t="s">
        <v>201</v>
      </c>
    </row>
    <row r="5734" spans="1:5" ht="40.5">
      <c r="A5734" s="258">
        <v>87268</v>
      </c>
      <c r="B5734" s="257" t="s">
        <v>4188</v>
      </c>
      <c r="C5734" s="257" t="s">
        <v>150</v>
      </c>
      <c r="D5734" s="259" t="s">
        <v>18254</v>
      </c>
      <c r="E5734" s="210" t="s">
        <v>201</v>
      </c>
    </row>
    <row r="5735" spans="1:5" ht="40.5">
      <c r="A5735" s="258">
        <v>87269</v>
      </c>
      <c r="B5735" s="257" t="s">
        <v>4189</v>
      </c>
      <c r="C5735" s="257" t="s">
        <v>150</v>
      </c>
      <c r="D5735" s="259" t="s">
        <v>18255</v>
      </c>
      <c r="E5735" s="210" t="s">
        <v>201</v>
      </c>
    </row>
    <row r="5736" spans="1:5" ht="27">
      <c r="A5736" s="258">
        <v>87270</v>
      </c>
      <c r="B5736" s="257" t="s">
        <v>4190</v>
      </c>
      <c r="C5736" s="257" t="s">
        <v>150</v>
      </c>
      <c r="D5736" s="259" t="s">
        <v>18256</v>
      </c>
      <c r="E5736" s="210" t="s">
        <v>201</v>
      </c>
    </row>
    <row r="5737" spans="1:5" ht="27">
      <c r="A5737" s="257">
        <v>87271</v>
      </c>
      <c r="B5737" s="257" t="s">
        <v>4191</v>
      </c>
      <c r="C5737" s="257" t="s">
        <v>150</v>
      </c>
      <c r="D5737" s="259" t="s">
        <v>16276</v>
      </c>
      <c r="E5737" s="210" t="s">
        <v>201</v>
      </c>
    </row>
    <row r="5738" spans="1:5" ht="40.5">
      <c r="A5738" s="258">
        <v>87272</v>
      </c>
      <c r="B5738" s="257" t="s">
        <v>4192</v>
      </c>
      <c r="C5738" s="257" t="s">
        <v>150</v>
      </c>
      <c r="D5738" s="259" t="s">
        <v>18257</v>
      </c>
      <c r="E5738" s="210" t="s">
        <v>201</v>
      </c>
    </row>
    <row r="5739" spans="1:5" ht="40.5">
      <c r="A5739" s="257">
        <v>87273</v>
      </c>
      <c r="B5739" s="257" t="s">
        <v>4193</v>
      </c>
      <c r="C5739" s="257" t="s">
        <v>150</v>
      </c>
      <c r="D5739" s="259" t="s">
        <v>18258</v>
      </c>
      <c r="E5739" s="210" t="s">
        <v>201</v>
      </c>
    </row>
    <row r="5740" spans="1:5" ht="27">
      <c r="A5740" s="257">
        <v>87274</v>
      </c>
      <c r="B5740" s="257" t="s">
        <v>4194</v>
      </c>
      <c r="C5740" s="257" t="s">
        <v>150</v>
      </c>
      <c r="D5740" s="259" t="s">
        <v>18259</v>
      </c>
      <c r="E5740" s="210" t="s">
        <v>201</v>
      </c>
    </row>
    <row r="5741" spans="1:5" ht="27">
      <c r="A5741" s="257">
        <v>87275</v>
      </c>
      <c r="B5741" s="257" t="s">
        <v>4195</v>
      </c>
      <c r="C5741" s="257" t="s">
        <v>150</v>
      </c>
      <c r="D5741" s="259" t="s">
        <v>18256</v>
      </c>
      <c r="E5741" s="210" t="s">
        <v>201</v>
      </c>
    </row>
    <row r="5742" spans="1:5" ht="27">
      <c r="A5742" s="258">
        <v>88786</v>
      </c>
      <c r="B5742" s="257" t="s">
        <v>4196</v>
      </c>
      <c r="C5742" s="257" t="s">
        <v>150</v>
      </c>
      <c r="D5742" s="259" t="s">
        <v>18260</v>
      </c>
      <c r="E5742" s="210" t="s">
        <v>201</v>
      </c>
    </row>
    <row r="5743" spans="1:5" ht="27">
      <c r="A5743" s="258">
        <v>88787</v>
      </c>
      <c r="B5743" s="257" t="s">
        <v>4197</v>
      </c>
      <c r="C5743" s="257" t="s">
        <v>150</v>
      </c>
      <c r="D5743" s="259" t="s">
        <v>18261</v>
      </c>
      <c r="E5743" s="210" t="s">
        <v>201</v>
      </c>
    </row>
    <row r="5744" spans="1:5" ht="27">
      <c r="A5744" s="257">
        <v>88788</v>
      </c>
      <c r="B5744" s="257" t="s">
        <v>4198</v>
      </c>
      <c r="C5744" s="257" t="s">
        <v>150</v>
      </c>
      <c r="D5744" s="259" t="s">
        <v>18262</v>
      </c>
      <c r="E5744" s="210" t="s">
        <v>201</v>
      </c>
    </row>
    <row r="5745" spans="1:5" ht="27">
      <c r="A5745" s="257">
        <v>88789</v>
      </c>
      <c r="B5745" s="257" t="s">
        <v>4199</v>
      </c>
      <c r="C5745" s="257" t="s">
        <v>150</v>
      </c>
      <c r="D5745" s="259" t="s">
        <v>18263</v>
      </c>
      <c r="E5745" s="210" t="s">
        <v>201</v>
      </c>
    </row>
    <row r="5746" spans="1:5" ht="40.5">
      <c r="A5746" s="257">
        <v>89045</v>
      </c>
      <c r="B5746" s="257" t="s">
        <v>4200</v>
      </c>
      <c r="C5746" s="257" t="s">
        <v>150</v>
      </c>
      <c r="D5746" s="259" t="s">
        <v>17850</v>
      </c>
      <c r="E5746" s="210" t="s">
        <v>201</v>
      </c>
    </row>
    <row r="5747" spans="1:5" ht="40.5">
      <c r="A5747" s="257">
        <v>89170</v>
      </c>
      <c r="B5747" s="257" t="s">
        <v>4201</v>
      </c>
      <c r="C5747" s="257" t="s">
        <v>150</v>
      </c>
      <c r="D5747" s="259" t="s">
        <v>18264</v>
      </c>
      <c r="E5747" s="210" t="s">
        <v>201</v>
      </c>
    </row>
    <row r="5748" spans="1:5" ht="40.5">
      <c r="A5748" s="258">
        <v>93392</v>
      </c>
      <c r="B5748" s="257" t="s">
        <v>6064</v>
      </c>
      <c r="C5748" s="257" t="s">
        <v>150</v>
      </c>
      <c r="D5748" s="259" t="s">
        <v>14534</v>
      </c>
      <c r="E5748" s="210" t="s">
        <v>201</v>
      </c>
    </row>
    <row r="5749" spans="1:5" ht="40.5">
      <c r="A5749" s="258">
        <v>93393</v>
      </c>
      <c r="B5749" s="257" t="s">
        <v>6065</v>
      </c>
      <c r="C5749" s="257" t="s">
        <v>150</v>
      </c>
      <c r="D5749" s="259" t="s">
        <v>18265</v>
      </c>
      <c r="E5749" s="210" t="s">
        <v>201</v>
      </c>
    </row>
    <row r="5750" spans="1:5" ht="40.5">
      <c r="A5750" s="258">
        <v>93394</v>
      </c>
      <c r="B5750" s="257" t="s">
        <v>6066</v>
      </c>
      <c r="C5750" s="257" t="s">
        <v>150</v>
      </c>
      <c r="D5750" s="259" t="s">
        <v>18266</v>
      </c>
      <c r="E5750" s="210" t="s">
        <v>201</v>
      </c>
    </row>
    <row r="5751" spans="1:5" ht="40.5">
      <c r="A5751" s="258">
        <v>93395</v>
      </c>
      <c r="B5751" s="257" t="s">
        <v>6067</v>
      </c>
      <c r="C5751" s="257" t="s">
        <v>150</v>
      </c>
      <c r="D5751" s="259" t="s">
        <v>15863</v>
      </c>
      <c r="E5751" s="210" t="s">
        <v>201</v>
      </c>
    </row>
    <row r="5752" spans="1:5" ht="40.5">
      <c r="A5752" s="258">
        <v>99194</v>
      </c>
      <c r="B5752" s="257" t="s">
        <v>6068</v>
      </c>
      <c r="C5752" s="257" t="s">
        <v>150</v>
      </c>
      <c r="D5752" s="259" t="s">
        <v>18267</v>
      </c>
      <c r="E5752" s="210" t="s">
        <v>201</v>
      </c>
    </row>
    <row r="5753" spans="1:5" ht="40.5">
      <c r="A5753" s="258">
        <v>99195</v>
      </c>
      <c r="B5753" s="257" t="s">
        <v>6069</v>
      </c>
      <c r="C5753" s="257" t="s">
        <v>150</v>
      </c>
      <c r="D5753" s="259" t="s">
        <v>18268</v>
      </c>
      <c r="E5753" s="210" t="s">
        <v>201</v>
      </c>
    </row>
    <row r="5754" spans="1:5" ht="40.5">
      <c r="A5754" s="258">
        <v>99196</v>
      </c>
      <c r="B5754" s="257" t="s">
        <v>6070</v>
      </c>
      <c r="C5754" s="257" t="s">
        <v>150</v>
      </c>
      <c r="D5754" s="259" t="s">
        <v>18269</v>
      </c>
      <c r="E5754" s="210" t="s">
        <v>201</v>
      </c>
    </row>
    <row r="5755" spans="1:5" ht="40.5">
      <c r="A5755" s="258">
        <v>99198</v>
      </c>
      <c r="B5755" s="257" t="s">
        <v>6071</v>
      </c>
      <c r="C5755" s="257" t="s">
        <v>150</v>
      </c>
      <c r="D5755" s="259" t="s">
        <v>18270</v>
      </c>
      <c r="E5755" s="210" t="s">
        <v>201</v>
      </c>
    </row>
    <row r="5756" spans="1:5" ht="27">
      <c r="A5756" s="258">
        <v>84088</v>
      </c>
      <c r="B5756" s="257" t="s">
        <v>4202</v>
      </c>
      <c r="C5756" s="257" t="s">
        <v>5</v>
      </c>
      <c r="D5756" s="259" t="s">
        <v>18271</v>
      </c>
      <c r="E5756" s="210" t="s">
        <v>201</v>
      </c>
    </row>
    <row r="5757" spans="1:5" ht="27">
      <c r="A5757" s="258">
        <v>84089</v>
      </c>
      <c r="B5757" s="257" t="s">
        <v>4203</v>
      </c>
      <c r="C5757" s="257" t="s">
        <v>5</v>
      </c>
      <c r="D5757" s="259" t="s">
        <v>18272</v>
      </c>
      <c r="E5757" s="210" t="s">
        <v>201</v>
      </c>
    </row>
    <row r="5758" spans="1:5" ht="13.5">
      <c r="A5758" s="258">
        <v>40675</v>
      </c>
      <c r="B5758" s="257" t="s">
        <v>4204</v>
      </c>
      <c r="C5758" s="257" t="s">
        <v>5</v>
      </c>
      <c r="D5758" s="259" t="s">
        <v>16454</v>
      </c>
      <c r="E5758" s="210" t="s">
        <v>201</v>
      </c>
    </row>
    <row r="5759" spans="1:5" ht="13.5">
      <c r="A5759" s="258">
        <v>84093</v>
      </c>
      <c r="B5759" s="257" t="s">
        <v>4205</v>
      </c>
      <c r="C5759" s="257" t="s">
        <v>5</v>
      </c>
      <c r="D5759" s="259" t="s">
        <v>18133</v>
      </c>
      <c r="E5759" s="210" t="s">
        <v>201</v>
      </c>
    </row>
    <row r="5760" spans="1:5" ht="27">
      <c r="A5760" s="258">
        <v>96112</v>
      </c>
      <c r="B5760" s="257" t="s">
        <v>4206</v>
      </c>
      <c r="C5760" s="257" t="s">
        <v>150</v>
      </c>
      <c r="D5760" s="259" t="s">
        <v>18273</v>
      </c>
      <c r="E5760" s="210" t="s">
        <v>201</v>
      </c>
    </row>
    <row r="5761" spans="1:5" ht="13.5">
      <c r="A5761" s="258">
        <v>96117</v>
      </c>
      <c r="B5761" s="257" t="s">
        <v>4207</v>
      </c>
      <c r="C5761" s="257" t="s">
        <v>150</v>
      </c>
      <c r="D5761" s="259" t="s">
        <v>18274</v>
      </c>
      <c r="E5761" s="210" t="s">
        <v>201</v>
      </c>
    </row>
    <row r="5762" spans="1:5" ht="13.5">
      <c r="A5762" s="258">
        <v>96122</v>
      </c>
      <c r="B5762" s="257" t="s">
        <v>4208</v>
      </c>
      <c r="C5762" s="257" t="s">
        <v>5</v>
      </c>
      <c r="D5762" s="259" t="s">
        <v>18275</v>
      </c>
      <c r="E5762" s="210" t="s">
        <v>201</v>
      </c>
    </row>
    <row r="5763" spans="1:5" ht="13.5">
      <c r="A5763" s="258">
        <v>96109</v>
      </c>
      <c r="B5763" s="257" t="s">
        <v>4209</v>
      </c>
      <c r="C5763" s="257" t="s">
        <v>150</v>
      </c>
      <c r="D5763" s="259" t="s">
        <v>18276</v>
      </c>
      <c r="E5763" s="210" t="s">
        <v>201</v>
      </c>
    </row>
    <row r="5764" spans="1:5" ht="13.5">
      <c r="A5764" s="258">
        <v>96110</v>
      </c>
      <c r="B5764" s="257" t="s">
        <v>4210</v>
      </c>
      <c r="C5764" s="257" t="s">
        <v>150</v>
      </c>
      <c r="D5764" s="259" t="s">
        <v>18277</v>
      </c>
      <c r="E5764" s="210" t="s">
        <v>201</v>
      </c>
    </row>
    <row r="5765" spans="1:5" ht="13.5">
      <c r="A5765" s="258">
        <v>96113</v>
      </c>
      <c r="B5765" s="257" t="s">
        <v>4211</v>
      </c>
      <c r="C5765" s="257" t="s">
        <v>150</v>
      </c>
      <c r="D5765" s="259" t="s">
        <v>16549</v>
      </c>
      <c r="E5765" s="210" t="s">
        <v>201</v>
      </c>
    </row>
    <row r="5766" spans="1:5" ht="13.5">
      <c r="A5766" s="258">
        <v>96114</v>
      </c>
      <c r="B5766" s="257" t="s">
        <v>4212</v>
      </c>
      <c r="C5766" s="257" t="s">
        <v>150</v>
      </c>
      <c r="D5766" s="259" t="s">
        <v>18278</v>
      </c>
      <c r="E5766" s="210" t="s">
        <v>201</v>
      </c>
    </row>
    <row r="5767" spans="1:5" ht="13.5">
      <c r="A5767" s="258">
        <v>96120</v>
      </c>
      <c r="B5767" s="257" t="s">
        <v>4213</v>
      </c>
      <c r="C5767" s="257" t="s">
        <v>5</v>
      </c>
      <c r="D5767" s="259" t="s">
        <v>13624</v>
      </c>
      <c r="E5767" s="210" t="s">
        <v>201</v>
      </c>
    </row>
    <row r="5768" spans="1:5" ht="13.5">
      <c r="A5768" s="258">
        <v>96123</v>
      </c>
      <c r="B5768" s="257" t="s">
        <v>4214</v>
      </c>
      <c r="C5768" s="257" t="s">
        <v>5</v>
      </c>
      <c r="D5768" s="259" t="s">
        <v>16597</v>
      </c>
      <c r="E5768" s="210" t="s">
        <v>201</v>
      </c>
    </row>
    <row r="5769" spans="1:5" ht="13.5">
      <c r="A5769" s="258">
        <v>99054</v>
      </c>
      <c r="B5769" s="257" t="s">
        <v>6072</v>
      </c>
      <c r="C5769" s="257" t="s">
        <v>150</v>
      </c>
      <c r="D5769" s="259" t="s">
        <v>18279</v>
      </c>
      <c r="E5769" s="210" t="s">
        <v>201</v>
      </c>
    </row>
    <row r="5770" spans="1:5" ht="13.5">
      <c r="A5770" s="258">
        <v>72200</v>
      </c>
      <c r="B5770" s="257" t="s">
        <v>174</v>
      </c>
      <c r="C5770" s="257" t="s">
        <v>150</v>
      </c>
      <c r="D5770" s="259" t="s">
        <v>18280</v>
      </c>
      <c r="E5770" s="210" t="s">
        <v>201</v>
      </c>
    </row>
    <row r="5771" spans="1:5" ht="13.5">
      <c r="A5771" s="258" t="s">
        <v>4215</v>
      </c>
      <c r="B5771" s="257" t="s">
        <v>4216</v>
      </c>
      <c r="C5771" s="257" t="s">
        <v>5</v>
      </c>
      <c r="D5771" s="259" t="s">
        <v>18281</v>
      </c>
      <c r="E5771" s="210" t="s">
        <v>201</v>
      </c>
    </row>
    <row r="5772" spans="1:5" ht="13.5">
      <c r="A5772" s="258">
        <v>72201</v>
      </c>
      <c r="B5772" s="257" t="s">
        <v>4217</v>
      </c>
      <c r="C5772" s="257" t="s">
        <v>150</v>
      </c>
      <c r="D5772" s="259" t="s">
        <v>14471</v>
      </c>
      <c r="E5772" s="210" t="s">
        <v>201</v>
      </c>
    </row>
    <row r="5773" spans="1:5" ht="27">
      <c r="A5773" s="258">
        <v>96111</v>
      </c>
      <c r="B5773" s="257" t="s">
        <v>4218</v>
      </c>
      <c r="C5773" s="257" t="s">
        <v>150</v>
      </c>
      <c r="D5773" s="259" t="s">
        <v>18282</v>
      </c>
      <c r="E5773" s="210" t="s">
        <v>201</v>
      </c>
    </row>
    <row r="5774" spans="1:5" ht="27">
      <c r="A5774" s="258">
        <v>96116</v>
      </c>
      <c r="B5774" s="257" t="s">
        <v>4219</v>
      </c>
      <c r="C5774" s="257" t="s">
        <v>150</v>
      </c>
      <c r="D5774" s="259" t="s">
        <v>18283</v>
      </c>
      <c r="E5774" s="210" t="s">
        <v>201</v>
      </c>
    </row>
    <row r="5775" spans="1:5" ht="13.5">
      <c r="A5775" s="258">
        <v>96121</v>
      </c>
      <c r="B5775" s="257" t="s">
        <v>4220</v>
      </c>
      <c r="C5775" s="257" t="s">
        <v>5</v>
      </c>
      <c r="D5775" s="259" t="s">
        <v>15430</v>
      </c>
      <c r="E5775" s="210" t="s">
        <v>201</v>
      </c>
    </row>
    <row r="5776" spans="1:5" ht="27">
      <c r="A5776" s="258">
        <v>96485</v>
      </c>
      <c r="B5776" s="257" t="s">
        <v>4221</v>
      </c>
      <c r="C5776" s="257" t="s">
        <v>150</v>
      </c>
      <c r="D5776" s="259" t="s">
        <v>13964</v>
      </c>
      <c r="E5776" s="210" t="s">
        <v>201</v>
      </c>
    </row>
    <row r="5777" spans="1:5" ht="13.5">
      <c r="A5777" s="258">
        <v>96486</v>
      </c>
      <c r="B5777" s="257" t="s">
        <v>4222</v>
      </c>
      <c r="C5777" s="257" t="s">
        <v>150</v>
      </c>
      <c r="D5777" s="259" t="s">
        <v>18284</v>
      </c>
      <c r="E5777" s="210" t="s">
        <v>201</v>
      </c>
    </row>
    <row r="5778" spans="1:5" ht="27">
      <c r="A5778" s="258">
        <v>72198</v>
      </c>
      <c r="B5778" s="257" t="s">
        <v>4223</v>
      </c>
      <c r="C5778" s="257" t="s">
        <v>150</v>
      </c>
      <c r="D5778" s="259" t="s">
        <v>18285</v>
      </c>
      <c r="E5778" s="210" t="s">
        <v>201</v>
      </c>
    </row>
    <row r="5779" spans="1:5" ht="13.5">
      <c r="A5779" s="258" t="s">
        <v>4224</v>
      </c>
      <c r="B5779" s="257" t="s">
        <v>4225</v>
      </c>
      <c r="C5779" s="257" t="s">
        <v>150</v>
      </c>
      <c r="D5779" s="259" t="s">
        <v>17806</v>
      </c>
      <c r="E5779" s="210" t="s">
        <v>201</v>
      </c>
    </row>
    <row r="5780" spans="1:5" ht="27">
      <c r="A5780" s="258">
        <v>83730</v>
      </c>
      <c r="B5780" s="257" t="s">
        <v>4226</v>
      </c>
      <c r="C5780" s="257" t="s">
        <v>150</v>
      </c>
      <c r="D5780" s="259" t="s">
        <v>18286</v>
      </c>
      <c r="E5780" s="210" t="s">
        <v>201</v>
      </c>
    </row>
    <row r="5781" spans="1:5" ht="13.5">
      <c r="A5781" s="258">
        <v>83736</v>
      </c>
      <c r="B5781" s="257" t="s">
        <v>4227</v>
      </c>
      <c r="C5781" s="257" t="s">
        <v>150</v>
      </c>
      <c r="D5781" s="259" t="s">
        <v>18287</v>
      </c>
      <c r="E5781" s="210" t="s">
        <v>201</v>
      </c>
    </row>
    <row r="5782" spans="1:5" ht="27">
      <c r="A5782" s="258">
        <v>91514</v>
      </c>
      <c r="B5782" s="257" t="s">
        <v>4228</v>
      </c>
      <c r="C5782" s="257" t="s">
        <v>150</v>
      </c>
      <c r="D5782" s="259" t="s">
        <v>14635</v>
      </c>
      <c r="E5782" s="210" t="s">
        <v>201</v>
      </c>
    </row>
    <row r="5783" spans="1:5" ht="27">
      <c r="A5783" s="258">
        <v>91515</v>
      </c>
      <c r="B5783" s="257" t="s">
        <v>4229</v>
      </c>
      <c r="C5783" s="257" t="s">
        <v>150</v>
      </c>
      <c r="D5783" s="259" t="s">
        <v>13673</v>
      </c>
      <c r="E5783" s="210" t="s">
        <v>201</v>
      </c>
    </row>
    <row r="5784" spans="1:5" ht="27">
      <c r="A5784" s="258">
        <v>91516</v>
      </c>
      <c r="B5784" s="257" t="s">
        <v>4230</v>
      </c>
      <c r="C5784" s="257" t="s">
        <v>150</v>
      </c>
      <c r="D5784" s="259" t="s">
        <v>15808</v>
      </c>
      <c r="E5784" s="210" t="s">
        <v>201</v>
      </c>
    </row>
    <row r="5785" spans="1:5" ht="27">
      <c r="A5785" s="258">
        <v>91517</v>
      </c>
      <c r="B5785" s="257" t="s">
        <v>4231</v>
      </c>
      <c r="C5785" s="257" t="s">
        <v>150</v>
      </c>
      <c r="D5785" s="259" t="s">
        <v>18288</v>
      </c>
      <c r="E5785" s="210" t="s">
        <v>201</v>
      </c>
    </row>
    <row r="5786" spans="1:5" ht="27">
      <c r="A5786" s="258">
        <v>91519</v>
      </c>
      <c r="B5786" s="257" t="s">
        <v>4232</v>
      </c>
      <c r="C5786" s="257" t="s">
        <v>150</v>
      </c>
      <c r="D5786" s="259" t="s">
        <v>16524</v>
      </c>
      <c r="E5786" s="210" t="s">
        <v>201</v>
      </c>
    </row>
    <row r="5787" spans="1:5" ht="27">
      <c r="A5787" s="258">
        <v>91520</v>
      </c>
      <c r="B5787" s="257" t="s">
        <v>4233</v>
      </c>
      <c r="C5787" s="257" t="s">
        <v>150</v>
      </c>
      <c r="D5787" s="259" t="s">
        <v>15809</v>
      </c>
      <c r="E5787" s="210" t="s">
        <v>201</v>
      </c>
    </row>
    <row r="5788" spans="1:5" ht="27">
      <c r="A5788" s="258">
        <v>91522</v>
      </c>
      <c r="B5788" s="257" t="s">
        <v>4234</v>
      </c>
      <c r="C5788" s="257" t="s">
        <v>150</v>
      </c>
      <c r="D5788" s="259" t="s">
        <v>13612</v>
      </c>
      <c r="E5788" s="210" t="s">
        <v>201</v>
      </c>
    </row>
    <row r="5789" spans="1:5" ht="27">
      <c r="A5789" s="258">
        <v>91525</v>
      </c>
      <c r="B5789" s="257" t="s">
        <v>4235</v>
      </c>
      <c r="C5789" s="257" t="s">
        <v>150</v>
      </c>
      <c r="D5789" s="259" t="s">
        <v>17019</v>
      </c>
      <c r="E5789" s="210" t="s">
        <v>201</v>
      </c>
    </row>
    <row r="5790" spans="1:5" ht="40.5">
      <c r="A5790" s="258">
        <v>87280</v>
      </c>
      <c r="B5790" s="257" t="s">
        <v>7186</v>
      </c>
      <c r="C5790" s="257" t="s">
        <v>172</v>
      </c>
      <c r="D5790" s="259" t="s">
        <v>18289</v>
      </c>
      <c r="E5790" s="210" t="s">
        <v>201</v>
      </c>
    </row>
    <row r="5791" spans="1:5" ht="40.5">
      <c r="A5791" s="258">
        <v>87281</v>
      </c>
      <c r="B5791" s="257" t="s">
        <v>7187</v>
      </c>
      <c r="C5791" s="257" t="s">
        <v>172</v>
      </c>
      <c r="D5791" s="259" t="s">
        <v>18290</v>
      </c>
      <c r="E5791" s="210" t="s">
        <v>201</v>
      </c>
    </row>
    <row r="5792" spans="1:5" ht="40.5">
      <c r="A5792" s="258">
        <v>87283</v>
      </c>
      <c r="B5792" s="257" t="s">
        <v>7188</v>
      </c>
      <c r="C5792" s="257" t="s">
        <v>172</v>
      </c>
      <c r="D5792" s="259" t="s">
        <v>18291</v>
      </c>
      <c r="E5792" s="210" t="s">
        <v>201</v>
      </c>
    </row>
    <row r="5793" spans="1:5" ht="40.5">
      <c r="A5793" s="258">
        <v>87284</v>
      </c>
      <c r="B5793" s="257" t="s">
        <v>7189</v>
      </c>
      <c r="C5793" s="257" t="s">
        <v>172</v>
      </c>
      <c r="D5793" s="259" t="s">
        <v>18292</v>
      </c>
      <c r="E5793" s="210" t="s">
        <v>201</v>
      </c>
    </row>
    <row r="5794" spans="1:5" ht="27">
      <c r="A5794" s="258">
        <v>87286</v>
      </c>
      <c r="B5794" s="257" t="s">
        <v>7190</v>
      </c>
      <c r="C5794" s="257" t="s">
        <v>172</v>
      </c>
      <c r="D5794" s="259" t="s">
        <v>18293</v>
      </c>
      <c r="E5794" s="210" t="s">
        <v>201</v>
      </c>
    </row>
    <row r="5795" spans="1:5" ht="27">
      <c r="A5795" s="258">
        <v>87287</v>
      </c>
      <c r="B5795" s="257" t="s">
        <v>7191</v>
      </c>
      <c r="C5795" s="257" t="s">
        <v>172</v>
      </c>
      <c r="D5795" s="259" t="s">
        <v>18294</v>
      </c>
      <c r="E5795" s="210" t="s">
        <v>201</v>
      </c>
    </row>
    <row r="5796" spans="1:5" ht="27">
      <c r="A5796" s="258">
        <v>87289</v>
      </c>
      <c r="B5796" s="257" t="s">
        <v>7192</v>
      </c>
      <c r="C5796" s="257" t="s">
        <v>172</v>
      </c>
      <c r="D5796" s="259" t="s">
        <v>18295</v>
      </c>
      <c r="E5796" s="210" t="s">
        <v>201</v>
      </c>
    </row>
    <row r="5797" spans="1:5" ht="27">
      <c r="A5797" s="258">
        <v>87290</v>
      </c>
      <c r="B5797" s="257" t="s">
        <v>7193</v>
      </c>
      <c r="C5797" s="257" t="s">
        <v>172</v>
      </c>
      <c r="D5797" s="259" t="s">
        <v>18296</v>
      </c>
      <c r="E5797" s="210" t="s">
        <v>201</v>
      </c>
    </row>
    <row r="5798" spans="1:5" ht="27">
      <c r="A5798" s="257">
        <v>87292</v>
      </c>
      <c r="B5798" s="257" t="s">
        <v>7194</v>
      </c>
      <c r="C5798" s="257" t="s">
        <v>172</v>
      </c>
      <c r="D5798" s="259" t="s">
        <v>18297</v>
      </c>
      <c r="E5798" s="210" t="s">
        <v>201</v>
      </c>
    </row>
    <row r="5799" spans="1:5" ht="27">
      <c r="A5799" s="257">
        <v>87294</v>
      </c>
      <c r="B5799" s="257" t="s">
        <v>7195</v>
      </c>
      <c r="C5799" s="257" t="s">
        <v>172</v>
      </c>
      <c r="D5799" s="259" t="s">
        <v>18298</v>
      </c>
      <c r="E5799" s="210" t="s">
        <v>201</v>
      </c>
    </row>
    <row r="5800" spans="1:5" ht="27">
      <c r="A5800" s="257">
        <v>87295</v>
      </c>
      <c r="B5800" s="257" t="s">
        <v>7196</v>
      </c>
      <c r="C5800" s="257" t="s">
        <v>172</v>
      </c>
      <c r="D5800" s="259" t="s">
        <v>18299</v>
      </c>
      <c r="E5800" s="210" t="s">
        <v>201</v>
      </c>
    </row>
    <row r="5801" spans="1:5" ht="27">
      <c r="A5801" s="257">
        <v>87296</v>
      </c>
      <c r="B5801" s="257" t="s">
        <v>7197</v>
      </c>
      <c r="C5801" s="257" t="s">
        <v>172</v>
      </c>
      <c r="D5801" s="259" t="s">
        <v>18300</v>
      </c>
      <c r="E5801" s="210" t="s">
        <v>201</v>
      </c>
    </row>
    <row r="5802" spans="1:5" ht="27">
      <c r="A5802" s="257">
        <v>87298</v>
      </c>
      <c r="B5802" s="257" t="s">
        <v>7198</v>
      </c>
      <c r="C5802" s="257" t="s">
        <v>172</v>
      </c>
      <c r="D5802" s="259" t="s">
        <v>18301</v>
      </c>
      <c r="E5802" s="210" t="s">
        <v>201</v>
      </c>
    </row>
    <row r="5803" spans="1:5" ht="27">
      <c r="A5803" s="257">
        <v>87299</v>
      </c>
      <c r="B5803" s="257" t="s">
        <v>7199</v>
      </c>
      <c r="C5803" s="257" t="s">
        <v>172</v>
      </c>
      <c r="D5803" s="259" t="s">
        <v>18302</v>
      </c>
      <c r="E5803" s="210" t="s">
        <v>201</v>
      </c>
    </row>
    <row r="5804" spans="1:5" ht="27">
      <c r="A5804" s="257">
        <v>87301</v>
      </c>
      <c r="B5804" s="257" t="s">
        <v>7200</v>
      </c>
      <c r="C5804" s="257" t="s">
        <v>172</v>
      </c>
      <c r="D5804" s="259" t="s">
        <v>18303</v>
      </c>
      <c r="E5804" s="210" t="s">
        <v>201</v>
      </c>
    </row>
    <row r="5805" spans="1:5" ht="27">
      <c r="A5805" s="257">
        <v>87302</v>
      </c>
      <c r="B5805" s="257" t="s">
        <v>7201</v>
      </c>
      <c r="C5805" s="257" t="s">
        <v>172</v>
      </c>
      <c r="D5805" s="259" t="s">
        <v>18304</v>
      </c>
      <c r="E5805" s="210" t="s">
        <v>201</v>
      </c>
    </row>
    <row r="5806" spans="1:5" ht="27">
      <c r="A5806" s="257">
        <v>87304</v>
      </c>
      <c r="B5806" s="257" t="s">
        <v>7202</v>
      </c>
      <c r="C5806" s="257" t="s">
        <v>172</v>
      </c>
      <c r="D5806" s="259" t="s">
        <v>18305</v>
      </c>
      <c r="E5806" s="210" t="s">
        <v>201</v>
      </c>
    </row>
    <row r="5807" spans="1:5" ht="27">
      <c r="A5807" s="257">
        <v>87305</v>
      </c>
      <c r="B5807" s="257" t="s">
        <v>7203</v>
      </c>
      <c r="C5807" s="257" t="s">
        <v>172</v>
      </c>
      <c r="D5807" s="259" t="s">
        <v>18306</v>
      </c>
      <c r="E5807" s="210" t="s">
        <v>201</v>
      </c>
    </row>
    <row r="5808" spans="1:5" ht="27">
      <c r="A5808" s="257">
        <v>87307</v>
      </c>
      <c r="B5808" s="257" t="s">
        <v>7204</v>
      </c>
      <c r="C5808" s="257" t="s">
        <v>172</v>
      </c>
      <c r="D5808" s="259" t="s">
        <v>18307</v>
      </c>
      <c r="E5808" s="210" t="s">
        <v>201</v>
      </c>
    </row>
    <row r="5809" spans="1:5" ht="27">
      <c r="A5809" s="257">
        <v>87308</v>
      </c>
      <c r="B5809" s="257" t="s">
        <v>7205</v>
      </c>
      <c r="C5809" s="257" t="s">
        <v>172</v>
      </c>
      <c r="D5809" s="259" t="s">
        <v>18308</v>
      </c>
      <c r="E5809" s="210" t="s">
        <v>201</v>
      </c>
    </row>
    <row r="5810" spans="1:5" ht="27">
      <c r="A5810" s="257">
        <v>87310</v>
      </c>
      <c r="B5810" s="257" t="s">
        <v>7206</v>
      </c>
      <c r="C5810" s="257" t="s">
        <v>172</v>
      </c>
      <c r="D5810" s="259" t="s">
        <v>18309</v>
      </c>
      <c r="E5810" s="210" t="s">
        <v>201</v>
      </c>
    </row>
    <row r="5811" spans="1:5" ht="27">
      <c r="A5811" s="257">
        <v>87311</v>
      </c>
      <c r="B5811" s="257" t="s">
        <v>7207</v>
      </c>
      <c r="C5811" s="257" t="s">
        <v>172</v>
      </c>
      <c r="D5811" s="259" t="s">
        <v>18310</v>
      </c>
      <c r="E5811" s="210" t="s">
        <v>201</v>
      </c>
    </row>
    <row r="5812" spans="1:5" ht="27">
      <c r="A5812" s="257">
        <v>87313</v>
      </c>
      <c r="B5812" s="257" t="s">
        <v>7208</v>
      </c>
      <c r="C5812" s="257" t="s">
        <v>172</v>
      </c>
      <c r="D5812" s="259" t="s">
        <v>18311</v>
      </c>
      <c r="E5812" s="210" t="s">
        <v>201</v>
      </c>
    </row>
    <row r="5813" spans="1:5" ht="27">
      <c r="A5813" s="257">
        <v>87314</v>
      </c>
      <c r="B5813" s="257" t="s">
        <v>7209</v>
      </c>
      <c r="C5813" s="257" t="s">
        <v>172</v>
      </c>
      <c r="D5813" s="259" t="s">
        <v>18312</v>
      </c>
      <c r="E5813" s="210" t="s">
        <v>201</v>
      </c>
    </row>
    <row r="5814" spans="1:5" ht="27">
      <c r="A5814" s="257">
        <v>87316</v>
      </c>
      <c r="B5814" s="257" t="s">
        <v>7210</v>
      </c>
      <c r="C5814" s="257" t="s">
        <v>172</v>
      </c>
      <c r="D5814" s="259" t="s">
        <v>18313</v>
      </c>
      <c r="E5814" s="210" t="s">
        <v>201</v>
      </c>
    </row>
    <row r="5815" spans="1:5" ht="27">
      <c r="A5815" s="257">
        <v>87317</v>
      </c>
      <c r="B5815" s="257" t="s">
        <v>7211</v>
      </c>
      <c r="C5815" s="257" t="s">
        <v>172</v>
      </c>
      <c r="D5815" s="259" t="s">
        <v>18314</v>
      </c>
      <c r="E5815" s="210" t="s">
        <v>201</v>
      </c>
    </row>
    <row r="5816" spans="1:5" ht="27">
      <c r="A5816" s="257">
        <v>87319</v>
      </c>
      <c r="B5816" s="257" t="s">
        <v>7212</v>
      </c>
      <c r="C5816" s="257" t="s">
        <v>172</v>
      </c>
      <c r="D5816" s="259" t="s">
        <v>18315</v>
      </c>
      <c r="E5816" s="210" t="s">
        <v>201</v>
      </c>
    </row>
    <row r="5817" spans="1:5" ht="27">
      <c r="A5817" s="257">
        <v>87320</v>
      </c>
      <c r="B5817" s="257" t="s">
        <v>7213</v>
      </c>
      <c r="C5817" s="257" t="s">
        <v>172</v>
      </c>
      <c r="D5817" s="259" t="s">
        <v>18316</v>
      </c>
      <c r="E5817" s="210" t="s">
        <v>201</v>
      </c>
    </row>
    <row r="5818" spans="1:5" ht="27">
      <c r="A5818" s="257">
        <v>87322</v>
      </c>
      <c r="B5818" s="257" t="s">
        <v>7214</v>
      </c>
      <c r="C5818" s="257" t="s">
        <v>172</v>
      </c>
      <c r="D5818" s="259" t="s">
        <v>18317</v>
      </c>
      <c r="E5818" s="210" t="s">
        <v>201</v>
      </c>
    </row>
    <row r="5819" spans="1:5" ht="27">
      <c r="A5819" s="257">
        <v>87323</v>
      </c>
      <c r="B5819" s="257" t="s">
        <v>7215</v>
      </c>
      <c r="C5819" s="257" t="s">
        <v>172</v>
      </c>
      <c r="D5819" s="259" t="s">
        <v>18318</v>
      </c>
      <c r="E5819" s="210" t="s">
        <v>201</v>
      </c>
    </row>
    <row r="5820" spans="1:5" ht="27">
      <c r="A5820" s="257">
        <v>87325</v>
      </c>
      <c r="B5820" s="257" t="s">
        <v>7216</v>
      </c>
      <c r="C5820" s="257" t="s">
        <v>172</v>
      </c>
      <c r="D5820" s="259" t="s">
        <v>18319</v>
      </c>
      <c r="E5820" s="210" t="s">
        <v>201</v>
      </c>
    </row>
    <row r="5821" spans="1:5" ht="27">
      <c r="A5821" s="257">
        <v>87326</v>
      </c>
      <c r="B5821" s="257" t="s">
        <v>7217</v>
      </c>
      <c r="C5821" s="257" t="s">
        <v>172</v>
      </c>
      <c r="D5821" s="259" t="s">
        <v>18320</v>
      </c>
      <c r="E5821" s="210" t="s">
        <v>201</v>
      </c>
    </row>
    <row r="5822" spans="1:5" ht="40.5">
      <c r="A5822" s="257">
        <v>87327</v>
      </c>
      <c r="B5822" s="257" t="s">
        <v>7218</v>
      </c>
      <c r="C5822" s="257" t="s">
        <v>172</v>
      </c>
      <c r="D5822" s="259" t="s">
        <v>18321</v>
      </c>
      <c r="E5822" s="210" t="s">
        <v>201</v>
      </c>
    </row>
    <row r="5823" spans="1:5" ht="40.5">
      <c r="A5823" s="257">
        <v>87328</v>
      </c>
      <c r="B5823" s="257" t="s">
        <v>7219</v>
      </c>
      <c r="C5823" s="257" t="s">
        <v>172</v>
      </c>
      <c r="D5823" s="259" t="s">
        <v>18322</v>
      </c>
      <c r="E5823" s="210" t="s">
        <v>201</v>
      </c>
    </row>
    <row r="5824" spans="1:5" ht="40.5">
      <c r="A5824" s="257">
        <v>87329</v>
      </c>
      <c r="B5824" s="257" t="s">
        <v>7220</v>
      </c>
      <c r="C5824" s="257" t="s">
        <v>172</v>
      </c>
      <c r="D5824" s="259" t="s">
        <v>18323</v>
      </c>
      <c r="E5824" s="210" t="s">
        <v>201</v>
      </c>
    </row>
    <row r="5825" spans="1:5" ht="40.5">
      <c r="A5825" s="257">
        <v>87330</v>
      </c>
      <c r="B5825" s="257" t="s">
        <v>7221</v>
      </c>
      <c r="C5825" s="257" t="s">
        <v>172</v>
      </c>
      <c r="D5825" s="259" t="s">
        <v>18324</v>
      </c>
      <c r="E5825" s="210" t="s">
        <v>201</v>
      </c>
    </row>
    <row r="5826" spans="1:5" ht="40.5">
      <c r="A5826" s="257">
        <v>87331</v>
      </c>
      <c r="B5826" s="257" t="s">
        <v>7222</v>
      </c>
      <c r="C5826" s="257" t="s">
        <v>172</v>
      </c>
      <c r="D5826" s="259" t="s">
        <v>18325</v>
      </c>
      <c r="E5826" s="210" t="s">
        <v>201</v>
      </c>
    </row>
    <row r="5827" spans="1:5" ht="40.5">
      <c r="A5827" s="257">
        <v>87332</v>
      </c>
      <c r="B5827" s="257" t="s">
        <v>7223</v>
      </c>
      <c r="C5827" s="257" t="s">
        <v>172</v>
      </c>
      <c r="D5827" s="259" t="s">
        <v>18326</v>
      </c>
      <c r="E5827" s="210" t="s">
        <v>201</v>
      </c>
    </row>
    <row r="5828" spans="1:5" ht="40.5">
      <c r="A5828" s="257">
        <v>87333</v>
      </c>
      <c r="B5828" s="257" t="s">
        <v>7224</v>
      </c>
      <c r="C5828" s="257" t="s">
        <v>172</v>
      </c>
      <c r="D5828" s="259" t="s">
        <v>18327</v>
      </c>
      <c r="E5828" s="210" t="s">
        <v>201</v>
      </c>
    </row>
    <row r="5829" spans="1:5" ht="40.5">
      <c r="A5829" s="257">
        <v>87334</v>
      </c>
      <c r="B5829" s="257" t="s">
        <v>7225</v>
      </c>
      <c r="C5829" s="257" t="s">
        <v>172</v>
      </c>
      <c r="D5829" s="259" t="s">
        <v>18328</v>
      </c>
      <c r="E5829" s="210" t="s">
        <v>201</v>
      </c>
    </row>
    <row r="5830" spans="1:5" ht="40.5">
      <c r="A5830" s="257">
        <v>87335</v>
      </c>
      <c r="B5830" s="257" t="s">
        <v>7226</v>
      </c>
      <c r="C5830" s="257" t="s">
        <v>172</v>
      </c>
      <c r="D5830" s="259" t="s">
        <v>18329</v>
      </c>
      <c r="E5830" s="210" t="s">
        <v>201</v>
      </c>
    </row>
    <row r="5831" spans="1:5" ht="40.5">
      <c r="A5831" s="257">
        <v>87336</v>
      </c>
      <c r="B5831" s="257" t="s">
        <v>7227</v>
      </c>
      <c r="C5831" s="257" t="s">
        <v>172</v>
      </c>
      <c r="D5831" s="259" t="s">
        <v>18330</v>
      </c>
      <c r="E5831" s="210" t="s">
        <v>201</v>
      </c>
    </row>
    <row r="5832" spans="1:5" ht="40.5">
      <c r="A5832" s="257">
        <v>87337</v>
      </c>
      <c r="B5832" s="257" t="s">
        <v>7228</v>
      </c>
      <c r="C5832" s="257" t="s">
        <v>172</v>
      </c>
      <c r="D5832" s="259" t="s">
        <v>18331</v>
      </c>
      <c r="E5832" s="210" t="s">
        <v>201</v>
      </c>
    </row>
    <row r="5833" spans="1:5" ht="40.5">
      <c r="A5833" s="257">
        <v>87338</v>
      </c>
      <c r="B5833" s="257" t="s">
        <v>7229</v>
      </c>
      <c r="C5833" s="257" t="s">
        <v>172</v>
      </c>
      <c r="D5833" s="259" t="s">
        <v>18332</v>
      </c>
      <c r="E5833" s="210" t="s">
        <v>201</v>
      </c>
    </row>
    <row r="5834" spans="1:5" ht="27">
      <c r="A5834" s="257">
        <v>87339</v>
      </c>
      <c r="B5834" s="257" t="s">
        <v>7230</v>
      </c>
      <c r="C5834" s="257" t="s">
        <v>172</v>
      </c>
      <c r="D5834" s="259" t="s">
        <v>18333</v>
      </c>
      <c r="E5834" s="210" t="s">
        <v>201</v>
      </c>
    </row>
    <row r="5835" spans="1:5" ht="27">
      <c r="A5835" s="257">
        <v>87340</v>
      </c>
      <c r="B5835" s="257" t="s">
        <v>7231</v>
      </c>
      <c r="C5835" s="257" t="s">
        <v>172</v>
      </c>
      <c r="D5835" s="259" t="s">
        <v>18334</v>
      </c>
      <c r="E5835" s="210" t="s">
        <v>201</v>
      </c>
    </row>
    <row r="5836" spans="1:5" ht="27">
      <c r="A5836" s="257">
        <v>87341</v>
      </c>
      <c r="B5836" s="257" t="s">
        <v>7232</v>
      </c>
      <c r="C5836" s="257" t="s">
        <v>172</v>
      </c>
      <c r="D5836" s="259" t="s">
        <v>18335</v>
      </c>
      <c r="E5836" s="210" t="s">
        <v>201</v>
      </c>
    </row>
    <row r="5837" spans="1:5" ht="27">
      <c r="A5837" s="257">
        <v>87342</v>
      </c>
      <c r="B5837" s="257" t="s">
        <v>7233</v>
      </c>
      <c r="C5837" s="257" t="s">
        <v>172</v>
      </c>
      <c r="D5837" s="259" t="s">
        <v>18336</v>
      </c>
      <c r="E5837" s="210" t="s">
        <v>201</v>
      </c>
    </row>
    <row r="5838" spans="1:5" ht="27">
      <c r="A5838" s="257">
        <v>87343</v>
      </c>
      <c r="B5838" s="257" t="s">
        <v>7234</v>
      </c>
      <c r="C5838" s="257" t="s">
        <v>172</v>
      </c>
      <c r="D5838" s="259" t="s">
        <v>18337</v>
      </c>
      <c r="E5838" s="210" t="s">
        <v>201</v>
      </c>
    </row>
    <row r="5839" spans="1:5" ht="27">
      <c r="A5839" s="257">
        <v>87344</v>
      </c>
      <c r="B5839" s="257" t="s">
        <v>7235</v>
      </c>
      <c r="C5839" s="257" t="s">
        <v>172</v>
      </c>
      <c r="D5839" s="259" t="s">
        <v>18338</v>
      </c>
      <c r="E5839" s="210" t="s">
        <v>201</v>
      </c>
    </row>
    <row r="5840" spans="1:5" ht="27">
      <c r="A5840" s="257">
        <v>87345</v>
      </c>
      <c r="B5840" s="257" t="s">
        <v>7236</v>
      </c>
      <c r="C5840" s="257" t="s">
        <v>172</v>
      </c>
      <c r="D5840" s="259" t="s">
        <v>18339</v>
      </c>
      <c r="E5840" s="210" t="s">
        <v>201</v>
      </c>
    </row>
    <row r="5841" spans="1:5" ht="27">
      <c r="A5841" s="257">
        <v>87346</v>
      </c>
      <c r="B5841" s="257" t="s">
        <v>7237</v>
      </c>
      <c r="C5841" s="257" t="s">
        <v>172</v>
      </c>
      <c r="D5841" s="259" t="s">
        <v>18340</v>
      </c>
      <c r="E5841" s="210" t="s">
        <v>201</v>
      </c>
    </row>
    <row r="5842" spans="1:5" ht="27">
      <c r="A5842" s="257">
        <v>87347</v>
      </c>
      <c r="B5842" s="257" t="s">
        <v>7238</v>
      </c>
      <c r="C5842" s="257" t="s">
        <v>172</v>
      </c>
      <c r="D5842" s="259" t="s">
        <v>18341</v>
      </c>
      <c r="E5842" s="210" t="s">
        <v>201</v>
      </c>
    </row>
    <row r="5843" spans="1:5" ht="27">
      <c r="A5843" s="257">
        <v>87348</v>
      </c>
      <c r="B5843" s="257" t="s">
        <v>7239</v>
      </c>
      <c r="C5843" s="257" t="s">
        <v>172</v>
      </c>
      <c r="D5843" s="259" t="s">
        <v>18342</v>
      </c>
      <c r="E5843" s="210" t="s">
        <v>201</v>
      </c>
    </row>
    <row r="5844" spans="1:5" ht="27">
      <c r="A5844" s="257">
        <v>87349</v>
      </c>
      <c r="B5844" s="257" t="s">
        <v>7240</v>
      </c>
      <c r="C5844" s="257" t="s">
        <v>172</v>
      </c>
      <c r="D5844" s="259" t="s">
        <v>18343</v>
      </c>
      <c r="E5844" s="210" t="s">
        <v>201</v>
      </c>
    </row>
    <row r="5845" spans="1:5" ht="27">
      <c r="A5845" s="257">
        <v>87350</v>
      </c>
      <c r="B5845" s="257" t="s">
        <v>7241</v>
      </c>
      <c r="C5845" s="257" t="s">
        <v>172</v>
      </c>
      <c r="D5845" s="259" t="s">
        <v>18344</v>
      </c>
      <c r="E5845" s="210" t="s">
        <v>201</v>
      </c>
    </row>
    <row r="5846" spans="1:5" ht="27">
      <c r="A5846" s="257">
        <v>87351</v>
      </c>
      <c r="B5846" s="257" t="s">
        <v>7242</v>
      </c>
      <c r="C5846" s="257" t="s">
        <v>172</v>
      </c>
      <c r="D5846" s="259" t="s">
        <v>18345</v>
      </c>
      <c r="E5846" s="210" t="s">
        <v>201</v>
      </c>
    </row>
    <row r="5847" spans="1:5" ht="27">
      <c r="A5847" s="257">
        <v>87352</v>
      </c>
      <c r="B5847" s="257" t="s">
        <v>7243</v>
      </c>
      <c r="C5847" s="257" t="s">
        <v>172</v>
      </c>
      <c r="D5847" s="259" t="s">
        <v>18346</v>
      </c>
      <c r="E5847" s="210" t="s">
        <v>201</v>
      </c>
    </row>
    <row r="5848" spans="1:5" ht="27">
      <c r="A5848" s="257">
        <v>87353</v>
      </c>
      <c r="B5848" s="257" t="s">
        <v>7244</v>
      </c>
      <c r="C5848" s="257" t="s">
        <v>172</v>
      </c>
      <c r="D5848" s="259" t="s">
        <v>18347</v>
      </c>
      <c r="E5848" s="210" t="s">
        <v>201</v>
      </c>
    </row>
    <row r="5849" spans="1:5" ht="27">
      <c r="A5849" s="257">
        <v>87354</v>
      </c>
      <c r="B5849" s="257" t="s">
        <v>7245</v>
      </c>
      <c r="C5849" s="257" t="s">
        <v>172</v>
      </c>
      <c r="D5849" s="259" t="s">
        <v>18348</v>
      </c>
      <c r="E5849" s="210" t="s">
        <v>201</v>
      </c>
    </row>
    <row r="5850" spans="1:5" ht="27">
      <c r="A5850" s="257">
        <v>87355</v>
      </c>
      <c r="B5850" s="257" t="s">
        <v>7246</v>
      </c>
      <c r="C5850" s="257" t="s">
        <v>172</v>
      </c>
      <c r="D5850" s="259" t="s">
        <v>18349</v>
      </c>
      <c r="E5850" s="210" t="s">
        <v>201</v>
      </c>
    </row>
    <row r="5851" spans="1:5" ht="27">
      <c r="A5851" s="257">
        <v>87356</v>
      </c>
      <c r="B5851" s="257" t="s">
        <v>7247</v>
      </c>
      <c r="C5851" s="257" t="s">
        <v>172</v>
      </c>
      <c r="D5851" s="259" t="s">
        <v>18350</v>
      </c>
      <c r="E5851" s="210" t="s">
        <v>201</v>
      </c>
    </row>
    <row r="5852" spans="1:5" ht="27">
      <c r="A5852" s="257">
        <v>87357</v>
      </c>
      <c r="B5852" s="257" t="s">
        <v>7248</v>
      </c>
      <c r="C5852" s="257" t="s">
        <v>172</v>
      </c>
      <c r="D5852" s="259" t="s">
        <v>18351</v>
      </c>
      <c r="E5852" s="210" t="s">
        <v>201</v>
      </c>
    </row>
    <row r="5853" spans="1:5" ht="40.5">
      <c r="A5853" s="257">
        <v>87358</v>
      </c>
      <c r="B5853" s="257" t="s">
        <v>7249</v>
      </c>
      <c r="C5853" s="257" t="s">
        <v>172</v>
      </c>
      <c r="D5853" s="259" t="s">
        <v>18352</v>
      </c>
      <c r="E5853" s="210" t="s">
        <v>201</v>
      </c>
    </row>
    <row r="5854" spans="1:5" ht="40.5">
      <c r="A5854" s="257">
        <v>87359</v>
      </c>
      <c r="B5854" s="257" t="s">
        <v>7250</v>
      </c>
      <c r="C5854" s="257" t="s">
        <v>172</v>
      </c>
      <c r="D5854" s="259" t="s">
        <v>18353</v>
      </c>
      <c r="E5854" s="210" t="s">
        <v>201</v>
      </c>
    </row>
    <row r="5855" spans="1:5" ht="40.5">
      <c r="A5855" s="257">
        <v>87360</v>
      </c>
      <c r="B5855" s="257" t="s">
        <v>7251</v>
      </c>
      <c r="C5855" s="257" t="s">
        <v>172</v>
      </c>
      <c r="D5855" s="259" t="s">
        <v>18354</v>
      </c>
      <c r="E5855" s="210" t="s">
        <v>201</v>
      </c>
    </row>
    <row r="5856" spans="1:5" ht="40.5">
      <c r="A5856" s="257">
        <v>87361</v>
      </c>
      <c r="B5856" s="257" t="s">
        <v>7252</v>
      </c>
      <c r="C5856" s="257" t="s">
        <v>172</v>
      </c>
      <c r="D5856" s="259" t="s">
        <v>18355</v>
      </c>
      <c r="E5856" s="210" t="s">
        <v>201</v>
      </c>
    </row>
    <row r="5857" spans="1:5" ht="40.5">
      <c r="A5857" s="257">
        <v>87362</v>
      </c>
      <c r="B5857" s="257" t="s">
        <v>7253</v>
      </c>
      <c r="C5857" s="257" t="s">
        <v>172</v>
      </c>
      <c r="D5857" s="259" t="s">
        <v>18356</v>
      </c>
      <c r="E5857" s="210" t="s">
        <v>201</v>
      </c>
    </row>
    <row r="5858" spans="1:5" ht="40.5">
      <c r="A5858" s="257">
        <v>87363</v>
      </c>
      <c r="B5858" s="257" t="s">
        <v>7254</v>
      </c>
      <c r="C5858" s="257" t="s">
        <v>172</v>
      </c>
      <c r="D5858" s="259" t="s">
        <v>18357</v>
      </c>
      <c r="E5858" s="210" t="s">
        <v>201</v>
      </c>
    </row>
    <row r="5859" spans="1:5" ht="40.5">
      <c r="A5859" s="257">
        <v>87364</v>
      </c>
      <c r="B5859" s="257" t="s">
        <v>7255</v>
      </c>
      <c r="C5859" s="257" t="s">
        <v>172</v>
      </c>
      <c r="D5859" s="259" t="s">
        <v>18358</v>
      </c>
      <c r="E5859" s="210" t="s">
        <v>201</v>
      </c>
    </row>
    <row r="5860" spans="1:5" ht="27">
      <c r="A5860" s="257">
        <v>87365</v>
      </c>
      <c r="B5860" s="257" t="s">
        <v>7256</v>
      </c>
      <c r="C5860" s="257" t="s">
        <v>172</v>
      </c>
      <c r="D5860" s="259" t="s">
        <v>18359</v>
      </c>
      <c r="E5860" s="210" t="s">
        <v>201</v>
      </c>
    </row>
    <row r="5861" spans="1:5" ht="27">
      <c r="A5861" s="257">
        <v>87366</v>
      </c>
      <c r="B5861" s="257" t="s">
        <v>7257</v>
      </c>
      <c r="C5861" s="257" t="s">
        <v>172</v>
      </c>
      <c r="D5861" s="259" t="s">
        <v>15166</v>
      </c>
      <c r="E5861" s="210" t="s">
        <v>201</v>
      </c>
    </row>
    <row r="5862" spans="1:5" ht="27">
      <c r="A5862" s="257">
        <v>87367</v>
      </c>
      <c r="B5862" s="257" t="s">
        <v>7258</v>
      </c>
      <c r="C5862" s="257" t="s">
        <v>172</v>
      </c>
      <c r="D5862" s="259" t="s">
        <v>18360</v>
      </c>
      <c r="E5862" s="210" t="s">
        <v>201</v>
      </c>
    </row>
    <row r="5863" spans="1:5" ht="27">
      <c r="A5863" s="257">
        <v>87368</v>
      </c>
      <c r="B5863" s="257" t="s">
        <v>7259</v>
      </c>
      <c r="C5863" s="257" t="s">
        <v>172</v>
      </c>
      <c r="D5863" s="259" t="s">
        <v>18361</v>
      </c>
      <c r="E5863" s="210" t="s">
        <v>201</v>
      </c>
    </row>
    <row r="5864" spans="1:5" ht="27">
      <c r="A5864" s="257">
        <v>87369</v>
      </c>
      <c r="B5864" s="257" t="s">
        <v>7260</v>
      </c>
      <c r="C5864" s="257" t="s">
        <v>172</v>
      </c>
      <c r="D5864" s="259" t="s">
        <v>18362</v>
      </c>
      <c r="E5864" s="210" t="s">
        <v>201</v>
      </c>
    </row>
    <row r="5865" spans="1:5" ht="27">
      <c r="A5865" s="257">
        <v>87370</v>
      </c>
      <c r="B5865" s="257" t="s">
        <v>7261</v>
      </c>
      <c r="C5865" s="257" t="s">
        <v>172</v>
      </c>
      <c r="D5865" s="259" t="s">
        <v>18363</v>
      </c>
      <c r="E5865" s="210" t="s">
        <v>201</v>
      </c>
    </row>
    <row r="5866" spans="1:5" ht="27">
      <c r="A5866" s="258">
        <v>87371</v>
      </c>
      <c r="B5866" s="257" t="s">
        <v>7262</v>
      </c>
      <c r="C5866" s="257" t="s">
        <v>172</v>
      </c>
      <c r="D5866" s="259" t="s">
        <v>18364</v>
      </c>
      <c r="E5866" s="210" t="s">
        <v>201</v>
      </c>
    </row>
    <row r="5867" spans="1:5" ht="27">
      <c r="A5867" s="258">
        <v>87372</v>
      </c>
      <c r="B5867" s="257" t="s">
        <v>7263</v>
      </c>
      <c r="C5867" s="257" t="s">
        <v>172</v>
      </c>
      <c r="D5867" s="259" t="s">
        <v>18365</v>
      </c>
      <c r="E5867" s="210" t="s">
        <v>201</v>
      </c>
    </row>
    <row r="5868" spans="1:5" ht="27">
      <c r="A5868" s="258">
        <v>87373</v>
      </c>
      <c r="B5868" s="257" t="s">
        <v>7264</v>
      </c>
      <c r="C5868" s="257" t="s">
        <v>172</v>
      </c>
      <c r="D5868" s="259" t="s">
        <v>18366</v>
      </c>
      <c r="E5868" s="210" t="s">
        <v>201</v>
      </c>
    </row>
    <row r="5869" spans="1:5" ht="27">
      <c r="A5869" s="258">
        <v>87374</v>
      </c>
      <c r="B5869" s="257" t="s">
        <v>7265</v>
      </c>
      <c r="C5869" s="257" t="s">
        <v>172</v>
      </c>
      <c r="D5869" s="259" t="s">
        <v>18367</v>
      </c>
      <c r="E5869" s="210" t="s">
        <v>201</v>
      </c>
    </row>
    <row r="5870" spans="1:5" ht="27">
      <c r="A5870" s="258">
        <v>87375</v>
      </c>
      <c r="B5870" s="257" t="s">
        <v>7266</v>
      </c>
      <c r="C5870" s="257" t="s">
        <v>172</v>
      </c>
      <c r="D5870" s="259" t="s">
        <v>18368</v>
      </c>
      <c r="E5870" s="210" t="s">
        <v>201</v>
      </c>
    </row>
    <row r="5871" spans="1:5" ht="27">
      <c r="A5871" s="258">
        <v>87376</v>
      </c>
      <c r="B5871" s="257" t="s">
        <v>7267</v>
      </c>
      <c r="C5871" s="257" t="s">
        <v>172</v>
      </c>
      <c r="D5871" s="259" t="s">
        <v>18369</v>
      </c>
      <c r="E5871" s="210" t="s">
        <v>201</v>
      </c>
    </row>
    <row r="5872" spans="1:5" ht="27">
      <c r="A5872" s="258">
        <v>87377</v>
      </c>
      <c r="B5872" s="257" t="s">
        <v>7268</v>
      </c>
      <c r="C5872" s="257" t="s">
        <v>172</v>
      </c>
      <c r="D5872" s="259" t="s">
        <v>18370</v>
      </c>
      <c r="E5872" s="210" t="s">
        <v>201</v>
      </c>
    </row>
    <row r="5873" spans="1:5" ht="27">
      <c r="A5873" s="257">
        <v>87378</v>
      </c>
      <c r="B5873" s="257" t="s">
        <v>7269</v>
      </c>
      <c r="C5873" s="257" t="s">
        <v>172</v>
      </c>
      <c r="D5873" s="259" t="s">
        <v>18371</v>
      </c>
      <c r="E5873" s="210" t="s">
        <v>201</v>
      </c>
    </row>
    <row r="5874" spans="1:5" ht="27">
      <c r="A5874" s="257">
        <v>87379</v>
      </c>
      <c r="B5874" s="257" t="s">
        <v>7270</v>
      </c>
      <c r="C5874" s="257" t="s">
        <v>172</v>
      </c>
      <c r="D5874" s="259" t="s">
        <v>18372</v>
      </c>
      <c r="E5874" s="210" t="s">
        <v>201</v>
      </c>
    </row>
    <row r="5875" spans="1:5" ht="27">
      <c r="A5875" s="257">
        <v>87380</v>
      </c>
      <c r="B5875" s="257" t="s">
        <v>7271</v>
      </c>
      <c r="C5875" s="257" t="s">
        <v>172</v>
      </c>
      <c r="D5875" s="259" t="s">
        <v>18373</v>
      </c>
      <c r="E5875" s="210" t="s">
        <v>201</v>
      </c>
    </row>
    <row r="5876" spans="1:5" ht="27">
      <c r="A5876" s="258">
        <v>87381</v>
      </c>
      <c r="B5876" s="257" t="s">
        <v>7272</v>
      </c>
      <c r="C5876" s="257" t="s">
        <v>172</v>
      </c>
      <c r="D5876" s="259" t="s">
        <v>18374</v>
      </c>
      <c r="E5876" s="210" t="s">
        <v>201</v>
      </c>
    </row>
    <row r="5877" spans="1:5" ht="27">
      <c r="A5877" s="257">
        <v>87382</v>
      </c>
      <c r="B5877" s="257" t="s">
        <v>7273</v>
      </c>
      <c r="C5877" s="257" t="s">
        <v>172</v>
      </c>
      <c r="D5877" s="259" t="s">
        <v>18375</v>
      </c>
      <c r="E5877" s="210" t="s">
        <v>201</v>
      </c>
    </row>
    <row r="5878" spans="1:5" ht="27">
      <c r="A5878" s="258">
        <v>87383</v>
      </c>
      <c r="B5878" s="257" t="s">
        <v>7274</v>
      </c>
      <c r="C5878" s="257" t="s">
        <v>172</v>
      </c>
      <c r="D5878" s="259" t="s">
        <v>18376</v>
      </c>
      <c r="E5878" s="210" t="s">
        <v>201</v>
      </c>
    </row>
    <row r="5879" spans="1:5" ht="27">
      <c r="A5879" s="258">
        <v>87384</v>
      </c>
      <c r="B5879" s="257" t="s">
        <v>7275</v>
      </c>
      <c r="C5879" s="257" t="s">
        <v>172</v>
      </c>
      <c r="D5879" s="259" t="s">
        <v>18377</v>
      </c>
      <c r="E5879" s="210" t="s">
        <v>201</v>
      </c>
    </row>
    <row r="5880" spans="1:5" ht="27">
      <c r="A5880" s="258">
        <v>87385</v>
      </c>
      <c r="B5880" s="257" t="s">
        <v>7276</v>
      </c>
      <c r="C5880" s="257" t="s">
        <v>172</v>
      </c>
      <c r="D5880" s="259" t="s">
        <v>18378</v>
      </c>
      <c r="E5880" s="210" t="s">
        <v>201</v>
      </c>
    </row>
    <row r="5881" spans="1:5" ht="27">
      <c r="A5881" s="258">
        <v>87386</v>
      </c>
      <c r="B5881" s="257" t="s">
        <v>7277</v>
      </c>
      <c r="C5881" s="257" t="s">
        <v>172</v>
      </c>
      <c r="D5881" s="259" t="s">
        <v>18379</v>
      </c>
      <c r="E5881" s="210" t="s">
        <v>201</v>
      </c>
    </row>
    <row r="5882" spans="1:5" ht="27">
      <c r="A5882" s="258">
        <v>87387</v>
      </c>
      <c r="B5882" s="257" t="s">
        <v>7278</v>
      </c>
      <c r="C5882" s="257" t="s">
        <v>172</v>
      </c>
      <c r="D5882" s="259" t="s">
        <v>18380</v>
      </c>
      <c r="E5882" s="210" t="s">
        <v>201</v>
      </c>
    </row>
    <row r="5883" spans="1:5" ht="27">
      <c r="A5883" s="258">
        <v>87388</v>
      </c>
      <c r="B5883" s="257" t="s">
        <v>7279</v>
      </c>
      <c r="C5883" s="257" t="s">
        <v>172</v>
      </c>
      <c r="D5883" s="259" t="s">
        <v>18381</v>
      </c>
      <c r="E5883" s="210" t="s">
        <v>201</v>
      </c>
    </row>
    <row r="5884" spans="1:5" ht="27">
      <c r="A5884" s="258">
        <v>87389</v>
      </c>
      <c r="B5884" s="257" t="s">
        <v>7280</v>
      </c>
      <c r="C5884" s="257" t="s">
        <v>172</v>
      </c>
      <c r="D5884" s="259" t="s">
        <v>18382</v>
      </c>
      <c r="E5884" s="210" t="s">
        <v>201</v>
      </c>
    </row>
    <row r="5885" spans="1:5" ht="27">
      <c r="A5885" s="258">
        <v>87390</v>
      </c>
      <c r="B5885" s="257" t="s">
        <v>7281</v>
      </c>
      <c r="C5885" s="257" t="s">
        <v>172</v>
      </c>
      <c r="D5885" s="259" t="s">
        <v>18383</v>
      </c>
      <c r="E5885" s="210" t="s">
        <v>201</v>
      </c>
    </row>
    <row r="5886" spans="1:5" ht="27">
      <c r="A5886" s="258">
        <v>87391</v>
      </c>
      <c r="B5886" s="257" t="s">
        <v>7282</v>
      </c>
      <c r="C5886" s="257" t="s">
        <v>172</v>
      </c>
      <c r="D5886" s="259" t="s">
        <v>18384</v>
      </c>
      <c r="E5886" s="210" t="s">
        <v>201</v>
      </c>
    </row>
    <row r="5887" spans="1:5" ht="27">
      <c r="A5887" s="258">
        <v>87393</v>
      </c>
      <c r="B5887" s="257" t="s">
        <v>7283</v>
      </c>
      <c r="C5887" s="257" t="s">
        <v>172</v>
      </c>
      <c r="D5887" s="259" t="s">
        <v>18385</v>
      </c>
      <c r="E5887" s="210" t="s">
        <v>201</v>
      </c>
    </row>
    <row r="5888" spans="1:5" ht="27">
      <c r="A5888" s="258">
        <v>87394</v>
      </c>
      <c r="B5888" s="257" t="s">
        <v>7284</v>
      </c>
      <c r="C5888" s="257" t="s">
        <v>172</v>
      </c>
      <c r="D5888" s="259" t="s">
        <v>18386</v>
      </c>
      <c r="E5888" s="210" t="s">
        <v>201</v>
      </c>
    </row>
    <row r="5889" spans="1:5" ht="27">
      <c r="A5889" s="258">
        <v>87395</v>
      </c>
      <c r="B5889" s="257" t="s">
        <v>7285</v>
      </c>
      <c r="C5889" s="257" t="s">
        <v>172</v>
      </c>
      <c r="D5889" s="259" t="s">
        <v>18387</v>
      </c>
      <c r="E5889" s="210" t="s">
        <v>201</v>
      </c>
    </row>
    <row r="5890" spans="1:5" ht="27">
      <c r="A5890" s="258">
        <v>87396</v>
      </c>
      <c r="B5890" s="257" t="s">
        <v>7286</v>
      </c>
      <c r="C5890" s="257" t="s">
        <v>172</v>
      </c>
      <c r="D5890" s="259" t="s">
        <v>18388</v>
      </c>
      <c r="E5890" s="210" t="s">
        <v>201</v>
      </c>
    </row>
    <row r="5891" spans="1:5" ht="27">
      <c r="A5891" s="258">
        <v>87397</v>
      </c>
      <c r="B5891" s="257" t="s">
        <v>7287</v>
      </c>
      <c r="C5891" s="257" t="s">
        <v>172</v>
      </c>
      <c r="D5891" s="259" t="s">
        <v>18389</v>
      </c>
      <c r="E5891" s="210" t="s">
        <v>201</v>
      </c>
    </row>
    <row r="5892" spans="1:5" ht="27">
      <c r="A5892" s="258">
        <v>87398</v>
      </c>
      <c r="B5892" s="257" t="s">
        <v>7288</v>
      </c>
      <c r="C5892" s="257" t="s">
        <v>172</v>
      </c>
      <c r="D5892" s="259" t="s">
        <v>18390</v>
      </c>
      <c r="E5892" s="210" t="s">
        <v>201</v>
      </c>
    </row>
    <row r="5893" spans="1:5" ht="13.5">
      <c r="A5893" s="258">
        <v>87399</v>
      </c>
      <c r="B5893" s="257" t="s">
        <v>7289</v>
      </c>
      <c r="C5893" s="257" t="s">
        <v>172</v>
      </c>
      <c r="D5893" s="259" t="s">
        <v>18391</v>
      </c>
      <c r="E5893" s="210" t="s">
        <v>201</v>
      </c>
    </row>
    <row r="5894" spans="1:5" ht="13.5">
      <c r="A5894" s="258">
        <v>87401</v>
      </c>
      <c r="B5894" s="257" t="s">
        <v>7290</v>
      </c>
      <c r="C5894" s="257" t="s">
        <v>172</v>
      </c>
      <c r="D5894" s="259" t="s">
        <v>18392</v>
      </c>
      <c r="E5894" s="210" t="s">
        <v>201</v>
      </c>
    </row>
    <row r="5895" spans="1:5" ht="13.5">
      <c r="A5895" s="258">
        <v>87402</v>
      </c>
      <c r="B5895" s="257" t="s">
        <v>7291</v>
      </c>
      <c r="C5895" s="257" t="s">
        <v>172</v>
      </c>
      <c r="D5895" s="259" t="s">
        <v>18393</v>
      </c>
      <c r="E5895" s="210" t="s">
        <v>201</v>
      </c>
    </row>
    <row r="5896" spans="1:5" ht="27">
      <c r="A5896" s="258">
        <v>87404</v>
      </c>
      <c r="B5896" s="257" t="s">
        <v>7292</v>
      </c>
      <c r="C5896" s="257" t="s">
        <v>172</v>
      </c>
      <c r="D5896" s="259" t="s">
        <v>18394</v>
      </c>
      <c r="E5896" s="210" t="s">
        <v>201</v>
      </c>
    </row>
    <row r="5897" spans="1:5" ht="27">
      <c r="A5897" s="258">
        <v>87405</v>
      </c>
      <c r="B5897" s="257" t="s">
        <v>4236</v>
      </c>
      <c r="C5897" s="257" t="s">
        <v>172</v>
      </c>
      <c r="D5897" s="259" t="s">
        <v>18395</v>
      </c>
      <c r="E5897" s="210" t="s">
        <v>201</v>
      </c>
    </row>
    <row r="5898" spans="1:5" ht="27">
      <c r="A5898" s="258">
        <v>87407</v>
      </c>
      <c r="B5898" s="257" t="s">
        <v>7293</v>
      </c>
      <c r="C5898" s="257" t="s">
        <v>172</v>
      </c>
      <c r="D5898" s="259" t="s">
        <v>18396</v>
      </c>
      <c r="E5898" s="210" t="s">
        <v>201</v>
      </c>
    </row>
    <row r="5899" spans="1:5" ht="27">
      <c r="A5899" s="258">
        <v>87408</v>
      </c>
      <c r="B5899" s="257" t="s">
        <v>4237</v>
      </c>
      <c r="C5899" s="257" t="s">
        <v>172</v>
      </c>
      <c r="D5899" s="259" t="s">
        <v>18397</v>
      </c>
      <c r="E5899" s="210" t="s">
        <v>201</v>
      </c>
    </row>
    <row r="5900" spans="1:5" ht="13.5">
      <c r="A5900" s="258">
        <v>87410</v>
      </c>
      <c r="B5900" s="257" t="s">
        <v>7294</v>
      </c>
      <c r="C5900" s="257" t="s">
        <v>172</v>
      </c>
      <c r="D5900" s="259" t="s">
        <v>18398</v>
      </c>
      <c r="E5900" s="210" t="s">
        <v>201</v>
      </c>
    </row>
    <row r="5901" spans="1:5" ht="27">
      <c r="A5901" s="258">
        <v>88626</v>
      </c>
      <c r="B5901" s="257" t="s">
        <v>7295</v>
      </c>
      <c r="C5901" s="257" t="s">
        <v>172</v>
      </c>
      <c r="D5901" s="259" t="s">
        <v>18399</v>
      </c>
      <c r="E5901" s="210" t="s">
        <v>201</v>
      </c>
    </row>
    <row r="5902" spans="1:5" ht="27">
      <c r="A5902" s="258">
        <v>88627</v>
      </c>
      <c r="B5902" s="257" t="s">
        <v>7296</v>
      </c>
      <c r="C5902" s="257" t="s">
        <v>172</v>
      </c>
      <c r="D5902" s="259" t="s">
        <v>18400</v>
      </c>
      <c r="E5902" s="210" t="s">
        <v>201</v>
      </c>
    </row>
    <row r="5903" spans="1:5" ht="27">
      <c r="A5903" s="258">
        <v>88628</v>
      </c>
      <c r="B5903" s="257" t="s">
        <v>7297</v>
      </c>
      <c r="C5903" s="257" t="s">
        <v>172</v>
      </c>
      <c r="D5903" s="259" t="s">
        <v>18401</v>
      </c>
      <c r="E5903" s="210" t="s">
        <v>201</v>
      </c>
    </row>
    <row r="5904" spans="1:5" ht="13.5">
      <c r="A5904" s="258">
        <v>88629</v>
      </c>
      <c r="B5904" s="257" t="s">
        <v>7298</v>
      </c>
      <c r="C5904" s="257" t="s">
        <v>172</v>
      </c>
      <c r="D5904" s="259" t="s">
        <v>18402</v>
      </c>
      <c r="E5904" s="210" t="s">
        <v>201</v>
      </c>
    </row>
    <row r="5905" spans="1:5" ht="13.5">
      <c r="A5905" s="258">
        <v>88630</v>
      </c>
      <c r="B5905" s="257" t="s">
        <v>4238</v>
      </c>
      <c r="C5905" s="257" t="s">
        <v>172</v>
      </c>
      <c r="D5905" s="259" t="s">
        <v>18403</v>
      </c>
      <c r="E5905" s="210" t="s">
        <v>201</v>
      </c>
    </row>
    <row r="5906" spans="1:5" ht="13.5">
      <c r="A5906" s="258">
        <v>88631</v>
      </c>
      <c r="B5906" s="257" t="s">
        <v>7299</v>
      </c>
      <c r="C5906" s="257" t="s">
        <v>172</v>
      </c>
      <c r="D5906" s="259" t="s">
        <v>18404</v>
      </c>
      <c r="E5906" s="210" t="s">
        <v>201</v>
      </c>
    </row>
    <row r="5907" spans="1:5" ht="27">
      <c r="A5907" s="257">
        <v>88715</v>
      </c>
      <c r="B5907" s="257" t="s">
        <v>7300</v>
      </c>
      <c r="C5907" s="257" t="s">
        <v>172</v>
      </c>
      <c r="D5907" s="259" t="s">
        <v>18405</v>
      </c>
      <c r="E5907" s="210" t="s">
        <v>201</v>
      </c>
    </row>
    <row r="5908" spans="1:5" ht="27">
      <c r="A5908" s="257">
        <v>95563</v>
      </c>
      <c r="B5908" s="257" t="s">
        <v>4239</v>
      </c>
      <c r="C5908" s="257" t="s">
        <v>172</v>
      </c>
      <c r="D5908" s="259" t="s">
        <v>18406</v>
      </c>
      <c r="E5908" s="210" t="s">
        <v>201</v>
      </c>
    </row>
    <row r="5909" spans="1:5" ht="27">
      <c r="A5909" s="257">
        <v>100464</v>
      </c>
      <c r="B5909" s="257" t="s">
        <v>7301</v>
      </c>
      <c r="C5909" s="257" t="s">
        <v>172</v>
      </c>
      <c r="D5909" s="259" t="s">
        <v>18407</v>
      </c>
      <c r="E5909" s="210" t="s">
        <v>201</v>
      </c>
    </row>
    <row r="5910" spans="1:5" ht="27">
      <c r="A5910" s="257">
        <v>100465</v>
      </c>
      <c r="B5910" s="257" t="s">
        <v>7302</v>
      </c>
      <c r="C5910" s="257" t="s">
        <v>172</v>
      </c>
      <c r="D5910" s="259" t="s">
        <v>18408</v>
      </c>
      <c r="E5910" s="210" t="s">
        <v>201</v>
      </c>
    </row>
    <row r="5911" spans="1:5" ht="27">
      <c r="A5911" s="257">
        <v>100466</v>
      </c>
      <c r="B5911" s="257" t="s">
        <v>7303</v>
      </c>
      <c r="C5911" s="257" t="s">
        <v>172</v>
      </c>
      <c r="D5911" s="259" t="s">
        <v>18409</v>
      </c>
      <c r="E5911" s="210" t="s">
        <v>201</v>
      </c>
    </row>
    <row r="5912" spans="1:5" ht="27">
      <c r="A5912" s="257">
        <v>100468</v>
      </c>
      <c r="B5912" s="257" t="s">
        <v>7304</v>
      </c>
      <c r="C5912" s="257" t="s">
        <v>172</v>
      </c>
      <c r="D5912" s="259" t="s">
        <v>18410</v>
      </c>
      <c r="E5912" s="210" t="s">
        <v>201</v>
      </c>
    </row>
    <row r="5913" spans="1:5" ht="27">
      <c r="A5913" s="257">
        <v>100469</v>
      </c>
      <c r="B5913" s="257" t="s">
        <v>7305</v>
      </c>
      <c r="C5913" s="257" t="s">
        <v>172</v>
      </c>
      <c r="D5913" s="259" t="s">
        <v>18411</v>
      </c>
      <c r="E5913" s="210" t="s">
        <v>201</v>
      </c>
    </row>
    <row r="5914" spans="1:5" ht="27">
      <c r="A5914" s="257">
        <v>100470</v>
      </c>
      <c r="B5914" s="257" t="s">
        <v>7306</v>
      </c>
      <c r="C5914" s="257" t="s">
        <v>172</v>
      </c>
      <c r="D5914" s="259" t="s">
        <v>18412</v>
      </c>
      <c r="E5914" s="210" t="s">
        <v>201</v>
      </c>
    </row>
    <row r="5915" spans="1:5" ht="27">
      <c r="A5915" s="257">
        <v>100472</v>
      </c>
      <c r="B5915" s="257" t="s">
        <v>7307</v>
      </c>
      <c r="C5915" s="257" t="s">
        <v>172</v>
      </c>
      <c r="D5915" s="259" t="s">
        <v>18413</v>
      </c>
      <c r="E5915" s="210" t="s">
        <v>201</v>
      </c>
    </row>
    <row r="5916" spans="1:5" ht="27">
      <c r="A5916" s="258">
        <v>100473</v>
      </c>
      <c r="B5916" s="257" t="s">
        <v>7308</v>
      </c>
      <c r="C5916" s="257" t="s">
        <v>172</v>
      </c>
      <c r="D5916" s="259" t="s">
        <v>18414</v>
      </c>
      <c r="E5916" s="210" t="s">
        <v>201</v>
      </c>
    </row>
    <row r="5917" spans="1:5" ht="27">
      <c r="A5917" s="257">
        <v>100474</v>
      </c>
      <c r="B5917" s="257" t="s">
        <v>7309</v>
      </c>
      <c r="C5917" s="257" t="s">
        <v>172</v>
      </c>
      <c r="D5917" s="259" t="s">
        <v>18415</v>
      </c>
      <c r="E5917" s="210" t="s">
        <v>201</v>
      </c>
    </row>
    <row r="5918" spans="1:5" ht="27">
      <c r="A5918" s="257">
        <v>100475</v>
      </c>
      <c r="B5918" s="257" t="s">
        <v>7310</v>
      </c>
      <c r="C5918" s="257" t="s">
        <v>172</v>
      </c>
      <c r="D5918" s="259" t="s">
        <v>18416</v>
      </c>
      <c r="E5918" s="210" t="s">
        <v>201</v>
      </c>
    </row>
    <row r="5919" spans="1:5" ht="27">
      <c r="A5919" s="258">
        <v>100477</v>
      </c>
      <c r="B5919" s="257" t="s">
        <v>7311</v>
      </c>
      <c r="C5919" s="257" t="s">
        <v>172</v>
      </c>
      <c r="D5919" s="259" t="s">
        <v>18417</v>
      </c>
      <c r="E5919" s="210" t="s">
        <v>201</v>
      </c>
    </row>
    <row r="5920" spans="1:5" ht="27">
      <c r="A5920" s="257">
        <v>100478</v>
      </c>
      <c r="B5920" s="257" t="s">
        <v>7312</v>
      </c>
      <c r="C5920" s="257" t="s">
        <v>172</v>
      </c>
      <c r="D5920" s="259" t="s">
        <v>18418</v>
      </c>
      <c r="E5920" s="210" t="s">
        <v>201</v>
      </c>
    </row>
    <row r="5921" spans="1:5" ht="27">
      <c r="A5921" s="257">
        <v>100479</v>
      </c>
      <c r="B5921" s="257" t="s">
        <v>7313</v>
      </c>
      <c r="C5921" s="257" t="s">
        <v>172</v>
      </c>
      <c r="D5921" s="259" t="s">
        <v>18419</v>
      </c>
      <c r="E5921" s="210" t="s">
        <v>201</v>
      </c>
    </row>
    <row r="5922" spans="1:5" ht="27">
      <c r="A5922" s="257">
        <v>100480</v>
      </c>
      <c r="B5922" s="257" t="s">
        <v>7314</v>
      </c>
      <c r="C5922" s="257" t="s">
        <v>172</v>
      </c>
      <c r="D5922" s="259" t="s">
        <v>18420</v>
      </c>
      <c r="E5922" s="210" t="s">
        <v>201</v>
      </c>
    </row>
    <row r="5923" spans="1:5" ht="27">
      <c r="A5923" s="257">
        <v>100481</v>
      </c>
      <c r="B5923" s="257" t="s">
        <v>7315</v>
      </c>
      <c r="C5923" s="257" t="s">
        <v>172</v>
      </c>
      <c r="D5923" s="259" t="s">
        <v>18421</v>
      </c>
      <c r="E5923" s="210" t="s">
        <v>201</v>
      </c>
    </row>
    <row r="5924" spans="1:5" ht="27">
      <c r="A5924" s="258">
        <v>100483</v>
      </c>
      <c r="B5924" s="257" t="s">
        <v>7316</v>
      </c>
      <c r="C5924" s="257" t="s">
        <v>172</v>
      </c>
      <c r="D5924" s="259" t="s">
        <v>18422</v>
      </c>
      <c r="E5924" s="210" t="s">
        <v>201</v>
      </c>
    </row>
    <row r="5925" spans="1:5" ht="27">
      <c r="A5925" s="257">
        <v>100484</v>
      </c>
      <c r="B5925" s="257" t="s">
        <v>7317</v>
      </c>
      <c r="C5925" s="257" t="s">
        <v>172</v>
      </c>
      <c r="D5925" s="259" t="s">
        <v>18423</v>
      </c>
      <c r="E5925" s="210" t="s">
        <v>201</v>
      </c>
    </row>
    <row r="5926" spans="1:5" ht="27">
      <c r="A5926" s="258">
        <v>100485</v>
      </c>
      <c r="B5926" s="257" t="s">
        <v>7318</v>
      </c>
      <c r="C5926" s="257" t="s">
        <v>172</v>
      </c>
      <c r="D5926" s="259" t="s">
        <v>18424</v>
      </c>
      <c r="E5926" s="210" t="s">
        <v>201</v>
      </c>
    </row>
    <row r="5927" spans="1:5" ht="27">
      <c r="A5927" s="258">
        <v>100486</v>
      </c>
      <c r="B5927" s="257" t="s">
        <v>7319</v>
      </c>
      <c r="C5927" s="257" t="s">
        <v>172</v>
      </c>
      <c r="D5927" s="259" t="s">
        <v>18425</v>
      </c>
      <c r="E5927" s="210" t="s">
        <v>201</v>
      </c>
    </row>
    <row r="5928" spans="1:5" ht="40.5">
      <c r="A5928" s="258">
        <v>100487</v>
      </c>
      <c r="B5928" s="257" t="s">
        <v>7320</v>
      </c>
      <c r="C5928" s="257" t="s">
        <v>172</v>
      </c>
      <c r="D5928" s="259" t="s">
        <v>18426</v>
      </c>
      <c r="E5928" s="210" t="s">
        <v>201</v>
      </c>
    </row>
    <row r="5929" spans="1:5" ht="27">
      <c r="A5929" s="258">
        <v>100488</v>
      </c>
      <c r="B5929" s="257" t="s">
        <v>7321</v>
      </c>
      <c r="C5929" s="257" t="s">
        <v>172</v>
      </c>
      <c r="D5929" s="259" t="s">
        <v>18427</v>
      </c>
      <c r="E5929" s="210" t="s">
        <v>201</v>
      </c>
    </row>
    <row r="5930" spans="1:5" ht="27">
      <c r="A5930" s="258">
        <v>100489</v>
      </c>
      <c r="B5930" s="257" t="s">
        <v>7322</v>
      </c>
      <c r="C5930" s="257" t="s">
        <v>172</v>
      </c>
      <c r="D5930" s="259" t="s">
        <v>18428</v>
      </c>
      <c r="E5930" s="210" t="s">
        <v>201</v>
      </c>
    </row>
    <row r="5931" spans="1:5" ht="27">
      <c r="A5931" s="258">
        <v>100490</v>
      </c>
      <c r="B5931" s="257" t="s">
        <v>7323</v>
      </c>
      <c r="C5931" s="257" t="s">
        <v>172</v>
      </c>
      <c r="D5931" s="259" t="s">
        <v>17215</v>
      </c>
      <c r="E5931" s="210" t="s">
        <v>201</v>
      </c>
    </row>
    <row r="5932" spans="1:5" ht="27">
      <c r="A5932" s="258">
        <v>100491</v>
      </c>
      <c r="B5932" s="257" t="s">
        <v>7324</v>
      </c>
      <c r="C5932" s="257" t="s">
        <v>172</v>
      </c>
      <c r="D5932" s="259" t="s">
        <v>18429</v>
      </c>
      <c r="E5932" s="210" t="s">
        <v>201</v>
      </c>
    </row>
    <row r="5933" spans="1:5" ht="27">
      <c r="A5933" s="258">
        <v>100492</v>
      </c>
      <c r="B5933" s="257" t="s">
        <v>7325</v>
      </c>
      <c r="C5933" s="257" t="s">
        <v>172</v>
      </c>
      <c r="D5933" s="259" t="s">
        <v>18430</v>
      </c>
      <c r="E5933" s="210" t="s">
        <v>201</v>
      </c>
    </row>
    <row r="5934" spans="1:5" ht="13.5">
      <c r="A5934" s="258">
        <v>92121</v>
      </c>
      <c r="B5934" s="257" t="s">
        <v>4240</v>
      </c>
      <c r="C5934" s="257" t="s">
        <v>172</v>
      </c>
      <c r="D5934" s="259" t="s">
        <v>14099</v>
      </c>
      <c r="E5934" s="210" t="s">
        <v>201</v>
      </c>
    </row>
    <row r="5935" spans="1:5" ht="13.5">
      <c r="A5935" s="258">
        <v>92122</v>
      </c>
      <c r="B5935" s="257" t="s">
        <v>4241</v>
      </c>
      <c r="C5935" s="257" t="s">
        <v>172</v>
      </c>
      <c r="D5935" s="259" t="s">
        <v>18431</v>
      </c>
      <c r="E5935" s="210" t="s">
        <v>201</v>
      </c>
    </row>
    <row r="5936" spans="1:5" ht="13.5">
      <c r="A5936" s="258">
        <v>92123</v>
      </c>
      <c r="B5936" s="257" t="s">
        <v>4242</v>
      </c>
      <c r="C5936" s="257" t="s">
        <v>172</v>
      </c>
      <c r="D5936" s="259" t="s">
        <v>16806</v>
      </c>
      <c r="E5936" s="210" t="s">
        <v>201</v>
      </c>
    </row>
    <row r="5937" spans="1:5" ht="13.5">
      <c r="A5937" s="258">
        <v>100195</v>
      </c>
      <c r="B5937" s="257" t="s">
        <v>6073</v>
      </c>
      <c r="C5937" s="257" t="s">
        <v>6074</v>
      </c>
      <c r="D5937" s="259" t="s">
        <v>18432</v>
      </c>
      <c r="E5937" s="210" t="s">
        <v>201</v>
      </c>
    </row>
    <row r="5938" spans="1:5" ht="13.5">
      <c r="A5938" s="258">
        <v>100196</v>
      </c>
      <c r="B5938" s="257" t="s">
        <v>6075</v>
      </c>
      <c r="C5938" s="257" t="s">
        <v>6074</v>
      </c>
      <c r="D5938" s="259" t="s">
        <v>14362</v>
      </c>
      <c r="E5938" s="210" t="s">
        <v>201</v>
      </c>
    </row>
    <row r="5939" spans="1:5" ht="13.5">
      <c r="A5939" s="258">
        <v>100197</v>
      </c>
      <c r="B5939" s="257" t="s">
        <v>6076</v>
      </c>
      <c r="C5939" s="257" t="s">
        <v>6074</v>
      </c>
      <c r="D5939" s="259" t="s">
        <v>13664</v>
      </c>
      <c r="E5939" s="210" t="s">
        <v>201</v>
      </c>
    </row>
    <row r="5940" spans="1:5" ht="13.5">
      <c r="A5940" s="258">
        <v>100198</v>
      </c>
      <c r="B5940" s="257" t="s">
        <v>6077</v>
      </c>
      <c r="C5940" s="257" t="s">
        <v>6074</v>
      </c>
      <c r="D5940" s="259" t="s">
        <v>14399</v>
      </c>
      <c r="E5940" s="210" t="s">
        <v>201</v>
      </c>
    </row>
    <row r="5941" spans="1:5" ht="13.5">
      <c r="A5941" s="258">
        <v>100199</v>
      </c>
      <c r="B5941" s="257" t="s">
        <v>6078</v>
      </c>
      <c r="C5941" s="257" t="s">
        <v>6074</v>
      </c>
      <c r="D5941" s="259" t="s">
        <v>18433</v>
      </c>
      <c r="E5941" s="210" t="s">
        <v>201</v>
      </c>
    </row>
    <row r="5942" spans="1:5" ht="13.5">
      <c r="A5942" s="258">
        <v>100200</v>
      </c>
      <c r="B5942" s="257" t="s">
        <v>6079</v>
      </c>
      <c r="C5942" s="257" t="s">
        <v>6074</v>
      </c>
      <c r="D5942" s="259" t="s">
        <v>14181</v>
      </c>
      <c r="E5942" s="210" t="s">
        <v>201</v>
      </c>
    </row>
    <row r="5943" spans="1:5" ht="13.5">
      <c r="A5943" s="258">
        <v>100201</v>
      </c>
      <c r="B5943" s="257" t="s">
        <v>6080</v>
      </c>
      <c r="C5943" s="257" t="s">
        <v>6074</v>
      </c>
      <c r="D5943" s="259" t="s">
        <v>14349</v>
      </c>
      <c r="E5943" s="210" t="s">
        <v>201</v>
      </c>
    </row>
    <row r="5944" spans="1:5" ht="13.5">
      <c r="A5944" s="258">
        <v>100202</v>
      </c>
      <c r="B5944" s="257" t="s">
        <v>6081</v>
      </c>
      <c r="C5944" s="257" t="s">
        <v>6074</v>
      </c>
      <c r="D5944" s="259" t="s">
        <v>13988</v>
      </c>
      <c r="E5944" s="210" t="s">
        <v>201</v>
      </c>
    </row>
    <row r="5945" spans="1:5" ht="13.5">
      <c r="A5945" s="258">
        <v>100203</v>
      </c>
      <c r="B5945" s="257" t="s">
        <v>6082</v>
      </c>
      <c r="C5945" s="257" t="s">
        <v>6074</v>
      </c>
      <c r="D5945" s="259" t="s">
        <v>14369</v>
      </c>
      <c r="E5945" s="210" t="s">
        <v>201</v>
      </c>
    </row>
    <row r="5946" spans="1:5" ht="27">
      <c r="A5946" s="258">
        <v>100204</v>
      </c>
      <c r="B5946" s="257" t="s">
        <v>6083</v>
      </c>
      <c r="C5946" s="257" t="s">
        <v>6074</v>
      </c>
      <c r="D5946" s="259" t="s">
        <v>14084</v>
      </c>
      <c r="E5946" s="210" t="s">
        <v>201</v>
      </c>
    </row>
    <row r="5947" spans="1:5" ht="13.5">
      <c r="A5947" s="258">
        <v>100205</v>
      </c>
      <c r="B5947" s="257" t="s">
        <v>6084</v>
      </c>
      <c r="C5947" s="257" t="s">
        <v>215</v>
      </c>
      <c r="D5947" s="259" t="s">
        <v>18434</v>
      </c>
      <c r="E5947" s="210" t="s">
        <v>201</v>
      </c>
    </row>
    <row r="5948" spans="1:5" ht="13.5">
      <c r="A5948" s="258">
        <v>100206</v>
      </c>
      <c r="B5948" s="257" t="s">
        <v>6085</v>
      </c>
      <c r="C5948" s="257" t="s">
        <v>215</v>
      </c>
      <c r="D5948" s="259" t="s">
        <v>18435</v>
      </c>
      <c r="E5948" s="210" t="s">
        <v>201</v>
      </c>
    </row>
    <row r="5949" spans="1:5" ht="13.5">
      <c r="A5949" s="258">
        <v>100207</v>
      </c>
      <c r="B5949" s="257" t="s">
        <v>6086</v>
      </c>
      <c r="C5949" s="257" t="s">
        <v>215</v>
      </c>
      <c r="D5949" s="259" t="s">
        <v>18436</v>
      </c>
      <c r="E5949" s="210" t="s">
        <v>201</v>
      </c>
    </row>
    <row r="5950" spans="1:5" ht="27">
      <c r="A5950" s="258">
        <v>100208</v>
      </c>
      <c r="B5950" s="257" t="s">
        <v>6087</v>
      </c>
      <c r="C5950" s="257" t="s">
        <v>6088</v>
      </c>
      <c r="D5950" s="259" t="s">
        <v>18437</v>
      </c>
      <c r="E5950" s="210" t="s">
        <v>201</v>
      </c>
    </row>
    <row r="5951" spans="1:5" ht="27">
      <c r="A5951" s="258">
        <v>100209</v>
      </c>
      <c r="B5951" s="257" t="s">
        <v>6089</v>
      </c>
      <c r="C5951" s="257" t="s">
        <v>6088</v>
      </c>
      <c r="D5951" s="259" t="s">
        <v>14648</v>
      </c>
      <c r="E5951" s="210" t="s">
        <v>201</v>
      </c>
    </row>
    <row r="5952" spans="1:5" ht="27">
      <c r="A5952" s="258">
        <v>100210</v>
      </c>
      <c r="B5952" s="257" t="s">
        <v>6090</v>
      </c>
      <c r="C5952" s="257" t="s">
        <v>6088</v>
      </c>
      <c r="D5952" s="259" t="s">
        <v>16527</v>
      </c>
      <c r="E5952" s="210" t="s">
        <v>201</v>
      </c>
    </row>
    <row r="5953" spans="1:5" ht="27">
      <c r="A5953" s="258">
        <v>100211</v>
      </c>
      <c r="B5953" s="257" t="s">
        <v>6091</v>
      </c>
      <c r="C5953" s="257" t="s">
        <v>6088</v>
      </c>
      <c r="D5953" s="259" t="s">
        <v>17609</v>
      </c>
      <c r="E5953" s="210" t="s">
        <v>201</v>
      </c>
    </row>
    <row r="5954" spans="1:5" ht="27">
      <c r="A5954" s="258">
        <v>100212</v>
      </c>
      <c r="B5954" s="257" t="s">
        <v>6092</v>
      </c>
      <c r="C5954" s="257" t="s">
        <v>6088</v>
      </c>
      <c r="D5954" s="259" t="s">
        <v>17606</v>
      </c>
      <c r="E5954" s="210" t="s">
        <v>201</v>
      </c>
    </row>
    <row r="5955" spans="1:5" ht="27">
      <c r="A5955" s="258">
        <v>100213</v>
      </c>
      <c r="B5955" s="257" t="s">
        <v>6093</v>
      </c>
      <c r="C5955" s="257" t="s">
        <v>6088</v>
      </c>
      <c r="D5955" s="259" t="s">
        <v>18438</v>
      </c>
      <c r="E5955" s="210" t="s">
        <v>201</v>
      </c>
    </row>
    <row r="5956" spans="1:5" ht="27">
      <c r="A5956" s="258">
        <v>100214</v>
      </c>
      <c r="B5956" s="257" t="s">
        <v>6094</v>
      </c>
      <c r="C5956" s="257" t="s">
        <v>6088</v>
      </c>
      <c r="D5956" s="259" t="s">
        <v>14310</v>
      </c>
      <c r="E5956" s="210" t="s">
        <v>201</v>
      </c>
    </row>
    <row r="5957" spans="1:5" ht="27">
      <c r="A5957" s="258">
        <v>100215</v>
      </c>
      <c r="B5957" s="257" t="s">
        <v>6095</v>
      </c>
      <c r="C5957" s="257" t="s">
        <v>6088</v>
      </c>
      <c r="D5957" s="259" t="s">
        <v>14240</v>
      </c>
      <c r="E5957" s="210" t="s">
        <v>201</v>
      </c>
    </row>
    <row r="5958" spans="1:5" ht="27">
      <c r="A5958" s="258">
        <v>100216</v>
      </c>
      <c r="B5958" s="257" t="s">
        <v>6096</v>
      </c>
      <c r="C5958" s="257" t="s">
        <v>6088</v>
      </c>
      <c r="D5958" s="259" t="s">
        <v>14491</v>
      </c>
      <c r="E5958" s="210" t="s">
        <v>201</v>
      </c>
    </row>
    <row r="5959" spans="1:5" ht="27">
      <c r="A5959" s="258">
        <v>100217</v>
      </c>
      <c r="B5959" s="257" t="s">
        <v>6097</v>
      </c>
      <c r="C5959" s="257" t="s">
        <v>6088</v>
      </c>
      <c r="D5959" s="259" t="s">
        <v>18439</v>
      </c>
      <c r="E5959" s="210" t="s">
        <v>201</v>
      </c>
    </row>
    <row r="5960" spans="1:5" ht="27">
      <c r="A5960" s="258">
        <v>100218</v>
      </c>
      <c r="B5960" s="257" t="s">
        <v>6098</v>
      </c>
      <c r="C5960" s="257" t="s">
        <v>6088</v>
      </c>
      <c r="D5960" s="259" t="s">
        <v>14148</v>
      </c>
      <c r="E5960" s="210" t="s">
        <v>201</v>
      </c>
    </row>
    <row r="5961" spans="1:5" ht="27">
      <c r="A5961" s="258">
        <v>100219</v>
      </c>
      <c r="B5961" s="257" t="s">
        <v>6099</v>
      </c>
      <c r="C5961" s="257" t="s">
        <v>6088</v>
      </c>
      <c r="D5961" s="259" t="s">
        <v>13995</v>
      </c>
      <c r="E5961" s="210" t="s">
        <v>201</v>
      </c>
    </row>
    <row r="5962" spans="1:5" ht="13.5">
      <c r="A5962" s="258">
        <v>100220</v>
      </c>
      <c r="B5962" s="257" t="s">
        <v>6100</v>
      </c>
      <c r="C5962" s="257" t="s">
        <v>6101</v>
      </c>
      <c r="D5962" s="259" t="s">
        <v>16872</v>
      </c>
      <c r="E5962" s="210" t="s">
        <v>201</v>
      </c>
    </row>
    <row r="5963" spans="1:5" ht="27">
      <c r="A5963" s="258">
        <v>100221</v>
      </c>
      <c r="B5963" s="257" t="s">
        <v>6102</v>
      </c>
      <c r="C5963" s="257" t="s">
        <v>6101</v>
      </c>
      <c r="D5963" s="259" t="s">
        <v>18440</v>
      </c>
      <c r="E5963" s="210" t="s">
        <v>201</v>
      </c>
    </row>
    <row r="5964" spans="1:5" ht="27">
      <c r="A5964" s="258">
        <v>100222</v>
      </c>
      <c r="B5964" s="257" t="s">
        <v>6103</v>
      </c>
      <c r="C5964" s="257" t="s">
        <v>6101</v>
      </c>
      <c r="D5964" s="259" t="s">
        <v>15734</v>
      </c>
      <c r="E5964" s="210" t="s">
        <v>201</v>
      </c>
    </row>
    <row r="5965" spans="1:5" ht="27">
      <c r="A5965" s="258">
        <v>100223</v>
      </c>
      <c r="B5965" s="257" t="s">
        <v>6104</v>
      </c>
      <c r="C5965" s="257" t="s">
        <v>6101</v>
      </c>
      <c r="D5965" s="259" t="s">
        <v>13616</v>
      </c>
      <c r="E5965" s="210" t="s">
        <v>201</v>
      </c>
    </row>
    <row r="5966" spans="1:5" ht="27">
      <c r="A5966" s="258">
        <v>100224</v>
      </c>
      <c r="B5966" s="257" t="s">
        <v>6105</v>
      </c>
      <c r="C5966" s="257" t="s">
        <v>6101</v>
      </c>
      <c r="D5966" s="259" t="s">
        <v>18439</v>
      </c>
      <c r="E5966" s="210" t="s">
        <v>201</v>
      </c>
    </row>
    <row r="5967" spans="1:5" ht="13.5">
      <c r="A5967" s="258">
        <v>100225</v>
      </c>
      <c r="B5967" s="257" t="s">
        <v>6106</v>
      </c>
      <c r="C5967" s="257" t="s">
        <v>6107</v>
      </c>
      <c r="D5967" s="259" t="s">
        <v>16223</v>
      </c>
      <c r="E5967" s="210" t="s">
        <v>201</v>
      </c>
    </row>
    <row r="5968" spans="1:5" ht="27">
      <c r="A5968" s="258">
        <v>100226</v>
      </c>
      <c r="B5968" s="257" t="s">
        <v>6108</v>
      </c>
      <c r="C5968" s="257" t="s">
        <v>6107</v>
      </c>
      <c r="D5968" s="259" t="s">
        <v>14198</v>
      </c>
      <c r="E5968" s="210" t="s">
        <v>201</v>
      </c>
    </row>
    <row r="5969" spans="1:5" ht="13.5">
      <c r="A5969" s="258">
        <v>100227</v>
      </c>
      <c r="B5969" s="257" t="s">
        <v>6109</v>
      </c>
      <c r="C5969" s="257" t="s">
        <v>6107</v>
      </c>
      <c r="D5969" s="259" t="s">
        <v>14186</v>
      </c>
      <c r="E5969" s="210" t="s">
        <v>201</v>
      </c>
    </row>
    <row r="5970" spans="1:5" ht="27">
      <c r="A5970" s="258">
        <v>100228</v>
      </c>
      <c r="B5970" s="257" t="s">
        <v>6110</v>
      </c>
      <c r="C5970" s="257" t="s">
        <v>6107</v>
      </c>
      <c r="D5970" s="259" t="s">
        <v>18441</v>
      </c>
      <c r="E5970" s="210" t="s">
        <v>201</v>
      </c>
    </row>
    <row r="5971" spans="1:5" ht="13.5">
      <c r="A5971" s="258">
        <v>100229</v>
      </c>
      <c r="B5971" s="257" t="s">
        <v>6111</v>
      </c>
      <c r="C5971" s="257" t="s">
        <v>89</v>
      </c>
      <c r="D5971" s="259" t="s">
        <v>14211</v>
      </c>
      <c r="E5971" s="210" t="s">
        <v>201</v>
      </c>
    </row>
    <row r="5972" spans="1:5" ht="13.5">
      <c r="A5972" s="258">
        <v>100230</v>
      </c>
      <c r="B5972" s="257" t="s">
        <v>6112</v>
      </c>
      <c r="C5972" s="257" t="s">
        <v>89</v>
      </c>
      <c r="D5972" s="259" t="s">
        <v>14211</v>
      </c>
      <c r="E5972" s="210" t="s">
        <v>201</v>
      </c>
    </row>
    <row r="5973" spans="1:5" ht="13.5">
      <c r="A5973" s="258">
        <v>100231</v>
      </c>
      <c r="B5973" s="257" t="s">
        <v>6113</v>
      </c>
      <c r="C5973" s="257" t="s">
        <v>89</v>
      </c>
      <c r="D5973" s="259" t="s">
        <v>14137</v>
      </c>
      <c r="E5973" s="210" t="s">
        <v>201</v>
      </c>
    </row>
    <row r="5974" spans="1:5" ht="27">
      <c r="A5974" s="258">
        <v>100232</v>
      </c>
      <c r="B5974" s="257" t="s">
        <v>6114</v>
      </c>
      <c r="C5974" s="257" t="s">
        <v>90</v>
      </c>
      <c r="D5974" s="259" t="s">
        <v>14454</v>
      </c>
      <c r="E5974" s="210" t="s">
        <v>201</v>
      </c>
    </row>
    <row r="5975" spans="1:5" ht="27">
      <c r="A5975" s="258">
        <v>100233</v>
      </c>
      <c r="B5975" s="257" t="s">
        <v>6115</v>
      </c>
      <c r="C5975" s="257" t="s">
        <v>90</v>
      </c>
      <c r="D5975" s="259" t="s">
        <v>14279</v>
      </c>
      <c r="E5975" s="210" t="s">
        <v>201</v>
      </c>
    </row>
    <row r="5976" spans="1:5" ht="27">
      <c r="A5976" s="258">
        <v>100234</v>
      </c>
      <c r="B5976" s="257" t="s">
        <v>6116</v>
      </c>
      <c r="C5976" s="257" t="s">
        <v>150</v>
      </c>
      <c r="D5976" s="259" t="s">
        <v>18442</v>
      </c>
      <c r="E5976" s="210" t="s">
        <v>201</v>
      </c>
    </row>
    <row r="5977" spans="1:5" ht="13.5">
      <c r="A5977" s="258">
        <v>100235</v>
      </c>
      <c r="B5977" s="257" t="s">
        <v>6117</v>
      </c>
      <c r="C5977" s="257" t="s">
        <v>4</v>
      </c>
      <c r="D5977" s="259" t="s">
        <v>14231</v>
      </c>
      <c r="E5977" s="210" t="s">
        <v>201</v>
      </c>
    </row>
    <row r="5978" spans="1:5" ht="27">
      <c r="A5978" s="258">
        <v>100236</v>
      </c>
      <c r="B5978" s="257" t="s">
        <v>6118</v>
      </c>
      <c r="C5978" s="257" t="s">
        <v>6119</v>
      </c>
      <c r="D5978" s="259" t="s">
        <v>13897</v>
      </c>
      <c r="E5978" s="210" t="s">
        <v>201</v>
      </c>
    </row>
    <row r="5979" spans="1:5" ht="27">
      <c r="A5979" s="258">
        <v>100237</v>
      </c>
      <c r="B5979" s="257" t="s">
        <v>6120</v>
      </c>
      <c r="C5979" s="257" t="s">
        <v>6119</v>
      </c>
      <c r="D5979" s="259" t="s">
        <v>18443</v>
      </c>
      <c r="E5979" s="210" t="s">
        <v>201</v>
      </c>
    </row>
    <row r="5980" spans="1:5" ht="27">
      <c r="A5980" s="258">
        <v>100238</v>
      </c>
      <c r="B5980" s="257" t="s">
        <v>6121</v>
      </c>
      <c r="C5980" s="257" t="s">
        <v>6119</v>
      </c>
      <c r="D5980" s="259" t="s">
        <v>13627</v>
      </c>
      <c r="E5980" s="210" t="s">
        <v>201</v>
      </c>
    </row>
    <row r="5981" spans="1:5" ht="27">
      <c r="A5981" s="258">
        <v>100239</v>
      </c>
      <c r="B5981" s="257" t="s">
        <v>6122</v>
      </c>
      <c r="C5981" s="257" t="s">
        <v>6119</v>
      </c>
      <c r="D5981" s="259" t="s">
        <v>14229</v>
      </c>
      <c r="E5981" s="210" t="s">
        <v>201</v>
      </c>
    </row>
    <row r="5982" spans="1:5" ht="27">
      <c r="A5982" s="258">
        <v>100240</v>
      </c>
      <c r="B5982" s="257" t="s">
        <v>6123</v>
      </c>
      <c r="C5982" s="257" t="s">
        <v>6119</v>
      </c>
      <c r="D5982" s="259" t="s">
        <v>18444</v>
      </c>
      <c r="E5982" s="210" t="s">
        <v>201</v>
      </c>
    </row>
    <row r="5983" spans="1:5" ht="27">
      <c r="A5983" s="258">
        <v>100241</v>
      </c>
      <c r="B5983" s="257" t="s">
        <v>6124</v>
      </c>
      <c r="C5983" s="257" t="s">
        <v>6119</v>
      </c>
      <c r="D5983" s="259" t="s">
        <v>14229</v>
      </c>
      <c r="E5983" s="210" t="s">
        <v>201</v>
      </c>
    </row>
    <row r="5984" spans="1:5" ht="27">
      <c r="A5984" s="258">
        <v>100242</v>
      </c>
      <c r="B5984" s="257" t="s">
        <v>6125</v>
      </c>
      <c r="C5984" s="257" t="s">
        <v>6119</v>
      </c>
      <c r="D5984" s="259" t="s">
        <v>17930</v>
      </c>
      <c r="E5984" s="210" t="s">
        <v>201</v>
      </c>
    </row>
    <row r="5985" spans="1:5" ht="27">
      <c r="A5985" s="258">
        <v>100243</v>
      </c>
      <c r="B5985" s="257" t="s">
        <v>6126</v>
      </c>
      <c r="C5985" s="257" t="s">
        <v>6119</v>
      </c>
      <c r="D5985" s="259" t="s">
        <v>14155</v>
      </c>
      <c r="E5985" s="210" t="s">
        <v>201</v>
      </c>
    </row>
    <row r="5986" spans="1:5" ht="27">
      <c r="A5986" s="258">
        <v>100244</v>
      </c>
      <c r="B5986" s="257" t="s">
        <v>6127</v>
      </c>
      <c r="C5986" s="257" t="s">
        <v>6119</v>
      </c>
      <c r="D5986" s="259" t="s">
        <v>18444</v>
      </c>
      <c r="E5986" s="210" t="s">
        <v>201</v>
      </c>
    </row>
    <row r="5987" spans="1:5" ht="27">
      <c r="A5987" s="258">
        <v>100245</v>
      </c>
      <c r="B5987" s="257" t="s">
        <v>6128</v>
      </c>
      <c r="C5987" s="257" t="s">
        <v>6119</v>
      </c>
      <c r="D5987" s="259" t="s">
        <v>13633</v>
      </c>
      <c r="E5987" s="210" t="s">
        <v>201</v>
      </c>
    </row>
    <row r="5988" spans="1:5" ht="40.5">
      <c r="A5988" s="258">
        <v>100246</v>
      </c>
      <c r="B5988" s="257" t="s">
        <v>6129</v>
      </c>
      <c r="C5988" s="257" t="s">
        <v>6119</v>
      </c>
      <c r="D5988" s="259" t="s">
        <v>18445</v>
      </c>
      <c r="E5988" s="210" t="s">
        <v>201</v>
      </c>
    </row>
    <row r="5989" spans="1:5" ht="40.5">
      <c r="A5989" s="258">
        <v>100247</v>
      </c>
      <c r="B5989" s="257" t="s">
        <v>6130</v>
      </c>
      <c r="C5989" s="257" t="s">
        <v>6119</v>
      </c>
      <c r="D5989" s="259" t="s">
        <v>18443</v>
      </c>
      <c r="E5989" s="210" t="s">
        <v>201</v>
      </c>
    </row>
    <row r="5990" spans="1:5" ht="40.5">
      <c r="A5990" s="258">
        <v>100248</v>
      </c>
      <c r="B5990" s="257" t="s">
        <v>6131</v>
      </c>
      <c r="C5990" s="257" t="s">
        <v>6119</v>
      </c>
      <c r="D5990" s="259" t="s">
        <v>16801</v>
      </c>
      <c r="E5990" s="210" t="s">
        <v>201</v>
      </c>
    </row>
    <row r="5991" spans="1:5" ht="27">
      <c r="A5991" s="258">
        <v>100249</v>
      </c>
      <c r="B5991" s="257" t="s">
        <v>6132</v>
      </c>
      <c r="C5991" s="257" t="s">
        <v>6119</v>
      </c>
      <c r="D5991" s="259" t="s">
        <v>18445</v>
      </c>
      <c r="E5991" s="210" t="s">
        <v>201</v>
      </c>
    </row>
    <row r="5992" spans="1:5" ht="27">
      <c r="A5992" s="258">
        <v>100250</v>
      </c>
      <c r="B5992" s="257" t="s">
        <v>6133</v>
      </c>
      <c r="C5992" s="257" t="s">
        <v>6119</v>
      </c>
      <c r="D5992" s="259" t="s">
        <v>14297</v>
      </c>
      <c r="E5992" s="210" t="s">
        <v>201</v>
      </c>
    </row>
    <row r="5993" spans="1:5" ht="27">
      <c r="A5993" s="258">
        <v>100251</v>
      </c>
      <c r="B5993" s="257" t="s">
        <v>6134</v>
      </c>
      <c r="C5993" s="257" t="s">
        <v>6119</v>
      </c>
      <c r="D5993" s="259" t="s">
        <v>16801</v>
      </c>
      <c r="E5993" s="210" t="s">
        <v>201</v>
      </c>
    </row>
    <row r="5994" spans="1:5" ht="27">
      <c r="A5994" s="258">
        <v>100252</v>
      </c>
      <c r="B5994" s="257" t="s">
        <v>6135</v>
      </c>
      <c r="C5994" s="257" t="s">
        <v>6119</v>
      </c>
      <c r="D5994" s="259" t="s">
        <v>17930</v>
      </c>
      <c r="E5994" s="210" t="s">
        <v>201</v>
      </c>
    </row>
    <row r="5995" spans="1:5" ht="27">
      <c r="A5995" s="258">
        <v>100253</v>
      </c>
      <c r="B5995" s="257" t="s">
        <v>6136</v>
      </c>
      <c r="C5995" s="257" t="s">
        <v>6119</v>
      </c>
      <c r="D5995" s="259" t="s">
        <v>18446</v>
      </c>
      <c r="E5995" s="210" t="s">
        <v>201</v>
      </c>
    </row>
    <row r="5996" spans="1:5" ht="27">
      <c r="A5996" s="258">
        <v>100254</v>
      </c>
      <c r="B5996" s="257" t="s">
        <v>6137</v>
      </c>
      <c r="C5996" s="257" t="s">
        <v>6119</v>
      </c>
      <c r="D5996" s="259" t="s">
        <v>17070</v>
      </c>
      <c r="E5996" s="210" t="s">
        <v>201</v>
      </c>
    </row>
    <row r="5997" spans="1:5" ht="27">
      <c r="A5997" s="258">
        <v>100255</v>
      </c>
      <c r="B5997" s="257" t="s">
        <v>6138</v>
      </c>
      <c r="C5997" s="257" t="s">
        <v>6119</v>
      </c>
      <c r="D5997" s="259" t="s">
        <v>18447</v>
      </c>
      <c r="E5997" s="210" t="s">
        <v>201</v>
      </c>
    </row>
    <row r="5998" spans="1:5" ht="27">
      <c r="A5998" s="258">
        <v>100256</v>
      </c>
      <c r="B5998" s="257" t="s">
        <v>6139</v>
      </c>
      <c r="C5998" s="257" t="s">
        <v>6119</v>
      </c>
      <c r="D5998" s="259" t="s">
        <v>15030</v>
      </c>
      <c r="E5998" s="210" t="s">
        <v>201</v>
      </c>
    </row>
    <row r="5999" spans="1:5" ht="27">
      <c r="A5999" s="258">
        <v>100257</v>
      </c>
      <c r="B5999" s="257" t="s">
        <v>6140</v>
      </c>
      <c r="C5999" s="257" t="s">
        <v>6119</v>
      </c>
      <c r="D5999" s="259" t="s">
        <v>13627</v>
      </c>
      <c r="E5999" s="210" t="s">
        <v>201</v>
      </c>
    </row>
    <row r="6000" spans="1:5" ht="27">
      <c r="A6000" s="258">
        <v>100258</v>
      </c>
      <c r="B6000" s="257" t="s">
        <v>6141</v>
      </c>
      <c r="C6000" s="257" t="s">
        <v>6119</v>
      </c>
      <c r="D6000" s="259" t="s">
        <v>18447</v>
      </c>
      <c r="E6000" s="210" t="s">
        <v>201</v>
      </c>
    </row>
    <row r="6001" spans="1:5" ht="27">
      <c r="A6001" s="258">
        <v>100259</v>
      </c>
      <c r="B6001" s="257" t="s">
        <v>6142</v>
      </c>
      <c r="C6001" s="257" t="s">
        <v>6119</v>
      </c>
      <c r="D6001" s="259" t="s">
        <v>18446</v>
      </c>
      <c r="E6001" s="210" t="s">
        <v>201</v>
      </c>
    </row>
    <row r="6002" spans="1:5" ht="27">
      <c r="A6002" s="258">
        <v>100260</v>
      </c>
      <c r="B6002" s="257" t="s">
        <v>6143</v>
      </c>
      <c r="C6002" s="257" t="s">
        <v>6074</v>
      </c>
      <c r="D6002" s="259" t="s">
        <v>16716</v>
      </c>
      <c r="E6002" s="210" t="s">
        <v>201</v>
      </c>
    </row>
    <row r="6003" spans="1:5" ht="27">
      <c r="A6003" s="258">
        <v>100261</v>
      </c>
      <c r="B6003" s="257" t="s">
        <v>6144</v>
      </c>
      <c r="C6003" s="257" t="s">
        <v>6074</v>
      </c>
      <c r="D6003" s="259" t="s">
        <v>14015</v>
      </c>
      <c r="E6003" s="210" t="s">
        <v>201</v>
      </c>
    </row>
    <row r="6004" spans="1:5" ht="27">
      <c r="A6004" s="258">
        <v>100262</v>
      </c>
      <c r="B6004" s="257" t="s">
        <v>6145</v>
      </c>
      <c r="C6004" s="257" t="s">
        <v>6074</v>
      </c>
      <c r="D6004" s="259" t="s">
        <v>18448</v>
      </c>
      <c r="E6004" s="210" t="s">
        <v>201</v>
      </c>
    </row>
    <row r="6005" spans="1:5" ht="27">
      <c r="A6005" s="258">
        <v>100263</v>
      </c>
      <c r="B6005" s="257" t="s">
        <v>6146</v>
      </c>
      <c r="C6005" s="257" t="s">
        <v>6074</v>
      </c>
      <c r="D6005" s="259" t="s">
        <v>14216</v>
      </c>
      <c r="E6005" s="210" t="s">
        <v>201</v>
      </c>
    </row>
    <row r="6006" spans="1:5" ht="13.5">
      <c r="A6006" s="258">
        <v>100264</v>
      </c>
      <c r="B6006" s="257" t="s">
        <v>6147</v>
      </c>
      <c r="C6006" s="257" t="s">
        <v>6101</v>
      </c>
      <c r="D6006" s="259" t="s">
        <v>18449</v>
      </c>
      <c r="E6006" s="210" t="s">
        <v>201</v>
      </c>
    </row>
    <row r="6007" spans="1:5" ht="13.5">
      <c r="A6007" s="258">
        <v>100265</v>
      </c>
      <c r="B6007" s="257" t="s">
        <v>6148</v>
      </c>
      <c r="C6007" s="257" t="s">
        <v>150</v>
      </c>
      <c r="D6007" s="259" t="s">
        <v>14026</v>
      </c>
      <c r="E6007" s="210" t="s">
        <v>201</v>
      </c>
    </row>
    <row r="6008" spans="1:5" ht="13.5">
      <c r="A6008" s="258">
        <v>100266</v>
      </c>
      <c r="B6008" s="257" t="s">
        <v>6149</v>
      </c>
      <c r="C6008" s="257" t="s">
        <v>6088</v>
      </c>
      <c r="D6008" s="259" t="s">
        <v>18450</v>
      </c>
      <c r="E6008" s="210" t="s">
        <v>201</v>
      </c>
    </row>
    <row r="6009" spans="1:5" ht="13.5">
      <c r="A6009" s="258">
        <v>100267</v>
      </c>
      <c r="B6009" s="257" t="s">
        <v>6150</v>
      </c>
      <c r="C6009" s="257" t="s">
        <v>90</v>
      </c>
      <c r="D6009" s="259" t="s">
        <v>13853</v>
      </c>
      <c r="E6009" s="210" t="s">
        <v>201</v>
      </c>
    </row>
    <row r="6010" spans="1:5" ht="27">
      <c r="A6010" s="258">
        <v>100268</v>
      </c>
      <c r="B6010" s="257" t="s">
        <v>6151</v>
      </c>
      <c r="C6010" s="257" t="s">
        <v>6088</v>
      </c>
      <c r="D6010" s="259" t="s">
        <v>18450</v>
      </c>
      <c r="E6010" s="210" t="s">
        <v>201</v>
      </c>
    </row>
    <row r="6011" spans="1:5" ht="27">
      <c r="A6011" s="258">
        <v>100269</v>
      </c>
      <c r="B6011" s="257" t="s">
        <v>6152</v>
      </c>
      <c r="C6011" s="257" t="s">
        <v>90</v>
      </c>
      <c r="D6011" s="259" t="s">
        <v>13853</v>
      </c>
      <c r="E6011" s="210" t="s">
        <v>201</v>
      </c>
    </row>
    <row r="6012" spans="1:5" ht="27">
      <c r="A6012" s="258">
        <v>100270</v>
      </c>
      <c r="B6012" s="257" t="s">
        <v>6153</v>
      </c>
      <c r="C6012" s="257" t="s">
        <v>6088</v>
      </c>
      <c r="D6012" s="259" t="s">
        <v>18451</v>
      </c>
      <c r="E6012" s="210" t="s">
        <v>201</v>
      </c>
    </row>
    <row r="6013" spans="1:5" ht="13.5">
      <c r="A6013" s="258">
        <v>100271</v>
      </c>
      <c r="B6013" s="257" t="s">
        <v>6154</v>
      </c>
      <c r="C6013" s="257" t="s">
        <v>6101</v>
      </c>
      <c r="D6013" s="259" t="s">
        <v>14911</v>
      </c>
      <c r="E6013" s="210" t="s">
        <v>201</v>
      </c>
    </row>
    <row r="6014" spans="1:5" ht="13.5">
      <c r="A6014" s="258">
        <v>100272</v>
      </c>
      <c r="B6014" s="257" t="s">
        <v>6155</v>
      </c>
      <c r="C6014" s="257" t="s">
        <v>150</v>
      </c>
      <c r="D6014" s="259" t="s">
        <v>18452</v>
      </c>
      <c r="E6014" s="210" t="s">
        <v>201</v>
      </c>
    </row>
    <row r="6015" spans="1:5" ht="13.5">
      <c r="A6015" s="258">
        <v>100273</v>
      </c>
      <c r="B6015" s="257" t="s">
        <v>6156</v>
      </c>
      <c r="C6015" s="257" t="s">
        <v>6074</v>
      </c>
      <c r="D6015" s="259" t="s">
        <v>14552</v>
      </c>
      <c r="E6015" s="210" t="s">
        <v>201</v>
      </c>
    </row>
    <row r="6016" spans="1:5" ht="13.5">
      <c r="A6016" s="258">
        <v>100274</v>
      </c>
      <c r="B6016" s="257" t="s">
        <v>6157</v>
      </c>
      <c r="C6016" s="257" t="s">
        <v>6101</v>
      </c>
      <c r="D6016" s="259" t="s">
        <v>18159</v>
      </c>
      <c r="E6016" s="210" t="s">
        <v>201</v>
      </c>
    </row>
    <row r="6017" spans="1:5" ht="27">
      <c r="A6017" s="258">
        <v>100275</v>
      </c>
      <c r="B6017" s="257" t="s">
        <v>6158</v>
      </c>
      <c r="C6017" s="257" t="s">
        <v>6101</v>
      </c>
      <c r="D6017" s="259" t="s">
        <v>14493</v>
      </c>
      <c r="E6017" s="210" t="s">
        <v>201</v>
      </c>
    </row>
    <row r="6018" spans="1:5" ht="27">
      <c r="A6018" s="258">
        <v>100276</v>
      </c>
      <c r="B6018" s="257" t="s">
        <v>6159</v>
      </c>
      <c r="C6018" s="257" t="s">
        <v>6101</v>
      </c>
      <c r="D6018" s="259" t="s">
        <v>18453</v>
      </c>
      <c r="E6018" s="210" t="s">
        <v>201</v>
      </c>
    </row>
    <row r="6019" spans="1:5" ht="27">
      <c r="A6019" s="258">
        <v>100277</v>
      </c>
      <c r="B6019" s="257" t="s">
        <v>6160</v>
      </c>
      <c r="C6019" s="257" t="s">
        <v>6101</v>
      </c>
      <c r="D6019" s="259" t="s">
        <v>13853</v>
      </c>
      <c r="E6019" s="210" t="s">
        <v>201</v>
      </c>
    </row>
    <row r="6020" spans="1:5" ht="27">
      <c r="A6020" s="258">
        <v>100278</v>
      </c>
      <c r="B6020" s="257" t="s">
        <v>6161</v>
      </c>
      <c r="C6020" s="257" t="s">
        <v>6088</v>
      </c>
      <c r="D6020" s="259" t="s">
        <v>18454</v>
      </c>
      <c r="E6020" s="210" t="s">
        <v>201</v>
      </c>
    </row>
    <row r="6021" spans="1:5" ht="27">
      <c r="A6021" s="258">
        <v>100279</v>
      </c>
      <c r="B6021" s="257" t="s">
        <v>6162</v>
      </c>
      <c r="C6021" s="257" t="s">
        <v>90</v>
      </c>
      <c r="D6021" s="259" t="s">
        <v>14013</v>
      </c>
      <c r="E6021" s="210" t="s">
        <v>201</v>
      </c>
    </row>
    <row r="6022" spans="1:5" ht="27">
      <c r="A6022" s="258">
        <v>100280</v>
      </c>
      <c r="B6022" s="257" t="s">
        <v>6163</v>
      </c>
      <c r="C6022" s="257" t="s">
        <v>6088</v>
      </c>
      <c r="D6022" s="259" t="s">
        <v>18455</v>
      </c>
      <c r="E6022" s="210" t="s">
        <v>201</v>
      </c>
    </row>
    <row r="6023" spans="1:5" ht="27">
      <c r="A6023" s="258">
        <v>100281</v>
      </c>
      <c r="B6023" s="257" t="s">
        <v>6164</v>
      </c>
      <c r="C6023" s="257" t="s">
        <v>6088</v>
      </c>
      <c r="D6023" s="259" t="s">
        <v>18456</v>
      </c>
      <c r="E6023" s="210" t="s">
        <v>201</v>
      </c>
    </row>
    <row r="6024" spans="1:5" ht="13.5">
      <c r="A6024" s="258">
        <v>100282</v>
      </c>
      <c r="B6024" s="257" t="s">
        <v>6165</v>
      </c>
      <c r="C6024" s="257" t="s">
        <v>6101</v>
      </c>
      <c r="D6024" s="259" t="s">
        <v>18457</v>
      </c>
      <c r="E6024" s="210" t="s">
        <v>201</v>
      </c>
    </row>
    <row r="6025" spans="1:5" ht="27">
      <c r="A6025" s="258">
        <v>100283</v>
      </c>
      <c r="B6025" s="257" t="s">
        <v>6166</v>
      </c>
      <c r="C6025" s="257" t="s">
        <v>6101</v>
      </c>
      <c r="D6025" s="259" t="s">
        <v>18153</v>
      </c>
      <c r="E6025" s="210" t="s">
        <v>201</v>
      </c>
    </row>
    <row r="6026" spans="1:5" ht="27">
      <c r="A6026" s="258">
        <v>100284</v>
      </c>
      <c r="B6026" s="257" t="s">
        <v>6167</v>
      </c>
      <c r="C6026" s="257" t="s">
        <v>6101</v>
      </c>
      <c r="D6026" s="259" t="s">
        <v>16463</v>
      </c>
      <c r="E6026" s="210" t="s">
        <v>201</v>
      </c>
    </row>
    <row r="6027" spans="1:5" ht="13.5">
      <c r="A6027" s="258">
        <v>100285</v>
      </c>
      <c r="B6027" s="257" t="s">
        <v>6168</v>
      </c>
      <c r="C6027" s="257" t="s">
        <v>6119</v>
      </c>
      <c r="D6027" s="259" t="s">
        <v>18458</v>
      </c>
      <c r="E6027" s="210" t="s">
        <v>201</v>
      </c>
    </row>
    <row r="6028" spans="1:5" ht="27">
      <c r="A6028" s="258">
        <v>100286</v>
      </c>
      <c r="B6028" s="257" t="s">
        <v>6169</v>
      </c>
      <c r="C6028" s="257" t="s">
        <v>6119</v>
      </c>
      <c r="D6028" s="259" t="s">
        <v>16878</v>
      </c>
      <c r="E6028" s="210" t="s">
        <v>201</v>
      </c>
    </row>
    <row r="6029" spans="1:5" ht="27">
      <c r="A6029" s="258">
        <v>100287</v>
      </c>
      <c r="B6029" s="257" t="s">
        <v>6170</v>
      </c>
      <c r="C6029" s="257" t="s">
        <v>6119</v>
      </c>
      <c r="D6029" s="259" t="s">
        <v>16801</v>
      </c>
      <c r="E6029" s="210" t="s">
        <v>201</v>
      </c>
    </row>
    <row r="6030" spans="1:5" ht="13.5">
      <c r="A6030" s="258">
        <v>84117</v>
      </c>
      <c r="B6030" s="257" t="s">
        <v>4243</v>
      </c>
      <c r="C6030" s="257" t="s">
        <v>150</v>
      </c>
      <c r="D6030" s="259" t="s">
        <v>15380</v>
      </c>
      <c r="E6030" s="210" t="s">
        <v>201</v>
      </c>
    </row>
    <row r="6031" spans="1:5" ht="13.5">
      <c r="A6031" s="258">
        <v>84120</v>
      </c>
      <c r="B6031" s="257" t="s">
        <v>4244</v>
      </c>
      <c r="C6031" s="257" t="s">
        <v>150</v>
      </c>
      <c r="D6031" s="259" t="s">
        <v>18459</v>
      </c>
      <c r="E6031" s="210" t="s">
        <v>201</v>
      </c>
    </row>
    <row r="6032" spans="1:5" ht="13.5">
      <c r="A6032" s="258">
        <v>99802</v>
      </c>
      <c r="B6032" s="257" t="s">
        <v>6171</v>
      </c>
      <c r="C6032" s="257" t="s">
        <v>150</v>
      </c>
      <c r="D6032" s="259" t="s">
        <v>18460</v>
      </c>
      <c r="E6032" s="210" t="s">
        <v>201</v>
      </c>
    </row>
    <row r="6033" spans="1:5" ht="13.5">
      <c r="A6033" s="258">
        <v>99803</v>
      </c>
      <c r="B6033" s="257" t="s">
        <v>6172</v>
      </c>
      <c r="C6033" s="257" t="s">
        <v>150</v>
      </c>
      <c r="D6033" s="259" t="s">
        <v>14455</v>
      </c>
      <c r="E6033" s="210" t="s">
        <v>201</v>
      </c>
    </row>
    <row r="6034" spans="1:5" ht="13.5">
      <c r="A6034" s="258">
        <v>99805</v>
      </c>
      <c r="B6034" s="257" t="s">
        <v>6173</v>
      </c>
      <c r="C6034" s="257" t="s">
        <v>150</v>
      </c>
      <c r="D6034" s="259" t="s">
        <v>18461</v>
      </c>
      <c r="E6034" s="210" t="s">
        <v>201</v>
      </c>
    </row>
    <row r="6035" spans="1:5" ht="13.5">
      <c r="A6035" s="258">
        <v>99806</v>
      </c>
      <c r="B6035" s="257" t="s">
        <v>6174</v>
      </c>
      <c r="C6035" s="257" t="s">
        <v>150</v>
      </c>
      <c r="D6035" s="259" t="s">
        <v>14063</v>
      </c>
      <c r="E6035" s="210" t="s">
        <v>201</v>
      </c>
    </row>
    <row r="6036" spans="1:5" ht="13.5">
      <c r="A6036" s="258">
        <v>99808</v>
      </c>
      <c r="B6036" s="257" t="s">
        <v>6175</v>
      </c>
      <c r="C6036" s="257" t="s">
        <v>150</v>
      </c>
      <c r="D6036" s="259" t="s">
        <v>18462</v>
      </c>
      <c r="E6036" s="210" t="s">
        <v>201</v>
      </c>
    </row>
    <row r="6037" spans="1:5" ht="13.5">
      <c r="A6037" s="258">
        <v>99809</v>
      </c>
      <c r="B6037" s="257" t="s">
        <v>6176</v>
      </c>
      <c r="C6037" s="257" t="s">
        <v>150</v>
      </c>
      <c r="D6037" s="260" t="s">
        <v>13628</v>
      </c>
      <c r="E6037" s="210" t="s">
        <v>201</v>
      </c>
    </row>
    <row r="6038" spans="1:5" ht="13.5">
      <c r="A6038" s="258">
        <v>99811</v>
      </c>
      <c r="B6038" s="257" t="s">
        <v>6177</v>
      </c>
      <c r="C6038" s="257" t="s">
        <v>150</v>
      </c>
      <c r="D6038" s="260" t="s">
        <v>18463</v>
      </c>
      <c r="E6038" s="210" t="s">
        <v>201</v>
      </c>
    </row>
    <row r="6039" spans="1:5" ht="13.5">
      <c r="A6039" s="258">
        <v>99812</v>
      </c>
      <c r="B6039" s="257" t="s">
        <v>6178</v>
      </c>
      <c r="C6039" s="257" t="s">
        <v>150</v>
      </c>
      <c r="D6039" s="260" t="s">
        <v>13653</v>
      </c>
      <c r="E6039" s="210" t="s">
        <v>201</v>
      </c>
    </row>
    <row r="6040" spans="1:5" ht="13.5">
      <c r="A6040" s="258">
        <v>99814</v>
      </c>
      <c r="B6040" s="257" t="s">
        <v>6179</v>
      </c>
      <c r="C6040" s="257" t="s">
        <v>150</v>
      </c>
      <c r="D6040" s="260" t="s">
        <v>18464</v>
      </c>
      <c r="E6040" s="210" t="s">
        <v>201</v>
      </c>
    </row>
    <row r="6041" spans="1:5" ht="13.5">
      <c r="A6041" s="258">
        <v>99822</v>
      </c>
      <c r="B6041" s="257" t="s">
        <v>6180</v>
      </c>
      <c r="C6041" s="257" t="s">
        <v>150</v>
      </c>
      <c r="D6041" s="260" t="s">
        <v>14190</v>
      </c>
      <c r="E6041" s="210" t="s">
        <v>201</v>
      </c>
    </row>
    <row r="6042" spans="1:5" ht="13.5">
      <c r="A6042" s="258">
        <v>99826</v>
      </c>
      <c r="B6042" s="257" t="s">
        <v>6181</v>
      </c>
      <c r="C6042" s="257" t="s">
        <v>150</v>
      </c>
      <c r="D6042" s="260" t="s">
        <v>14093</v>
      </c>
      <c r="E6042" s="210" t="s">
        <v>201</v>
      </c>
    </row>
    <row r="6043" spans="1:5" ht="13.5">
      <c r="A6043" s="258" t="s">
        <v>4245</v>
      </c>
      <c r="B6043" s="257" t="s">
        <v>4246</v>
      </c>
      <c r="C6043" s="257" t="s">
        <v>5</v>
      </c>
      <c r="D6043" s="260" t="s">
        <v>18465</v>
      </c>
      <c r="E6043" s="210" t="s">
        <v>201</v>
      </c>
    </row>
    <row r="6044" spans="1:5" ht="13.5">
      <c r="A6044" s="258" t="s">
        <v>4247</v>
      </c>
      <c r="B6044" s="257" t="s">
        <v>4248</v>
      </c>
      <c r="C6044" s="257" t="s">
        <v>5</v>
      </c>
      <c r="D6044" s="260" t="s">
        <v>18466</v>
      </c>
      <c r="E6044" s="210" t="s">
        <v>201</v>
      </c>
    </row>
    <row r="6045" spans="1:5" ht="13.5">
      <c r="A6045" s="258">
        <v>84127</v>
      </c>
      <c r="B6045" s="257" t="s">
        <v>4249</v>
      </c>
      <c r="C6045" s="257" t="s">
        <v>5</v>
      </c>
      <c r="D6045" s="260" t="s">
        <v>18467</v>
      </c>
      <c r="E6045" s="210" t="s">
        <v>201</v>
      </c>
    </row>
    <row r="6046" spans="1:5" ht="13.5">
      <c r="A6046" s="258">
        <v>40841</v>
      </c>
      <c r="B6046" s="257" t="s">
        <v>4250</v>
      </c>
      <c r="C6046" s="257" t="s">
        <v>90</v>
      </c>
      <c r="D6046" s="260" t="s">
        <v>18468</v>
      </c>
      <c r="E6046" s="210" t="s">
        <v>201</v>
      </c>
    </row>
    <row r="6047" spans="1:5" ht="27">
      <c r="A6047" s="258">
        <v>71516</v>
      </c>
      <c r="B6047" s="257" t="s">
        <v>4251</v>
      </c>
      <c r="C6047" s="257" t="s">
        <v>90</v>
      </c>
      <c r="D6047" s="260" t="s">
        <v>18469</v>
      </c>
      <c r="E6047" s="210" t="s">
        <v>201</v>
      </c>
    </row>
    <row r="6048" spans="1:5" ht="13.5">
      <c r="A6048" s="258">
        <v>73361</v>
      </c>
      <c r="B6048" s="257" t="s">
        <v>4252</v>
      </c>
      <c r="C6048" s="257" t="s">
        <v>172</v>
      </c>
      <c r="D6048" s="260" t="s">
        <v>18470</v>
      </c>
      <c r="E6048" s="210" t="s">
        <v>201</v>
      </c>
    </row>
    <row r="6049" spans="1:5" ht="40.5">
      <c r="A6049" s="258">
        <v>73714</v>
      </c>
      <c r="B6049" s="257" t="s">
        <v>4253</v>
      </c>
      <c r="C6049" s="257" t="s">
        <v>90</v>
      </c>
      <c r="D6049" s="260" t="s">
        <v>18471</v>
      </c>
      <c r="E6049" s="210" t="s">
        <v>201</v>
      </c>
    </row>
    <row r="6050" spans="1:5" ht="27">
      <c r="A6050" s="258">
        <v>97010</v>
      </c>
      <c r="B6050" s="257" t="s">
        <v>4994</v>
      </c>
      <c r="C6050" s="257" t="s">
        <v>5</v>
      </c>
      <c r="D6050" s="260" t="s">
        <v>18472</v>
      </c>
      <c r="E6050" s="210" t="s">
        <v>201</v>
      </c>
    </row>
    <row r="6051" spans="1:5" ht="27">
      <c r="A6051" s="258">
        <v>97011</v>
      </c>
      <c r="B6051" s="257" t="s">
        <v>4995</v>
      </c>
      <c r="C6051" s="257" t="s">
        <v>5</v>
      </c>
      <c r="D6051" s="260" t="s">
        <v>18473</v>
      </c>
      <c r="E6051" s="210" t="s">
        <v>201</v>
      </c>
    </row>
    <row r="6052" spans="1:5" ht="40.5">
      <c r="A6052" s="258">
        <v>97012</v>
      </c>
      <c r="B6052" s="257" t="s">
        <v>4996</v>
      </c>
      <c r="C6052" s="257" t="s">
        <v>5</v>
      </c>
      <c r="D6052" s="260" t="s">
        <v>18474</v>
      </c>
      <c r="E6052" s="210" t="s">
        <v>201</v>
      </c>
    </row>
    <row r="6053" spans="1:5" ht="27">
      <c r="A6053" s="258">
        <v>97013</v>
      </c>
      <c r="B6053" s="257" t="s">
        <v>4997</v>
      </c>
      <c r="C6053" s="257" t="s">
        <v>5</v>
      </c>
      <c r="D6053" s="260" t="s">
        <v>18475</v>
      </c>
      <c r="E6053" s="210" t="s">
        <v>201</v>
      </c>
    </row>
    <row r="6054" spans="1:5" ht="27">
      <c r="A6054" s="258">
        <v>97014</v>
      </c>
      <c r="B6054" s="257" t="s">
        <v>4998</v>
      </c>
      <c r="C6054" s="257" t="s">
        <v>5</v>
      </c>
      <c r="D6054" s="259" t="s">
        <v>18476</v>
      </c>
      <c r="E6054" s="210" t="s">
        <v>201</v>
      </c>
    </row>
    <row r="6055" spans="1:5" ht="27">
      <c r="A6055" s="258">
        <v>97015</v>
      </c>
      <c r="B6055" s="257" t="s">
        <v>4999</v>
      </c>
      <c r="C6055" s="257" t="s">
        <v>5</v>
      </c>
      <c r="D6055" s="259" t="s">
        <v>18477</v>
      </c>
      <c r="E6055" s="210" t="s">
        <v>201</v>
      </c>
    </row>
    <row r="6056" spans="1:5" ht="27">
      <c r="A6056" s="258">
        <v>97016</v>
      </c>
      <c r="B6056" s="257" t="s">
        <v>5000</v>
      </c>
      <c r="C6056" s="257" t="s">
        <v>5</v>
      </c>
      <c r="D6056" s="259" t="s">
        <v>18478</v>
      </c>
      <c r="E6056" s="210" t="s">
        <v>201</v>
      </c>
    </row>
    <row r="6057" spans="1:5" ht="27">
      <c r="A6057" s="258">
        <v>97017</v>
      </c>
      <c r="B6057" s="257" t="s">
        <v>5001</v>
      </c>
      <c r="C6057" s="257" t="s">
        <v>5</v>
      </c>
      <c r="D6057" s="259" t="s">
        <v>15944</v>
      </c>
      <c r="E6057" s="210" t="s">
        <v>201</v>
      </c>
    </row>
    <row r="6058" spans="1:5" ht="27">
      <c r="A6058" s="258">
        <v>97018</v>
      </c>
      <c r="B6058" s="257" t="s">
        <v>5002</v>
      </c>
      <c r="C6058" s="257" t="s">
        <v>5</v>
      </c>
      <c r="D6058" s="259" t="s">
        <v>17146</v>
      </c>
      <c r="E6058" s="210" t="s">
        <v>201</v>
      </c>
    </row>
    <row r="6059" spans="1:5" ht="40.5">
      <c r="A6059" s="258">
        <v>97031</v>
      </c>
      <c r="B6059" s="257" t="s">
        <v>5003</v>
      </c>
      <c r="C6059" s="257" t="s">
        <v>5</v>
      </c>
      <c r="D6059" s="259" t="s">
        <v>16511</v>
      </c>
      <c r="E6059" s="210" t="s">
        <v>201</v>
      </c>
    </row>
    <row r="6060" spans="1:5" ht="40.5">
      <c r="A6060" s="258">
        <v>97032</v>
      </c>
      <c r="B6060" s="257" t="s">
        <v>6182</v>
      </c>
      <c r="C6060" s="257" t="s">
        <v>5</v>
      </c>
      <c r="D6060" s="259" t="s">
        <v>18479</v>
      </c>
      <c r="E6060" s="210" t="s">
        <v>201</v>
      </c>
    </row>
    <row r="6061" spans="1:5" ht="40.5">
      <c r="A6061" s="258">
        <v>97033</v>
      </c>
      <c r="B6061" s="257" t="s">
        <v>6183</v>
      </c>
      <c r="C6061" s="257" t="s">
        <v>5</v>
      </c>
      <c r="D6061" s="259" t="s">
        <v>18480</v>
      </c>
      <c r="E6061" s="210" t="s">
        <v>201</v>
      </c>
    </row>
    <row r="6062" spans="1:5" ht="40.5">
      <c r="A6062" s="258">
        <v>97034</v>
      </c>
      <c r="B6062" s="257" t="s">
        <v>6184</v>
      </c>
      <c r="C6062" s="257" t="s">
        <v>5</v>
      </c>
      <c r="D6062" s="259" t="s">
        <v>18481</v>
      </c>
      <c r="E6062" s="210" t="s">
        <v>201</v>
      </c>
    </row>
    <row r="6063" spans="1:5" ht="27">
      <c r="A6063" s="258">
        <v>97039</v>
      </c>
      <c r="B6063" s="257" t="s">
        <v>5004</v>
      </c>
      <c r="C6063" s="257" t="s">
        <v>150</v>
      </c>
      <c r="D6063" s="259" t="s">
        <v>17513</v>
      </c>
      <c r="E6063" s="210" t="s">
        <v>201</v>
      </c>
    </row>
    <row r="6064" spans="1:5" ht="13.5">
      <c r="A6064" s="258">
        <v>97040</v>
      </c>
      <c r="B6064" s="257" t="s">
        <v>5005</v>
      </c>
      <c r="C6064" s="257" t="s">
        <v>150</v>
      </c>
      <c r="D6064" s="259" t="s">
        <v>18482</v>
      </c>
      <c r="E6064" s="210" t="s">
        <v>201</v>
      </c>
    </row>
    <row r="6065" spans="1:5" ht="13.5">
      <c r="A6065" s="258">
        <v>97041</v>
      </c>
      <c r="B6065" s="257" t="s">
        <v>5006</v>
      </c>
      <c r="C6065" s="257" t="s">
        <v>150</v>
      </c>
      <c r="D6065" s="259" t="s">
        <v>18483</v>
      </c>
      <c r="E6065" s="210" t="s">
        <v>201</v>
      </c>
    </row>
    <row r="6066" spans="1:5" ht="13.5">
      <c r="A6066" s="258">
        <v>97046</v>
      </c>
      <c r="B6066" s="257" t="s">
        <v>6185</v>
      </c>
      <c r="C6066" s="257" t="s">
        <v>150</v>
      </c>
      <c r="D6066" s="259" t="s">
        <v>13992</v>
      </c>
      <c r="E6066" s="210" t="s">
        <v>201</v>
      </c>
    </row>
    <row r="6067" spans="1:5" ht="27">
      <c r="A6067" s="258">
        <v>97047</v>
      </c>
      <c r="B6067" s="257" t="s">
        <v>6186</v>
      </c>
      <c r="C6067" s="257" t="s">
        <v>150</v>
      </c>
      <c r="D6067" s="259" t="s">
        <v>14187</v>
      </c>
      <c r="E6067" s="210" t="s">
        <v>201</v>
      </c>
    </row>
    <row r="6068" spans="1:5" ht="13.5">
      <c r="A6068" s="258">
        <v>97048</v>
      </c>
      <c r="B6068" s="257" t="s">
        <v>6187</v>
      </c>
      <c r="C6068" s="257" t="s">
        <v>150</v>
      </c>
      <c r="D6068" s="259" t="s">
        <v>14084</v>
      </c>
      <c r="E6068" s="210" t="s">
        <v>201</v>
      </c>
    </row>
    <row r="6069" spans="1:5" ht="13.5">
      <c r="A6069" s="258">
        <v>97051</v>
      </c>
      <c r="B6069" s="257" t="s">
        <v>6188</v>
      </c>
      <c r="C6069" s="257" t="s">
        <v>5</v>
      </c>
      <c r="D6069" s="259" t="s">
        <v>14025</v>
      </c>
      <c r="E6069" s="210" t="s">
        <v>201</v>
      </c>
    </row>
    <row r="6070" spans="1:5" ht="13.5">
      <c r="A6070" s="258">
        <v>97053</v>
      </c>
      <c r="B6070" s="257" t="s">
        <v>6189</v>
      </c>
      <c r="C6070" s="257" t="s">
        <v>5</v>
      </c>
      <c r="D6070" s="259" t="s">
        <v>18484</v>
      </c>
      <c r="E6070" s="210" t="s">
        <v>201</v>
      </c>
    </row>
    <row r="6071" spans="1:5" ht="13.5">
      <c r="A6071" s="258">
        <v>97062</v>
      </c>
      <c r="B6071" s="257" t="s">
        <v>5007</v>
      </c>
      <c r="C6071" s="257" t="s">
        <v>150</v>
      </c>
      <c r="D6071" s="259" t="s">
        <v>13620</v>
      </c>
      <c r="E6071" s="210" t="s">
        <v>201</v>
      </c>
    </row>
    <row r="6072" spans="1:5" ht="27">
      <c r="A6072" s="258">
        <v>97063</v>
      </c>
      <c r="B6072" s="257" t="s">
        <v>5008</v>
      </c>
      <c r="C6072" s="257" t="s">
        <v>150</v>
      </c>
      <c r="D6072" s="259" t="s">
        <v>14410</v>
      </c>
      <c r="E6072" s="210" t="s">
        <v>201</v>
      </c>
    </row>
    <row r="6073" spans="1:5" ht="27">
      <c r="A6073" s="258">
        <v>97064</v>
      </c>
      <c r="B6073" s="257" t="s">
        <v>5009</v>
      </c>
      <c r="C6073" s="257" t="s">
        <v>5</v>
      </c>
      <c r="D6073" s="259" t="s">
        <v>16961</v>
      </c>
      <c r="E6073" s="210" t="s">
        <v>201</v>
      </c>
    </row>
    <row r="6074" spans="1:5" ht="13.5">
      <c r="A6074" s="258">
        <v>97065</v>
      </c>
      <c r="B6074" s="257" t="s">
        <v>5010</v>
      </c>
      <c r="C6074" s="257" t="s">
        <v>172</v>
      </c>
      <c r="D6074" s="259" t="s">
        <v>18485</v>
      </c>
      <c r="E6074" s="210" t="s">
        <v>201</v>
      </c>
    </row>
    <row r="6075" spans="1:5" ht="27">
      <c r="A6075" s="258">
        <v>97066</v>
      </c>
      <c r="B6075" s="257" t="s">
        <v>6190</v>
      </c>
      <c r="C6075" s="257" t="s">
        <v>150</v>
      </c>
      <c r="D6075" s="259" t="s">
        <v>18486</v>
      </c>
      <c r="E6075" s="210" t="s">
        <v>201</v>
      </c>
    </row>
    <row r="6076" spans="1:5" ht="27">
      <c r="A6076" s="258">
        <v>97067</v>
      </c>
      <c r="B6076" s="257" t="s">
        <v>5011</v>
      </c>
      <c r="C6076" s="257" t="s">
        <v>5</v>
      </c>
      <c r="D6076" s="259" t="s">
        <v>18487</v>
      </c>
      <c r="E6076" s="210" t="s">
        <v>201</v>
      </c>
    </row>
    <row r="6077" spans="1:5" ht="13.5">
      <c r="A6077" s="258" t="s">
        <v>4254</v>
      </c>
      <c r="B6077" s="257" t="s">
        <v>4255</v>
      </c>
      <c r="C6077" s="257" t="s">
        <v>90</v>
      </c>
      <c r="D6077" s="259" t="s">
        <v>18488</v>
      </c>
      <c r="E6077" s="210" t="s">
        <v>201</v>
      </c>
    </row>
    <row r="6078" spans="1:5" ht="27">
      <c r="A6078" s="258">
        <v>73672</v>
      </c>
      <c r="B6078" s="257" t="s">
        <v>213</v>
      </c>
      <c r="C6078" s="257" t="s">
        <v>150</v>
      </c>
      <c r="D6078" s="259" t="s">
        <v>14181</v>
      </c>
      <c r="E6078" s="210" t="s">
        <v>201</v>
      </c>
    </row>
    <row r="6079" spans="1:5" ht="13.5">
      <c r="A6079" s="258" t="s">
        <v>4256</v>
      </c>
      <c r="B6079" s="257" t="s">
        <v>4257</v>
      </c>
      <c r="C6079" s="257" t="s">
        <v>150</v>
      </c>
      <c r="D6079" s="259" t="s">
        <v>18489</v>
      </c>
      <c r="E6079" s="210" t="s">
        <v>201</v>
      </c>
    </row>
    <row r="6080" spans="1:5" ht="27">
      <c r="A6080" s="258" t="s">
        <v>4258</v>
      </c>
      <c r="B6080" s="257" t="s">
        <v>4259</v>
      </c>
      <c r="C6080" s="257" t="s">
        <v>150</v>
      </c>
      <c r="D6080" s="259" t="s">
        <v>14082</v>
      </c>
      <c r="E6080" s="210" t="s">
        <v>201</v>
      </c>
    </row>
    <row r="6081" spans="1:5" ht="13.5">
      <c r="A6081" s="258" t="s">
        <v>4260</v>
      </c>
      <c r="B6081" s="257" t="s">
        <v>4261</v>
      </c>
      <c r="C6081" s="257" t="s">
        <v>150</v>
      </c>
      <c r="D6081" s="259" t="s">
        <v>13869</v>
      </c>
      <c r="E6081" s="210" t="s">
        <v>201</v>
      </c>
    </row>
    <row r="6082" spans="1:5" ht="13.5">
      <c r="A6082" s="258">
        <v>85331</v>
      </c>
      <c r="B6082" s="257" t="s">
        <v>4262</v>
      </c>
      <c r="C6082" s="257" t="s">
        <v>150</v>
      </c>
      <c r="D6082" s="259" t="s">
        <v>17670</v>
      </c>
      <c r="E6082" s="210" t="s">
        <v>201</v>
      </c>
    </row>
    <row r="6083" spans="1:5" ht="13.5">
      <c r="A6083" s="258">
        <v>85422</v>
      </c>
      <c r="B6083" s="257" t="s">
        <v>4263</v>
      </c>
      <c r="C6083" s="257" t="s">
        <v>150</v>
      </c>
      <c r="D6083" s="259" t="s">
        <v>15478</v>
      </c>
      <c r="E6083" s="210" t="s">
        <v>201</v>
      </c>
    </row>
    <row r="6084" spans="1:5" ht="13.5">
      <c r="A6084" s="258" t="s">
        <v>4264</v>
      </c>
      <c r="B6084" s="257" t="s">
        <v>4265</v>
      </c>
      <c r="C6084" s="257" t="s">
        <v>150</v>
      </c>
      <c r="D6084" s="259" t="s">
        <v>18490</v>
      </c>
      <c r="E6084" s="210" t="s">
        <v>201</v>
      </c>
    </row>
    <row r="6085" spans="1:5" ht="13.5">
      <c r="A6085" s="258" t="s">
        <v>4266</v>
      </c>
      <c r="B6085" s="257" t="s">
        <v>4267</v>
      </c>
      <c r="C6085" s="257" t="s">
        <v>5</v>
      </c>
      <c r="D6085" s="259" t="s">
        <v>18491</v>
      </c>
      <c r="E6085" s="210" t="s">
        <v>201</v>
      </c>
    </row>
    <row r="6086" spans="1:5" ht="13.5">
      <c r="A6086" s="258" t="s">
        <v>4268</v>
      </c>
      <c r="B6086" s="257" t="s">
        <v>4269</v>
      </c>
      <c r="C6086" s="257" t="s">
        <v>150</v>
      </c>
      <c r="D6086" s="259" t="s">
        <v>18492</v>
      </c>
      <c r="E6086" s="210" t="s">
        <v>201</v>
      </c>
    </row>
    <row r="6087" spans="1:5" ht="13.5">
      <c r="A6087" s="258" t="s">
        <v>4270</v>
      </c>
      <c r="B6087" s="257" t="s">
        <v>4271</v>
      </c>
      <c r="C6087" s="257" t="s">
        <v>150</v>
      </c>
      <c r="D6087" s="259" t="s">
        <v>18203</v>
      </c>
      <c r="E6087" s="210" t="s">
        <v>201</v>
      </c>
    </row>
    <row r="6088" spans="1:5" ht="27">
      <c r="A6088" s="258">
        <v>84126</v>
      </c>
      <c r="B6088" s="257" t="s">
        <v>4272</v>
      </c>
      <c r="C6088" s="257" t="s">
        <v>150</v>
      </c>
      <c r="D6088" s="259" t="s">
        <v>14126</v>
      </c>
      <c r="E6088" s="210" t="s">
        <v>201</v>
      </c>
    </row>
    <row r="6089" spans="1:5" ht="13.5">
      <c r="A6089" s="258">
        <v>85421</v>
      </c>
      <c r="B6089" s="257" t="s">
        <v>4273</v>
      </c>
      <c r="C6089" s="257" t="s">
        <v>150</v>
      </c>
      <c r="D6089" s="259" t="s">
        <v>18493</v>
      </c>
      <c r="E6089" s="210" t="s">
        <v>201</v>
      </c>
    </row>
    <row r="6090" spans="1:5" ht="13.5">
      <c r="A6090" s="258">
        <v>97621</v>
      </c>
      <c r="B6090" s="257" t="s">
        <v>5012</v>
      </c>
      <c r="C6090" s="257" t="s">
        <v>172</v>
      </c>
      <c r="D6090" s="259" t="s">
        <v>18494</v>
      </c>
      <c r="E6090" s="210" t="s">
        <v>201</v>
      </c>
    </row>
    <row r="6091" spans="1:5" ht="13.5">
      <c r="A6091" s="258">
        <v>97622</v>
      </c>
      <c r="B6091" s="257" t="s">
        <v>5013</v>
      </c>
      <c r="C6091" s="257" t="s">
        <v>172</v>
      </c>
      <c r="D6091" s="259" t="s">
        <v>18495</v>
      </c>
      <c r="E6091" s="210" t="s">
        <v>201</v>
      </c>
    </row>
    <row r="6092" spans="1:5" ht="13.5">
      <c r="A6092" s="258">
        <v>97623</v>
      </c>
      <c r="B6092" s="257" t="s">
        <v>5014</v>
      </c>
      <c r="C6092" s="257" t="s">
        <v>172</v>
      </c>
      <c r="D6092" s="259" t="s">
        <v>18496</v>
      </c>
      <c r="E6092" s="210" t="s">
        <v>201</v>
      </c>
    </row>
    <row r="6093" spans="1:5" ht="13.5">
      <c r="A6093" s="258">
        <v>97624</v>
      </c>
      <c r="B6093" s="257" t="s">
        <v>5015</v>
      </c>
      <c r="C6093" s="257" t="s">
        <v>172</v>
      </c>
      <c r="D6093" s="259" t="s">
        <v>17577</v>
      </c>
      <c r="E6093" s="210" t="s">
        <v>201</v>
      </c>
    </row>
    <row r="6094" spans="1:5" ht="27">
      <c r="A6094" s="258">
        <v>97625</v>
      </c>
      <c r="B6094" s="257" t="s">
        <v>5016</v>
      </c>
      <c r="C6094" s="257" t="s">
        <v>172</v>
      </c>
      <c r="D6094" s="259" t="s">
        <v>18497</v>
      </c>
      <c r="E6094" s="210" t="s">
        <v>201</v>
      </c>
    </row>
    <row r="6095" spans="1:5" ht="27">
      <c r="A6095" s="258">
        <v>97626</v>
      </c>
      <c r="B6095" s="257" t="s">
        <v>5017</v>
      </c>
      <c r="C6095" s="257" t="s">
        <v>172</v>
      </c>
      <c r="D6095" s="259" t="s">
        <v>18498</v>
      </c>
      <c r="E6095" s="210" t="s">
        <v>201</v>
      </c>
    </row>
    <row r="6096" spans="1:5" ht="27">
      <c r="A6096" s="258">
        <v>97627</v>
      </c>
      <c r="B6096" s="257" t="s">
        <v>5018</v>
      </c>
      <c r="C6096" s="257" t="s">
        <v>172</v>
      </c>
      <c r="D6096" s="259" t="s">
        <v>18499</v>
      </c>
      <c r="E6096" s="210" t="s">
        <v>201</v>
      </c>
    </row>
    <row r="6097" spans="1:5" ht="13.5">
      <c r="A6097" s="258">
        <v>97628</v>
      </c>
      <c r="B6097" s="257" t="s">
        <v>5019</v>
      </c>
      <c r="C6097" s="257" t="s">
        <v>172</v>
      </c>
      <c r="D6097" s="259" t="s">
        <v>18500</v>
      </c>
      <c r="E6097" s="210" t="s">
        <v>201</v>
      </c>
    </row>
    <row r="6098" spans="1:5" ht="13.5">
      <c r="A6098" s="258">
        <v>97629</v>
      </c>
      <c r="B6098" s="257" t="s">
        <v>5020</v>
      </c>
      <c r="C6098" s="257" t="s">
        <v>172</v>
      </c>
      <c r="D6098" s="259" t="s">
        <v>18501</v>
      </c>
      <c r="E6098" s="210" t="s">
        <v>201</v>
      </c>
    </row>
    <row r="6099" spans="1:5" ht="13.5">
      <c r="A6099" s="258">
        <v>97631</v>
      </c>
      <c r="B6099" s="257" t="s">
        <v>5021</v>
      </c>
      <c r="C6099" s="257" t="s">
        <v>150</v>
      </c>
      <c r="D6099" s="259" t="s">
        <v>18443</v>
      </c>
      <c r="E6099" s="210" t="s">
        <v>201</v>
      </c>
    </row>
    <row r="6100" spans="1:5" ht="13.5">
      <c r="A6100" s="258">
        <v>97632</v>
      </c>
      <c r="B6100" s="257" t="s">
        <v>5022</v>
      </c>
      <c r="C6100" s="257" t="s">
        <v>5</v>
      </c>
      <c r="D6100" s="259" t="s">
        <v>14357</v>
      </c>
      <c r="E6100" s="210" t="s">
        <v>201</v>
      </c>
    </row>
    <row r="6101" spans="1:5" ht="13.5">
      <c r="A6101" s="258">
        <v>97633</v>
      </c>
      <c r="B6101" s="257" t="s">
        <v>5023</v>
      </c>
      <c r="C6101" s="257" t="s">
        <v>150</v>
      </c>
      <c r="D6101" s="259" t="s">
        <v>18502</v>
      </c>
      <c r="E6101" s="210" t="s">
        <v>201</v>
      </c>
    </row>
    <row r="6102" spans="1:5" ht="27">
      <c r="A6102" s="258">
        <v>97634</v>
      </c>
      <c r="B6102" s="257" t="s">
        <v>5024</v>
      </c>
      <c r="C6102" s="257" t="s">
        <v>150</v>
      </c>
      <c r="D6102" s="259" t="s">
        <v>17208</v>
      </c>
      <c r="E6102" s="210" t="s">
        <v>201</v>
      </c>
    </row>
    <row r="6103" spans="1:5" ht="13.5">
      <c r="A6103" s="258">
        <v>97635</v>
      </c>
      <c r="B6103" s="257" t="s">
        <v>5025</v>
      </c>
      <c r="C6103" s="257" t="s">
        <v>150</v>
      </c>
      <c r="D6103" s="259" t="s">
        <v>16727</v>
      </c>
      <c r="E6103" s="210" t="s">
        <v>201</v>
      </c>
    </row>
    <row r="6104" spans="1:5" ht="27">
      <c r="A6104" s="258">
        <v>97636</v>
      </c>
      <c r="B6104" s="257" t="s">
        <v>5026</v>
      </c>
      <c r="C6104" s="257" t="s">
        <v>150</v>
      </c>
      <c r="D6104" s="259" t="s">
        <v>15505</v>
      </c>
      <c r="E6104" s="210" t="s">
        <v>201</v>
      </c>
    </row>
    <row r="6105" spans="1:5" ht="27">
      <c r="A6105" s="258">
        <v>97637</v>
      </c>
      <c r="B6105" s="257" t="s">
        <v>5027</v>
      </c>
      <c r="C6105" s="257" t="s">
        <v>150</v>
      </c>
      <c r="D6105" s="259" t="s">
        <v>18503</v>
      </c>
      <c r="E6105" s="210" t="s">
        <v>201</v>
      </c>
    </row>
    <row r="6106" spans="1:5" ht="13.5">
      <c r="A6106" s="258">
        <v>97638</v>
      </c>
      <c r="B6106" s="257" t="s">
        <v>5028</v>
      </c>
      <c r="C6106" s="257" t="s">
        <v>150</v>
      </c>
      <c r="D6106" s="259" t="s">
        <v>14414</v>
      </c>
      <c r="E6106" s="210" t="s">
        <v>201</v>
      </c>
    </row>
    <row r="6107" spans="1:5" ht="13.5">
      <c r="A6107" s="258">
        <v>97639</v>
      </c>
      <c r="B6107" s="257" t="s">
        <v>5029</v>
      </c>
      <c r="C6107" s="257" t="s">
        <v>150</v>
      </c>
      <c r="D6107" s="259" t="s">
        <v>18504</v>
      </c>
      <c r="E6107" s="210" t="s">
        <v>201</v>
      </c>
    </row>
    <row r="6108" spans="1:5" ht="27">
      <c r="A6108" s="258">
        <v>97640</v>
      </c>
      <c r="B6108" s="257" t="s">
        <v>5030</v>
      </c>
      <c r="C6108" s="257" t="s">
        <v>150</v>
      </c>
      <c r="D6108" s="259" t="s">
        <v>17670</v>
      </c>
      <c r="E6108" s="210" t="s">
        <v>201</v>
      </c>
    </row>
    <row r="6109" spans="1:5" ht="13.5">
      <c r="A6109" s="258">
        <v>97641</v>
      </c>
      <c r="B6109" s="257" t="s">
        <v>5031</v>
      </c>
      <c r="C6109" s="257" t="s">
        <v>150</v>
      </c>
      <c r="D6109" s="259" t="s">
        <v>14332</v>
      </c>
      <c r="E6109" s="210" t="s">
        <v>201</v>
      </c>
    </row>
    <row r="6110" spans="1:5" ht="27">
      <c r="A6110" s="258">
        <v>97642</v>
      </c>
      <c r="B6110" s="257" t="s">
        <v>5032</v>
      </c>
      <c r="C6110" s="257" t="s">
        <v>150</v>
      </c>
      <c r="D6110" s="259" t="s">
        <v>18505</v>
      </c>
      <c r="E6110" s="210" t="s">
        <v>201</v>
      </c>
    </row>
    <row r="6111" spans="1:5" ht="27">
      <c r="A6111" s="258">
        <v>97643</v>
      </c>
      <c r="B6111" s="257" t="s">
        <v>5033</v>
      </c>
      <c r="C6111" s="257" t="s">
        <v>150</v>
      </c>
      <c r="D6111" s="259" t="s">
        <v>18506</v>
      </c>
      <c r="E6111" s="210" t="s">
        <v>201</v>
      </c>
    </row>
    <row r="6112" spans="1:5" ht="13.5">
      <c r="A6112" s="258">
        <v>97644</v>
      </c>
      <c r="B6112" s="257" t="s">
        <v>5034</v>
      </c>
      <c r="C6112" s="257" t="s">
        <v>150</v>
      </c>
      <c r="D6112" s="259" t="s">
        <v>16460</v>
      </c>
      <c r="E6112" s="210" t="s">
        <v>201</v>
      </c>
    </row>
    <row r="6113" spans="1:5" ht="13.5">
      <c r="A6113" s="258">
        <v>97645</v>
      </c>
      <c r="B6113" s="257" t="s">
        <v>5035</v>
      </c>
      <c r="C6113" s="257" t="s">
        <v>150</v>
      </c>
      <c r="D6113" s="259" t="s">
        <v>14116</v>
      </c>
      <c r="E6113" s="210" t="s">
        <v>201</v>
      </c>
    </row>
    <row r="6114" spans="1:5" ht="27">
      <c r="A6114" s="258">
        <v>97647</v>
      </c>
      <c r="B6114" s="257" t="s">
        <v>5036</v>
      </c>
      <c r="C6114" s="257" t="s">
        <v>150</v>
      </c>
      <c r="D6114" s="259" t="s">
        <v>13624</v>
      </c>
      <c r="E6114" s="210" t="s">
        <v>201</v>
      </c>
    </row>
    <row r="6115" spans="1:5" ht="27">
      <c r="A6115" s="258">
        <v>97648</v>
      </c>
      <c r="B6115" s="257" t="s">
        <v>5037</v>
      </c>
      <c r="C6115" s="257" t="s">
        <v>150</v>
      </c>
      <c r="D6115" s="259" t="s">
        <v>18507</v>
      </c>
      <c r="E6115" s="210" t="s">
        <v>201</v>
      </c>
    </row>
    <row r="6116" spans="1:5" ht="27">
      <c r="A6116" s="258">
        <v>97649</v>
      </c>
      <c r="B6116" s="257" t="s">
        <v>5038</v>
      </c>
      <c r="C6116" s="257" t="s">
        <v>150</v>
      </c>
      <c r="D6116" s="259" t="s">
        <v>14014</v>
      </c>
      <c r="E6116" s="210" t="s">
        <v>201</v>
      </c>
    </row>
    <row r="6117" spans="1:5" ht="13.5">
      <c r="A6117" s="258">
        <v>97650</v>
      </c>
      <c r="B6117" s="257" t="s">
        <v>5039</v>
      </c>
      <c r="C6117" s="257" t="s">
        <v>150</v>
      </c>
      <c r="D6117" s="259" t="s">
        <v>16459</v>
      </c>
      <c r="E6117" s="210" t="s">
        <v>201</v>
      </c>
    </row>
    <row r="6118" spans="1:5" ht="27">
      <c r="A6118" s="258">
        <v>97651</v>
      </c>
      <c r="B6118" s="257" t="s">
        <v>5040</v>
      </c>
      <c r="C6118" s="257" t="s">
        <v>90</v>
      </c>
      <c r="D6118" s="259" t="s">
        <v>18508</v>
      </c>
      <c r="E6118" s="210" t="s">
        <v>201</v>
      </c>
    </row>
    <row r="6119" spans="1:5" ht="27">
      <c r="A6119" s="258">
        <v>97652</v>
      </c>
      <c r="B6119" s="257" t="s">
        <v>5041</v>
      </c>
      <c r="C6119" s="257" t="s">
        <v>90</v>
      </c>
      <c r="D6119" s="259" t="s">
        <v>17686</v>
      </c>
      <c r="E6119" s="210" t="s">
        <v>201</v>
      </c>
    </row>
    <row r="6120" spans="1:5" ht="27">
      <c r="A6120" s="258">
        <v>97653</v>
      </c>
      <c r="B6120" s="257" t="s">
        <v>5042</v>
      </c>
      <c r="C6120" s="257" t="s">
        <v>90</v>
      </c>
      <c r="D6120" s="259" t="s">
        <v>18509</v>
      </c>
      <c r="E6120" s="210" t="s">
        <v>201</v>
      </c>
    </row>
    <row r="6121" spans="1:5" ht="27">
      <c r="A6121" s="258">
        <v>97654</v>
      </c>
      <c r="B6121" s="257" t="s">
        <v>5043</v>
      </c>
      <c r="C6121" s="257" t="s">
        <v>90</v>
      </c>
      <c r="D6121" s="259" t="s">
        <v>18273</v>
      </c>
      <c r="E6121" s="210" t="s">
        <v>201</v>
      </c>
    </row>
    <row r="6122" spans="1:5" ht="13.5">
      <c r="A6122" s="258">
        <v>97655</v>
      </c>
      <c r="B6122" s="257" t="s">
        <v>5044</v>
      </c>
      <c r="C6122" s="257" t="s">
        <v>150</v>
      </c>
      <c r="D6122" s="259" t="s">
        <v>16591</v>
      </c>
      <c r="E6122" s="210" t="s">
        <v>201</v>
      </c>
    </row>
    <row r="6123" spans="1:5" ht="27">
      <c r="A6123" s="258">
        <v>97656</v>
      </c>
      <c r="B6123" s="257" t="s">
        <v>5045</v>
      </c>
      <c r="C6123" s="257" t="s">
        <v>90</v>
      </c>
      <c r="D6123" s="259" t="s">
        <v>18510</v>
      </c>
      <c r="E6123" s="210" t="s">
        <v>201</v>
      </c>
    </row>
    <row r="6124" spans="1:5" ht="27">
      <c r="A6124" s="258">
        <v>97657</v>
      </c>
      <c r="B6124" s="257" t="s">
        <v>5046</v>
      </c>
      <c r="C6124" s="257" t="s">
        <v>90</v>
      </c>
      <c r="D6124" s="259" t="s">
        <v>18511</v>
      </c>
      <c r="E6124" s="210" t="s">
        <v>201</v>
      </c>
    </row>
    <row r="6125" spans="1:5" ht="27">
      <c r="A6125" s="258">
        <v>97658</v>
      </c>
      <c r="B6125" s="257" t="s">
        <v>5047</v>
      </c>
      <c r="C6125" s="257" t="s">
        <v>90</v>
      </c>
      <c r="D6125" s="259" t="s">
        <v>18512</v>
      </c>
      <c r="E6125" s="210" t="s">
        <v>201</v>
      </c>
    </row>
    <row r="6126" spans="1:5" ht="27">
      <c r="A6126" s="258">
        <v>97659</v>
      </c>
      <c r="B6126" s="257" t="s">
        <v>5048</v>
      </c>
      <c r="C6126" s="257" t="s">
        <v>90</v>
      </c>
      <c r="D6126" s="259" t="s">
        <v>18513</v>
      </c>
      <c r="E6126" s="210" t="s">
        <v>201</v>
      </c>
    </row>
    <row r="6127" spans="1:5" ht="13.5">
      <c r="A6127" s="258">
        <v>97660</v>
      </c>
      <c r="B6127" s="257" t="s">
        <v>5049</v>
      </c>
      <c r="C6127" s="257" t="s">
        <v>90</v>
      </c>
      <c r="D6127" s="259" t="s">
        <v>18514</v>
      </c>
      <c r="E6127" s="210" t="s">
        <v>201</v>
      </c>
    </row>
    <row r="6128" spans="1:5" ht="13.5">
      <c r="A6128" s="258">
        <v>97661</v>
      </c>
      <c r="B6128" s="257" t="s">
        <v>5050</v>
      </c>
      <c r="C6128" s="257" t="s">
        <v>5</v>
      </c>
      <c r="D6128" s="259" t="s">
        <v>18514</v>
      </c>
      <c r="E6128" s="210" t="s">
        <v>201</v>
      </c>
    </row>
    <row r="6129" spans="1:5" ht="27">
      <c r="A6129" s="258">
        <v>97662</v>
      </c>
      <c r="B6129" s="257" t="s">
        <v>5051</v>
      </c>
      <c r="C6129" s="257" t="s">
        <v>5</v>
      </c>
      <c r="D6129" s="259" t="s">
        <v>14233</v>
      </c>
      <c r="E6129" s="210" t="s">
        <v>201</v>
      </c>
    </row>
    <row r="6130" spans="1:5" ht="13.5">
      <c r="A6130" s="258">
        <v>97663</v>
      </c>
      <c r="B6130" s="257" t="s">
        <v>5052</v>
      </c>
      <c r="C6130" s="257" t="s">
        <v>90</v>
      </c>
      <c r="D6130" s="259" t="s">
        <v>17208</v>
      </c>
      <c r="E6130" s="210" t="s">
        <v>201</v>
      </c>
    </row>
    <row r="6131" spans="1:5" ht="13.5">
      <c r="A6131" s="258">
        <v>97664</v>
      </c>
      <c r="B6131" s="257" t="s">
        <v>5053</v>
      </c>
      <c r="C6131" s="257" t="s">
        <v>90</v>
      </c>
      <c r="D6131" s="259" t="s">
        <v>14093</v>
      </c>
      <c r="E6131" s="210" t="s">
        <v>201</v>
      </c>
    </row>
    <row r="6132" spans="1:5" ht="13.5">
      <c r="A6132" s="258">
        <v>97665</v>
      </c>
      <c r="B6132" s="257" t="s">
        <v>5054</v>
      </c>
      <c r="C6132" s="257" t="s">
        <v>90</v>
      </c>
      <c r="D6132" s="259" t="s">
        <v>13750</v>
      </c>
      <c r="E6132" s="210" t="s">
        <v>201</v>
      </c>
    </row>
    <row r="6133" spans="1:5" ht="13.5">
      <c r="A6133" s="258">
        <v>97666</v>
      </c>
      <c r="B6133" s="257" t="s">
        <v>5055</v>
      </c>
      <c r="C6133" s="257" t="s">
        <v>90</v>
      </c>
      <c r="D6133" s="259" t="s">
        <v>15491</v>
      </c>
      <c r="E6133" s="210" t="s">
        <v>201</v>
      </c>
    </row>
    <row r="6134" spans="1:5" ht="13.5">
      <c r="A6134" s="258">
        <v>85423</v>
      </c>
      <c r="B6134" s="257" t="s">
        <v>4274</v>
      </c>
      <c r="C6134" s="257" t="s">
        <v>150</v>
      </c>
      <c r="D6134" s="259" t="s">
        <v>15456</v>
      </c>
      <c r="E6134" s="210" t="s">
        <v>201</v>
      </c>
    </row>
    <row r="6135" spans="1:5" ht="13.5">
      <c r="A6135" s="258">
        <v>85424</v>
      </c>
      <c r="B6135" s="257" t="s">
        <v>4275</v>
      </c>
      <c r="C6135" s="257" t="s">
        <v>150</v>
      </c>
      <c r="D6135" s="259" t="s">
        <v>18515</v>
      </c>
      <c r="E6135" s="210" t="s">
        <v>201</v>
      </c>
    </row>
    <row r="6136" spans="1:5" ht="27">
      <c r="A6136" s="258">
        <v>95967</v>
      </c>
      <c r="B6136" s="257" t="s">
        <v>4276</v>
      </c>
      <c r="C6136" s="257" t="s">
        <v>167</v>
      </c>
      <c r="D6136" s="259" t="s">
        <v>18516</v>
      </c>
      <c r="E6136" s="210" t="s">
        <v>8722</v>
      </c>
    </row>
    <row r="6137" spans="1:5" ht="13.5">
      <c r="A6137" s="258">
        <v>99058</v>
      </c>
      <c r="B6137" s="257" t="s">
        <v>6191</v>
      </c>
      <c r="C6137" s="257" t="s">
        <v>90</v>
      </c>
      <c r="D6137" s="259" t="s">
        <v>15432</v>
      </c>
      <c r="E6137" s="210" t="s">
        <v>201</v>
      </c>
    </row>
    <row r="6138" spans="1:5" ht="27">
      <c r="A6138" s="258">
        <v>99059</v>
      </c>
      <c r="B6138" s="257" t="s">
        <v>6192</v>
      </c>
      <c r="C6138" s="257" t="s">
        <v>5</v>
      </c>
      <c r="D6138" s="259" t="s">
        <v>14538</v>
      </c>
      <c r="E6138" s="210" t="s">
        <v>201</v>
      </c>
    </row>
    <row r="6139" spans="1:5" ht="13.5">
      <c r="A6139" s="258">
        <v>99060</v>
      </c>
      <c r="B6139" s="257" t="s">
        <v>6193</v>
      </c>
      <c r="C6139" s="257" t="s">
        <v>90</v>
      </c>
      <c r="D6139" s="259" t="s">
        <v>18517</v>
      </c>
      <c r="E6139" s="210" t="s">
        <v>201</v>
      </c>
    </row>
    <row r="6140" spans="1:5" ht="13.5">
      <c r="A6140" s="258">
        <v>99061</v>
      </c>
      <c r="B6140" s="257" t="s">
        <v>6194</v>
      </c>
      <c r="C6140" s="257" t="s">
        <v>90</v>
      </c>
      <c r="D6140" s="259" t="s">
        <v>18518</v>
      </c>
      <c r="E6140" s="210" t="s">
        <v>201</v>
      </c>
    </row>
    <row r="6141" spans="1:5" ht="13.5">
      <c r="A6141" s="258">
        <v>99062</v>
      </c>
      <c r="B6141" s="257" t="s">
        <v>6195</v>
      </c>
      <c r="C6141" s="257" t="s">
        <v>90</v>
      </c>
      <c r="D6141" s="259" t="s">
        <v>18519</v>
      </c>
      <c r="E6141" s="210" t="s">
        <v>201</v>
      </c>
    </row>
    <row r="6142" spans="1:5" ht="13.5">
      <c r="A6142" s="258">
        <v>99063</v>
      </c>
      <c r="B6142" s="257" t="s">
        <v>6196</v>
      </c>
      <c r="C6142" s="257" t="s">
        <v>5</v>
      </c>
      <c r="D6142" s="259" t="s">
        <v>18520</v>
      </c>
      <c r="E6142" s="210" t="s">
        <v>201</v>
      </c>
    </row>
    <row r="6143" spans="1:5" ht="13.5">
      <c r="A6143" s="258">
        <v>99064</v>
      </c>
      <c r="B6143" s="257" t="s">
        <v>6197</v>
      </c>
      <c r="C6143" s="257" t="s">
        <v>5</v>
      </c>
      <c r="D6143" s="259" t="s">
        <v>14307</v>
      </c>
      <c r="E6143" s="210" t="s">
        <v>201</v>
      </c>
    </row>
    <row r="6144" spans="1:5" ht="13.5">
      <c r="A6144" s="258">
        <v>78472</v>
      </c>
      <c r="B6144" s="257" t="s">
        <v>4277</v>
      </c>
      <c r="C6144" s="257" t="s">
        <v>150</v>
      </c>
      <c r="D6144" s="259" t="s">
        <v>14181</v>
      </c>
      <c r="E6144" s="210" t="s">
        <v>201</v>
      </c>
    </row>
    <row r="6145" spans="1:5" ht="27">
      <c r="A6145" s="258">
        <v>93588</v>
      </c>
      <c r="B6145" s="257" t="s">
        <v>4278</v>
      </c>
      <c r="C6145" s="257" t="s">
        <v>215</v>
      </c>
      <c r="D6145" s="259" t="s">
        <v>14285</v>
      </c>
      <c r="E6145" s="210" t="s">
        <v>201</v>
      </c>
    </row>
    <row r="6146" spans="1:5" ht="27">
      <c r="A6146" s="258">
        <v>93589</v>
      </c>
      <c r="B6146" s="257" t="s">
        <v>4279</v>
      </c>
      <c r="C6146" s="257" t="s">
        <v>215</v>
      </c>
      <c r="D6146" s="259" t="s">
        <v>14466</v>
      </c>
      <c r="E6146" s="210" t="s">
        <v>201</v>
      </c>
    </row>
    <row r="6147" spans="1:5" ht="27">
      <c r="A6147" s="258">
        <v>93590</v>
      </c>
      <c r="B6147" s="257" t="s">
        <v>4280</v>
      </c>
      <c r="C6147" s="257" t="s">
        <v>215</v>
      </c>
      <c r="D6147" s="259" t="s">
        <v>14351</v>
      </c>
      <c r="E6147" s="210" t="s">
        <v>201</v>
      </c>
    </row>
    <row r="6148" spans="1:5" ht="27">
      <c r="A6148" s="258">
        <v>93591</v>
      </c>
      <c r="B6148" s="257" t="s">
        <v>4281</v>
      </c>
      <c r="C6148" s="257" t="s">
        <v>215</v>
      </c>
      <c r="D6148" s="259" t="s">
        <v>18521</v>
      </c>
      <c r="E6148" s="210" t="s">
        <v>201</v>
      </c>
    </row>
    <row r="6149" spans="1:5" ht="27">
      <c r="A6149" s="258">
        <v>93592</v>
      </c>
      <c r="B6149" s="257" t="s">
        <v>4282</v>
      </c>
      <c r="C6149" s="257" t="s">
        <v>215</v>
      </c>
      <c r="D6149" s="259" t="s">
        <v>13668</v>
      </c>
      <c r="E6149" s="210" t="s">
        <v>201</v>
      </c>
    </row>
    <row r="6150" spans="1:5" ht="27">
      <c r="A6150" s="258">
        <v>93593</v>
      </c>
      <c r="B6150" s="257" t="s">
        <v>4283</v>
      </c>
      <c r="C6150" s="257" t="s">
        <v>215</v>
      </c>
      <c r="D6150" s="259" t="s">
        <v>14026</v>
      </c>
      <c r="E6150" s="210" t="s">
        <v>201</v>
      </c>
    </row>
    <row r="6151" spans="1:5" ht="27">
      <c r="A6151" s="258">
        <v>93594</v>
      </c>
      <c r="B6151" s="257" t="s">
        <v>5056</v>
      </c>
      <c r="C6151" s="257" t="s">
        <v>3491</v>
      </c>
      <c r="D6151" s="259" t="s">
        <v>14249</v>
      </c>
      <c r="E6151" s="210" t="s">
        <v>201</v>
      </c>
    </row>
    <row r="6152" spans="1:5" ht="27">
      <c r="A6152" s="258">
        <v>93595</v>
      </c>
      <c r="B6152" s="257" t="s">
        <v>5057</v>
      </c>
      <c r="C6152" s="257" t="s">
        <v>3491</v>
      </c>
      <c r="D6152" s="259" t="s">
        <v>14351</v>
      </c>
      <c r="E6152" s="210" t="s">
        <v>201</v>
      </c>
    </row>
    <row r="6153" spans="1:5" ht="27">
      <c r="A6153" s="258">
        <v>93596</v>
      </c>
      <c r="B6153" s="257" t="s">
        <v>5058</v>
      </c>
      <c r="C6153" s="257" t="s">
        <v>3491</v>
      </c>
      <c r="D6153" s="259" t="s">
        <v>14426</v>
      </c>
      <c r="E6153" s="210" t="s">
        <v>201</v>
      </c>
    </row>
    <row r="6154" spans="1:5" ht="27">
      <c r="A6154" s="258">
        <v>93597</v>
      </c>
      <c r="B6154" s="257" t="s">
        <v>5059</v>
      </c>
      <c r="C6154" s="257" t="s">
        <v>3491</v>
      </c>
      <c r="D6154" s="259" t="s">
        <v>18522</v>
      </c>
      <c r="E6154" s="210" t="s">
        <v>201</v>
      </c>
    </row>
    <row r="6155" spans="1:5" ht="27">
      <c r="A6155" s="258">
        <v>93598</v>
      </c>
      <c r="B6155" s="257" t="s">
        <v>5060</v>
      </c>
      <c r="C6155" s="257" t="s">
        <v>3491</v>
      </c>
      <c r="D6155" s="259" t="s">
        <v>14026</v>
      </c>
      <c r="E6155" s="210" t="s">
        <v>201</v>
      </c>
    </row>
    <row r="6156" spans="1:5" ht="27">
      <c r="A6156" s="258">
        <v>93599</v>
      </c>
      <c r="B6156" s="257" t="s">
        <v>5061</v>
      </c>
      <c r="C6156" s="257" t="s">
        <v>3491</v>
      </c>
      <c r="D6156" s="259" t="s">
        <v>18442</v>
      </c>
      <c r="E6156" s="210" t="s">
        <v>201</v>
      </c>
    </row>
    <row r="6157" spans="1:5" ht="27">
      <c r="A6157" s="258">
        <v>95425</v>
      </c>
      <c r="B6157" s="257" t="s">
        <v>4284</v>
      </c>
      <c r="C6157" s="257" t="s">
        <v>215</v>
      </c>
      <c r="D6157" s="259" t="s">
        <v>14466</v>
      </c>
      <c r="E6157" s="210" t="s">
        <v>201</v>
      </c>
    </row>
    <row r="6158" spans="1:5" ht="27">
      <c r="A6158" s="258">
        <v>95426</v>
      </c>
      <c r="B6158" s="257" t="s">
        <v>4285</v>
      </c>
      <c r="C6158" s="257" t="s">
        <v>215</v>
      </c>
      <c r="D6158" s="259" t="s">
        <v>14184</v>
      </c>
      <c r="E6158" s="210" t="s">
        <v>201</v>
      </c>
    </row>
    <row r="6159" spans="1:5" ht="27">
      <c r="A6159" s="258">
        <v>95427</v>
      </c>
      <c r="B6159" s="257" t="s">
        <v>4286</v>
      </c>
      <c r="C6159" s="257" t="s">
        <v>215</v>
      </c>
      <c r="D6159" s="259" t="s">
        <v>15247</v>
      </c>
      <c r="E6159" s="210" t="s">
        <v>201</v>
      </c>
    </row>
    <row r="6160" spans="1:5" ht="27">
      <c r="A6160" s="258">
        <v>95428</v>
      </c>
      <c r="B6160" s="257" t="s">
        <v>5062</v>
      </c>
      <c r="C6160" s="257" t="s">
        <v>3491</v>
      </c>
      <c r="D6160" s="259" t="s">
        <v>14351</v>
      </c>
      <c r="E6160" s="210" t="s">
        <v>201</v>
      </c>
    </row>
    <row r="6161" spans="1:5" ht="27">
      <c r="A6161" s="258">
        <v>95429</v>
      </c>
      <c r="B6161" s="257" t="s">
        <v>5063</v>
      </c>
      <c r="C6161" s="257" t="s">
        <v>3491</v>
      </c>
      <c r="D6161" s="259" t="s">
        <v>15247</v>
      </c>
      <c r="E6161" s="210" t="s">
        <v>201</v>
      </c>
    </row>
    <row r="6162" spans="1:5" ht="27">
      <c r="A6162" s="258">
        <v>95430</v>
      </c>
      <c r="B6162" s="257" t="s">
        <v>5064</v>
      </c>
      <c r="C6162" s="257" t="s">
        <v>3491</v>
      </c>
      <c r="D6162" s="259" t="s">
        <v>14301</v>
      </c>
      <c r="E6162" s="210" t="s">
        <v>201</v>
      </c>
    </row>
    <row r="6163" spans="1:5" ht="27">
      <c r="A6163" s="258">
        <v>95875</v>
      </c>
      <c r="B6163" s="257" t="s">
        <v>4287</v>
      </c>
      <c r="C6163" s="257" t="s">
        <v>215</v>
      </c>
      <c r="D6163" s="259" t="s">
        <v>13750</v>
      </c>
      <c r="E6163" s="210" t="s">
        <v>201</v>
      </c>
    </row>
    <row r="6164" spans="1:5" ht="27">
      <c r="A6164" s="258">
        <v>95876</v>
      </c>
      <c r="B6164" s="257" t="s">
        <v>4288</v>
      </c>
      <c r="C6164" s="257" t="s">
        <v>215</v>
      </c>
      <c r="D6164" s="259" t="s">
        <v>18523</v>
      </c>
      <c r="E6164" s="210" t="s">
        <v>201</v>
      </c>
    </row>
    <row r="6165" spans="1:5" ht="27">
      <c r="A6165" s="258">
        <v>95877</v>
      </c>
      <c r="B6165" s="257" t="s">
        <v>4289</v>
      </c>
      <c r="C6165" s="257" t="s">
        <v>215</v>
      </c>
      <c r="D6165" s="259" t="s">
        <v>18524</v>
      </c>
      <c r="E6165" s="210" t="s">
        <v>201</v>
      </c>
    </row>
    <row r="6166" spans="1:5" ht="27">
      <c r="A6166" s="258">
        <v>95878</v>
      </c>
      <c r="B6166" s="257" t="s">
        <v>5065</v>
      </c>
      <c r="C6166" s="257" t="s">
        <v>3491</v>
      </c>
      <c r="D6166" s="259" t="s">
        <v>13667</v>
      </c>
      <c r="E6166" s="210" t="s">
        <v>201</v>
      </c>
    </row>
    <row r="6167" spans="1:5" ht="27">
      <c r="A6167" s="258">
        <v>95879</v>
      </c>
      <c r="B6167" s="257" t="s">
        <v>5066</v>
      </c>
      <c r="C6167" s="257" t="s">
        <v>3491</v>
      </c>
      <c r="D6167" s="259" t="s">
        <v>18432</v>
      </c>
      <c r="E6167" s="210" t="s">
        <v>201</v>
      </c>
    </row>
    <row r="6168" spans="1:5" ht="27">
      <c r="A6168" s="258">
        <v>95880</v>
      </c>
      <c r="B6168" s="257" t="s">
        <v>5067</v>
      </c>
      <c r="C6168" s="257" t="s">
        <v>3491</v>
      </c>
      <c r="D6168" s="259" t="s">
        <v>14339</v>
      </c>
      <c r="E6168" s="210" t="s">
        <v>201</v>
      </c>
    </row>
    <row r="6169" spans="1:5" ht="27">
      <c r="A6169" s="258">
        <v>93176</v>
      </c>
      <c r="B6169" s="257" t="s">
        <v>4290</v>
      </c>
      <c r="C6169" s="257" t="s">
        <v>3491</v>
      </c>
      <c r="D6169" s="259" t="s">
        <v>14339</v>
      </c>
      <c r="E6169" s="210" t="s">
        <v>201</v>
      </c>
    </row>
    <row r="6170" spans="1:5" ht="27">
      <c r="A6170" s="258">
        <v>93177</v>
      </c>
      <c r="B6170" s="257" t="s">
        <v>4291</v>
      </c>
      <c r="C6170" s="257" t="s">
        <v>3491</v>
      </c>
      <c r="D6170" s="259" t="s">
        <v>13759</v>
      </c>
      <c r="E6170" s="210" t="s">
        <v>201</v>
      </c>
    </row>
    <row r="6171" spans="1:5" ht="27">
      <c r="A6171" s="210">
        <v>93178</v>
      </c>
      <c r="B6171" s="210" t="s">
        <v>4292</v>
      </c>
      <c r="C6171" s="210" t="s">
        <v>3491</v>
      </c>
      <c r="D6171" s="212" t="s">
        <v>14304</v>
      </c>
      <c r="E6171" s="210" t="s">
        <v>201</v>
      </c>
    </row>
    <row r="6172" spans="1:5" ht="27">
      <c r="A6172" s="210">
        <v>93179</v>
      </c>
      <c r="B6172" s="210" t="s">
        <v>4293</v>
      </c>
      <c r="C6172" s="210" t="s">
        <v>3491</v>
      </c>
      <c r="D6172" s="212" t="s">
        <v>14227</v>
      </c>
      <c r="E6172" s="210" t="s">
        <v>201</v>
      </c>
    </row>
    <row r="6173" spans="1:5" ht="27">
      <c r="A6173" s="210" t="s">
        <v>4294</v>
      </c>
      <c r="B6173" s="210" t="s">
        <v>4295</v>
      </c>
      <c r="C6173" s="210" t="s">
        <v>5</v>
      </c>
      <c r="D6173" s="212" t="s">
        <v>18525</v>
      </c>
      <c r="E6173" s="210" t="s">
        <v>201</v>
      </c>
    </row>
    <row r="6174" spans="1:5" ht="27">
      <c r="A6174" s="210" t="s">
        <v>4296</v>
      </c>
      <c r="B6174" s="210" t="s">
        <v>4297</v>
      </c>
      <c r="C6174" s="210" t="s">
        <v>5</v>
      </c>
      <c r="D6174" s="212" t="s">
        <v>18525</v>
      </c>
      <c r="E6174" s="210" t="s">
        <v>201</v>
      </c>
    </row>
    <row r="6175" spans="1:5" ht="27">
      <c r="A6175" s="210" t="s">
        <v>4298</v>
      </c>
      <c r="B6175" s="210" t="s">
        <v>4299</v>
      </c>
      <c r="C6175" s="210" t="s">
        <v>5</v>
      </c>
      <c r="D6175" s="212" t="s">
        <v>18526</v>
      </c>
      <c r="E6175" s="210" t="s">
        <v>201</v>
      </c>
    </row>
    <row r="6176" spans="1:5" ht="27">
      <c r="A6176" s="210" t="s">
        <v>4300</v>
      </c>
      <c r="B6176" s="210" t="s">
        <v>4301</v>
      </c>
      <c r="C6176" s="210" t="s">
        <v>5</v>
      </c>
      <c r="D6176" s="212" t="s">
        <v>15860</v>
      </c>
      <c r="E6176" s="210" t="s">
        <v>201</v>
      </c>
    </row>
    <row r="6177" spans="1:5" ht="27">
      <c r="A6177" s="210" t="s">
        <v>4302</v>
      </c>
      <c r="B6177" s="210" t="s">
        <v>4303</v>
      </c>
      <c r="C6177" s="210" t="s">
        <v>5</v>
      </c>
      <c r="D6177" s="212" t="s">
        <v>18527</v>
      </c>
      <c r="E6177" s="210" t="s">
        <v>201</v>
      </c>
    </row>
    <row r="6178" spans="1:5" ht="27">
      <c r="A6178" s="210" t="s">
        <v>4304</v>
      </c>
      <c r="B6178" s="210" t="s">
        <v>4305</v>
      </c>
      <c r="C6178" s="210" t="s">
        <v>5</v>
      </c>
      <c r="D6178" s="212" t="s">
        <v>16005</v>
      </c>
      <c r="E6178" s="210" t="s">
        <v>201</v>
      </c>
    </row>
    <row r="6179" spans="1:5" ht="27">
      <c r="A6179" s="210" t="s">
        <v>4306</v>
      </c>
      <c r="B6179" s="210" t="s">
        <v>4307</v>
      </c>
      <c r="C6179" s="210" t="s">
        <v>5</v>
      </c>
      <c r="D6179" s="212" t="s">
        <v>18528</v>
      </c>
      <c r="E6179" s="210" t="s">
        <v>201</v>
      </c>
    </row>
    <row r="6180" spans="1:5" ht="27">
      <c r="A6180" s="210" t="s">
        <v>4308</v>
      </c>
      <c r="B6180" s="210" t="s">
        <v>4309</v>
      </c>
      <c r="C6180" s="210" t="s">
        <v>5</v>
      </c>
      <c r="D6180" s="212" t="s">
        <v>18529</v>
      </c>
      <c r="E6180" s="210" t="s">
        <v>201</v>
      </c>
    </row>
    <row r="6181" spans="1:5" ht="27">
      <c r="A6181" s="210">
        <v>85171</v>
      </c>
      <c r="B6181" s="210" t="s">
        <v>4310</v>
      </c>
      <c r="C6181" s="210" t="s">
        <v>5</v>
      </c>
      <c r="D6181" s="212" t="s">
        <v>18530</v>
      </c>
      <c r="E6181" s="210" t="s">
        <v>201</v>
      </c>
    </row>
    <row r="6182" spans="1:5" ht="40.5">
      <c r="A6182" s="210" t="s">
        <v>4311</v>
      </c>
      <c r="B6182" s="210" t="s">
        <v>4312</v>
      </c>
      <c r="C6182" s="210" t="s">
        <v>150</v>
      </c>
      <c r="D6182" s="212" t="s">
        <v>18531</v>
      </c>
      <c r="E6182" s="210" t="s">
        <v>201</v>
      </c>
    </row>
    <row r="6183" spans="1:5" ht="27">
      <c r="A6183" s="210" t="s">
        <v>4313</v>
      </c>
      <c r="B6183" s="210" t="s">
        <v>4314</v>
      </c>
      <c r="C6183" s="210" t="s">
        <v>150</v>
      </c>
      <c r="D6183" s="212" t="s">
        <v>18532</v>
      </c>
      <c r="E6183" s="210" t="s">
        <v>201</v>
      </c>
    </row>
    <row r="6184" spans="1:5" ht="13.5">
      <c r="A6184" s="210" t="s">
        <v>4315</v>
      </c>
      <c r="B6184" s="210" t="s">
        <v>4316</v>
      </c>
      <c r="C6184" s="210" t="s">
        <v>90</v>
      </c>
      <c r="D6184" s="212" t="s">
        <v>18533</v>
      </c>
      <c r="E6184" s="210" t="s">
        <v>201</v>
      </c>
    </row>
    <row r="6185" spans="1:5" ht="13.5">
      <c r="A6185" s="210">
        <v>98509</v>
      </c>
      <c r="B6185" s="210" t="s">
        <v>6198</v>
      </c>
      <c r="C6185" s="210" t="s">
        <v>90</v>
      </c>
      <c r="D6185" s="212" t="s">
        <v>18534</v>
      </c>
      <c r="E6185" s="210" t="s">
        <v>201</v>
      </c>
    </row>
    <row r="6186" spans="1:5" ht="13.5">
      <c r="A6186" s="210">
        <v>98510</v>
      </c>
      <c r="B6186" s="210" t="s">
        <v>6199</v>
      </c>
      <c r="C6186" s="210" t="s">
        <v>90</v>
      </c>
      <c r="D6186" s="212" t="s">
        <v>18535</v>
      </c>
      <c r="E6186" s="210" t="s">
        <v>201</v>
      </c>
    </row>
    <row r="6187" spans="1:5" ht="27">
      <c r="A6187" s="210">
        <v>98511</v>
      </c>
      <c r="B6187" s="210" t="s">
        <v>6200</v>
      </c>
      <c r="C6187" s="210" t="s">
        <v>90</v>
      </c>
      <c r="D6187" s="212" t="s">
        <v>18536</v>
      </c>
      <c r="E6187" s="210" t="s">
        <v>201</v>
      </c>
    </row>
    <row r="6188" spans="1:5" ht="13.5">
      <c r="A6188" s="210">
        <v>98516</v>
      </c>
      <c r="B6188" s="210" t="s">
        <v>6201</v>
      </c>
      <c r="C6188" s="210" t="s">
        <v>90</v>
      </c>
      <c r="D6188" s="212" t="s">
        <v>18537</v>
      </c>
      <c r="E6188" s="210" t="s">
        <v>201</v>
      </c>
    </row>
    <row r="6189" spans="1:5" ht="13.5">
      <c r="A6189" s="210">
        <v>98519</v>
      </c>
      <c r="B6189" s="210" t="s">
        <v>6202</v>
      </c>
      <c r="C6189" s="210" t="s">
        <v>150</v>
      </c>
      <c r="D6189" s="212" t="s">
        <v>14216</v>
      </c>
      <c r="E6189" s="210" t="s">
        <v>201</v>
      </c>
    </row>
    <row r="6190" spans="1:5" ht="13.5">
      <c r="A6190" s="210">
        <v>98520</v>
      </c>
      <c r="B6190" s="210" t="s">
        <v>6203</v>
      </c>
      <c r="C6190" s="210" t="s">
        <v>150</v>
      </c>
      <c r="D6190" s="212" t="s">
        <v>14429</v>
      </c>
      <c r="E6190" s="210" t="s">
        <v>201</v>
      </c>
    </row>
    <row r="6191" spans="1:5" ht="13.5">
      <c r="A6191" s="210">
        <v>98521</v>
      </c>
      <c r="B6191" s="210" t="s">
        <v>6204</v>
      </c>
      <c r="C6191" s="210" t="s">
        <v>150</v>
      </c>
      <c r="D6191" s="212" t="s">
        <v>13995</v>
      </c>
      <c r="E6191" s="210" t="s">
        <v>201</v>
      </c>
    </row>
    <row r="6192" spans="1:5" ht="27">
      <c r="A6192" s="210">
        <v>98522</v>
      </c>
      <c r="B6192" s="210" t="s">
        <v>6205</v>
      </c>
      <c r="C6192" s="210" t="s">
        <v>5</v>
      </c>
      <c r="D6192" s="212" t="s">
        <v>18538</v>
      </c>
      <c r="E6192" s="210" t="s">
        <v>201</v>
      </c>
    </row>
    <row r="6193" spans="1:5" ht="13.5">
      <c r="A6193" s="210">
        <v>98524</v>
      </c>
      <c r="B6193" s="210" t="s">
        <v>6206</v>
      </c>
      <c r="C6193" s="210" t="s">
        <v>150</v>
      </c>
      <c r="D6193" s="212" t="s">
        <v>17931</v>
      </c>
      <c r="E6193" s="210" t="s">
        <v>201</v>
      </c>
    </row>
    <row r="6194" spans="1:5" ht="13.5">
      <c r="A6194" s="210">
        <v>85179</v>
      </c>
      <c r="B6194" s="210" t="s">
        <v>4317</v>
      </c>
      <c r="C6194" s="210" t="s">
        <v>150</v>
      </c>
      <c r="D6194" s="212" t="s">
        <v>18539</v>
      </c>
      <c r="E6194" s="210" t="s">
        <v>201</v>
      </c>
    </row>
    <row r="6195" spans="1:5" ht="13.5">
      <c r="A6195" s="210">
        <v>85180</v>
      </c>
      <c r="B6195" s="210" t="s">
        <v>4318</v>
      </c>
      <c r="C6195" s="210" t="s">
        <v>150</v>
      </c>
      <c r="D6195" s="212" t="s">
        <v>18539</v>
      </c>
      <c r="E6195" s="210" t="s">
        <v>201</v>
      </c>
    </row>
    <row r="6196" spans="1:5" ht="13.5">
      <c r="A6196" s="210">
        <v>98503</v>
      </c>
      <c r="B6196" s="210" t="s">
        <v>6207</v>
      </c>
      <c r="C6196" s="210" t="s">
        <v>150</v>
      </c>
      <c r="D6196" s="212" t="s">
        <v>18540</v>
      </c>
      <c r="E6196" s="210" t="s">
        <v>201</v>
      </c>
    </row>
    <row r="6197" spans="1:5" ht="13.5">
      <c r="A6197" s="210">
        <v>98504</v>
      </c>
      <c r="B6197" s="210" t="s">
        <v>6208</v>
      </c>
      <c r="C6197" s="210" t="s">
        <v>150</v>
      </c>
      <c r="D6197" s="212" t="s">
        <v>15447</v>
      </c>
      <c r="E6197" s="210" t="s">
        <v>201</v>
      </c>
    </row>
    <row r="6198" spans="1:5" ht="13.5">
      <c r="A6198" s="210">
        <v>98505</v>
      </c>
      <c r="B6198" s="210" t="s">
        <v>6209</v>
      </c>
      <c r="C6198" s="210" t="s">
        <v>150</v>
      </c>
      <c r="D6198" s="212" t="s">
        <v>17340</v>
      </c>
      <c r="E6198" s="210" t="s">
        <v>201</v>
      </c>
    </row>
    <row r="6199" spans="1:5" ht="13.5">
      <c r="A6199" s="210">
        <v>85184</v>
      </c>
      <c r="B6199" s="210" t="s">
        <v>4319</v>
      </c>
      <c r="C6199" s="210" t="s">
        <v>150</v>
      </c>
      <c r="D6199" s="212" t="s">
        <v>18541</v>
      </c>
      <c r="E6199" s="210" t="s">
        <v>201</v>
      </c>
    </row>
    <row r="6200" spans="1:5" ht="13.5">
      <c r="A6200" s="210">
        <v>85185</v>
      </c>
      <c r="B6200" s="210" t="s">
        <v>4320</v>
      </c>
      <c r="C6200" s="210" t="s">
        <v>150</v>
      </c>
      <c r="D6200" s="212" t="s">
        <v>18542</v>
      </c>
      <c r="E6200" s="210" t="s">
        <v>201</v>
      </c>
    </row>
    <row r="6201" spans="1:5" ht="27">
      <c r="A6201" s="210">
        <v>98525</v>
      </c>
      <c r="B6201" s="210" t="s">
        <v>6210</v>
      </c>
      <c r="C6201" s="210" t="s">
        <v>150</v>
      </c>
      <c r="D6201" s="212" t="s">
        <v>18433</v>
      </c>
      <c r="E6201" s="210" t="s">
        <v>201</v>
      </c>
    </row>
    <row r="6202" spans="1:5" ht="27">
      <c r="A6202" s="210">
        <v>98526</v>
      </c>
      <c r="B6202" s="210" t="s">
        <v>6211</v>
      </c>
      <c r="C6202" s="210" t="s">
        <v>90</v>
      </c>
      <c r="D6202" s="212" t="s">
        <v>17722</v>
      </c>
      <c r="E6202" s="210" t="s">
        <v>201</v>
      </c>
    </row>
    <row r="6203" spans="1:5" ht="27">
      <c r="A6203" s="210">
        <v>98527</v>
      </c>
      <c r="B6203" s="210" t="s">
        <v>6212</v>
      </c>
      <c r="C6203" s="210" t="s">
        <v>90</v>
      </c>
      <c r="D6203" s="212" t="s">
        <v>18543</v>
      </c>
      <c r="E6203" s="210" t="s">
        <v>201</v>
      </c>
    </row>
    <row r="6204" spans="1:5" ht="27">
      <c r="A6204" s="210">
        <v>98528</v>
      </c>
      <c r="B6204" s="210" t="s">
        <v>6213</v>
      </c>
      <c r="C6204" s="210" t="s">
        <v>90</v>
      </c>
      <c r="D6204" s="212" t="s">
        <v>16146</v>
      </c>
      <c r="E6204" s="210" t="s">
        <v>201</v>
      </c>
    </row>
    <row r="6205" spans="1:5" ht="27">
      <c r="A6205" s="210">
        <v>98529</v>
      </c>
      <c r="B6205" s="210" t="s">
        <v>6214</v>
      </c>
      <c r="C6205" s="210" t="s">
        <v>90</v>
      </c>
      <c r="D6205" s="212" t="s">
        <v>18544</v>
      </c>
      <c r="E6205" s="210" t="s">
        <v>201</v>
      </c>
    </row>
    <row r="6206" spans="1:5" ht="27">
      <c r="A6206" s="210">
        <v>98530</v>
      </c>
      <c r="B6206" s="210" t="s">
        <v>6215</v>
      </c>
      <c r="C6206" s="210" t="s">
        <v>90</v>
      </c>
      <c r="D6206" s="212" t="s">
        <v>18545</v>
      </c>
      <c r="E6206" s="210" t="s">
        <v>201</v>
      </c>
    </row>
    <row r="6207" spans="1:5" ht="13.5">
      <c r="A6207" s="210">
        <v>98531</v>
      </c>
      <c r="B6207" s="210" t="s">
        <v>6216</v>
      </c>
      <c r="C6207" s="210" t="s">
        <v>90</v>
      </c>
      <c r="D6207" s="212" t="s">
        <v>18546</v>
      </c>
      <c r="E6207" s="210" t="s">
        <v>201</v>
      </c>
    </row>
    <row r="6208" spans="1:5" ht="13.5">
      <c r="A6208" s="210">
        <v>98532</v>
      </c>
      <c r="B6208" s="210" t="s">
        <v>6217</v>
      </c>
      <c r="C6208" s="210" t="s">
        <v>90</v>
      </c>
      <c r="D6208" s="212" t="s">
        <v>18547</v>
      </c>
      <c r="E6208" s="210" t="s">
        <v>201</v>
      </c>
    </row>
    <row r="6209" spans="1:5" ht="27">
      <c r="A6209" s="210">
        <v>98533</v>
      </c>
      <c r="B6209" s="210" t="s">
        <v>6218</v>
      </c>
      <c r="C6209" s="210" t="s">
        <v>90</v>
      </c>
      <c r="D6209" s="212" t="s">
        <v>18548</v>
      </c>
      <c r="E6209" s="210" t="s">
        <v>201</v>
      </c>
    </row>
    <row r="6210" spans="1:5" ht="27">
      <c r="A6210" s="210">
        <v>98534</v>
      </c>
      <c r="B6210" s="210" t="s">
        <v>6219</v>
      </c>
      <c r="C6210" s="210" t="s">
        <v>90</v>
      </c>
      <c r="D6210" s="212" t="s">
        <v>18549</v>
      </c>
      <c r="E6210" s="210" t="s">
        <v>201</v>
      </c>
    </row>
    <row r="6211" spans="1:5" ht="13.5">
      <c r="A6211" s="210">
        <v>98535</v>
      </c>
      <c r="B6211" s="210" t="s">
        <v>6220</v>
      </c>
      <c r="C6211" s="210" t="s">
        <v>90</v>
      </c>
      <c r="D6211" s="212" t="s">
        <v>18550</v>
      </c>
      <c r="E6211" s="210" t="s">
        <v>201</v>
      </c>
    </row>
    <row r="6212" spans="1:5" ht="13.5">
      <c r="A6212" s="210">
        <v>88238</v>
      </c>
      <c r="B6212" s="210" t="s">
        <v>4321</v>
      </c>
      <c r="C6212" s="210" t="s">
        <v>167</v>
      </c>
      <c r="D6212" s="212" t="s">
        <v>18067</v>
      </c>
      <c r="E6212" s="210" t="s">
        <v>8722</v>
      </c>
    </row>
    <row r="6213" spans="1:5" ht="13.5">
      <c r="A6213" s="210">
        <v>88239</v>
      </c>
      <c r="B6213" s="210" t="s">
        <v>290</v>
      </c>
      <c r="C6213" s="210" t="s">
        <v>167</v>
      </c>
      <c r="D6213" s="212" t="s">
        <v>18551</v>
      </c>
      <c r="E6213" s="210" t="s">
        <v>8722</v>
      </c>
    </row>
    <row r="6214" spans="1:5" ht="13.5">
      <c r="A6214" s="210">
        <v>88240</v>
      </c>
      <c r="B6214" s="210" t="s">
        <v>4322</v>
      </c>
      <c r="C6214" s="210" t="s">
        <v>167</v>
      </c>
      <c r="D6214" s="212" t="s">
        <v>15850</v>
      </c>
      <c r="E6214" s="210" t="s">
        <v>8722</v>
      </c>
    </row>
    <row r="6215" spans="1:5" ht="13.5">
      <c r="A6215" s="210">
        <v>88241</v>
      </c>
      <c r="B6215" s="210" t="s">
        <v>4323</v>
      </c>
      <c r="C6215" s="210" t="s">
        <v>167</v>
      </c>
      <c r="D6215" s="212" t="s">
        <v>18552</v>
      </c>
      <c r="E6215" s="210" t="s">
        <v>8722</v>
      </c>
    </row>
    <row r="6216" spans="1:5" ht="13.5">
      <c r="A6216" s="210">
        <v>88242</v>
      </c>
      <c r="B6216" s="210" t="s">
        <v>4324</v>
      </c>
      <c r="C6216" s="210" t="s">
        <v>167</v>
      </c>
      <c r="D6216" s="212" t="s">
        <v>18553</v>
      </c>
      <c r="E6216" s="210" t="s">
        <v>8722</v>
      </c>
    </row>
    <row r="6217" spans="1:5" ht="13.5">
      <c r="A6217" s="210">
        <v>88243</v>
      </c>
      <c r="B6217" s="210" t="s">
        <v>4325</v>
      </c>
      <c r="C6217" s="210" t="s">
        <v>167</v>
      </c>
      <c r="D6217" s="212" t="s">
        <v>18554</v>
      </c>
      <c r="E6217" s="210" t="s">
        <v>8722</v>
      </c>
    </row>
    <row r="6218" spans="1:5" ht="13.5">
      <c r="A6218" s="210">
        <v>88245</v>
      </c>
      <c r="B6218" s="210" t="s">
        <v>4326</v>
      </c>
      <c r="C6218" s="210" t="s">
        <v>167</v>
      </c>
      <c r="D6218" s="212" t="s">
        <v>18555</v>
      </c>
      <c r="E6218" s="210" t="s">
        <v>8722</v>
      </c>
    </row>
    <row r="6219" spans="1:5" ht="13.5">
      <c r="A6219" s="210">
        <v>88246</v>
      </c>
      <c r="B6219" s="210" t="s">
        <v>4327</v>
      </c>
      <c r="C6219" s="210" t="s">
        <v>167</v>
      </c>
      <c r="D6219" s="212" t="s">
        <v>18556</v>
      </c>
      <c r="E6219" s="210" t="s">
        <v>8722</v>
      </c>
    </row>
    <row r="6220" spans="1:5" ht="13.5">
      <c r="A6220" s="210">
        <v>88247</v>
      </c>
      <c r="B6220" s="210" t="s">
        <v>127</v>
      </c>
      <c r="C6220" s="210" t="s">
        <v>167</v>
      </c>
      <c r="D6220" s="212" t="s">
        <v>14033</v>
      </c>
      <c r="E6220" s="210" t="s">
        <v>8722</v>
      </c>
    </row>
    <row r="6221" spans="1:5" ht="13.5">
      <c r="A6221" s="210">
        <v>88248</v>
      </c>
      <c r="B6221" s="210" t="s">
        <v>87</v>
      </c>
      <c r="C6221" s="210" t="s">
        <v>167</v>
      </c>
      <c r="D6221" s="212" t="s">
        <v>18557</v>
      </c>
      <c r="E6221" s="210" t="s">
        <v>8722</v>
      </c>
    </row>
    <row r="6222" spans="1:5" ht="13.5">
      <c r="A6222" s="210">
        <v>88249</v>
      </c>
      <c r="B6222" s="210" t="s">
        <v>4328</v>
      </c>
      <c r="C6222" s="210" t="s">
        <v>167</v>
      </c>
      <c r="D6222" s="212" t="s">
        <v>18558</v>
      </c>
      <c r="E6222" s="210" t="s">
        <v>8722</v>
      </c>
    </row>
    <row r="6223" spans="1:5" ht="13.5">
      <c r="A6223" s="210">
        <v>88250</v>
      </c>
      <c r="B6223" s="210" t="s">
        <v>4329</v>
      </c>
      <c r="C6223" s="210" t="s">
        <v>167</v>
      </c>
      <c r="D6223" s="212" t="s">
        <v>15498</v>
      </c>
      <c r="E6223" s="210" t="s">
        <v>8722</v>
      </c>
    </row>
    <row r="6224" spans="1:5" ht="13.5">
      <c r="A6224" s="210">
        <v>88251</v>
      </c>
      <c r="B6224" s="210" t="s">
        <v>175</v>
      </c>
      <c r="C6224" s="210" t="s">
        <v>167</v>
      </c>
      <c r="D6224" s="212" t="s">
        <v>16775</v>
      </c>
      <c r="E6224" s="210" t="s">
        <v>8722</v>
      </c>
    </row>
    <row r="6225" spans="1:5" ht="13.5">
      <c r="A6225" s="210">
        <v>88252</v>
      </c>
      <c r="B6225" s="210" t="s">
        <v>4330</v>
      </c>
      <c r="C6225" s="210" t="s">
        <v>167</v>
      </c>
      <c r="D6225" s="212" t="s">
        <v>18067</v>
      </c>
      <c r="E6225" s="210" t="s">
        <v>8722</v>
      </c>
    </row>
    <row r="6226" spans="1:5" ht="13.5">
      <c r="A6226" s="210">
        <v>88253</v>
      </c>
      <c r="B6226" s="210" t="s">
        <v>4331</v>
      </c>
      <c r="C6226" s="210" t="s">
        <v>167</v>
      </c>
      <c r="D6226" s="212" t="s">
        <v>18559</v>
      </c>
      <c r="E6226" s="210" t="s">
        <v>8722</v>
      </c>
    </row>
    <row r="6227" spans="1:5" ht="13.5">
      <c r="A6227" s="210">
        <v>88255</v>
      </c>
      <c r="B6227" s="210" t="s">
        <v>4332</v>
      </c>
      <c r="C6227" s="210" t="s">
        <v>167</v>
      </c>
      <c r="D6227" s="212" t="s">
        <v>18560</v>
      </c>
      <c r="E6227" s="210" t="s">
        <v>8722</v>
      </c>
    </row>
    <row r="6228" spans="1:5" ht="13.5">
      <c r="A6228" s="210">
        <v>88256</v>
      </c>
      <c r="B6228" s="210" t="s">
        <v>188</v>
      </c>
      <c r="C6228" s="210" t="s">
        <v>167</v>
      </c>
      <c r="D6228" s="212" t="s">
        <v>18561</v>
      </c>
      <c r="E6228" s="210" t="s">
        <v>8722</v>
      </c>
    </row>
    <row r="6229" spans="1:5" ht="13.5">
      <c r="A6229" s="210">
        <v>88257</v>
      </c>
      <c r="B6229" s="210" t="s">
        <v>4333</v>
      </c>
      <c r="C6229" s="210" t="s">
        <v>167</v>
      </c>
      <c r="D6229" s="212" t="s">
        <v>16529</v>
      </c>
      <c r="E6229" s="210" t="s">
        <v>8722</v>
      </c>
    </row>
    <row r="6230" spans="1:5" ht="13.5">
      <c r="A6230" s="210">
        <v>88258</v>
      </c>
      <c r="B6230" s="210" t="s">
        <v>4334</v>
      </c>
      <c r="C6230" s="210" t="s">
        <v>167</v>
      </c>
      <c r="D6230" s="212" t="s">
        <v>18562</v>
      </c>
      <c r="E6230" s="210" t="s">
        <v>8722</v>
      </c>
    </row>
    <row r="6231" spans="1:5" ht="13.5">
      <c r="A6231" s="210">
        <v>88259</v>
      </c>
      <c r="B6231" s="210" t="s">
        <v>4335</v>
      </c>
      <c r="C6231" s="210" t="s">
        <v>167</v>
      </c>
      <c r="D6231" s="212" t="s">
        <v>16157</v>
      </c>
      <c r="E6231" s="210" t="s">
        <v>8722</v>
      </c>
    </row>
    <row r="6232" spans="1:5" ht="13.5">
      <c r="A6232" s="210">
        <v>88260</v>
      </c>
      <c r="B6232" s="210" t="s">
        <v>204</v>
      </c>
      <c r="C6232" s="210" t="s">
        <v>167</v>
      </c>
      <c r="D6232" s="212" t="s">
        <v>18563</v>
      </c>
      <c r="E6232" s="210" t="s">
        <v>8722</v>
      </c>
    </row>
    <row r="6233" spans="1:5" ht="13.5">
      <c r="A6233" s="210">
        <v>88261</v>
      </c>
      <c r="B6233" s="210" t="s">
        <v>291</v>
      </c>
      <c r="C6233" s="210" t="s">
        <v>167</v>
      </c>
      <c r="D6233" s="212" t="s">
        <v>18555</v>
      </c>
      <c r="E6233" s="210" t="s">
        <v>8722</v>
      </c>
    </row>
    <row r="6234" spans="1:5" ht="13.5">
      <c r="A6234" s="210">
        <v>88262</v>
      </c>
      <c r="B6234" s="210" t="s">
        <v>136</v>
      </c>
      <c r="C6234" s="210" t="s">
        <v>167</v>
      </c>
      <c r="D6234" s="212" t="s">
        <v>15941</v>
      </c>
      <c r="E6234" s="210" t="s">
        <v>8722</v>
      </c>
    </row>
    <row r="6235" spans="1:5" ht="13.5">
      <c r="A6235" s="210">
        <v>88263</v>
      </c>
      <c r="B6235" s="210" t="s">
        <v>4336</v>
      </c>
      <c r="C6235" s="210" t="s">
        <v>167</v>
      </c>
      <c r="D6235" s="212" t="s">
        <v>18564</v>
      </c>
      <c r="E6235" s="210" t="s">
        <v>8722</v>
      </c>
    </row>
    <row r="6236" spans="1:5" ht="13.5">
      <c r="A6236" s="210">
        <v>88264</v>
      </c>
      <c r="B6236" s="210" t="s">
        <v>128</v>
      </c>
      <c r="C6236" s="210" t="s">
        <v>167</v>
      </c>
      <c r="D6236" s="212" t="s">
        <v>18515</v>
      </c>
      <c r="E6236" s="210" t="s">
        <v>8722</v>
      </c>
    </row>
    <row r="6237" spans="1:5" ht="13.5">
      <c r="A6237" s="210">
        <v>88265</v>
      </c>
      <c r="B6237" s="210" t="s">
        <v>4337</v>
      </c>
      <c r="C6237" s="210" t="s">
        <v>167</v>
      </c>
      <c r="D6237" s="212" t="s">
        <v>18515</v>
      </c>
      <c r="E6237" s="210" t="s">
        <v>8722</v>
      </c>
    </row>
    <row r="6238" spans="1:5" ht="13.5">
      <c r="A6238" s="210">
        <v>88266</v>
      </c>
      <c r="B6238" s="210" t="s">
        <v>4338</v>
      </c>
      <c r="C6238" s="210" t="s">
        <v>167</v>
      </c>
      <c r="D6238" s="212" t="s">
        <v>14571</v>
      </c>
      <c r="E6238" s="210" t="s">
        <v>8722</v>
      </c>
    </row>
    <row r="6239" spans="1:5" ht="13.5">
      <c r="A6239" s="210">
        <v>88267</v>
      </c>
      <c r="B6239" s="210" t="s">
        <v>88</v>
      </c>
      <c r="C6239" s="210" t="s">
        <v>167</v>
      </c>
      <c r="D6239" s="212" t="s">
        <v>16573</v>
      </c>
      <c r="E6239" s="210" t="s">
        <v>8722</v>
      </c>
    </row>
    <row r="6240" spans="1:5" ht="13.5">
      <c r="A6240" s="210">
        <v>88268</v>
      </c>
      <c r="B6240" s="210" t="s">
        <v>4339</v>
      </c>
      <c r="C6240" s="210" t="s">
        <v>167</v>
      </c>
      <c r="D6240" s="212" t="s">
        <v>18565</v>
      </c>
      <c r="E6240" s="210" t="s">
        <v>8722</v>
      </c>
    </row>
    <row r="6241" spans="1:5" ht="13.5">
      <c r="A6241" s="210">
        <v>88269</v>
      </c>
      <c r="B6241" s="210" t="s">
        <v>4340</v>
      </c>
      <c r="C6241" s="210" t="s">
        <v>167</v>
      </c>
      <c r="D6241" s="212" t="s">
        <v>18555</v>
      </c>
      <c r="E6241" s="210" t="s">
        <v>8722</v>
      </c>
    </row>
    <row r="6242" spans="1:5" ht="13.5">
      <c r="A6242" s="210">
        <v>88270</v>
      </c>
      <c r="B6242" s="210" t="s">
        <v>4341</v>
      </c>
      <c r="C6242" s="210" t="s">
        <v>167</v>
      </c>
      <c r="D6242" s="212" t="s">
        <v>17122</v>
      </c>
      <c r="E6242" s="210" t="s">
        <v>8722</v>
      </c>
    </row>
    <row r="6243" spans="1:5" ht="13.5">
      <c r="A6243" s="210">
        <v>88272</v>
      </c>
      <c r="B6243" s="210" t="s">
        <v>4342</v>
      </c>
      <c r="C6243" s="210" t="s">
        <v>167</v>
      </c>
      <c r="D6243" s="212" t="s">
        <v>18566</v>
      </c>
      <c r="E6243" s="210" t="s">
        <v>8722</v>
      </c>
    </row>
    <row r="6244" spans="1:5" ht="13.5">
      <c r="A6244" s="210">
        <v>88273</v>
      </c>
      <c r="B6244" s="210" t="s">
        <v>4343</v>
      </c>
      <c r="C6244" s="210" t="s">
        <v>167</v>
      </c>
      <c r="D6244" s="212" t="s">
        <v>18567</v>
      </c>
      <c r="E6244" s="210" t="s">
        <v>8722</v>
      </c>
    </row>
    <row r="6245" spans="1:5" ht="13.5">
      <c r="A6245" s="210">
        <v>88274</v>
      </c>
      <c r="B6245" s="210" t="s">
        <v>166</v>
      </c>
      <c r="C6245" s="210" t="s">
        <v>167</v>
      </c>
      <c r="D6245" s="212" t="s">
        <v>14062</v>
      </c>
      <c r="E6245" s="210" t="s">
        <v>8722</v>
      </c>
    </row>
    <row r="6246" spans="1:5" ht="13.5">
      <c r="A6246" s="210">
        <v>88275</v>
      </c>
      <c r="B6246" s="210" t="s">
        <v>4344</v>
      </c>
      <c r="C6246" s="210" t="s">
        <v>167</v>
      </c>
      <c r="D6246" s="212" t="s">
        <v>18568</v>
      </c>
      <c r="E6246" s="210" t="s">
        <v>8722</v>
      </c>
    </row>
    <row r="6247" spans="1:5" ht="13.5">
      <c r="A6247" s="210">
        <v>88277</v>
      </c>
      <c r="B6247" s="210" t="s">
        <v>129</v>
      </c>
      <c r="C6247" s="210" t="s">
        <v>167</v>
      </c>
      <c r="D6247" s="212" t="s">
        <v>16381</v>
      </c>
      <c r="E6247" s="210" t="s">
        <v>8722</v>
      </c>
    </row>
    <row r="6248" spans="1:5" ht="13.5">
      <c r="A6248" s="210">
        <v>88278</v>
      </c>
      <c r="B6248" s="210" t="s">
        <v>4345</v>
      </c>
      <c r="C6248" s="210" t="s">
        <v>167</v>
      </c>
      <c r="D6248" s="212" t="s">
        <v>16042</v>
      </c>
      <c r="E6248" s="210" t="s">
        <v>8722</v>
      </c>
    </row>
    <row r="6249" spans="1:5" ht="13.5">
      <c r="A6249" s="210">
        <v>88279</v>
      </c>
      <c r="B6249" s="210" t="s">
        <v>4346</v>
      </c>
      <c r="C6249" s="210" t="s">
        <v>167</v>
      </c>
      <c r="D6249" s="212" t="s">
        <v>18569</v>
      </c>
      <c r="E6249" s="210" t="s">
        <v>8722</v>
      </c>
    </row>
    <row r="6250" spans="1:5" ht="13.5">
      <c r="A6250" s="210">
        <v>88281</v>
      </c>
      <c r="B6250" s="210" t="s">
        <v>4347</v>
      </c>
      <c r="C6250" s="210" t="s">
        <v>167</v>
      </c>
      <c r="D6250" s="212" t="s">
        <v>16381</v>
      </c>
      <c r="E6250" s="210" t="s">
        <v>8722</v>
      </c>
    </row>
    <row r="6251" spans="1:5" ht="13.5">
      <c r="A6251" s="210">
        <v>88282</v>
      </c>
      <c r="B6251" s="210" t="s">
        <v>4348</v>
      </c>
      <c r="C6251" s="210" t="s">
        <v>167</v>
      </c>
      <c r="D6251" s="212" t="s">
        <v>17637</v>
      </c>
      <c r="E6251" s="210" t="s">
        <v>8722</v>
      </c>
    </row>
    <row r="6252" spans="1:5" ht="13.5">
      <c r="A6252" s="210">
        <v>88283</v>
      </c>
      <c r="B6252" s="210" t="s">
        <v>4349</v>
      </c>
      <c r="C6252" s="210" t="s">
        <v>167</v>
      </c>
      <c r="D6252" s="212" t="s">
        <v>18570</v>
      </c>
      <c r="E6252" s="210" t="s">
        <v>8722</v>
      </c>
    </row>
    <row r="6253" spans="1:5" ht="13.5">
      <c r="A6253" s="210">
        <v>88284</v>
      </c>
      <c r="B6253" s="210" t="s">
        <v>4350</v>
      </c>
      <c r="C6253" s="210" t="s">
        <v>167</v>
      </c>
      <c r="D6253" s="212" t="s">
        <v>18571</v>
      </c>
      <c r="E6253" s="210" t="s">
        <v>8722</v>
      </c>
    </row>
    <row r="6254" spans="1:5" ht="13.5">
      <c r="A6254" s="210">
        <v>88285</v>
      </c>
      <c r="B6254" s="210" t="s">
        <v>4351</v>
      </c>
      <c r="C6254" s="210" t="s">
        <v>167</v>
      </c>
      <c r="D6254" s="212" t="s">
        <v>13683</v>
      </c>
      <c r="E6254" s="210" t="s">
        <v>8722</v>
      </c>
    </row>
    <row r="6255" spans="1:5" ht="13.5">
      <c r="A6255" s="210">
        <v>88286</v>
      </c>
      <c r="B6255" s="210" t="s">
        <v>4352</v>
      </c>
      <c r="C6255" s="210" t="s">
        <v>167</v>
      </c>
      <c r="D6255" s="212" t="s">
        <v>18147</v>
      </c>
      <c r="E6255" s="210" t="s">
        <v>8722</v>
      </c>
    </row>
    <row r="6256" spans="1:5" ht="13.5">
      <c r="A6256" s="210">
        <v>88288</v>
      </c>
      <c r="B6256" s="210" t="s">
        <v>4353</v>
      </c>
      <c r="C6256" s="210" t="s">
        <v>167</v>
      </c>
      <c r="D6256" s="212" t="s">
        <v>15670</v>
      </c>
      <c r="E6256" s="210" t="s">
        <v>8722</v>
      </c>
    </row>
    <row r="6257" spans="1:5" ht="13.5">
      <c r="A6257" s="210">
        <v>88291</v>
      </c>
      <c r="B6257" s="210" t="s">
        <v>4354</v>
      </c>
      <c r="C6257" s="210" t="s">
        <v>167</v>
      </c>
      <c r="D6257" s="212" t="s">
        <v>14094</v>
      </c>
      <c r="E6257" s="210" t="s">
        <v>8722</v>
      </c>
    </row>
    <row r="6258" spans="1:5" ht="13.5">
      <c r="A6258" s="210">
        <v>88292</v>
      </c>
      <c r="B6258" s="210" t="s">
        <v>4355</v>
      </c>
      <c r="C6258" s="210" t="s">
        <v>167</v>
      </c>
      <c r="D6258" s="212" t="s">
        <v>16234</v>
      </c>
      <c r="E6258" s="210" t="s">
        <v>8722</v>
      </c>
    </row>
    <row r="6259" spans="1:5" ht="13.5">
      <c r="A6259" s="210">
        <v>88293</v>
      </c>
      <c r="B6259" s="210" t="s">
        <v>4356</v>
      </c>
      <c r="C6259" s="210" t="s">
        <v>167</v>
      </c>
      <c r="D6259" s="212" t="s">
        <v>17056</v>
      </c>
      <c r="E6259" s="210" t="s">
        <v>8722</v>
      </c>
    </row>
    <row r="6260" spans="1:5" ht="13.5">
      <c r="A6260" s="210">
        <v>88294</v>
      </c>
      <c r="B6260" s="210" t="s">
        <v>4357</v>
      </c>
      <c r="C6260" s="210" t="s">
        <v>167</v>
      </c>
      <c r="D6260" s="212" t="s">
        <v>18572</v>
      </c>
      <c r="E6260" s="210" t="s">
        <v>8722</v>
      </c>
    </row>
    <row r="6261" spans="1:5" ht="13.5">
      <c r="A6261" s="210">
        <v>88295</v>
      </c>
      <c r="B6261" s="210" t="s">
        <v>4358</v>
      </c>
      <c r="C6261" s="210" t="s">
        <v>167</v>
      </c>
      <c r="D6261" s="212" t="s">
        <v>18147</v>
      </c>
      <c r="E6261" s="210" t="s">
        <v>8722</v>
      </c>
    </row>
    <row r="6262" spans="1:5" ht="13.5">
      <c r="A6262" s="210">
        <v>88296</v>
      </c>
      <c r="B6262" s="210" t="s">
        <v>4359</v>
      </c>
      <c r="C6262" s="210" t="s">
        <v>167</v>
      </c>
      <c r="D6262" s="212" t="s">
        <v>18147</v>
      </c>
      <c r="E6262" s="210" t="s">
        <v>8722</v>
      </c>
    </row>
    <row r="6263" spans="1:5" ht="13.5">
      <c r="A6263" s="210">
        <v>88297</v>
      </c>
      <c r="B6263" s="210" t="s">
        <v>4360</v>
      </c>
      <c r="C6263" s="210" t="s">
        <v>167</v>
      </c>
      <c r="D6263" s="212" t="s">
        <v>18573</v>
      </c>
      <c r="E6263" s="210" t="s">
        <v>8722</v>
      </c>
    </row>
    <row r="6264" spans="1:5" ht="13.5">
      <c r="A6264" s="210">
        <v>88298</v>
      </c>
      <c r="B6264" s="210" t="s">
        <v>4361</v>
      </c>
      <c r="C6264" s="210" t="s">
        <v>167</v>
      </c>
      <c r="D6264" s="212" t="s">
        <v>18574</v>
      </c>
      <c r="E6264" s="210" t="s">
        <v>8722</v>
      </c>
    </row>
    <row r="6265" spans="1:5" ht="13.5">
      <c r="A6265" s="210">
        <v>88299</v>
      </c>
      <c r="B6265" s="210" t="s">
        <v>4362</v>
      </c>
      <c r="C6265" s="210" t="s">
        <v>167</v>
      </c>
      <c r="D6265" s="212" t="s">
        <v>18575</v>
      </c>
      <c r="E6265" s="210" t="s">
        <v>8722</v>
      </c>
    </row>
    <row r="6266" spans="1:5" ht="13.5">
      <c r="A6266" s="210">
        <v>88300</v>
      </c>
      <c r="B6266" s="210" t="s">
        <v>4363</v>
      </c>
      <c r="C6266" s="210" t="s">
        <v>167</v>
      </c>
      <c r="D6266" s="212" t="s">
        <v>18576</v>
      </c>
      <c r="E6266" s="210" t="s">
        <v>8722</v>
      </c>
    </row>
    <row r="6267" spans="1:5" ht="13.5">
      <c r="A6267" s="210">
        <v>88301</v>
      </c>
      <c r="B6267" s="210" t="s">
        <v>4364</v>
      </c>
      <c r="C6267" s="210" t="s">
        <v>167</v>
      </c>
      <c r="D6267" s="212" t="s">
        <v>18577</v>
      </c>
      <c r="E6267" s="210" t="s">
        <v>8722</v>
      </c>
    </row>
    <row r="6268" spans="1:5" ht="13.5">
      <c r="A6268" s="210">
        <v>88302</v>
      </c>
      <c r="B6268" s="210" t="s">
        <v>4365</v>
      </c>
      <c r="C6268" s="210" t="s">
        <v>167</v>
      </c>
      <c r="D6268" s="212" t="s">
        <v>18578</v>
      </c>
      <c r="E6268" s="210" t="s">
        <v>8722</v>
      </c>
    </row>
    <row r="6269" spans="1:5" ht="13.5">
      <c r="A6269" s="210">
        <v>88303</v>
      </c>
      <c r="B6269" s="210" t="s">
        <v>4366</v>
      </c>
      <c r="C6269" s="210" t="s">
        <v>167</v>
      </c>
      <c r="D6269" s="212" t="s">
        <v>15255</v>
      </c>
      <c r="E6269" s="210" t="s">
        <v>8722</v>
      </c>
    </row>
    <row r="6270" spans="1:5" ht="13.5">
      <c r="A6270" s="210">
        <v>88304</v>
      </c>
      <c r="B6270" s="210" t="s">
        <v>4367</v>
      </c>
      <c r="C6270" s="210" t="s">
        <v>167</v>
      </c>
      <c r="D6270" s="212" t="s">
        <v>14204</v>
      </c>
      <c r="E6270" s="210" t="s">
        <v>8722</v>
      </c>
    </row>
    <row r="6271" spans="1:5" ht="13.5">
      <c r="A6271" s="210">
        <v>88306</v>
      </c>
      <c r="B6271" s="210" t="s">
        <v>4368</v>
      </c>
      <c r="C6271" s="210" t="s">
        <v>167</v>
      </c>
      <c r="D6271" s="212" t="s">
        <v>15092</v>
      </c>
      <c r="E6271" s="210" t="s">
        <v>8722</v>
      </c>
    </row>
    <row r="6272" spans="1:5" ht="13.5">
      <c r="A6272" s="210">
        <v>88307</v>
      </c>
      <c r="B6272" s="210" t="s">
        <v>4369</v>
      </c>
      <c r="C6272" s="210" t="s">
        <v>167</v>
      </c>
      <c r="D6272" s="212" t="s">
        <v>13646</v>
      </c>
      <c r="E6272" s="210" t="s">
        <v>8722</v>
      </c>
    </row>
    <row r="6273" spans="1:5" ht="13.5">
      <c r="A6273" s="210">
        <v>88308</v>
      </c>
      <c r="B6273" s="210" t="s">
        <v>4370</v>
      </c>
      <c r="C6273" s="210" t="s">
        <v>167</v>
      </c>
      <c r="D6273" s="212" t="s">
        <v>16461</v>
      </c>
      <c r="E6273" s="210" t="s">
        <v>8722</v>
      </c>
    </row>
    <row r="6274" spans="1:5" ht="13.5">
      <c r="A6274" s="210">
        <v>88309</v>
      </c>
      <c r="B6274" s="210" t="s">
        <v>86</v>
      </c>
      <c r="C6274" s="210" t="s">
        <v>167</v>
      </c>
      <c r="D6274" s="212" t="s">
        <v>17122</v>
      </c>
      <c r="E6274" s="210" t="s">
        <v>8722</v>
      </c>
    </row>
    <row r="6275" spans="1:5" ht="13.5">
      <c r="A6275" s="210">
        <v>88310</v>
      </c>
      <c r="B6275" s="210" t="s">
        <v>198</v>
      </c>
      <c r="C6275" s="210" t="s">
        <v>167</v>
      </c>
      <c r="D6275" s="212" t="s">
        <v>14906</v>
      </c>
      <c r="E6275" s="210" t="s">
        <v>8722</v>
      </c>
    </row>
    <row r="6276" spans="1:5" ht="13.5">
      <c r="A6276" s="210">
        <v>88311</v>
      </c>
      <c r="B6276" s="210" t="s">
        <v>4371</v>
      </c>
      <c r="C6276" s="210" t="s">
        <v>167</v>
      </c>
      <c r="D6276" s="212" t="s">
        <v>15123</v>
      </c>
      <c r="E6276" s="210" t="s">
        <v>8722</v>
      </c>
    </row>
    <row r="6277" spans="1:5" ht="13.5">
      <c r="A6277" s="210">
        <v>88312</v>
      </c>
      <c r="B6277" s="210" t="s">
        <v>4372</v>
      </c>
      <c r="C6277" s="210" t="s">
        <v>167</v>
      </c>
      <c r="D6277" s="212" t="s">
        <v>18579</v>
      </c>
      <c r="E6277" s="210" t="s">
        <v>8722</v>
      </c>
    </row>
    <row r="6278" spans="1:5" ht="13.5">
      <c r="A6278" s="210">
        <v>88313</v>
      </c>
      <c r="B6278" s="210" t="s">
        <v>4373</v>
      </c>
      <c r="C6278" s="210" t="s">
        <v>167</v>
      </c>
      <c r="D6278" s="212" t="s">
        <v>17055</v>
      </c>
      <c r="E6278" s="210" t="s">
        <v>8722</v>
      </c>
    </row>
    <row r="6279" spans="1:5" ht="13.5">
      <c r="A6279" s="210">
        <v>88314</v>
      </c>
      <c r="B6279" s="210" t="s">
        <v>4374</v>
      </c>
      <c r="C6279" s="210" t="s">
        <v>167</v>
      </c>
      <c r="D6279" s="212" t="s">
        <v>15597</v>
      </c>
      <c r="E6279" s="210" t="s">
        <v>8722</v>
      </c>
    </row>
    <row r="6280" spans="1:5" ht="13.5">
      <c r="A6280" s="210">
        <v>88315</v>
      </c>
      <c r="B6280" s="210" t="s">
        <v>171</v>
      </c>
      <c r="C6280" s="210" t="s">
        <v>167</v>
      </c>
      <c r="D6280" s="212" t="s">
        <v>18555</v>
      </c>
      <c r="E6280" s="210" t="s">
        <v>8722</v>
      </c>
    </row>
    <row r="6281" spans="1:5" ht="13.5">
      <c r="A6281" s="210">
        <v>88316</v>
      </c>
      <c r="B6281" s="210" t="s">
        <v>85</v>
      </c>
      <c r="C6281" s="210" t="s">
        <v>167</v>
      </c>
      <c r="D6281" s="212" t="s">
        <v>16709</v>
      </c>
      <c r="E6281" s="210" t="s">
        <v>8722</v>
      </c>
    </row>
    <row r="6282" spans="1:5" ht="13.5">
      <c r="A6282" s="210">
        <v>88317</v>
      </c>
      <c r="B6282" s="210" t="s">
        <v>4375</v>
      </c>
      <c r="C6282" s="210" t="s">
        <v>167</v>
      </c>
      <c r="D6282" s="212" t="s">
        <v>18570</v>
      </c>
      <c r="E6282" s="210" t="s">
        <v>8722</v>
      </c>
    </row>
    <row r="6283" spans="1:5" ht="13.5">
      <c r="A6283" s="210">
        <v>88318</v>
      </c>
      <c r="B6283" s="210" t="s">
        <v>4376</v>
      </c>
      <c r="C6283" s="210" t="s">
        <v>167</v>
      </c>
      <c r="D6283" s="212" t="s">
        <v>18580</v>
      </c>
      <c r="E6283" s="210" t="s">
        <v>8722</v>
      </c>
    </row>
    <row r="6284" spans="1:5" ht="13.5">
      <c r="A6284" s="210">
        <v>88320</v>
      </c>
      <c r="B6284" s="210" t="s">
        <v>4377</v>
      </c>
      <c r="C6284" s="210" t="s">
        <v>167</v>
      </c>
      <c r="D6284" s="212" t="s">
        <v>18581</v>
      </c>
      <c r="E6284" s="210" t="s">
        <v>8722</v>
      </c>
    </row>
    <row r="6285" spans="1:5" ht="13.5">
      <c r="A6285" s="210">
        <v>88321</v>
      </c>
      <c r="B6285" s="210" t="s">
        <v>4378</v>
      </c>
      <c r="C6285" s="210" t="s">
        <v>167</v>
      </c>
      <c r="D6285" s="212" t="s">
        <v>18582</v>
      </c>
      <c r="E6285" s="210" t="s">
        <v>8722</v>
      </c>
    </row>
    <row r="6286" spans="1:5" ht="13.5">
      <c r="A6286" s="210">
        <v>88322</v>
      </c>
      <c r="B6286" s="210" t="s">
        <v>4379</v>
      </c>
      <c r="C6286" s="210" t="s">
        <v>167</v>
      </c>
      <c r="D6286" s="212" t="s">
        <v>16873</v>
      </c>
      <c r="E6286" s="210" t="s">
        <v>8722</v>
      </c>
    </row>
    <row r="6287" spans="1:5" ht="13.5">
      <c r="A6287" s="210">
        <v>88323</v>
      </c>
      <c r="B6287" s="210" t="s">
        <v>177</v>
      </c>
      <c r="C6287" s="210" t="s">
        <v>167</v>
      </c>
      <c r="D6287" s="212" t="s">
        <v>16691</v>
      </c>
      <c r="E6287" s="210" t="s">
        <v>8722</v>
      </c>
    </row>
    <row r="6288" spans="1:5" ht="13.5">
      <c r="A6288" s="210">
        <v>88324</v>
      </c>
      <c r="B6288" s="210" t="s">
        <v>4380</v>
      </c>
      <c r="C6288" s="210" t="s">
        <v>167</v>
      </c>
      <c r="D6288" s="212" t="s">
        <v>16234</v>
      </c>
      <c r="E6288" s="210" t="s">
        <v>8722</v>
      </c>
    </row>
    <row r="6289" spans="1:5" ht="13.5">
      <c r="A6289" s="210">
        <v>88325</v>
      </c>
      <c r="B6289" s="210" t="s">
        <v>4381</v>
      </c>
      <c r="C6289" s="210" t="s">
        <v>167</v>
      </c>
      <c r="D6289" s="212" t="s">
        <v>18583</v>
      </c>
      <c r="E6289" s="210" t="s">
        <v>8722</v>
      </c>
    </row>
    <row r="6290" spans="1:5" ht="13.5">
      <c r="A6290" s="210">
        <v>88326</v>
      </c>
      <c r="B6290" s="210" t="s">
        <v>137</v>
      </c>
      <c r="C6290" s="210" t="s">
        <v>167</v>
      </c>
      <c r="D6290" s="212" t="s">
        <v>16522</v>
      </c>
      <c r="E6290" s="210" t="s">
        <v>8722</v>
      </c>
    </row>
    <row r="6291" spans="1:5" ht="13.5">
      <c r="A6291" s="210">
        <v>88377</v>
      </c>
      <c r="B6291" s="210" t="s">
        <v>4382</v>
      </c>
      <c r="C6291" s="210" t="s">
        <v>167</v>
      </c>
      <c r="D6291" s="212" t="s">
        <v>16884</v>
      </c>
      <c r="E6291" s="210" t="s">
        <v>8722</v>
      </c>
    </row>
    <row r="6292" spans="1:5" ht="13.5">
      <c r="A6292" s="210">
        <v>88441</v>
      </c>
      <c r="B6292" s="210" t="s">
        <v>4383</v>
      </c>
      <c r="C6292" s="210" t="s">
        <v>167</v>
      </c>
      <c r="D6292" s="212" t="s">
        <v>18584</v>
      </c>
      <c r="E6292" s="210" t="s">
        <v>8722</v>
      </c>
    </row>
    <row r="6293" spans="1:5" ht="13.5">
      <c r="A6293" s="210">
        <v>88597</v>
      </c>
      <c r="B6293" s="210" t="s">
        <v>4384</v>
      </c>
      <c r="C6293" s="210" t="s">
        <v>167</v>
      </c>
      <c r="D6293" s="212" t="s">
        <v>18585</v>
      </c>
      <c r="E6293" s="210" t="s">
        <v>8722</v>
      </c>
    </row>
    <row r="6294" spans="1:5" ht="13.5">
      <c r="A6294" s="210">
        <v>90766</v>
      </c>
      <c r="B6294" s="210" t="s">
        <v>133</v>
      </c>
      <c r="C6294" s="210" t="s">
        <v>167</v>
      </c>
      <c r="D6294" s="212" t="s">
        <v>18586</v>
      </c>
      <c r="E6294" s="210" t="s">
        <v>8722</v>
      </c>
    </row>
    <row r="6295" spans="1:5" ht="13.5">
      <c r="A6295" s="210">
        <v>90767</v>
      </c>
      <c r="B6295" s="210" t="s">
        <v>4385</v>
      </c>
      <c r="C6295" s="210" t="s">
        <v>167</v>
      </c>
      <c r="D6295" s="212" t="s">
        <v>18587</v>
      </c>
      <c r="E6295" s="210" t="s">
        <v>8722</v>
      </c>
    </row>
    <row r="6296" spans="1:5" ht="13.5">
      <c r="A6296" s="210">
        <v>90768</v>
      </c>
      <c r="B6296" s="210" t="s">
        <v>4386</v>
      </c>
      <c r="C6296" s="210" t="s">
        <v>167</v>
      </c>
      <c r="D6296" s="212" t="s">
        <v>18588</v>
      </c>
      <c r="E6296" s="210" t="s">
        <v>8722</v>
      </c>
    </row>
    <row r="6297" spans="1:5" ht="13.5">
      <c r="A6297" s="210">
        <v>90769</v>
      </c>
      <c r="B6297" s="210" t="s">
        <v>4387</v>
      </c>
      <c r="C6297" s="210" t="s">
        <v>167</v>
      </c>
      <c r="D6297" s="212" t="s">
        <v>18589</v>
      </c>
      <c r="E6297" s="210" t="s">
        <v>8722</v>
      </c>
    </row>
    <row r="6298" spans="1:5" ht="13.5">
      <c r="A6298" s="210">
        <v>90770</v>
      </c>
      <c r="B6298" s="210" t="s">
        <v>4388</v>
      </c>
      <c r="C6298" s="210" t="s">
        <v>167</v>
      </c>
      <c r="D6298" s="212" t="s">
        <v>18590</v>
      </c>
      <c r="E6298" s="210" t="s">
        <v>8722</v>
      </c>
    </row>
    <row r="6299" spans="1:5" ht="13.5">
      <c r="A6299" s="210">
        <v>90771</v>
      </c>
      <c r="B6299" s="210" t="s">
        <v>4389</v>
      </c>
      <c r="C6299" s="210" t="s">
        <v>167</v>
      </c>
      <c r="D6299" s="212" t="s">
        <v>18591</v>
      </c>
      <c r="E6299" s="210" t="s">
        <v>8722</v>
      </c>
    </row>
    <row r="6300" spans="1:5" ht="13.5">
      <c r="A6300" s="210">
        <v>90772</v>
      </c>
      <c r="B6300" s="210" t="s">
        <v>4390</v>
      </c>
      <c r="C6300" s="210" t="s">
        <v>167</v>
      </c>
      <c r="D6300" s="212" t="s">
        <v>18592</v>
      </c>
      <c r="E6300" s="210" t="s">
        <v>8722</v>
      </c>
    </row>
    <row r="6301" spans="1:5" ht="13.5">
      <c r="A6301" s="210">
        <v>90773</v>
      </c>
      <c r="B6301" s="210" t="s">
        <v>292</v>
      </c>
      <c r="C6301" s="210" t="s">
        <v>167</v>
      </c>
      <c r="D6301" s="212" t="s">
        <v>18593</v>
      </c>
      <c r="E6301" s="210" t="s">
        <v>8722</v>
      </c>
    </row>
    <row r="6302" spans="1:5" ht="13.5">
      <c r="A6302" s="210">
        <v>90775</v>
      </c>
      <c r="B6302" s="210" t="s">
        <v>4391</v>
      </c>
      <c r="C6302" s="210" t="s">
        <v>167</v>
      </c>
      <c r="D6302" s="212" t="s">
        <v>18594</v>
      </c>
      <c r="E6302" s="210" t="s">
        <v>8722</v>
      </c>
    </row>
    <row r="6303" spans="1:5" ht="13.5">
      <c r="A6303" s="210">
        <v>90776</v>
      </c>
      <c r="B6303" s="210" t="s">
        <v>4392</v>
      </c>
      <c r="C6303" s="210" t="s">
        <v>167</v>
      </c>
      <c r="D6303" s="212" t="s">
        <v>15935</v>
      </c>
      <c r="E6303" s="210" t="s">
        <v>8722</v>
      </c>
    </row>
    <row r="6304" spans="1:5" ht="13.5">
      <c r="A6304" s="210">
        <v>90777</v>
      </c>
      <c r="B6304" s="210" t="s">
        <v>4393</v>
      </c>
      <c r="C6304" s="210" t="s">
        <v>167</v>
      </c>
      <c r="D6304" s="212" t="s">
        <v>18595</v>
      </c>
      <c r="E6304" s="210" t="s">
        <v>8722</v>
      </c>
    </row>
    <row r="6305" spans="1:5" ht="13.5">
      <c r="A6305" s="210">
        <v>90778</v>
      </c>
      <c r="B6305" s="210" t="s">
        <v>4394</v>
      </c>
      <c r="C6305" s="210" t="s">
        <v>167</v>
      </c>
      <c r="D6305" s="212" t="s">
        <v>18596</v>
      </c>
      <c r="E6305" s="210" t="s">
        <v>8722</v>
      </c>
    </row>
    <row r="6306" spans="1:5" ht="13.5">
      <c r="A6306" s="210">
        <v>90779</v>
      </c>
      <c r="B6306" s="210" t="s">
        <v>4395</v>
      </c>
      <c r="C6306" s="210" t="s">
        <v>167</v>
      </c>
      <c r="D6306" s="212" t="s">
        <v>18597</v>
      </c>
      <c r="E6306" s="210" t="s">
        <v>8722</v>
      </c>
    </row>
    <row r="6307" spans="1:5" ht="13.5">
      <c r="A6307" s="210">
        <v>90780</v>
      </c>
      <c r="B6307" s="210" t="s">
        <v>134</v>
      </c>
      <c r="C6307" s="210" t="s">
        <v>167</v>
      </c>
      <c r="D6307" s="212" t="s">
        <v>14113</v>
      </c>
      <c r="E6307" s="210" t="s">
        <v>8722</v>
      </c>
    </row>
    <row r="6308" spans="1:5" ht="13.5">
      <c r="A6308" s="210">
        <v>90781</v>
      </c>
      <c r="B6308" s="210" t="s">
        <v>4396</v>
      </c>
      <c r="C6308" s="210" t="s">
        <v>167</v>
      </c>
      <c r="D6308" s="212" t="s">
        <v>15851</v>
      </c>
      <c r="E6308" s="210" t="s">
        <v>8722</v>
      </c>
    </row>
    <row r="6309" spans="1:5" ht="13.5">
      <c r="A6309" s="210">
        <v>91677</v>
      </c>
      <c r="B6309" s="210" t="s">
        <v>4397</v>
      </c>
      <c r="C6309" s="210" t="s">
        <v>167</v>
      </c>
      <c r="D6309" s="212" t="s">
        <v>18598</v>
      </c>
      <c r="E6309" s="210" t="s">
        <v>8722</v>
      </c>
    </row>
    <row r="6310" spans="1:5" ht="13.5">
      <c r="A6310" s="210">
        <v>91678</v>
      </c>
      <c r="B6310" s="210" t="s">
        <v>4398</v>
      </c>
      <c r="C6310" s="210" t="s">
        <v>167</v>
      </c>
      <c r="D6310" s="212" t="s">
        <v>18599</v>
      </c>
      <c r="E6310" s="210" t="s">
        <v>8722</v>
      </c>
    </row>
    <row r="6311" spans="1:5" ht="13.5">
      <c r="A6311" s="210">
        <v>93558</v>
      </c>
      <c r="B6311" s="210" t="s">
        <v>4399</v>
      </c>
      <c r="C6311" s="210" t="s">
        <v>480</v>
      </c>
      <c r="D6311" s="212" t="s">
        <v>18600</v>
      </c>
      <c r="E6311" s="210" t="s">
        <v>8722</v>
      </c>
    </row>
    <row r="6312" spans="1:5" ht="13.5">
      <c r="A6312" s="210">
        <v>93559</v>
      </c>
      <c r="B6312" s="210" t="s">
        <v>4384</v>
      </c>
      <c r="C6312" s="210" t="s">
        <v>480</v>
      </c>
      <c r="D6312" s="212" t="s">
        <v>18601</v>
      </c>
      <c r="E6312" s="210" t="s">
        <v>8722</v>
      </c>
    </row>
    <row r="6313" spans="1:5" ht="13.5">
      <c r="A6313" s="210">
        <v>93560</v>
      </c>
      <c r="B6313" s="210" t="s">
        <v>292</v>
      </c>
      <c r="C6313" s="210" t="s">
        <v>480</v>
      </c>
      <c r="D6313" s="212" t="s">
        <v>18602</v>
      </c>
      <c r="E6313" s="210" t="s">
        <v>8722</v>
      </c>
    </row>
    <row r="6314" spans="1:5" ht="13.5">
      <c r="A6314" s="210">
        <v>93561</v>
      </c>
      <c r="B6314" s="210" t="s">
        <v>4391</v>
      </c>
      <c r="C6314" s="210" t="s">
        <v>480</v>
      </c>
      <c r="D6314" s="212" t="s">
        <v>18603</v>
      </c>
      <c r="E6314" s="210" t="s">
        <v>8722</v>
      </c>
    </row>
    <row r="6315" spans="1:5" ht="13.5">
      <c r="A6315" s="210">
        <v>93562</v>
      </c>
      <c r="B6315" s="210" t="s">
        <v>4389</v>
      </c>
      <c r="C6315" s="210" t="s">
        <v>480</v>
      </c>
      <c r="D6315" s="212" t="s">
        <v>18604</v>
      </c>
      <c r="E6315" s="210" t="s">
        <v>8722</v>
      </c>
    </row>
    <row r="6316" spans="1:5" ht="13.5">
      <c r="A6316" s="210">
        <v>93563</v>
      </c>
      <c r="B6316" s="210" t="s">
        <v>133</v>
      </c>
      <c r="C6316" s="210" t="s">
        <v>480</v>
      </c>
      <c r="D6316" s="212" t="s">
        <v>18605</v>
      </c>
      <c r="E6316" s="210" t="s">
        <v>8722</v>
      </c>
    </row>
    <row r="6317" spans="1:5" ht="13.5">
      <c r="A6317" s="210">
        <v>93564</v>
      </c>
      <c r="B6317" s="210" t="s">
        <v>4385</v>
      </c>
      <c r="C6317" s="210" t="s">
        <v>480</v>
      </c>
      <c r="D6317" s="212" t="s">
        <v>18606</v>
      </c>
      <c r="E6317" s="210" t="s">
        <v>8722</v>
      </c>
    </row>
    <row r="6318" spans="1:5" ht="13.5">
      <c r="A6318" s="210">
        <v>93565</v>
      </c>
      <c r="B6318" s="210" t="s">
        <v>4393</v>
      </c>
      <c r="C6318" s="210" t="s">
        <v>480</v>
      </c>
      <c r="D6318" s="212" t="s">
        <v>18607</v>
      </c>
      <c r="E6318" s="210" t="s">
        <v>8722</v>
      </c>
    </row>
    <row r="6319" spans="1:5" ht="13.5">
      <c r="A6319" s="210">
        <v>93566</v>
      </c>
      <c r="B6319" s="210" t="s">
        <v>4390</v>
      </c>
      <c r="C6319" s="210" t="s">
        <v>480</v>
      </c>
      <c r="D6319" s="212" t="s">
        <v>18608</v>
      </c>
      <c r="E6319" s="210" t="s">
        <v>8722</v>
      </c>
    </row>
    <row r="6320" spans="1:5" ht="13.5">
      <c r="A6320" s="210">
        <v>93567</v>
      </c>
      <c r="B6320" s="210" t="s">
        <v>4394</v>
      </c>
      <c r="C6320" s="210" t="s">
        <v>480</v>
      </c>
      <c r="D6320" s="212" t="s">
        <v>18609</v>
      </c>
      <c r="E6320" s="210" t="s">
        <v>8722</v>
      </c>
    </row>
    <row r="6321" spans="1:5" ht="13.5">
      <c r="A6321" s="210">
        <v>93568</v>
      </c>
      <c r="B6321" s="210" t="s">
        <v>4395</v>
      </c>
      <c r="C6321" s="210" t="s">
        <v>480</v>
      </c>
      <c r="D6321" s="212" t="s">
        <v>18610</v>
      </c>
      <c r="E6321" s="210" t="s">
        <v>8722</v>
      </c>
    </row>
    <row r="6322" spans="1:5" ht="13.5">
      <c r="A6322" s="210">
        <v>93569</v>
      </c>
      <c r="B6322" s="210" t="s">
        <v>4400</v>
      </c>
      <c r="C6322" s="210" t="s">
        <v>480</v>
      </c>
      <c r="D6322" s="212" t="s">
        <v>18611</v>
      </c>
      <c r="E6322" s="210" t="s">
        <v>8722</v>
      </c>
    </row>
    <row r="6323" spans="1:5" ht="13.5">
      <c r="A6323" s="210">
        <v>93570</v>
      </c>
      <c r="B6323" s="210" t="s">
        <v>4401</v>
      </c>
      <c r="C6323" s="210" t="s">
        <v>480</v>
      </c>
      <c r="D6323" s="212" t="s">
        <v>18612</v>
      </c>
      <c r="E6323" s="210" t="s">
        <v>8722</v>
      </c>
    </row>
    <row r="6324" spans="1:5" ht="13.5">
      <c r="A6324" s="210">
        <v>93571</v>
      </c>
      <c r="B6324" s="210" t="s">
        <v>4402</v>
      </c>
      <c r="C6324" s="210" t="s">
        <v>480</v>
      </c>
      <c r="D6324" s="212" t="s">
        <v>18613</v>
      </c>
      <c r="E6324" s="210" t="s">
        <v>8722</v>
      </c>
    </row>
    <row r="6325" spans="1:5" ht="13.5">
      <c r="A6325" s="210">
        <v>93572</v>
      </c>
      <c r="B6325" s="210" t="s">
        <v>288</v>
      </c>
      <c r="C6325" s="210" t="s">
        <v>480</v>
      </c>
      <c r="D6325" s="212" t="s">
        <v>18614</v>
      </c>
      <c r="E6325" s="210" t="s">
        <v>8722</v>
      </c>
    </row>
    <row r="6326" spans="1:5" ht="13.5">
      <c r="A6326" s="210">
        <v>94295</v>
      </c>
      <c r="B6326" s="210" t="s">
        <v>134</v>
      </c>
      <c r="C6326" s="210" t="s">
        <v>480</v>
      </c>
      <c r="D6326" s="212" t="s">
        <v>18615</v>
      </c>
      <c r="E6326" s="210" t="s">
        <v>8722</v>
      </c>
    </row>
    <row r="6327" spans="1:5" ht="13.5">
      <c r="A6327" s="210">
        <v>94296</v>
      </c>
      <c r="B6327" s="210" t="s">
        <v>4396</v>
      </c>
      <c r="C6327" s="210" t="s">
        <v>480</v>
      </c>
      <c r="D6327" s="212" t="s">
        <v>18616</v>
      </c>
      <c r="E6327" s="210" t="s">
        <v>8722</v>
      </c>
    </row>
    <row r="6328" spans="1:5" ht="13.5">
      <c r="A6328" s="210">
        <v>95308</v>
      </c>
      <c r="B6328" s="210" t="s">
        <v>4403</v>
      </c>
      <c r="C6328" s="210" t="s">
        <v>167</v>
      </c>
      <c r="D6328" s="212" t="s">
        <v>14187</v>
      </c>
      <c r="E6328" s="210" t="s">
        <v>201</v>
      </c>
    </row>
    <row r="6329" spans="1:5" ht="13.5">
      <c r="A6329" s="210">
        <v>95309</v>
      </c>
      <c r="B6329" s="210" t="s">
        <v>4404</v>
      </c>
      <c r="C6329" s="210" t="s">
        <v>167</v>
      </c>
      <c r="D6329" s="212" t="s">
        <v>14085</v>
      </c>
      <c r="E6329" s="210" t="s">
        <v>201</v>
      </c>
    </row>
    <row r="6330" spans="1:5" ht="13.5">
      <c r="A6330" s="210">
        <v>95310</v>
      </c>
      <c r="B6330" s="210" t="s">
        <v>4405</v>
      </c>
      <c r="C6330" s="210" t="s">
        <v>167</v>
      </c>
      <c r="D6330" s="212" t="s">
        <v>13920</v>
      </c>
      <c r="E6330" s="210" t="s">
        <v>201</v>
      </c>
    </row>
    <row r="6331" spans="1:5" ht="13.5">
      <c r="A6331" s="210">
        <v>95311</v>
      </c>
      <c r="B6331" s="210" t="s">
        <v>4406</v>
      </c>
      <c r="C6331" s="210" t="s">
        <v>167</v>
      </c>
      <c r="D6331" s="212" t="s">
        <v>14187</v>
      </c>
      <c r="E6331" s="210" t="s">
        <v>201</v>
      </c>
    </row>
    <row r="6332" spans="1:5" ht="13.5">
      <c r="A6332" s="210">
        <v>95312</v>
      </c>
      <c r="B6332" s="210" t="s">
        <v>4407</v>
      </c>
      <c r="C6332" s="210" t="s">
        <v>167</v>
      </c>
      <c r="D6332" s="212" t="s">
        <v>14374</v>
      </c>
      <c r="E6332" s="210" t="s">
        <v>201</v>
      </c>
    </row>
    <row r="6333" spans="1:5" ht="13.5">
      <c r="A6333" s="210">
        <v>95313</v>
      </c>
      <c r="B6333" s="210" t="s">
        <v>4408</v>
      </c>
      <c r="C6333" s="210" t="s">
        <v>167</v>
      </c>
      <c r="D6333" s="212" t="s">
        <v>14374</v>
      </c>
      <c r="E6333" s="210" t="s">
        <v>201</v>
      </c>
    </row>
    <row r="6334" spans="1:5" ht="13.5">
      <c r="A6334" s="210">
        <v>95314</v>
      </c>
      <c r="B6334" s="210" t="s">
        <v>4409</v>
      </c>
      <c r="C6334" s="210" t="s">
        <v>167</v>
      </c>
      <c r="D6334" s="212" t="s">
        <v>14082</v>
      </c>
      <c r="E6334" s="210" t="s">
        <v>201</v>
      </c>
    </row>
    <row r="6335" spans="1:5" ht="13.5">
      <c r="A6335" s="210">
        <v>95315</v>
      </c>
      <c r="B6335" s="210" t="s">
        <v>4410</v>
      </c>
      <c r="C6335" s="210" t="s">
        <v>167</v>
      </c>
      <c r="D6335" s="212" t="s">
        <v>14082</v>
      </c>
      <c r="E6335" s="210" t="s">
        <v>201</v>
      </c>
    </row>
    <row r="6336" spans="1:5" ht="13.5">
      <c r="A6336" s="210">
        <v>95316</v>
      </c>
      <c r="B6336" s="210" t="s">
        <v>4411</v>
      </c>
      <c r="C6336" s="210" t="s">
        <v>167</v>
      </c>
      <c r="D6336" s="212" t="s">
        <v>14129</v>
      </c>
      <c r="E6336" s="210" t="s">
        <v>201</v>
      </c>
    </row>
    <row r="6337" spans="1:5" ht="27">
      <c r="A6337" s="210">
        <v>95317</v>
      </c>
      <c r="B6337" s="210" t="s">
        <v>4412</v>
      </c>
      <c r="C6337" s="210" t="s">
        <v>167</v>
      </c>
      <c r="D6337" s="212" t="s">
        <v>14279</v>
      </c>
      <c r="E6337" s="210" t="s">
        <v>201</v>
      </c>
    </row>
    <row r="6338" spans="1:5" ht="13.5">
      <c r="A6338" s="210">
        <v>95318</v>
      </c>
      <c r="B6338" s="210" t="s">
        <v>4413</v>
      </c>
      <c r="C6338" s="210" t="s">
        <v>167</v>
      </c>
      <c r="D6338" s="212" t="s">
        <v>14041</v>
      </c>
      <c r="E6338" s="210" t="s">
        <v>201</v>
      </c>
    </row>
    <row r="6339" spans="1:5" ht="13.5">
      <c r="A6339" s="210">
        <v>95319</v>
      </c>
      <c r="B6339" s="210" t="s">
        <v>4414</v>
      </c>
      <c r="C6339" s="210" t="s">
        <v>167</v>
      </c>
      <c r="D6339" s="212" t="s">
        <v>14037</v>
      </c>
      <c r="E6339" s="210" t="s">
        <v>201</v>
      </c>
    </row>
    <row r="6340" spans="1:5" ht="13.5">
      <c r="A6340" s="210">
        <v>95320</v>
      </c>
      <c r="B6340" s="210" t="s">
        <v>4415</v>
      </c>
      <c r="C6340" s="210" t="s">
        <v>167</v>
      </c>
      <c r="D6340" s="212" t="s">
        <v>14187</v>
      </c>
      <c r="E6340" s="210" t="s">
        <v>201</v>
      </c>
    </row>
    <row r="6341" spans="1:5" ht="13.5">
      <c r="A6341" s="210">
        <v>95321</v>
      </c>
      <c r="B6341" s="210" t="s">
        <v>4416</v>
      </c>
      <c r="C6341" s="210" t="s">
        <v>167</v>
      </c>
      <c r="D6341" s="212" t="s">
        <v>14187</v>
      </c>
      <c r="E6341" s="210" t="s">
        <v>201</v>
      </c>
    </row>
    <row r="6342" spans="1:5" ht="13.5">
      <c r="A6342" s="210">
        <v>95322</v>
      </c>
      <c r="B6342" s="210" t="s">
        <v>4417</v>
      </c>
      <c r="C6342" s="210" t="s">
        <v>167</v>
      </c>
      <c r="D6342" s="212" t="s">
        <v>14231</v>
      </c>
      <c r="E6342" s="210" t="s">
        <v>201</v>
      </c>
    </row>
    <row r="6343" spans="1:5" ht="13.5">
      <c r="A6343" s="210">
        <v>95323</v>
      </c>
      <c r="B6343" s="210" t="s">
        <v>4418</v>
      </c>
      <c r="C6343" s="210" t="s">
        <v>167</v>
      </c>
      <c r="D6343" s="212" t="s">
        <v>18441</v>
      </c>
      <c r="E6343" s="210" t="s">
        <v>201</v>
      </c>
    </row>
    <row r="6344" spans="1:5" ht="13.5">
      <c r="A6344" s="210">
        <v>95324</v>
      </c>
      <c r="B6344" s="210" t="s">
        <v>4419</v>
      </c>
      <c r="C6344" s="210" t="s">
        <v>167</v>
      </c>
      <c r="D6344" s="212" t="s">
        <v>13954</v>
      </c>
      <c r="E6344" s="210" t="s">
        <v>201</v>
      </c>
    </row>
    <row r="6345" spans="1:5" ht="27">
      <c r="A6345" s="210">
        <v>95325</v>
      </c>
      <c r="B6345" s="210" t="s">
        <v>4420</v>
      </c>
      <c r="C6345" s="210" t="s">
        <v>167</v>
      </c>
      <c r="D6345" s="212" t="s">
        <v>14279</v>
      </c>
      <c r="E6345" s="210" t="s">
        <v>201</v>
      </c>
    </row>
    <row r="6346" spans="1:5" ht="27">
      <c r="A6346" s="210">
        <v>95326</v>
      </c>
      <c r="B6346" s="210" t="s">
        <v>4421</v>
      </c>
      <c r="C6346" s="210" t="s">
        <v>167</v>
      </c>
      <c r="D6346" s="212" t="s">
        <v>14037</v>
      </c>
      <c r="E6346" s="210" t="s">
        <v>201</v>
      </c>
    </row>
    <row r="6347" spans="1:5" ht="13.5">
      <c r="A6347" s="210">
        <v>95327</v>
      </c>
      <c r="B6347" s="210" t="s">
        <v>4422</v>
      </c>
      <c r="C6347" s="210" t="s">
        <v>167</v>
      </c>
      <c r="D6347" s="212" t="s">
        <v>13982</v>
      </c>
      <c r="E6347" s="210" t="s">
        <v>201</v>
      </c>
    </row>
    <row r="6348" spans="1:5" ht="13.5">
      <c r="A6348" s="210">
        <v>95328</v>
      </c>
      <c r="B6348" s="210" t="s">
        <v>4423</v>
      </c>
      <c r="C6348" s="210" t="s">
        <v>167</v>
      </c>
      <c r="D6348" s="212" t="s">
        <v>14248</v>
      </c>
      <c r="E6348" s="210" t="s">
        <v>201</v>
      </c>
    </row>
    <row r="6349" spans="1:5" ht="13.5">
      <c r="A6349" s="210">
        <v>95329</v>
      </c>
      <c r="B6349" s="210" t="s">
        <v>4424</v>
      </c>
      <c r="C6349" s="210" t="s">
        <v>167</v>
      </c>
      <c r="D6349" s="212" t="s">
        <v>13954</v>
      </c>
      <c r="E6349" s="210" t="s">
        <v>201</v>
      </c>
    </row>
    <row r="6350" spans="1:5" ht="13.5">
      <c r="A6350" s="210">
        <v>95330</v>
      </c>
      <c r="B6350" s="210" t="s">
        <v>4425</v>
      </c>
      <c r="C6350" s="210" t="s">
        <v>167</v>
      </c>
      <c r="D6350" s="212" t="s">
        <v>14082</v>
      </c>
      <c r="E6350" s="210" t="s">
        <v>201</v>
      </c>
    </row>
    <row r="6351" spans="1:5" ht="27">
      <c r="A6351" s="210">
        <v>95331</v>
      </c>
      <c r="B6351" s="210" t="s">
        <v>4426</v>
      </c>
      <c r="C6351" s="210" t="s">
        <v>167</v>
      </c>
      <c r="D6351" s="212" t="s">
        <v>14084</v>
      </c>
      <c r="E6351" s="210" t="s">
        <v>201</v>
      </c>
    </row>
    <row r="6352" spans="1:5" ht="13.5">
      <c r="A6352" s="210">
        <v>95332</v>
      </c>
      <c r="B6352" s="210" t="s">
        <v>4427</v>
      </c>
      <c r="C6352" s="210" t="s">
        <v>167</v>
      </c>
      <c r="D6352" s="212" t="s">
        <v>18442</v>
      </c>
      <c r="E6352" s="210" t="s">
        <v>201</v>
      </c>
    </row>
    <row r="6353" spans="1:5" ht="13.5">
      <c r="A6353" s="210">
        <v>95333</v>
      </c>
      <c r="B6353" s="210" t="s">
        <v>4428</v>
      </c>
      <c r="C6353" s="210" t="s">
        <v>167</v>
      </c>
      <c r="D6353" s="212" t="s">
        <v>18442</v>
      </c>
      <c r="E6353" s="210" t="s">
        <v>201</v>
      </c>
    </row>
    <row r="6354" spans="1:5" ht="13.5">
      <c r="A6354" s="210">
        <v>95334</v>
      </c>
      <c r="B6354" s="210" t="s">
        <v>4429</v>
      </c>
      <c r="C6354" s="210" t="s">
        <v>167</v>
      </c>
      <c r="D6354" s="212" t="s">
        <v>14339</v>
      </c>
      <c r="E6354" s="210" t="s">
        <v>201</v>
      </c>
    </row>
    <row r="6355" spans="1:5" ht="27">
      <c r="A6355" s="210">
        <v>95335</v>
      </c>
      <c r="B6355" s="210" t="s">
        <v>4430</v>
      </c>
      <c r="C6355" s="210" t="s">
        <v>167</v>
      </c>
      <c r="D6355" s="212" t="s">
        <v>13982</v>
      </c>
      <c r="E6355" s="210" t="s">
        <v>201</v>
      </c>
    </row>
    <row r="6356" spans="1:5" ht="13.5">
      <c r="A6356" s="210">
        <v>95336</v>
      </c>
      <c r="B6356" s="210" t="s">
        <v>4431</v>
      </c>
      <c r="C6356" s="210" t="s">
        <v>167</v>
      </c>
      <c r="D6356" s="212" t="s">
        <v>14085</v>
      </c>
      <c r="E6356" s="210" t="s">
        <v>201</v>
      </c>
    </row>
    <row r="6357" spans="1:5" ht="13.5">
      <c r="A6357" s="210">
        <v>95337</v>
      </c>
      <c r="B6357" s="210" t="s">
        <v>4432</v>
      </c>
      <c r="C6357" s="210" t="s">
        <v>167</v>
      </c>
      <c r="D6357" s="212" t="s">
        <v>14082</v>
      </c>
      <c r="E6357" s="210" t="s">
        <v>201</v>
      </c>
    </row>
    <row r="6358" spans="1:5" ht="13.5">
      <c r="A6358" s="210">
        <v>95338</v>
      </c>
      <c r="B6358" s="210" t="s">
        <v>4433</v>
      </c>
      <c r="C6358" s="210" t="s">
        <v>167</v>
      </c>
      <c r="D6358" s="212" t="s">
        <v>14052</v>
      </c>
      <c r="E6358" s="210" t="s">
        <v>201</v>
      </c>
    </row>
    <row r="6359" spans="1:5" ht="13.5">
      <c r="A6359" s="210">
        <v>95339</v>
      </c>
      <c r="B6359" s="210" t="s">
        <v>4434</v>
      </c>
      <c r="C6359" s="210" t="s">
        <v>167</v>
      </c>
      <c r="D6359" s="212" t="s">
        <v>18441</v>
      </c>
      <c r="E6359" s="210" t="s">
        <v>201</v>
      </c>
    </row>
    <row r="6360" spans="1:5" ht="13.5">
      <c r="A6360" s="210">
        <v>95340</v>
      </c>
      <c r="B6360" s="210" t="s">
        <v>4435</v>
      </c>
      <c r="C6360" s="210" t="s">
        <v>167</v>
      </c>
      <c r="D6360" s="212" t="s">
        <v>14041</v>
      </c>
      <c r="E6360" s="210" t="s">
        <v>201</v>
      </c>
    </row>
    <row r="6361" spans="1:5" ht="13.5">
      <c r="A6361" s="210">
        <v>95341</v>
      </c>
      <c r="B6361" s="210" t="s">
        <v>4436</v>
      </c>
      <c r="C6361" s="210" t="s">
        <v>167</v>
      </c>
      <c r="D6361" s="212" t="s">
        <v>14085</v>
      </c>
      <c r="E6361" s="210" t="s">
        <v>201</v>
      </c>
    </row>
    <row r="6362" spans="1:5" ht="27">
      <c r="A6362" s="210">
        <v>95342</v>
      </c>
      <c r="B6362" s="210" t="s">
        <v>4437</v>
      </c>
      <c r="C6362" s="210" t="s">
        <v>167</v>
      </c>
      <c r="D6362" s="212" t="s">
        <v>14374</v>
      </c>
      <c r="E6362" s="210" t="s">
        <v>201</v>
      </c>
    </row>
    <row r="6363" spans="1:5" ht="27">
      <c r="A6363" s="210">
        <v>95343</v>
      </c>
      <c r="B6363" s="210" t="s">
        <v>4438</v>
      </c>
      <c r="C6363" s="210" t="s">
        <v>167</v>
      </c>
      <c r="D6363" s="212" t="s">
        <v>14082</v>
      </c>
      <c r="E6363" s="210" t="s">
        <v>201</v>
      </c>
    </row>
    <row r="6364" spans="1:5" ht="13.5">
      <c r="A6364" s="210">
        <v>95344</v>
      </c>
      <c r="B6364" s="210" t="s">
        <v>4439</v>
      </c>
      <c r="C6364" s="210" t="s">
        <v>167</v>
      </c>
      <c r="D6364" s="212" t="s">
        <v>14187</v>
      </c>
      <c r="E6364" s="210" t="s">
        <v>201</v>
      </c>
    </row>
    <row r="6365" spans="1:5" ht="13.5">
      <c r="A6365" s="210">
        <v>95345</v>
      </c>
      <c r="B6365" s="210" t="s">
        <v>4440</v>
      </c>
      <c r="C6365" s="210" t="s">
        <v>167</v>
      </c>
      <c r="D6365" s="212" t="s">
        <v>14301</v>
      </c>
      <c r="E6365" s="210" t="s">
        <v>201</v>
      </c>
    </row>
    <row r="6366" spans="1:5" ht="13.5">
      <c r="A6366" s="210">
        <v>95346</v>
      </c>
      <c r="B6366" s="210" t="s">
        <v>4441</v>
      </c>
      <c r="C6366" s="210" t="s">
        <v>167</v>
      </c>
      <c r="D6366" s="212" t="s">
        <v>14059</v>
      </c>
      <c r="E6366" s="210" t="s">
        <v>201</v>
      </c>
    </row>
    <row r="6367" spans="1:5" ht="13.5">
      <c r="A6367" s="210">
        <v>95347</v>
      </c>
      <c r="B6367" s="210" t="s">
        <v>4442</v>
      </c>
      <c r="C6367" s="210" t="s">
        <v>167</v>
      </c>
      <c r="D6367" s="212" t="s">
        <v>14059</v>
      </c>
      <c r="E6367" s="210" t="s">
        <v>201</v>
      </c>
    </row>
    <row r="6368" spans="1:5" ht="13.5">
      <c r="A6368" s="210">
        <v>95348</v>
      </c>
      <c r="B6368" s="210" t="s">
        <v>4443</v>
      </c>
      <c r="C6368" s="210" t="s">
        <v>167</v>
      </c>
      <c r="D6368" s="212" t="s">
        <v>13920</v>
      </c>
      <c r="E6368" s="210" t="s">
        <v>201</v>
      </c>
    </row>
    <row r="6369" spans="1:5" ht="13.5">
      <c r="A6369" s="210">
        <v>95349</v>
      </c>
      <c r="B6369" s="210" t="s">
        <v>4444</v>
      </c>
      <c r="C6369" s="210" t="s">
        <v>167</v>
      </c>
      <c r="D6369" s="212" t="s">
        <v>14059</v>
      </c>
      <c r="E6369" s="210" t="s">
        <v>201</v>
      </c>
    </row>
    <row r="6370" spans="1:5" ht="13.5">
      <c r="A6370" s="210">
        <v>95350</v>
      </c>
      <c r="B6370" s="210" t="s">
        <v>4445</v>
      </c>
      <c r="C6370" s="210" t="s">
        <v>167</v>
      </c>
      <c r="D6370" s="212" t="s">
        <v>14059</v>
      </c>
      <c r="E6370" s="210" t="s">
        <v>201</v>
      </c>
    </row>
    <row r="6371" spans="1:5" ht="13.5">
      <c r="A6371" s="210">
        <v>95351</v>
      </c>
      <c r="B6371" s="210" t="s">
        <v>4446</v>
      </c>
      <c r="C6371" s="210" t="s">
        <v>167</v>
      </c>
      <c r="D6371" s="212" t="s">
        <v>14279</v>
      </c>
      <c r="E6371" s="210" t="s">
        <v>201</v>
      </c>
    </row>
    <row r="6372" spans="1:5" ht="13.5">
      <c r="A6372" s="210">
        <v>95352</v>
      </c>
      <c r="B6372" s="210" t="s">
        <v>4447</v>
      </c>
      <c r="C6372" s="210" t="s">
        <v>167</v>
      </c>
      <c r="D6372" s="212" t="s">
        <v>14059</v>
      </c>
      <c r="E6372" s="210" t="s">
        <v>201</v>
      </c>
    </row>
    <row r="6373" spans="1:5" ht="27">
      <c r="A6373" s="210">
        <v>95354</v>
      </c>
      <c r="B6373" s="210" t="s">
        <v>4448</v>
      </c>
      <c r="C6373" s="210" t="s">
        <v>167</v>
      </c>
      <c r="D6373" s="212" t="s">
        <v>13920</v>
      </c>
      <c r="E6373" s="210" t="s">
        <v>201</v>
      </c>
    </row>
    <row r="6374" spans="1:5" ht="27">
      <c r="A6374" s="210">
        <v>95355</v>
      </c>
      <c r="B6374" s="210" t="s">
        <v>4449</v>
      </c>
      <c r="C6374" s="210" t="s">
        <v>167</v>
      </c>
      <c r="D6374" s="212" t="s">
        <v>14084</v>
      </c>
      <c r="E6374" s="210" t="s">
        <v>201</v>
      </c>
    </row>
    <row r="6375" spans="1:5" ht="27">
      <c r="A6375" s="210">
        <v>95356</v>
      </c>
      <c r="B6375" s="210" t="s">
        <v>4450</v>
      </c>
      <c r="C6375" s="210" t="s">
        <v>167</v>
      </c>
      <c r="D6375" s="212" t="s">
        <v>14037</v>
      </c>
      <c r="E6375" s="210" t="s">
        <v>201</v>
      </c>
    </row>
    <row r="6376" spans="1:5" ht="13.5">
      <c r="A6376" s="210">
        <v>95357</v>
      </c>
      <c r="B6376" s="210" t="s">
        <v>4451</v>
      </c>
      <c r="C6376" s="210" t="s">
        <v>167</v>
      </c>
      <c r="D6376" s="212" t="s">
        <v>14082</v>
      </c>
      <c r="E6376" s="210" t="s">
        <v>201</v>
      </c>
    </row>
    <row r="6377" spans="1:5" ht="13.5">
      <c r="A6377" s="210">
        <v>95358</v>
      </c>
      <c r="B6377" s="210" t="s">
        <v>4452</v>
      </c>
      <c r="C6377" s="210" t="s">
        <v>167</v>
      </c>
      <c r="D6377" s="212" t="s">
        <v>14279</v>
      </c>
      <c r="E6377" s="210" t="s">
        <v>201</v>
      </c>
    </row>
    <row r="6378" spans="1:5" ht="13.5">
      <c r="A6378" s="210">
        <v>95359</v>
      </c>
      <c r="B6378" s="210" t="s">
        <v>4453</v>
      </c>
      <c r="C6378" s="210" t="s">
        <v>167</v>
      </c>
      <c r="D6378" s="212" t="s">
        <v>14279</v>
      </c>
      <c r="E6378" s="210" t="s">
        <v>201</v>
      </c>
    </row>
    <row r="6379" spans="1:5" ht="27">
      <c r="A6379" s="210">
        <v>95360</v>
      </c>
      <c r="B6379" s="210" t="s">
        <v>4454</v>
      </c>
      <c r="C6379" s="210" t="s">
        <v>167</v>
      </c>
      <c r="D6379" s="212" t="s">
        <v>14187</v>
      </c>
      <c r="E6379" s="210" t="s">
        <v>201</v>
      </c>
    </row>
    <row r="6380" spans="1:5" ht="27">
      <c r="A6380" s="210">
        <v>95361</v>
      </c>
      <c r="B6380" s="210" t="s">
        <v>4455</v>
      </c>
      <c r="C6380" s="210" t="s">
        <v>167</v>
      </c>
      <c r="D6380" s="212" t="s">
        <v>14084</v>
      </c>
      <c r="E6380" s="210" t="s">
        <v>201</v>
      </c>
    </row>
    <row r="6381" spans="1:5" ht="13.5">
      <c r="A6381" s="210">
        <v>95362</v>
      </c>
      <c r="B6381" s="210" t="s">
        <v>4456</v>
      </c>
      <c r="C6381" s="210" t="s">
        <v>167</v>
      </c>
      <c r="D6381" s="212" t="s">
        <v>14037</v>
      </c>
      <c r="E6381" s="210" t="s">
        <v>201</v>
      </c>
    </row>
    <row r="6382" spans="1:5" ht="13.5">
      <c r="A6382" s="210">
        <v>95363</v>
      </c>
      <c r="B6382" s="210" t="s">
        <v>4457</v>
      </c>
      <c r="C6382" s="210" t="s">
        <v>167</v>
      </c>
      <c r="D6382" s="212" t="s">
        <v>14374</v>
      </c>
      <c r="E6382" s="210" t="s">
        <v>201</v>
      </c>
    </row>
    <row r="6383" spans="1:5" ht="13.5">
      <c r="A6383" s="210">
        <v>95364</v>
      </c>
      <c r="B6383" s="210" t="s">
        <v>4458</v>
      </c>
      <c r="C6383" s="210" t="s">
        <v>167</v>
      </c>
      <c r="D6383" s="212" t="s">
        <v>14037</v>
      </c>
      <c r="E6383" s="210" t="s">
        <v>201</v>
      </c>
    </row>
    <row r="6384" spans="1:5" ht="13.5">
      <c r="A6384" s="210">
        <v>95365</v>
      </c>
      <c r="B6384" s="210" t="s">
        <v>4459</v>
      </c>
      <c r="C6384" s="210" t="s">
        <v>167</v>
      </c>
      <c r="D6384" s="212" t="s">
        <v>14037</v>
      </c>
      <c r="E6384" s="210" t="s">
        <v>201</v>
      </c>
    </row>
    <row r="6385" spans="1:5" ht="13.5">
      <c r="A6385" s="210">
        <v>95366</v>
      </c>
      <c r="B6385" s="210" t="s">
        <v>4460</v>
      </c>
      <c r="C6385" s="210" t="s">
        <v>167</v>
      </c>
      <c r="D6385" s="212" t="s">
        <v>14084</v>
      </c>
      <c r="E6385" s="210" t="s">
        <v>201</v>
      </c>
    </row>
    <row r="6386" spans="1:5" ht="27">
      <c r="A6386" s="210">
        <v>95367</v>
      </c>
      <c r="B6386" s="210" t="s">
        <v>4461</v>
      </c>
      <c r="C6386" s="210" t="s">
        <v>167</v>
      </c>
      <c r="D6386" s="212" t="s">
        <v>14084</v>
      </c>
      <c r="E6386" s="210" t="s">
        <v>201</v>
      </c>
    </row>
    <row r="6387" spans="1:5" ht="27">
      <c r="A6387" s="210">
        <v>95368</v>
      </c>
      <c r="B6387" s="210" t="s">
        <v>4462</v>
      </c>
      <c r="C6387" s="210" t="s">
        <v>167</v>
      </c>
      <c r="D6387" s="212" t="s">
        <v>14248</v>
      </c>
      <c r="E6387" s="210" t="s">
        <v>201</v>
      </c>
    </row>
    <row r="6388" spans="1:5" ht="13.5">
      <c r="A6388" s="210">
        <v>95369</v>
      </c>
      <c r="B6388" s="210" t="s">
        <v>4463</v>
      </c>
      <c r="C6388" s="210" t="s">
        <v>167</v>
      </c>
      <c r="D6388" s="212" t="s">
        <v>14084</v>
      </c>
      <c r="E6388" s="210" t="s">
        <v>201</v>
      </c>
    </row>
    <row r="6389" spans="1:5" ht="13.5">
      <c r="A6389" s="210">
        <v>95370</v>
      </c>
      <c r="B6389" s="210" t="s">
        <v>4464</v>
      </c>
      <c r="C6389" s="210" t="s">
        <v>167</v>
      </c>
      <c r="D6389" s="212" t="s">
        <v>13898</v>
      </c>
      <c r="E6389" s="210" t="s">
        <v>201</v>
      </c>
    </row>
    <row r="6390" spans="1:5" ht="13.5">
      <c r="A6390" s="210">
        <v>95371</v>
      </c>
      <c r="B6390" s="210" t="s">
        <v>4465</v>
      </c>
      <c r="C6390" s="210" t="s">
        <v>167</v>
      </c>
      <c r="D6390" s="212" t="s">
        <v>14052</v>
      </c>
      <c r="E6390" s="210" t="s">
        <v>201</v>
      </c>
    </row>
    <row r="6391" spans="1:5" ht="13.5">
      <c r="A6391" s="210">
        <v>95372</v>
      </c>
      <c r="B6391" s="210" t="s">
        <v>4466</v>
      </c>
      <c r="C6391" s="210" t="s">
        <v>167</v>
      </c>
      <c r="D6391" s="212" t="s">
        <v>13954</v>
      </c>
      <c r="E6391" s="210" t="s">
        <v>201</v>
      </c>
    </row>
    <row r="6392" spans="1:5" ht="13.5">
      <c r="A6392" s="210">
        <v>95373</v>
      </c>
      <c r="B6392" s="210" t="s">
        <v>4467</v>
      </c>
      <c r="C6392" s="210" t="s">
        <v>167</v>
      </c>
      <c r="D6392" s="212" t="s">
        <v>13898</v>
      </c>
      <c r="E6392" s="210" t="s">
        <v>201</v>
      </c>
    </row>
    <row r="6393" spans="1:5" ht="13.5">
      <c r="A6393" s="210">
        <v>95374</v>
      </c>
      <c r="B6393" s="210" t="s">
        <v>4468</v>
      </c>
      <c r="C6393" s="210" t="s">
        <v>167</v>
      </c>
      <c r="D6393" s="212" t="s">
        <v>14041</v>
      </c>
      <c r="E6393" s="210" t="s">
        <v>201</v>
      </c>
    </row>
    <row r="6394" spans="1:5" ht="13.5">
      <c r="A6394" s="210">
        <v>95375</v>
      </c>
      <c r="B6394" s="210" t="s">
        <v>4469</v>
      </c>
      <c r="C6394" s="210" t="s">
        <v>167</v>
      </c>
      <c r="D6394" s="212" t="s">
        <v>13954</v>
      </c>
      <c r="E6394" s="210" t="s">
        <v>201</v>
      </c>
    </row>
    <row r="6395" spans="1:5" ht="13.5">
      <c r="A6395" s="210">
        <v>95376</v>
      </c>
      <c r="B6395" s="210" t="s">
        <v>4470</v>
      </c>
      <c r="C6395" s="210" t="s">
        <v>167</v>
      </c>
      <c r="D6395" s="212" t="s">
        <v>14231</v>
      </c>
      <c r="E6395" s="210" t="s">
        <v>201</v>
      </c>
    </row>
    <row r="6396" spans="1:5" ht="13.5">
      <c r="A6396" s="210">
        <v>95377</v>
      </c>
      <c r="B6396" s="210" t="s">
        <v>4471</v>
      </c>
      <c r="C6396" s="210" t="s">
        <v>167</v>
      </c>
      <c r="D6396" s="212" t="s">
        <v>14082</v>
      </c>
      <c r="E6396" s="210" t="s">
        <v>201</v>
      </c>
    </row>
    <row r="6397" spans="1:5" ht="13.5">
      <c r="A6397" s="210">
        <v>95378</v>
      </c>
      <c r="B6397" s="210" t="s">
        <v>4472</v>
      </c>
      <c r="C6397" s="210" t="s">
        <v>167</v>
      </c>
      <c r="D6397" s="212" t="s">
        <v>14210</v>
      </c>
      <c r="E6397" s="210" t="s">
        <v>201</v>
      </c>
    </row>
    <row r="6398" spans="1:5" ht="13.5">
      <c r="A6398" s="210">
        <v>95379</v>
      </c>
      <c r="B6398" s="210" t="s">
        <v>4473</v>
      </c>
      <c r="C6398" s="210" t="s">
        <v>167</v>
      </c>
      <c r="D6398" s="212" t="s">
        <v>14082</v>
      </c>
      <c r="E6398" s="210" t="s">
        <v>201</v>
      </c>
    </row>
    <row r="6399" spans="1:5" ht="27">
      <c r="A6399" s="210">
        <v>95380</v>
      </c>
      <c r="B6399" s="210" t="s">
        <v>4474</v>
      </c>
      <c r="C6399" s="210" t="s">
        <v>167</v>
      </c>
      <c r="D6399" s="212" t="s">
        <v>14279</v>
      </c>
      <c r="E6399" s="210" t="s">
        <v>201</v>
      </c>
    </row>
    <row r="6400" spans="1:5" ht="13.5">
      <c r="A6400" s="210">
        <v>95382</v>
      </c>
      <c r="B6400" s="210" t="s">
        <v>4475</v>
      </c>
      <c r="C6400" s="210" t="s">
        <v>167</v>
      </c>
      <c r="D6400" s="212" t="s">
        <v>14210</v>
      </c>
      <c r="E6400" s="210" t="s">
        <v>201</v>
      </c>
    </row>
    <row r="6401" spans="1:5" ht="13.5">
      <c r="A6401" s="210">
        <v>95383</v>
      </c>
      <c r="B6401" s="210" t="s">
        <v>4476</v>
      </c>
      <c r="C6401" s="210" t="s">
        <v>167</v>
      </c>
      <c r="D6401" s="212" t="s">
        <v>14230</v>
      </c>
      <c r="E6401" s="210" t="s">
        <v>201</v>
      </c>
    </row>
    <row r="6402" spans="1:5" ht="13.5">
      <c r="A6402" s="210">
        <v>95384</v>
      </c>
      <c r="B6402" s="210" t="s">
        <v>4477</v>
      </c>
      <c r="C6402" s="210" t="s">
        <v>167</v>
      </c>
      <c r="D6402" s="212" t="s">
        <v>14041</v>
      </c>
      <c r="E6402" s="210" t="s">
        <v>201</v>
      </c>
    </row>
    <row r="6403" spans="1:5" ht="13.5">
      <c r="A6403" s="210">
        <v>95385</v>
      </c>
      <c r="B6403" s="210" t="s">
        <v>4478</v>
      </c>
      <c r="C6403" s="210" t="s">
        <v>167</v>
      </c>
      <c r="D6403" s="212" t="s">
        <v>14279</v>
      </c>
      <c r="E6403" s="210" t="s">
        <v>201</v>
      </c>
    </row>
    <row r="6404" spans="1:5" ht="13.5">
      <c r="A6404" s="210">
        <v>95386</v>
      </c>
      <c r="B6404" s="210" t="s">
        <v>4479</v>
      </c>
      <c r="C6404" s="210" t="s">
        <v>167</v>
      </c>
      <c r="D6404" s="212" t="s">
        <v>14187</v>
      </c>
      <c r="E6404" s="210" t="s">
        <v>201</v>
      </c>
    </row>
    <row r="6405" spans="1:5" ht="13.5">
      <c r="A6405" s="210">
        <v>95387</v>
      </c>
      <c r="B6405" s="210" t="s">
        <v>4480</v>
      </c>
      <c r="C6405" s="210" t="s">
        <v>167</v>
      </c>
      <c r="D6405" s="212" t="s">
        <v>14210</v>
      </c>
      <c r="E6405" s="210" t="s">
        <v>201</v>
      </c>
    </row>
    <row r="6406" spans="1:5" ht="13.5">
      <c r="A6406" s="210">
        <v>95388</v>
      </c>
      <c r="B6406" s="210" t="s">
        <v>265</v>
      </c>
      <c r="C6406" s="210" t="s">
        <v>167</v>
      </c>
      <c r="D6406" s="212" t="s">
        <v>18617</v>
      </c>
      <c r="E6406" s="210" t="s">
        <v>201</v>
      </c>
    </row>
    <row r="6407" spans="1:5" ht="27">
      <c r="A6407" s="210">
        <v>95389</v>
      </c>
      <c r="B6407" s="210" t="s">
        <v>4481</v>
      </c>
      <c r="C6407" s="210" t="s">
        <v>167</v>
      </c>
      <c r="D6407" s="212" t="s">
        <v>13920</v>
      </c>
      <c r="E6407" s="210" t="s">
        <v>201</v>
      </c>
    </row>
    <row r="6408" spans="1:5" ht="13.5">
      <c r="A6408" s="210">
        <v>95390</v>
      </c>
      <c r="B6408" s="210" t="s">
        <v>4482</v>
      </c>
      <c r="C6408" s="210" t="s">
        <v>167</v>
      </c>
      <c r="D6408" s="212" t="s">
        <v>18617</v>
      </c>
      <c r="E6408" s="210" t="s">
        <v>201</v>
      </c>
    </row>
    <row r="6409" spans="1:5" ht="13.5">
      <c r="A6409" s="210">
        <v>95391</v>
      </c>
      <c r="B6409" s="210" t="s">
        <v>4483</v>
      </c>
      <c r="C6409" s="210" t="s">
        <v>167</v>
      </c>
      <c r="D6409" s="212" t="s">
        <v>14187</v>
      </c>
      <c r="E6409" s="210" t="s">
        <v>201</v>
      </c>
    </row>
    <row r="6410" spans="1:5" ht="13.5">
      <c r="A6410" s="210">
        <v>95392</v>
      </c>
      <c r="B6410" s="210" t="s">
        <v>4484</v>
      </c>
      <c r="C6410" s="210" t="s">
        <v>167</v>
      </c>
      <c r="D6410" s="212" t="s">
        <v>14187</v>
      </c>
      <c r="E6410" s="210" t="s">
        <v>201</v>
      </c>
    </row>
    <row r="6411" spans="1:5" ht="13.5">
      <c r="A6411" s="210">
        <v>95393</v>
      </c>
      <c r="B6411" s="210" t="s">
        <v>4485</v>
      </c>
      <c r="C6411" s="210" t="s">
        <v>167</v>
      </c>
      <c r="D6411" s="212" t="s">
        <v>14348</v>
      </c>
      <c r="E6411" s="210" t="s">
        <v>201</v>
      </c>
    </row>
    <row r="6412" spans="1:5" ht="13.5">
      <c r="A6412" s="210">
        <v>95394</v>
      </c>
      <c r="B6412" s="210" t="s">
        <v>4486</v>
      </c>
      <c r="C6412" s="210" t="s">
        <v>167</v>
      </c>
      <c r="D6412" s="212" t="s">
        <v>14307</v>
      </c>
      <c r="E6412" s="210" t="s">
        <v>201</v>
      </c>
    </row>
    <row r="6413" spans="1:5" ht="13.5">
      <c r="A6413" s="210">
        <v>95395</v>
      </c>
      <c r="B6413" s="210" t="s">
        <v>4487</v>
      </c>
      <c r="C6413" s="210" t="s">
        <v>167</v>
      </c>
      <c r="D6413" s="212" t="s">
        <v>18618</v>
      </c>
      <c r="E6413" s="210" t="s">
        <v>201</v>
      </c>
    </row>
    <row r="6414" spans="1:5" ht="13.5">
      <c r="A6414" s="210">
        <v>95396</v>
      </c>
      <c r="B6414" s="210" t="s">
        <v>4488</v>
      </c>
      <c r="C6414" s="210" t="s">
        <v>167</v>
      </c>
      <c r="D6414" s="212" t="s">
        <v>13667</v>
      </c>
      <c r="E6414" s="210" t="s">
        <v>201</v>
      </c>
    </row>
    <row r="6415" spans="1:5" ht="13.5">
      <c r="A6415" s="210">
        <v>95397</v>
      </c>
      <c r="B6415" s="210" t="s">
        <v>4489</v>
      </c>
      <c r="C6415" s="210" t="s">
        <v>167</v>
      </c>
      <c r="D6415" s="212" t="s">
        <v>14187</v>
      </c>
      <c r="E6415" s="210" t="s">
        <v>201</v>
      </c>
    </row>
    <row r="6416" spans="1:5" ht="13.5">
      <c r="A6416" s="210">
        <v>95398</v>
      </c>
      <c r="B6416" s="210" t="s">
        <v>4490</v>
      </c>
      <c r="C6416" s="210" t="s">
        <v>167</v>
      </c>
      <c r="D6416" s="212" t="s">
        <v>14037</v>
      </c>
      <c r="E6416" s="210" t="s">
        <v>201</v>
      </c>
    </row>
    <row r="6417" spans="1:5" ht="13.5">
      <c r="A6417" s="210">
        <v>95399</v>
      </c>
      <c r="B6417" s="210" t="s">
        <v>4491</v>
      </c>
      <c r="C6417" s="210" t="s">
        <v>167</v>
      </c>
      <c r="D6417" s="212" t="s">
        <v>14059</v>
      </c>
      <c r="E6417" s="210" t="s">
        <v>201</v>
      </c>
    </row>
    <row r="6418" spans="1:5" ht="13.5">
      <c r="A6418" s="210">
        <v>95400</v>
      </c>
      <c r="B6418" s="210" t="s">
        <v>4492</v>
      </c>
      <c r="C6418" s="210" t="s">
        <v>167</v>
      </c>
      <c r="D6418" s="212" t="s">
        <v>14037</v>
      </c>
      <c r="E6418" s="210" t="s">
        <v>201</v>
      </c>
    </row>
    <row r="6419" spans="1:5" ht="13.5">
      <c r="A6419" s="210">
        <v>95401</v>
      </c>
      <c r="B6419" s="210" t="s">
        <v>4493</v>
      </c>
      <c r="C6419" s="210" t="s">
        <v>167</v>
      </c>
      <c r="D6419" s="212" t="s">
        <v>14052</v>
      </c>
      <c r="E6419" s="210" t="s">
        <v>201</v>
      </c>
    </row>
    <row r="6420" spans="1:5" ht="13.5">
      <c r="A6420" s="210">
        <v>95402</v>
      </c>
      <c r="B6420" s="210" t="s">
        <v>4494</v>
      </c>
      <c r="C6420" s="210" t="s">
        <v>167</v>
      </c>
      <c r="D6420" s="212" t="s">
        <v>13653</v>
      </c>
      <c r="E6420" s="210" t="s">
        <v>201</v>
      </c>
    </row>
    <row r="6421" spans="1:5" ht="13.5">
      <c r="A6421" s="210">
        <v>95403</v>
      </c>
      <c r="B6421" s="210" t="s">
        <v>4495</v>
      </c>
      <c r="C6421" s="210" t="s">
        <v>167</v>
      </c>
      <c r="D6421" s="212" t="s">
        <v>17655</v>
      </c>
      <c r="E6421" s="210" t="s">
        <v>201</v>
      </c>
    </row>
    <row r="6422" spans="1:5" ht="13.5">
      <c r="A6422" s="210">
        <v>95404</v>
      </c>
      <c r="B6422" s="210" t="s">
        <v>4496</v>
      </c>
      <c r="C6422" s="210" t="s">
        <v>167</v>
      </c>
      <c r="D6422" s="212" t="s">
        <v>18619</v>
      </c>
      <c r="E6422" s="210" t="s">
        <v>201</v>
      </c>
    </row>
    <row r="6423" spans="1:5" ht="13.5">
      <c r="A6423" s="210">
        <v>95405</v>
      </c>
      <c r="B6423" s="210" t="s">
        <v>4497</v>
      </c>
      <c r="C6423" s="210" t="s">
        <v>167</v>
      </c>
      <c r="D6423" s="212" t="s">
        <v>14301</v>
      </c>
      <c r="E6423" s="210" t="s">
        <v>201</v>
      </c>
    </row>
    <row r="6424" spans="1:5" ht="13.5">
      <c r="A6424" s="210">
        <v>95406</v>
      </c>
      <c r="B6424" s="210" t="s">
        <v>4498</v>
      </c>
      <c r="C6424" s="210" t="s">
        <v>167</v>
      </c>
      <c r="D6424" s="212" t="s">
        <v>14187</v>
      </c>
      <c r="E6424" s="210" t="s">
        <v>201</v>
      </c>
    </row>
    <row r="6425" spans="1:5" ht="13.5">
      <c r="A6425" s="210">
        <v>95407</v>
      </c>
      <c r="B6425" s="210" t="s">
        <v>4499</v>
      </c>
      <c r="C6425" s="210" t="s">
        <v>167</v>
      </c>
      <c r="D6425" s="212" t="s">
        <v>18620</v>
      </c>
      <c r="E6425" s="210" t="s">
        <v>201</v>
      </c>
    </row>
    <row r="6426" spans="1:5" ht="13.5">
      <c r="A6426" s="210">
        <v>95408</v>
      </c>
      <c r="B6426" s="210" t="s">
        <v>4500</v>
      </c>
      <c r="C6426" s="210" t="s">
        <v>480</v>
      </c>
      <c r="D6426" s="212" t="s">
        <v>13523</v>
      </c>
      <c r="E6426" s="210" t="s">
        <v>201</v>
      </c>
    </row>
    <row r="6427" spans="1:5" ht="13.5">
      <c r="A6427" s="210">
        <v>95409</v>
      </c>
      <c r="B6427" s="210" t="s">
        <v>4501</v>
      </c>
      <c r="C6427" s="210" t="s">
        <v>480</v>
      </c>
      <c r="D6427" s="212" t="s">
        <v>15872</v>
      </c>
      <c r="E6427" s="210" t="s">
        <v>201</v>
      </c>
    </row>
    <row r="6428" spans="1:5" ht="13.5">
      <c r="A6428" s="210">
        <v>95410</v>
      </c>
      <c r="B6428" s="210" t="s">
        <v>4502</v>
      </c>
      <c r="C6428" s="210" t="s">
        <v>480</v>
      </c>
      <c r="D6428" s="212" t="s">
        <v>17606</v>
      </c>
      <c r="E6428" s="210" t="s">
        <v>201</v>
      </c>
    </row>
    <row r="6429" spans="1:5" ht="13.5">
      <c r="A6429" s="210">
        <v>95411</v>
      </c>
      <c r="B6429" s="210" t="s">
        <v>4503</v>
      </c>
      <c r="C6429" s="210" t="s">
        <v>480</v>
      </c>
      <c r="D6429" s="212" t="s">
        <v>14486</v>
      </c>
      <c r="E6429" s="210" t="s">
        <v>201</v>
      </c>
    </row>
    <row r="6430" spans="1:5" ht="13.5">
      <c r="A6430" s="210">
        <v>95412</v>
      </c>
      <c r="B6430" s="210" t="s">
        <v>4504</v>
      </c>
      <c r="C6430" s="210" t="s">
        <v>480</v>
      </c>
      <c r="D6430" s="212" t="s">
        <v>18621</v>
      </c>
      <c r="E6430" s="210" t="s">
        <v>201</v>
      </c>
    </row>
    <row r="6431" spans="1:5" ht="13.5">
      <c r="A6431" s="210">
        <v>95413</v>
      </c>
      <c r="B6431" s="210" t="s">
        <v>4505</v>
      </c>
      <c r="C6431" s="210" t="s">
        <v>480</v>
      </c>
      <c r="D6431" s="212" t="s">
        <v>18622</v>
      </c>
      <c r="E6431" s="210" t="s">
        <v>201</v>
      </c>
    </row>
    <row r="6432" spans="1:5" ht="13.5">
      <c r="A6432" s="210">
        <v>95414</v>
      </c>
      <c r="B6432" s="210" t="s">
        <v>4506</v>
      </c>
      <c r="C6432" s="210" t="s">
        <v>480</v>
      </c>
      <c r="D6432" s="212" t="s">
        <v>18623</v>
      </c>
      <c r="E6432" s="210" t="s">
        <v>201</v>
      </c>
    </row>
    <row r="6433" spans="1:5" ht="27">
      <c r="A6433" s="210">
        <v>95415</v>
      </c>
      <c r="B6433" s="210" t="s">
        <v>4507</v>
      </c>
      <c r="C6433" s="210" t="s">
        <v>480</v>
      </c>
      <c r="D6433" s="212" t="s">
        <v>18624</v>
      </c>
      <c r="E6433" s="210" t="s">
        <v>201</v>
      </c>
    </row>
    <row r="6434" spans="1:5" ht="13.5">
      <c r="A6434" s="210">
        <v>95416</v>
      </c>
      <c r="B6434" s="210" t="s">
        <v>4508</v>
      </c>
      <c r="C6434" s="210" t="s">
        <v>480</v>
      </c>
      <c r="D6434" s="212" t="s">
        <v>13546</v>
      </c>
      <c r="E6434" s="210" t="s">
        <v>201</v>
      </c>
    </row>
    <row r="6435" spans="1:5" ht="27">
      <c r="A6435" s="210">
        <v>95417</v>
      </c>
      <c r="B6435" s="210" t="s">
        <v>4509</v>
      </c>
      <c r="C6435" s="210" t="s">
        <v>480</v>
      </c>
      <c r="D6435" s="212" t="s">
        <v>18597</v>
      </c>
      <c r="E6435" s="210" t="s">
        <v>201</v>
      </c>
    </row>
    <row r="6436" spans="1:5" ht="27">
      <c r="A6436" s="210">
        <v>95418</v>
      </c>
      <c r="B6436" s="210" t="s">
        <v>4510</v>
      </c>
      <c r="C6436" s="210" t="s">
        <v>480</v>
      </c>
      <c r="D6436" s="212" t="s">
        <v>18625</v>
      </c>
      <c r="E6436" s="210" t="s">
        <v>201</v>
      </c>
    </row>
    <row r="6437" spans="1:5" ht="13.5">
      <c r="A6437" s="210">
        <v>95419</v>
      </c>
      <c r="B6437" s="210" t="s">
        <v>4511</v>
      </c>
      <c r="C6437" s="210" t="s">
        <v>480</v>
      </c>
      <c r="D6437" s="212" t="s">
        <v>18626</v>
      </c>
      <c r="E6437" s="210" t="s">
        <v>201</v>
      </c>
    </row>
    <row r="6438" spans="1:5" ht="13.5">
      <c r="A6438" s="210">
        <v>95420</v>
      </c>
      <c r="B6438" s="210" t="s">
        <v>4512</v>
      </c>
      <c r="C6438" s="210" t="s">
        <v>480</v>
      </c>
      <c r="D6438" s="212" t="s">
        <v>18627</v>
      </c>
      <c r="E6438" s="210" t="s">
        <v>201</v>
      </c>
    </row>
    <row r="6439" spans="1:5" ht="13.5">
      <c r="A6439" s="210">
        <v>95421</v>
      </c>
      <c r="B6439" s="210" t="s">
        <v>4513</v>
      </c>
      <c r="C6439" s="210" t="s">
        <v>480</v>
      </c>
      <c r="D6439" s="212" t="s">
        <v>18628</v>
      </c>
      <c r="E6439" s="210" t="s">
        <v>201</v>
      </c>
    </row>
    <row r="6440" spans="1:5" ht="13.5">
      <c r="A6440" s="210">
        <v>95422</v>
      </c>
      <c r="B6440" s="210" t="s">
        <v>4514</v>
      </c>
      <c r="C6440" s="210" t="s">
        <v>480</v>
      </c>
      <c r="D6440" s="212" t="s">
        <v>18629</v>
      </c>
      <c r="E6440" s="210" t="s">
        <v>201</v>
      </c>
    </row>
    <row r="6441" spans="1:5" ht="13.5">
      <c r="A6441" s="210">
        <v>95423</v>
      </c>
      <c r="B6441" s="210" t="s">
        <v>4515</v>
      </c>
      <c r="C6441" s="210" t="s">
        <v>480</v>
      </c>
      <c r="D6441" s="212" t="s">
        <v>18630</v>
      </c>
      <c r="E6441" s="210" t="s">
        <v>201</v>
      </c>
    </row>
    <row r="6442" spans="1:5" ht="13.5">
      <c r="A6442" s="210">
        <v>95424</v>
      </c>
      <c r="B6442" s="210" t="s">
        <v>4516</v>
      </c>
      <c r="C6442" s="210" t="s">
        <v>480</v>
      </c>
      <c r="D6442" s="212" t="s">
        <v>14470</v>
      </c>
      <c r="E6442" s="210" t="s">
        <v>201</v>
      </c>
    </row>
    <row r="6443" spans="1:5" ht="13.5">
      <c r="A6443" s="210">
        <v>100288</v>
      </c>
      <c r="B6443" s="210" t="s">
        <v>6221</v>
      </c>
      <c r="C6443" s="210" t="s">
        <v>167</v>
      </c>
      <c r="D6443" s="212" t="s">
        <v>14231</v>
      </c>
      <c r="E6443" s="210" t="s">
        <v>201</v>
      </c>
    </row>
    <row r="6444" spans="1:5" ht="13.5">
      <c r="A6444" s="210">
        <v>100289</v>
      </c>
      <c r="B6444" s="210" t="s">
        <v>266</v>
      </c>
      <c r="C6444" s="210" t="s">
        <v>167</v>
      </c>
      <c r="D6444" s="212" t="s">
        <v>17536</v>
      </c>
      <c r="E6444" s="210" t="s">
        <v>8722</v>
      </c>
    </row>
    <row r="6445" spans="1:5" ht="13.5">
      <c r="A6445" s="210">
        <v>100290</v>
      </c>
      <c r="B6445" s="210" t="s">
        <v>6222</v>
      </c>
      <c r="C6445" s="210" t="s">
        <v>167</v>
      </c>
      <c r="D6445" s="212" t="s">
        <v>14084</v>
      </c>
      <c r="E6445" s="210" t="s">
        <v>201</v>
      </c>
    </row>
    <row r="6446" spans="1:5" ht="13.5">
      <c r="A6446" s="210">
        <v>100291</v>
      </c>
      <c r="B6446" s="210" t="s">
        <v>6223</v>
      </c>
      <c r="C6446" s="210" t="s">
        <v>167</v>
      </c>
      <c r="D6446" s="212" t="s">
        <v>14082</v>
      </c>
      <c r="E6446" s="210" t="s">
        <v>201</v>
      </c>
    </row>
    <row r="6447" spans="1:5" ht="13.5">
      <c r="A6447" s="210">
        <v>100292</v>
      </c>
      <c r="B6447" s="210" t="s">
        <v>6224</v>
      </c>
      <c r="C6447" s="210" t="s">
        <v>167</v>
      </c>
      <c r="D6447" s="212" t="s">
        <v>14065</v>
      </c>
      <c r="E6447" s="210" t="s">
        <v>201</v>
      </c>
    </row>
    <row r="6448" spans="1:5" ht="13.5">
      <c r="A6448" s="210">
        <v>100293</v>
      </c>
      <c r="B6448" s="210" t="s">
        <v>6225</v>
      </c>
      <c r="C6448" s="210" t="s">
        <v>167</v>
      </c>
      <c r="D6448" s="212" t="s">
        <v>14082</v>
      </c>
      <c r="E6448" s="210" t="s">
        <v>201</v>
      </c>
    </row>
    <row r="6449" spans="1:5" ht="13.5">
      <c r="A6449" s="210">
        <v>100294</v>
      </c>
      <c r="B6449" s="210" t="s">
        <v>6226</v>
      </c>
      <c r="C6449" s="210" t="s">
        <v>167</v>
      </c>
      <c r="D6449" s="212" t="s">
        <v>14199</v>
      </c>
      <c r="E6449" s="210" t="s">
        <v>201</v>
      </c>
    </row>
    <row r="6450" spans="1:5" ht="13.5">
      <c r="A6450" s="210">
        <v>100295</v>
      </c>
      <c r="B6450" s="210" t="s">
        <v>6227</v>
      </c>
      <c r="C6450" s="210" t="s">
        <v>167</v>
      </c>
      <c r="D6450" s="212" t="s">
        <v>14180</v>
      </c>
      <c r="E6450" s="210" t="s">
        <v>201</v>
      </c>
    </row>
    <row r="6451" spans="1:5" ht="13.5">
      <c r="A6451" s="210">
        <v>100296</v>
      </c>
      <c r="B6451" s="210" t="s">
        <v>6228</v>
      </c>
      <c r="C6451" s="210" t="s">
        <v>167</v>
      </c>
      <c r="D6451" s="212" t="s">
        <v>13641</v>
      </c>
      <c r="E6451" s="210" t="s">
        <v>201</v>
      </c>
    </row>
    <row r="6452" spans="1:5" ht="13.5">
      <c r="A6452" s="210">
        <v>100297</v>
      </c>
      <c r="B6452" s="210" t="s">
        <v>6229</v>
      </c>
      <c r="C6452" s="210" t="s">
        <v>167</v>
      </c>
      <c r="D6452" s="212" t="s">
        <v>14190</v>
      </c>
      <c r="E6452" s="210" t="s">
        <v>201</v>
      </c>
    </row>
    <row r="6453" spans="1:5" ht="13.5">
      <c r="A6453" s="210">
        <v>100298</v>
      </c>
      <c r="B6453" s="210" t="s">
        <v>6230</v>
      </c>
      <c r="C6453" s="210" t="s">
        <v>167</v>
      </c>
      <c r="D6453" s="212" t="s">
        <v>14421</v>
      </c>
      <c r="E6453" s="210" t="s">
        <v>201</v>
      </c>
    </row>
    <row r="6454" spans="1:5" ht="27">
      <c r="A6454" s="210">
        <v>100299</v>
      </c>
      <c r="B6454" s="210" t="s">
        <v>6231</v>
      </c>
      <c r="C6454" s="210" t="s">
        <v>167</v>
      </c>
      <c r="D6454" s="212" t="s">
        <v>18618</v>
      </c>
      <c r="E6454" s="210" t="s">
        <v>201</v>
      </c>
    </row>
    <row r="6455" spans="1:5" ht="13.5">
      <c r="A6455" s="210">
        <v>100300</v>
      </c>
      <c r="B6455" s="210" t="s">
        <v>6232</v>
      </c>
      <c r="C6455" s="210" t="s">
        <v>167</v>
      </c>
      <c r="D6455" s="212" t="s">
        <v>18631</v>
      </c>
      <c r="E6455" s="210" t="s">
        <v>8722</v>
      </c>
    </row>
    <row r="6456" spans="1:5" ht="13.5">
      <c r="A6456" s="210">
        <v>100301</v>
      </c>
      <c r="B6456" s="210" t="s">
        <v>6233</v>
      </c>
      <c r="C6456" s="210" t="s">
        <v>167</v>
      </c>
      <c r="D6456" s="212" t="s">
        <v>17048</v>
      </c>
      <c r="E6456" s="210" t="s">
        <v>8722</v>
      </c>
    </row>
    <row r="6457" spans="1:5" ht="13.5">
      <c r="A6457" s="210">
        <v>100302</v>
      </c>
      <c r="B6457" s="210" t="s">
        <v>6234</v>
      </c>
      <c r="C6457" s="210" t="s">
        <v>167</v>
      </c>
      <c r="D6457" s="212" t="s">
        <v>18632</v>
      </c>
      <c r="E6457" s="210" t="s">
        <v>8722</v>
      </c>
    </row>
    <row r="6458" spans="1:5" ht="13.5">
      <c r="A6458" s="210">
        <v>100303</v>
      </c>
      <c r="B6458" s="210" t="s">
        <v>6235</v>
      </c>
      <c r="C6458" s="210" t="s">
        <v>167</v>
      </c>
      <c r="D6458" s="212" t="s">
        <v>18141</v>
      </c>
      <c r="E6458" s="210" t="s">
        <v>8722</v>
      </c>
    </row>
    <row r="6459" spans="1:5" ht="13.5">
      <c r="A6459" s="210">
        <v>100304</v>
      </c>
      <c r="B6459" s="210" t="s">
        <v>6236</v>
      </c>
      <c r="C6459" s="210" t="s">
        <v>167</v>
      </c>
      <c r="D6459" s="212" t="s">
        <v>15956</v>
      </c>
      <c r="E6459" s="210" t="s">
        <v>8722</v>
      </c>
    </row>
    <row r="6460" spans="1:5" ht="13.5">
      <c r="A6460" s="210">
        <v>100305</v>
      </c>
      <c r="B6460" s="210" t="s">
        <v>6237</v>
      </c>
      <c r="C6460" s="210" t="s">
        <v>167</v>
      </c>
      <c r="D6460" s="212" t="s">
        <v>18633</v>
      </c>
      <c r="E6460" s="210" t="s">
        <v>8722</v>
      </c>
    </row>
    <row r="6461" spans="1:5" ht="13.5">
      <c r="A6461" s="210">
        <v>100306</v>
      </c>
      <c r="B6461" s="210" t="s">
        <v>6238</v>
      </c>
      <c r="C6461" s="210" t="s">
        <v>167</v>
      </c>
      <c r="D6461" s="212" t="s">
        <v>18634</v>
      </c>
      <c r="E6461" s="210" t="s">
        <v>8722</v>
      </c>
    </row>
    <row r="6462" spans="1:5" ht="13.5">
      <c r="A6462" s="210">
        <v>100307</v>
      </c>
      <c r="B6462" s="210" t="s">
        <v>6239</v>
      </c>
      <c r="C6462" s="210" t="s">
        <v>167</v>
      </c>
      <c r="D6462" s="212" t="s">
        <v>18635</v>
      </c>
      <c r="E6462" s="210" t="s">
        <v>8722</v>
      </c>
    </row>
    <row r="6463" spans="1:5" ht="13.5">
      <c r="A6463" s="210">
        <v>100308</v>
      </c>
      <c r="B6463" s="210" t="s">
        <v>6240</v>
      </c>
      <c r="C6463" s="210" t="s">
        <v>167</v>
      </c>
      <c r="D6463" s="212" t="s">
        <v>15716</v>
      </c>
      <c r="E6463" s="210" t="s">
        <v>8722</v>
      </c>
    </row>
    <row r="6464" spans="1:5" ht="13.5">
      <c r="A6464" s="210">
        <v>100309</v>
      </c>
      <c r="B6464" s="210" t="s">
        <v>6241</v>
      </c>
      <c r="C6464" s="210" t="s">
        <v>167</v>
      </c>
      <c r="D6464" s="212" t="s">
        <v>18636</v>
      </c>
      <c r="E6464" s="210" t="s">
        <v>8722</v>
      </c>
    </row>
    <row r="6465" spans="1:5" ht="13.5">
      <c r="A6465" s="210">
        <v>100310</v>
      </c>
      <c r="B6465" s="210" t="s">
        <v>6242</v>
      </c>
      <c r="C6465" s="210" t="s">
        <v>480</v>
      </c>
      <c r="D6465" s="212" t="s">
        <v>16492</v>
      </c>
      <c r="E6465" s="210" t="s">
        <v>201</v>
      </c>
    </row>
    <row r="6466" spans="1:5" ht="13.5">
      <c r="A6466" s="210">
        <v>100311</v>
      </c>
      <c r="B6466" s="210" t="s">
        <v>6243</v>
      </c>
      <c r="C6466" s="210" t="s">
        <v>480</v>
      </c>
      <c r="D6466" s="212" t="s">
        <v>18637</v>
      </c>
      <c r="E6466" s="210" t="s">
        <v>201</v>
      </c>
    </row>
    <row r="6467" spans="1:5" ht="13.5">
      <c r="A6467" s="210">
        <v>100312</v>
      </c>
      <c r="B6467" s="210" t="s">
        <v>6244</v>
      </c>
      <c r="C6467" s="210" t="s">
        <v>480</v>
      </c>
      <c r="D6467" s="212" t="s">
        <v>16411</v>
      </c>
      <c r="E6467" s="210" t="s">
        <v>201</v>
      </c>
    </row>
    <row r="6468" spans="1:5" ht="13.5">
      <c r="A6468" s="210">
        <v>100313</v>
      </c>
      <c r="B6468" s="210" t="s">
        <v>6245</v>
      </c>
      <c r="C6468" s="210" t="s">
        <v>480</v>
      </c>
      <c r="D6468" s="212" t="s">
        <v>18638</v>
      </c>
      <c r="E6468" s="210" t="s">
        <v>201</v>
      </c>
    </row>
    <row r="6469" spans="1:5" ht="13.5">
      <c r="A6469" s="210">
        <v>100314</v>
      </c>
      <c r="B6469" s="210" t="s">
        <v>6246</v>
      </c>
      <c r="C6469" s="210" t="s">
        <v>480</v>
      </c>
      <c r="D6469" s="212" t="s">
        <v>13794</v>
      </c>
      <c r="E6469" s="210" t="s">
        <v>201</v>
      </c>
    </row>
    <row r="6470" spans="1:5" ht="27">
      <c r="A6470" s="210">
        <v>100315</v>
      </c>
      <c r="B6470" s="210" t="s">
        <v>6247</v>
      </c>
      <c r="C6470" s="210" t="s">
        <v>480</v>
      </c>
      <c r="D6470" s="212" t="s">
        <v>18639</v>
      </c>
      <c r="E6470" s="210" t="s">
        <v>201</v>
      </c>
    </row>
    <row r="6471" spans="1:5" ht="13.5">
      <c r="A6471" s="210">
        <v>100316</v>
      </c>
      <c r="B6471" s="210" t="s">
        <v>6232</v>
      </c>
      <c r="C6471" s="210" t="s">
        <v>480</v>
      </c>
      <c r="D6471" s="212" t="s">
        <v>18640</v>
      </c>
      <c r="E6471" s="210" t="s">
        <v>8722</v>
      </c>
    </row>
    <row r="6472" spans="1:5" ht="13.5">
      <c r="A6472" s="210">
        <v>100317</v>
      </c>
      <c r="B6472" s="210" t="s">
        <v>6248</v>
      </c>
      <c r="C6472" s="210" t="s">
        <v>480</v>
      </c>
      <c r="D6472" s="212" t="s">
        <v>18641</v>
      </c>
      <c r="E6472" s="210" t="s">
        <v>8722</v>
      </c>
    </row>
    <row r="6473" spans="1:5" ht="13.5">
      <c r="A6473" s="210">
        <v>100318</v>
      </c>
      <c r="B6473" s="210" t="s">
        <v>6236</v>
      </c>
      <c r="C6473" s="210" t="s">
        <v>480</v>
      </c>
      <c r="D6473" s="212" t="s">
        <v>18642</v>
      </c>
      <c r="E6473" s="210" t="s">
        <v>8722</v>
      </c>
    </row>
    <row r="6474" spans="1:5" ht="13.5">
      <c r="A6474" s="210">
        <v>100319</v>
      </c>
      <c r="B6474" s="210" t="s">
        <v>6237</v>
      </c>
      <c r="C6474" s="210" t="s">
        <v>480</v>
      </c>
      <c r="D6474" s="212" t="s">
        <v>18643</v>
      </c>
      <c r="E6474" s="210" t="s">
        <v>8722</v>
      </c>
    </row>
    <row r="6475" spans="1:5" ht="13.5">
      <c r="A6475" s="210">
        <v>100320</v>
      </c>
      <c r="B6475" s="210" t="s">
        <v>6238</v>
      </c>
      <c r="C6475" s="210" t="s">
        <v>480</v>
      </c>
      <c r="D6475" s="212" t="s">
        <v>18644</v>
      </c>
      <c r="E6475" s="210" t="s">
        <v>8722</v>
      </c>
    </row>
    <row r="6476" spans="1:5" ht="13.5">
      <c r="A6476" s="210">
        <v>100321</v>
      </c>
      <c r="B6476" s="210" t="s">
        <v>6249</v>
      </c>
      <c r="C6476" s="210" t="s">
        <v>480</v>
      </c>
      <c r="D6476" s="212" t="s">
        <v>18645</v>
      </c>
      <c r="E6476" s="210" t="s">
        <v>8722</v>
      </c>
    </row>
    <row r="6477" spans="1:5" ht="13.5">
      <c r="A6477" s="210">
        <v>100533</v>
      </c>
      <c r="B6477" s="210" t="s">
        <v>7327</v>
      </c>
      <c r="C6477" s="210" t="s">
        <v>167</v>
      </c>
      <c r="D6477" s="212" t="s">
        <v>18012</v>
      </c>
      <c r="E6477" s="210" t="s">
        <v>8722</v>
      </c>
    </row>
    <row r="6478" spans="1:5" ht="13.5">
      <c r="A6478" s="210">
        <v>100534</v>
      </c>
      <c r="B6478" s="210" t="s">
        <v>7327</v>
      </c>
      <c r="C6478" s="210" t="s">
        <v>480</v>
      </c>
      <c r="D6478" s="212" t="s">
        <v>18646</v>
      </c>
      <c r="E6478" s="210" t="s">
        <v>8722</v>
      </c>
    </row>
    <row r="6479" spans="1:5" ht="13.5">
      <c r="A6479" s="210">
        <v>100535</v>
      </c>
      <c r="B6479" s="210" t="s">
        <v>7328</v>
      </c>
      <c r="C6479" s="210" t="s">
        <v>167</v>
      </c>
      <c r="D6479" s="212" t="s">
        <v>18441</v>
      </c>
      <c r="E6479" s="210" t="s">
        <v>201</v>
      </c>
    </row>
    <row r="6480" spans="1:5" ht="13.5">
      <c r="A6480" s="210">
        <v>100536</v>
      </c>
      <c r="B6480" s="210" t="s">
        <v>7329</v>
      </c>
      <c r="C6480" s="210" t="s">
        <v>480</v>
      </c>
      <c r="D6480" s="212" t="s">
        <v>15979</v>
      </c>
      <c r="E6480" s="210" t="s">
        <v>201</v>
      </c>
    </row>
    <row r="6481" spans="1:6" ht="13.5">
      <c r="A6481" s="210"/>
      <c r="B6481" s="210"/>
      <c r="C6481" s="210"/>
      <c r="D6481" s="212"/>
      <c r="E6481" s="210"/>
    </row>
    <row r="6482" spans="1:6" ht="13.5">
      <c r="A6482" s="210"/>
      <c r="B6482" s="210"/>
      <c r="C6482" s="210"/>
      <c r="D6482" s="212"/>
      <c r="E6482" s="210"/>
    </row>
    <row r="6483" spans="1:6" ht="13.5">
      <c r="A6483" s="210"/>
      <c r="B6483" s="210"/>
      <c r="C6483" s="210"/>
      <c r="D6483" s="212"/>
      <c r="E6483" s="210"/>
    </row>
    <row r="6484" spans="1:6" ht="19.5">
      <c r="A6484" s="704" t="s">
        <v>13518</v>
      </c>
      <c r="B6484" s="704"/>
      <c r="C6484" s="704"/>
      <c r="D6484" s="704"/>
      <c r="E6484" s="704"/>
    </row>
    <row r="6485" spans="1:6" s="315" customFormat="1" ht="15">
      <c r="A6485" s="472" t="s">
        <v>6825</v>
      </c>
      <c r="B6485" s="472" t="s">
        <v>7735</v>
      </c>
      <c r="C6485" s="472" t="s">
        <v>167</v>
      </c>
      <c r="D6485" s="473">
        <v>17.9801</v>
      </c>
      <c r="E6485" s="473" t="s">
        <v>8722</v>
      </c>
      <c r="F6485" s="352"/>
    </row>
    <row r="6486" spans="1:6" s="315" customFormat="1" ht="15">
      <c r="A6486" s="472" t="s">
        <v>8579</v>
      </c>
      <c r="B6486" s="472" t="s">
        <v>6250</v>
      </c>
      <c r="C6486" s="472" t="s">
        <v>167</v>
      </c>
      <c r="D6486" s="473">
        <v>21.3048</v>
      </c>
      <c r="E6486" s="473" t="s">
        <v>8722</v>
      </c>
      <c r="F6486" s="352"/>
    </row>
    <row r="6487" spans="1:6" s="315" customFormat="1" ht="15">
      <c r="A6487" s="472" t="s">
        <v>7602</v>
      </c>
      <c r="B6487" s="472" t="s">
        <v>6251</v>
      </c>
      <c r="C6487" s="472" t="s">
        <v>5079</v>
      </c>
      <c r="D6487" s="473">
        <v>3953.2040999999999</v>
      </c>
      <c r="E6487" s="473" t="s">
        <v>8722</v>
      </c>
      <c r="F6487" s="352"/>
    </row>
    <row r="6488" spans="1:6" s="315" customFormat="1" ht="15">
      <c r="A6488" s="472" t="s">
        <v>7605</v>
      </c>
      <c r="B6488" s="472" t="s">
        <v>7788</v>
      </c>
      <c r="C6488" s="472" t="s">
        <v>5079</v>
      </c>
      <c r="D6488" s="473">
        <v>3775.1203999999998</v>
      </c>
      <c r="E6488" s="473" t="s">
        <v>8722</v>
      </c>
      <c r="F6488" s="352"/>
    </row>
    <row r="6489" spans="1:6" s="315" customFormat="1" ht="15">
      <c r="A6489" s="472" t="s">
        <v>7390</v>
      </c>
      <c r="B6489" s="472" t="s">
        <v>6252</v>
      </c>
      <c r="C6489" s="472" t="s">
        <v>167</v>
      </c>
      <c r="D6489" s="473">
        <v>21.6645</v>
      </c>
      <c r="E6489" s="473" t="s">
        <v>8722</v>
      </c>
      <c r="F6489" s="352"/>
    </row>
    <row r="6490" spans="1:6" s="315" customFormat="1" ht="15">
      <c r="A6490" s="472" t="s">
        <v>7668</v>
      </c>
      <c r="B6490" s="472" t="s">
        <v>7802</v>
      </c>
      <c r="C6490" s="472" t="s">
        <v>5079</v>
      </c>
      <c r="D6490" s="473">
        <v>3662.0540999999998</v>
      </c>
      <c r="E6490" s="473" t="s">
        <v>8722</v>
      </c>
      <c r="F6490" s="352"/>
    </row>
    <row r="6491" spans="1:6" s="315" customFormat="1" ht="15">
      <c r="A6491" s="472" t="s">
        <v>6884</v>
      </c>
      <c r="B6491" s="472" t="s">
        <v>8580</v>
      </c>
      <c r="C6491" s="472" t="s">
        <v>167</v>
      </c>
      <c r="D6491" s="473">
        <v>26.312899999999999</v>
      </c>
      <c r="E6491" s="473" t="s">
        <v>8722</v>
      </c>
      <c r="F6491" s="352"/>
    </row>
    <row r="6492" spans="1:6" s="315" customFormat="1" ht="15">
      <c r="A6492" s="472" t="s">
        <v>6613</v>
      </c>
      <c r="B6492" s="472" t="s">
        <v>6654</v>
      </c>
      <c r="C6492" s="472" t="s">
        <v>167</v>
      </c>
      <c r="D6492" s="473">
        <v>21.710999999999999</v>
      </c>
      <c r="E6492" s="473" t="s">
        <v>8722</v>
      </c>
      <c r="F6492" s="352"/>
    </row>
    <row r="6493" spans="1:6" s="315" customFormat="1" ht="15">
      <c r="A6493" s="472" t="s">
        <v>8581</v>
      </c>
      <c r="B6493" s="472" t="s">
        <v>8582</v>
      </c>
      <c r="C6493" s="472" t="s">
        <v>5079</v>
      </c>
      <c r="D6493" s="473">
        <v>7684.5189</v>
      </c>
      <c r="E6493" s="473" t="s">
        <v>8722</v>
      </c>
      <c r="F6493" s="352"/>
    </row>
    <row r="6494" spans="1:6" s="315" customFormat="1" ht="15">
      <c r="A6494" s="472" t="s">
        <v>6684</v>
      </c>
      <c r="B6494" s="472" t="s">
        <v>6253</v>
      </c>
      <c r="C6494" s="472" t="s">
        <v>167</v>
      </c>
      <c r="D6494" s="473">
        <v>22.082599999999999</v>
      </c>
      <c r="E6494" s="473" t="s">
        <v>8722</v>
      </c>
      <c r="F6494" s="352"/>
    </row>
    <row r="6495" spans="1:6" s="315" customFormat="1" ht="15">
      <c r="A6495" s="472" t="s">
        <v>8583</v>
      </c>
      <c r="B6495" s="472" t="s">
        <v>8584</v>
      </c>
      <c r="C6495" s="472" t="s">
        <v>5079</v>
      </c>
      <c r="D6495" s="473">
        <v>6875.1908000000003</v>
      </c>
      <c r="E6495" s="473" t="s">
        <v>8722</v>
      </c>
      <c r="F6495" s="352"/>
    </row>
    <row r="6496" spans="1:6" s="315" customFormat="1" ht="15">
      <c r="A6496" s="472" t="s">
        <v>6784</v>
      </c>
      <c r="B6496" s="472" t="s">
        <v>6785</v>
      </c>
      <c r="C6496" s="472" t="s">
        <v>5079</v>
      </c>
      <c r="D6496" s="473">
        <v>21731.673900000002</v>
      </c>
      <c r="E6496" s="473" t="s">
        <v>8722</v>
      </c>
      <c r="F6496" s="352"/>
    </row>
    <row r="6497" spans="1:6" s="315" customFormat="1" ht="15">
      <c r="A6497" s="472" t="s">
        <v>8585</v>
      </c>
      <c r="B6497" s="472" t="s">
        <v>8586</v>
      </c>
      <c r="C6497" s="472" t="s">
        <v>5079</v>
      </c>
      <c r="D6497" s="473">
        <v>3739.4657999999999</v>
      </c>
      <c r="E6497" s="473" t="s">
        <v>8722</v>
      </c>
      <c r="F6497" s="352"/>
    </row>
    <row r="6498" spans="1:6" s="315" customFormat="1" ht="15">
      <c r="A6498" s="472" t="s">
        <v>8587</v>
      </c>
      <c r="B6498" s="472" t="s">
        <v>6254</v>
      </c>
      <c r="C6498" s="472" t="s">
        <v>167</v>
      </c>
      <c r="D6498" s="473">
        <v>19.537199999999999</v>
      </c>
      <c r="E6498" s="473" t="s">
        <v>8722</v>
      </c>
      <c r="F6498" s="352"/>
    </row>
    <row r="6499" spans="1:6" s="315" customFormat="1" ht="15">
      <c r="A6499" s="472" t="s">
        <v>8588</v>
      </c>
      <c r="B6499" s="472" t="s">
        <v>8589</v>
      </c>
      <c r="C6499" s="472" t="s">
        <v>5079</v>
      </c>
      <c r="D6499" s="473">
        <v>8693.7026999999998</v>
      </c>
      <c r="E6499" s="473" t="s">
        <v>8722</v>
      </c>
      <c r="F6499" s="352"/>
    </row>
    <row r="6500" spans="1:6" s="315" customFormat="1" ht="15">
      <c r="A6500" s="472" t="s">
        <v>8590</v>
      </c>
      <c r="B6500" s="472" t="s">
        <v>8591</v>
      </c>
      <c r="C6500" s="472" t="s">
        <v>5079</v>
      </c>
      <c r="D6500" s="473">
        <v>21731.673900000002</v>
      </c>
      <c r="E6500" s="473" t="s">
        <v>8722</v>
      </c>
      <c r="F6500" s="352"/>
    </row>
    <row r="6501" spans="1:6" s="315" customFormat="1" ht="15">
      <c r="A6501" s="472" t="s">
        <v>6614</v>
      </c>
      <c r="B6501" s="472" t="s">
        <v>6257</v>
      </c>
      <c r="C6501" s="472" t="s">
        <v>167</v>
      </c>
      <c r="D6501" s="473">
        <v>21.647600000000001</v>
      </c>
      <c r="E6501" s="473" t="s">
        <v>8722</v>
      </c>
      <c r="F6501" s="352"/>
    </row>
    <row r="6502" spans="1:6" s="315" customFormat="1" ht="15">
      <c r="A6502" s="472" t="s">
        <v>7527</v>
      </c>
      <c r="B6502" s="472" t="s">
        <v>6258</v>
      </c>
      <c r="C6502" s="472" t="s">
        <v>167</v>
      </c>
      <c r="D6502" s="473">
        <v>21.705200000000001</v>
      </c>
      <c r="E6502" s="473" t="s">
        <v>8722</v>
      </c>
      <c r="F6502" s="352"/>
    </row>
    <row r="6503" spans="1:6" s="315" customFormat="1" ht="15">
      <c r="A6503" s="472" t="s">
        <v>6875</v>
      </c>
      <c r="B6503" s="472" t="s">
        <v>6259</v>
      </c>
      <c r="C6503" s="472" t="s">
        <v>167</v>
      </c>
      <c r="D6503" s="473">
        <v>21.641200000000001</v>
      </c>
      <c r="E6503" s="473" t="s">
        <v>8722</v>
      </c>
      <c r="F6503" s="352"/>
    </row>
    <row r="6504" spans="1:6" s="315" customFormat="1" ht="15">
      <c r="A6504" s="472" t="s">
        <v>6602</v>
      </c>
      <c r="B6504" s="472" t="s">
        <v>6605</v>
      </c>
      <c r="C6504" s="472" t="s">
        <v>167</v>
      </c>
      <c r="D6504" s="473">
        <v>15.637499999999999</v>
      </c>
      <c r="E6504" s="473" t="s">
        <v>8722</v>
      </c>
      <c r="F6504" s="352"/>
    </row>
    <row r="6505" spans="1:6" s="315" customFormat="1" ht="15">
      <c r="A6505" s="472" t="s">
        <v>7348</v>
      </c>
      <c r="B6505" s="472" t="s">
        <v>6260</v>
      </c>
      <c r="C6505" s="472" t="s">
        <v>167</v>
      </c>
      <c r="D6505" s="473">
        <v>27.728400000000001</v>
      </c>
      <c r="E6505" s="473" t="s">
        <v>8722</v>
      </c>
      <c r="F6505" s="352"/>
    </row>
    <row r="6506" spans="1:6" s="315" customFormat="1" ht="15">
      <c r="A6506" s="472" t="s">
        <v>8592</v>
      </c>
      <c r="B6506" s="472" t="s">
        <v>8593</v>
      </c>
      <c r="C6506" s="472" t="s">
        <v>5079</v>
      </c>
      <c r="D6506" s="473">
        <v>10505.917299999999</v>
      </c>
      <c r="E6506" s="473" t="s">
        <v>8722</v>
      </c>
      <c r="F6506" s="352"/>
    </row>
    <row r="6507" spans="1:6" s="315" customFormat="1" ht="15">
      <c r="A6507" s="472" t="s">
        <v>7662</v>
      </c>
      <c r="B6507" s="472" t="s">
        <v>7799</v>
      </c>
      <c r="C6507" s="472" t="s">
        <v>5079</v>
      </c>
      <c r="D6507" s="473">
        <v>3632.9789999999998</v>
      </c>
      <c r="E6507" s="473" t="s">
        <v>8722</v>
      </c>
      <c r="F6507" s="352"/>
    </row>
    <row r="6508" spans="1:6" s="315" customFormat="1" ht="15">
      <c r="A6508" s="472" t="s">
        <v>6601</v>
      </c>
      <c r="B6508" s="472" t="s">
        <v>6604</v>
      </c>
      <c r="C6508" s="472" t="s">
        <v>167</v>
      </c>
      <c r="D6508" s="473">
        <v>23.4679</v>
      </c>
      <c r="E6508" s="473" t="s">
        <v>8722</v>
      </c>
      <c r="F6508" s="352"/>
    </row>
    <row r="6509" spans="1:6" s="315" customFormat="1" ht="15">
      <c r="A6509" s="472" t="s">
        <v>7645</v>
      </c>
      <c r="B6509" s="472" t="s">
        <v>7796</v>
      </c>
      <c r="C6509" s="472" t="s">
        <v>5079</v>
      </c>
      <c r="D6509" s="473">
        <v>3277.1741000000002</v>
      </c>
      <c r="E6509" s="473" t="s">
        <v>8722</v>
      </c>
      <c r="F6509" s="352"/>
    </row>
    <row r="6510" spans="1:6" s="315" customFormat="1" ht="15">
      <c r="A6510" s="472" t="s">
        <v>8594</v>
      </c>
      <c r="B6510" s="472" t="s">
        <v>8595</v>
      </c>
      <c r="C6510" s="472" t="s">
        <v>167</v>
      </c>
      <c r="D6510" s="473">
        <v>22.022500000000001</v>
      </c>
      <c r="E6510" s="473" t="s">
        <v>8722</v>
      </c>
      <c r="F6510" s="352"/>
    </row>
    <row r="6511" spans="1:6" s="315" customFormat="1" ht="15">
      <c r="A6511" s="472" t="s">
        <v>8596</v>
      </c>
      <c r="B6511" s="472" t="s">
        <v>8597</v>
      </c>
      <c r="C6511" s="472" t="s">
        <v>167</v>
      </c>
      <c r="D6511" s="473">
        <v>121.7539</v>
      </c>
      <c r="E6511" s="473" t="s">
        <v>8722</v>
      </c>
      <c r="F6511" s="352"/>
    </row>
    <row r="6512" spans="1:6" s="315" customFormat="1" ht="15">
      <c r="A6512" s="472" t="s">
        <v>8598</v>
      </c>
      <c r="B6512" s="472" t="s">
        <v>8599</v>
      </c>
      <c r="C6512" s="472" t="s">
        <v>5079</v>
      </c>
      <c r="D6512" s="473">
        <v>9837.6967000000004</v>
      </c>
      <c r="E6512" s="473" t="s">
        <v>8722</v>
      </c>
      <c r="F6512" s="352"/>
    </row>
    <row r="6513" spans="1:6" s="315" customFormat="1" ht="15">
      <c r="A6513" s="472" t="s">
        <v>8600</v>
      </c>
      <c r="B6513" s="472" t="s">
        <v>8601</v>
      </c>
      <c r="C6513" s="472" t="s">
        <v>5079</v>
      </c>
      <c r="D6513" s="473">
        <v>10557.7963</v>
      </c>
      <c r="E6513" s="473" t="s">
        <v>8722</v>
      </c>
      <c r="F6513" s="352"/>
    </row>
    <row r="6514" spans="1:6" s="315" customFormat="1" ht="15">
      <c r="A6514" s="472" t="s">
        <v>7635</v>
      </c>
      <c r="B6514" s="472" t="s">
        <v>7793</v>
      </c>
      <c r="C6514" s="472" t="s">
        <v>5079</v>
      </c>
      <c r="D6514" s="473">
        <v>2935.3508999999999</v>
      </c>
      <c r="E6514" s="473" t="s">
        <v>8722</v>
      </c>
      <c r="F6514" s="352"/>
    </row>
    <row r="6515" spans="1:6" s="315" customFormat="1" ht="15">
      <c r="A6515" s="472" t="s">
        <v>8046</v>
      </c>
      <c r="B6515" s="472" t="s">
        <v>8602</v>
      </c>
      <c r="C6515" s="472" t="s">
        <v>167</v>
      </c>
      <c r="D6515" s="473">
        <v>18.7666</v>
      </c>
      <c r="E6515" s="473" t="s">
        <v>8722</v>
      </c>
      <c r="F6515" s="352"/>
    </row>
    <row r="6516" spans="1:6" s="315" customFormat="1" ht="15">
      <c r="A6516" s="472" t="s">
        <v>8603</v>
      </c>
      <c r="B6516" s="472" t="s">
        <v>8604</v>
      </c>
      <c r="C6516" s="472" t="s">
        <v>5079</v>
      </c>
      <c r="D6516" s="473">
        <v>11251.4272</v>
      </c>
      <c r="E6516" s="473" t="s">
        <v>8722</v>
      </c>
      <c r="F6516" s="352"/>
    </row>
    <row r="6517" spans="1:6" s="315" customFormat="1" ht="15">
      <c r="A6517" s="472" t="s">
        <v>8605</v>
      </c>
      <c r="B6517" s="472" t="s">
        <v>8606</v>
      </c>
      <c r="C6517" s="472" t="s">
        <v>167</v>
      </c>
      <c r="D6517" s="473">
        <v>24.693300000000001</v>
      </c>
      <c r="E6517" s="473" t="s">
        <v>8722</v>
      </c>
      <c r="F6517" s="352"/>
    </row>
    <row r="6518" spans="1:6" s="315" customFormat="1" ht="15">
      <c r="A6518" s="472" t="s">
        <v>8607</v>
      </c>
      <c r="B6518" s="472" t="s">
        <v>8608</v>
      </c>
      <c r="C6518" s="472" t="s">
        <v>167</v>
      </c>
      <c r="D6518" s="473">
        <v>34.926299999999998</v>
      </c>
      <c r="E6518" s="473" t="s">
        <v>8722</v>
      </c>
      <c r="F6518" s="352"/>
    </row>
    <row r="6519" spans="1:6" s="315" customFormat="1" ht="15">
      <c r="A6519" s="472" t="s">
        <v>8609</v>
      </c>
      <c r="B6519" s="472" t="s">
        <v>8610</v>
      </c>
      <c r="C6519" s="472" t="s">
        <v>167</v>
      </c>
      <c r="D6519" s="473">
        <v>17.989799999999999</v>
      </c>
      <c r="E6519" s="473" t="s">
        <v>8722</v>
      </c>
      <c r="F6519" s="352"/>
    </row>
    <row r="6520" spans="1:6" s="315" customFormat="1" ht="15">
      <c r="A6520" s="472" t="s">
        <v>6782</v>
      </c>
      <c r="B6520" s="472" t="s">
        <v>6783</v>
      </c>
      <c r="C6520" s="472" t="s">
        <v>5079</v>
      </c>
      <c r="D6520" s="473">
        <v>5359.7883000000002</v>
      </c>
      <c r="E6520" s="473" t="s">
        <v>8722</v>
      </c>
      <c r="F6520" s="352"/>
    </row>
    <row r="6521" spans="1:6" s="315" customFormat="1" ht="15">
      <c r="A6521" s="472" t="s">
        <v>8611</v>
      </c>
      <c r="B6521" s="472" t="s">
        <v>8612</v>
      </c>
      <c r="C6521" s="472" t="s">
        <v>5079</v>
      </c>
      <c r="D6521" s="473">
        <v>4692.8449000000001</v>
      </c>
      <c r="E6521" s="473" t="s">
        <v>8722</v>
      </c>
      <c r="F6521" s="352"/>
    </row>
    <row r="6522" spans="1:6" s="315" customFormat="1" ht="15">
      <c r="A6522" s="472" t="s">
        <v>8613</v>
      </c>
      <c r="B6522" s="472" t="s">
        <v>8614</v>
      </c>
      <c r="C6522" s="472" t="s">
        <v>5079</v>
      </c>
      <c r="D6522" s="473">
        <v>3165.0907000000002</v>
      </c>
      <c r="E6522" s="473" t="s">
        <v>8722</v>
      </c>
      <c r="F6522" s="352"/>
    </row>
    <row r="6523" spans="1:6" s="315" customFormat="1" ht="15">
      <c r="A6523" s="472" t="s">
        <v>8615</v>
      </c>
      <c r="B6523" s="472" t="s">
        <v>8616</v>
      </c>
      <c r="C6523" s="472" t="s">
        <v>5079</v>
      </c>
      <c r="D6523" s="473">
        <v>16845.1672</v>
      </c>
      <c r="E6523" s="473" t="s">
        <v>8722</v>
      </c>
      <c r="F6523" s="352"/>
    </row>
    <row r="6524" spans="1:6" s="315" customFormat="1" ht="15">
      <c r="A6524" s="472" t="s">
        <v>8617</v>
      </c>
      <c r="B6524" s="472" t="s">
        <v>8618</v>
      </c>
      <c r="C6524" s="472" t="s">
        <v>167</v>
      </c>
      <c r="D6524" s="473">
        <v>30.919</v>
      </c>
      <c r="E6524" s="473" t="s">
        <v>8722</v>
      </c>
      <c r="F6524" s="352"/>
    </row>
    <row r="6525" spans="1:6" s="315" customFormat="1" ht="15">
      <c r="A6525" s="472" t="s">
        <v>8619</v>
      </c>
      <c r="B6525" s="472" t="s">
        <v>8620</v>
      </c>
      <c r="C6525" s="472" t="s">
        <v>167</v>
      </c>
      <c r="D6525" s="473">
        <v>17.8307</v>
      </c>
      <c r="E6525" s="473" t="s">
        <v>8722</v>
      </c>
      <c r="F6525" s="352"/>
    </row>
    <row r="6526" spans="1:6" s="315" customFormat="1" ht="15">
      <c r="A6526" s="472" t="s">
        <v>8621</v>
      </c>
      <c r="B6526" s="472" t="s">
        <v>8622</v>
      </c>
      <c r="C6526" s="472" t="s">
        <v>5079</v>
      </c>
      <c r="D6526" s="473">
        <v>3713.5979000000002</v>
      </c>
      <c r="E6526" s="473" t="s">
        <v>8722</v>
      </c>
      <c r="F6526" s="352"/>
    </row>
    <row r="6527" spans="1:6" s="315" customFormat="1" ht="15">
      <c r="A6527" s="472" t="s">
        <v>8623</v>
      </c>
      <c r="B6527" s="472" t="s">
        <v>8624</v>
      </c>
      <c r="C6527" s="472" t="s">
        <v>5079</v>
      </c>
      <c r="D6527" s="473">
        <v>4660.5163000000002</v>
      </c>
      <c r="E6527" s="473" t="s">
        <v>8722</v>
      </c>
      <c r="F6527" s="352"/>
    </row>
    <row r="6528" spans="1:6" s="315" customFormat="1" ht="15">
      <c r="A6528" s="472" t="s">
        <v>8625</v>
      </c>
      <c r="B6528" s="472" t="s">
        <v>8626</v>
      </c>
      <c r="C6528" s="472" t="s">
        <v>167</v>
      </c>
      <c r="D6528" s="473">
        <v>23.184999999999999</v>
      </c>
      <c r="E6528" s="473" t="s">
        <v>8722</v>
      </c>
      <c r="F6528" s="352"/>
    </row>
    <row r="6529" spans="1:6" s="315" customFormat="1" ht="15">
      <c r="A6529" s="472" t="s">
        <v>8627</v>
      </c>
      <c r="B6529" s="472" t="s">
        <v>8628</v>
      </c>
      <c r="C6529" s="472" t="s">
        <v>5079</v>
      </c>
      <c r="D6529" s="473">
        <v>4200.2172</v>
      </c>
      <c r="E6529" s="473" t="s">
        <v>8722</v>
      </c>
      <c r="F6529" s="352"/>
    </row>
    <row r="6530" spans="1:6" s="315" customFormat="1" ht="15">
      <c r="A6530" s="472" t="s">
        <v>7646</v>
      </c>
      <c r="B6530" s="472" t="s">
        <v>7795</v>
      </c>
      <c r="C6530" s="472" t="s">
        <v>5079</v>
      </c>
      <c r="D6530" s="473">
        <v>4916.1161000000002</v>
      </c>
      <c r="E6530" s="473" t="s">
        <v>8722</v>
      </c>
      <c r="F6530" s="352"/>
    </row>
    <row r="6531" spans="1:6" s="315" customFormat="1" ht="15">
      <c r="A6531" s="472" t="s">
        <v>8629</v>
      </c>
      <c r="B6531" s="472" t="s">
        <v>8630</v>
      </c>
      <c r="C6531" s="472" t="s">
        <v>167</v>
      </c>
      <c r="D6531" s="473">
        <v>15.6951</v>
      </c>
      <c r="E6531" s="473" t="s">
        <v>8722</v>
      </c>
      <c r="F6531" s="352"/>
    </row>
    <row r="6532" spans="1:6" s="315" customFormat="1" ht="15">
      <c r="A6532" s="472" t="s">
        <v>7349</v>
      </c>
      <c r="B6532" s="472" t="s">
        <v>7745</v>
      </c>
      <c r="C6532" s="472" t="s">
        <v>167</v>
      </c>
      <c r="D6532" s="473">
        <v>26.1706</v>
      </c>
      <c r="E6532" s="473" t="s">
        <v>8722</v>
      </c>
      <c r="F6532" s="352"/>
    </row>
    <row r="6533" spans="1:6" s="315" customFormat="1" ht="15">
      <c r="A6533" s="472" t="s">
        <v>8631</v>
      </c>
      <c r="B6533" s="472" t="s">
        <v>8632</v>
      </c>
      <c r="C6533" s="472" t="s">
        <v>167</v>
      </c>
      <c r="D6533" s="473">
        <v>17.8856</v>
      </c>
      <c r="E6533" s="473" t="s">
        <v>8722</v>
      </c>
      <c r="F6533" s="352"/>
    </row>
    <row r="6534" spans="1:6" s="315" customFormat="1" ht="15">
      <c r="A6534" s="472" t="s">
        <v>7630</v>
      </c>
      <c r="B6534" s="472" t="s">
        <v>7792</v>
      </c>
      <c r="C6534" s="472" t="s">
        <v>5079</v>
      </c>
      <c r="D6534" s="473">
        <v>18835.658599999999</v>
      </c>
      <c r="E6534" s="473" t="s">
        <v>8722</v>
      </c>
      <c r="F6534" s="352"/>
    </row>
    <row r="6535" spans="1:6" s="315" customFormat="1" ht="15">
      <c r="A6535" s="472" t="s">
        <v>8633</v>
      </c>
      <c r="B6535" s="472" t="s">
        <v>8634</v>
      </c>
      <c r="C6535" s="472" t="s">
        <v>5079</v>
      </c>
      <c r="D6535" s="473">
        <v>5414.7448999999997</v>
      </c>
      <c r="E6535" s="473" t="s">
        <v>8722</v>
      </c>
      <c r="F6535" s="352"/>
    </row>
    <row r="6536" spans="1:6" s="315" customFormat="1" ht="15">
      <c r="A6536" s="472" t="s">
        <v>7725</v>
      </c>
      <c r="B6536" s="472" t="s">
        <v>7812</v>
      </c>
      <c r="C6536" s="472" t="s">
        <v>167</v>
      </c>
      <c r="D6536" s="473">
        <v>22.267099999999999</v>
      </c>
      <c r="E6536" s="473" t="s">
        <v>8722</v>
      </c>
      <c r="F6536" s="352"/>
    </row>
    <row r="6537" spans="1:6" s="315" customFormat="1" ht="15">
      <c r="A6537" s="472" t="s">
        <v>8635</v>
      </c>
      <c r="B6537" s="472" t="s">
        <v>8636</v>
      </c>
      <c r="C6537" s="472" t="s">
        <v>5079</v>
      </c>
      <c r="D6537" s="473">
        <v>6528.549</v>
      </c>
      <c r="E6537" s="473" t="s">
        <v>8722</v>
      </c>
      <c r="F6537" s="352"/>
    </row>
    <row r="6538" spans="1:6" s="315" customFormat="1" ht="15">
      <c r="A6538" s="472" t="s">
        <v>7607</v>
      </c>
      <c r="B6538" s="472" t="s">
        <v>8637</v>
      </c>
      <c r="C6538" s="472" t="s">
        <v>5079</v>
      </c>
      <c r="D6538" s="473">
        <v>6875.1908000000003</v>
      </c>
      <c r="E6538" s="473" t="s">
        <v>8722</v>
      </c>
      <c r="F6538" s="352"/>
    </row>
    <row r="6539" spans="1:6" s="315" customFormat="1" ht="15">
      <c r="A6539" s="472" t="s">
        <v>8638</v>
      </c>
      <c r="B6539" s="472" t="s">
        <v>8639</v>
      </c>
      <c r="C6539" s="472" t="s">
        <v>167</v>
      </c>
      <c r="D6539" s="473">
        <v>22.203299999999999</v>
      </c>
      <c r="E6539" s="473" t="s">
        <v>8722</v>
      </c>
      <c r="F6539" s="352"/>
    </row>
    <row r="6540" spans="1:6" s="315" customFormat="1" ht="15">
      <c r="A6540" s="472" t="s">
        <v>7726</v>
      </c>
      <c r="B6540" s="472" t="s">
        <v>7813</v>
      </c>
      <c r="C6540" s="472" t="s">
        <v>167</v>
      </c>
      <c r="D6540" s="473">
        <v>23.9392</v>
      </c>
      <c r="E6540" s="473" t="s">
        <v>8722</v>
      </c>
      <c r="F6540" s="352"/>
    </row>
    <row r="6541" spans="1:6" s="315" customFormat="1" ht="15">
      <c r="A6541" s="472" t="s">
        <v>8640</v>
      </c>
      <c r="B6541" s="472" t="s">
        <v>8641</v>
      </c>
      <c r="C6541" s="472" t="s">
        <v>5079</v>
      </c>
      <c r="D6541" s="473">
        <v>4691.2233999999999</v>
      </c>
      <c r="E6541" s="473" t="s">
        <v>8722</v>
      </c>
      <c r="F6541" s="352"/>
    </row>
    <row r="6542" spans="1:6" s="315" customFormat="1" ht="15">
      <c r="A6542" s="472" t="s">
        <v>7629</v>
      </c>
      <c r="B6542" s="472" t="s">
        <v>7791</v>
      </c>
      <c r="C6542" s="472" t="s">
        <v>5079</v>
      </c>
      <c r="D6542" s="473">
        <v>5093.9991</v>
      </c>
      <c r="E6542" s="473" t="s">
        <v>8722</v>
      </c>
      <c r="F6542" s="352"/>
    </row>
    <row r="6543" spans="1:6" s="315" customFormat="1" ht="15">
      <c r="A6543" s="472" t="s">
        <v>7663</v>
      </c>
      <c r="B6543" s="472" t="s">
        <v>7800</v>
      </c>
      <c r="C6543" s="472" t="s">
        <v>5079</v>
      </c>
      <c r="D6543" s="473">
        <v>5746.0352000000003</v>
      </c>
      <c r="E6543" s="473" t="s">
        <v>8722</v>
      </c>
      <c r="F6543" s="352"/>
    </row>
    <row r="6544" spans="1:6" s="315" customFormat="1" ht="15">
      <c r="A6544" s="472" t="s">
        <v>8642</v>
      </c>
      <c r="B6544" s="472" t="s">
        <v>8643</v>
      </c>
      <c r="C6544" s="472" t="s">
        <v>5079</v>
      </c>
      <c r="D6544" s="473">
        <v>6361.1671999999999</v>
      </c>
      <c r="E6544" s="473" t="s">
        <v>8722</v>
      </c>
      <c r="F6544" s="352"/>
    </row>
    <row r="6545" spans="1:6" s="315" customFormat="1" ht="15">
      <c r="A6545" s="472" t="s">
        <v>8644</v>
      </c>
      <c r="B6545" s="472" t="s">
        <v>8645</v>
      </c>
      <c r="C6545" s="472" t="s">
        <v>167</v>
      </c>
      <c r="D6545" s="473">
        <v>34.919400000000003</v>
      </c>
      <c r="E6545" s="473" t="s">
        <v>8722</v>
      </c>
      <c r="F6545" s="352"/>
    </row>
    <row r="6546" spans="1:6" s="315" customFormat="1" ht="15">
      <c r="A6546" s="472" t="s">
        <v>8646</v>
      </c>
      <c r="B6546" s="472" t="s">
        <v>8647</v>
      </c>
      <c r="C6546" s="472" t="s">
        <v>5079</v>
      </c>
      <c r="D6546" s="473">
        <v>7710.7411000000002</v>
      </c>
      <c r="E6546" s="473" t="s">
        <v>8722</v>
      </c>
      <c r="F6546" s="352"/>
    </row>
    <row r="6547" spans="1:6" s="315" customFormat="1" ht="15">
      <c r="A6547" s="472" t="s">
        <v>8648</v>
      </c>
      <c r="B6547" s="472" t="s">
        <v>8649</v>
      </c>
      <c r="C6547" s="472" t="s">
        <v>5079</v>
      </c>
      <c r="D6547" s="473">
        <v>6875.1908000000003</v>
      </c>
      <c r="E6547" s="473" t="s">
        <v>8722</v>
      </c>
      <c r="F6547" s="352"/>
    </row>
    <row r="6548" spans="1:6" s="315" customFormat="1" ht="15">
      <c r="A6548" s="472" t="s">
        <v>8650</v>
      </c>
      <c r="B6548" s="472" t="s">
        <v>8651</v>
      </c>
      <c r="C6548" s="472" t="s">
        <v>167</v>
      </c>
      <c r="D6548" s="473">
        <v>18.228400000000001</v>
      </c>
      <c r="E6548" s="473" t="s">
        <v>8722</v>
      </c>
      <c r="F6548" s="352"/>
    </row>
    <row r="6549" spans="1:6" s="315" customFormat="1" ht="15">
      <c r="A6549" s="472" t="s">
        <v>8652</v>
      </c>
      <c r="B6549" s="472" t="s">
        <v>8653</v>
      </c>
      <c r="C6549" s="472" t="s">
        <v>5079</v>
      </c>
      <c r="D6549" s="473">
        <v>6730.2816000000003</v>
      </c>
      <c r="E6549" s="473" t="s">
        <v>8722</v>
      </c>
      <c r="F6549" s="352"/>
    </row>
    <row r="6550" spans="1:6" s="315" customFormat="1" ht="15">
      <c r="A6550" s="472" t="s">
        <v>8654</v>
      </c>
      <c r="B6550" s="472" t="s">
        <v>8655</v>
      </c>
      <c r="C6550" s="472" t="s">
        <v>5079</v>
      </c>
      <c r="D6550" s="473">
        <v>24804.3037</v>
      </c>
      <c r="E6550" s="473" t="s">
        <v>8722</v>
      </c>
      <c r="F6550" s="352"/>
    </row>
    <row r="6551" spans="1:6" s="315" customFormat="1" ht="15">
      <c r="A6551" s="472" t="s">
        <v>8656</v>
      </c>
      <c r="B6551" s="472" t="s">
        <v>8657</v>
      </c>
      <c r="C6551" s="472" t="s">
        <v>167</v>
      </c>
      <c r="D6551" s="473">
        <v>26.550599999999999</v>
      </c>
      <c r="E6551" s="473" t="s">
        <v>8722</v>
      </c>
      <c r="F6551" s="352"/>
    </row>
    <row r="6552" spans="1:6" s="315" customFormat="1" ht="15">
      <c r="A6552" s="472" t="s">
        <v>8658</v>
      </c>
      <c r="B6552" s="472" t="s">
        <v>8659</v>
      </c>
      <c r="C6552" s="472" t="s">
        <v>5079</v>
      </c>
      <c r="D6552" s="473">
        <v>6875.1908000000003</v>
      </c>
      <c r="E6552" s="473" t="s">
        <v>8722</v>
      </c>
      <c r="F6552" s="352"/>
    </row>
    <row r="6553" spans="1:6" s="315" customFormat="1" ht="15">
      <c r="A6553" s="472" t="s">
        <v>7667</v>
      </c>
      <c r="B6553" s="472" t="s">
        <v>7801</v>
      </c>
      <c r="C6553" s="472" t="s">
        <v>5079</v>
      </c>
      <c r="D6553" s="473">
        <v>3164.3766000000001</v>
      </c>
      <c r="E6553" s="473" t="s">
        <v>8722</v>
      </c>
      <c r="F6553" s="352"/>
    </row>
    <row r="6554" spans="1:6" s="315" customFormat="1" ht="15">
      <c r="A6554" s="472" t="s">
        <v>7624</v>
      </c>
      <c r="B6554" s="472" t="s">
        <v>7790</v>
      </c>
      <c r="C6554" s="472" t="s">
        <v>5079</v>
      </c>
      <c r="D6554" s="473">
        <v>6242.6967000000004</v>
      </c>
      <c r="E6554" s="473" t="s">
        <v>8722</v>
      </c>
      <c r="F6554" s="352"/>
    </row>
    <row r="6555" spans="1:6" s="315" customFormat="1" ht="15">
      <c r="A6555" s="472" t="s">
        <v>8660</v>
      </c>
      <c r="B6555" s="472" t="s">
        <v>8661</v>
      </c>
      <c r="C6555" s="472" t="s">
        <v>5079</v>
      </c>
      <c r="D6555" s="473">
        <v>6502.5803999999998</v>
      </c>
      <c r="E6555" s="473" t="s">
        <v>8722</v>
      </c>
      <c r="F6555" s="352"/>
    </row>
    <row r="6556" spans="1:6" s="315" customFormat="1" ht="15">
      <c r="A6556" s="472" t="s">
        <v>8662</v>
      </c>
      <c r="B6556" s="472" t="s">
        <v>8663</v>
      </c>
      <c r="C6556" s="472" t="s">
        <v>5079</v>
      </c>
      <c r="D6556" s="473">
        <v>6875.1908000000003</v>
      </c>
      <c r="E6556" s="473" t="s">
        <v>8722</v>
      </c>
      <c r="F6556" s="352"/>
    </row>
    <row r="6557" spans="1:6" s="315" customFormat="1" ht="15">
      <c r="A6557" s="472" t="s">
        <v>6821</v>
      </c>
      <c r="B6557" s="472" t="s">
        <v>6822</v>
      </c>
      <c r="C6557" s="472" t="s">
        <v>5079</v>
      </c>
      <c r="D6557" s="473">
        <v>3702.5675999999999</v>
      </c>
      <c r="E6557" s="473" t="s">
        <v>8722</v>
      </c>
      <c r="F6557" s="352"/>
    </row>
    <row r="6558" spans="1:6" s="315" customFormat="1" ht="15">
      <c r="A6558" s="472" t="s">
        <v>8664</v>
      </c>
      <c r="B6558" s="472" t="s">
        <v>8665</v>
      </c>
      <c r="C6558" s="472" t="s">
        <v>5079</v>
      </c>
      <c r="D6558" s="473">
        <v>19956.033899999999</v>
      </c>
      <c r="E6558" s="473" t="s">
        <v>8722</v>
      </c>
      <c r="F6558" s="352"/>
    </row>
    <row r="6559" spans="1:6" s="315" customFormat="1" ht="15">
      <c r="A6559" s="472" t="s">
        <v>8666</v>
      </c>
      <c r="B6559" s="472" t="s">
        <v>8667</v>
      </c>
      <c r="C6559" s="472" t="s">
        <v>5079</v>
      </c>
      <c r="D6559" s="473">
        <v>14075.0803</v>
      </c>
      <c r="E6559" s="473" t="s">
        <v>8722</v>
      </c>
      <c r="F6559" s="352"/>
    </row>
    <row r="6560" spans="1:6" s="315" customFormat="1" ht="15">
      <c r="A6560" s="472" t="s">
        <v>8668</v>
      </c>
      <c r="B6560" s="472" t="s">
        <v>8669</v>
      </c>
      <c r="C6560" s="472" t="s">
        <v>5079</v>
      </c>
      <c r="D6560" s="473">
        <v>5705.9168</v>
      </c>
      <c r="E6560" s="473" t="s">
        <v>8722</v>
      </c>
      <c r="F6560" s="352"/>
    </row>
    <row r="6561" spans="1:6" s="315" customFormat="1" ht="15">
      <c r="A6561" s="472" t="s">
        <v>8670</v>
      </c>
      <c r="B6561" s="472" t="s">
        <v>8671</v>
      </c>
      <c r="C6561" s="472" t="s">
        <v>5079</v>
      </c>
      <c r="D6561" s="473">
        <v>6116.7290000000003</v>
      </c>
      <c r="E6561" s="473" t="s">
        <v>8722</v>
      </c>
      <c r="F6561" s="352"/>
    </row>
    <row r="6562" spans="1:6" s="315" customFormat="1" ht="15">
      <c r="A6562" s="472" t="s">
        <v>8672</v>
      </c>
      <c r="B6562" s="472" t="s">
        <v>8673</v>
      </c>
      <c r="C6562" s="472" t="s">
        <v>5079</v>
      </c>
      <c r="D6562" s="473">
        <v>4692.8449000000001</v>
      </c>
      <c r="E6562" s="473" t="s">
        <v>8722</v>
      </c>
      <c r="F6562" s="352"/>
    </row>
    <row r="6563" spans="1:6" s="315" customFormat="1" ht="15">
      <c r="A6563" s="472" t="s">
        <v>8674</v>
      </c>
      <c r="B6563" s="472" t="s">
        <v>8675</v>
      </c>
      <c r="C6563" s="472" t="s">
        <v>167</v>
      </c>
      <c r="D6563" s="473">
        <v>79.406899999999993</v>
      </c>
      <c r="E6563" s="473" t="s">
        <v>8722</v>
      </c>
      <c r="F6563" s="352"/>
    </row>
    <row r="6564" spans="1:6" s="315" customFormat="1" ht="15">
      <c r="A6564" s="472" t="s">
        <v>8676</v>
      </c>
      <c r="B6564" s="472" t="s">
        <v>8677</v>
      </c>
      <c r="C6564" s="472" t="s">
        <v>5079</v>
      </c>
      <c r="D6564" s="473">
        <v>10522.534100000001</v>
      </c>
      <c r="E6564" s="473" t="s">
        <v>8722</v>
      </c>
      <c r="F6564" s="352"/>
    </row>
    <row r="6565" spans="1:6" s="315" customFormat="1" ht="15">
      <c r="A6565" s="472" t="s">
        <v>8678</v>
      </c>
      <c r="B6565" s="472" t="s">
        <v>8679</v>
      </c>
      <c r="C6565" s="472" t="s">
        <v>5079</v>
      </c>
      <c r="D6565" s="473">
        <v>6875.1908000000003</v>
      </c>
      <c r="E6565" s="473" t="s">
        <v>8722</v>
      </c>
      <c r="F6565" s="352"/>
    </row>
    <row r="6566" spans="1:6" s="315" customFormat="1" ht="15">
      <c r="A6566" s="472" t="s">
        <v>8680</v>
      </c>
      <c r="B6566" s="472" t="s">
        <v>8681</v>
      </c>
      <c r="C6566" s="472" t="s">
        <v>5079</v>
      </c>
      <c r="D6566" s="473">
        <v>11251.4272</v>
      </c>
      <c r="E6566" s="473" t="s">
        <v>8722</v>
      </c>
      <c r="F6566" s="352"/>
    </row>
    <row r="6567" spans="1:6" s="315" customFormat="1" ht="15">
      <c r="A6567" s="472" t="s">
        <v>8682</v>
      </c>
      <c r="B6567" s="472" t="s">
        <v>8683</v>
      </c>
      <c r="C6567" s="472" t="s">
        <v>167</v>
      </c>
      <c r="D6567" s="473">
        <v>27.812799999999999</v>
      </c>
      <c r="E6567" s="473" t="s">
        <v>8722</v>
      </c>
      <c r="F6567" s="352"/>
    </row>
    <row r="6568" spans="1:6" s="315" customFormat="1" ht="15">
      <c r="A6568" s="472" t="s">
        <v>8684</v>
      </c>
      <c r="B6568" s="472" t="s">
        <v>8685</v>
      </c>
      <c r="C6568" s="472" t="s">
        <v>167</v>
      </c>
      <c r="D6568" s="473">
        <v>22.369</v>
      </c>
      <c r="E6568" s="473" t="s">
        <v>8722</v>
      </c>
      <c r="F6568" s="352"/>
    </row>
    <row r="6569" spans="1:6" s="315" customFormat="1" ht="15">
      <c r="A6569" s="472" t="s">
        <v>8686</v>
      </c>
      <c r="B6569" s="472" t="s">
        <v>8687</v>
      </c>
      <c r="C6569" s="472" t="s">
        <v>167</v>
      </c>
      <c r="D6569" s="473">
        <v>19.078700000000001</v>
      </c>
      <c r="E6569" s="473" t="s">
        <v>8722</v>
      </c>
      <c r="F6569" s="352"/>
    </row>
    <row r="6570" spans="1:6" s="315" customFormat="1" ht="15">
      <c r="A6570" s="472" t="s">
        <v>8688</v>
      </c>
      <c r="B6570" s="472" t="s">
        <v>8689</v>
      </c>
      <c r="C6570" s="472" t="s">
        <v>167</v>
      </c>
      <c r="D6570" s="473">
        <v>32.775599999999997</v>
      </c>
      <c r="E6570" s="473" t="s">
        <v>8722</v>
      </c>
      <c r="F6570" s="352"/>
    </row>
    <row r="6571" spans="1:6" s="315" customFormat="1" ht="15">
      <c r="A6571" s="472" t="s">
        <v>8690</v>
      </c>
      <c r="B6571" s="472" t="s">
        <v>8691</v>
      </c>
      <c r="C6571" s="472" t="s">
        <v>167</v>
      </c>
      <c r="D6571" s="473">
        <v>27.330300000000001</v>
      </c>
      <c r="E6571" s="473" t="s">
        <v>8722</v>
      </c>
      <c r="F6571" s="352"/>
    </row>
    <row r="6572" spans="1:6" s="315" customFormat="1" ht="15">
      <c r="A6572" s="472" t="s">
        <v>8692</v>
      </c>
      <c r="B6572" s="472" t="s">
        <v>8693</v>
      </c>
      <c r="C6572" s="472" t="s">
        <v>167</v>
      </c>
      <c r="D6572" s="473">
        <v>30.877500000000001</v>
      </c>
      <c r="E6572" s="473" t="s">
        <v>8722</v>
      </c>
      <c r="F6572" s="352"/>
    </row>
    <row r="6573" spans="1:6" s="315" customFormat="1" ht="15">
      <c r="A6573" s="472" t="s">
        <v>8694</v>
      </c>
      <c r="B6573" s="472" t="s">
        <v>8695</v>
      </c>
      <c r="C6573" s="472" t="s">
        <v>167</v>
      </c>
      <c r="D6573" s="473">
        <v>29.936299999999999</v>
      </c>
      <c r="E6573" s="473" t="s">
        <v>8722</v>
      </c>
      <c r="F6573" s="352"/>
    </row>
    <row r="6574" spans="1:6" s="315" customFormat="1" ht="15">
      <c r="A6574" s="472" t="s">
        <v>8696</v>
      </c>
      <c r="B6574" s="472" t="s">
        <v>8697</v>
      </c>
      <c r="C6574" s="472" t="s">
        <v>167</v>
      </c>
      <c r="D6574" s="473">
        <v>23.171900000000001</v>
      </c>
      <c r="E6574" s="473" t="s">
        <v>8722</v>
      </c>
      <c r="F6574" s="352"/>
    </row>
    <row r="6575" spans="1:6" s="315" customFormat="1" ht="15">
      <c r="A6575" s="472" t="s">
        <v>8698</v>
      </c>
      <c r="B6575" s="472" t="s">
        <v>8699</v>
      </c>
      <c r="C6575" s="472" t="s">
        <v>167</v>
      </c>
      <c r="D6575" s="473">
        <v>22.797499999999999</v>
      </c>
      <c r="E6575" s="473" t="s">
        <v>8722</v>
      </c>
      <c r="F6575" s="352"/>
    </row>
    <row r="6576" spans="1:6" s="315" customFormat="1" ht="15">
      <c r="A6576" s="472" t="s">
        <v>8700</v>
      </c>
      <c r="B6576" s="472" t="s">
        <v>8701</v>
      </c>
      <c r="C6576" s="472" t="s">
        <v>167</v>
      </c>
      <c r="D6576" s="473">
        <v>44.385399999999997</v>
      </c>
      <c r="E6576" s="473" t="s">
        <v>8722</v>
      </c>
      <c r="F6576" s="352"/>
    </row>
    <row r="6577" spans="1:6" s="315" customFormat="1" ht="15">
      <c r="A6577" s="472" t="s">
        <v>8702</v>
      </c>
      <c r="B6577" s="472" t="s">
        <v>8703</v>
      </c>
      <c r="C6577" s="472" t="s">
        <v>167</v>
      </c>
      <c r="D6577" s="473">
        <v>79.406899999999993</v>
      </c>
      <c r="E6577" s="473" t="s">
        <v>8722</v>
      </c>
      <c r="F6577" s="352"/>
    </row>
    <row r="6578" spans="1:6" s="315" customFormat="1" ht="15">
      <c r="A6578" s="472" t="s">
        <v>8704</v>
      </c>
      <c r="B6578" s="472" t="s">
        <v>8705</v>
      </c>
      <c r="C6578" s="472" t="s">
        <v>167</v>
      </c>
      <c r="D6578" s="473">
        <v>28.851199999999999</v>
      </c>
      <c r="E6578" s="473" t="s">
        <v>8722</v>
      </c>
      <c r="F6578" s="352"/>
    </row>
    <row r="6579" spans="1:6" s="315" customFormat="1" ht="15">
      <c r="A6579" s="472" t="s">
        <v>8706</v>
      </c>
      <c r="B6579" s="472" t="s">
        <v>8707</v>
      </c>
      <c r="C6579" s="472" t="s">
        <v>167</v>
      </c>
      <c r="D6579" s="473">
        <v>33.561700000000002</v>
      </c>
      <c r="E6579" s="473" t="s">
        <v>8722</v>
      </c>
      <c r="F6579" s="352"/>
    </row>
    <row r="6580" spans="1:6" s="315" customFormat="1" ht="15">
      <c r="A6580" s="472" t="s">
        <v>8708</v>
      </c>
      <c r="B6580" s="472" t="s">
        <v>8709</v>
      </c>
      <c r="C6580" s="472" t="s">
        <v>167</v>
      </c>
      <c r="D6580" s="473">
        <v>44.219700000000003</v>
      </c>
      <c r="E6580" s="473" t="s">
        <v>8722</v>
      </c>
      <c r="F6580" s="352"/>
    </row>
    <row r="6581" spans="1:6" s="315" customFormat="1" ht="15">
      <c r="A6581" s="472" t="s">
        <v>8710</v>
      </c>
      <c r="B6581" s="472" t="s">
        <v>8711</v>
      </c>
      <c r="C6581" s="472" t="s">
        <v>167</v>
      </c>
      <c r="D6581" s="473">
        <v>73.999300000000005</v>
      </c>
      <c r="E6581" s="473" t="s">
        <v>8722</v>
      </c>
      <c r="F6581" s="474"/>
    </row>
    <row r="6582" spans="1:6" s="315" customFormat="1" ht="15">
      <c r="A6582" s="472" t="s">
        <v>6786</v>
      </c>
      <c r="B6582" s="472" t="s">
        <v>6787</v>
      </c>
      <c r="C6582" s="472" t="s">
        <v>5079</v>
      </c>
      <c r="D6582" s="473">
        <v>17574.942899999998</v>
      </c>
      <c r="E6582" s="473" t="s">
        <v>8722</v>
      </c>
      <c r="F6582" s="352"/>
    </row>
    <row r="6583" spans="1:6" s="315" customFormat="1" ht="15">
      <c r="A6583" s="472" t="s">
        <v>8712</v>
      </c>
      <c r="B6583" s="472" t="s">
        <v>8713</v>
      </c>
      <c r="C6583" s="472" t="s">
        <v>5079</v>
      </c>
      <c r="D6583" s="473">
        <v>6242.6967000000004</v>
      </c>
      <c r="E6583" s="473" t="s">
        <v>8722</v>
      </c>
      <c r="F6583" s="352"/>
    </row>
    <row r="6584" spans="1:6" s="315" customFormat="1" ht="15">
      <c r="A6584" s="472" t="s">
        <v>7612</v>
      </c>
      <c r="B6584" s="472" t="s">
        <v>7789</v>
      </c>
      <c r="C6584" s="472" t="s">
        <v>5079</v>
      </c>
      <c r="D6584" s="473">
        <v>4103.5851000000002</v>
      </c>
      <c r="E6584" s="473" t="s">
        <v>8722</v>
      </c>
      <c r="F6584" s="352"/>
    </row>
    <row r="6585" spans="1:6" s="315" customFormat="1" ht="15">
      <c r="A6585" s="472" t="s">
        <v>6615</v>
      </c>
      <c r="B6585" s="472" t="s">
        <v>7794</v>
      </c>
      <c r="C6585" s="472" t="s">
        <v>5079</v>
      </c>
      <c r="D6585" s="473">
        <v>5118.4363000000003</v>
      </c>
      <c r="E6585" s="473" t="s">
        <v>8722</v>
      </c>
      <c r="F6585" s="352"/>
    </row>
    <row r="6586" spans="1:6" s="315" customFormat="1" ht="15">
      <c r="A6586" s="472" t="s">
        <v>6616</v>
      </c>
      <c r="B6586" s="472" t="s">
        <v>6655</v>
      </c>
      <c r="C6586" s="472" t="s">
        <v>5079</v>
      </c>
      <c r="D6586" s="473">
        <v>3552.3389999999999</v>
      </c>
      <c r="E6586" s="473" t="s">
        <v>8722</v>
      </c>
      <c r="F6586" s="352"/>
    </row>
    <row r="6587" spans="1:6" s="315" customFormat="1" ht="15">
      <c r="A6587" s="472" t="s">
        <v>8714</v>
      </c>
      <c r="B6587" s="472" t="s">
        <v>8715</v>
      </c>
      <c r="C6587" s="472" t="s">
        <v>5079</v>
      </c>
      <c r="D6587" s="473">
        <v>17585.944200000002</v>
      </c>
      <c r="E6587" s="473" t="s">
        <v>8722</v>
      </c>
      <c r="F6587" s="352"/>
    </row>
    <row r="6588" spans="1:6" s="315" customFormat="1" ht="15">
      <c r="A6588" s="472" t="s">
        <v>7597</v>
      </c>
      <c r="B6588" s="472" t="s">
        <v>7785</v>
      </c>
      <c r="C6588" s="472" t="s">
        <v>5079</v>
      </c>
      <c r="D6588" s="473">
        <v>3999.9641000000001</v>
      </c>
      <c r="E6588" s="473" t="s">
        <v>8722</v>
      </c>
      <c r="F6588" s="352"/>
    </row>
    <row r="6589" spans="1:6" s="315" customFormat="1" ht="15">
      <c r="A6589" s="472" t="s">
        <v>7598</v>
      </c>
      <c r="B6589" s="472" t="s">
        <v>7786</v>
      </c>
      <c r="C6589" s="472" t="s">
        <v>5079</v>
      </c>
      <c r="D6589" s="473">
        <v>4070.7091999999998</v>
      </c>
      <c r="E6589" s="473" t="s">
        <v>8722</v>
      </c>
      <c r="F6589" s="352"/>
    </row>
    <row r="6590" spans="1:6" s="315" customFormat="1" ht="15">
      <c r="A6590" s="472" t="s">
        <v>7599</v>
      </c>
      <c r="B6590" s="472" t="s">
        <v>7787</v>
      </c>
      <c r="C6590" s="472" t="s">
        <v>5079</v>
      </c>
      <c r="D6590" s="473">
        <v>2896.0264000000002</v>
      </c>
      <c r="E6590" s="473" t="s">
        <v>8722</v>
      </c>
      <c r="F6590" s="352"/>
    </row>
    <row r="6591" spans="1:6" s="315" customFormat="1" ht="15">
      <c r="A6591" s="472" t="s">
        <v>8716</v>
      </c>
      <c r="B6591" s="472" t="s">
        <v>8717</v>
      </c>
      <c r="C6591" s="472" t="s">
        <v>5079</v>
      </c>
      <c r="D6591" s="473">
        <v>30160.335500000001</v>
      </c>
      <c r="E6591" s="473" t="s">
        <v>8722</v>
      </c>
      <c r="F6591" s="352"/>
    </row>
    <row r="6592" spans="1:6" s="315" customFormat="1" ht="15">
      <c r="A6592" s="472" t="s">
        <v>8718</v>
      </c>
      <c r="B6592" s="472" t="s">
        <v>8719</v>
      </c>
      <c r="C6592" s="472" t="s">
        <v>167</v>
      </c>
      <c r="D6592" s="473">
        <v>27.762499999999999</v>
      </c>
      <c r="E6592" s="473" t="s">
        <v>8722</v>
      </c>
      <c r="F6592" s="352"/>
    </row>
    <row r="6593" spans="1:6" s="315" customFormat="1" ht="15">
      <c r="A6593" s="472" t="s">
        <v>8720</v>
      </c>
      <c r="B6593" s="472" t="s">
        <v>8721</v>
      </c>
      <c r="C6593" s="472" t="s">
        <v>5079</v>
      </c>
      <c r="D6593" s="473">
        <v>4843.1185999999998</v>
      </c>
      <c r="E6593" s="473" t="s">
        <v>8722</v>
      </c>
      <c r="F6593" s="352"/>
    </row>
    <row r="6594" spans="1:6" s="315" customFormat="1" ht="15">
      <c r="A6594" s="472" t="s">
        <v>8723</v>
      </c>
      <c r="B6594" s="472" t="s">
        <v>8724</v>
      </c>
      <c r="C6594" s="472" t="s">
        <v>178</v>
      </c>
      <c r="D6594" s="472">
        <v>13.5404</v>
      </c>
      <c r="E6594" s="472" t="s">
        <v>6305</v>
      </c>
      <c r="F6594" s="352"/>
    </row>
    <row r="6595" spans="1:6" s="315" customFormat="1" ht="15">
      <c r="A6595" s="472" t="s">
        <v>8725</v>
      </c>
      <c r="B6595" s="472" t="s">
        <v>8726</v>
      </c>
      <c r="C6595" s="472" t="s">
        <v>178</v>
      </c>
      <c r="D6595" s="472">
        <v>14.8857</v>
      </c>
      <c r="E6595" s="472" t="s">
        <v>6305</v>
      </c>
      <c r="F6595" s="352"/>
    </row>
    <row r="6596" spans="1:6" s="315" customFormat="1" ht="15">
      <c r="A6596" s="472" t="s">
        <v>8727</v>
      </c>
      <c r="B6596" s="472" t="s">
        <v>8728</v>
      </c>
      <c r="C6596" s="472" t="s">
        <v>178</v>
      </c>
      <c r="D6596" s="472">
        <v>16.188400000000001</v>
      </c>
      <c r="E6596" s="472" t="s">
        <v>6305</v>
      </c>
      <c r="F6596" s="352"/>
    </row>
    <row r="6597" spans="1:6" s="315" customFormat="1" ht="15">
      <c r="A6597" s="472" t="s">
        <v>8729</v>
      </c>
      <c r="B6597" s="472" t="s">
        <v>8730</v>
      </c>
      <c r="C6597" s="472" t="s">
        <v>178</v>
      </c>
      <c r="D6597" s="472">
        <v>16.241</v>
      </c>
      <c r="E6597" s="472" t="s">
        <v>6305</v>
      </c>
      <c r="F6597" s="352"/>
    </row>
    <row r="6598" spans="1:6" s="315" customFormat="1" ht="15">
      <c r="A6598" s="472" t="s">
        <v>8731</v>
      </c>
      <c r="B6598" s="472" t="s">
        <v>8732</v>
      </c>
      <c r="C6598" s="472" t="s">
        <v>178</v>
      </c>
      <c r="D6598" s="472">
        <v>16.3062</v>
      </c>
      <c r="E6598" s="472" t="s">
        <v>6305</v>
      </c>
      <c r="F6598" s="352"/>
    </row>
    <row r="6599" spans="1:6" s="315" customFormat="1" ht="15">
      <c r="A6599" s="472" t="s">
        <v>8733</v>
      </c>
      <c r="B6599" s="472" t="s">
        <v>8734</v>
      </c>
      <c r="C6599" s="472" t="s">
        <v>178</v>
      </c>
      <c r="D6599" s="472">
        <v>0.37880000000000003</v>
      </c>
      <c r="E6599" s="472" t="s">
        <v>6305</v>
      </c>
      <c r="F6599" s="352"/>
    </row>
    <row r="6600" spans="1:6" s="315" customFormat="1" ht="15">
      <c r="A6600" s="472" t="s">
        <v>8735</v>
      </c>
      <c r="B6600" s="472" t="s">
        <v>8736</v>
      </c>
      <c r="C6600" s="472" t="s">
        <v>178</v>
      </c>
      <c r="D6600" s="472">
        <v>11.024699999999999</v>
      </c>
      <c r="E6600" s="472" t="s">
        <v>6305</v>
      </c>
      <c r="F6600" s="352"/>
    </row>
    <row r="6601" spans="1:6" s="315" customFormat="1" ht="15">
      <c r="A6601" s="472" t="s">
        <v>8737</v>
      </c>
      <c r="B6601" s="472" t="s">
        <v>8738</v>
      </c>
      <c r="C6601" s="472" t="s">
        <v>178</v>
      </c>
      <c r="D6601" s="472">
        <v>2.1775000000000002</v>
      </c>
      <c r="E6601" s="472" t="s">
        <v>6305</v>
      </c>
      <c r="F6601" s="352"/>
    </row>
    <row r="6602" spans="1:6" s="315" customFormat="1" ht="15">
      <c r="A6602" s="472" t="s">
        <v>8739</v>
      </c>
      <c r="B6602" s="472" t="s">
        <v>6608</v>
      </c>
      <c r="C6602" s="472" t="s">
        <v>178</v>
      </c>
      <c r="D6602" s="472">
        <v>339.82830000000001</v>
      </c>
      <c r="E6602" s="472" t="s">
        <v>6305</v>
      </c>
      <c r="F6602" s="352"/>
    </row>
    <row r="6603" spans="1:6" s="315" customFormat="1" ht="15">
      <c r="A6603" s="472" t="s">
        <v>8740</v>
      </c>
      <c r="B6603" s="472" t="s">
        <v>8741</v>
      </c>
      <c r="C6603" s="472" t="s">
        <v>178</v>
      </c>
      <c r="D6603" s="472">
        <v>0.94279999999999997</v>
      </c>
      <c r="E6603" s="472" t="s">
        <v>6305</v>
      </c>
      <c r="F6603" s="352"/>
    </row>
    <row r="6604" spans="1:6" s="315" customFormat="1" ht="15">
      <c r="A6604" s="472" t="s">
        <v>8742</v>
      </c>
      <c r="B6604" s="472" t="s">
        <v>8743</v>
      </c>
      <c r="C6604" s="472" t="s">
        <v>178</v>
      </c>
      <c r="D6604" s="472">
        <v>0.31180000000000002</v>
      </c>
      <c r="E6604" s="472" t="s">
        <v>6305</v>
      </c>
      <c r="F6604" s="352"/>
    </row>
    <row r="6605" spans="1:6" s="315" customFormat="1" ht="15">
      <c r="A6605" s="472" t="s">
        <v>8744</v>
      </c>
      <c r="B6605" s="472" t="s">
        <v>8745</v>
      </c>
      <c r="C6605" s="472" t="s">
        <v>178</v>
      </c>
      <c r="D6605" s="472">
        <v>927.31150000000002</v>
      </c>
      <c r="E6605" s="472" t="s">
        <v>6305</v>
      </c>
      <c r="F6605" s="352"/>
    </row>
    <row r="6606" spans="1:6" s="315" customFormat="1" ht="15">
      <c r="A6606" s="472" t="s">
        <v>8746</v>
      </c>
      <c r="B6606" s="472" t="s">
        <v>8747</v>
      </c>
      <c r="C6606" s="472" t="s">
        <v>178</v>
      </c>
      <c r="D6606" s="472">
        <v>255.94069999999999</v>
      </c>
      <c r="E6606" s="472" t="s">
        <v>6305</v>
      </c>
      <c r="F6606" s="352"/>
    </row>
    <row r="6607" spans="1:6" s="315" customFormat="1" ht="15">
      <c r="A6607" s="472" t="s">
        <v>8748</v>
      </c>
      <c r="B6607" s="472" t="s">
        <v>8749</v>
      </c>
      <c r="C6607" s="472" t="s">
        <v>178</v>
      </c>
      <c r="D6607" s="472">
        <v>22.917899999999999</v>
      </c>
      <c r="E6607" s="472" t="s">
        <v>6305</v>
      </c>
      <c r="F6607" s="352"/>
    </row>
    <row r="6608" spans="1:6" s="315" customFormat="1" ht="15">
      <c r="A6608" s="472" t="s">
        <v>8750</v>
      </c>
      <c r="B6608" s="472" t="s">
        <v>8751</v>
      </c>
      <c r="C6608" s="472" t="s">
        <v>178</v>
      </c>
      <c r="D6608" s="472">
        <v>857.02549999999997</v>
      </c>
      <c r="E6608" s="472" t="s">
        <v>6305</v>
      </c>
      <c r="F6608" s="352"/>
    </row>
    <row r="6609" spans="1:6" s="315" customFormat="1" ht="15">
      <c r="A6609" s="472" t="s">
        <v>8752</v>
      </c>
      <c r="B6609" s="472" t="s">
        <v>8753</v>
      </c>
      <c r="C6609" s="472" t="s">
        <v>178</v>
      </c>
      <c r="D6609" s="472">
        <v>118.5125</v>
      </c>
      <c r="E6609" s="472" t="s">
        <v>6305</v>
      </c>
      <c r="F6609" s="352"/>
    </row>
    <row r="6610" spans="1:6" s="315" customFormat="1" ht="15">
      <c r="A6610" s="472" t="s">
        <v>8754</v>
      </c>
      <c r="B6610" s="472" t="s">
        <v>8755</v>
      </c>
      <c r="C6610" s="472" t="s">
        <v>178</v>
      </c>
      <c r="D6610" s="472">
        <v>43.197600000000001</v>
      </c>
      <c r="E6610" s="472" t="s">
        <v>6305</v>
      </c>
      <c r="F6610" s="352"/>
    </row>
    <row r="6611" spans="1:6" s="315" customFormat="1" ht="15">
      <c r="A6611" s="472" t="s">
        <v>8756</v>
      </c>
      <c r="B6611" s="472" t="s">
        <v>8757</v>
      </c>
      <c r="C6611" s="472" t="s">
        <v>178</v>
      </c>
      <c r="D6611" s="472">
        <v>828.31939999999997</v>
      </c>
      <c r="E6611" s="472" t="s">
        <v>6305</v>
      </c>
      <c r="F6611" s="352"/>
    </row>
    <row r="6612" spans="1:6" s="315" customFormat="1" ht="15">
      <c r="A6612" s="472" t="s">
        <v>8758</v>
      </c>
      <c r="B6612" s="472" t="s">
        <v>8759</v>
      </c>
      <c r="C6612" s="472" t="s">
        <v>178</v>
      </c>
      <c r="D6612" s="472">
        <v>258.95460000000003</v>
      </c>
      <c r="E6612" s="472" t="s">
        <v>6305</v>
      </c>
      <c r="F6612" s="352"/>
    </row>
    <row r="6613" spans="1:6" s="315" customFormat="1" ht="15">
      <c r="A6613" s="472" t="s">
        <v>8760</v>
      </c>
      <c r="B6613" s="472" t="s">
        <v>8761</v>
      </c>
      <c r="C6613" s="472" t="s">
        <v>178</v>
      </c>
      <c r="D6613" s="472">
        <v>58.103999999999999</v>
      </c>
      <c r="E6613" s="472" t="s">
        <v>6305</v>
      </c>
      <c r="F6613" s="352"/>
    </row>
    <row r="6614" spans="1:6" s="315" customFormat="1" ht="15">
      <c r="A6614" s="472" t="s">
        <v>8762</v>
      </c>
      <c r="B6614" s="472" t="s">
        <v>8763</v>
      </c>
      <c r="C6614" s="472" t="s">
        <v>178</v>
      </c>
      <c r="D6614" s="472">
        <v>309.75900000000001</v>
      </c>
      <c r="E6614" s="472" t="s">
        <v>6305</v>
      </c>
      <c r="F6614" s="352"/>
    </row>
    <row r="6615" spans="1:6" s="315" customFormat="1" ht="15">
      <c r="A6615" s="472" t="s">
        <v>8764</v>
      </c>
      <c r="B6615" s="472" t="s">
        <v>8765</v>
      </c>
      <c r="C6615" s="472" t="s">
        <v>178</v>
      </c>
      <c r="D6615" s="472">
        <v>19.482500000000002</v>
      </c>
      <c r="E6615" s="472" t="s">
        <v>6305</v>
      </c>
      <c r="F6615" s="352"/>
    </row>
    <row r="6616" spans="1:6" s="315" customFormat="1" ht="15">
      <c r="A6616" s="472" t="s">
        <v>8766</v>
      </c>
      <c r="B6616" s="472" t="s">
        <v>8767</v>
      </c>
      <c r="C6616" s="472" t="s">
        <v>178</v>
      </c>
      <c r="D6616" s="472">
        <v>44.844000000000001</v>
      </c>
      <c r="E6616" s="472" t="s">
        <v>6305</v>
      </c>
      <c r="F6616" s="352"/>
    </row>
    <row r="6617" spans="1:6" s="315" customFormat="1" ht="15">
      <c r="A6617" s="472" t="s">
        <v>8768</v>
      </c>
      <c r="B6617" s="472" t="s">
        <v>8769</v>
      </c>
      <c r="C6617" s="472" t="s">
        <v>178</v>
      </c>
      <c r="D6617" s="472">
        <v>2.8788</v>
      </c>
      <c r="E6617" s="472" t="s">
        <v>6305</v>
      </c>
      <c r="F6617" s="352"/>
    </row>
    <row r="6618" spans="1:6" s="315" customFormat="1" ht="15">
      <c r="A6618" s="472" t="s">
        <v>8770</v>
      </c>
      <c r="B6618" s="472" t="s">
        <v>8771</v>
      </c>
      <c r="C6618" s="472" t="s">
        <v>178</v>
      </c>
      <c r="D6618" s="472">
        <v>27.014099999999999</v>
      </c>
      <c r="E6618" s="472" t="s">
        <v>6305</v>
      </c>
      <c r="F6618" s="352"/>
    </row>
    <row r="6619" spans="1:6" s="315" customFormat="1" ht="15">
      <c r="A6619" s="472" t="s">
        <v>8772</v>
      </c>
      <c r="B6619" s="472" t="s">
        <v>8773</v>
      </c>
      <c r="C6619" s="472" t="s">
        <v>178</v>
      </c>
      <c r="D6619" s="472">
        <v>47.536799999999999</v>
      </c>
      <c r="E6619" s="472" t="s">
        <v>6305</v>
      </c>
      <c r="F6619" s="352"/>
    </row>
    <row r="6620" spans="1:6" s="315" customFormat="1" ht="15">
      <c r="A6620" s="472" t="s">
        <v>8774</v>
      </c>
      <c r="B6620" s="472" t="s">
        <v>7767</v>
      </c>
      <c r="C6620" s="472" t="s">
        <v>178</v>
      </c>
      <c r="D6620" s="472">
        <v>1.1753</v>
      </c>
      <c r="E6620" s="472" t="s">
        <v>6305</v>
      </c>
      <c r="F6620" s="352"/>
    </row>
    <row r="6621" spans="1:6" s="315" customFormat="1" ht="15">
      <c r="A6621" s="472" t="s">
        <v>8775</v>
      </c>
      <c r="B6621" s="472" t="s">
        <v>8776</v>
      </c>
      <c r="C6621" s="472" t="s">
        <v>178</v>
      </c>
      <c r="D6621" s="472">
        <v>42.007199999999997</v>
      </c>
      <c r="E6621" s="472" t="s">
        <v>6305</v>
      </c>
      <c r="F6621" s="352"/>
    </row>
    <row r="6622" spans="1:6" s="315" customFormat="1" ht="15">
      <c r="A6622" s="472" t="s">
        <v>8777</v>
      </c>
      <c r="B6622" s="472" t="s">
        <v>7772</v>
      </c>
      <c r="C6622" s="472" t="s">
        <v>178</v>
      </c>
      <c r="D6622" s="472">
        <v>42.306100000000001</v>
      </c>
      <c r="E6622" s="472" t="s">
        <v>6305</v>
      </c>
      <c r="F6622" s="352"/>
    </row>
    <row r="6623" spans="1:6" s="315" customFormat="1" ht="15">
      <c r="A6623" s="472" t="s">
        <v>8778</v>
      </c>
      <c r="B6623" s="472" t="s">
        <v>7770</v>
      </c>
      <c r="C6623" s="472" t="s">
        <v>178</v>
      </c>
      <c r="D6623" s="472">
        <v>45.468699999999998</v>
      </c>
      <c r="E6623" s="472" t="s">
        <v>6305</v>
      </c>
      <c r="F6623" s="352"/>
    </row>
    <row r="6624" spans="1:6" s="315" customFormat="1" ht="15">
      <c r="A6624" s="472" t="s">
        <v>8779</v>
      </c>
      <c r="B6624" s="472" t="s">
        <v>8780</v>
      </c>
      <c r="C6624" s="472" t="s">
        <v>178</v>
      </c>
      <c r="D6624" s="472">
        <v>50.74</v>
      </c>
      <c r="E6624" s="472" t="s">
        <v>6305</v>
      </c>
      <c r="F6624" s="352"/>
    </row>
    <row r="6625" spans="1:6" s="315" customFormat="1" ht="15">
      <c r="A6625" s="472" t="s">
        <v>8781</v>
      </c>
      <c r="B6625" s="472" t="s">
        <v>8782</v>
      </c>
      <c r="C6625" s="472" t="s">
        <v>178</v>
      </c>
      <c r="D6625" s="472">
        <v>56.011299999999999</v>
      </c>
      <c r="E6625" s="472" t="s">
        <v>6305</v>
      </c>
      <c r="F6625" s="352"/>
    </row>
    <row r="6626" spans="1:6" s="315" customFormat="1" ht="15">
      <c r="A6626" s="472" t="s">
        <v>8783</v>
      </c>
      <c r="B6626" s="472" t="s">
        <v>8784</v>
      </c>
      <c r="C6626" s="472" t="s">
        <v>178</v>
      </c>
      <c r="D6626" s="472">
        <v>185.06440000000001</v>
      </c>
      <c r="E6626" s="472" t="s">
        <v>6305</v>
      </c>
      <c r="F6626" s="352"/>
    </row>
    <row r="6627" spans="1:6" s="315" customFormat="1" ht="15">
      <c r="A6627" s="472" t="s">
        <v>8785</v>
      </c>
      <c r="B6627" s="472" t="s">
        <v>7768</v>
      </c>
      <c r="C6627" s="472" t="s">
        <v>178</v>
      </c>
      <c r="D6627" s="472">
        <v>36.422800000000002</v>
      </c>
      <c r="E6627" s="472" t="s">
        <v>6305</v>
      </c>
      <c r="F6627" s="352"/>
    </row>
    <row r="6628" spans="1:6" s="315" customFormat="1" ht="15">
      <c r="A6628" s="472" t="s">
        <v>8786</v>
      </c>
      <c r="B6628" s="472" t="s">
        <v>7764</v>
      </c>
      <c r="C6628" s="472" t="s">
        <v>178</v>
      </c>
      <c r="D6628" s="472">
        <v>46.067700000000002</v>
      </c>
      <c r="E6628" s="472" t="s">
        <v>6305</v>
      </c>
      <c r="F6628" s="352"/>
    </row>
    <row r="6629" spans="1:6" s="315" customFormat="1" ht="15">
      <c r="A6629" s="472" t="s">
        <v>8787</v>
      </c>
      <c r="B6629" s="472" t="s">
        <v>8788</v>
      </c>
      <c r="C6629" s="472" t="s">
        <v>178</v>
      </c>
      <c r="D6629" s="472">
        <v>5.0700000000000002E-2</v>
      </c>
      <c r="E6629" s="472" t="s">
        <v>6305</v>
      </c>
      <c r="F6629" s="352"/>
    </row>
    <row r="6630" spans="1:6" s="315" customFormat="1" ht="15">
      <c r="A6630" s="472" t="s">
        <v>8789</v>
      </c>
      <c r="B6630" s="472" t="s">
        <v>8790</v>
      </c>
      <c r="C6630" s="472" t="s">
        <v>178</v>
      </c>
      <c r="D6630" s="472">
        <v>170.40809999999999</v>
      </c>
      <c r="E6630" s="472" t="s">
        <v>6305</v>
      </c>
      <c r="F6630" s="352"/>
    </row>
    <row r="6631" spans="1:6" s="315" customFormat="1" ht="15">
      <c r="A6631" s="472" t="s">
        <v>8791</v>
      </c>
      <c r="B6631" s="472" t="s">
        <v>8792</v>
      </c>
      <c r="C6631" s="472" t="s">
        <v>178</v>
      </c>
      <c r="D6631" s="472">
        <v>74.487099999999998</v>
      </c>
      <c r="E6631" s="472" t="s">
        <v>6305</v>
      </c>
      <c r="F6631" s="352"/>
    </row>
    <row r="6632" spans="1:6" s="315" customFormat="1" ht="15">
      <c r="A6632" s="472" t="s">
        <v>8793</v>
      </c>
      <c r="B6632" s="472" t="s">
        <v>8794</v>
      </c>
      <c r="C6632" s="472" t="s">
        <v>178</v>
      </c>
      <c r="D6632" s="472">
        <v>294.89620000000002</v>
      </c>
      <c r="E6632" s="472" t="s">
        <v>6305</v>
      </c>
      <c r="F6632" s="352"/>
    </row>
    <row r="6633" spans="1:6" s="315" customFormat="1" ht="15">
      <c r="A6633" s="472" t="s">
        <v>8795</v>
      </c>
      <c r="B6633" s="472" t="s">
        <v>8796</v>
      </c>
      <c r="C6633" s="472" t="s">
        <v>178</v>
      </c>
      <c r="D6633" s="472">
        <v>47.555199999999999</v>
      </c>
      <c r="E6633" s="472" t="s">
        <v>6305</v>
      </c>
      <c r="F6633" s="352"/>
    </row>
    <row r="6634" spans="1:6" s="315" customFormat="1" ht="15">
      <c r="A6634" s="472" t="s">
        <v>8797</v>
      </c>
      <c r="B6634" s="472" t="s">
        <v>8798</v>
      </c>
      <c r="C6634" s="472" t="s">
        <v>178</v>
      </c>
      <c r="D6634" s="472">
        <v>48.952300000000001</v>
      </c>
      <c r="E6634" s="472" t="s">
        <v>6305</v>
      </c>
      <c r="F6634" s="352"/>
    </row>
    <row r="6635" spans="1:6" s="315" customFormat="1" ht="15">
      <c r="A6635" s="472" t="s">
        <v>8799</v>
      </c>
      <c r="B6635" s="472" t="s">
        <v>8800</v>
      </c>
      <c r="C6635" s="472" t="s">
        <v>178</v>
      </c>
      <c r="D6635" s="472">
        <v>50.570700000000002</v>
      </c>
      <c r="E6635" s="472" t="s">
        <v>6305</v>
      </c>
      <c r="F6635" s="352"/>
    </row>
    <row r="6636" spans="1:6" s="315" customFormat="1" ht="15">
      <c r="A6636" s="472" t="s">
        <v>8801</v>
      </c>
      <c r="B6636" s="472" t="s">
        <v>8802</v>
      </c>
      <c r="C6636" s="472" t="s">
        <v>178</v>
      </c>
      <c r="D6636" s="472">
        <v>52.5197</v>
      </c>
      <c r="E6636" s="472" t="s">
        <v>6305</v>
      </c>
      <c r="F6636" s="352"/>
    </row>
    <row r="6637" spans="1:6" s="315" customFormat="1" ht="15">
      <c r="A6637" s="472" t="s">
        <v>8803</v>
      </c>
      <c r="B6637" s="472" t="s">
        <v>7776</v>
      </c>
      <c r="C6637" s="472" t="s">
        <v>178</v>
      </c>
      <c r="D6637" s="472">
        <v>137.09049999999999</v>
      </c>
      <c r="E6637" s="472" t="s">
        <v>6305</v>
      </c>
      <c r="F6637" s="352"/>
    </row>
    <row r="6638" spans="1:6" s="315" customFormat="1" ht="15">
      <c r="A6638" s="472" t="s">
        <v>8804</v>
      </c>
      <c r="B6638" s="472" t="s">
        <v>8805</v>
      </c>
      <c r="C6638" s="472" t="s">
        <v>178</v>
      </c>
      <c r="D6638" s="472">
        <v>148.07040000000001</v>
      </c>
      <c r="E6638" s="472" t="s">
        <v>6305</v>
      </c>
      <c r="F6638" s="352"/>
    </row>
    <row r="6639" spans="1:6" s="315" customFormat="1" ht="15">
      <c r="A6639" s="472" t="s">
        <v>8806</v>
      </c>
      <c r="B6639" s="472" t="s">
        <v>8807</v>
      </c>
      <c r="C6639" s="472" t="s">
        <v>178</v>
      </c>
      <c r="D6639" s="472">
        <v>119.7505</v>
      </c>
      <c r="E6639" s="472" t="s">
        <v>6305</v>
      </c>
      <c r="F6639" s="352"/>
    </row>
    <row r="6640" spans="1:6" s="315" customFormat="1" ht="15">
      <c r="A6640" s="472" t="s">
        <v>8808</v>
      </c>
      <c r="B6640" s="472" t="s">
        <v>7803</v>
      </c>
      <c r="C6640" s="472" t="s">
        <v>178</v>
      </c>
      <c r="D6640" s="472">
        <v>138.23480000000001</v>
      </c>
      <c r="E6640" s="472" t="s">
        <v>6305</v>
      </c>
      <c r="F6640" s="352"/>
    </row>
    <row r="6641" spans="1:6" s="315" customFormat="1" ht="15">
      <c r="A6641" s="472" t="s">
        <v>8809</v>
      </c>
      <c r="B6641" s="472" t="s">
        <v>8810</v>
      </c>
      <c r="C6641" s="472" t="s">
        <v>178</v>
      </c>
      <c r="D6641" s="472">
        <v>46.473599999999998</v>
      </c>
      <c r="E6641" s="472" t="s">
        <v>6305</v>
      </c>
      <c r="F6641" s="352"/>
    </row>
    <row r="6642" spans="1:6" s="315" customFormat="1" ht="15">
      <c r="A6642" s="472" t="s">
        <v>8811</v>
      </c>
      <c r="B6642" s="472" t="s">
        <v>8812</v>
      </c>
      <c r="C6642" s="472" t="s">
        <v>178</v>
      </c>
      <c r="D6642" s="472">
        <v>144.64359999999999</v>
      </c>
      <c r="E6642" s="472" t="s">
        <v>6305</v>
      </c>
      <c r="F6642" s="352"/>
    </row>
    <row r="6643" spans="1:6" s="315" customFormat="1" ht="15">
      <c r="A6643" s="472" t="s">
        <v>8813</v>
      </c>
      <c r="B6643" s="472" t="s">
        <v>7740</v>
      </c>
      <c r="C6643" s="472" t="s">
        <v>178</v>
      </c>
      <c r="D6643" s="472">
        <v>48.603499999999997</v>
      </c>
      <c r="E6643" s="472" t="s">
        <v>6305</v>
      </c>
      <c r="F6643" s="352"/>
    </row>
    <row r="6644" spans="1:6" s="315" customFormat="1" ht="15">
      <c r="A6644" s="472" t="s">
        <v>8814</v>
      </c>
      <c r="B6644" s="472" t="s">
        <v>8815</v>
      </c>
      <c r="C6644" s="472" t="s">
        <v>178</v>
      </c>
      <c r="D6644" s="472">
        <v>102.7662</v>
      </c>
      <c r="E6644" s="472" t="s">
        <v>6305</v>
      </c>
      <c r="F6644" s="352"/>
    </row>
    <row r="6645" spans="1:6" s="315" customFormat="1" ht="15">
      <c r="A6645" s="472" t="s">
        <v>8816</v>
      </c>
      <c r="B6645" s="472" t="s">
        <v>8817</v>
      </c>
      <c r="C6645" s="472" t="s">
        <v>178</v>
      </c>
      <c r="D6645" s="472">
        <v>26.3506</v>
      </c>
      <c r="E6645" s="472" t="s">
        <v>6305</v>
      </c>
      <c r="F6645" s="352"/>
    </row>
    <row r="6646" spans="1:6" s="315" customFormat="1" ht="15">
      <c r="A6646" s="472" t="s">
        <v>8818</v>
      </c>
      <c r="B6646" s="472" t="s">
        <v>7741</v>
      </c>
      <c r="C6646" s="472" t="s">
        <v>178</v>
      </c>
      <c r="D6646" s="472">
        <v>32.6526</v>
      </c>
      <c r="E6646" s="472" t="s">
        <v>6305</v>
      </c>
      <c r="F6646" s="352"/>
    </row>
    <row r="6647" spans="1:6" s="315" customFormat="1" ht="15">
      <c r="A6647" s="472" t="s">
        <v>8819</v>
      </c>
      <c r="B6647" s="472" t="s">
        <v>8820</v>
      </c>
      <c r="C6647" s="472" t="s">
        <v>178</v>
      </c>
      <c r="D6647" s="472">
        <v>102.7662</v>
      </c>
      <c r="E6647" s="472" t="s">
        <v>6305</v>
      </c>
      <c r="F6647" s="352"/>
    </row>
    <row r="6648" spans="1:6" s="315" customFormat="1" ht="15">
      <c r="A6648" s="472" t="s">
        <v>8821</v>
      </c>
      <c r="B6648" s="472" t="s">
        <v>8822</v>
      </c>
      <c r="C6648" s="472" t="s">
        <v>178</v>
      </c>
      <c r="D6648" s="472">
        <v>47.3904</v>
      </c>
      <c r="E6648" s="472" t="s">
        <v>6305</v>
      </c>
      <c r="F6648" s="352"/>
    </row>
    <row r="6649" spans="1:6" s="315" customFormat="1" ht="15">
      <c r="A6649" s="472" t="s">
        <v>8823</v>
      </c>
      <c r="B6649" s="472" t="s">
        <v>8824</v>
      </c>
      <c r="C6649" s="472" t="s">
        <v>178</v>
      </c>
      <c r="D6649" s="472">
        <v>0.13250000000000001</v>
      </c>
      <c r="E6649" s="472" t="s">
        <v>6305</v>
      </c>
      <c r="F6649" s="352"/>
    </row>
    <row r="6650" spans="1:6" s="315" customFormat="1" ht="15">
      <c r="A6650" s="472" t="s">
        <v>8825</v>
      </c>
      <c r="B6650" s="472" t="s">
        <v>8826</v>
      </c>
      <c r="C6650" s="472" t="s">
        <v>178</v>
      </c>
      <c r="D6650" s="472">
        <v>0.73480000000000001</v>
      </c>
      <c r="E6650" s="472" t="s">
        <v>6305</v>
      </c>
      <c r="F6650" s="352"/>
    </row>
    <row r="6651" spans="1:6" s="315" customFormat="1" ht="15">
      <c r="A6651" s="472" t="s">
        <v>8827</v>
      </c>
      <c r="B6651" s="472" t="s">
        <v>8828</v>
      </c>
      <c r="C6651" s="472" t="s">
        <v>178</v>
      </c>
      <c r="D6651" s="472">
        <v>1491.6556</v>
      </c>
      <c r="E6651" s="472" t="s">
        <v>6305</v>
      </c>
      <c r="F6651" s="352"/>
    </row>
    <row r="6652" spans="1:6" s="315" customFormat="1" ht="15">
      <c r="A6652" s="472" t="s">
        <v>8829</v>
      </c>
      <c r="B6652" s="472" t="s">
        <v>8830</v>
      </c>
      <c r="C6652" s="472" t="s">
        <v>178</v>
      </c>
      <c r="D6652" s="472">
        <v>0.78420000000000001</v>
      </c>
      <c r="E6652" s="472" t="s">
        <v>6305</v>
      </c>
      <c r="F6652" s="352"/>
    </row>
    <row r="6653" spans="1:6" s="315" customFormat="1" ht="15">
      <c r="A6653" s="472" t="s">
        <v>8831</v>
      </c>
      <c r="B6653" s="472" t="s">
        <v>8832</v>
      </c>
      <c r="C6653" s="472" t="s">
        <v>178</v>
      </c>
      <c r="D6653" s="472">
        <v>1275.6501000000001</v>
      </c>
      <c r="E6653" s="472" t="s">
        <v>6305</v>
      </c>
      <c r="F6653" s="352"/>
    </row>
    <row r="6654" spans="1:6" s="315" customFormat="1" ht="15">
      <c r="A6654" s="472" t="s">
        <v>8833</v>
      </c>
      <c r="B6654" s="472" t="s">
        <v>7753</v>
      </c>
      <c r="C6654" s="472" t="s">
        <v>178</v>
      </c>
      <c r="D6654" s="472">
        <v>9.6905000000000001</v>
      </c>
      <c r="E6654" s="472" t="s">
        <v>6305</v>
      </c>
      <c r="F6654" s="352"/>
    </row>
    <row r="6655" spans="1:6" s="315" customFormat="1" ht="15">
      <c r="A6655" s="472" t="s">
        <v>8834</v>
      </c>
      <c r="B6655" s="472" t="s">
        <v>26763</v>
      </c>
      <c r="C6655" s="472" t="s">
        <v>178</v>
      </c>
      <c r="D6655" s="472">
        <v>182.1003</v>
      </c>
      <c r="E6655" s="472" t="s">
        <v>6305</v>
      </c>
      <c r="F6655" s="352"/>
    </row>
    <row r="6656" spans="1:6" s="315" customFormat="1" ht="15">
      <c r="A6656" s="472" t="s">
        <v>8835</v>
      </c>
      <c r="B6656" s="472" t="s">
        <v>8836</v>
      </c>
      <c r="C6656" s="472" t="s">
        <v>178</v>
      </c>
      <c r="D6656" s="472">
        <v>377.72129999999999</v>
      </c>
      <c r="E6656" s="472" t="s">
        <v>6305</v>
      </c>
      <c r="F6656" s="352"/>
    </row>
    <row r="6657" spans="1:6" s="315" customFormat="1" ht="15">
      <c r="A6657" s="472" t="s">
        <v>8837</v>
      </c>
      <c r="B6657" s="472" t="s">
        <v>8838</v>
      </c>
      <c r="C6657" s="472" t="s">
        <v>178</v>
      </c>
      <c r="D6657" s="472">
        <v>7.1646000000000001</v>
      </c>
      <c r="E6657" s="472" t="s">
        <v>6305</v>
      </c>
      <c r="F6657" s="352"/>
    </row>
    <row r="6658" spans="1:6" s="315" customFormat="1" ht="15">
      <c r="A6658" s="472" t="s">
        <v>8839</v>
      </c>
      <c r="B6658" s="472" t="s">
        <v>8840</v>
      </c>
      <c r="C6658" s="472" t="s">
        <v>178</v>
      </c>
      <c r="D6658" s="472">
        <v>31.281500000000001</v>
      </c>
      <c r="E6658" s="472" t="s">
        <v>6305</v>
      </c>
      <c r="F6658" s="352"/>
    </row>
    <row r="6659" spans="1:6" s="315" customFormat="1" ht="15">
      <c r="A6659" s="472" t="s">
        <v>8841</v>
      </c>
      <c r="B6659" s="472" t="s">
        <v>8842</v>
      </c>
      <c r="C6659" s="472" t="s">
        <v>178</v>
      </c>
      <c r="D6659" s="472">
        <v>0.3054</v>
      </c>
      <c r="E6659" s="472" t="s">
        <v>6305</v>
      </c>
      <c r="F6659" s="352"/>
    </row>
    <row r="6660" spans="1:6" s="315" customFormat="1" ht="15">
      <c r="A6660" s="472" t="s">
        <v>8843</v>
      </c>
      <c r="B6660" s="472" t="s">
        <v>8844</v>
      </c>
      <c r="C6660" s="472" t="s">
        <v>178</v>
      </c>
      <c r="D6660" s="472">
        <v>514.14449999999999</v>
      </c>
      <c r="E6660" s="472" t="s">
        <v>6305</v>
      </c>
      <c r="F6660" s="352"/>
    </row>
    <row r="6661" spans="1:6" s="315" customFormat="1" ht="15">
      <c r="A6661" s="472" t="s">
        <v>8845</v>
      </c>
      <c r="B6661" s="472" t="s">
        <v>8846</v>
      </c>
      <c r="C6661" s="472" t="s">
        <v>178</v>
      </c>
      <c r="D6661" s="472">
        <v>108.6497</v>
      </c>
      <c r="E6661" s="472" t="s">
        <v>6305</v>
      </c>
      <c r="F6661" s="352"/>
    </row>
    <row r="6662" spans="1:6" s="315" customFormat="1" ht="15">
      <c r="A6662" s="472" t="s">
        <v>8847</v>
      </c>
      <c r="B6662" s="472" t="s">
        <v>8848</v>
      </c>
      <c r="C6662" s="472" t="s">
        <v>178</v>
      </c>
      <c r="D6662" s="472">
        <v>17.2941</v>
      </c>
      <c r="E6662" s="472" t="s">
        <v>6305</v>
      </c>
      <c r="F6662" s="352"/>
    </row>
    <row r="6663" spans="1:6" s="315" customFormat="1" ht="15">
      <c r="A6663" s="472" t="s">
        <v>8849</v>
      </c>
      <c r="B6663" s="472" t="s">
        <v>8850</v>
      </c>
      <c r="C6663" s="472" t="s">
        <v>178</v>
      </c>
      <c r="D6663" s="472">
        <v>6.3799999999999996E-2</v>
      </c>
      <c r="E6663" s="472" t="s">
        <v>6305</v>
      </c>
      <c r="F6663" s="352"/>
    </row>
    <row r="6664" spans="1:6" s="315" customFormat="1" ht="15">
      <c r="A6664" s="472" t="s">
        <v>8851</v>
      </c>
      <c r="B6664" s="472" t="s">
        <v>8852</v>
      </c>
      <c r="C6664" s="472" t="s">
        <v>178</v>
      </c>
      <c r="D6664" s="472">
        <v>31.689</v>
      </c>
      <c r="E6664" s="472" t="s">
        <v>6305</v>
      </c>
      <c r="F6664" s="352"/>
    </row>
    <row r="6665" spans="1:6" s="315" customFormat="1" ht="15">
      <c r="A6665" s="472" t="s">
        <v>8853</v>
      </c>
      <c r="B6665" s="472" t="s">
        <v>8854</v>
      </c>
      <c r="C6665" s="472" t="s">
        <v>178</v>
      </c>
      <c r="D6665" s="472">
        <v>789.98749999999995</v>
      </c>
      <c r="E6665" s="472" t="s">
        <v>6305</v>
      </c>
      <c r="F6665" s="352"/>
    </row>
    <row r="6666" spans="1:6" s="315" customFormat="1" ht="15">
      <c r="A6666" s="472" t="s">
        <v>8855</v>
      </c>
      <c r="B6666" s="472" t="s">
        <v>8856</v>
      </c>
      <c r="C6666" s="472" t="s">
        <v>178</v>
      </c>
      <c r="D6666" s="472">
        <v>140.0806</v>
      </c>
      <c r="E6666" s="472" t="s">
        <v>6305</v>
      </c>
      <c r="F6666" s="352"/>
    </row>
    <row r="6667" spans="1:6" s="315" customFormat="1" ht="15">
      <c r="A6667" s="472" t="s">
        <v>8857</v>
      </c>
      <c r="B6667" s="472" t="s">
        <v>8858</v>
      </c>
      <c r="C6667" s="472" t="s">
        <v>178</v>
      </c>
      <c r="D6667" s="472">
        <v>8.5637000000000008</v>
      </c>
      <c r="E6667" s="472" t="s">
        <v>6305</v>
      </c>
      <c r="F6667" s="352"/>
    </row>
    <row r="6668" spans="1:6" s="315" customFormat="1" ht="15">
      <c r="A6668" s="472" t="s">
        <v>8859</v>
      </c>
      <c r="B6668" s="472" t="s">
        <v>8860</v>
      </c>
      <c r="C6668" s="472" t="s">
        <v>178</v>
      </c>
      <c r="D6668" s="472">
        <v>146.16309999999999</v>
      </c>
      <c r="E6668" s="472" t="s">
        <v>6305</v>
      </c>
      <c r="F6668" s="352"/>
    </row>
    <row r="6669" spans="1:6" s="315" customFormat="1" ht="15">
      <c r="A6669" s="472" t="s">
        <v>8861</v>
      </c>
      <c r="B6669" s="472" t="s">
        <v>8862</v>
      </c>
      <c r="C6669" s="472" t="s">
        <v>178</v>
      </c>
      <c r="D6669" s="472">
        <v>28.068100000000001</v>
      </c>
      <c r="E6669" s="472" t="s">
        <v>6305</v>
      </c>
      <c r="F6669" s="352"/>
    </row>
    <row r="6670" spans="1:6" s="315" customFormat="1" ht="15">
      <c r="A6670" s="472" t="s">
        <v>8863</v>
      </c>
      <c r="B6670" s="472" t="s">
        <v>8864</v>
      </c>
      <c r="C6670" s="472" t="s">
        <v>178</v>
      </c>
      <c r="D6670" s="472">
        <v>11.6576</v>
      </c>
      <c r="E6670" s="472" t="s">
        <v>6305</v>
      </c>
      <c r="F6670" s="352"/>
    </row>
    <row r="6671" spans="1:6" s="315" customFormat="1" ht="15">
      <c r="A6671" s="472" t="s">
        <v>8865</v>
      </c>
      <c r="B6671" s="472" t="s">
        <v>8866</v>
      </c>
      <c r="C6671" s="472" t="s">
        <v>178</v>
      </c>
      <c r="D6671" s="472">
        <v>11.8658</v>
      </c>
      <c r="E6671" s="472" t="s">
        <v>6305</v>
      </c>
      <c r="F6671" s="352"/>
    </row>
    <row r="6672" spans="1:6" s="315" customFormat="1" ht="15">
      <c r="A6672" s="472" t="s">
        <v>8867</v>
      </c>
      <c r="B6672" s="472" t="s">
        <v>8868</v>
      </c>
      <c r="C6672" s="472" t="s">
        <v>178</v>
      </c>
      <c r="D6672" s="472">
        <v>11.033099999999999</v>
      </c>
      <c r="E6672" s="472" t="s">
        <v>6305</v>
      </c>
      <c r="F6672" s="352"/>
    </row>
    <row r="6673" spans="1:6" s="315" customFormat="1" ht="15">
      <c r="A6673" s="472" t="s">
        <v>8869</v>
      </c>
      <c r="B6673" s="472" t="s">
        <v>8870</v>
      </c>
      <c r="C6673" s="472" t="s">
        <v>178</v>
      </c>
      <c r="D6673" s="472">
        <v>116.91070000000001</v>
      </c>
      <c r="E6673" s="472" t="s">
        <v>6305</v>
      </c>
      <c r="F6673" s="352"/>
    </row>
    <row r="6674" spans="1:6" s="315" customFormat="1" ht="15">
      <c r="A6674" s="472" t="s">
        <v>8871</v>
      </c>
      <c r="B6674" s="472" t="s">
        <v>8872</v>
      </c>
      <c r="C6674" s="472" t="s">
        <v>178</v>
      </c>
      <c r="D6674" s="472">
        <v>10.4086</v>
      </c>
      <c r="E6674" s="472" t="s">
        <v>6305</v>
      </c>
      <c r="F6674" s="352"/>
    </row>
    <row r="6675" spans="1:6" s="315" customFormat="1" ht="15">
      <c r="A6675" s="472" t="s">
        <v>8873</v>
      </c>
      <c r="B6675" s="472" t="s">
        <v>8874</v>
      </c>
      <c r="C6675" s="472" t="s">
        <v>178</v>
      </c>
      <c r="D6675" s="472">
        <v>13.7393</v>
      </c>
      <c r="E6675" s="472" t="s">
        <v>6305</v>
      </c>
      <c r="F6675" s="352"/>
    </row>
    <row r="6676" spans="1:6" s="315" customFormat="1" ht="15">
      <c r="A6676" s="472" t="s">
        <v>8875</v>
      </c>
      <c r="B6676" s="472" t="s">
        <v>8876</v>
      </c>
      <c r="C6676" s="472" t="s">
        <v>178</v>
      </c>
      <c r="D6676" s="472">
        <v>7.2171000000000003</v>
      </c>
      <c r="E6676" s="472" t="s">
        <v>6305</v>
      </c>
      <c r="F6676" s="352"/>
    </row>
    <row r="6677" spans="1:6" s="315" customFormat="1" ht="15">
      <c r="A6677" s="472" t="s">
        <v>8877</v>
      </c>
      <c r="B6677" s="472" t="s">
        <v>8878</v>
      </c>
      <c r="C6677" s="472" t="s">
        <v>178</v>
      </c>
      <c r="D6677" s="472">
        <v>162.86449999999999</v>
      </c>
      <c r="E6677" s="472" t="s">
        <v>6305</v>
      </c>
      <c r="F6677" s="352"/>
    </row>
    <row r="6678" spans="1:6" s="315" customFormat="1" ht="15">
      <c r="A6678" s="472" t="s">
        <v>8879</v>
      </c>
      <c r="B6678" s="472" t="s">
        <v>8880</v>
      </c>
      <c r="C6678" s="472" t="s">
        <v>178</v>
      </c>
      <c r="D6678" s="472">
        <v>412.1635</v>
      </c>
      <c r="E6678" s="472" t="s">
        <v>6305</v>
      </c>
      <c r="F6678" s="352"/>
    </row>
    <row r="6679" spans="1:6" s="315" customFormat="1" ht="15">
      <c r="A6679" s="472" t="s">
        <v>8881</v>
      </c>
      <c r="B6679" s="472" t="s">
        <v>7807</v>
      </c>
      <c r="C6679" s="472" t="s">
        <v>178</v>
      </c>
      <c r="D6679" s="472">
        <v>26.6523</v>
      </c>
      <c r="E6679" s="472" t="s">
        <v>6305</v>
      </c>
      <c r="F6679" s="352"/>
    </row>
    <row r="6680" spans="1:6" s="315" customFormat="1" ht="15">
      <c r="A6680" s="472" t="s">
        <v>8882</v>
      </c>
      <c r="B6680" s="472" t="s">
        <v>8883</v>
      </c>
      <c r="C6680" s="472" t="s">
        <v>178</v>
      </c>
      <c r="D6680" s="472">
        <v>1439.1922</v>
      </c>
      <c r="E6680" s="472" t="s">
        <v>6305</v>
      </c>
      <c r="F6680" s="352"/>
    </row>
    <row r="6681" spans="1:6" s="315" customFormat="1" ht="15">
      <c r="A6681" s="472" t="s">
        <v>8884</v>
      </c>
      <c r="B6681" s="472" t="s">
        <v>8885</v>
      </c>
      <c r="C6681" s="472" t="s">
        <v>178</v>
      </c>
      <c r="D6681" s="472">
        <v>2060.2631999999999</v>
      </c>
      <c r="E6681" s="472" t="s">
        <v>6305</v>
      </c>
      <c r="F6681" s="352"/>
    </row>
    <row r="6682" spans="1:6" s="315" customFormat="1" ht="15">
      <c r="A6682" s="472" t="s">
        <v>8886</v>
      </c>
      <c r="B6682" s="472" t="s">
        <v>8887</v>
      </c>
      <c r="C6682" s="472" t="s">
        <v>178</v>
      </c>
      <c r="D6682" s="472">
        <v>87.151899999999998</v>
      </c>
      <c r="E6682" s="472" t="s">
        <v>6305</v>
      </c>
      <c r="F6682" s="352"/>
    </row>
    <row r="6683" spans="1:6" s="315" customFormat="1" ht="15">
      <c r="A6683" s="472" t="s">
        <v>8888</v>
      </c>
      <c r="B6683" s="472" t="s">
        <v>8889</v>
      </c>
      <c r="C6683" s="472" t="s">
        <v>178</v>
      </c>
      <c r="D6683" s="472">
        <v>20.019400000000001</v>
      </c>
      <c r="E6683" s="472" t="s">
        <v>6305</v>
      </c>
      <c r="F6683" s="352"/>
    </row>
    <row r="6684" spans="1:6" s="315" customFormat="1" ht="15">
      <c r="A6684" s="472" t="s">
        <v>8890</v>
      </c>
      <c r="B6684" s="472" t="s">
        <v>8891</v>
      </c>
      <c r="C6684" s="472" t="s">
        <v>178</v>
      </c>
      <c r="D6684" s="472">
        <v>30.388999999999999</v>
      </c>
      <c r="E6684" s="472" t="s">
        <v>6305</v>
      </c>
      <c r="F6684" s="352"/>
    </row>
    <row r="6685" spans="1:6" s="315" customFormat="1" ht="15">
      <c r="A6685" s="472" t="s">
        <v>8892</v>
      </c>
      <c r="B6685" s="472" t="s">
        <v>8893</v>
      </c>
      <c r="C6685" s="472" t="s">
        <v>178</v>
      </c>
      <c r="D6685" s="472">
        <v>29.706299999999999</v>
      </c>
      <c r="E6685" s="472" t="s">
        <v>6305</v>
      </c>
      <c r="F6685" s="352"/>
    </row>
    <row r="6686" spans="1:6" s="315" customFormat="1" ht="15">
      <c r="A6686" s="472" t="s">
        <v>8894</v>
      </c>
      <c r="B6686" s="472" t="s">
        <v>8895</v>
      </c>
      <c r="C6686" s="472" t="s">
        <v>178</v>
      </c>
      <c r="D6686" s="472">
        <v>562.84829999999999</v>
      </c>
      <c r="E6686" s="472" t="s">
        <v>6305</v>
      </c>
      <c r="F6686" s="352"/>
    </row>
    <row r="6687" spans="1:6" s="315" customFormat="1" ht="15">
      <c r="A6687" s="472" t="s">
        <v>8896</v>
      </c>
      <c r="B6687" s="472" t="s">
        <v>8897</v>
      </c>
      <c r="C6687" s="472" t="s">
        <v>178</v>
      </c>
      <c r="D6687" s="472">
        <v>50.2879</v>
      </c>
      <c r="E6687" s="472" t="s">
        <v>6305</v>
      </c>
      <c r="F6687" s="352"/>
    </row>
    <row r="6688" spans="1:6" s="315" customFormat="1" ht="15">
      <c r="A6688" s="472" t="s">
        <v>8898</v>
      </c>
      <c r="B6688" s="472" t="s">
        <v>8899</v>
      </c>
      <c r="C6688" s="472" t="s">
        <v>178</v>
      </c>
      <c r="D6688" s="472">
        <v>4.3884999999999996</v>
      </c>
      <c r="E6688" s="472" t="s">
        <v>6305</v>
      </c>
      <c r="F6688" s="352"/>
    </row>
    <row r="6689" spans="1:6" s="315" customFormat="1" ht="15">
      <c r="A6689" s="472" t="s">
        <v>8900</v>
      </c>
      <c r="B6689" s="472" t="s">
        <v>8901</v>
      </c>
      <c r="C6689" s="472" t="s">
        <v>178</v>
      </c>
      <c r="D6689" s="472">
        <v>539.92999999999995</v>
      </c>
      <c r="E6689" s="472" t="s">
        <v>6305</v>
      </c>
      <c r="F6689" s="352"/>
    </row>
    <row r="6690" spans="1:6" s="315" customFormat="1" ht="15">
      <c r="A6690" s="472" t="s">
        <v>8902</v>
      </c>
      <c r="B6690" s="472" t="s">
        <v>8903</v>
      </c>
      <c r="C6690" s="472" t="s">
        <v>178</v>
      </c>
      <c r="D6690" s="472">
        <v>209.34399999999999</v>
      </c>
      <c r="E6690" s="472" t="s">
        <v>6305</v>
      </c>
      <c r="F6690" s="352"/>
    </row>
    <row r="6691" spans="1:6" s="315" customFormat="1" ht="15">
      <c r="A6691" s="472" t="s">
        <v>8904</v>
      </c>
      <c r="B6691" s="472" t="s">
        <v>8905</v>
      </c>
      <c r="C6691" s="472" t="s">
        <v>178</v>
      </c>
      <c r="D6691" s="472">
        <v>50.614800000000002</v>
      </c>
      <c r="E6691" s="472" t="s">
        <v>6305</v>
      </c>
      <c r="F6691" s="352"/>
    </row>
    <row r="6692" spans="1:6" s="315" customFormat="1" ht="15">
      <c r="A6692" s="472" t="s">
        <v>8906</v>
      </c>
      <c r="B6692" s="472" t="s">
        <v>8907</v>
      </c>
      <c r="C6692" s="472" t="s">
        <v>178</v>
      </c>
      <c r="D6692" s="472">
        <v>3.3228</v>
      </c>
      <c r="E6692" s="472" t="s">
        <v>6305</v>
      </c>
      <c r="F6692" s="352"/>
    </row>
    <row r="6693" spans="1:6" s="315" customFormat="1" ht="15">
      <c r="A6693" s="472" t="s">
        <v>8908</v>
      </c>
      <c r="B6693" s="472" t="s">
        <v>8909</v>
      </c>
      <c r="C6693" s="472" t="s">
        <v>178</v>
      </c>
      <c r="D6693" s="472">
        <v>21.6327</v>
      </c>
      <c r="E6693" s="472" t="s">
        <v>6305</v>
      </c>
      <c r="F6693" s="352"/>
    </row>
    <row r="6694" spans="1:6" s="315" customFormat="1" ht="15">
      <c r="A6694" s="472" t="s">
        <v>8910</v>
      </c>
      <c r="B6694" s="472" t="s">
        <v>8911</v>
      </c>
      <c r="C6694" s="472" t="s">
        <v>178</v>
      </c>
      <c r="D6694" s="472">
        <v>0.54479999999999995</v>
      </c>
      <c r="E6694" s="472" t="s">
        <v>6305</v>
      </c>
      <c r="F6694" s="352"/>
    </row>
    <row r="6695" spans="1:6" s="315" customFormat="1" ht="15">
      <c r="A6695" s="472" t="s">
        <v>8912</v>
      </c>
      <c r="B6695" s="472" t="s">
        <v>8913</v>
      </c>
      <c r="C6695" s="472" t="s">
        <v>178</v>
      </c>
      <c r="D6695" s="472">
        <v>184.499</v>
      </c>
      <c r="E6695" s="472" t="s">
        <v>6305</v>
      </c>
      <c r="F6695" s="352"/>
    </row>
    <row r="6696" spans="1:6" s="315" customFormat="1" ht="15">
      <c r="A6696" s="472" t="s">
        <v>8914</v>
      </c>
      <c r="B6696" s="472" t="s">
        <v>8915</v>
      </c>
      <c r="C6696" s="472" t="s">
        <v>178</v>
      </c>
      <c r="D6696" s="472">
        <v>112.39239999999999</v>
      </c>
      <c r="E6696" s="472" t="s">
        <v>6305</v>
      </c>
      <c r="F6696" s="352"/>
    </row>
    <row r="6697" spans="1:6" s="315" customFormat="1" ht="15">
      <c r="A6697" s="472" t="s">
        <v>8916</v>
      </c>
      <c r="B6697" s="472" t="s">
        <v>8917</v>
      </c>
      <c r="C6697" s="472" t="s">
        <v>178</v>
      </c>
      <c r="D6697" s="472">
        <v>116.27070000000001</v>
      </c>
      <c r="E6697" s="472" t="s">
        <v>6305</v>
      </c>
      <c r="F6697" s="352"/>
    </row>
    <row r="6698" spans="1:6" s="315" customFormat="1" ht="15">
      <c r="A6698" s="472" t="s">
        <v>8918</v>
      </c>
      <c r="B6698" s="472" t="s">
        <v>8919</v>
      </c>
      <c r="C6698" s="472" t="s">
        <v>178</v>
      </c>
      <c r="D6698" s="472">
        <v>222.3921</v>
      </c>
      <c r="E6698" s="472" t="s">
        <v>6305</v>
      </c>
      <c r="F6698" s="352"/>
    </row>
    <row r="6699" spans="1:6" s="315" customFormat="1" ht="15">
      <c r="A6699" s="472" t="s">
        <v>8920</v>
      </c>
      <c r="B6699" s="472" t="s">
        <v>8921</v>
      </c>
      <c r="C6699" s="472" t="s">
        <v>178</v>
      </c>
      <c r="D6699" s="472">
        <v>38.950400000000002</v>
      </c>
      <c r="E6699" s="472" t="s">
        <v>6305</v>
      </c>
      <c r="F6699" s="352"/>
    </row>
    <row r="6700" spans="1:6" s="315" customFormat="1" ht="15">
      <c r="A6700" s="472" t="s">
        <v>8922</v>
      </c>
      <c r="B6700" s="472" t="s">
        <v>8923</v>
      </c>
      <c r="C6700" s="472" t="s">
        <v>178</v>
      </c>
      <c r="D6700" s="472">
        <v>615.75689999999997</v>
      </c>
      <c r="E6700" s="472" t="s">
        <v>6305</v>
      </c>
      <c r="F6700" s="352"/>
    </row>
    <row r="6701" spans="1:6" s="315" customFormat="1" ht="15">
      <c r="A6701" s="472" t="s">
        <v>8924</v>
      </c>
      <c r="B6701" s="472" t="s">
        <v>7808</v>
      </c>
      <c r="C6701" s="472" t="s">
        <v>178</v>
      </c>
      <c r="D6701" s="472">
        <v>52.064100000000003</v>
      </c>
      <c r="E6701" s="472" t="s">
        <v>6305</v>
      </c>
      <c r="F6701" s="352"/>
    </row>
    <row r="6702" spans="1:6" s="315" customFormat="1" ht="15">
      <c r="A6702" s="472" t="s">
        <v>8925</v>
      </c>
      <c r="B6702" s="472" t="s">
        <v>8926</v>
      </c>
      <c r="C6702" s="472" t="s">
        <v>178</v>
      </c>
      <c r="D6702" s="472">
        <v>3313.3564000000001</v>
      </c>
      <c r="E6702" s="472" t="s">
        <v>6305</v>
      </c>
      <c r="F6702" s="352"/>
    </row>
    <row r="6703" spans="1:6" s="315" customFormat="1" ht="15">
      <c r="A6703" s="472" t="s">
        <v>8927</v>
      </c>
      <c r="B6703" s="472" t="s">
        <v>8928</v>
      </c>
      <c r="C6703" s="472" t="s">
        <v>178</v>
      </c>
      <c r="D6703" s="472">
        <v>266.50889999999998</v>
      </c>
      <c r="E6703" s="472" t="s">
        <v>6305</v>
      </c>
      <c r="F6703" s="352"/>
    </row>
    <row r="6704" spans="1:6" s="315" customFormat="1" ht="15">
      <c r="A6704" s="472" t="s">
        <v>8929</v>
      </c>
      <c r="B6704" s="472" t="s">
        <v>8930</v>
      </c>
      <c r="C6704" s="472" t="s">
        <v>178</v>
      </c>
      <c r="D6704" s="472">
        <v>133.8707</v>
      </c>
      <c r="E6704" s="472" t="s">
        <v>6305</v>
      </c>
      <c r="F6704" s="352"/>
    </row>
    <row r="6705" spans="1:6" s="315" customFormat="1" ht="15">
      <c r="A6705" s="472" t="s">
        <v>8931</v>
      </c>
      <c r="B6705" s="472" t="s">
        <v>8932</v>
      </c>
      <c r="C6705" s="472" t="s">
        <v>178</v>
      </c>
      <c r="D6705" s="472">
        <v>9.2828999999999997</v>
      </c>
      <c r="E6705" s="472" t="s">
        <v>6305</v>
      </c>
      <c r="F6705" s="352"/>
    </row>
    <row r="6706" spans="1:6" s="315" customFormat="1" ht="15">
      <c r="A6706" s="472" t="s">
        <v>8933</v>
      </c>
      <c r="B6706" s="472" t="s">
        <v>26764</v>
      </c>
      <c r="C6706" s="472" t="s">
        <v>178</v>
      </c>
      <c r="D6706" s="472">
        <v>26.181100000000001</v>
      </c>
      <c r="E6706" s="472" t="s">
        <v>6305</v>
      </c>
      <c r="F6706" s="352"/>
    </row>
    <row r="6707" spans="1:6" s="315" customFormat="1" ht="15">
      <c r="A6707" s="472" t="s">
        <v>8934</v>
      </c>
      <c r="B6707" s="472" t="s">
        <v>8935</v>
      </c>
      <c r="C6707" s="472" t="s">
        <v>178</v>
      </c>
      <c r="D6707" s="472">
        <v>11.345499999999999</v>
      </c>
      <c r="E6707" s="472" t="s">
        <v>6305</v>
      </c>
      <c r="F6707" s="352"/>
    </row>
    <row r="6708" spans="1:6" s="315" customFormat="1" ht="15">
      <c r="A6708" s="472" t="s">
        <v>8936</v>
      </c>
      <c r="B6708" s="472" t="s">
        <v>8937</v>
      </c>
      <c r="C6708" s="472" t="s">
        <v>178</v>
      </c>
      <c r="D6708" s="472">
        <v>27.921399999999998</v>
      </c>
      <c r="E6708" s="472" t="s">
        <v>6305</v>
      </c>
      <c r="F6708" s="352"/>
    </row>
    <row r="6709" spans="1:6" s="315" customFormat="1" ht="15">
      <c r="A6709" s="472" t="s">
        <v>8938</v>
      </c>
      <c r="B6709" s="472" t="s">
        <v>8939</v>
      </c>
      <c r="C6709" s="472" t="s">
        <v>178</v>
      </c>
      <c r="D6709" s="472">
        <v>43.555999999999997</v>
      </c>
      <c r="E6709" s="472" t="s">
        <v>6305</v>
      </c>
      <c r="F6709" s="352"/>
    </row>
    <row r="6710" spans="1:6" s="315" customFormat="1" ht="15">
      <c r="A6710" s="472" t="s">
        <v>8940</v>
      </c>
      <c r="B6710" s="472" t="s">
        <v>8941</v>
      </c>
      <c r="C6710" s="472" t="s">
        <v>178</v>
      </c>
      <c r="D6710" s="472">
        <v>42.308799999999998</v>
      </c>
      <c r="E6710" s="472" t="s">
        <v>6305</v>
      </c>
      <c r="F6710" s="352"/>
    </row>
    <row r="6711" spans="1:6" s="315" customFormat="1" ht="15">
      <c r="A6711" s="472" t="s">
        <v>8942</v>
      </c>
      <c r="B6711" s="472" t="s">
        <v>8943</v>
      </c>
      <c r="C6711" s="472" t="s">
        <v>178</v>
      </c>
      <c r="D6711" s="472">
        <v>478.67739999999998</v>
      </c>
      <c r="E6711" s="472" t="s">
        <v>6305</v>
      </c>
      <c r="F6711" s="352"/>
    </row>
    <row r="6712" spans="1:6" s="315" customFormat="1" ht="15">
      <c r="A6712" s="472" t="s">
        <v>8944</v>
      </c>
      <c r="B6712" s="472" t="s">
        <v>8945</v>
      </c>
      <c r="C6712" s="472" t="s">
        <v>178</v>
      </c>
      <c r="D6712" s="472">
        <v>61.582500000000003</v>
      </c>
      <c r="E6712" s="472" t="s">
        <v>6305</v>
      </c>
      <c r="F6712" s="352"/>
    </row>
    <row r="6713" spans="1:6" s="315" customFormat="1" ht="15">
      <c r="A6713" s="472" t="s">
        <v>8946</v>
      </c>
      <c r="B6713" s="472" t="s">
        <v>8947</v>
      </c>
      <c r="C6713" s="472" t="s">
        <v>178</v>
      </c>
      <c r="D6713" s="472">
        <v>8.1887000000000008</v>
      </c>
      <c r="E6713" s="472" t="s">
        <v>6305</v>
      </c>
      <c r="F6713" s="352"/>
    </row>
    <row r="6714" spans="1:6" s="315" customFormat="1" ht="15">
      <c r="A6714" s="472" t="s">
        <v>8948</v>
      </c>
      <c r="B6714" s="472" t="s">
        <v>8949</v>
      </c>
      <c r="C6714" s="472" t="s">
        <v>178</v>
      </c>
      <c r="D6714" s="472">
        <v>222.30070000000001</v>
      </c>
      <c r="E6714" s="472" t="s">
        <v>6305</v>
      </c>
      <c r="F6714" s="352"/>
    </row>
    <row r="6715" spans="1:6" s="315" customFormat="1" ht="15">
      <c r="A6715" s="472" t="s">
        <v>8950</v>
      </c>
      <c r="B6715" s="472" t="s">
        <v>8951</v>
      </c>
      <c r="C6715" s="472" t="s">
        <v>178</v>
      </c>
      <c r="D6715" s="472">
        <v>350.99560000000002</v>
      </c>
      <c r="E6715" s="472" t="s">
        <v>6305</v>
      </c>
      <c r="F6715" s="352"/>
    </row>
    <row r="6716" spans="1:6" s="315" customFormat="1" ht="15">
      <c r="A6716" s="472" t="s">
        <v>8952</v>
      </c>
      <c r="B6716" s="472" t="s">
        <v>8953</v>
      </c>
      <c r="C6716" s="472" t="s">
        <v>178</v>
      </c>
      <c r="D6716" s="472">
        <v>370.54899999999998</v>
      </c>
      <c r="E6716" s="472" t="s">
        <v>6305</v>
      </c>
      <c r="F6716" s="352"/>
    </row>
    <row r="6717" spans="1:6" s="315" customFormat="1" ht="15">
      <c r="A6717" s="472" t="s">
        <v>8954</v>
      </c>
      <c r="B6717" s="472" t="s">
        <v>8955</v>
      </c>
      <c r="C6717" s="472" t="s">
        <v>178</v>
      </c>
      <c r="D6717" s="472">
        <v>124.0667</v>
      </c>
      <c r="E6717" s="472" t="s">
        <v>6305</v>
      </c>
      <c r="F6717" s="352"/>
    </row>
    <row r="6718" spans="1:6" s="315" customFormat="1" ht="15">
      <c r="A6718" s="472" t="s">
        <v>8956</v>
      </c>
      <c r="B6718" s="472" t="s">
        <v>8957</v>
      </c>
      <c r="C6718" s="472" t="s">
        <v>178</v>
      </c>
      <c r="D6718" s="472">
        <v>5.7866</v>
      </c>
      <c r="E6718" s="472" t="s">
        <v>6305</v>
      </c>
      <c r="F6718" s="352"/>
    </row>
    <row r="6719" spans="1:6" s="315" customFormat="1" ht="15">
      <c r="A6719" s="472" t="s">
        <v>8958</v>
      </c>
      <c r="B6719" s="472" t="s">
        <v>8959</v>
      </c>
      <c r="C6719" s="472" t="s">
        <v>178</v>
      </c>
      <c r="D6719" s="472">
        <v>0.51539999999999997</v>
      </c>
      <c r="E6719" s="472" t="s">
        <v>6305</v>
      </c>
      <c r="F6719" s="352"/>
    </row>
    <row r="6720" spans="1:6" s="315" customFormat="1" ht="15">
      <c r="A6720" s="472" t="s">
        <v>8960</v>
      </c>
      <c r="B6720" s="472" t="s">
        <v>8961</v>
      </c>
      <c r="C6720" s="472" t="s">
        <v>178</v>
      </c>
      <c r="D6720" s="472">
        <v>25.3948</v>
      </c>
      <c r="E6720" s="472" t="s">
        <v>6305</v>
      </c>
      <c r="F6720" s="352"/>
    </row>
    <row r="6721" spans="1:6" s="315" customFormat="1" ht="15">
      <c r="A6721" s="472" t="s">
        <v>8962</v>
      </c>
      <c r="B6721" s="472" t="s">
        <v>8963</v>
      </c>
      <c r="C6721" s="472" t="s">
        <v>178</v>
      </c>
      <c r="D6721" s="472">
        <v>1400.8345999999999</v>
      </c>
      <c r="E6721" s="472" t="s">
        <v>6305</v>
      </c>
      <c r="F6721" s="352"/>
    </row>
    <row r="6722" spans="1:6" s="315" customFormat="1" ht="15">
      <c r="A6722" s="472" t="s">
        <v>8964</v>
      </c>
      <c r="B6722" s="472" t="s">
        <v>8965</v>
      </c>
      <c r="C6722" s="472" t="s">
        <v>178</v>
      </c>
      <c r="D6722" s="472">
        <v>3.4051</v>
      </c>
      <c r="E6722" s="472" t="s">
        <v>6305</v>
      </c>
      <c r="F6722" s="352"/>
    </row>
    <row r="6723" spans="1:6" s="315" customFormat="1" ht="15">
      <c r="A6723" s="472" t="s">
        <v>8966</v>
      </c>
      <c r="B6723" s="472" t="s">
        <v>8967</v>
      </c>
      <c r="C6723" s="472" t="s">
        <v>178</v>
      </c>
      <c r="D6723" s="472">
        <v>0.4385</v>
      </c>
      <c r="E6723" s="472" t="s">
        <v>6305</v>
      </c>
      <c r="F6723" s="352"/>
    </row>
    <row r="6724" spans="1:6" s="315" customFormat="1" ht="15">
      <c r="A6724" s="472" t="s">
        <v>8968</v>
      </c>
      <c r="B6724" s="472" t="s">
        <v>8969</v>
      </c>
      <c r="C6724" s="472" t="s">
        <v>178</v>
      </c>
      <c r="D6724" s="472">
        <v>3.6215999999999999</v>
      </c>
      <c r="E6724" s="472" t="s">
        <v>6305</v>
      </c>
      <c r="F6724" s="352"/>
    </row>
    <row r="6725" spans="1:6" s="315" customFormat="1" ht="15">
      <c r="A6725" s="472" t="s">
        <v>8970</v>
      </c>
      <c r="B6725" s="472" t="s">
        <v>8971</v>
      </c>
      <c r="C6725" s="472" t="s">
        <v>178</v>
      </c>
      <c r="D6725" s="472">
        <v>0.8034</v>
      </c>
      <c r="E6725" s="472" t="s">
        <v>6305</v>
      </c>
      <c r="F6725" s="352"/>
    </row>
    <row r="6726" spans="1:6" s="315" customFormat="1" ht="15">
      <c r="A6726" s="472" t="s">
        <v>8972</v>
      </c>
      <c r="B6726" s="472" t="s">
        <v>8973</v>
      </c>
      <c r="C6726" s="472" t="s">
        <v>178</v>
      </c>
      <c r="D6726" s="472">
        <v>2.3801000000000001</v>
      </c>
      <c r="E6726" s="472" t="s">
        <v>6305</v>
      </c>
      <c r="F6726" s="352"/>
    </row>
    <row r="6727" spans="1:6" s="315" customFormat="1" ht="15">
      <c r="A6727" s="472" t="s">
        <v>8974</v>
      </c>
      <c r="B6727" s="472" t="s">
        <v>8975</v>
      </c>
      <c r="C6727" s="472" t="s">
        <v>178</v>
      </c>
      <c r="D6727" s="472">
        <v>11.033099999999999</v>
      </c>
      <c r="E6727" s="472" t="s">
        <v>6305</v>
      </c>
      <c r="F6727" s="352"/>
    </row>
    <row r="6728" spans="1:6" s="315" customFormat="1" ht="15">
      <c r="A6728" s="472" t="s">
        <v>8976</v>
      </c>
      <c r="B6728" s="472" t="s">
        <v>8977</v>
      </c>
      <c r="C6728" s="472" t="s">
        <v>178</v>
      </c>
      <c r="D6728" s="472">
        <v>46.2761</v>
      </c>
      <c r="E6728" s="472" t="s">
        <v>6305</v>
      </c>
      <c r="F6728" s="352"/>
    </row>
    <row r="6729" spans="1:6" s="315" customFormat="1" ht="15">
      <c r="A6729" s="472" t="s">
        <v>8978</v>
      </c>
      <c r="B6729" s="472" t="s">
        <v>8979</v>
      </c>
      <c r="C6729" s="472" t="s">
        <v>178</v>
      </c>
      <c r="D6729" s="472">
        <v>179.1576</v>
      </c>
      <c r="E6729" s="472" t="s">
        <v>6305</v>
      </c>
      <c r="F6729" s="352"/>
    </row>
    <row r="6730" spans="1:6" s="315" customFormat="1" ht="15">
      <c r="A6730" s="472" t="s">
        <v>8980</v>
      </c>
      <c r="B6730" s="472" t="s">
        <v>8981</v>
      </c>
      <c r="C6730" s="472" t="s">
        <v>178</v>
      </c>
      <c r="D6730" s="472">
        <v>82.238799999999998</v>
      </c>
      <c r="E6730" s="472" t="s">
        <v>6305</v>
      </c>
      <c r="F6730" s="352"/>
    </row>
    <row r="6731" spans="1:6" s="315" customFormat="1" ht="15">
      <c r="A6731" s="472" t="s">
        <v>8982</v>
      </c>
      <c r="B6731" s="472" t="s">
        <v>8983</v>
      </c>
      <c r="C6731" s="472" t="s">
        <v>178</v>
      </c>
      <c r="D6731" s="472">
        <v>54.901600000000002</v>
      </c>
      <c r="E6731" s="472" t="s">
        <v>6305</v>
      </c>
      <c r="F6731" s="352"/>
    </row>
    <row r="6732" spans="1:6" s="315" customFormat="1" ht="15">
      <c r="A6732" s="472" t="s">
        <v>8984</v>
      </c>
      <c r="B6732" s="472" t="s">
        <v>8985</v>
      </c>
      <c r="C6732" s="472" t="s">
        <v>178</v>
      </c>
      <c r="D6732" s="472">
        <v>8.3185000000000002</v>
      </c>
      <c r="E6732" s="472" t="s">
        <v>6305</v>
      </c>
      <c r="F6732" s="352"/>
    </row>
    <row r="6733" spans="1:6" s="315" customFormat="1" ht="15">
      <c r="A6733" s="472" t="s">
        <v>8986</v>
      </c>
      <c r="B6733" s="472" t="s">
        <v>8987</v>
      </c>
      <c r="C6733" s="472" t="s">
        <v>178</v>
      </c>
      <c r="D6733" s="472">
        <v>1.4623999999999999</v>
      </c>
      <c r="E6733" s="472" t="s">
        <v>6305</v>
      </c>
      <c r="F6733" s="352"/>
    </row>
    <row r="6734" spans="1:6" s="315" customFormat="1" ht="15">
      <c r="A6734" s="472" t="s">
        <v>8988</v>
      </c>
      <c r="B6734" s="472" t="s">
        <v>8989</v>
      </c>
      <c r="C6734" s="472" t="s">
        <v>178</v>
      </c>
      <c r="D6734" s="472">
        <v>216.1165</v>
      </c>
      <c r="E6734" s="472" t="s">
        <v>6305</v>
      </c>
      <c r="F6734" s="352"/>
    </row>
    <row r="6735" spans="1:6" s="315" customFormat="1" ht="15">
      <c r="A6735" s="472" t="s">
        <v>8990</v>
      </c>
      <c r="B6735" s="472" t="s">
        <v>8991</v>
      </c>
      <c r="C6735" s="472" t="s">
        <v>178</v>
      </c>
      <c r="D6735" s="472">
        <v>48.855600000000003</v>
      </c>
      <c r="E6735" s="472" t="s">
        <v>6305</v>
      </c>
      <c r="F6735" s="352"/>
    </row>
    <row r="6736" spans="1:6" s="315" customFormat="1" ht="15">
      <c r="A6736" s="472" t="s">
        <v>8992</v>
      </c>
      <c r="B6736" s="472" t="s">
        <v>8993</v>
      </c>
      <c r="C6736" s="472" t="s">
        <v>178</v>
      </c>
      <c r="D6736" s="472">
        <v>71.0929</v>
      </c>
      <c r="E6736" s="472" t="s">
        <v>6305</v>
      </c>
      <c r="F6736" s="352"/>
    </row>
    <row r="6737" spans="1:6" s="315" customFormat="1" ht="15">
      <c r="A6737" s="472" t="s">
        <v>8994</v>
      </c>
      <c r="B6737" s="472" t="s">
        <v>8995</v>
      </c>
      <c r="C6737" s="472" t="s">
        <v>178</v>
      </c>
      <c r="D6737" s="472">
        <v>173.81970000000001</v>
      </c>
      <c r="E6737" s="472" t="s">
        <v>6305</v>
      </c>
      <c r="F6737" s="352"/>
    </row>
    <row r="6738" spans="1:6" s="315" customFormat="1" ht="15">
      <c r="A6738" s="472" t="s">
        <v>8996</v>
      </c>
      <c r="B6738" s="472" t="s">
        <v>8997</v>
      </c>
      <c r="C6738" s="472" t="s">
        <v>178</v>
      </c>
      <c r="D6738" s="472">
        <v>186.31</v>
      </c>
      <c r="E6738" s="472" t="s">
        <v>6305</v>
      </c>
      <c r="F6738" s="352"/>
    </row>
    <row r="6739" spans="1:6" s="315" customFormat="1" ht="15">
      <c r="A6739" s="472" t="s">
        <v>8998</v>
      </c>
      <c r="B6739" s="472" t="s">
        <v>8999</v>
      </c>
      <c r="C6739" s="472" t="s">
        <v>178</v>
      </c>
      <c r="D6739" s="472">
        <v>684.15949999999998</v>
      </c>
      <c r="E6739" s="472" t="s">
        <v>6305</v>
      </c>
      <c r="F6739" s="352"/>
    </row>
    <row r="6740" spans="1:6" s="315" customFormat="1" ht="15">
      <c r="A6740" s="472" t="s">
        <v>9000</v>
      </c>
      <c r="B6740" s="472" t="s">
        <v>9001</v>
      </c>
      <c r="C6740" s="472" t="s">
        <v>178</v>
      </c>
      <c r="D6740" s="472">
        <v>196.6591</v>
      </c>
      <c r="E6740" s="472" t="s">
        <v>6305</v>
      </c>
      <c r="F6740" s="352"/>
    </row>
    <row r="6741" spans="1:6" s="315" customFormat="1" ht="15">
      <c r="A6741" s="472" t="s">
        <v>9002</v>
      </c>
      <c r="B6741" s="472" t="s">
        <v>9003</v>
      </c>
      <c r="C6741" s="472" t="s">
        <v>178</v>
      </c>
      <c r="D6741" s="472">
        <v>2.1743000000000001</v>
      </c>
      <c r="E6741" s="472" t="s">
        <v>6305</v>
      </c>
      <c r="F6741" s="352"/>
    </row>
    <row r="6742" spans="1:6" s="315" customFormat="1" ht="15">
      <c r="A6742" s="472" t="s">
        <v>9004</v>
      </c>
      <c r="B6742" s="472" t="s">
        <v>9005</v>
      </c>
      <c r="C6742" s="472" t="s">
        <v>178</v>
      </c>
      <c r="D6742" s="472">
        <v>36.211500000000001</v>
      </c>
      <c r="E6742" s="472" t="s">
        <v>6305</v>
      </c>
      <c r="F6742" s="352"/>
    </row>
    <row r="6743" spans="1:6" s="315" customFormat="1" ht="15">
      <c r="A6743" s="472" t="s">
        <v>9006</v>
      </c>
      <c r="B6743" s="472" t="s">
        <v>6653</v>
      </c>
      <c r="C6743" s="472" t="s">
        <v>178</v>
      </c>
      <c r="D6743" s="472">
        <v>2.9165999999999999</v>
      </c>
      <c r="E6743" s="472" t="s">
        <v>6305</v>
      </c>
      <c r="F6743" s="352"/>
    </row>
    <row r="6744" spans="1:6" s="315" customFormat="1" ht="15">
      <c r="A6744" s="472" t="s">
        <v>9007</v>
      </c>
      <c r="B6744" s="472" t="s">
        <v>9008</v>
      </c>
      <c r="C6744" s="472" t="s">
        <v>178</v>
      </c>
      <c r="D6744" s="472">
        <v>11.5684</v>
      </c>
      <c r="E6744" s="472" t="s">
        <v>6305</v>
      </c>
      <c r="F6744" s="352"/>
    </row>
    <row r="6745" spans="1:6" s="315" customFormat="1" ht="15">
      <c r="A6745" s="472" t="s">
        <v>9009</v>
      </c>
      <c r="B6745" s="472" t="s">
        <v>9010</v>
      </c>
      <c r="C6745" s="472" t="s">
        <v>178</v>
      </c>
      <c r="D6745" s="472">
        <v>660.07489999999996</v>
      </c>
      <c r="E6745" s="472" t="s">
        <v>6305</v>
      </c>
      <c r="F6745" s="352"/>
    </row>
    <row r="6746" spans="1:6" s="315" customFormat="1" ht="15">
      <c r="A6746" s="472" t="s">
        <v>9011</v>
      </c>
      <c r="B6746" s="472" t="s">
        <v>9012</v>
      </c>
      <c r="C6746" s="472" t="s">
        <v>178</v>
      </c>
      <c r="D6746" s="472">
        <v>168.8065</v>
      </c>
      <c r="E6746" s="472" t="s">
        <v>6305</v>
      </c>
      <c r="F6746" s="352"/>
    </row>
    <row r="6747" spans="1:6" s="315" customFormat="1" ht="15">
      <c r="A6747" s="472" t="s">
        <v>9013</v>
      </c>
      <c r="B6747" s="472" t="s">
        <v>9014</v>
      </c>
      <c r="C6747" s="472" t="s">
        <v>178</v>
      </c>
      <c r="D6747" s="472">
        <v>82.1357</v>
      </c>
      <c r="E6747" s="472" t="s">
        <v>6305</v>
      </c>
      <c r="F6747" s="352"/>
    </row>
    <row r="6748" spans="1:6" s="315" customFormat="1" ht="15">
      <c r="A6748" s="472" t="s">
        <v>9015</v>
      </c>
      <c r="B6748" s="472" t="s">
        <v>9016</v>
      </c>
      <c r="C6748" s="472" t="s">
        <v>178</v>
      </c>
      <c r="D6748" s="472">
        <v>85.516999999999996</v>
      </c>
      <c r="E6748" s="472" t="s">
        <v>6305</v>
      </c>
      <c r="F6748" s="352"/>
    </row>
    <row r="6749" spans="1:6" s="315" customFormat="1" ht="15">
      <c r="A6749" s="472" t="s">
        <v>9017</v>
      </c>
      <c r="B6749" s="472" t="s">
        <v>9018</v>
      </c>
      <c r="C6749" s="472" t="s">
        <v>178</v>
      </c>
      <c r="D6749" s="472">
        <v>21.363900000000001</v>
      </c>
      <c r="E6749" s="472" t="s">
        <v>6305</v>
      </c>
      <c r="F6749" s="352"/>
    </row>
    <row r="6750" spans="1:6" s="315" customFormat="1" ht="15">
      <c r="A6750" s="472" t="s">
        <v>9019</v>
      </c>
      <c r="B6750" s="472" t="s">
        <v>9020</v>
      </c>
      <c r="C6750" s="472" t="s">
        <v>178</v>
      </c>
      <c r="D6750" s="472">
        <v>87.285799999999995</v>
      </c>
      <c r="E6750" s="472" t="s">
        <v>6305</v>
      </c>
      <c r="F6750" s="352"/>
    </row>
    <row r="6751" spans="1:6" s="315" customFormat="1" ht="15">
      <c r="A6751" s="472" t="s">
        <v>9021</v>
      </c>
      <c r="B6751" s="472" t="s">
        <v>9022</v>
      </c>
      <c r="C6751" s="472" t="s">
        <v>178</v>
      </c>
      <c r="D6751" s="472">
        <v>302.58929999999998</v>
      </c>
      <c r="E6751" s="472" t="s">
        <v>6305</v>
      </c>
      <c r="F6751" s="352"/>
    </row>
    <row r="6752" spans="1:6" s="315" customFormat="1" ht="15">
      <c r="A6752" s="472" t="s">
        <v>9023</v>
      </c>
      <c r="B6752" s="472" t="s">
        <v>9024</v>
      </c>
      <c r="C6752" s="472" t="s">
        <v>178</v>
      </c>
      <c r="D6752" s="472">
        <v>134.5857</v>
      </c>
      <c r="E6752" s="472" t="s">
        <v>6305</v>
      </c>
      <c r="F6752" s="352"/>
    </row>
    <row r="6753" spans="1:6" s="315" customFormat="1" ht="15">
      <c r="A6753" s="472" t="s">
        <v>9025</v>
      </c>
      <c r="B6753" s="472" t="s">
        <v>9026</v>
      </c>
      <c r="C6753" s="472" t="s">
        <v>178</v>
      </c>
      <c r="D6753" s="472">
        <v>5.5137999999999998</v>
      </c>
      <c r="E6753" s="472" t="s">
        <v>6305</v>
      </c>
      <c r="F6753" s="352"/>
    </row>
    <row r="6754" spans="1:6" s="315" customFormat="1" ht="15">
      <c r="A6754" s="472" t="s">
        <v>9027</v>
      </c>
      <c r="B6754" s="472" t="s">
        <v>9028</v>
      </c>
      <c r="C6754" s="472" t="s">
        <v>178</v>
      </c>
      <c r="D6754" s="472">
        <v>19.2926</v>
      </c>
      <c r="E6754" s="472" t="s">
        <v>6305</v>
      </c>
      <c r="F6754" s="352"/>
    </row>
    <row r="6755" spans="1:6" s="315" customFormat="1" ht="15">
      <c r="A6755" s="472" t="s">
        <v>9029</v>
      </c>
      <c r="B6755" s="472" t="s">
        <v>9030</v>
      </c>
      <c r="C6755" s="472" t="s">
        <v>178</v>
      </c>
      <c r="D6755" s="472">
        <v>88.287300000000002</v>
      </c>
      <c r="E6755" s="472" t="s">
        <v>6305</v>
      </c>
      <c r="F6755" s="352"/>
    </row>
    <row r="6756" spans="1:6" s="315" customFormat="1" ht="15">
      <c r="A6756" s="472" t="s">
        <v>9031</v>
      </c>
      <c r="B6756" s="472" t="s">
        <v>9032</v>
      </c>
      <c r="C6756" s="472" t="s">
        <v>178</v>
      </c>
      <c r="D6756" s="472">
        <v>110.49720000000001</v>
      </c>
      <c r="E6756" s="472" t="s">
        <v>6305</v>
      </c>
      <c r="F6756" s="352"/>
    </row>
    <row r="6757" spans="1:6" s="315" customFormat="1" ht="15">
      <c r="A6757" s="472" t="s">
        <v>9033</v>
      </c>
      <c r="B6757" s="472" t="s">
        <v>9034</v>
      </c>
      <c r="C6757" s="472" t="s">
        <v>178</v>
      </c>
      <c r="D6757" s="472">
        <v>3.1678000000000002</v>
      </c>
      <c r="E6757" s="472" t="s">
        <v>6305</v>
      </c>
      <c r="F6757" s="352"/>
    </row>
    <row r="6758" spans="1:6" s="315" customFormat="1" ht="15">
      <c r="A6758" s="472" t="s">
        <v>9035</v>
      </c>
      <c r="B6758" s="472" t="s">
        <v>9036</v>
      </c>
      <c r="C6758" s="472" t="s">
        <v>178</v>
      </c>
      <c r="D6758" s="472">
        <v>40.061300000000003</v>
      </c>
      <c r="E6758" s="472" t="s">
        <v>6305</v>
      </c>
      <c r="F6758" s="352"/>
    </row>
    <row r="6759" spans="1:6" s="315" customFormat="1" ht="15">
      <c r="A6759" s="472" t="s">
        <v>9037</v>
      </c>
      <c r="B6759" s="472" t="s">
        <v>9038</v>
      </c>
      <c r="C6759" s="472" t="s">
        <v>178</v>
      </c>
      <c r="D6759" s="472">
        <v>163.91829999999999</v>
      </c>
      <c r="E6759" s="472" t="s">
        <v>6305</v>
      </c>
      <c r="F6759" s="352"/>
    </row>
    <row r="6760" spans="1:6" s="315" customFormat="1" ht="15">
      <c r="A6760" s="472" t="s">
        <v>9039</v>
      </c>
      <c r="B6760" s="472" t="s">
        <v>7915</v>
      </c>
      <c r="C6760" s="472" t="s">
        <v>178</v>
      </c>
      <c r="D6760" s="472">
        <v>383.96140000000003</v>
      </c>
      <c r="E6760" s="472" t="s">
        <v>6305</v>
      </c>
      <c r="F6760" s="352"/>
    </row>
    <row r="6761" spans="1:6" s="315" customFormat="1" ht="15">
      <c r="A6761" s="472" t="s">
        <v>9040</v>
      </c>
      <c r="B6761" s="472" t="s">
        <v>9041</v>
      </c>
      <c r="C6761" s="472" t="s">
        <v>178</v>
      </c>
      <c r="D6761" s="472">
        <v>5.7942</v>
      </c>
      <c r="E6761" s="472" t="s">
        <v>6305</v>
      </c>
      <c r="F6761" s="352"/>
    </row>
    <row r="6762" spans="1:6" s="315" customFormat="1" ht="15">
      <c r="A6762" s="472" t="s">
        <v>9042</v>
      </c>
      <c r="B6762" s="472" t="s">
        <v>9043</v>
      </c>
      <c r="C6762" s="472" t="s">
        <v>178</v>
      </c>
      <c r="D6762" s="472">
        <v>171.51179999999999</v>
      </c>
      <c r="E6762" s="472" t="s">
        <v>6305</v>
      </c>
      <c r="F6762" s="352"/>
    </row>
    <row r="6763" spans="1:6" s="315" customFormat="1" ht="15">
      <c r="A6763" s="472" t="s">
        <v>9044</v>
      </c>
      <c r="B6763" s="472" t="s">
        <v>9045</v>
      </c>
      <c r="C6763" s="472" t="s">
        <v>178</v>
      </c>
      <c r="D6763" s="472">
        <v>7.8E-2</v>
      </c>
      <c r="E6763" s="472" t="s">
        <v>6305</v>
      </c>
      <c r="F6763" s="352"/>
    </row>
    <row r="6764" spans="1:6" s="315" customFormat="1" ht="15">
      <c r="A6764" s="472" t="s">
        <v>9046</v>
      </c>
      <c r="B6764" s="472" t="s">
        <v>6760</v>
      </c>
      <c r="C6764" s="472" t="s">
        <v>178</v>
      </c>
      <c r="D6764" s="472">
        <v>0.16270000000000001</v>
      </c>
      <c r="E6764" s="472" t="s">
        <v>6305</v>
      </c>
      <c r="F6764" s="352"/>
    </row>
    <row r="6765" spans="1:6" s="315" customFormat="1" ht="15">
      <c r="A6765" s="472" t="s">
        <v>9047</v>
      </c>
      <c r="B6765" s="472" t="s">
        <v>9048</v>
      </c>
      <c r="C6765" s="472" t="s">
        <v>178</v>
      </c>
      <c r="D6765" s="472">
        <v>0.89229999999999998</v>
      </c>
      <c r="E6765" s="472" t="s">
        <v>6305</v>
      </c>
      <c r="F6765" s="352"/>
    </row>
    <row r="6766" spans="1:6" s="315" customFormat="1" ht="15">
      <c r="A6766" s="472" t="s">
        <v>9049</v>
      </c>
      <c r="B6766" s="472" t="s">
        <v>9050</v>
      </c>
      <c r="C6766" s="472" t="s">
        <v>178</v>
      </c>
      <c r="D6766" s="472">
        <v>1.2028000000000001</v>
      </c>
      <c r="E6766" s="472" t="s">
        <v>6305</v>
      </c>
      <c r="F6766" s="352"/>
    </row>
    <row r="6767" spans="1:6" s="315" customFormat="1" ht="15">
      <c r="A6767" s="472" t="s">
        <v>9051</v>
      </c>
      <c r="B6767" s="472" t="s">
        <v>9052</v>
      </c>
      <c r="C6767" s="472" t="s">
        <v>178</v>
      </c>
      <c r="D6767" s="472">
        <v>3.1793</v>
      </c>
      <c r="E6767" s="472" t="s">
        <v>6305</v>
      </c>
      <c r="F6767" s="352"/>
    </row>
    <row r="6768" spans="1:6" s="315" customFormat="1" ht="15">
      <c r="A6768" s="472" t="s">
        <v>9053</v>
      </c>
      <c r="B6768" s="472" t="s">
        <v>9054</v>
      </c>
      <c r="C6768" s="472" t="s">
        <v>178</v>
      </c>
      <c r="D6768" s="472">
        <v>5.52</v>
      </c>
      <c r="E6768" s="472" t="s">
        <v>6305</v>
      </c>
      <c r="F6768" s="352"/>
    </row>
    <row r="6769" spans="1:6" s="315" customFormat="1" ht="15">
      <c r="A6769" s="472" t="s">
        <v>9055</v>
      </c>
      <c r="B6769" s="472" t="s">
        <v>9056</v>
      </c>
      <c r="C6769" s="472" t="s">
        <v>178</v>
      </c>
      <c r="D6769" s="472">
        <v>15.444000000000001</v>
      </c>
      <c r="E6769" s="472" t="s">
        <v>6305</v>
      </c>
      <c r="F6769" s="352"/>
    </row>
    <row r="6770" spans="1:6" s="315" customFormat="1" ht="15">
      <c r="A6770" s="472" t="s">
        <v>9057</v>
      </c>
      <c r="B6770" s="472" t="s">
        <v>9058</v>
      </c>
      <c r="C6770" s="472" t="s">
        <v>178</v>
      </c>
      <c r="D6770" s="472">
        <v>32.4176</v>
      </c>
      <c r="E6770" s="472" t="s">
        <v>6305</v>
      </c>
      <c r="F6770" s="352"/>
    </row>
    <row r="6771" spans="1:6" s="315" customFormat="1" ht="15">
      <c r="A6771" s="472" t="s">
        <v>9059</v>
      </c>
      <c r="B6771" s="472" t="s">
        <v>9060</v>
      </c>
      <c r="C6771" s="472" t="s">
        <v>178</v>
      </c>
      <c r="D6771" s="472">
        <v>200.84200000000001</v>
      </c>
      <c r="E6771" s="472" t="s">
        <v>6305</v>
      </c>
      <c r="F6771" s="352"/>
    </row>
    <row r="6772" spans="1:6" s="315" customFormat="1" ht="15">
      <c r="A6772" s="472" t="s">
        <v>9061</v>
      </c>
      <c r="B6772" s="472" t="s">
        <v>9062</v>
      </c>
      <c r="C6772" s="472" t="s">
        <v>178</v>
      </c>
      <c r="D6772" s="472">
        <v>3.4321999999999999</v>
      </c>
      <c r="E6772" s="472" t="s">
        <v>6305</v>
      </c>
      <c r="F6772" s="352"/>
    </row>
    <row r="6773" spans="1:6" s="315" customFormat="1" ht="15">
      <c r="A6773" s="472" t="s">
        <v>9063</v>
      </c>
      <c r="B6773" s="472" t="s">
        <v>9064</v>
      </c>
      <c r="C6773" s="472" t="s">
        <v>178</v>
      </c>
      <c r="D6773" s="472">
        <v>5.9309000000000003</v>
      </c>
      <c r="E6773" s="472" t="s">
        <v>6305</v>
      </c>
      <c r="F6773" s="352"/>
    </row>
    <row r="6774" spans="1:6" s="315" customFormat="1" ht="15">
      <c r="A6774" s="472" t="s">
        <v>9065</v>
      </c>
      <c r="B6774" s="472" t="s">
        <v>9066</v>
      </c>
      <c r="C6774" s="472" t="s">
        <v>178</v>
      </c>
      <c r="D6774" s="472">
        <v>453.91789999999997</v>
      </c>
      <c r="E6774" s="472" t="s">
        <v>6305</v>
      </c>
      <c r="F6774" s="352"/>
    </row>
    <row r="6775" spans="1:6" s="315" customFormat="1" ht="15">
      <c r="A6775" s="472" t="s">
        <v>9067</v>
      </c>
      <c r="B6775" s="472" t="s">
        <v>9068</v>
      </c>
      <c r="C6775" s="472" t="s">
        <v>178</v>
      </c>
      <c r="D6775" s="472">
        <v>385.36130000000003</v>
      </c>
      <c r="E6775" s="472" t="s">
        <v>6305</v>
      </c>
      <c r="F6775" s="352"/>
    </row>
    <row r="6776" spans="1:6" s="315" customFormat="1" ht="15">
      <c r="A6776" s="472" t="s">
        <v>9069</v>
      </c>
      <c r="B6776" s="472" t="s">
        <v>9070</v>
      </c>
      <c r="C6776" s="472" t="s">
        <v>178</v>
      </c>
      <c r="D6776" s="472">
        <v>302.745</v>
      </c>
      <c r="E6776" s="472" t="s">
        <v>6305</v>
      </c>
      <c r="F6776" s="352"/>
    </row>
    <row r="6777" spans="1:6" s="315" customFormat="1" ht="15">
      <c r="A6777" s="472" t="s">
        <v>9071</v>
      </c>
      <c r="B6777" s="472" t="s">
        <v>9072</v>
      </c>
      <c r="C6777" s="472" t="s">
        <v>178</v>
      </c>
      <c r="D6777" s="472">
        <v>12.362299999999999</v>
      </c>
      <c r="E6777" s="472" t="s">
        <v>6305</v>
      </c>
      <c r="F6777" s="352"/>
    </row>
    <row r="6778" spans="1:6" s="315" customFormat="1" ht="15">
      <c r="A6778" s="472" t="s">
        <v>9073</v>
      </c>
      <c r="B6778" s="472" t="s">
        <v>9074</v>
      </c>
      <c r="C6778" s="472" t="s">
        <v>178</v>
      </c>
      <c r="D6778" s="472">
        <v>0.13270000000000001</v>
      </c>
      <c r="E6778" s="472" t="s">
        <v>6305</v>
      </c>
      <c r="F6778" s="352"/>
    </row>
    <row r="6779" spans="1:6" s="315" customFormat="1" ht="15">
      <c r="A6779" s="472" t="s">
        <v>9075</v>
      </c>
      <c r="B6779" s="472" t="s">
        <v>9076</v>
      </c>
      <c r="C6779" s="472" t="s">
        <v>178</v>
      </c>
      <c r="D6779" s="472">
        <v>261.27640000000002</v>
      </c>
      <c r="E6779" s="472" t="s">
        <v>6305</v>
      </c>
      <c r="F6779" s="352"/>
    </row>
    <row r="6780" spans="1:6" s="315" customFormat="1" ht="15">
      <c r="A6780" s="472" t="s">
        <v>9077</v>
      </c>
      <c r="B6780" s="472" t="s">
        <v>9078</v>
      </c>
      <c r="C6780" s="472" t="s">
        <v>178</v>
      </c>
      <c r="D6780" s="472">
        <v>364.3648</v>
      </c>
      <c r="E6780" s="472" t="s">
        <v>6305</v>
      </c>
      <c r="F6780" s="352"/>
    </row>
    <row r="6781" spans="1:6" s="315" customFormat="1" ht="15">
      <c r="A6781" s="472" t="s">
        <v>9079</v>
      </c>
      <c r="B6781" s="472" t="s">
        <v>9080</v>
      </c>
      <c r="C6781" s="472" t="s">
        <v>178</v>
      </c>
      <c r="D6781" s="472">
        <v>166.03749999999999</v>
      </c>
      <c r="E6781" s="472" t="s">
        <v>6305</v>
      </c>
      <c r="F6781" s="352"/>
    </row>
    <row r="6782" spans="1:6" s="315" customFormat="1" ht="15">
      <c r="A6782" s="472" t="s">
        <v>9081</v>
      </c>
      <c r="B6782" s="472" t="s">
        <v>9082</v>
      </c>
      <c r="C6782" s="472" t="s">
        <v>178</v>
      </c>
      <c r="D6782" s="472">
        <v>124.90219999999999</v>
      </c>
      <c r="E6782" s="472" t="s">
        <v>6305</v>
      </c>
      <c r="F6782" s="352"/>
    </row>
    <row r="6783" spans="1:6" s="315" customFormat="1" ht="15">
      <c r="A6783" s="472" t="s">
        <v>9083</v>
      </c>
      <c r="B6783" s="472" t="s">
        <v>9084</v>
      </c>
      <c r="C6783" s="472" t="s">
        <v>178</v>
      </c>
      <c r="D6783" s="472">
        <v>3.3439000000000001</v>
      </c>
      <c r="E6783" s="472" t="s">
        <v>6305</v>
      </c>
      <c r="F6783" s="352"/>
    </row>
    <row r="6784" spans="1:6" s="315" customFormat="1" ht="15">
      <c r="A6784" s="472" t="s">
        <v>9085</v>
      </c>
      <c r="B6784" s="472" t="s">
        <v>9086</v>
      </c>
      <c r="C6784" s="472" t="s">
        <v>178</v>
      </c>
      <c r="D6784" s="472">
        <v>521.44870000000003</v>
      </c>
      <c r="E6784" s="472" t="s">
        <v>6305</v>
      </c>
      <c r="F6784" s="352"/>
    </row>
    <row r="6785" spans="1:6" s="315" customFormat="1" ht="15">
      <c r="A6785" s="472" t="s">
        <v>9087</v>
      </c>
      <c r="B6785" s="472" t="s">
        <v>9088</v>
      </c>
      <c r="C6785" s="472" t="s">
        <v>178</v>
      </c>
      <c r="D6785" s="472">
        <v>139.45650000000001</v>
      </c>
      <c r="E6785" s="472" t="s">
        <v>6305</v>
      </c>
      <c r="F6785" s="352"/>
    </row>
    <row r="6786" spans="1:6" s="315" customFormat="1" ht="15">
      <c r="A6786" s="472" t="s">
        <v>9089</v>
      </c>
      <c r="B6786" s="472" t="s">
        <v>9090</v>
      </c>
      <c r="C6786" s="472" t="s">
        <v>178</v>
      </c>
      <c r="D6786" s="472">
        <v>7.5378999999999996</v>
      </c>
      <c r="E6786" s="472" t="s">
        <v>6305</v>
      </c>
      <c r="F6786" s="352"/>
    </row>
    <row r="6787" spans="1:6" s="315" customFormat="1" ht="15">
      <c r="A6787" s="472" t="s">
        <v>9091</v>
      </c>
      <c r="B6787" s="472" t="s">
        <v>7805</v>
      </c>
      <c r="C6787" s="472" t="s">
        <v>178</v>
      </c>
      <c r="D6787" s="472">
        <v>105.7415</v>
      </c>
      <c r="E6787" s="472" t="s">
        <v>6305</v>
      </c>
      <c r="F6787" s="352"/>
    </row>
    <row r="6788" spans="1:6" s="315" customFormat="1" ht="15">
      <c r="A6788" s="472" t="s">
        <v>9092</v>
      </c>
      <c r="B6788" s="472" t="s">
        <v>9093</v>
      </c>
      <c r="C6788" s="472" t="s">
        <v>178</v>
      </c>
      <c r="D6788" s="472">
        <v>24.102799999999998</v>
      </c>
      <c r="E6788" s="472" t="s">
        <v>6305</v>
      </c>
      <c r="F6788" s="352"/>
    </row>
    <row r="6789" spans="1:6" s="315" customFormat="1" ht="15">
      <c r="A6789" s="472" t="s">
        <v>9094</v>
      </c>
      <c r="B6789" s="472" t="s">
        <v>9095</v>
      </c>
      <c r="C6789" s="472" t="s">
        <v>178</v>
      </c>
      <c r="D6789" s="472">
        <v>6.7073</v>
      </c>
      <c r="E6789" s="472" t="s">
        <v>6305</v>
      </c>
      <c r="F6789" s="352"/>
    </row>
    <row r="6790" spans="1:6" s="315" customFormat="1" ht="15">
      <c r="A6790" s="472" t="s">
        <v>9096</v>
      </c>
      <c r="B6790" s="472" t="s">
        <v>9097</v>
      </c>
      <c r="C6790" s="472" t="s">
        <v>178</v>
      </c>
      <c r="D6790" s="472">
        <v>534.91060000000004</v>
      </c>
      <c r="E6790" s="472" t="s">
        <v>6305</v>
      </c>
      <c r="F6790" s="352"/>
    </row>
    <row r="6791" spans="1:6" s="315" customFormat="1" ht="15">
      <c r="A6791" s="472" t="s">
        <v>9098</v>
      </c>
      <c r="B6791" s="472" t="s">
        <v>9099</v>
      </c>
      <c r="C6791" s="472" t="s">
        <v>178</v>
      </c>
      <c r="D6791" s="472">
        <v>128.76509999999999</v>
      </c>
      <c r="E6791" s="472" t="s">
        <v>6305</v>
      </c>
      <c r="F6791" s="352"/>
    </row>
    <row r="6792" spans="1:6" s="315" customFormat="1" ht="15">
      <c r="A6792" s="472" t="s">
        <v>9100</v>
      </c>
      <c r="B6792" s="472" t="s">
        <v>8018</v>
      </c>
      <c r="C6792" s="472" t="s">
        <v>178</v>
      </c>
      <c r="D6792" s="472">
        <v>61.144599999999997</v>
      </c>
      <c r="E6792" s="472" t="s">
        <v>6305</v>
      </c>
      <c r="F6792" s="352"/>
    </row>
    <row r="6793" spans="1:6" s="315" customFormat="1" ht="15">
      <c r="A6793" s="472" t="s">
        <v>9101</v>
      </c>
      <c r="B6793" s="472" t="s">
        <v>9102</v>
      </c>
      <c r="C6793" s="472" t="s">
        <v>178</v>
      </c>
      <c r="D6793" s="472">
        <v>16.9937</v>
      </c>
      <c r="E6793" s="472" t="s">
        <v>6305</v>
      </c>
      <c r="F6793" s="352"/>
    </row>
    <row r="6794" spans="1:6" s="315" customFormat="1" ht="15">
      <c r="A6794" s="472" t="s">
        <v>9103</v>
      </c>
      <c r="B6794" s="472" t="s">
        <v>9104</v>
      </c>
      <c r="C6794" s="472" t="s">
        <v>178</v>
      </c>
      <c r="D6794" s="472">
        <v>2592.8166999999999</v>
      </c>
      <c r="E6794" s="472" t="s">
        <v>6305</v>
      </c>
      <c r="F6794" s="352"/>
    </row>
    <row r="6795" spans="1:6" s="315" customFormat="1" ht="15">
      <c r="A6795" s="472" t="s">
        <v>9105</v>
      </c>
      <c r="B6795" s="472" t="s">
        <v>9106</v>
      </c>
      <c r="C6795" s="472" t="s">
        <v>178</v>
      </c>
      <c r="D6795" s="472">
        <v>3075.3062</v>
      </c>
      <c r="E6795" s="472" t="s">
        <v>6305</v>
      </c>
      <c r="F6795" s="352"/>
    </row>
    <row r="6796" spans="1:6" s="315" customFormat="1" ht="15">
      <c r="A6796" s="472" t="s">
        <v>9107</v>
      </c>
      <c r="B6796" s="472" t="s">
        <v>9108</v>
      </c>
      <c r="C6796" s="472" t="s">
        <v>178</v>
      </c>
      <c r="D6796" s="472">
        <v>5930.8185000000003</v>
      </c>
      <c r="E6796" s="472" t="s">
        <v>6305</v>
      </c>
      <c r="F6796" s="352"/>
    </row>
    <row r="6797" spans="1:6" s="315" customFormat="1" ht="15">
      <c r="A6797" s="472" t="s">
        <v>9109</v>
      </c>
      <c r="B6797" s="472" t="s">
        <v>9110</v>
      </c>
      <c r="C6797" s="472" t="s">
        <v>178</v>
      </c>
      <c r="D6797" s="472">
        <v>7849.8607000000002</v>
      </c>
      <c r="E6797" s="472" t="s">
        <v>6305</v>
      </c>
      <c r="F6797" s="352"/>
    </row>
    <row r="6798" spans="1:6" s="315" customFormat="1" ht="15">
      <c r="A6798" s="472" t="s">
        <v>9111</v>
      </c>
      <c r="B6798" s="472" t="s">
        <v>9112</v>
      </c>
      <c r="C6798" s="472" t="s">
        <v>178</v>
      </c>
      <c r="D6798" s="472">
        <v>9054.9357999999993</v>
      </c>
      <c r="E6798" s="472" t="s">
        <v>6305</v>
      </c>
      <c r="F6798" s="352"/>
    </row>
    <row r="6799" spans="1:6" s="315" customFormat="1" ht="15">
      <c r="A6799" s="472" t="s">
        <v>9113</v>
      </c>
      <c r="B6799" s="472" t="s">
        <v>9114</v>
      </c>
      <c r="C6799" s="472" t="s">
        <v>178</v>
      </c>
      <c r="D6799" s="472">
        <v>10783.8153</v>
      </c>
      <c r="E6799" s="472" t="s">
        <v>6305</v>
      </c>
      <c r="F6799" s="352"/>
    </row>
    <row r="6800" spans="1:6" s="315" customFormat="1" ht="15">
      <c r="A6800" s="472" t="s">
        <v>9115</v>
      </c>
      <c r="B6800" s="472" t="s">
        <v>9116</v>
      </c>
      <c r="C6800" s="472" t="s">
        <v>178</v>
      </c>
      <c r="D6800" s="472">
        <v>44.108499999999999</v>
      </c>
      <c r="E6800" s="472" t="s">
        <v>6305</v>
      </c>
      <c r="F6800" s="352"/>
    </row>
    <row r="6801" spans="1:6" s="315" customFormat="1" ht="15">
      <c r="A6801" s="472" t="s">
        <v>9117</v>
      </c>
      <c r="B6801" s="472" t="s">
        <v>9118</v>
      </c>
      <c r="C6801" s="472" t="s">
        <v>178</v>
      </c>
      <c r="D6801" s="472">
        <v>274.07380000000001</v>
      </c>
      <c r="E6801" s="472" t="s">
        <v>6305</v>
      </c>
      <c r="F6801" s="352"/>
    </row>
    <row r="6802" spans="1:6" s="315" customFormat="1" ht="15">
      <c r="A6802" s="472" t="s">
        <v>9119</v>
      </c>
      <c r="B6802" s="472" t="s">
        <v>9120</v>
      </c>
      <c r="C6802" s="472" t="s">
        <v>178</v>
      </c>
      <c r="D6802" s="472">
        <v>402.76280000000003</v>
      </c>
      <c r="E6802" s="472" t="s">
        <v>6305</v>
      </c>
      <c r="F6802" s="352"/>
    </row>
    <row r="6803" spans="1:6" s="315" customFormat="1" ht="15">
      <c r="A6803" s="472" t="s">
        <v>9121</v>
      </c>
      <c r="B6803" s="472" t="s">
        <v>9122</v>
      </c>
      <c r="C6803" s="472" t="s">
        <v>178</v>
      </c>
      <c r="D6803" s="472">
        <v>538.67539999999997</v>
      </c>
      <c r="E6803" s="472" t="s">
        <v>6305</v>
      </c>
      <c r="F6803" s="352"/>
    </row>
    <row r="6804" spans="1:6" s="315" customFormat="1" ht="15">
      <c r="A6804" s="472" t="s">
        <v>9123</v>
      </c>
      <c r="B6804" s="472" t="s">
        <v>9124</v>
      </c>
      <c r="C6804" s="472" t="s">
        <v>178</v>
      </c>
      <c r="D6804" s="472">
        <v>190.00069999999999</v>
      </c>
      <c r="E6804" s="472" t="s">
        <v>6305</v>
      </c>
      <c r="F6804" s="352"/>
    </row>
    <row r="6805" spans="1:6" s="315" customFormat="1" ht="15">
      <c r="A6805" s="472" t="s">
        <v>9125</v>
      </c>
      <c r="B6805" s="472" t="s">
        <v>9126</v>
      </c>
      <c r="C6805" s="472" t="s">
        <v>178</v>
      </c>
      <c r="D6805" s="472">
        <v>122.0163</v>
      </c>
      <c r="E6805" s="472" t="s">
        <v>6305</v>
      </c>
      <c r="F6805" s="352"/>
    </row>
    <row r="6806" spans="1:6" s="315" customFormat="1" ht="15">
      <c r="A6806" s="472" t="s">
        <v>9127</v>
      </c>
      <c r="B6806" s="472" t="s">
        <v>9128</v>
      </c>
      <c r="C6806" s="472" t="s">
        <v>178</v>
      </c>
      <c r="D6806" s="472">
        <v>556.62789999999995</v>
      </c>
      <c r="E6806" s="472" t="s">
        <v>6305</v>
      </c>
      <c r="F6806" s="352"/>
    </row>
    <row r="6807" spans="1:6" s="315" customFormat="1" ht="15">
      <c r="A6807" s="472" t="s">
        <v>9129</v>
      </c>
      <c r="B6807" s="472" t="s">
        <v>7893</v>
      </c>
      <c r="C6807" s="472" t="s">
        <v>178</v>
      </c>
      <c r="D6807" s="472">
        <v>55.837600000000002</v>
      </c>
      <c r="E6807" s="472" t="s">
        <v>6305</v>
      </c>
      <c r="F6807" s="352"/>
    </row>
    <row r="6808" spans="1:6" s="315" customFormat="1" ht="15">
      <c r="A6808" s="472" t="s">
        <v>9130</v>
      </c>
      <c r="B6808" s="472" t="s">
        <v>9131</v>
      </c>
      <c r="C6808" s="472" t="s">
        <v>178</v>
      </c>
      <c r="D6808" s="472">
        <v>301.71319999999997</v>
      </c>
      <c r="E6808" s="472" t="s">
        <v>6305</v>
      </c>
      <c r="F6808" s="352"/>
    </row>
    <row r="6809" spans="1:6" s="315" customFormat="1" ht="15">
      <c r="A6809" s="472" t="s">
        <v>9132</v>
      </c>
      <c r="B6809" s="472" t="s">
        <v>9133</v>
      </c>
      <c r="C6809" s="472" t="s">
        <v>178</v>
      </c>
      <c r="D6809" s="472">
        <v>0.87070000000000003</v>
      </c>
      <c r="E6809" s="472" t="s">
        <v>6305</v>
      </c>
      <c r="F6809" s="352"/>
    </row>
    <row r="6810" spans="1:6" s="315" customFormat="1" ht="15">
      <c r="A6810" s="472" t="s">
        <v>9134</v>
      </c>
      <c r="B6810" s="472" t="s">
        <v>9135</v>
      </c>
      <c r="C6810" s="472" t="s">
        <v>178</v>
      </c>
      <c r="D6810" s="472">
        <v>121.55710000000001</v>
      </c>
      <c r="E6810" s="472" t="s">
        <v>6305</v>
      </c>
      <c r="F6810" s="352"/>
    </row>
    <row r="6811" spans="1:6" s="315" customFormat="1" ht="15">
      <c r="A6811" s="472" t="s">
        <v>9136</v>
      </c>
      <c r="B6811" s="472" t="s">
        <v>9137</v>
      </c>
      <c r="C6811" s="472" t="s">
        <v>178</v>
      </c>
      <c r="D6811" s="472">
        <v>38.260300000000001</v>
      </c>
      <c r="E6811" s="472" t="s">
        <v>6305</v>
      </c>
      <c r="F6811" s="352"/>
    </row>
    <row r="6812" spans="1:6" s="315" customFormat="1" ht="15">
      <c r="A6812" s="472" t="s">
        <v>9138</v>
      </c>
      <c r="B6812" s="472" t="s">
        <v>26765</v>
      </c>
      <c r="C6812" s="472" t="s">
        <v>178</v>
      </c>
      <c r="D6812" s="472">
        <v>613.52239999999995</v>
      </c>
      <c r="E6812" s="472" t="s">
        <v>6305</v>
      </c>
      <c r="F6812" s="352"/>
    </row>
    <row r="6813" spans="1:6" s="315" customFormat="1" ht="15">
      <c r="A6813" s="472" t="s">
        <v>9139</v>
      </c>
      <c r="B6813" s="472" t="s">
        <v>26766</v>
      </c>
      <c r="C6813" s="472" t="s">
        <v>178</v>
      </c>
      <c r="D6813" s="472">
        <v>748.18219999999997</v>
      </c>
      <c r="E6813" s="472" t="s">
        <v>6305</v>
      </c>
      <c r="F6813" s="352"/>
    </row>
    <row r="6814" spans="1:6" s="315" customFormat="1" ht="15">
      <c r="A6814" s="472" t="s">
        <v>9140</v>
      </c>
      <c r="B6814" s="472" t="s">
        <v>9141</v>
      </c>
      <c r="C6814" s="472" t="s">
        <v>178</v>
      </c>
      <c r="D6814" s="472">
        <v>69.912400000000005</v>
      </c>
      <c r="E6814" s="472" t="s">
        <v>6305</v>
      </c>
      <c r="F6814" s="352"/>
    </row>
    <row r="6815" spans="1:6" s="315" customFormat="1" ht="15">
      <c r="A6815" s="472" t="s">
        <v>9142</v>
      </c>
      <c r="B6815" s="472" t="s">
        <v>8019</v>
      </c>
      <c r="C6815" s="472" t="s">
        <v>178</v>
      </c>
      <c r="D6815" s="472">
        <v>60.961599999999997</v>
      </c>
      <c r="E6815" s="472" t="s">
        <v>6305</v>
      </c>
      <c r="F6815" s="352"/>
    </row>
    <row r="6816" spans="1:6" s="315" customFormat="1" ht="15">
      <c r="A6816" s="472" t="s">
        <v>9143</v>
      </c>
      <c r="B6816" s="472" t="s">
        <v>9144</v>
      </c>
      <c r="C6816" s="472" t="s">
        <v>178</v>
      </c>
      <c r="D6816" s="472">
        <v>4.0088999999999997</v>
      </c>
      <c r="E6816" s="472" t="s">
        <v>6305</v>
      </c>
      <c r="F6816" s="352"/>
    </row>
    <row r="6817" spans="1:6" s="315" customFormat="1" ht="15">
      <c r="A6817" s="472" t="s">
        <v>9145</v>
      </c>
      <c r="B6817" s="472" t="s">
        <v>9146</v>
      </c>
      <c r="C6817" s="472" t="s">
        <v>178</v>
      </c>
      <c r="D6817" s="472">
        <v>7.2752999999999997</v>
      </c>
      <c r="E6817" s="472" t="s">
        <v>6305</v>
      </c>
      <c r="F6817" s="352"/>
    </row>
    <row r="6818" spans="1:6" s="315" customFormat="1" ht="15">
      <c r="A6818" s="472" t="s">
        <v>9147</v>
      </c>
      <c r="B6818" s="472" t="s">
        <v>9148</v>
      </c>
      <c r="C6818" s="472" t="s">
        <v>178</v>
      </c>
      <c r="D6818" s="472">
        <v>17124.896799999999</v>
      </c>
      <c r="E6818" s="472" t="s">
        <v>6305</v>
      </c>
      <c r="F6818" s="352"/>
    </row>
    <row r="6819" spans="1:6" s="315" customFormat="1" ht="15">
      <c r="A6819" s="472" t="s">
        <v>9149</v>
      </c>
      <c r="B6819" s="472" t="s">
        <v>9150</v>
      </c>
      <c r="C6819" s="472" t="s">
        <v>178</v>
      </c>
      <c r="D6819" s="472">
        <v>24585.9198</v>
      </c>
      <c r="E6819" s="472" t="s">
        <v>6305</v>
      </c>
      <c r="F6819" s="352"/>
    </row>
    <row r="6820" spans="1:6" s="315" customFormat="1" ht="15">
      <c r="A6820" s="472" t="s">
        <v>9151</v>
      </c>
      <c r="B6820" s="472" t="s">
        <v>9152</v>
      </c>
      <c r="C6820" s="472" t="s">
        <v>178</v>
      </c>
      <c r="D6820" s="472">
        <v>32086.469300000001</v>
      </c>
      <c r="E6820" s="472" t="s">
        <v>6305</v>
      </c>
      <c r="F6820" s="352"/>
    </row>
    <row r="6821" spans="1:6" s="315" customFormat="1" ht="15">
      <c r="A6821" s="472" t="s">
        <v>9153</v>
      </c>
      <c r="B6821" s="472" t="s">
        <v>9154</v>
      </c>
      <c r="C6821" s="472" t="s">
        <v>178</v>
      </c>
      <c r="D6821" s="472">
        <v>2.7408999999999999</v>
      </c>
      <c r="E6821" s="472" t="s">
        <v>6305</v>
      </c>
      <c r="F6821" s="352"/>
    </row>
    <row r="6822" spans="1:6" s="315" customFormat="1" ht="15">
      <c r="A6822" s="472" t="s">
        <v>9155</v>
      </c>
      <c r="B6822" s="472" t="s">
        <v>7909</v>
      </c>
      <c r="C6822" s="472" t="s">
        <v>178</v>
      </c>
      <c r="D6822" s="472">
        <v>0.49430000000000002</v>
      </c>
      <c r="E6822" s="472" t="s">
        <v>6305</v>
      </c>
      <c r="F6822" s="352"/>
    </row>
    <row r="6823" spans="1:6" s="315" customFormat="1" ht="15">
      <c r="A6823" s="472" t="s">
        <v>9156</v>
      </c>
      <c r="B6823" s="472" t="s">
        <v>9157</v>
      </c>
      <c r="C6823" s="472" t="s">
        <v>178</v>
      </c>
      <c r="D6823" s="472">
        <v>43.863</v>
      </c>
      <c r="E6823" s="472" t="s">
        <v>6305</v>
      </c>
      <c r="F6823" s="352"/>
    </row>
    <row r="6824" spans="1:6" s="315" customFormat="1" ht="15">
      <c r="A6824" s="472" t="s">
        <v>9158</v>
      </c>
      <c r="B6824" s="472" t="s">
        <v>9159</v>
      </c>
      <c r="C6824" s="472" t="s">
        <v>178</v>
      </c>
      <c r="D6824" s="472">
        <v>8.7355999999999998</v>
      </c>
      <c r="E6824" s="472" t="s">
        <v>6305</v>
      </c>
      <c r="F6824" s="352"/>
    </row>
    <row r="6825" spans="1:6" s="315" customFormat="1" ht="15">
      <c r="A6825" s="472" t="s">
        <v>9160</v>
      </c>
      <c r="B6825" s="472" t="s">
        <v>9161</v>
      </c>
      <c r="C6825" s="472" t="s">
        <v>178</v>
      </c>
      <c r="D6825" s="472">
        <v>9.9747000000000003</v>
      </c>
      <c r="E6825" s="472" t="s">
        <v>6305</v>
      </c>
      <c r="F6825" s="352"/>
    </row>
    <row r="6826" spans="1:6" s="315" customFormat="1" ht="15">
      <c r="A6826" s="472" t="s">
        <v>9162</v>
      </c>
      <c r="B6826" s="472" t="s">
        <v>9163</v>
      </c>
      <c r="C6826" s="472" t="s">
        <v>178</v>
      </c>
      <c r="D6826" s="472">
        <v>10.855</v>
      </c>
      <c r="E6826" s="472" t="s">
        <v>6305</v>
      </c>
      <c r="F6826" s="352"/>
    </row>
    <row r="6827" spans="1:6" s="315" customFormat="1" ht="15">
      <c r="A6827" s="472" t="s">
        <v>9164</v>
      </c>
      <c r="B6827" s="472" t="s">
        <v>9165</v>
      </c>
      <c r="C6827" s="472" t="s">
        <v>178</v>
      </c>
      <c r="D6827" s="472">
        <v>324.6619</v>
      </c>
      <c r="E6827" s="472" t="s">
        <v>6305</v>
      </c>
      <c r="F6827" s="352"/>
    </row>
    <row r="6828" spans="1:6" s="315" customFormat="1" ht="15">
      <c r="A6828" s="472" t="s">
        <v>9166</v>
      </c>
      <c r="B6828" s="472" t="s">
        <v>9167</v>
      </c>
      <c r="C6828" s="472" t="s">
        <v>178</v>
      </c>
      <c r="D6828" s="472">
        <v>529.84939999999995</v>
      </c>
      <c r="E6828" s="472" t="s">
        <v>6305</v>
      </c>
      <c r="F6828" s="352"/>
    </row>
    <row r="6829" spans="1:6" s="315" customFormat="1" ht="15">
      <c r="A6829" s="472" t="s">
        <v>9168</v>
      </c>
      <c r="B6829" s="472" t="s">
        <v>9169</v>
      </c>
      <c r="C6829" s="472" t="s">
        <v>178</v>
      </c>
      <c r="D6829" s="472">
        <v>858.25630000000001</v>
      </c>
      <c r="E6829" s="472" t="s">
        <v>6305</v>
      </c>
      <c r="F6829" s="352"/>
    </row>
    <row r="6830" spans="1:6" s="315" customFormat="1" ht="15">
      <c r="A6830" s="472" t="s">
        <v>9170</v>
      </c>
      <c r="B6830" s="472" t="s">
        <v>9171</v>
      </c>
      <c r="C6830" s="472" t="s">
        <v>178</v>
      </c>
      <c r="D6830" s="472">
        <v>1363.7447999999999</v>
      </c>
      <c r="E6830" s="472" t="s">
        <v>6305</v>
      </c>
      <c r="F6830" s="352"/>
    </row>
    <row r="6831" spans="1:6" s="315" customFormat="1" ht="15">
      <c r="A6831" s="472" t="s">
        <v>9172</v>
      </c>
      <c r="B6831" s="472" t="s">
        <v>9173</v>
      </c>
      <c r="C6831" s="472" t="s">
        <v>178</v>
      </c>
      <c r="D6831" s="472">
        <v>371.5027</v>
      </c>
      <c r="E6831" s="472" t="s">
        <v>6305</v>
      </c>
      <c r="F6831" s="352"/>
    </row>
    <row r="6832" spans="1:6" s="315" customFormat="1" ht="15">
      <c r="A6832" s="472" t="s">
        <v>9174</v>
      </c>
      <c r="B6832" s="472" t="s">
        <v>9175</v>
      </c>
      <c r="C6832" s="472" t="s">
        <v>178</v>
      </c>
      <c r="D6832" s="472">
        <v>15.930300000000001</v>
      </c>
      <c r="E6832" s="472" t="s">
        <v>6305</v>
      </c>
      <c r="F6832" s="352"/>
    </row>
    <row r="6833" spans="1:6" s="315" customFormat="1" ht="15">
      <c r="A6833" s="472" t="s">
        <v>9176</v>
      </c>
      <c r="B6833" s="472" t="s">
        <v>9177</v>
      </c>
      <c r="C6833" s="472" t="s">
        <v>178</v>
      </c>
      <c r="D6833" s="472">
        <v>30.9937</v>
      </c>
      <c r="E6833" s="472" t="s">
        <v>6305</v>
      </c>
      <c r="F6833" s="352"/>
    </row>
    <row r="6834" spans="1:6" s="315" customFormat="1" ht="15">
      <c r="A6834" s="472" t="s">
        <v>9178</v>
      </c>
      <c r="B6834" s="472" t="s">
        <v>9179</v>
      </c>
      <c r="C6834" s="472" t="s">
        <v>178</v>
      </c>
      <c r="D6834" s="472">
        <v>153.7457</v>
      </c>
      <c r="E6834" s="472" t="s">
        <v>6305</v>
      </c>
      <c r="F6834" s="352"/>
    </row>
    <row r="6835" spans="1:6" s="315" customFormat="1" ht="15">
      <c r="A6835" s="472" t="s">
        <v>9180</v>
      </c>
      <c r="B6835" s="472" t="s">
        <v>9181</v>
      </c>
      <c r="C6835" s="472" t="s">
        <v>178</v>
      </c>
      <c r="D6835" s="472">
        <v>0.39410000000000001</v>
      </c>
      <c r="E6835" s="472" t="s">
        <v>6305</v>
      </c>
      <c r="F6835" s="352"/>
    </row>
    <row r="6836" spans="1:6" s="315" customFormat="1" ht="15">
      <c r="A6836" s="472" t="s">
        <v>9182</v>
      </c>
      <c r="B6836" s="472" t="s">
        <v>9183</v>
      </c>
      <c r="C6836" s="472" t="s">
        <v>178</v>
      </c>
      <c r="D6836" s="472">
        <v>26.3127</v>
      </c>
      <c r="E6836" s="472" t="s">
        <v>6305</v>
      </c>
      <c r="F6836" s="352"/>
    </row>
    <row r="6837" spans="1:6" s="315" customFormat="1" ht="15">
      <c r="A6837" s="472" t="s">
        <v>9184</v>
      </c>
      <c r="B6837" s="472" t="s">
        <v>9185</v>
      </c>
      <c r="C6837" s="472" t="s">
        <v>178</v>
      </c>
      <c r="D6837" s="472">
        <v>7.2563000000000004</v>
      </c>
      <c r="E6837" s="472" t="s">
        <v>6305</v>
      </c>
      <c r="F6837" s="352"/>
    </row>
    <row r="6838" spans="1:6" s="315" customFormat="1" ht="15">
      <c r="A6838" s="472" t="s">
        <v>9186</v>
      </c>
      <c r="B6838" s="472" t="s">
        <v>9187</v>
      </c>
      <c r="C6838" s="472" t="s">
        <v>178</v>
      </c>
      <c r="D6838" s="472">
        <v>177.05940000000001</v>
      </c>
      <c r="E6838" s="472" t="s">
        <v>6305</v>
      </c>
      <c r="F6838" s="352"/>
    </row>
    <row r="6839" spans="1:6" s="315" customFormat="1" ht="15">
      <c r="A6839" s="472" t="s">
        <v>9188</v>
      </c>
      <c r="B6839" s="472" t="s">
        <v>7748</v>
      </c>
      <c r="C6839" s="472" t="s">
        <v>178</v>
      </c>
      <c r="D6839" s="472">
        <v>52.485300000000002</v>
      </c>
      <c r="E6839" s="472" t="s">
        <v>6305</v>
      </c>
      <c r="F6839" s="352"/>
    </row>
    <row r="6840" spans="1:6" s="315" customFormat="1" ht="15">
      <c r="A6840" s="472" t="s">
        <v>9189</v>
      </c>
      <c r="B6840" s="472" t="s">
        <v>7892</v>
      </c>
      <c r="C6840" s="472" t="s">
        <v>178</v>
      </c>
      <c r="D6840" s="472">
        <v>341.64069999999998</v>
      </c>
      <c r="E6840" s="472" t="s">
        <v>6305</v>
      </c>
      <c r="F6840" s="352"/>
    </row>
    <row r="6841" spans="1:6" s="315" customFormat="1" ht="15">
      <c r="A6841" s="472" t="s">
        <v>9190</v>
      </c>
      <c r="B6841" s="472" t="s">
        <v>9191</v>
      </c>
      <c r="C6841" s="472" t="s">
        <v>178</v>
      </c>
      <c r="D6841" s="472">
        <v>305.74279999999999</v>
      </c>
      <c r="E6841" s="472" t="s">
        <v>6305</v>
      </c>
      <c r="F6841" s="352"/>
    </row>
    <row r="6842" spans="1:6" s="315" customFormat="1" ht="15">
      <c r="A6842" s="472" t="s">
        <v>9192</v>
      </c>
      <c r="B6842" s="472" t="s">
        <v>9193</v>
      </c>
      <c r="C6842" s="472" t="s">
        <v>178</v>
      </c>
      <c r="D6842" s="472">
        <v>290.85180000000003</v>
      </c>
      <c r="E6842" s="472" t="s">
        <v>6305</v>
      </c>
      <c r="F6842" s="352"/>
    </row>
    <row r="6843" spans="1:6" s="315" customFormat="1" ht="15">
      <c r="A6843" s="472" t="s">
        <v>9194</v>
      </c>
      <c r="B6843" s="472" t="s">
        <v>9195</v>
      </c>
      <c r="C6843" s="472" t="s">
        <v>178</v>
      </c>
      <c r="D6843" s="472">
        <v>299.99579999999997</v>
      </c>
      <c r="E6843" s="472" t="s">
        <v>6305</v>
      </c>
      <c r="F6843" s="352"/>
    </row>
    <row r="6844" spans="1:6" s="315" customFormat="1" ht="15">
      <c r="A6844" s="472" t="s">
        <v>9196</v>
      </c>
      <c r="B6844" s="472" t="s">
        <v>9197</v>
      </c>
      <c r="C6844" s="472" t="s">
        <v>178</v>
      </c>
      <c r="D6844" s="472">
        <v>299.99579999999997</v>
      </c>
      <c r="E6844" s="472" t="s">
        <v>6305</v>
      </c>
      <c r="F6844" s="352"/>
    </row>
    <row r="6845" spans="1:6" s="315" customFormat="1" ht="15">
      <c r="A6845" s="472" t="s">
        <v>9198</v>
      </c>
      <c r="B6845" s="472" t="s">
        <v>9199</v>
      </c>
      <c r="C6845" s="472" t="s">
        <v>178</v>
      </c>
      <c r="D6845" s="472">
        <v>301.62569999999999</v>
      </c>
      <c r="E6845" s="472" t="s">
        <v>6305</v>
      </c>
      <c r="F6845" s="352"/>
    </row>
    <row r="6846" spans="1:6" s="315" customFormat="1" ht="15">
      <c r="A6846" s="472" t="s">
        <v>9200</v>
      </c>
      <c r="B6846" s="472" t="s">
        <v>9201</v>
      </c>
      <c r="C6846" s="472" t="s">
        <v>178</v>
      </c>
      <c r="D6846" s="472">
        <v>298.76280000000003</v>
      </c>
      <c r="E6846" s="472" t="s">
        <v>6305</v>
      </c>
      <c r="F6846" s="352"/>
    </row>
    <row r="6847" spans="1:6" s="315" customFormat="1" ht="15">
      <c r="A6847" s="472" t="s">
        <v>9202</v>
      </c>
      <c r="B6847" s="472" t="s">
        <v>9203</v>
      </c>
      <c r="C6847" s="472" t="s">
        <v>178</v>
      </c>
      <c r="D6847" s="472">
        <v>298.76280000000003</v>
      </c>
      <c r="E6847" s="472" t="s">
        <v>6305</v>
      </c>
      <c r="F6847" s="352"/>
    </row>
    <row r="6848" spans="1:6" s="315" customFormat="1" ht="15">
      <c r="A6848" s="472" t="s">
        <v>9204</v>
      </c>
      <c r="B6848" s="472" t="s">
        <v>9205</v>
      </c>
      <c r="C6848" s="472" t="s">
        <v>178</v>
      </c>
      <c r="D6848" s="472">
        <v>298.76280000000003</v>
      </c>
      <c r="E6848" s="472" t="s">
        <v>6305</v>
      </c>
      <c r="F6848" s="352"/>
    </row>
    <row r="6849" spans="1:6" s="315" customFormat="1" ht="15">
      <c r="A6849" s="472" t="s">
        <v>9206</v>
      </c>
      <c r="B6849" s="472" t="s">
        <v>9207</v>
      </c>
      <c r="C6849" s="472" t="s">
        <v>178</v>
      </c>
      <c r="D6849" s="472">
        <v>28.480599999999999</v>
      </c>
      <c r="E6849" s="472" t="s">
        <v>6305</v>
      </c>
      <c r="F6849" s="352"/>
    </row>
    <row r="6850" spans="1:6" s="315" customFormat="1" ht="15">
      <c r="A6850" s="472" t="s">
        <v>9208</v>
      </c>
      <c r="B6850" s="472" t="s">
        <v>9209</v>
      </c>
      <c r="C6850" s="472" t="s">
        <v>178</v>
      </c>
      <c r="D6850" s="472">
        <v>292.65030000000002</v>
      </c>
      <c r="E6850" s="472" t="s">
        <v>6305</v>
      </c>
      <c r="F6850" s="352"/>
    </row>
    <row r="6851" spans="1:6" s="315" customFormat="1" ht="15">
      <c r="A6851" s="472" t="s">
        <v>9210</v>
      </c>
      <c r="B6851" s="472" t="s">
        <v>9211</v>
      </c>
      <c r="C6851" s="472" t="s">
        <v>178</v>
      </c>
      <c r="D6851" s="472">
        <v>42.023000000000003</v>
      </c>
      <c r="E6851" s="472" t="s">
        <v>6305</v>
      </c>
      <c r="F6851" s="352"/>
    </row>
    <row r="6852" spans="1:6" s="315" customFormat="1" ht="15">
      <c r="A6852" s="472" t="s">
        <v>9212</v>
      </c>
      <c r="B6852" s="472" t="s">
        <v>7766</v>
      </c>
      <c r="C6852" s="472" t="s">
        <v>178</v>
      </c>
      <c r="D6852" s="472">
        <v>0.96099999999999997</v>
      </c>
      <c r="E6852" s="472" t="s">
        <v>6305</v>
      </c>
      <c r="F6852" s="352"/>
    </row>
    <row r="6853" spans="1:6" s="315" customFormat="1" ht="15">
      <c r="A6853" s="472" t="s">
        <v>26767</v>
      </c>
      <c r="B6853" s="472" t="s">
        <v>26768</v>
      </c>
      <c r="C6853" s="472" t="s">
        <v>178</v>
      </c>
      <c r="D6853" s="472">
        <v>250.80799999999999</v>
      </c>
      <c r="E6853" s="472" t="s">
        <v>6305</v>
      </c>
      <c r="F6853" s="352"/>
    </row>
    <row r="6854" spans="1:6" s="315" customFormat="1" ht="15">
      <c r="A6854" s="472" t="s">
        <v>9213</v>
      </c>
      <c r="B6854" s="472" t="s">
        <v>9214</v>
      </c>
      <c r="C6854" s="472" t="s">
        <v>178</v>
      </c>
      <c r="D6854" s="472">
        <v>2.5013000000000001</v>
      </c>
      <c r="E6854" s="472" t="s">
        <v>6305</v>
      </c>
      <c r="F6854" s="352"/>
    </row>
    <row r="6855" spans="1:6" s="315" customFormat="1" ht="15">
      <c r="A6855" s="472" t="s">
        <v>9215</v>
      </c>
      <c r="B6855" s="472" t="s">
        <v>9216</v>
      </c>
      <c r="C6855" s="472" t="s">
        <v>178</v>
      </c>
      <c r="D6855" s="472">
        <v>137.74250000000001</v>
      </c>
      <c r="E6855" s="472" t="s">
        <v>6305</v>
      </c>
      <c r="F6855" s="352"/>
    </row>
    <row r="6856" spans="1:6" s="315" customFormat="1" ht="15">
      <c r="A6856" s="472" t="s">
        <v>9217</v>
      </c>
      <c r="B6856" s="472" t="s">
        <v>9218</v>
      </c>
      <c r="C6856" s="472" t="s">
        <v>178</v>
      </c>
      <c r="D6856" s="472">
        <v>121.9898</v>
      </c>
      <c r="E6856" s="472" t="s">
        <v>6305</v>
      </c>
      <c r="F6856" s="352"/>
    </row>
    <row r="6857" spans="1:6" s="315" customFormat="1" ht="15">
      <c r="A6857" s="472" t="s">
        <v>9219</v>
      </c>
      <c r="B6857" s="472" t="s">
        <v>9220</v>
      </c>
      <c r="C6857" s="472" t="s">
        <v>178</v>
      </c>
      <c r="D6857" s="472">
        <v>70.720399999999998</v>
      </c>
      <c r="E6857" s="472" t="s">
        <v>6305</v>
      </c>
      <c r="F6857" s="352"/>
    </row>
    <row r="6858" spans="1:6" s="315" customFormat="1" ht="15">
      <c r="A6858" s="472" t="s">
        <v>9221</v>
      </c>
      <c r="B6858" s="472" t="s">
        <v>9222</v>
      </c>
      <c r="C6858" s="472" t="s">
        <v>178</v>
      </c>
      <c r="D6858" s="472">
        <v>0.57430000000000003</v>
      </c>
      <c r="E6858" s="472" t="s">
        <v>6305</v>
      </c>
      <c r="F6858" s="352"/>
    </row>
    <row r="6859" spans="1:6" s="315" customFormat="1" ht="15">
      <c r="A6859" s="472" t="s">
        <v>9223</v>
      </c>
      <c r="B6859" s="472" t="s">
        <v>9224</v>
      </c>
      <c r="C6859" s="472" t="s">
        <v>178</v>
      </c>
      <c r="D6859" s="472">
        <v>198.42259999999999</v>
      </c>
      <c r="E6859" s="472" t="s">
        <v>6305</v>
      </c>
      <c r="F6859" s="352"/>
    </row>
    <row r="6860" spans="1:6" s="315" customFormat="1" ht="15">
      <c r="A6860" s="472" t="s">
        <v>9225</v>
      </c>
      <c r="B6860" s="472" t="s">
        <v>9226</v>
      </c>
      <c r="C6860" s="472" t="s">
        <v>178</v>
      </c>
      <c r="D6860" s="472">
        <v>20.111599999999999</v>
      </c>
      <c r="E6860" s="472" t="s">
        <v>6305</v>
      </c>
      <c r="F6860" s="352"/>
    </row>
    <row r="6861" spans="1:6" s="315" customFormat="1" ht="15">
      <c r="A6861" s="472" t="s">
        <v>9227</v>
      </c>
      <c r="B6861" s="472" t="s">
        <v>9228</v>
      </c>
      <c r="C6861" s="472" t="s">
        <v>178</v>
      </c>
      <c r="D6861" s="472">
        <v>947.37139999999999</v>
      </c>
      <c r="E6861" s="472" t="s">
        <v>6305</v>
      </c>
      <c r="F6861" s="352"/>
    </row>
    <row r="6862" spans="1:6" s="315" customFormat="1" ht="15">
      <c r="A6862" s="472" t="s">
        <v>9229</v>
      </c>
      <c r="B6862" s="472" t="s">
        <v>9230</v>
      </c>
      <c r="C6862" s="472" t="s">
        <v>178</v>
      </c>
      <c r="D6862" s="472">
        <v>65.157600000000002</v>
      </c>
      <c r="E6862" s="472" t="s">
        <v>6305</v>
      </c>
      <c r="F6862" s="352"/>
    </row>
    <row r="6863" spans="1:6" s="315" customFormat="1" ht="15">
      <c r="A6863" s="472" t="s">
        <v>9231</v>
      </c>
      <c r="B6863" s="472" t="s">
        <v>7809</v>
      </c>
      <c r="C6863" s="472" t="s">
        <v>178</v>
      </c>
      <c r="D6863" s="472">
        <v>70.400499999999994</v>
      </c>
      <c r="E6863" s="472" t="s">
        <v>6305</v>
      </c>
      <c r="F6863" s="352"/>
    </row>
    <row r="6864" spans="1:6" s="315" customFormat="1" ht="15">
      <c r="A6864" s="472" t="s">
        <v>9232</v>
      </c>
      <c r="B6864" s="472" t="s">
        <v>9233</v>
      </c>
      <c r="C6864" s="472" t="s">
        <v>178</v>
      </c>
      <c r="D6864" s="472">
        <v>128.93299999999999</v>
      </c>
      <c r="E6864" s="472" t="s">
        <v>6305</v>
      </c>
      <c r="F6864" s="352"/>
    </row>
    <row r="6865" spans="1:6" s="315" customFormat="1" ht="15">
      <c r="A6865" s="472" t="s">
        <v>9234</v>
      </c>
      <c r="B6865" s="472" t="s">
        <v>9235</v>
      </c>
      <c r="C6865" s="472" t="s">
        <v>178</v>
      </c>
      <c r="D6865" s="472">
        <v>704.08659999999998</v>
      </c>
      <c r="E6865" s="472" t="s">
        <v>6305</v>
      </c>
      <c r="F6865" s="352"/>
    </row>
    <row r="6866" spans="1:6" s="315" customFormat="1" ht="15">
      <c r="A6866" s="472" t="s">
        <v>9236</v>
      </c>
      <c r="B6866" s="472" t="s">
        <v>7774</v>
      </c>
      <c r="C6866" s="472" t="s">
        <v>178</v>
      </c>
      <c r="D6866" s="472">
        <v>40.198</v>
      </c>
      <c r="E6866" s="472" t="s">
        <v>6305</v>
      </c>
      <c r="F6866" s="352"/>
    </row>
    <row r="6867" spans="1:6" s="315" customFormat="1" ht="15">
      <c r="A6867" s="472" t="s">
        <v>9237</v>
      </c>
      <c r="B6867" s="472" t="s">
        <v>7769</v>
      </c>
      <c r="C6867" s="472" t="s">
        <v>178</v>
      </c>
      <c r="D6867" s="472">
        <v>22.7576</v>
      </c>
      <c r="E6867" s="472" t="s">
        <v>6305</v>
      </c>
      <c r="F6867" s="352"/>
    </row>
    <row r="6868" spans="1:6" s="315" customFormat="1" ht="15">
      <c r="A6868" s="472" t="s">
        <v>9238</v>
      </c>
      <c r="B6868" s="472" t="s">
        <v>9239</v>
      </c>
      <c r="C6868" s="472" t="s">
        <v>178</v>
      </c>
      <c r="D6868" s="472">
        <v>21.710799999999999</v>
      </c>
      <c r="E6868" s="472" t="s">
        <v>6305</v>
      </c>
      <c r="F6868" s="352"/>
    </row>
    <row r="6869" spans="1:6" s="315" customFormat="1" ht="15">
      <c r="A6869" s="472" t="s">
        <v>9240</v>
      </c>
      <c r="B6869" s="472" t="s">
        <v>9241</v>
      </c>
      <c r="C6869" s="472" t="s">
        <v>178</v>
      </c>
      <c r="D6869" s="472">
        <v>90.594899999999996</v>
      </c>
      <c r="E6869" s="472" t="s">
        <v>6305</v>
      </c>
      <c r="F6869" s="352"/>
    </row>
    <row r="6870" spans="1:6" s="315" customFormat="1" ht="15">
      <c r="A6870" s="472" t="s">
        <v>9242</v>
      </c>
      <c r="B6870" s="472" t="s">
        <v>9243</v>
      </c>
      <c r="C6870" s="472" t="s">
        <v>178</v>
      </c>
      <c r="D6870" s="472">
        <v>322.49090000000001</v>
      </c>
      <c r="E6870" s="472" t="s">
        <v>6305</v>
      </c>
      <c r="F6870" s="352"/>
    </row>
    <row r="6871" spans="1:6" s="315" customFormat="1" ht="15">
      <c r="A6871" s="472" t="s">
        <v>9244</v>
      </c>
      <c r="B6871" s="472" t="s">
        <v>9245</v>
      </c>
      <c r="C6871" s="472" t="s">
        <v>178</v>
      </c>
      <c r="D6871" s="472">
        <v>21.822800000000001</v>
      </c>
      <c r="E6871" s="472" t="s">
        <v>6305</v>
      </c>
      <c r="F6871" s="352"/>
    </row>
    <row r="6872" spans="1:6" s="315" customFormat="1" ht="15">
      <c r="A6872" s="472" t="s">
        <v>9246</v>
      </c>
      <c r="B6872" s="472" t="s">
        <v>9247</v>
      </c>
      <c r="C6872" s="472" t="s">
        <v>178</v>
      </c>
      <c r="D6872" s="472">
        <v>39.069899999999997</v>
      </c>
      <c r="E6872" s="472" t="s">
        <v>6305</v>
      </c>
      <c r="F6872" s="352"/>
    </row>
    <row r="6873" spans="1:6" s="315" customFormat="1" ht="15">
      <c r="A6873" s="472" t="s">
        <v>9248</v>
      </c>
      <c r="B6873" s="472" t="s">
        <v>9249</v>
      </c>
      <c r="C6873" s="472" t="s">
        <v>178</v>
      </c>
      <c r="D6873" s="472">
        <v>2.7408999999999999</v>
      </c>
      <c r="E6873" s="472" t="s">
        <v>6305</v>
      </c>
      <c r="F6873" s="352"/>
    </row>
    <row r="6874" spans="1:6" s="315" customFormat="1" ht="15">
      <c r="A6874" s="472" t="s">
        <v>9250</v>
      </c>
      <c r="B6874" s="472" t="s">
        <v>9251</v>
      </c>
      <c r="C6874" s="472" t="s">
        <v>178</v>
      </c>
      <c r="D6874" s="472">
        <v>26.3506</v>
      </c>
      <c r="E6874" s="472" t="s">
        <v>6305</v>
      </c>
      <c r="F6874" s="352"/>
    </row>
    <row r="6875" spans="1:6" s="315" customFormat="1" ht="15">
      <c r="A6875" s="472" t="s">
        <v>9252</v>
      </c>
      <c r="B6875" s="472" t="s">
        <v>9253</v>
      </c>
      <c r="C6875" s="472" t="s">
        <v>178</v>
      </c>
      <c r="D6875" s="472">
        <v>20.419599999999999</v>
      </c>
      <c r="E6875" s="472" t="s">
        <v>6305</v>
      </c>
      <c r="F6875" s="352"/>
    </row>
    <row r="6876" spans="1:6" s="315" customFormat="1" ht="15">
      <c r="A6876" s="472" t="s">
        <v>9254</v>
      </c>
      <c r="B6876" s="472" t="s">
        <v>9255</v>
      </c>
      <c r="C6876" s="472" t="s">
        <v>178</v>
      </c>
      <c r="D6876" s="472">
        <v>21.119299999999999</v>
      </c>
      <c r="E6876" s="472" t="s">
        <v>6305</v>
      </c>
      <c r="F6876" s="352"/>
    </row>
    <row r="6877" spans="1:6" s="315" customFormat="1" ht="15">
      <c r="A6877" s="472" t="s">
        <v>9256</v>
      </c>
      <c r="B6877" s="472" t="s">
        <v>9257</v>
      </c>
      <c r="C6877" s="472" t="s">
        <v>178</v>
      </c>
      <c r="D6877" s="472">
        <v>19.913900000000002</v>
      </c>
      <c r="E6877" s="472" t="s">
        <v>6305</v>
      </c>
      <c r="F6877" s="352"/>
    </row>
    <row r="6878" spans="1:6" s="315" customFormat="1" ht="15">
      <c r="A6878" s="472" t="s">
        <v>9258</v>
      </c>
      <c r="B6878" s="472" t="s">
        <v>9259</v>
      </c>
      <c r="C6878" s="472" t="s">
        <v>178</v>
      </c>
      <c r="D6878" s="472">
        <v>28.097100000000001</v>
      </c>
      <c r="E6878" s="472" t="s">
        <v>6305</v>
      </c>
      <c r="F6878" s="352"/>
    </row>
    <row r="6879" spans="1:6" s="315" customFormat="1" ht="15">
      <c r="A6879" s="472" t="s">
        <v>9260</v>
      </c>
      <c r="B6879" s="472" t="s">
        <v>9261</v>
      </c>
      <c r="C6879" s="472" t="s">
        <v>178</v>
      </c>
      <c r="D6879" s="472">
        <v>1748.3269</v>
      </c>
      <c r="E6879" s="472" t="s">
        <v>6305</v>
      </c>
      <c r="F6879" s="352"/>
    </row>
    <row r="6880" spans="1:6" s="315" customFormat="1" ht="15">
      <c r="A6880" s="472" t="s">
        <v>9262</v>
      </c>
      <c r="B6880" s="472" t="s">
        <v>9263</v>
      </c>
      <c r="C6880" s="472" t="s">
        <v>178</v>
      </c>
      <c r="D6880" s="472">
        <v>943.6386</v>
      </c>
      <c r="E6880" s="472" t="s">
        <v>6305</v>
      </c>
      <c r="F6880" s="352"/>
    </row>
    <row r="6881" spans="1:6" s="315" customFormat="1" ht="15">
      <c r="A6881" s="472" t="s">
        <v>9264</v>
      </c>
      <c r="B6881" s="472" t="s">
        <v>9265</v>
      </c>
      <c r="C6881" s="472" t="s">
        <v>178</v>
      </c>
      <c r="D6881" s="472">
        <v>470.73410000000001</v>
      </c>
      <c r="E6881" s="472" t="s">
        <v>6305</v>
      </c>
      <c r="F6881" s="352"/>
    </row>
    <row r="6882" spans="1:6" s="315" customFormat="1" ht="15">
      <c r="A6882" s="472" t="s">
        <v>9266</v>
      </c>
      <c r="B6882" s="472" t="s">
        <v>9267</v>
      </c>
      <c r="C6882" s="472" t="s">
        <v>178</v>
      </c>
      <c r="D6882" s="472">
        <v>36.414900000000003</v>
      </c>
      <c r="E6882" s="472" t="s">
        <v>6305</v>
      </c>
      <c r="F6882" s="352"/>
    </row>
    <row r="6883" spans="1:6" s="315" customFormat="1" ht="15">
      <c r="A6883" s="472" t="s">
        <v>9268</v>
      </c>
      <c r="B6883" s="472" t="s">
        <v>7773</v>
      </c>
      <c r="C6883" s="472" t="s">
        <v>178</v>
      </c>
      <c r="D6883" s="472">
        <v>0.1056</v>
      </c>
      <c r="E6883" s="472" t="s">
        <v>6305</v>
      </c>
      <c r="F6883" s="352"/>
    </row>
    <row r="6884" spans="1:6" s="315" customFormat="1" ht="15">
      <c r="A6884" s="472" t="s">
        <v>9269</v>
      </c>
      <c r="B6884" s="472" t="s">
        <v>9270</v>
      </c>
      <c r="C6884" s="472" t="s">
        <v>178</v>
      </c>
      <c r="D6884" s="472">
        <v>659.47090000000003</v>
      </c>
      <c r="E6884" s="472" t="s">
        <v>6305</v>
      </c>
      <c r="F6884" s="352"/>
    </row>
    <row r="6885" spans="1:6" s="315" customFormat="1" ht="15">
      <c r="A6885" s="472" t="s">
        <v>9271</v>
      </c>
      <c r="B6885" s="472" t="s">
        <v>7757</v>
      </c>
      <c r="C6885" s="472" t="s">
        <v>178</v>
      </c>
      <c r="D6885" s="472">
        <v>0.17349999999999999</v>
      </c>
      <c r="E6885" s="472" t="s">
        <v>6305</v>
      </c>
      <c r="F6885" s="352"/>
    </row>
    <row r="6886" spans="1:6" s="315" customFormat="1" ht="15">
      <c r="A6886" s="472" t="s">
        <v>9272</v>
      </c>
      <c r="B6886" s="472" t="s">
        <v>9273</v>
      </c>
      <c r="C6886" s="472" t="s">
        <v>178</v>
      </c>
      <c r="D6886" s="472">
        <v>36.102899999999998</v>
      </c>
      <c r="E6886" s="472" t="s">
        <v>6305</v>
      </c>
      <c r="F6886" s="352"/>
    </row>
    <row r="6887" spans="1:6" s="315" customFormat="1" ht="15">
      <c r="A6887" s="472" t="s">
        <v>9274</v>
      </c>
      <c r="B6887" s="472" t="s">
        <v>8020</v>
      </c>
      <c r="C6887" s="472" t="s">
        <v>178</v>
      </c>
      <c r="D6887" s="472">
        <v>37.373800000000003</v>
      </c>
      <c r="E6887" s="472" t="s">
        <v>6305</v>
      </c>
      <c r="F6887" s="352"/>
    </row>
    <row r="6888" spans="1:6" s="315" customFormat="1" ht="15">
      <c r="A6888" s="472" t="s">
        <v>9275</v>
      </c>
      <c r="B6888" s="472" t="s">
        <v>9276</v>
      </c>
      <c r="C6888" s="472" t="s">
        <v>178</v>
      </c>
      <c r="D6888" s="472">
        <v>38.830199999999998</v>
      </c>
      <c r="E6888" s="472" t="s">
        <v>6305</v>
      </c>
      <c r="F6888" s="352"/>
    </row>
    <row r="6889" spans="1:6" s="315" customFormat="1" ht="15">
      <c r="A6889" s="472" t="s">
        <v>9277</v>
      </c>
      <c r="B6889" s="472" t="s">
        <v>9278</v>
      </c>
      <c r="C6889" s="472" t="s">
        <v>178</v>
      </c>
      <c r="D6889" s="472">
        <v>39.536999999999999</v>
      </c>
      <c r="E6889" s="472" t="s">
        <v>6305</v>
      </c>
      <c r="F6889" s="352"/>
    </row>
    <row r="6890" spans="1:6" s="315" customFormat="1" ht="15">
      <c r="A6890" s="472" t="s">
        <v>9279</v>
      </c>
      <c r="B6890" s="472" t="s">
        <v>9280</v>
      </c>
      <c r="C6890" s="472" t="s">
        <v>178</v>
      </c>
      <c r="D6890" s="472">
        <v>39.856900000000003</v>
      </c>
      <c r="E6890" s="472" t="s">
        <v>6305</v>
      </c>
      <c r="F6890" s="352"/>
    </row>
    <row r="6891" spans="1:6" s="315" customFormat="1" ht="15">
      <c r="A6891" s="472" t="s">
        <v>9281</v>
      </c>
      <c r="B6891" s="472" t="s">
        <v>9282</v>
      </c>
      <c r="C6891" s="472" t="s">
        <v>178</v>
      </c>
      <c r="D6891" s="472">
        <v>40.200899999999997</v>
      </c>
      <c r="E6891" s="472" t="s">
        <v>6305</v>
      </c>
      <c r="F6891" s="352"/>
    </row>
    <row r="6892" spans="1:6" s="315" customFormat="1" ht="15">
      <c r="A6892" s="472" t="s">
        <v>9283</v>
      </c>
      <c r="B6892" s="472" t="s">
        <v>9284</v>
      </c>
      <c r="C6892" s="472" t="s">
        <v>178</v>
      </c>
      <c r="D6892" s="472">
        <v>40.865699999999997</v>
      </c>
      <c r="E6892" s="472" t="s">
        <v>6305</v>
      </c>
      <c r="F6892" s="352"/>
    </row>
    <row r="6893" spans="1:6" s="315" customFormat="1" ht="15">
      <c r="A6893" s="472" t="s">
        <v>9285</v>
      </c>
      <c r="B6893" s="472" t="s">
        <v>9286</v>
      </c>
      <c r="C6893" s="472" t="s">
        <v>178</v>
      </c>
      <c r="D6893" s="472">
        <v>52.008600000000001</v>
      </c>
      <c r="E6893" s="472" t="s">
        <v>6305</v>
      </c>
      <c r="F6893" s="352"/>
    </row>
    <row r="6894" spans="1:6" s="315" customFormat="1" ht="15">
      <c r="A6894" s="472" t="s">
        <v>9287</v>
      </c>
      <c r="B6894" s="472" t="s">
        <v>9288</v>
      </c>
      <c r="C6894" s="472" t="s">
        <v>178</v>
      </c>
      <c r="D6894" s="472">
        <v>3.3060999999999998</v>
      </c>
      <c r="E6894" s="472" t="s">
        <v>6305</v>
      </c>
      <c r="F6894" s="352"/>
    </row>
    <row r="6895" spans="1:6" s="315" customFormat="1" ht="15">
      <c r="A6895" s="472" t="s">
        <v>9289</v>
      </c>
      <c r="B6895" s="472" t="s">
        <v>9290</v>
      </c>
      <c r="C6895" s="472" t="s">
        <v>178</v>
      </c>
      <c r="D6895" s="472">
        <v>7.7096999999999998</v>
      </c>
      <c r="E6895" s="472" t="s">
        <v>6305</v>
      </c>
      <c r="F6895" s="352"/>
    </row>
    <row r="6896" spans="1:6" s="315" customFormat="1" ht="15">
      <c r="A6896" s="472" t="s">
        <v>9291</v>
      </c>
      <c r="B6896" s="472" t="s">
        <v>9292</v>
      </c>
      <c r="C6896" s="472" t="s">
        <v>178</v>
      </c>
      <c r="D6896" s="472">
        <v>17.862200000000001</v>
      </c>
      <c r="E6896" s="472" t="s">
        <v>6305</v>
      </c>
      <c r="F6896" s="352"/>
    </row>
    <row r="6897" spans="1:6" s="315" customFormat="1" ht="15">
      <c r="A6897" s="472" t="s">
        <v>9293</v>
      </c>
      <c r="B6897" s="472" t="s">
        <v>9294</v>
      </c>
      <c r="C6897" s="472" t="s">
        <v>178</v>
      </c>
      <c r="D6897" s="472">
        <v>18.309200000000001</v>
      </c>
      <c r="E6897" s="472" t="s">
        <v>6305</v>
      </c>
      <c r="F6897" s="352"/>
    </row>
    <row r="6898" spans="1:6" s="315" customFormat="1" ht="15">
      <c r="A6898" s="472" t="s">
        <v>9295</v>
      </c>
      <c r="B6898" s="472" t="s">
        <v>8017</v>
      </c>
      <c r="C6898" s="472" t="s">
        <v>178</v>
      </c>
      <c r="D6898" s="472">
        <v>29.3599</v>
      </c>
      <c r="E6898" s="472" t="s">
        <v>6305</v>
      </c>
      <c r="F6898" s="352"/>
    </row>
    <row r="6899" spans="1:6" s="315" customFormat="1" ht="15">
      <c r="A6899" s="472" t="s">
        <v>9296</v>
      </c>
      <c r="B6899" s="472" t="s">
        <v>9297</v>
      </c>
      <c r="C6899" s="472" t="s">
        <v>178</v>
      </c>
      <c r="D6899" s="472">
        <v>9.3488000000000007</v>
      </c>
      <c r="E6899" s="472" t="s">
        <v>6305</v>
      </c>
      <c r="F6899" s="352"/>
    </row>
    <row r="6900" spans="1:6" s="315" customFormat="1" ht="15">
      <c r="A6900" s="472" t="s">
        <v>9298</v>
      </c>
      <c r="B6900" s="472" t="s">
        <v>9299</v>
      </c>
      <c r="C6900" s="472" t="s">
        <v>178</v>
      </c>
      <c r="D6900" s="472">
        <v>5.9798</v>
      </c>
      <c r="E6900" s="472" t="s">
        <v>6305</v>
      </c>
      <c r="F6900" s="352"/>
    </row>
    <row r="6901" spans="1:6" s="315" customFormat="1" ht="15">
      <c r="A6901" s="472" t="s">
        <v>9300</v>
      </c>
      <c r="B6901" s="472" t="s">
        <v>9301</v>
      </c>
      <c r="C6901" s="472" t="s">
        <v>178</v>
      </c>
      <c r="D6901" s="472">
        <v>16.866</v>
      </c>
      <c r="E6901" s="472" t="s">
        <v>6305</v>
      </c>
      <c r="F6901" s="352"/>
    </row>
    <row r="6902" spans="1:6" s="315" customFormat="1" ht="15">
      <c r="A6902" s="472" t="s">
        <v>9302</v>
      </c>
      <c r="B6902" s="472" t="s">
        <v>9303</v>
      </c>
      <c r="C6902" s="472" t="s">
        <v>178</v>
      </c>
      <c r="D6902" s="472">
        <v>0.11210000000000001</v>
      </c>
      <c r="E6902" s="472" t="s">
        <v>6305</v>
      </c>
      <c r="F6902" s="352"/>
    </row>
    <row r="6903" spans="1:6" s="315" customFormat="1" ht="15">
      <c r="A6903" s="472" t="s">
        <v>9304</v>
      </c>
      <c r="B6903" s="472" t="s">
        <v>9305</v>
      </c>
      <c r="C6903" s="472" t="s">
        <v>178</v>
      </c>
      <c r="D6903" s="472">
        <v>997.36009999999999</v>
      </c>
      <c r="E6903" s="472" t="s">
        <v>6305</v>
      </c>
      <c r="F6903" s="352"/>
    </row>
    <row r="6904" spans="1:6" s="315" customFormat="1" ht="15">
      <c r="A6904" s="472" t="s">
        <v>9306</v>
      </c>
      <c r="B6904" s="472" t="s">
        <v>26769</v>
      </c>
      <c r="C6904" s="472" t="s">
        <v>178</v>
      </c>
      <c r="D6904" s="472">
        <v>8.7276000000000007</v>
      </c>
      <c r="E6904" s="472" t="s">
        <v>6305</v>
      </c>
      <c r="F6904" s="352"/>
    </row>
    <row r="6905" spans="1:6" s="315" customFormat="1" ht="15">
      <c r="A6905" s="472" t="s">
        <v>9307</v>
      </c>
      <c r="B6905" s="472" t="s">
        <v>9308</v>
      </c>
      <c r="C6905" s="472" t="s">
        <v>178</v>
      </c>
      <c r="D6905" s="472">
        <v>126.5963</v>
      </c>
      <c r="E6905" s="472" t="s">
        <v>6305</v>
      </c>
      <c r="F6905" s="352"/>
    </row>
    <row r="6906" spans="1:6" s="315" customFormat="1" ht="15">
      <c r="A6906" s="472" t="s">
        <v>9309</v>
      </c>
      <c r="B6906" s="472" t="s">
        <v>9310</v>
      </c>
      <c r="C6906" s="472" t="s">
        <v>178</v>
      </c>
      <c r="D6906" s="472">
        <v>20.5153</v>
      </c>
      <c r="E6906" s="472" t="s">
        <v>6305</v>
      </c>
      <c r="F6906" s="352"/>
    </row>
    <row r="6907" spans="1:6" s="315" customFormat="1" ht="15">
      <c r="A6907" s="472" t="s">
        <v>9311</v>
      </c>
      <c r="B6907" s="472" t="s">
        <v>9312</v>
      </c>
      <c r="C6907" s="472" t="s">
        <v>178</v>
      </c>
      <c r="D6907" s="472">
        <v>20.602799999999998</v>
      </c>
      <c r="E6907" s="472" t="s">
        <v>6305</v>
      </c>
      <c r="F6907" s="352"/>
    </row>
    <row r="6908" spans="1:6" s="315" customFormat="1" ht="15">
      <c r="A6908" s="472" t="s">
        <v>9313</v>
      </c>
      <c r="B6908" s="472" t="s">
        <v>9314</v>
      </c>
      <c r="C6908" s="472" t="s">
        <v>178</v>
      </c>
      <c r="D6908" s="472">
        <v>19.166599999999999</v>
      </c>
      <c r="E6908" s="472" t="s">
        <v>6305</v>
      </c>
      <c r="F6908" s="352"/>
    </row>
    <row r="6909" spans="1:6" s="315" customFormat="1" ht="15">
      <c r="A6909" s="472" t="s">
        <v>9315</v>
      </c>
      <c r="B6909" s="472" t="s">
        <v>7749</v>
      </c>
      <c r="C6909" s="472" t="s">
        <v>178</v>
      </c>
      <c r="D6909" s="472">
        <v>19.746099999999998</v>
      </c>
      <c r="E6909" s="472" t="s">
        <v>6305</v>
      </c>
      <c r="F6909" s="352"/>
    </row>
    <row r="6910" spans="1:6" s="315" customFormat="1" ht="15">
      <c r="A6910" s="472" t="s">
        <v>9316</v>
      </c>
      <c r="B6910" s="472" t="s">
        <v>9317</v>
      </c>
      <c r="C6910" s="472" t="s">
        <v>178</v>
      </c>
      <c r="D6910" s="472">
        <v>288.50409999999999</v>
      </c>
      <c r="E6910" s="472" t="s">
        <v>6305</v>
      </c>
      <c r="F6910" s="352"/>
    </row>
    <row r="6911" spans="1:6" s="315" customFormat="1" ht="15">
      <c r="A6911" s="472" t="s">
        <v>9318</v>
      </c>
      <c r="B6911" s="472" t="s">
        <v>9319</v>
      </c>
      <c r="C6911" s="472" t="s">
        <v>178</v>
      </c>
      <c r="D6911" s="472">
        <v>62.803400000000003</v>
      </c>
      <c r="E6911" s="472" t="s">
        <v>6305</v>
      </c>
      <c r="F6911" s="352"/>
    </row>
    <row r="6912" spans="1:6" s="315" customFormat="1" ht="15">
      <c r="A6912" s="472" t="s">
        <v>9320</v>
      </c>
      <c r="B6912" s="472" t="s">
        <v>9321</v>
      </c>
      <c r="C6912" s="472" t="s">
        <v>178</v>
      </c>
      <c r="D6912" s="472">
        <v>169.16329999999999</v>
      </c>
      <c r="E6912" s="472" t="s">
        <v>6305</v>
      </c>
      <c r="F6912" s="352"/>
    </row>
    <row r="6913" spans="1:6" s="315" customFormat="1" ht="15">
      <c r="A6913" s="472" t="s">
        <v>9322</v>
      </c>
      <c r="B6913" s="472" t="s">
        <v>9323</v>
      </c>
      <c r="C6913" s="472" t="s">
        <v>178</v>
      </c>
      <c r="D6913" s="472">
        <v>1.6429</v>
      </c>
      <c r="E6913" s="472" t="s">
        <v>6305</v>
      </c>
      <c r="F6913" s="352"/>
    </row>
    <row r="6914" spans="1:6" s="315" customFormat="1" ht="15">
      <c r="A6914" s="472" t="s">
        <v>9324</v>
      </c>
      <c r="B6914" s="472" t="s">
        <v>7775</v>
      </c>
      <c r="C6914" s="472" t="s">
        <v>178</v>
      </c>
      <c r="D6914" s="472">
        <v>0.41349999999999998</v>
      </c>
      <c r="E6914" s="472" t="s">
        <v>6305</v>
      </c>
      <c r="F6914" s="352"/>
    </row>
    <row r="6915" spans="1:6" s="315" customFormat="1" ht="15">
      <c r="A6915" s="472" t="s">
        <v>9325</v>
      </c>
      <c r="B6915" s="472" t="s">
        <v>9326</v>
      </c>
      <c r="C6915" s="472" t="s">
        <v>178</v>
      </c>
      <c r="D6915" s="472">
        <v>130.7509</v>
      </c>
      <c r="E6915" s="472" t="s">
        <v>6305</v>
      </c>
      <c r="F6915" s="352"/>
    </row>
    <row r="6916" spans="1:6" s="315" customFormat="1" ht="15">
      <c r="A6916" s="472" t="s">
        <v>9327</v>
      </c>
      <c r="B6916" s="472" t="s">
        <v>7771</v>
      </c>
      <c r="C6916" s="472" t="s">
        <v>178</v>
      </c>
      <c r="D6916" s="472">
        <v>24.178100000000001</v>
      </c>
      <c r="E6916" s="472" t="s">
        <v>6305</v>
      </c>
      <c r="F6916" s="352"/>
    </row>
    <row r="6917" spans="1:6" s="315" customFormat="1" ht="15">
      <c r="A6917" s="472" t="s">
        <v>9328</v>
      </c>
      <c r="B6917" s="472" t="s">
        <v>9329</v>
      </c>
      <c r="C6917" s="472" t="s">
        <v>178</v>
      </c>
      <c r="D6917" s="472">
        <v>25.303100000000001</v>
      </c>
      <c r="E6917" s="472" t="s">
        <v>6305</v>
      </c>
      <c r="F6917" s="352"/>
    </row>
    <row r="6918" spans="1:6" s="315" customFormat="1" ht="15">
      <c r="A6918" s="472" t="s">
        <v>9330</v>
      </c>
      <c r="B6918" s="472" t="s">
        <v>9331</v>
      </c>
      <c r="C6918" s="472" t="s">
        <v>178</v>
      </c>
      <c r="D6918" s="472">
        <v>158.55860000000001</v>
      </c>
      <c r="E6918" s="472" t="s">
        <v>6305</v>
      </c>
      <c r="F6918" s="352"/>
    </row>
    <row r="6919" spans="1:6" s="315" customFormat="1" ht="15">
      <c r="A6919" s="472" t="s">
        <v>9332</v>
      </c>
      <c r="B6919" s="472" t="s">
        <v>9333</v>
      </c>
      <c r="C6919" s="472" t="s">
        <v>178</v>
      </c>
      <c r="D6919" s="472">
        <v>46.546900000000001</v>
      </c>
      <c r="E6919" s="472" t="s">
        <v>6305</v>
      </c>
      <c r="F6919" s="352"/>
    </row>
    <row r="6920" spans="1:6" s="315" customFormat="1" ht="15">
      <c r="A6920" s="472" t="s">
        <v>9334</v>
      </c>
      <c r="B6920" s="472" t="s">
        <v>9335</v>
      </c>
      <c r="C6920" s="472" t="s">
        <v>178</v>
      </c>
      <c r="D6920" s="472">
        <v>344.81139999999999</v>
      </c>
      <c r="E6920" s="472" t="s">
        <v>6305</v>
      </c>
      <c r="F6920" s="352"/>
    </row>
    <row r="6921" spans="1:6" s="315" customFormat="1" ht="15">
      <c r="A6921" s="472" t="s">
        <v>9336</v>
      </c>
      <c r="B6921" s="472" t="s">
        <v>9337</v>
      </c>
      <c r="C6921" s="472" t="s">
        <v>178</v>
      </c>
      <c r="D6921" s="472">
        <v>85.009600000000006</v>
      </c>
      <c r="E6921" s="472" t="s">
        <v>6305</v>
      </c>
      <c r="F6921" s="352"/>
    </row>
    <row r="6922" spans="1:6" s="315" customFormat="1" ht="15">
      <c r="A6922" s="472" t="s">
        <v>9338</v>
      </c>
      <c r="B6922" s="472" t="s">
        <v>9339</v>
      </c>
      <c r="C6922" s="472" t="s">
        <v>178</v>
      </c>
      <c r="D6922" s="472">
        <v>240.78809999999999</v>
      </c>
      <c r="E6922" s="472" t="s">
        <v>6305</v>
      </c>
      <c r="F6922" s="352"/>
    </row>
    <row r="6923" spans="1:6" s="315" customFormat="1" ht="15">
      <c r="A6923" s="472" t="s">
        <v>9340</v>
      </c>
      <c r="B6923" s="472" t="s">
        <v>9341</v>
      </c>
      <c r="C6923" s="472" t="s">
        <v>178</v>
      </c>
      <c r="D6923" s="472">
        <v>184.82230000000001</v>
      </c>
      <c r="E6923" s="472" t="s">
        <v>6305</v>
      </c>
      <c r="F6923" s="352"/>
    </row>
    <row r="6924" spans="1:6" s="315" customFormat="1" ht="15">
      <c r="A6924" s="472" t="s">
        <v>9342</v>
      </c>
      <c r="B6924" s="472" t="s">
        <v>9343</v>
      </c>
      <c r="C6924" s="472" t="s">
        <v>178</v>
      </c>
      <c r="D6924" s="472">
        <v>60.905799999999999</v>
      </c>
      <c r="E6924" s="472" t="s">
        <v>6305</v>
      </c>
      <c r="F6924" s="352"/>
    </row>
    <row r="6925" spans="1:6" s="315" customFormat="1" ht="15">
      <c r="A6925" s="472" t="s">
        <v>9344</v>
      </c>
      <c r="B6925" s="472" t="s">
        <v>9345</v>
      </c>
      <c r="C6925" s="472" t="s">
        <v>178</v>
      </c>
      <c r="D6925" s="472">
        <v>51.943800000000003</v>
      </c>
      <c r="E6925" s="472" t="s">
        <v>6305</v>
      </c>
      <c r="F6925" s="352"/>
    </row>
    <row r="6926" spans="1:6" s="315" customFormat="1" ht="15">
      <c r="A6926" s="472" t="s">
        <v>9346</v>
      </c>
      <c r="B6926" s="472" t="s">
        <v>7754</v>
      </c>
      <c r="C6926" s="472" t="s">
        <v>178</v>
      </c>
      <c r="D6926" s="472">
        <v>81.191199999999995</v>
      </c>
      <c r="E6926" s="472" t="s">
        <v>6305</v>
      </c>
      <c r="F6926" s="352"/>
    </row>
    <row r="6927" spans="1:6" s="315" customFormat="1" ht="15">
      <c r="A6927" s="472" t="s">
        <v>9347</v>
      </c>
      <c r="B6927" s="472" t="s">
        <v>9348</v>
      </c>
      <c r="C6927" s="472" t="s">
        <v>178</v>
      </c>
      <c r="D6927" s="472">
        <v>25.757899999999999</v>
      </c>
      <c r="E6927" s="472" t="s">
        <v>6305</v>
      </c>
      <c r="F6927" s="352"/>
    </row>
    <row r="6928" spans="1:6" s="315" customFormat="1" ht="15">
      <c r="A6928" s="472" t="s">
        <v>9349</v>
      </c>
      <c r="B6928" s="472" t="s">
        <v>9350</v>
      </c>
      <c r="C6928" s="472" t="s">
        <v>178</v>
      </c>
      <c r="D6928" s="472">
        <v>83.025499999999994</v>
      </c>
      <c r="E6928" s="472" t="s">
        <v>6305</v>
      </c>
      <c r="F6928" s="352"/>
    </row>
    <row r="6929" spans="1:6" s="315" customFormat="1" ht="15">
      <c r="A6929" s="472" t="s">
        <v>9351</v>
      </c>
      <c r="B6929" s="472" t="s">
        <v>7765</v>
      </c>
      <c r="C6929" s="472" t="s">
        <v>178</v>
      </c>
      <c r="D6929" s="472">
        <v>259.37389999999999</v>
      </c>
      <c r="E6929" s="472" t="s">
        <v>6305</v>
      </c>
      <c r="F6929" s="352"/>
    </row>
    <row r="6930" spans="1:6" s="315" customFormat="1" ht="15">
      <c r="A6930" s="472" t="s">
        <v>9352</v>
      </c>
      <c r="B6930" s="472" t="s">
        <v>9353</v>
      </c>
      <c r="C6930" s="472" t="s">
        <v>178</v>
      </c>
      <c r="D6930" s="472">
        <v>23.031700000000001</v>
      </c>
      <c r="E6930" s="472" t="s">
        <v>6305</v>
      </c>
      <c r="F6930" s="352"/>
    </row>
    <row r="6931" spans="1:6" s="315" customFormat="1" ht="15">
      <c r="A6931" s="472" t="s">
        <v>9354</v>
      </c>
      <c r="B6931" s="472" t="s">
        <v>9355</v>
      </c>
      <c r="C6931" s="472" t="s">
        <v>178</v>
      </c>
      <c r="D6931" s="472">
        <v>0.26779999999999998</v>
      </c>
      <c r="E6931" s="472" t="s">
        <v>6305</v>
      </c>
      <c r="F6931" s="352"/>
    </row>
    <row r="6932" spans="1:6" s="315" customFormat="1" ht="15">
      <c r="A6932" s="472" t="s">
        <v>9356</v>
      </c>
      <c r="B6932" s="472" t="s">
        <v>9357</v>
      </c>
      <c r="C6932" s="472" t="s">
        <v>178</v>
      </c>
      <c r="D6932" s="472">
        <v>66.811899999999994</v>
      </c>
      <c r="E6932" s="472" t="s">
        <v>6305</v>
      </c>
      <c r="F6932" s="352"/>
    </row>
    <row r="6933" spans="1:6" s="315" customFormat="1" ht="15">
      <c r="A6933" s="472" t="s">
        <v>9358</v>
      </c>
      <c r="B6933" s="472" t="s">
        <v>9359</v>
      </c>
      <c r="C6933" s="472" t="s">
        <v>178</v>
      </c>
      <c r="D6933" s="472">
        <v>643.66890000000001</v>
      </c>
      <c r="E6933" s="472" t="s">
        <v>6305</v>
      </c>
      <c r="F6933" s="352"/>
    </row>
    <row r="6934" spans="1:6" s="315" customFormat="1" ht="15">
      <c r="A6934" s="472" t="s">
        <v>9360</v>
      </c>
      <c r="B6934" s="472" t="s">
        <v>9361</v>
      </c>
      <c r="C6934" s="472" t="s">
        <v>178</v>
      </c>
      <c r="D6934" s="472">
        <v>288.83690000000001</v>
      </c>
      <c r="E6934" s="472" t="s">
        <v>6305</v>
      </c>
      <c r="F6934" s="352"/>
    </row>
    <row r="6935" spans="1:6" s="315" customFormat="1" ht="15">
      <c r="A6935" s="472" t="s">
        <v>9362</v>
      </c>
      <c r="B6935" s="472" t="s">
        <v>9363</v>
      </c>
      <c r="C6935" s="472" t="s">
        <v>178</v>
      </c>
      <c r="D6935" s="472">
        <v>1391.5411999999999</v>
      </c>
      <c r="E6935" s="472" t="s">
        <v>6305</v>
      </c>
      <c r="F6935" s="352"/>
    </row>
    <row r="6936" spans="1:6" s="315" customFormat="1" ht="15">
      <c r="A6936" s="472" t="s">
        <v>9364</v>
      </c>
      <c r="B6936" s="472" t="s">
        <v>9365</v>
      </c>
      <c r="C6936" s="472" t="s">
        <v>178</v>
      </c>
      <c r="D6936" s="472">
        <v>256.74259999999998</v>
      </c>
      <c r="E6936" s="472" t="s">
        <v>6305</v>
      </c>
      <c r="F6936" s="352"/>
    </row>
    <row r="6937" spans="1:6" s="315" customFormat="1" ht="15">
      <c r="A6937" s="472" t="s">
        <v>9366</v>
      </c>
      <c r="B6937" s="472" t="s">
        <v>9367</v>
      </c>
      <c r="C6937" s="472" t="s">
        <v>178</v>
      </c>
      <c r="D6937" s="472">
        <v>267.92700000000002</v>
      </c>
      <c r="E6937" s="472" t="s">
        <v>6305</v>
      </c>
      <c r="F6937" s="352"/>
    </row>
    <row r="6938" spans="1:6" s="315" customFormat="1" ht="15">
      <c r="A6938" s="472" t="s">
        <v>9368</v>
      </c>
      <c r="B6938" s="472" t="s">
        <v>9369</v>
      </c>
      <c r="C6938" s="472" t="s">
        <v>178</v>
      </c>
      <c r="D6938" s="472">
        <v>255.2741</v>
      </c>
      <c r="E6938" s="472" t="s">
        <v>6305</v>
      </c>
      <c r="F6938" s="352"/>
    </row>
    <row r="6939" spans="1:6" s="315" customFormat="1" ht="15">
      <c r="A6939" s="472" t="s">
        <v>9370</v>
      </c>
      <c r="B6939" s="472" t="s">
        <v>9371</v>
      </c>
      <c r="C6939" s="472" t="s">
        <v>178</v>
      </c>
      <c r="D6939" s="472">
        <v>12.652900000000001</v>
      </c>
      <c r="E6939" s="472" t="s">
        <v>6305</v>
      </c>
      <c r="F6939" s="352"/>
    </row>
    <row r="6940" spans="1:6" s="315" customFormat="1" ht="15">
      <c r="A6940" s="472" t="s">
        <v>9372</v>
      </c>
      <c r="B6940" s="472" t="s">
        <v>7810</v>
      </c>
      <c r="C6940" s="472" t="s">
        <v>178</v>
      </c>
      <c r="D6940" s="472">
        <v>293.4674</v>
      </c>
      <c r="E6940" s="472" t="s">
        <v>6305</v>
      </c>
      <c r="F6940" s="352"/>
    </row>
    <row r="6941" spans="1:6" s="315" customFormat="1" ht="15">
      <c r="A6941" s="472" t="s">
        <v>9373</v>
      </c>
      <c r="B6941" s="472" t="s">
        <v>9374</v>
      </c>
      <c r="C6941" s="472" t="s">
        <v>178</v>
      </c>
      <c r="D6941" s="472">
        <v>243.7534</v>
      </c>
      <c r="E6941" s="472" t="s">
        <v>6305</v>
      </c>
      <c r="F6941" s="352"/>
    </row>
    <row r="6942" spans="1:6" s="315" customFormat="1" ht="15">
      <c r="A6942" s="472" t="s">
        <v>9375</v>
      </c>
      <c r="B6942" s="472" t="s">
        <v>9376</v>
      </c>
      <c r="C6942" s="472" t="s">
        <v>178</v>
      </c>
      <c r="D6942" s="472">
        <v>39.921900000000001</v>
      </c>
      <c r="E6942" s="472" t="s">
        <v>6305</v>
      </c>
      <c r="F6942" s="352"/>
    </row>
    <row r="6943" spans="1:6" s="315" customFormat="1" ht="15">
      <c r="A6943" s="472" t="s">
        <v>9377</v>
      </c>
      <c r="B6943" s="472" t="s">
        <v>9378</v>
      </c>
      <c r="C6943" s="472" t="s">
        <v>178</v>
      </c>
      <c r="D6943" s="472">
        <v>9.7920999999999996</v>
      </c>
      <c r="E6943" s="472" t="s">
        <v>6305</v>
      </c>
      <c r="F6943" s="352"/>
    </row>
    <row r="6944" spans="1:6" s="315" customFormat="1" ht="15">
      <c r="A6944" s="472" t="s">
        <v>9379</v>
      </c>
      <c r="B6944" s="472" t="s">
        <v>9380</v>
      </c>
      <c r="C6944" s="472" t="s">
        <v>178</v>
      </c>
      <c r="D6944" s="472">
        <v>229.09030000000001</v>
      </c>
      <c r="E6944" s="472" t="s">
        <v>6305</v>
      </c>
      <c r="F6944" s="352"/>
    </row>
    <row r="6945" spans="1:6" s="315" customFormat="1" ht="15">
      <c r="A6945" s="472" t="s">
        <v>9381</v>
      </c>
      <c r="B6945" s="472" t="s">
        <v>9382</v>
      </c>
      <c r="C6945" s="472" t="s">
        <v>178</v>
      </c>
      <c r="D6945" s="472">
        <v>185.02809999999999</v>
      </c>
      <c r="E6945" s="472" t="s">
        <v>6305</v>
      </c>
      <c r="F6945" s="352"/>
    </row>
    <row r="6946" spans="1:6" s="315" customFormat="1" ht="15">
      <c r="A6946" s="472" t="s">
        <v>9383</v>
      </c>
      <c r="B6946" s="472" t="s">
        <v>9384</v>
      </c>
      <c r="C6946" s="472" t="s">
        <v>178</v>
      </c>
      <c r="D6946" s="472">
        <v>44.062199999999997</v>
      </c>
      <c r="E6946" s="472" t="s">
        <v>6305</v>
      </c>
      <c r="F6946" s="352"/>
    </row>
    <row r="6947" spans="1:6" s="315" customFormat="1" ht="15">
      <c r="A6947" s="472" t="s">
        <v>9385</v>
      </c>
      <c r="B6947" s="472" t="s">
        <v>9386</v>
      </c>
      <c r="C6947" s="472" t="s">
        <v>178</v>
      </c>
      <c r="D6947" s="472">
        <v>395.61020000000002</v>
      </c>
      <c r="E6947" s="472" t="s">
        <v>6305</v>
      </c>
      <c r="F6947" s="352"/>
    </row>
    <row r="6948" spans="1:6" s="315" customFormat="1" ht="15">
      <c r="A6948" s="472" t="s">
        <v>9387</v>
      </c>
      <c r="B6948" s="472" t="s">
        <v>9388</v>
      </c>
      <c r="C6948" s="472" t="s">
        <v>178</v>
      </c>
      <c r="D6948" s="472">
        <v>186.7002</v>
      </c>
      <c r="E6948" s="472" t="s">
        <v>6305</v>
      </c>
      <c r="F6948" s="352"/>
    </row>
    <row r="6949" spans="1:6" s="315" customFormat="1" ht="15">
      <c r="A6949" s="472" t="s">
        <v>9389</v>
      </c>
      <c r="B6949" s="472" t="s">
        <v>9390</v>
      </c>
      <c r="C6949" s="472" t="s">
        <v>178</v>
      </c>
      <c r="D6949" s="472">
        <v>208.91</v>
      </c>
      <c r="E6949" s="472" t="s">
        <v>6305</v>
      </c>
      <c r="F6949" s="352"/>
    </row>
    <row r="6950" spans="1:6" s="315" customFormat="1" ht="15">
      <c r="A6950" s="472" t="s">
        <v>9391</v>
      </c>
      <c r="B6950" s="472" t="s">
        <v>9392</v>
      </c>
      <c r="C6950" s="472" t="s">
        <v>178</v>
      </c>
      <c r="D6950" s="472">
        <v>238.14940000000001</v>
      </c>
      <c r="E6950" s="472" t="s">
        <v>6305</v>
      </c>
      <c r="F6950" s="352"/>
    </row>
    <row r="6951" spans="1:6" s="315" customFormat="1" ht="15">
      <c r="A6951" s="472" t="s">
        <v>9393</v>
      </c>
      <c r="B6951" s="472" t="s">
        <v>9394</v>
      </c>
      <c r="C6951" s="472" t="s">
        <v>178</v>
      </c>
      <c r="D6951" s="472">
        <v>187.4153</v>
      </c>
      <c r="E6951" s="472" t="s">
        <v>6305</v>
      </c>
      <c r="F6951" s="352"/>
    </row>
    <row r="6952" spans="1:6" s="315" customFormat="1" ht="15">
      <c r="A6952" s="472" t="s">
        <v>9395</v>
      </c>
      <c r="B6952" s="472" t="s">
        <v>9396</v>
      </c>
      <c r="C6952" s="472" t="s">
        <v>178</v>
      </c>
      <c r="D6952" s="472">
        <v>2.6577000000000002</v>
      </c>
      <c r="E6952" s="472" t="s">
        <v>6305</v>
      </c>
      <c r="F6952" s="352"/>
    </row>
    <row r="6953" spans="1:6" s="315" customFormat="1" ht="15">
      <c r="A6953" s="472" t="s">
        <v>9397</v>
      </c>
      <c r="B6953" s="472" t="s">
        <v>9398</v>
      </c>
      <c r="C6953" s="472" t="s">
        <v>178</v>
      </c>
      <c r="D6953" s="472">
        <v>48.0764</v>
      </c>
      <c r="E6953" s="472" t="s">
        <v>6305</v>
      </c>
      <c r="F6953" s="352"/>
    </row>
    <row r="6954" spans="1:6" s="315" customFormat="1" ht="15">
      <c r="A6954" s="472" t="s">
        <v>9399</v>
      </c>
      <c r="B6954" s="472" t="s">
        <v>9400</v>
      </c>
      <c r="C6954" s="472" t="s">
        <v>178</v>
      </c>
      <c r="D6954" s="472">
        <v>221.14160000000001</v>
      </c>
      <c r="E6954" s="472" t="s">
        <v>6305</v>
      </c>
      <c r="F6954" s="352"/>
    </row>
    <row r="6955" spans="1:6" s="315" customFormat="1" ht="15">
      <c r="A6955" s="472" t="s">
        <v>9401</v>
      </c>
      <c r="B6955" s="472" t="s">
        <v>9402</v>
      </c>
      <c r="C6955" s="472" t="s">
        <v>178</v>
      </c>
      <c r="D6955" s="472">
        <v>146.05510000000001</v>
      </c>
      <c r="E6955" s="472" t="s">
        <v>6305</v>
      </c>
      <c r="F6955" s="352"/>
    </row>
    <row r="6956" spans="1:6" s="315" customFormat="1" ht="15">
      <c r="A6956" s="472" t="s">
        <v>9403</v>
      </c>
      <c r="B6956" s="472" t="s">
        <v>9404</v>
      </c>
      <c r="C6956" s="472" t="s">
        <v>178</v>
      </c>
      <c r="D6956" s="472">
        <v>1.4698</v>
      </c>
      <c r="E6956" s="472" t="s">
        <v>6305</v>
      </c>
      <c r="F6956" s="352"/>
    </row>
    <row r="6957" spans="1:6" s="315" customFormat="1" ht="15">
      <c r="A6957" s="472" t="s">
        <v>9405</v>
      </c>
      <c r="B6957" s="472" t="s">
        <v>9406</v>
      </c>
      <c r="C6957" s="472" t="s">
        <v>178</v>
      </c>
      <c r="D6957" s="472">
        <v>32.206200000000003</v>
      </c>
      <c r="E6957" s="472" t="s">
        <v>6305</v>
      </c>
      <c r="F6957" s="352"/>
    </row>
    <row r="6958" spans="1:6" s="315" customFormat="1" ht="15">
      <c r="A6958" s="472" t="s">
        <v>9407</v>
      </c>
      <c r="B6958" s="472" t="s">
        <v>9408</v>
      </c>
      <c r="C6958" s="472" t="s">
        <v>178</v>
      </c>
      <c r="D6958" s="472">
        <v>41.410499999999999</v>
      </c>
      <c r="E6958" s="472" t="s">
        <v>6305</v>
      </c>
      <c r="F6958" s="352"/>
    </row>
    <row r="6959" spans="1:6" s="315" customFormat="1" ht="15">
      <c r="A6959" s="472" t="s">
        <v>9409</v>
      </c>
      <c r="B6959" s="472" t="s">
        <v>9410</v>
      </c>
      <c r="C6959" s="472" t="s">
        <v>178</v>
      </c>
      <c r="D6959" s="472">
        <v>128.20310000000001</v>
      </c>
      <c r="E6959" s="472" t="s">
        <v>6305</v>
      </c>
      <c r="F6959" s="352"/>
    </row>
    <row r="6960" spans="1:6" s="315" customFormat="1" ht="15">
      <c r="A6960" s="472" t="s">
        <v>9411</v>
      </c>
      <c r="B6960" s="472" t="s">
        <v>9412</v>
      </c>
      <c r="C6960" s="472" t="s">
        <v>178</v>
      </c>
      <c r="D6960" s="472">
        <v>123.17619999999999</v>
      </c>
      <c r="E6960" s="472" t="s">
        <v>6305</v>
      </c>
      <c r="F6960" s="352"/>
    </row>
    <row r="6961" spans="1:6" s="315" customFormat="1" ht="15">
      <c r="A6961" s="472" t="s">
        <v>9413</v>
      </c>
      <c r="B6961" s="472" t="s">
        <v>9414</v>
      </c>
      <c r="C6961" s="472" t="s">
        <v>178</v>
      </c>
      <c r="D6961" s="472">
        <v>5.0269000000000004</v>
      </c>
      <c r="E6961" s="472" t="s">
        <v>6305</v>
      </c>
      <c r="F6961" s="352"/>
    </row>
    <row r="6962" spans="1:6" s="315" customFormat="1" ht="15">
      <c r="A6962" s="472" t="s">
        <v>9415</v>
      </c>
      <c r="B6962" s="472" t="s">
        <v>9416</v>
      </c>
      <c r="C6962" s="472" t="s">
        <v>178</v>
      </c>
      <c r="D6962" s="472">
        <v>182.2757</v>
      </c>
      <c r="E6962" s="472" t="s">
        <v>6305</v>
      </c>
      <c r="F6962" s="352"/>
    </row>
    <row r="6963" spans="1:6" s="315" customFormat="1" ht="15">
      <c r="A6963" s="472" t="s">
        <v>9417</v>
      </c>
      <c r="B6963" s="472" t="s">
        <v>9418</v>
      </c>
      <c r="C6963" s="472" t="s">
        <v>178</v>
      </c>
      <c r="D6963" s="472">
        <v>150.24690000000001</v>
      </c>
      <c r="E6963" s="472" t="s">
        <v>6305</v>
      </c>
      <c r="F6963" s="352"/>
    </row>
    <row r="6964" spans="1:6" s="315" customFormat="1" ht="15">
      <c r="A6964" s="472" t="s">
        <v>9419</v>
      </c>
      <c r="B6964" s="472" t="s">
        <v>9420</v>
      </c>
      <c r="C6964" s="472" t="s">
        <v>178</v>
      </c>
      <c r="D6964" s="472">
        <v>32.028799999999997</v>
      </c>
      <c r="E6964" s="472" t="s">
        <v>6305</v>
      </c>
      <c r="F6964" s="352"/>
    </row>
    <row r="6965" spans="1:6" s="315" customFormat="1" ht="15">
      <c r="A6965" s="472" t="s">
        <v>9421</v>
      </c>
      <c r="B6965" s="472" t="s">
        <v>9422</v>
      </c>
      <c r="C6965" s="472" t="s">
        <v>178</v>
      </c>
      <c r="D6965" s="472">
        <v>291.56490000000002</v>
      </c>
      <c r="E6965" s="472" t="s">
        <v>6305</v>
      </c>
      <c r="F6965" s="352"/>
    </row>
    <row r="6966" spans="1:6" s="315" customFormat="1" ht="15">
      <c r="A6966" s="472" t="s">
        <v>9423</v>
      </c>
      <c r="B6966" s="472" t="s">
        <v>9424</v>
      </c>
      <c r="C6966" s="472" t="s">
        <v>178</v>
      </c>
      <c r="D6966" s="472">
        <v>233.64330000000001</v>
      </c>
      <c r="E6966" s="472" t="s">
        <v>6305</v>
      </c>
      <c r="F6966" s="352"/>
    </row>
    <row r="6967" spans="1:6" s="315" customFormat="1" ht="15">
      <c r="A6967" s="472" t="s">
        <v>9425</v>
      </c>
      <c r="B6967" s="472" t="s">
        <v>9426</v>
      </c>
      <c r="C6967" s="472" t="s">
        <v>178</v>
      </c>
      <c r="D6967" s="472">
        <v>57.921599999999998</v>
      </c>
      <c r="E6967" s="472" t="s">
        <v>6305</v>
      </c>
      <c r="F6967" s="352"/>
    </row>
    <row r="6968" spans="1:6" s="315" customFormat="1" ht="15">
      <c r="A6968" s="472" t="s">
        <v>9427</v>
      </c>
      <c r="B6968" s="472" t="s">
        <v>9428</v>
      </c>
      <c r="C6968" s="472" t="s">
        <v>178</v>
      </c>
      <c r="D6968" s="472">
        <v>161.7689</v>
      </c>
      <c r="E6968" s="472" t="s">
        <v>6305</v>
      </c>
      <c r="F6968" s="352"/>
    </row>
    <row r="6969" spans="1:6" s="315" customFormat="1" ht="15">
      <c r="A6969" s="472" t="s">
        <v>9429</v>
      </c>
      <c r="B6969" s="472" t="s">
        <v>9430</v>
      </c>
      <c r="C6969" s="472" t="s">
        <v>178</v>
      </c>
      <c r="D6969" s="472">
        <v>161.7689</v>
      </c>
      <c r="E6969" s="472" t="s">
        <v>6305</v>
      </c>
      <c r="F6969" s="352"/>
    </row>
    <row r="6970" spans="1:6" s="315" customFormat="1" ht="15">
      <c r="A6970" s="472" t="s">
        <v>9431</v>
      </c>
      <c r="B6970" s="472" t="s">
        <v>9432</v>
      </c>
      <c r="C6970" s="472" t="s">
        <v>178</v>
      </c>
      <c r="D6970" s="472">
        <v>4.5490000000000004</v>
      </c>
      <c r="E6970" s="472" t="s">
        <v>6305</v>
      </c>
      <c r="F6970" s="352"/>
    </row>
    <row r="6971" spans="1:6" s="315" customFormat="1" ht="15">
      <c r="A6971" s="472" t="s">
        <v>9433</v>
      </c>
      <c r="B6971" s="472" t="s">
        <v>9434</v>
      </c>
      <c r="C6971" s="472" t="s">
        <v>178</v>
      </c>
      <c r="D6971" s="472">
        <v>4.5490000000000004</v>
      </c>
      <c r="E6971" s="472" t="s">
        <v>6305</v>
      </c>
      <c r="F6971" s="352"/>
    </row>
    <row r="6972" spans="1:6" s="315" customFormat="1" ht="15">
      <c r="A6972" s="472" t="s">
        <v>9435</v>
      </c>
      <c r="B6972" s="472" t="s">
        <v>9436</v>
      </c>
      <c r="C6972" s="472" t="s">
        <v>178</v>
      </c>
      <c r="D6972" s="472">
        <v>30.899799999999999</v>
      </c>
      <c r="E6972" s="472" t="s">
        <v>6305</v>
      </c>
      <c r="F6972" s="352"/>
    </row>
    <row r="6973" spans="1:6" s="315" customFormat="1" ht="15">
      <c r="A6973" s="472" t="s">
        <v>9437</v>
      </c>
      <c r="B6973" s="472" t="s">
        <v>9438</v>
      </c>
      <c r="C6973" s="472" t="s">
        <v>178</v>
      </c>
      <c r="D6973" s="472">
        <v>30.899799999999999</v>
      </c>
      <c r="E6973" s="472" t="s">
        <v>6305</v>
      </c>
      <c r="F6973" s="352"/>
    </row>
    <row r="6974" spans="1:6" s="315" customFormat="1" ht="15">
      <c r="A6974" s="472" t="s">
        <v>9439</v>
      </c>
      <c r="B6974" s="472" t="s">
        <v>9440</v>
      </c>
      <c r="C6974" s="472" t="s">
        <v>178</v>
      </c>
      <c r="D6974" s="472">
        <v>157.1722</v>
      </c>
      <c r="E6974" s="472" t="s">
        <v>6305</v>
      </c>
      <c r="F6974" s="352"/>
    </row>
    <row r="6975" spans="1:6" s="315" customFormat="1" ht="15">
      <c r="A6975" s="472" t="s">
        <v>9441</v>
      </c>
      <c r="B6975" s="472" t="s">
        <v>9382</v>
      </c>
      <c r="C6975" s="472" t="s">
        <v>178</v>
      </c>
      <c r="D6975" s="472">
        <v>152.22210000000001</v>
      </c>
      <c r="E6975" s="472" t="s">
        <v>6305</v>
      </c>
      <c r="F6975" s="352"/>
    </row>
    <row r="6976" spans="1:6" s="315" customFormat="1" ht="15">
      <c r="A6976" s="472" t="s">
        <v>9442</v>
      </c>
      <c r="B6976" s="472" t="s">
        <v>9443</v>
      </c>
      <c r="C6976" s="472" t="s">
        <v>178</v>
      </c>
      <c r="D6976" s="472">
        <v>4.9500999999999999</v>
      </c>
      <c r="E6976" s="472" t="s">
        <v>6305</v>
      </c>
      <c r="F6976" s="352"/>
    </row>
    <row r="6977" spans="1:6" s="315" customFormat="1" ht="15">
      <c r="A6977" s="472" t="s">
        <v>9444</v>
      </c>
      <c r="B6977" s="472" t="s">
        <v>9445</v>
      </c>
      <c r="C6977" s="472" t="s">
        <v>178</v>
      </c>
      <c r="D6977" s="472">
        <v>274.57580000000002</v>
      </c>
      <c r="E6977" s="472" t="s">
        <v>6305</v>
      </c>
      <c r="F6977" s="352"/>
    </row>
    <row r="6978" spans="1:6" s="315" customFormat="1" ht="15">
      <c r="A6978" s="472" t="s">
        <v>9368</v>
      </c>
      <c r="B6978" s="472" t="s">
        <v>9369</v>
      </c>
      <c r="C6978" s="472" t="s">
        <v>178</v>
      </c>
      <c r="D6978" s="472">
        <v>255.2741</v>
      </c>
      <c r="E6978" s="472" t="s">
        <v>6305</v>
      </c>
      <c r="F6978" s="352"/>
    </row>
    <row r="6979" spans="1:6" s="315" customFormat="1" ht="15">
      <c r="A6979" s="472" t="s">
        <v>9446</v>
      </c>
      <c r="B6979" s="472" t="s">
        <v>9447</v>
      </c>
      <c r="C6979" s="472" t="s">
        <v>178</v>
      </c>
      <c r="D6979" s="472">
        <v>19.3017</v>
      </c>
      <c r="E6979" s="472" t="s">
        <v>6305</v>
      </c>
      <c r="F6979" s="352"/>
    </row>
    <row r="6980" spans="1:6" s="315" customFormat="1" ht="15">
      <c r="A6980" s="472" t="s">
        <v>9448</v>
      </c>
      <c r="B6980" s="472" t="s">
        <v>9449</v>
      </c>
      <c r="C6980" s="472" t="s">
        <v>178</v>
      </c>
      <c r="D6980" s="472">
        <v>173.4666</v>
      </c>
      <c r="E6980" s="472" t="s">
        <v>6305</v>
      </c>
      <c r="F6980" s="352"/>
    </row>
    <row r="6981" spans="1:6" s="315" customFormat="1" ht="15">
      <c r="A6981" s="472" t="s">
        <v>9450</v>
      </c>
      <c r="B6981" s="472" t="s">
        <v>9451</v>
      </c>
      <c r="C6981" s="472" t="s">
        <v>178</v>
      </c>
      <c r="D6981" s="472">
        <v>159.8913</v>
      </c>
      <c r="E6981" s="472" t="s">
        <v>6305</v>
      </c>
      <c r="F6981" s="352"/>
    </row>
    <row r="6982" spans="1:6" s="315" customFormat="1" ht="15">
      <c r="A6982" s="472" t="s">
        <v>9452</v>
      </c>
      <c r="B6982" s="472" t="s">
        <v>9453</v>
      </c>
      <c r="C6982" s="472" t="s">
        <v>178</v>
      </c>
      <c r="D6982" s="472">
        <v>13.5753</v>
      </c>
      <c r="E6982" s="472" t="s">
        <v>6305</v>
      </c>
      <c r="F6982" s="352"/>
    </row>
    <row r="6983" spans="1:6" s="315" customFormat="1" ht="15">
      <c r="A6983" s="472" t="s">
        <v>9454</v>
      </c>
      <c r="B6983" s="472" t="s">
        <v>9455</v>
      </c>
      <c r="C6983" s="472" t="s">
        <v>178</v>
      </c>
      <c r="D6983" s="472">
        <v>206.4068</v>
      </c>
      <c r="E6983" s="472" t="s">
        <v>6305</v>
      </c>
      <c r="F6983" s="352"/>
    </row>
    <row r="6984" spans="1:6" s="315" customFormat="1" ht="15">
      <c r="A6984" s="472" t="s">
        <v>9456</v>
      </c>
      <c r="B6984" s="472" t="s">
        <v>9457</v>
      </c>
      <c r="C6984" s="472" t="s">
        <v>178</v>
      </c>
      <c r="D6984" s="472">
        <v>132.54669999999999</v>
      </c>
      <c r="E6984" s="472" t="s">
        <v>6305</v>
      </c>
      <c r="F6984" s="352"/>
    </row>
    <row r="6985" spans="1:6" s="315" customFormat="1" ht="15">
      <c r="A6985" s="472" t="s">
        <v>9458</v>
      </c>
      <c r="B6985" s="472" t="s">
        <v>9459</v>
      </c>
      <c r="C6985" s="472" t="s">
        <v>178</v>
      </c>
      <c r="D6985" s="472">
        <v>73.860100000000003</v>
      </c>
      <c r="E6985" s="472" t="s">
        <v>6305</v>
      </c>
      <c r="F6985" s="352"/>
    </row>
    <row r="6986" spans="1:6" s="315" customFormat="1" ht="15">
      <c r="A6986" s="472" t="s">
        <v>9460</v>
      </c>
      <c r="B6986" s="472" t="s">
        <v>7804</v>
      </c>
      <c r="C6986" s="472" t="s">
        <v>178</v>
      </c>
      <c r="D6986" s="472">
        <v>110.92149999999999</v>
      </c>
      <c r="E6986" s="472" t="s">
        <v>6305</v>
      </c>
      <c r="F6986" s="352"/>
    </row>
    <row r="6987" spans="1:6" s="315" customFormat="1" ht="15">
      <c r="A6987" s="472" t="s">
        <v>9461</v>
      </c>
      <c r="B6987" s="472" t="s">
        <v>9462</v>
      </c>
      <c r="C6987" s="472" t="s">
        <v>178</v>
      </c>
      <c r="D6987" s="472">
        <v>105.85720000000001</v>
      </c>
      <c r="E6987" s="472" t="s">
        <v>6305</v>
      </c>
      <c r="F6987" s="352"/>
    </row>
    <row r="6988" spans="1:6" s="315" customFormat="1" ht="15">
      <c r="A6988" s="472" t="s">
        <v>9463</v>
      </c>
      <c r="B6988" s="472" t="s">
        <v>9464</v>
      </c>
      <c r="C6988" s="472" t="s">
        <v>178</v>
      </c>
      <c r="D6988" s="472">
        <v>5.0643000000000002</v>
      </c>
      <c r="E6988" s="472" t="s">
        <v>6305</v>
      </c>
      <c r="F6988" s="352"/>
    </row>
    <row r="6989" spans="1:6" s="315" customFormat="1" ht="15">
      <c r="A6989" s="472" t="s">
        <v>9465</v>
      </c>
      <c r="B6989" s="472" t="s">
        <v>7811</v>
      </c>
      <c r="C6989" s="472" t="s">
        <v>178</v>
      </c>
      <c r="D6989" s="472">
        <v>108.48480000000001</v>
      </c>
      <c r="E6989" s="472" t="s">
        <v>6305</v>
      </c>
      <c r="F6989" s="352"/>
    </row>
    <row r="6990" spans="1:6" s="315" customFormat="1" ht="15">
      <c r="A6990" s="472" t="s">
        <v>9466</v>
      </c>
      <c r="B6990" s="472" t="s">
        <v>9467</v>
      </c>
      <c r="C6990" s="472" t="s">
        <v>178</v>
      </c>
      <c r="D6990" s="472">
        <v>105.93689999999999</v>
      </c>
      <c r="E6990" s="472" t="s">
        <v>6305</v>
      </c>
      <c r="F6990" s="352"/>
    </row>
    <row r="6991" spans="1:6" s="315" customFormat="1" ht="15">
      <c r="A6991" s="472" t="s">
        <v>9468</v>
      </c>
      <c r="B6991" s="472" t="s">
        <v>9469</v>
      </c>
      <c r="C6991" s="472" t="s">
        <v>178</v>
      </c>
      <c r="D6991" s="472">
        <v>2.5478999999999998</v>
      </c>
      <c r="E6991" s="472" t="s">
        <v>6305</v>
      </c>
      <c r="F6991" s="352"/>
    </row>
    <row r="6992" spans="1:6" s="315" customFormat="1" ht="15">
      <c r="A6992" s="472" t="s">
        <v>9470</v>
      </c>
      <c r="B6992" s="472" t="s">
        <v>9471</v>
      </c>
      <c r="C6992" s="472" t="s">
        <v>178</v>
      </c>
      <c r="D6992" s="472">
        <v>162.8415</v>
      </c>
      <c r="E6992" s="472" t="s">
        <v>6305</v>
      </c>
      <c r="F6992" s="352"/>
    </row>
    <row r="6993" spans="1:6" s="315" customFormat="1" ht="15">
      <c r="A6993" s="472" t="s">
        <v>9401</v>
      </c>
      <c r="B6993" s="472" t="s">
        <v>9402</v>
      </c>
      <c r="C6993" s="472" t="s">
        <v>178</v>
      </c>
      <c r="D6993" s="472">
        <v>146.05510000000001</v>
      </c>
      <c r="E6993" s="472" t="s">
        <v>6305</v>
      </c>
      <c r="F6993" s="352"/>
    </row>
    <row r="6994" spans="1:6" s="315" customFormat="1" ht="15">
      <c r="A6994" s="472" t="s">
        <v>9472</v>
      </c>
      <c r="B6994" s="472" t="s">
        <v>26770</v>
      </c>
      <c r="C6994" s="472" t="s">
        <v>178</v>
      </c>
      <c r="D6994" s="472">
        <v>16.7864</v>
      </c>
      <c r="E6994" s="472" t="s">
        <v>6305</v>
      </c>
      <c r="F6994" s="352"/>
    </row>
    <row r="6995" spans="1:6" s="315" customFormat="1" ht="15">
      <c r="A6995" s="472" t="s">
        <v>9473</v>
      </c>
      <c r="B6995" s="472" t="s">
        <v>9474</v>
      </c>
      <c r="C6995" s="472" t="s">
        <v>178</v>
      </c>
      <c r="D6995" s="472">
        <v>166.76750000000001</v>
      </c>
      <c r="E6995" s="472" t="s">
        <v>6305</v>
      </c>
      <c r="F6995" s="352"/>
    </row>
    <row r="6996" spans="1:6" s="315" customFormat="1" ht="15">
      <c r="A6996" s="472" t="s">
        <v>9475</v>
      </c>
      <c r="B6996" s="472" t="s">
        <v>9476</v>
      </c>
      <c r="C6996" s="472" t="s">
        <v>178</v>
      </c>
      <c r="D6996" s="472">
        <v>157.3314</v>
      </c>
      <c r="E6996" s="472" t="s">
        <v>6305</v>
      </c>
      <c r="F6996" s="352"/>
    </row>
    <row r="6997" spans="1:6" s="315" customFormat="1" ht="15">
      <c r="A6997" s="472" t="s">
        <v>9477</v>
      </c>
      <c r="B6997" s="472" t="s">
        <v>9478</v>
      </c>
      <c r="C6997" s="472" t="s">
        <v>178</v>
      </c>
      <c r="D6997" s="472">
        <v>9.4360999999999997</v>
      </c>
      <c r="E6997" s="472" t="s">
        <v>6305</v>
      </c>
      <c r="F6997" s="352"/>
    </row>
    <row r="6998" spans="1:6" s="315" customFormat="1" ht="15">
      <c r="A6998" s="472" t="s">
        <v>9479</v>
      </c>
      <c r="B6998" s="472" t="s">
        <v>7777</v>
      </c>
      <c r="C6998" s="472" t="s">
        <v>178</v>
      </c>
      <c r="D6998" s="472">
        <v>200.50309999999999</v>
      </c>
      <c r="E6998" s="472" t="s">
        <v>6305</v>
      </c>
      <c r="F6998" s="352"/>
    </row>
    <row r="6999" spans="1:6" s="315" customFormat="1" ht="15">
      <c r="A6999" s="472" t="s">
        <v>9480</v>
      </c>
      <c r="B6999" s="472" t="s">
        <v>9476</v>
      </c>
      <c r="C6999" s="472" t="s">
        <v>178</v>
      </c>
      <c r="D6999" s="472">
        <v>190.13740000000001</v>
      </c>
      <c r="E6999" s="472" t="s">
        <v>6305</v>
      </c>
      <c r="F6999" s="352"/>
    </row>
    <row r="7000" spans="1:6" s="315" customFormat="1" ht="15">
      <c r="A7000" s="472" t="s">
        <v>9481</v>
      </c>
      <c r="B7000" s="472" t="s">
        <v>9482</v>
      </c>
      <c r="C7000" s="472" t="s">
        <v>178</v>
      </c>
      <c r="D7000" s="472">
        <v>10.3657</v>
      </c>
      <c r="E7000" s="472" t="s">
        <v>6305</v>
      </c>
      <c r="F7000" s="352"/>
    </row>
    <row r="7001" spans="1:6" s="315" customFormat="1" ht="15">
      <c r="A7001" s="472" t="s">
        <v>9483</v>
      </c>
      <c r="B7001" s="472" t="s">
        <v>9484</v>
      </c>
      <c r="C7001" s="472" t="s">
        <v>178</v>
      </c>
      <c r="D7001" s="472">
        <v>161.1454</v>
      </c>
      <c r="E7001" s="472" t="s">
        <v>6305</v>
      </c>
      <c r="F7001" s="352"/>
    </row>
    <row r="7002" spans="1:6" s="315" customFormat="1" ht="15">
      <c r="A7002" s="472" t="s">
        <v>9485</v>
      </c>
      <c r="B7002" s="472" t="s">
        <v>9388</v>
      </c>
      <c r="C7002" s="472" t="s">
        <v>178</v>
      </c>
      <c r="D7002" s="472">
        <v>153.89420000000001</v>
      </c>
      <c r="E7002" s="472" t="s">
        <v>6305</v>
      </c>
      <c r="F7002" s="352"/>
    </row>
    <row r="7003" spans="1:6" s="315" customFormat="1" ht="15">
      <c r="A7003" s="472" t="s">
        <v>9486</v>
      </c>
      <c r="B7003" s="472" t="s">
        <v>9487</v>
      </c>
      <c r="C7003" s="472" t="s">
        <v>178</v>
      </c>
      <c r="D7003" s="472">
        <v>7.2511999999999999</v>
      </c>
      <c r="E7003" s="472" t="s">
        <v>6305</v>
      </c>
      <c r="F7003" s="352"/>
    </row>
    <row r="7004" spans="1:6" s="315" customFormat="1" ht="15">
      <c r="A7004" s="472" t="s">
        <v>9488</v>
      </c>
      <c r="B7004" s="472" t="s">
        <v>9489</v>
      </c>
      <c r="C7004" s="472" t="s">
        <v>178</v>
      </c>
      <c r="D7004" s="472">
        <v>158.65469999999999</v>
      </c>
      <c r="E7004" s="472" t="s">
        <v>6305</v>
      </c>
      <c r="F7004" s="352"/>
    </row>
    <row r="7005" spans="1:6" s="315" customFormat="1" ht="15">
      <c r="A7005" s="472" t="s">
        <v>9441</v>
      </c>
      <c r="B7005" s="472" t="s">
        <v>9382</v>
      </c>
      <c r="C7005" s="472" t="s">
        <v>178</v>
      </c>
      <c r="D7005" s="472">
        <v>152.22210000000001</v>
      </c>
      <c r="E7005" s="472" t="s">
        <v>6305</v>
      </c>
      <c r="F7005" s="352"/>
    </row>
    <row r="7006" spans="1:6" s="315" customFormat="1" ht="15">
      <c r="A7006" s="472" t="s">
        <v>9490</v>
      </c>
      <c r="B7006" s="472" t="s">
        <v>9491</v>
      </c>
      <c r="C7006" s="472" t="s">
        <v>178</v>
      </c>
      <c r="D7006" s="472">
        <v>6.4325999999999999</v>
      </c>
      <c r="E7006" s="472" t="s">
        <v>6305</v>
      </c>
      <c r="F7006" s="352"/>
    </row>
    <row r="7007" spans="1:6" s="315" customFormat="1" ht="15">
      <c r="A7007" s="472" t="s">
        <v>9492</v>
      </c>
      <c r="B7007" s="472" t="s">
        <v>9493</v>
      </c>
      <c r="C7007" s="472" t="s">
        <v>178</v>
      </c>
      <c r="D7007" s="472">
        <v>155.60769999999999</v>
      </c>
      <c r="E7007" s="472" t="s">
        <v>6305</v>
      </c>
      <c r="F7007" s="352"/>
    </row>
    <row r="7008" spans="1:6" s="315" customFormat="1" ht="15">
      <c r="A7008" s="472" t="s">
        <v>9494</v>
      </c>
      <c r="B7008" s="472" t="s">
        <v>9495</v>
      </c>
      <c r="C7008" s="472" t="s">
        <v>178</v>
      </c>
      <c r="D7008" s="472">
        <v>152.93719999999999</v>
      </c>
      <c r="E7008" s="472" t="s">
        <v>6305</v>
      </c>
      <c r="F7008" s="352"/>
    </row>
    <row r="7009" spans="1:6" s="315" customFormat="1" ht="15">
      <c r="A7009" s="472" t="s">
        <v>9496</v>
      </c>
      <c r="B7009" s="472" t="s">
        <v>9497</v>
      </c>
      <c r="C7009" s="472" t="s">
        <v>178</v>
      </c>
      <c r="D7009" s="472">
        <v>2.6705000000000001</v>
      </c>
      <c r="E7009" s="472" t="s">
        <v>6305</v>
      </c>
      <c r="F7009" s="352"/>
    </row>
    <row r="7010" spans="1:6" s="315" customFormat="1" ht="15">
      <c r="A7010" s="472" t="s">
        <v>9498</v>
      </c>
      <c r="B7010" s="472" t="s">
        <v>9499</v>
      </c>
      <c r="C7010" s="472" t="s">
        <v>178</v>
      </c>
      <c r="D7010" s="472">
        <v>169.87010000000001</v>
      </c>
      <c r="E7010" s="472" t="s">
        <v>6305</v>
      </c>
      <c r="F7010" s="352"/>
    </row>
    <row r="7011" spans="1:6" s="315" customFormat="1" ht="15">
      <c r="A7011" s="472" t="s">
        <v>9485</v>
      </c>
      <c r="B7011" s="472" t="s">
        <v>9388</v>
      </c>
      <c r="C7011" s="472" t="s">
        <v>178</v>
      </c>
      <c r="D7011" s="472">
        <v>153.89420000000001</v>
      </c>
      <c r="E7011" s="472" t="s">
        <v>6305</v>
      </c>
      <c r="F7011" s="352"/>
    </row>
    <row r="7012" spans="1:6" s="315" customFormat="1" ht="15">
      <c r="A7012" s="472" t="s">
        <v>9500</v>
      </c>
      <c r="B7012" s="472" t="s">
        <v>9501</v>
      </c>
      <c r="C7012" s="472" t="s">
        <v>178</v>
      </c>
      <c r="D7012" s="472">
        <v>15.975899999999999</v>
      </c>
      <c r="E7012" s="472" t="s">
        <v>6305</v>
      </c>
      <c r="F7012" s="352"/>
    </row>
    <row r="7013" spans="1:6" s="315" customFormat="1" ht="15">
      <c r="A7013" s="472" t="s">
        <v>9502</v>
      </c>
      <c r="B7013" s="472" t="s">
        <v>9503</v>
      </c>
      <c r="C7013" s="472" t="s">
        <v>178</v>
      </c>
      <c r="D7013" s="472">
        <v>181.2766</v>
      </c>
      <c r="E7013" s="472" t="s">
        <v>6305</v>
      </c>
      <c r="F7013" s="352"/>
    </row>
    <row r="7014" spans="1:6" s="315" customFormat="1" ht="15">
      <c r="A7014" s="472" t="s">
        <v>9504</v>
      </c>
      <c r="B7014" s="472" t="s">
        <v>9505</v>
      </c>
      <c r="C7014" s="472" t="s">
        <v>178</v>
      </c>
      <c r="D7014" s="472">
        <v>176.0616</v>
      </c>
      <c r="E7014" s="472" t="s">
        <v>6305</v>
      </c>
      <c r="F7014" s="352"/>
    </row>
    <row r="7015" spans="1:6" s="315" customFormat="1" ht="15">
      <c r="A7015" s="472" t="s">
        <v>9506</v>
      </c>
      <c r="B7015" s="472" t="s">
        <v>9507</v>
      </c>
      <c r="C7015" s="472" t="s">
        <v>178</v>
      </c>
      <c r="D7015" s="472">
        <v>5.2149999999999999</v>
      </c>
      <c r="E7015" s="472" t="s">
        <v>6305</v>
      </c>
      <c r="F7015" s="352"/>
    </row>
    <row r="7016" spans="1:6" s="315" customFormat="1" ht="15">
      <c r="A7016" s="472" t="s">
        <v>9508</v>
      </c>
      <c r="B7016" s="472" t="s">
        <v>9509</v>
      </c>
      <c r="C7016" s="472" t="s">
        <v>178</v>
      </c>
      <c r="D7016" s="472">
        <v>154.3477</v>
      </c>
      <c r="E7016" s="472" t="s">
        <v>6305</v>
      </c>
      <c r="F7016" s="352"/>
    </row>
    <row r="7017" spans="1:6" s="315" customFormat="1" ht="15">
      <c r="A7017" s="472" t="s">
        <v>9401</v>
      </c>
      <c r="B7017" s="472" t="s">
        <v>9402</v>
      </c>
      <c r="C7017" s="472" t="s">
        <v>178</v>
      </c>
      <c r="D7017" s="472">
        <v>146.05510000000001</v>
      </c>
      <c r="E7017" s="472" t="s">
        <v>6305</v>
      </c>
      <c r="F7017" s="352"/>
    </row>
    <row r="7018" spans="1:6" s="315" customFormat="1" ht="15">
      <c r="A7018" s="472" t="s">
        <v>9510</v>
      </c>
      <c r="B7018" s="472" t="s">
        <v>9511</v>
      </c>
      <c r="C7018" s="472" t="s">
        <v>178</v>
      </c>
      <c r="D7018" s="472">
        <v>8.2926000000000002</v>
      </c>
      <c r="E7018" s="472" t="s">
        <v>6305</v>
      </c>
      <c r="F7018" s="352"/>
    </row>
    <row r="7019" spans="1:6" s="315" customFormat="1" ht="15">
      <c r="A7019" s="472" t="s">
        <v>9512</v>
      </c>
      <c r="B7019" s="472" t="s">
        <v>9513</v>
      </c>
      <c r="C7019" s="472" t="s">
        <v>178</v>
      </c>
      <c r="D7019" s="472">
        <v>258.40800000000002</v>
      </c>
      <c r="E7019" s="472" t="s">
        <v>6305</v>
      </c>
      <c r="F7019" s="352"/>
    </row>
    <row r="7020" spans="1:6" s="315" customFormat="1" ht="15">
      <c r="A7020" s="472" t="s">
        <v>9514</v>
      </c>
      <c r="B7020" s="472" t="s">
        <v>9515</v>
      </c>
      <c r="C7020" s="472" t="s">
        <v>178</v>
      </c>
      <c r="D7020" s="472">
        <v>122.0753</v>
      </c>
      <c r="E7020" s="472" t="s">
        <v>6305</v>
      </c>
      <c r="F7020" s="352"/>
    </row>
    <row r="7021" spans="1:6" s="315" customFormat="1" ht="15">
      <c r="A7021" s="472" t="s">
        <v>9516</v>
      </c>
      <c r="B7021" s="472" t="s">
        <v>26771</v>
      </c>
      <c r="C7021" s="472" t="s">
        <v>178</v>
      </c>
      <c r="D7021" s="472">
        <v>136.33269999999999</v>
      </c>
      <c r="E7021" s="472" t="s">
        <v>6305</v>
      </c>
      <c r="F7021" s="352"/>
    </row>
    <row r="7022" spans="1:6" s="315" customFormat="1" ht="15">
      <c r="A7022" s="472" t="s">
        <v>9517</v>
      </c>
      <c r="B7022" s="472" t="s">
        <v>26772</v>
      </c>
      <c r="C7022" s="472" t="s">
        <v>178</v>
      </c>
      <c r="D7022" s="472">
        <v>359.54969999999997</v>
      </c>
      <c r="E7022" s="472" t="s">
        <v>6305</v>
      </c>
      <c r="F7022" s="352"/>
    </row>
    <row r="7023" spans="1:6" s="315" customFormat="1" ht="15">
      <c r="A7023" s="472" t="s">
        <v>9518</v>
      </c>
      <c r="B7023" s="472" t="s">
        <v>9519</v>
      </c>
      <c r="C7023" s="472" t="s">
        <v>178</v>
      </c>
      <c r="D7023" s="472">
        <v>147.72720000000001</v>
      </c>
      <c r="E7023" s="472" t="s">
        <v>6305</v>
      </c>
      <c r="F7023" s="352"/>
    </row>
    <row r="7024" spans="1:6" s="315" customFormat="1" ht="15">
      <c r="A7024" s="472" t="s">
        <v>9520</v>
      </c>
      <c r="B7024" s="472" t="s">
        <v>9521</v>
      </c>
      <c r="C7024" s="472" t="s">
        <v>178</v>
      </c>
      <c r="D7024" s="472">
        <v>39.465899999999998</v>
      </c>
      <c r="E7024" s="472" t="s">
        <v>6305</v>
      </c>
      <c r="F7024" s="352"/>
    </row>
    <row r="7025" spans="1:6" s="315" customFormat="1" ht="15">
      <c r="A7025" s="472" t="s">
        <v>9522</v>
      </c>
      <c r="B7025" s="472" t="s">
        <v>26773</v>
      </c>
      <c r="C7025" s="472" t="s">
        <v>178</v>
      </c>
      <c r="D7025" s="472">
        <v>172.35659999999999</v>
      </c>
      <c r="E7025" s="472" t="s">
        <v>6305</v>
      </c>
      <c r="F7025" s="352"/>
    </row>
    <row r="7026" spans="1:6" s="315" customFormat="1" ht="15">
      <c r="A7026" s="472" t="s">
        <v>9523</v>
      </c>
      <c r="B7026" s="472" t="s">
        <v>9524</v>
      </c>
      <c r="C7026" s="472" t="s">
        <v>178</v>
      </c>
      <c r="D7026" s="472">
        <v>107.3638</v>
      </c>
      <c r="E7026" s="472" t="s">
        <v>6305</v>
      </c>
      <c r="F7026" s="352"/>
    </row>
    <row r="7027" spans="1:6" s="315" customFormat="1" ht="15">
      <c r="A7027" s="472" t="s">
        <v>9525</v>
      </c>
      <c r="B7027" s="472" t="s">
        <v>9402</v>
      </c>
      <c r="C7027" s="472" t="s">
        <v>178</v>
      </c>
      <c r="D7027" s="472">
        <v>103.33750000000001</v>
      </c>
      <c r="E7027" s="472" t="s">
        <v>6305</v>
      </c>
      <c r="F7027" s="352"/>
    </row>
    <row r="7028" spans="1:6" s="315" customFormat="1" ht="15">
      <c r="A7028" s="472" t="s">
        <v>9526</v>
      </c>
      <c r="B7028" s="472" t="s">
        <v>9527</v>
      </c>
      <c r="C7028" s="472" t="s">
        <v>178</v>
      </c>
      <c r="D7028" s="472">
        <v>4.0263</v>
      </c>
      <c r="E7028" s="472" t="s">
        <v>6305</v>
      </c>
      <c r="F7028" s="352"/>
    </row>
    <row r="7029" spans="1:6" s="315" customFormat="1" ht="15">
      <c r="A7029" s="472" t="s">
        <v>9528</v>
      </c>
      <c r="B7029" s="472" t="s">
        <v>9529</v>
      </c>
      <c r="C7029" s="472" t="s">
        <v>178</v>
      </c>
      <c r="D7029" s="472">
        <v>208.8305</v>
      </c>
      <c r="E7029" s="472" t="s">
        <v>6305</v>
      </c>
      <c r="F7029" s="352"/>
    </row>
    <row r="7030" spans="1:6" s="315" customFormat="1" ht="15">
      <c r="A7030" s="472" t="s">
        <v>9530</v>
      </c>
      <c r="B7030" s="472" t="s">
        <v>9531</v>
      </c>
      <c r="C7030" s="472" t="s">
        <v>178</v>
      </c>
      <c r="D7030" s="472">
        <v>186.23320000000001</v>
      </c>
      <c r="E7030" s="472" t="s">
        <v>6305</v>
      </c>
      <c r="F7030" s="352"/>
    </row>
    <row r="7031" spans="1:6" s="315" customFormat="1" ht="15">
      <c r="A7031" s="472" t="s">
        <v>9532</v>
      </c>
      <c r="B7031" s="472" t="s">
        <v>9533</v>
      </c>
      <c r="C7031" s="472" t="s">
        <v>178</v>
      </c>
      <c r="D7031" s="472">
        <v>22.597300000000001</v>
      </c>
      <c r="E7031" s="472" t="s">
        <v>6305</v>
      </c>
      <c r="F7031" s="352"/>
    </row>
    <row r="7032" spans="1:6" s="315" customFormat="1" ht="15">
      <c r="A7032" s="472" t="s">
        <v>9534</v>
      </c>
      <c r="B7032" s="472" t="s">
        <v>9535</v>
      </c>
      <c r="C7032" s="472" t="s">
        <v>178</v>
      </c>
      <c r="D7032" s="472">
        <v>236.4496</v>
      </c>
      <c r="E7032" s="472" t="s">
        <v>6305</v>
      </c>
      <c r="F7032" s="352"/>
    </row>
    <row r="7033" spans="1:6" s="315" customFormat="1" ht="15">
      <c r="A7033" s="472" t="s">
        <v>9536</v>
      </c>
      <c r="B7033" s="472" t="s">
        <v>9369</v>
      </c>
      <c r="C7033" s="472" t="s">
        <v>178</v>
      </c>
      <c r="D7033" s="472">
        <v>209.0316</v>
      </c>
      <c r="E7033" s="472" t="s">
        <v>6305</v>
      </c>
      <c r="F7033" s="352"/>
    </row>
    <row r="7034" spans="1:6" s="315" customFormat="1" ht="15">
      <c r="A7034" s="472" t="s">
        <v>9537</v>
      </c>
      <c r="B7034" s="472" t="s">
        <v>9538</v>
      </c>
      <c r="C7034" s="472" t="s">
        <v>178</v>
      </c>
      <c r="D7034" s="472">
        <v>27.417999999999999</v>
      </c>
      <c r="E7034" s="472" t="s">
        <v>6305</v>
      </c>
      <c r="F7034" s="352"/>
    </row>
    <row r="7035" spans="1:6" s="315" customFormat="1" ht="15">
      <c r="A7035" s="472" t="s">
        <v>9539</v>
      </c>
      <c r="B7035" s="472" t="s">
        <v>9540</v>
      </c>
      <c r="C7035" s="472" t="s">
        <v>178</v>
      </c>
      <c r="D7035" s="472">
        <v>161.1454</v>
      </c>
      <c r="E7035" s="472" t="s">
        <v>6305</v>
      </c>
      <c r="F7035" s="352"/>
    </row>
    <row r="7036" spans="1:6" s="315" customFormat="1" ht="15">
      <c r="A7036" s="472" t="s">
        <v>9485</v>
      </c>
      <c r="B7036" s="472" t="s">
        <v>9388</v>
      </c>
      <c r="C7036" s="472" t="s">
        <v>178</v>
      </c>
      <c r="D7036" s="472">
        <v>153.89420000000001</v>
      </c>
      <c r="E7036" s="472" t="s">
        <v>6305</v>
      </c>
      <c r="F7036" s="352"/>
    </row>
    <row r="7037" spans="1:6" s="315" customFormat="1" ht="15">
      <c r="A7037" s="472" t="s">
        <v>9541</v>
      </c>
      <c r="B7037" s="472" t="s">
        <v>9542</v>
      </c>
      <c r="C7037" s="472" t="s">
        <v>178</v>
      </c>
      <c r="D7037" s="472">
        <v>7.2511999999999999</v>
      </c>
      <c r="E7037" s="472" t="s">
        <v>6305</v>
      </c>
      <c r="F7037" s="352"/>
    </row>
    <row r="7038" spans="1:6" s="315" customFormat="1" ht="15">
      <c r="A7038" s="472" t="s">
        <v>9543</v>
      </c>
      <c r="B7038" s="472" t="s">
        <v>7806</v>
      </c>
      <c r="C7038" s="472" t="s">
        <v>178</v>
      </c>
      <c r="D7038" s="472">
        <v>157.87629999999999</v>
      </c>
      <c r="E7038" s="472" t="s">
        <v>6305</v>
      </c>
      <c r="F7038" s="352"/>
    </row>
    <row r="7039" spans="1:6" s="315" customFormat="1" ht="15">
      <c r="A7039" s="472" t="s">
        <v>9544</v>
      </c>
      <c r="B7039" s="472" t="s">
        <v>9467</v>
      </c>
      <c r="C7039" s="472" t="s">
        <v>178</v>
      </c>
      <c r="D7039" s="472">
        <v>148.65450000000001</v>
      </c>
      <c r="E7039" s="472" t="s">
        <v>6305</v>
      </c>
      <c r="F7039" s="352"/>
    </row>
    <row r="7040" spans="1:6" s="315" customFormat="1" ht="15">
      <c r="A7040" s="472" t="s">
        <v>9545</v>
      </c>
      <c r="B7040" s="472" t="s">
        <v>9546</v>
      </c>
      <c r="C7040" s="472" t="s">
        <v>178</v>
      </c>
      <c r="D7040" s="472">
        <v>9.2218</v>
      </c>
      <c r="E7040" s="472" t="s">
        <v>6305</v>
      </c>
      <c r="F7040" s="352"/>
    </row>
    <row r="7041" spans="1:6" s="315" customFormat="1" ht="15">
      <c r="A7041" s="472" t="s">
        <v>9547</v>
      </c>
      <c r="B7041" s="472" t="s">
        <v>26774</v>
      </c>
      <c r="C7041" s="472" t="s">
        <v>178</v>
      </c>
      <c r="D7041" s="472">
        <v>449.67579999999998</v>
      </c>
      <c r="E7041" s="472" t="s">
        <v>6305</v>
      </c>
      <c r="F7041" s="352"/>
    </row>
    <row r="7042" spans="1:6" s="315" customFormat="1" ht="15">
      <c r="A7042" s="472" t="s">
        <v>9548</v>
      </c>
      <c r="B7042" s="472" t="s">
        <v>9531</v>
      </c>
      <c r="C7042" s="472" t="s">
        <v>178</v>
      </c>
      <c r="D7042" s="472">
        <v>228.11320000000001</v>
      </c>
      <c r="E7042" s="472" t="s">
        <v>6305</v>
      </c>
      <c r="F7042" s="352"/>
    </row>
    <row r="7043" spans="1:6" s="315" customFormat="1" ht="15">
      <c r="A7043" s="472" t="s">
        <v>9549</v>
      </c>
      <c r="B7043" s="472" t="s">
        <v>26775</v>
      </c>
      <c r="C7043" s="472" t="s">
        <v>178</v>
      </c>
      <c r="D7043" s="472">
        <v>221.5626</v>
      </c>
      <c r="E7043" s="472" t="s">
        <v>6305</v>
      </c>
      <c r="F7043" s="352"/>
    </row>
    <row r="7044" spans="1:6" s="315" customFormat="1" ht="15">
      <c r="A7044" s="472" t="s">
        <v>9550</v>
      </c>
      <c r="B7044" s="472" t="s">
        <v>9551</v>
      </c>
      <c r="C7044" s="472" t="s">
        <v>178</v>
      </c>
      <c r="D7044" s="472">
        <v>167.46950000000001</v>
      </c>
      <c r="E7044" s="472" t="s">
        <v>6305</v>
      </c>
      <c r="F7044" s="352"/>
    </row>
    <row r="7045" spans="1:6" s="315" customFormat="1" ht="15">
      <c r="A7045" s="472" t="s">
        <v>9485</v>
      </c>
      <c r="B7045" s="472" t="s">
        <v>9388</v>
      </c>
      <c r="C7045" s="472" t="s">
        <v>178</v>
      </c>
      <c r="D7045" s="472">
        <v>153.89420000000001</v>
      </c>
      <c r="E7045" s="472" t="s">
        <v>6305</v>
      </c>
      <c r="F7045" s="352"/>
    </row>
    <row r="7046" spans="1:6" s="315" customFormat="1" ht="15">
      <c r="A7046" s="472" t="s">
        <v>9452</v>
      </c>
      <c r="B7046" s="472" t="s">
        <v>9453</v>
      </c>
      <c r="C7046" s="472" t="s">
        <v>178</v>
      </c>
      <c r="D7046" s="472">
        <v>13.5753</v>
      </c>
      <c r="E7046" s="472" t="s">
        <v>6305</v>
      </c>
      <c r="F7046" s="352"/>
    </row>
    <row r="7047" spans="1:6" s="315" customFormat="1" ht="15">
      <c r="A7047" s="472" t="s">
        <v>9552</v>
      </c>
      <c r="B7047" s="472" t="s">
        <v>9553</v>
      </c>
      <c r="C7047" s="472" t="s">
        <v>178</v>
      </c>
      <c r="D7047" s="472">
        <v>651.67849999999999</v>
      </c>
      <c r="E7047" s="472" t="s">
        <v>6305</v>
      </c>
      <c r="F7047" s="352"/>
    </row>
    <row r="7048" spans="1:6" s="315" customFormat="1" ht="15">
      <c r="A7048" s="472" t="s">
        <v>9554</v>
      </c>
      <c r="B7048" s="472" t="s">
        <v>9555</v>
      </c>
      <c r="C7048" s="472" t="s">
        <v>178</v>
      </c>
      <c r="D7048" s="472">
        <v>556.48519999999996</v>
      </c>
      <c r="E7048" s="472" t="s">
        <v>6305</v>
      </c>
      <c r="F7048" s="352"/>
    </row>
    <row r="7049" spans="1:6" s="315" customFormat="1" ht="15">
      <c r="A7049" s="472" t="s">
        <v>9556</v>
      </c>
      <c r="B7049" s="472" t="s">
        <v>9557</v>
      </c>
      <c r="C7049" s="472" t="s">
        <v>178</v>
      </c>
      <c r="D7049" s="472">
        <v>95.193299999999994</v>
      </c>
      <c r="E7049" s="472" t="s">
        <v>6305</v>
      </c>
      <c r="F7049" s="352"/>
    </row>
    <row r="7050" spans="1:6" s="315" customFormat="1" ht="15">
      <c r="A7050" s="472" t="s">
        <v>9558</v>
      </c>
      <c r="B7050" s="472" t="s">
        <v>9559</v>
      </c>
      <c r="C7050" s="472" t="s">
        <v>178</v>
      </c>
      <c r="D7050" s="472">
        <v>200.72630000000001</v>
      </c>
      <c r="E7050" s="472" t="s">
        <v>6305</v>
      </c>
      <c r="F7050" s="352"/>
    </row>
    <row r="7051" spans="1:6" s="315" customFormat="1" ht="15">
      <c r="A7051" s="472" t="s">
        <v>9480</v>
      </c>
      <c r="B7051" s="472" t="s">
        <v>9476</v>
      </c>
      <c r="C7051" s="472" t="s">
        <v>178</v>
      </c>
      <c r="D7051" s="472">
        <v>190.13740000000001</v>
      </c>
      <c r="E7051" s="472" t="s">
        <v>6305</v>
      </c>
      <c r="F7051" s="352"/>
    </row>
    <row r="7052" spans="1:6" s="315" customFormat="1" ht="15">
      <c r="A7052" s="472" t="s">
        <v>9560</v>
      </c>
      <c r="B7052" s="472" t="s">
        <v>9561</v>
      </c>
      <c r="C7052" s="472" t="s">
        <v>178</v>
      </c>
      <c r="D7052" s="472">
        <v>10.588900000000001</v>
      </c>
      <c r="E7052" s="472" t="s">
        <v>6305</v>
      </c>
      <c r="F7052" s="352"/>
    </row>
    <row r="7053" spans="1:6" s="315" customFormat="1" ht="15">
      <c r="A7053" s="472" t="s">
        <v>9562</v>
      </c>
      <c r="B7053" s="472" t="s">
        <v>7760</v>
      </c>
      <c r="C7053" s="472" t="s">
        <v>178</v>
      </c>
      <c r="D7053" s="472">
        <v>184.84899999999999</v>
      </c>
      <c r="E7053" s="472" t="s">
        <v>6305</v>
      </c>
      <c r="F7053" s="352"/>
    </row>
    <row r="7054" spans="1:6" s="315" customFormat="1" ht="15">
      <c r="A7054" s="472" t="s">
        <v>9563</v>
      </c>
      <c r="B7054" s="472" t="s">
        <v>9564</v>
      </c>
      <c r="C7054" s="472" t="s">
        <v>178</v>
      </c>
      <c r="D7054" s="472">
        <v>150.32660000000001</v>
      </c>
      <c r="E7054" s="472" t="s">
        <v>6305</v>
      </c>
      <c r="F7054" s="352"/>
    </row>
    <row r="7055" spans="1:6" s="315" customFormat="1" ht="15">
      <c r="A7055" s="472" t="s">
        <v>9565</v>
      </c>
      <c r="B7055" s="472" t="s">
        <v>9566</v>
      </c>
      <c r="C7055" s="472" t="s">
        <v>178</v>
      </c>
      <c r="D7055" s="472">
        <v>2.3161999999999998</v>
      </c>
      <c r="E7055" s="472" t="s">
        <v>6305</v>
      </c>
      <c r="F7055" s="352"/>
    </row>
    <row r="7056" spans="1:6" s="315" customFormat="1" ht="15">
      <c r="A7056" s="472" t="s">
        <v>9405</v>
      </c>
      <c r="B7056" s="472" t="s">
        <v>9406</v>
      </c>
      <c r="C7056" s="472" t="s">
        <v>178</v>
      </c>
      <c r="D7056" s="472">
        <v>32.206200000000003</v>
      </c>
      <c r="E7056" s="472" t="s">
        <v>6305</v>
      </c>
      <c r="F7056" s="352"/>
    </row>
    <row r="7057" spans="1:6" s="315" customFormat="1" ht="15">
      <c r="A7057" s="472" t="s">
        <v>9567</v>
      </c>
      <c r="B7057" s="472" t="s">
        <v>6600</v>
      </c>
      <c r="C7057" s="472" t="s">
        <v>178</v>
      </c>
      <c r="D7057" s="472">
        <v>87.3249</v>
      </c>
      <c r="E7057" s="472" t="s">
        <v>6305</v>
      </c>
      <c r="F7057" s="352"/>
    </row>
    <row r="7058" spans="1:6" s="315" customFormat="1" ht="15">
      <c r="A7058" s="472" t="s">
        <v>9568</v>
      </c>
      <c r="B7058" s="472" t="s">
        <v>9569</v>
      </c>
      <c r="C7058" s="472" t="s">
        <v>178</v>
      </c>
      <c r="D7058" s="472">
        <v>85.382599999999996</v>
      </c>
      <c r="E7058" s="472" t="s">
        <v>6305</v>
      </c>
      <c r="F7058" s="352"/>
    </row>
    <row r="7059" spans="1:6" s="315" customFormat="1" ht="15">
      <c r="A7059" s="472" t="s">
        <v>9570</v>
      </c>
      <c r="B7059" s="472" t="s">
        <v>9571</v>
      </c>
      <c r="C7059" s="472" t="s">
        <v>178</v>
      </c>
      <c r="D7059" s="472">
        <v>1.9422999999999999</v>
      </c>
      <c r="E7059" s="472" t="s">
        <v>6305</v>
      </c>
      <c r="F7059" s="352"/>
    </row>
    <row r="7060" spans="1:6" s="315" customFormat="1" ht="15">
      <c r="A7060" s="472" t="s">
        <v>9572</v>
      </c>
      <c r="B7060" s="472" t="s">
        <v>26776</v>
      </c>
      <c r="C7060" s="472" t="s">
        <v>178</v>
      </c>
      <c r="D7060" s="472">
        <v>305.58909999999997</v>
      </c>
      <c r="E7060" s="472" t="s">
        <v>6305</v>
      </c>
      <c r="F7060" s="352"/>
    </row>
    <row r="7061" spans="1:6" s="315" customFormat="1" ht="15">
      <c r="A7061" s="472" t="s">
        <v>9573</v>
      </c>
      <c r="B7061" s="472" t="s">
        <v>9574</v>
      </c>
      <c r="C7061" s="472" t="s">
        <v>178</v>
      </c>
      <c r="D7061" s="472">
        <v>191.80950000000001</v>
      </c>
      <c r="E7061" s="472" t="s">
        <v>6305</v>
      </c>
      <c r="F7061" s="352"/>
    </row>
    <row r="7062" spans="1:6" s="315" customFormat="1" ht="15">
      <c r="A7062" s="472" t="s">
        <v>9575</v>
      </c>
      <c r="B7062" s="472" t="s">
        <v>26777</v>
      </c>
      <c r="C7062" s="472" t="s">
        <v>178</v>
      </c>
      <c r="D7062" s="472">
        <v>113.7796</v>
      </c>
      <c r="E7062" s="472" t="s">
        <v>6305</v>
      </c>
      <c r="F7062" s="352"/>
    </row>
    <row r="7063" spans="1:6" s="315" customFormat="1" ht="15">
      <c r="A7063" s="472" t="s">
        <v>9576</v>
      </c>
      <c r="B7063" s="472" t="s">
        <v>9577</v>
      </c>
      <c r="C7063" s="472" t="s">
        <v>178</v>
      </c>
      <c r="D7063" s="472">
        <v>209.80590000000001</v>
      </c>
      <c r="E7063" s="472" t="s">
        <v>6305</v>
      </c>
      <c r="F7063" s="352"/>
    </row>
    <row r="7064" spans="1:6" s="315" customFormat="1" ht="15">
      <c r="A7064" s="472" t="s">
        <v>9563</v>
      </c>
      <c r="B7064" s="472" t="s">
        <v>9564</v>
      </c>
      <c r="C7064" s="472" t="s">
        <v>178</v>
      </c>
      <c r="D7064" s="472">
        <v>150.32660000000001</v>
      </c>
      <c r="E7064" s="472" t="s">
        <v>6305</v>
      </c>
      <c r="F7064" s="352"/>
    </row>
    <row r="7065" spans="1:6" s="315" customFormat="1" ht="15">
      <c r="A7065" s="472" t="s">
        <v>9578</v>
      </c>
      <c r="B7065" s="472" t="s">
        <v>9579</v>
      </c>
      <c r="C7065" s="472" t="s">
        <v>178</v>
      </c>
      <c r="D7065" s="472">
        <v>6.2667000000000002</v>
      </c>
      <c r="E7065" s="472" t="s">
        <v>6305</v>
      </c>
      <c r="F7065" s="352"/>
    </row>
    <row r="7066" spans="1:6" s="315" customFormat="1" ht="15">
      <c r="A7066" s="472" t="s">
        <v>9580</v>
      </c>
      <c r="B7066" s="472" t="s">
        <v>9581</v>
      </c>
      <c r="C7066" s="472" t="s">
        <v>178</v>
      </c>
      <c r="D7066" s="472">
        <v>50.664700000000003</v>
      </c>
      <c r="E7066" s="472" t="s">
        <v>6305</v>
      </c>
      <c r="F7066" s="352"/>
    </row>
    <row r="7067" spans="1:6" s="315" customFormat="1" ht="15">
      <c r="A7067" s="472" t="s">
        <v>9468</v>
      </c>
      <c r="B7067" s="472" t="s">
        <v>9469</v>
      </c>
      <c r="C7067" s="472" t="s">
        <v>178</v>
      </c>
      <c r="D7067" s="472">
        <v>2.5478999999999998</v>
      </c>
      <c r="E7067" s="472" t="s">
        <v>6305</v>
      </c>
      <c r="F7067" s="352"/>
    </row>
    <row r="7068" spans="1:6" s="315" customFormat="1" ht="15">
      <c r="A7068" s="472" t="s">
        <v>9582</v>
      </c>
      <c r="B7068" s="472" t="s">
        <v>9583</v>
      </c>
      <c r="C7068" s="472" t="s">
        <v>178</v>
      </c>
      <c r="D7068" s="472">
        <v>552.09789999999998</v>
      </c>
      <c r="E7068" s="472" t="s">
        <v>6305</v>
      </c>
      <c r="F7068" s="352"/>
    </row>
    <row r="7069" spans="1:6" s="315" customFormat="1" ht="15">
      <c r="A7069" s="472" t="s">
        <v>9584</v>
      </c>
      <c r="B7069" s="472" t="s">
        <v>9569</v>
      </c>
      <c r="C7069" s="472" t="s">
        <v>178</v>
      </c>
      <c r="D7069" s="472">
        <v>121.50409999999999</v>
      </c>
      <c r="E7069" s="472" t="s">
        <v>6305</v>
      </c>
      <c r="F7069" s="352"/>
    </row>
    <row r="7070" spans="1:6" s="315" customFormat="1" ht="15">
      <c r="A7070" s="472" t="s">
        <v>9585</v>
      </c>
      <c r="B7070" s="472" t="s">
        <v>9586</v>
      </c>
      <c r="C7070" s="472" t="s">
        <v>178</v>
      </c>
      <c r="D7070" s="472">
        <v>430.59379999999999</v>
      </c>
      <c r="E7070" s="472" t="s">
        <v>6305</v>
      </c>
      <c r="F7070" s="352"/>
    </row>
    <row r="7071" spans="1:6" s="315" customFormat="1" ht="15">
      <c r="A7071" s="472" t="s">
        <v>9587</v>
      </c>
      <c r="B7071" s="472" t="s">
        <v>9588</v>
      </c>
      <c r="C7071" s="472" t="s">
        <v>178</v>
      </c>
      <c r="D7071" s="472">
        <v>196.0044</v>
      </c>
      <c r="E7071" s="472" t="s">
        <v>6305</v>
      </c>
      <c r="F7071" s="352"/>
    </row>
    <row r="7072" spans="1:6" s="315" customFormat="1" ht="15">
      <c r="A7072" s="472" t="s">
        <v>9589</v>
      </c>
      <c r="B7072" s="472" t="s">
        <v>9590</v>
      </c>
      <c r="C7072" s="472" t="s">
        <v>178</v>
      </c>
      <c r="D7072" s="472">
        <v>126.5496</v>
      </c>
      <c r="E7072" s="472" t="s">
        <v>6305</v>
      </c>
      <c r="F7072" s="352"/>
    </row>
    <row r="7073" spans="1:6" s="315" customFormat="1" ht="15">
      <c r="A7073" s="472" t="s">
        <v>9591</v>
      </c>
      <c r="B7073" s="472" t="s">
        <v>9592</v>
      </c>
      <c r="C7073" s="472" t="s">
        <v>178</v>
      </c>
      <c r="D7073" s="472">
        <v>69.454800000000006</v>
      </c>
      <c r="E7073" s="472" t="s">
        <v>6305</v>
      </c>
      <c r="F7073" s="352"/>
    </row>
    <row r="7074" spans="1:6" s="315" customFormat="1" ht="15">
      <c r="A7074" s="472" t="s">
        <v>9593</v>
      </c>
      <c r="B7074" s="472" t="s">
        <v>9594</v>
      </c>
      <c r="C7074" s="472" t="s">
        <v>178</v>
      </c>
      <c r="D7074" s="472">
        <v>258.4744</v>
      </c>
      <c r="E7074" s="472" t="s">
        <v>6305</v>
      </c>
      <c r="F7074" s="352"/>
    </row>
    <row r="7075" spans="1:6" s="315" customFormat="1" ht="15">
      <c r="A7075" s="472" t="s">
        <v>9563</v>
      </c>
      <c r="B7075" s="472" t="s">
        <v>9564</v>
      </c>
      <c r="C7075" s="472" t="s">
        <v>178</v>
      </c>
      <c r="D7075" s="472">
        <v>150.32660000000001</v>
      </c>
      <c r="E7075" s="472" t="s">
        <v>6305</v>
      </c>
      <c r="F7075" s="352"/>
    </row>
    <row r="7076" spans="1:6" s="315" customFormat="1" ht="15">
      <c r="A7076" s="472" t="s">
        <v>9595</v>
      </c>
      <c r="B7076" s="472" t="s">
        <v>9596</v>
      </c>
      <c r="C7076" s="472" t="s">
        <v>178</v>
      </c>
      <c r="D7076" s="472">
        <v>108.1478</v>
      </c>
      <c r="E7076" s="472" t="s">
        <v>6305</v>
      </c>
      <c r="F7076" s="352"/>
    </row>
    <row r="7077" spans="1:6" s="315" customFormat="1" ht="15">
      <c r="A7077" s="472" t="s">
        <v>9597</v>
      </c>
      <c r="B7077" s="472" t="s">
        <v>9598</v>
      </c>
      <c r="C7077" s="472" t="s">
        <v>178</v>
      </c>
      <c r="D7077" s="472">
        <v>204.52590000000001</v>
      </c>
      <c r="E7077" s="472" t="s">
        <v>6305</v>
      </c>
      <c r="F7077" s="352"/>
    </row>
    <row r="7078" spans="1:6" s="315" customFormat="1" ht="15">
      <c r="A7078" s="472" t="s">
        <v>9401</v>
      </c>
      <c r="B7078" s="472" t="s">
        <v>9402</v>
      </c>
      <c r="C7078" s="472" t="s">
        <v>178</v>
      </c>
      <c r="D7078" s="472">
        <v>146.05510000000001</v>
      </c>
      <c r="E7078" s="472" t="s">
        <v>6305</v>
      </c>
      <c r="F7078" s="352"/>
    </row>
    <row r="7079" spans="1:6" s="315" customFormat="1" ht="15">
      <c r="A7079" s="472" t="s">
        <v>9599</v>
      </c>
      <c r="B7079" s="472" t="s">
        <v>26778</v>
      </c>
      <c r="C7079" s="472" t="s">
        <v>178</v>
      </c>
      <c r="D7079" s="472">
        <v>58.470799999999997</v>
      </c>
      <c r="E7079" s="472" t="s">
        <v>6305</v>
      </c>
      <c r="F7079" s="352"/>
    </row>
    <row r="7080" spans="1:6" s="315" customFormat="1" ht="15">
      <c r="A7080" s="472">
        <v>0</v>
      </c>
      <c r="B7080" s="472" t="s">
        <v>158</v>
      </c>
      <c r="C7080" s="472"/>
      <c r="D7080" s="472"/>
      <c r="E7080" s="472"/>
      <c r="F7080" s="352"/>
    </row>
    <row r="7081" spans="1:6" s="315" customFormat="1" ht="15">
      <c r="A7081" s="472">
        <v>0</v>
      </c>
      <c r="B7081" s="472" t="s">
        <v>158</v>
      </c>
      <c r="C7081" s="472"/>
      <c r="D7081" s="472"/>
      <c r="E7081" s="472"/>
      <c r="F7081" s="352"/>
    </row>
    <row r="7082" spans="1:6" s="315" customFormat="1" ht="15">
      <c r="A7082" s="472">
        <v>0</v>
      </c>
      <c r="B7082" s="472" t="s">
        <v>158</v>
      </c>
      <c r="C7082" s="472"/>
      <c r="D7082" s="472"/>
      <c r="E7082" s="472"/>
      <c r="F7082" s="352"/>
    </row>
    <row r="7083" spans="1:6" s="315" customFormat="1" ht="15">
      <c r="A7083" s="472" t="s">
        <v>9600</v>
      </c>
      <c r="B7083" s="472" t="s">
        <v>8724</v>
      </c>
      <c r="C7083" s="472" t="s">
        <v>181</v>
      </c>
      <c r="D7083" s="472">
        <v>7.9268000000000001</v>
      </c>
      <c r="E7083" s="472" t="s">
        <v>6305</v>
      </c>
      <c r="F7083" s="352"/>
    </row>
    <row r="7084" spans="1:6" s="315" customFormat="1" ht="15">
      <c r="A7084" s="472" t="s">
        <v>9601</v>
      </c>
      <c r="B7084" s="472" t="s">
        <v>8726</v>
      </c>
      <c r="C7084" s="472" t="s">
        <v>181</v>
      </c>
      <c r="D7084" s="472">
        <v>8.7143999999999995</v>
      </c>
      <c r="E7084" s="472" t="s">
        <v>6305</v>
      </c>
      <c r="F7084" s="352"/>
    </row>
    <row r="7085" spans="1:6" s="315" customFormat="1" ht="15">
      <c r="A7085" s="472" t="s">
        <v>9602</v>
      </c>
      <c r="B7085" s="472" t="s">
        <v>8728</v>
      </c>
      <c r="C7085" s="472" t="s">
        <v>181</v>
      </c>
      <c r="D7085" s="472">
        <v>9.4770000000000003</v>
      </c>
      <c r="E7085" s="472" t="s">
        <v>6305</v>
      </c>
      <c r="F7085" s="352"/>
    </row>
    <row r="7086" spans="1:6" s="315" customFormat="1" ht="15">
      <c r="A7086" s="472" t="s">
        <v>9603</v>
      </c>
      <c r="B7086" s="472" t="s">
        <v>8730</v>
      </c>
      <c r="C7086" s="472" t="s">
        <v>181</v>
      </c>
      <c r="D7086" s="472">
        <v>9.5077999999999996</v>
      </c>
      <c r="E7086" s="472" t="s">
        <v>6305</v>
      </c>
      <c r="F7086" s="352"/>
    </row>
    <row r="7087" spans="1:6" s="315" customFormat="1" ht="15">
      <c r="A7087" s="472" t="s">
        <v>9604</v>
      </c>
      <c r="B7087" s="472" t="s">
        <v>8732</v>
      </c>
      <c r="C7087" s="472" t="s">
        <v>181</v>
      </c>
      <c r="D7087" s="472">
        <v>9.5459999999999994</v>
      </c>
      <c r="E7087" s="472" t="s">
        <v>6305</v>
      </c>
      <c r="F7087" s="352"/>
    </row>
    <row r="7088" spans="1:6" s="315" customFormat="1" ht="15">
      <c r="A7088" s="472" t="s">
        <v>9605</v>
      </c>
      <c r="B7088" s="472" t="s">
        <v>8734</v>
      </c>
      <c r="C7088" s="472" t="s">
        <v>181</v>
      </c>
      <c r="D7088" s="472">
        <v>0.2432</v>
      </c>
      <c r="E7088" s="472" t="s">
        <v>6305</v>
      </c>
      <c r="F7088" s="352"/>
    </row>
    <row r="7089" spans="1:6" s="315" customFormat="1" ht="15">
      <c r="A7089" s="472" t="s">
        <v>9606</v>
      </c>
      <c r="B7089" s="472" t="s">
        <v>8736</v>
      </c>
      <c r="C7089" s="472" t="s">
        <v>181</v>
      </c>
      <c r="D7089" s="472">
        <v>3.0594999999999999</v>
      </c>
      <c r="E7089" s="472" t="s">
        <v>6305</v>
      </c>
      <c r="F7089" s="352"/>
    </row>
    <row r="7090" spans="1:6" s="315" customFormat="1" ht="15">
      <c r="A7090" s="472" t="s">
        <v>9607</v>
      </c>
      <c r="B7090" s="472" t="s">
        <v>8738</v>
      </c>
      <c r="C7090" s="472" t="s">
        <v>181</v>
      </c>
      <c r="D7090" s="472">
        <v>1.4085000000000001</v>
      </c>
      <c r="E7090" s="472" t="s">
        <v>6305</v>
      </c>
      <c r="F7090" s="352"/>
    </row>
    <row r="7091" spans="1:6" s="315" customFormat="1" ht="15">
      <c r="A7091" s="472" t="s">
        <v>9608</v>
      </c>
      <c r="B7091" s="472" t="s">
        <v>6608</v>
      </c>
      <c r="C7091" s="472" t="s">
        <v>181</v>
      </c>
      <c r="D7091" s="472">
        <v>144.78219999999999</v>
      </c>
      <c r="E7091" s="472" t="s">
        <v>6305</v>
      </c>
      <c r="F7091" s="352"/>
    </row>
    <row r="7092" spans="1:6" s="315" customFormat="1" ht="15">
      <c r="A7092" s="472" t="s">
        <v>9609</v>
      </c>
      <c r="B7092" s="472" t="s">
        <v>8741</v>
      </c>
      <c r="C7092" s="472" t="s">
        <v>181</v>
      </c>
      <c r="D7092" s="472">
        <v>0.61350000000000005</v>
      </c>
      <c r="E7092" s="472" t="s">
        <v>6305</v>
      </c>
      <c r="F7092" s="352"/>
    </row>
    <row r="7093" spans="1:6" s="315" customFormat="1" ht="15">
      <c r="A7093" s="472" t="s">
        <v>9610</v>
      </c>
      <c r="B7093" s="472" t="s">
        <v>8743</v>
      </c>
      <c r="C7093" s="472" t="s">
        <v>181</v>
      </c>
      <c r="D7093" s="472">
        <v>0.2041</v>
      </c>
      <c r="E7093" s="472" t="s">
        <v>6305</v>
      </c>
      <c r="F7093" s="352"/>
    </row>
    <row r="7094" spans="1:6" s="315" customFormat="1" ht="15">
      <c r="A7094" s="472" t="s">
        <v>9611</v>
      </c>
      <c r="B7094" s="472" t="s">
        <v>8745</v>
      </c>
      <c r="C7094" s="472" t="s">
        <v>181</v>
      </c>
      <c r="D7094" s="472">
        <v>297.84219999999999</v>
      </c>
      <c r="E7094" s="472" t="s">
        <v>6305</v>
      </c>
      <c r="F7094" s="352"/>
    </row>
    <row r="7095" spans="1:6" s="315" customFormat="1" ht="15">
      <c r="A7095" s="472" t="s">
        <v>9612</v>
      </c>
      <c r="B7095" s="472" t="s">
        <v>8747</v>
      </c>
      <c r="C7095" s="472" t="s">
        <v>181</v>
      </c>
      <c r="D7095" s="472">
        <v>169.83879999999999</v>
      </c>
      <c r="E7095" s="472" t="s">
        <v>6305</v>
      </c>
      <c r="F7095" s="352"/>
    </row>
    <row r="7096" spans="1:6" s="315" customFormat="1" ht="15">
      <c r="A7096" s="472" t="s">
        <v>9613</v>
      </c>
      <c r="B7096" s="472" t="s">
        <v>8749</v>
      </c>
      <c r="C7096" s="472" t="s">
        <v>181</v>
      </c>
      <c r="D7096" s="472">
        <v>21.0398</v>
      </c>
      <c r="E7096" s="472" t="s">
        <v>6305</v>
      </c>
      <c r="F7096" s="352"/>
    </row>
    <row r="7097" spans="1:6" s="315" customFormat="1" ht="15">
      <c r="A7097" s="472" t="s">
        <v>9614</v>
      </c>
      <c r="B7097" s="472" t="s">
        <v>8751</v>
      </c>
      <c r="C7097" s="472" t="s">
        <v>181</v>
      </c>
      <c r="D7097" s="472">
        <v>401.96519999999998</v>
      </c>
      <c r="E7097" s="472" t="s">
        <v>6305</v>
      </c>
      <c r="F7097" s="352"/>
    </row>
    <row r="7098" spans="1:6" s="315" customFormat="1" ht="15">
      <c r="A7098" s="472" t="s">
        <v>9615</v>
      </c>
      <c r="B7098" s="472" t="s">
        <v>8753</v>
      </c>
      <c r="C7098" s="472" t="s">
        <v>181</v>
      </c>
      <c r="D7098" s="472">
        <v>58.142000000000003</v>
      </c>
      <c r="E7098" s="472" t="s">
        <v>6305</v>
      </c>
      <c r="F7098" s="352"/>
    </row>
    <row r="7099" spans="1:6" s="315" customFormat="1" ht="15">
      <c r="A7099" s="472" t="s">
        <v>9616</v>
      </c>
      <c r="B7099" s="472" t="s">
        <v>8755</v>
      </c>
      <c r="C7099" s="472" t="s">
        <v>181</v>
      </c>
      <c r="D7099" s="472">
        <v>30.1005</v>
      </c>
      <c r="E7099" s="472" t="s">
        <v>6305</v>
      </c>
      <c r="F7099" s="352"/>
    </row>
    <row r="7100" spans="1:6" s="315" customFormat="1" ht="15">
      <c r="A7100" s="472" t="s">
        <v>9617</v>
      </c>
      <c r="B7100" s="472" t="s">
        <v>8757</v>
      </c>
      <c r="C7100" s="472" t="s">
        <v>181</v>
      </c>
      <c r="D7100" s="472">
        <v>239.63579999999999</v>
      </c>
      <c r="E7100" s="472" t="s">
        <v>6305</v>
      </c>
      <c r="F7100" s="352"/>
    </row>
    <row r="7101" spans="1:6" s="315" customFormat="1" ht="15">
      <c r="A7101" s="472" t="s">
        <v>9618</v>
      </c>
      <c r="B7101" s="472" t="s">
        <v>8759</v>
      </c>
      <c r="C7101" s="472" t="s">
        <v>181</v>
      </c>
      <c r="D7101" s="472">
        <v>10.2235</v>
      </c>
      <c r="E7101" s="472" t="s">
        <v>6305</v>
      </c>
      <c r="F7101" s="352"/>
    </row>
    <row r="7102" spans="1:6" s="315" customFormat="1" ht="15">
      <c r="A7102" s="472" t="s">
        <v>9619</v>
      </c>
      <c r="B7102" s="472" t="s">
        <v>8761</v>
      </c>
      <c r="C7102" s="472" t="s">
        <v>181</v>
      </c>
      <c r="D7102" s="472">
        <v>41.777799999999999</v>
      </c>
      <c r="E7102" s="472" t="s">
        <v>6305</v>
      </c>
      <c r="F7102" s="352"/>
    </row>
    <row r="7103" spans="1:6" s="315" customFormat="1" ht="15">
      <c r="A7103" s="472" t="s">
        <v>9620</v>
      </c>
      <c r="B7103" s="472" t="s">
        <v>8763</v>
      </c>
      <c r="C7103" s="472" t="s">
        <v>181</v>
      </c>
      <c r="D7103" s="472">
        <v>135.18709999999999</v>
      </c>
      <c r="E7103" s="472" t="s">
        <v>6305</v>
      </c>
      <c r="F7103" s="352"/>
    </row>
    <row r="7104" spans="1:6" s="315" customFormat="1" ht="15">
      <c r="A7104" s="472" t="s">
        <v>9621</v>
      </c>
      <c r="B7104" s="472" t="s">
        <v>8765</v>
      </c>
      <c r="C7104" s="472" t="s">
        <v>181</v>
      </c>
      <c r="D7104" s="472">
        <v>19.1586</v>
      </c>
      <c r="E7104" s="472" t="s">
        <v>6305</v>
      </c>
      <c r="F7104" s="352"/>
    </row>
    <row r="7105" spans="1:6" s="315" customFormat="1" ht="15">
      <c r="A7105" s="472" t="s">
        <v>9622</v>
      </c>
      <c r="B7105" s="472" t="s">
        <v>8767</v>
      </c>
      <c r="C7105" s="472" t="s">
        <v>181</v>
      </c>
      <c r="D7105" s="472">
        <v>40.073</v>
      </c>
      <c r="E7105" s="472" t="s">
        <v>6305</v>
      </c>
      <c r="F7105" s="352"/>
    </row>
    <row r="7106" spans="1:6" s="315" customFormat="1" ht="15">
      <c r="A7106" s="472" t="s">
        <v>9623</v>
      </c>
      <c r="B7106" s="472" t="s">
        <v>8769</v>
      </c>
      <c r="C7106" s="472" t="s">
        <v>181</v>
      </c>
      <c r="D7106" s="472">
        <v>1.5764</v>
      </c>
      <c r="E7106" s="472" t="s">
        <v>6305</v>
      </c>
      <c r="F7106" s="352"/>
    </row>
    <row r="7107" spans="1:6" s="315" customFormat="1" ht="15">
      <c r="A7107" s="472" t="s">
        <v>9624</v>
      </c>
      <c r="B7107" s="472" t="s">
        <v>8771</v>
      </c>
      <c r="C7107" s="472" t="s">
        <v>181</v>
      </c>
      <c r="D7107" s="472">
        <v>18.933299999999999</v>
      </c>
      <c r="E7107" s="472" t="s">
        <v>6305</v>
      </c>
      <c r="F7107" s="352"/>
    </row>
    <row r="7108" spans="1:6" s="315" customFormat="1" ht="15">
      <c r="A7108" s="472" t="s">
        <v>9625</v>
      </c>
      <c r="B7108" s="472" t="s">
        <v>8773</v>
      </c>
      <c r="C7108" s="472" t="s">
        <v>181</v>
      </c>
      <c r="D7108" s="472">
        <v>41.470399999999998</v>
      </c>
      <c r="E7108" s="472" t="s">
        <v>6305</v>
      </c>
      <c r="F7108" s="352"/>
    </row>
    <row r="7109" spans="1:6" s="315" customFormat="1" ht="15">
      <c r="A7109" s="472" t="s">
        <v>9626</v>
      </c>
      <c r="B7109" s="472" t="s">
        <v>7767</v>
      </c>
      <c r="C7109" s="472" t="s">
        <v>181</v>
      </c>
      <c r="D7109" s="472">
        <v>0.6099</v>
      </c>
      <c r="E7109" s="472" t="s">
        <v>6305</v>
      </c>
      <c r="F7109" s="352"/>
    </row>
    <row r="7110" spans="1:6" s="315" customFormat="1" ht="15">
      <c r="A7110" s="472" t="s">
        <v>9627</v>
      </c>
      <c r="B7110" s="472" t="s">
        <v>8776</v>
      </c>
      <c r="C7110" s="472" t="s">
        <v>181</v>
      </c>
      <c r="D7110" s="472">
        <v>31.492799999999999</v>
      </c>
      <c r="E7110" s="472" t="s">
        <v>6305</v>
      </c>
      <c r="F7110" s="352"/>
    </row>
    <row r="7111" spans="1:6" s="315" customFormat="1" ht="15">
      <c r="A7111" s="472" t="s">
        <v>9628</v>
      </c>
      <c r="B7111" s="472" t="s">
        <v>7772</v>
      </c>
      <c r="C7111" s="472" t="s">
        <v>181</v>
      </c>
      <c r="D7111" s="472">
        <v>38.756</v>
      </c>
      <c r="E7111" s="472" t="s">
        <v>6305</v>
      </c>
      <c r="F7111" s="352"/>
    </row>
    <row r="7112" spans="1:6" s="315" customFormat="1" ht="15">
      <c r="A7112" s="472" t="s">
        <v>9629</v>
      </c>
      <c r="B7112" s="472" t="s">
        <v>7770</v>
      </c>
      <c r="C7112" s="472" t="s">
        <v>181</v>
      </c>
      <c r="D7112" s="472">
        <v>40.397199999999998</v>
      </c>
      <c r="E7112" s="472" t="s">
        <v>6305</v>
      </c>
      <c r="F7112" s="352"/>
    </row>
    <row r="7113" spans="1:6" s="315" customFormat="1" ht="15">
      <c r="A7113" s="472" t="s">
        <v>9630</v>
      </c>
      <c r="B7113" s="472" t="s">
        <v>8780</v>
      </c>
      <c r="C7113" s="472" t="s">
        <v>181</v>
      </c>
      <c r="D7113" s="472">
        <v>43.1327</v>
      </c>
      <c r="E7113" s="472" t="s">
        <v>6305</v>
      </c>
      <c r="F7113" s="352"/>
    </row>
    <row r="7114" spans="1:6" s="315" customFormat="1" ht="15">
      <c r="A7114" s="472" t="s">
        <v>9631</v>
      </c>
      <c r="B7114" s="472" t="s">
        <v>8782</v>
      </c>
      <c r="C7114" s="472" t="s">
        <v>181</v>
      </c>
      <c r="D7114" s="472">
        <v>45.868200000000002</v>
      </c>
      <c r="E7114" s="472" t="s">
        <v>6305</v>
      </c>
      <c r="F7114" s="352"/>
    </row>
    <row r="7115" spans="1:6" s="315" customFormat="1" ht="15">
      <c r="A7115" s="472" t="s">
        <v>9632</v>
      </c>
      <c r="B7115" s="472" t="s">
        <v>8784</v>
      </c>
      <c r="C7115" s="472" t="s">
        <v>181</v>
      </c>
      <c r="D7115" s="472">
        <v>108.2183</v>
      </c>
      <c r="E7115" s="472" t="s">
        <v>6305</v>
      </c>
      <c r="F7115" s="352"/>
    </row>
    <row r="7116" spans="1:6" s="315" customFormat="1" ht="15">
      <c r="A7116" s="472" t="s">
        <v>9633</v>
      </c>
      <c r="B7116" s="472" t="s">
        <v>7768</v>
      </c>
      <c r="C7116" s="472" t="s">
        <v>181</v>
      </c>
      <c r="D7116" s="472">
        <v>35.7029</v>
      </c>
      <c r="E7116" s="472" t="s">
        <v>6305</v>
      </c>
      <c r="F7116" s="352"/>
    </row>
    <row r="7117" spans="1:6" s="315" customFormat="1" ht="15">
      <c r="A7117" s="472" t="s">
        <v>9634</v>
      </c>
      <c r="B7117" s="472" t="s">
        <v>7764</v>
      </c>
      <c r="C7117" s="472" t="s">
        <v>181</v>
      </c>
      <c r="D7117" s="472">
        <v>39.331600000000002</v>
      </c>
      <c r="E7117" s="472" t="s">
        <v>6305</v>
      </c>
      <c r="F7117" s="352"/>
    </row>
    <row r="7118" spans="1:6" s="315" customFormat="1" ht="15">
      <c r="A7118" s="472" t="s">
        <v>9635</v>
      </c>
      <c r="B7118" s="472" t="s">
        <v>8788</v>
      </c>
      <c r="C7118" s="472" t="s">
        <v>181</v>
      </c>
      <c r="D7118" s="472">
        <v>3.32E-2</v>
      </c>
      <c r="E7118" s="472" t="s">
        <v>6305</v>
      </c>
      <c r="F7118" s="352"/>
    </row>
    <row r="7119" spans="1:6" s="315" customFormat="1" ht="15">
      <c r="A7119" s="472" t="s">
        <v>9636</v>
      </c>
      <c r="B7119" s="472" t="s">
        <v>8790</v>
      </c>
      <c r="C7119" s="472" t="s">
        <v>181</v>
      </c>
      <c r="D7119" s="472">
        <v>72.5518</v>
      </c>
      <c r="E7119" s="472" t="s">
        <v>6305</v>
      </c>
      <c r="F7119" s="352"/>
    </row>
    <row r="7120" spans="1:6" s="315" customFormat="1" ht="15">
      <c r="A7120" s="472" t="s">
        <v>9637</v>
      </c>
      <c r="B7120" s="472" t="s">
        <v>8792</v>
      </c>
      <c r="C7120" s="472" t="s">
        <v>181</v>
      </c>
      <c r="D7120" s="472">
        <v>35.214599999999997</v>
      </c>
      <c r="E7120" s="472" t="s">
        <v>6305</v>
      </c>
      <c r="F7120" s="352"/>
    </row>
    <row r="7121" spans="1:6" s="315" customFormat="1" ht="15">
      <c r="A7121" s="472" t="s">
        <v>9638</v>
      </c>
      <c r="B7121" s="472" t="s">
        <v>8794</v>
      </c>
      <c r="C7121" s="472" t="s">
        <v>181</v>
      </c>
      <c r="D7121" s="472">
        <v>178.46690000000001</v>
      </c>
      <c r="E7121" s="472" t="s">
        <v>6305</v>
      </c>
      <c r="F7121" s="352"/>
    </row>
    <row r="7122" spans="1:6" s="315" customFormat="1" ht="15">
      <c r="A7122" s="472" t="s">
        <v>9639</v>
      </c>
      <c r="B7122" s="472" t="s">
        <v>8796</v>
      </c>
      <c r="C7122" s="472" t="s">
        <v>181</v>
      </c>
      <c r="D7122" s="472">
        <v>38.848700000000001</v>
      </c>
      <c r="E7122" s="472" t="s">
        <v>6305</v>
      </c>
      <c r="F7122" s="352"/>
    </row>
    <row r="7123" spans="1:6" s="315" customFormat="1" ht="15">
      <c r="A7123" s="472" t="s">
        <v>9640</v>
      </c>
      <c r="B7123" s="472" t="s">
        <v>8798</v>
      </c>
      <c r="C7123" s="472" t="s">
        <v>181</v>
      </c>
      <c r="D7123" s="472">
        <v>39.567300000000003</v>
      </c>
      <c r="E7123" s="472" t="s">
        <v>6305</v>
      </c>
      <c r="F7123" s="352"/>
    </row>
    <row r="7124" spans="1:6" s="315" customFormat="1" ht="15">
      <c r="A7124" s="472" t="s">
        <v>9641</v>
      </c>
      <c r="B7124" s="472" t="s">
        <v>8800</v>
      </c>
      <c r="C7124" s="472" t="s">
        <v>181</v>
      </c>
      <c r="D7124" s="472">
        <v>40.399700000000003</v>
      </c>
      <c r="E7124" s="472" t="s">
        <v>6305</v>
      </c>
      <c r="F7124" s="352"/>
    </row>
    <row r="7125" spans="1:6" s="315" customFormat="1" ht="15">
      <c r="A7125" s="472" t="s">
        <v>9642</v>
      </c>
      <c r="B7125" s="472" t="s">
        <v>8802</v>
      </c>
      <c r="C7125" s="472" t="s">
        <v>181</v>
      </c>
      <c r="D7125" s="472">
        <v>41.402200000000001</v>
      </c>
      <c r="E7125" s="472" t="s">
        <v>6305</v>
      </c>
      <c r="F7125" s="352"/>
    </row>
    <row r="7126" spans="1:6" s="315" customFormat="1" ht="15">
      <c r="A7126" s="472" t="s">
        <v>9643</v>
      </c>
      <c r="B7126" s="472" t="s">
        <v>7776</v>
      </c>
      <c r="C7126" s="472" t="s">
        <v>181</v>
      </c>
      <c r="D7126" s="472">
        <v>53.399799999999999</v>
      </c>
      <c r="E7126" s="472" t="s">
        <v>6305</v>
      </c>
      <c r="F7126" s="352"/>
    </row>
    <row r="7127" spans="1:6" s="315" customFormat="1" ht="15">
      <c r="A7127" s="472" t="s">
        <v>9644</v>
      </c>
      <c r="B7127" s="472" t="s">
        <v>8805</v>
      </c>
      <c r="C7127" s="472" t="s">
        <v>181</v>
      </c>
      <c r="D7127" s="472">
        <v>74.887100000000004</v>
      </c>
      <c r="E7127" s="472" t="s">
        <v>6305</v>
      </c>
      <c r="F7127" s="352"/>
    </row>
    <row r="7128" spans="1:6" s="315" customFormat="1" ht="15">
      <c r="A7128" s="472" t="s">
        <v>9645</v>
      </c>
      <c r="B7128" s="472" t="s">
        <v>8807</v>
      </c>
      <c r="C7128" s="472" t="s">
        <v>181</v>
      </c>
      <c r="D7128" s="472">
        <v>69.136600000000001</v>
      </c>
      <c r="E7128" s="472" t="s">
        <v>6305</v>
      </c>
      <c r="F7128" s="352"/>
    </row>
    <row r="7129" spans="1:6" s="315" customFormat="1" ht="15">
      <c r="A7129" s="472" t="s">
        <v>9646</v>
      </c>
      <c r="B7129" s="472" t="s">
        <v>7803</v>
      </c>
      <c r="C7129" s="472" t="s">
        <v>181</v>
      </c>
      <c r="D7129" s="472">
        <v>55.519500000000001</v>
      </c>
      <c r="E7129" s="472" t="s">
        <v>6305</v>
      </c>
      <c r="F7129" s="352"/>
    </row>
    <row r="7130" spans="1:6" s="315" customFormat="1" ht="15">
      <c r="A7130" s="472" t="s">
        <v>9647</v>
      </c>
      <c r="B7130" s="472" t="s">
        <v>8810</v>
      </c>
      <c r="C7130" s="472" t="s">
        <v>181</v>
      </c>
      <c r="D7130" s="472">
        <v>29.75</v>
      </c>
      <c r="E7130" s="472" t="s">
        <v>6305</v>
      </c>
      <c r="F7130" s="352"/>
    </row>
    <row r="7131" spans="1:6" s="315" customFormat="1" ht="15">
      <c r="A7131" s="472" t="s">
        <v>9648</v>
      </c>
      <c r="B7131" s="472" t="s">
        <v>8812</v>
      </c>
      <c r="C7131" s="472" t="s">
        <v>181</v>
      </c>
      <c r="D7131" s="472">
        <v>87.680599999999998</v>
      </c>
      <c r="E7131" s="472" t="s">
        <v>6305</v>
      </c>
      <c r="F7131" s="352"/>
    </row>
    <row r="7132" spans="1:6" s="315" customFormat="1" ht="15">
      <c r="A7132" s="472" t="s">
        <v>9649</v>
      </c>
      <c r="B7132" s="472" t="s">
        <v>7740</v>
      </c>
      <c r="C7132" s="472" t="s">
        <v>181</v>
      </c>
      <c r="D7132" s="472">
        <v>31.811800000000002</v>
      </c>
      <c r="E7132" s="472" t="s">
        <v>6305</v>
      </c>
      <c r="F7132" s="352"/>
    </row>
    <row r="7133" spans="1:6" s="315" customFormat="1" ht="15">
      <c r="A7133" s="472" t="s">
        <v>9650</v>
      </c>
      <c r="B7133" s="472" t="s">
        <v>8815</v>
      </c>
      <c r="C7133" s="472" t="s">
        <v>181</v>
      </c>
      <c r="D7133" s="472">
        <v>93.537400000000005</v>
      </c>
      <c r="E7133" s="472" t="s">
        <v>6305</v>
      </c>
      <c r="F7133" s="352"/>
    </row>
    <row r="7134" spans="1:6" s="315" customFormat="1" ht="15">
      <c r="A7134" s="472" t="s">
        <v>9651</v>
      </c>
      <c r="B7134" s="472" t="s">
        <v>8817</v>
      </c>
      <c r="C7134" s="472" t="s">
        <v>181</v>
      </c>
      <c r="D7134" s="472">
        <v>24.499700000000001</v>
      </c>
      <c r="E7134" s="472" t="s">
        <v>6305</v>
      </c>
      <c r="F7134" s="352"/>
    </row>
    <row r="7135" spans="1:6" s="315" customFormat="1" ht="15">
      <c r="A7135" s="472" t="s">
        <v>9652</v>
      </c>
      <c r="B7135" s="472" t="s">
        <v>7741</v>
      </c>
      <c r="C7135" s="472" t="s">
        <v>181</v>
      </c>
      <c r="D7135" s="472">
        <v>27.116800000000001</v>
      </c>
      <c r="E7135" s="472" t="s">
        <v>6305</v>
      </c>
      <c r="F7135" s="352"/>
    </row>
    <row r="7136" spans="1:6" s="315" customFormat="1" ht="15">
      <c r="A7136" s="472" t="s">
        <v>9653</v>
      </c>
      <c r="B7136" s="472" t="s">
        <v>8820</v>
      </c>
      <c r="C7136" s="472" t="s">
        <v>181</v>
      </c>
      <c r="D7136" s="472">
        <v>93.537400000000005</v>
      </c>
      <c r="E7136" s="472" t="s">
        <v>6305</v>
      </c>
      <c r="F7136" s="352"/>
    </row>
    <row r="7137" spans="1:6" s="315" customFormat="1" ht="15">
      <c r="A7137" s="472" t="s">
        <v>9654</v>
      </c>
      <c r="B7137" s="472" t="s">
        <v>8822</v>
      </c>
      <c r="C7137" s="472" t="s">
        <v>181</v>
      </c>
      <c r="D7137" s="472">
        <v>46.911200000000001</v>
      </c>
      <c r="E7137" s="472" t="s">
        <v>6305</v>
      </c>
      <c r="F7137" s="352"/>
    </row>
    <row r="7138" spans="1:6" s="315" customFormat="1" ht="15">
      <c r="A7138" s="472" t="s">
        <v>9655</v>
      </c>
      <c r="B7138" s="472" t="s">
        <v>8824</v>
      </c>
      <c r="C7138" s="472" t="s">
        <v>181</v>
      </c>
      <c r="D7138" s="472">
        <v>8.3299999999999999E-2</v>
      </c>
      <c r="E7138" s="472" t="s">
        <v>6305</v>
      </c>
      <c r="F7138" s="352"/>
    </row>
    <row r="7139" spans="1:6" s="315" customFormat="1" ht="15">
      <c r="A7139" s="472" t="s">
        <v>9656</v>
      </c>
      <c r="B7139" s="472" t="s">
        <v>8826</v>
      </c>
      <c r="C7139" s="472" t="s">
        <v>181</v>
      </c>
      <c r="D7139" s="472">
        <v>0.45889999999999997</v>
      </c>
      <c r="E7139" s="472" t="s">
        <v>6305</v>
      </c>
      <c r="F7139" s="352"/>
    </row>
    <row r="7140" spans="1:6" s="315" customFormat="1" ht="15">
      <c r="A7140" s="472" t="s">
        <v>9657</v>
      </c>
      <c r="B7140" s="472" t="s">
        <v>8828</v>
      </c>
      <c r="C7140" s="472" t="s">
        <v>181</v>
      </c>
      <c r="D7140" s="472">
        <v>734.65329999999994</v>
      </c>
      <c r="E7140" s="472" t="s">
        <v>6305</v>
      </c>
      <c r="F7140" s="352"/>
    </row>
    <row r="7141" spans="1:6" s="315" customFormat="1" ht="15">
      <c r="A7141" s="472" t="s">
        <v>9658</v>
      </c>
      <c r="B7141" s="472" t="s">
        <v>8830</v>
      </c>
      <c r="C7141" s="472" t="s">
        <v>181</v>
      </c>
      <c r="D7141" s="472">
        <v>0.52549999999999997</v>
      </c>
      <c r="E7141" s="472" t="s">
        <v>6305</v>
      </c>
      <c r="F7141" s="352"/>
    </row>
    <row r="7142" spans="1:6" s="315" customFormat="1" ht="15">
      <c r="A7142" s="472" t="s">
        <v>9659</v>
      </c>
      <c r="B7142" s="472" t="s">
        <v>8832</v>
      </c>
      <c r="C7142" s="472" t="s">
        <v>181</v>
      </c>
      <c r="D7142" s="472">
        <v>684.72789999999998</v>
      </c>
      <c r="E7142" s="472" t="s">
        <v>6305</v>
      </c>
      <c r="F7142" s="352"/>
    </row>
    <row r="7143" spans="1:6" s="315" customFormat="1" ht="15">
      <c r="A7143" s="472" t="s">
        <v>9660</v>
      </c>
      <c r="B7143" s="472" t="s">
        <v>7753</v>
      </c>
      <c r="C7143" s="472" t="s">
        <v>181</v>
      </c>
      <c r="D7143" s="472">
        <v>1.4477</v>
      </c>
      <c r="E7143" s="472" t="s">
        <v>6305</v>
      </c>
      <c r="F7143" s="352"/>
    </row>
    <row r="7144" spans="1:6" s="315" customFormat="1" ht="15">
      <c r="A7144" s="472" t="s">
        <v>9661</v>
      </c>
      <c r="B7144" s="472" t="s">
        <v>26763</v>
      </c>
      <c r="C7144" s="472" t="s">
        <v>181</v>
      </c>
      <c r="D7144" s="472">
        <v>92.408799999999999</v>
      </c>
      <c r="E7144" s="472" t="s">
        <v>6305</v>
      </c>
      <c r="F7144" s="352"/>
    </row>
    <row r="7145" spans="1:6" s="315" customFormat="1" ht="15">
      <c r="A7145" s="472" t="s">
        <v>9662</v>
      </c>
      <c r="B7145" s="472" t="s">
        <v>8836</v>
      </c>
      <c r="C7145" s="472" t="s">
        <v>181</v>
      </c>
      <c r="D7145" s="472">
        <v>173.81870000000001</v>
      </c>
      <c r="E7145" s="472" t="s">
        <v>6305</v>
      </c>
      <c r="F7145" s="352"/>
    </row>
    <row r="7146" spans="1:6" s="315" customFormat="1" ht="15">
      <c r="A7146" s="472" t="s">
        <v>9663</v>
      </c>
      <c r="B7146" s="472" t="s">
        <v>8838</v>
      </c>
      <c r="C7146" s="472" t="s">
        <v>181</v>
      </c>
      <c r="D7146" s="472">
        <v>0.58660000000000001</v>
      </c>
      <c r="E7146" s="472" t="s">
        <v>6305</v>
      </c>
      <c r="F7146" s="352"/>
    </row>
    <row r="7147" spans="1:6" s="315" customFormat="1" ht="15">
      <c r="A7147" s="472" t="s">
        <v>9664</v>
      </c>
      <c r="B7147" s="472" t="s">
        <v>8840</v>
      </c>
      <c r="C7147" s="472" t="s">
        <v>181</v>
      </c>
      <c r="D7147" s="472">
        <v>26.768799999999999</v>
      </c>
      <c r="E7147" s="472" t="s">
        <v>6305</v>
      </c>
      <c r="F7147" s="352"/>
    </row>
    <row r="7148" spans="1:6" s="315" customFormat="1" ht="15">
      <c r="A7148" s="472" t="s">
        <v>9665</v>
      </c>
      <c r="B7148" s="472" t="s">
        <v>8842</v>
      </c>
      <c r="C7148" s="472" t="s">
        <v>181</v>
      </c>
      <c r="D7148" s="472">
        <v>0.20469999999999999</v>
      </c>
      <c r="E7148" s="472" t="s">
        <v>6305</v>
      </c>
      <c r="F7148" s="352"/>
    </row>
    <row r="7149" spans="1:6" s="315" customFormat="1" ht="15">
      <c r="A7149" s="472" t="s">
        <v>9666</v>
      </c>
      <c r="B7149" s="472" t="s">
        <v>8844</v>
      </c>
      <c r="C7149" s="472" t="s">
        <v>181</v>
      </c>
      <c r="D7149" s="472">
        <v>158.5368</v>
      </c>
      <c r="E7149" s="472" t="s">
        <v>6305</v>
      </c>
      <c r="F7149" s="352"/>
    </row>
    <row r="7150" spans="1:6" s="315" customFormat="1" ht="15">
      <c r="A7150" s="472" t="s">
        <v>9667</v>
      </c>
      <c r="B7150" s="472" t="s">
        <v>8846</v>
      </c>
      <c r="C7150" s="472" t="s">
        <v>181</v>
      </c>
      <c r="D7150" s="472">
        <v>39.758800000000001</v>
      </c>
      <c r="E7150" s="472" t="s">
        <v>6305</v>
      </c>
      <c r="F7150" s="352"/>
    </row>
    <row r="7151" spans="1:6" s="315" customFormat="1" ht="15">
      <c r="A7151" s="472" t="s">
        <v>9668</v>
      </c>
      <c r="B7151" s="472" t="s">
        <v>8848</v>
      </c>
      <c r="C7151" s="472" t="s">
        <v>181</v>
      </c>
      <c r="D7151" s="472">
        <v>10.9864</v>
      </c>
      <c r="E7151" s="472" t="s">
        <v>6305</v>
      </c>
      <c r="F7151" s="352"/>
    </row>
    <row r="7152" spans="1:6" s="315" customFormat="1" ht="15">
      <c r="A7152" s="472" t="s">
        <v>9669</v>
      </c>
      <c r="B7152" s="472" t="s">
        <v>8850</v>
      </c>
      <c r="C7152" s="472" t="s">
        <v>181</v>
      </c>
      <c r="D7152" s="472">
        <v>4.2900000000000001E-2</v>
      </c>
      <c r="E7152" s="472" t="s">
        <v>6305</v>
      </c>
      <c r="F7152" s="352"/>
    </row>
    <row r="7153" spans="1:6" s="315" customFormat="1" ht="15">
      <c r="A7153" s="472" t="s">
        <v>9670</v>
      </c>
      <c r="B7153" s="472" t="s">
        <v>8852</v>
      </c>
      <c r="C7153" s="472" t="s">
        <v>181</v>
      </c>
      <c r="D7153" s="472">
        <v>27.272600000000001</v>
      </c>
      <c r="E7153" s="472" t="s">
        <v>6305</v>
      </c>
      <c r="F7153" s="352"/>
    </row>
    <row r="7154" spans="1:6" s="315" customFormat="1" ht="15">
      <c r="A7154" s="472" t="s">
        <v>9671</v>
      </c>
      <c r="B7154" s="472" t="s">
        <v>8854</v>
      </c>
      <c r="C7154" s="472" t="s">
        <v>181</v>
      </c>
      <c r="D7154" s="472">
        <v>370.8596</v>
      </c>
      <c r="E7154" s="472" t="s">
        <v>6305</v>
      </c>
      <c r="F7154" s="352"/>
    </row>
    <row r="7155" spans="1:6" s="315" customFormat="1" ht="15">
      <c r="A7155" s="472" t="s">
        <v>9672</v>
      </c>
      <c r="B7155" s="472" t="s">
        <v>8856</v>
      </c>
      <c r="C7155" s="472" t="s">
        <v>181</v>
      </c>
      <c r="D7155" s="472">
        <v>103.2102</v>
      </c>
      <c r="E7155" s="472" t="s">
        <v>6305</v>
      </c>
      <c r="F7155" s="352"/>
    </row>
    <row r="7156" spans="1:6" s="315" customFormat="1" ht="15">
      <c r="A7156" s="472" t="s">
        <v>9673</v>
      </c>
      <c r="B7156" s="472" t="s">
        <v>8858</v>
      </c>
      <c r="C7156" s="472" t="s">
        <v>181</v>
      </c>
      <c r="D7156" s="472">
        <v>4.6893000000000002</v>
      </c>
      <c r="E7156" s="472" t="s">
        <v>6305</v>
      </c>
      <c r="F7156" s="352"/>
    </row>
    <row r="7157" spans="1:6" s="315" customFormat="1" ht="15">
      <c r="A7157" s="472" t="s">
        <v>9674</v>
      </c>
      <c r="B7157" s="472" t="s">
        <v>8860</v>
      </c>
      <c r="C7157" s="472" t="s">
        <v>181</v>
      </c>
      <c r="D7157" s="472">
        <v>103.3155</v>
      </c>
      <c r="E7157" s="472" t="s">
        <v>6305</v>
      </c>
      <c r="F7157" s="352"/>
    </row>
    <row r="7158" spans="1:6" s="315" customFormat="1" ht="15">
      <c r="A7158" s="472" t="s">
        <v>9675</v>
      </c>
      <c r="B7158" s="472" t="s">
        <v>8862</v>
      </c>
      <c r="C7158" s="472" t="s">
        <v>181</v>
      </c>
      <c r="D7158" s="472">
        <v>24.939699999999998</v>
      </c>
      <c r="E7158" s="472" t="s">
        <v>6305</v>
      </c>
      <c r="F7158" s="352"/>
    </row>
    <row r="7159" spans="1:6" s="315" customFormat="1" ht="15">
      <c r="A7159" s="472" t="s">
        <v>9676</v>
      </c>
      <c r="B7159" s="472" t="s">
        <v>8864</v>
      </c>
      <c r="C7159" s="472" t="s">
        <v>181</v>
      </c>
      <c r="D7159" s="472">
        <v>8.1576000000000004</v>
      </c>
      <c r="E7159" s="472" t="s">
        <v>6305</v>
      </c>
      <c r="F7159" s="352"/>
    </row>
    <row r="7160" spans="1:6" s="315" customFormat="1" ht="15">
      <c r="A7160" s="472" t="s">
        <v>9677</v>
      </c>
      <c r="B7160" s="472" t="s">
        <v>8866</v>
      </c>
      <c r="C7160" s="472" t="s">
        <v>181</v>
      </c>
      <c r="D7160" s="472">
        <v>8.3033000000000001</v>
      </c>
      <c r="E7160" s="472" t="s">
        <v>6305</v>
      </c>
      <c r="F7160" s="352"/>
    </row>
    <row r="7161" spans="1:6" s="315" customFormat="1" ht="15">
      <c r="A7161" s="472" t="s">
        <v>9678</v>
      </c>
      <c r="B7161" s="472" t="s">
        <v>8868</v>
      </c>
      <c r="C7161" s="472" t="s">
        <v>181</v>
      </c>
      <c r="D7161" s="472">
        <v>7.7206000000000001</v>
      </c>
      <c r="E7161" s="472" t="s">
        <v>6305</v>
      </c>
      <c r="F7161" s="352"/>
    </row>
    <row r="7162" spans="1:6" s="315" customFormat="1" ht="15">
      <c r="A7162" s="472" t="s">
        <v>9679</v>
      </c>
      <c r="B7162" s="472" t="s">
        <v>8870</v>
      </c>
      <c r="C7162" s="472" t="s">
        <v>181</v>
      </c>
      <c r="D7162" s="472">
        <v>44.007800000000003</v>
      </c>
      <c r="E7162" s="472" t="s">
        <v>6305</v>
      </c>
      <c r="F7162" s="352"/>
    </row>
    <row r="7163" spans="1:6" s="315" customFormat="1" ht="15">
      <c r="A7163" s="472" t="s">
        <v>9680</v>
      </c>
      <c r="B7163" s="472" t="s">
        <v>8872</v>
      </c>
      <c r="C7163" s="472" t="s">
        <v>181</v>
      </c>
      <c r="D7163" s="472">
        <v>7.2835999999999999</v>
      </c>
      <c r="E7163" s="472" t="s">
        <v>6305</v>
      </c>
      <c r="F7163" s="352"/>
    </row>
    <row r="7164" spans="1:6" s="315" customFormat="1" ht="15">
      <c r="A7164" s="472" t="s">
        <v>9681</v>
      </c>
      <c r="B7164" s="472" t="s">
        <v>8874</v>
      </c>
      <c r="C7164" s="472" t="s">
        <v>181</v>
      </c>
      <c r="D7164" s="472">
        <v>9.6143000000000001</v>
      </c>
      <c r="E7164" s="472" t="s">
        <v>6305</v>
      </c>
      <c r="F7164" s="352"/>
    </row>
    <row r="7165" spans="1:6" s="315" customFormat="1" ht="15">
      <c r="A7165" s="472" t="s">
        <v>9682</v>
      </c>
      <c r="B7165" s="472" t="s">
        <v>8876</v>
      </c>
      <c r="C7165" s="472" t="s">
        <v>181</v>
      </c>
      <c r="D7165" s="472">
        <v>0.30220000000000002</v>
      </c>
      <c r="E7165" s="472" t="s">
        <v>6305</v>
      </c>
      <c r="F7165" s="352"/>
    </row>
    <row r="7166" spans="1:6" s="315" customFormat="1" ht="15">
      <c r="A7166" s="472" t="s">
        <v>9683</v>
      </c>
      <c r="B7166" s="472" t="s">
        <v>8878</v>
      </c>
      <c r="C7166" s="472" t="s">
        <v>181</v>
      </c>
      <c r="D7166" s="472">
        <v>69.661500000000004</v>
      </c>
      <c r="E7166" s="472" t="s">
        <v>6305</v>
      </c>
      <c r="F7166" s="352"/>
    </row>
    <row r="7167" spans="1:6" s="315" customFormat="1" ht="15">
      <c r="A7167" s="472" t="s">
        <v>9684</v>
      </c>
      <c r="B7167" s="472" t="s">
        <v>8880</v>
      </c>
      <c r="C7167" s="472" t="s">
        <v>181</v>
      </c>
      <c r="D7167" s="472">
        <v>145.9083</v>
      </c>
      <c r="E7167" s="472" t="s">
        <v>6305</v>
      </c>
      <c r="F7167" s="352"/>
    </row>
    <row r="7168" spans="1:6" s="315" customFormat="1" ht="15">
      <c r="A7168" s="472" t="s">
        <v>9685</v>
      </c>
      <c r="B7168" s="472" t="s">
        <v>7807</v>
      </c>
      <c r="C7168" s="472" t="s">
        <v>181</v>
      </c>
      <c r="D7168" s="472">
        <v>3.2433000000000001</v>
      </c>
      <c r="E7168" s="472" t="s">
        <v>6305</v>
      </c>
      <c r="F7168" s="352"/>
    </row>
    <row r="7169" spans="1:6" s="315" customFormat="1" ht="15">
      <c r="A7169" s="472" t="s">
        <v>9686</v>
      </c>
      <c r="B7169" s="472" t="s">
        <v>8883</v>
      </c>
      <c r="C7169" s="472" t="s">
        <v>181</v>
      </c>
      <c r="D7169" s="472">
        <v>678.27629999999999</v>
      </c>
      <c r="E7169" s="472" t="s">
        <v>6305</v>
      </c>
      <c r="F7169" s="352"/>
    </row>
    <row r="7170" spans="1:6" s="315" customFormat="1" ht="15">
      <c r="A7170" s="472" t="s">
        <v>9687</v>
      </c>
      <c r="B7170" s="472" t="s">
        <v>8885</v>
      </c>
      <c r="C7170" s="472" t="s">
        <v>181</v>
      </c>
      <c r="D7170" s="472">
        <v>978.02369999999996</v>
      </c>
      <c r="E7170" s="472" t="s">
        <v>6305</v>
      </c>
      <c r="F7170" s="352"/>
    </row>
    <row r="7171" spans="1:6" s="315" customFormat="1" ht="15">
      <c r="A7171" s="472" t="s">
        <v>9688</v>
      </c>
      <c r="B7171" s="472" t="s">
        <v>8887</v>
      </c>
      <c r="C7171" s="472" t="s">
        <v>181</v>
      </c>
      <c r="D7171" s="472">
        <v>38.021500000000003</v>
      </c>
      <c r="E7171" s="472" t="s">
        <v>6305</v>
      </c>
      <c r="F7171" s="352"/>
    </row>
    <row r="7172" spans="1:6" s="315" customFormat="1" ht="15">
      <c r="A7172" s="472" t="s">
        <v>9689</v>
      </c>
      <c r="B7172" s="472" t="s">
        <v>8889</v>
      </c>
      <c r="C7172" s="472" t="s">
        <v>181</v>
      </c>
      <c r="D7172" s="472">
        <v>2.8973</v>
      </c>
      <c r="E7172" s="472" t="s">
        <v>6305</v>
      </c>
      <c r="F7172" s="352"/>
    </row>
    <row r="7173" spans="1:6" s="315" customFormat="1" ht="15">
      <c r="A7173" s="472" t="s">
        <v>9690</v>
      </c>
      <c r="B7173" s="472" t="s">
        <v>8891</v>
      </c>
      <c r="C7173" s="472" t="s">
        <v>181</v>
      </c>
      <c r="D7173" s="472">
        <v>22.138100000000001</v>
      </c>
      <c r="E7173" s="472" t="s">
        <v>6305</v>
      </c>
      <c r="F7173" s="352"/>
    </row>
    <row r="7174" spans="1:6" s="315" customFormat="1" ht="15">
      <c r="A7174" s="472" t="s">
        <v>9691</v>
      </c>
      <c r="B7174" s="472" t="s">
        <v>8893</v>
      </c>
      <c r="C7174" s="472" t="s">
        <v>181</v>
      </c>
      <c r="D7174" s="472">
        <v>21.764299999999999</v>
      </c>
      <c r="E7174" s="472" t="s">
        <v>6305</v>
      </c>
      <c r="F7174" s="352"/>
    </row>
    <row r="7175" spans="1:6" s="315" customFormat="1" ht="15">
      <c r="A7175" s="472" t="s">
        <v>9692</v>
      </c>
      <c r="B7175" s="472" t="s">
        <v>8895</v>
      </c>
      <c r="C7175" s="472" t="s">
        <v>181</v>
      </c>
      <c r="D7175" s="472">
        <v>196.21600000000001</v>
      </c>
      <c r="E7175" s="472" t="s">
        <v>6305</v>
      </c>
      <c r="F7175" s="352"/>
    </row>
    <row r="7176" spans="1:6" s="315" customFormat="1" ht="15">
      <c r="A7176" s="472" t="s">
        <v>9693</v>
      </c>
      <c r="B7176" s="472" t="s">
        <v>8897</v>
      </c>
      <c r="C7176" s="472" t="s">
        <v>181</v>
      </c>
      <c r="D7176" s="472">
        <v>34.440600000000003</v>
      </c>
      <c r="E7176" s="472" t="s">
        <v>6305</v>
      </c>
      <c r="F7176" s="352"/>
    </row>
    <row r="7177" spans="1:6" s="315" customFormat="1" ht="15">
      <c r="A7177" s="472" t="s">
        <v>9694</v>
      </c>
      <c r="B7177" s="472" t="s">
        <v>8899</v>
      </c>
      <c r="C7177" s="472" t="s">
        <v>181</v>
      </c>
      <c r="D7177" s="472">
        <v>0.50829999999999997</v>
      </c>
      <c r="E7177" s="472" t="s">
        <v>6305</v>
      </c>
      <c r="F7177" s="352"/>
    </row>
    <row r="7178" spans="1:6" s="315" customFormat="1" ht="15">
      <c r="A7178" s="472" t="s">
        <v>9695</v>
      </c>
      <c r="B7178" s="472" t="s">
        <v>8901</v>
      </c>
      <c r="C7178" s="472" t="s">
        <v>181</v>
      </c>
      <c r="D7178" s="472">
        <v>221.4897</v>
      </c>
      <c r="E7178" s="472" t="s">
        <v>6305</v>
      </c>
      <c r="F7178" s="352"/>
    </row>
    <row r="7179" spans="1:6" s="315" customFormat="1" ht="15">
      <c r="A7179" s="472" t="s">
        <v>9696</v>
      </c>
      <c r="B7179" s="472" t="s">
        <v>8903</v>
      </c>
      <c r="C7179" s="472" t="s">
        <v>181</v>
      </c>
      <c r="D7179" s="472">
        <v>82.371700000000004</v>
      </c>
      <c r="E7179" s="472" t="s">
        <v>6305</v>
      </c>
      <c r="F7179" s="352"/>
    </row>
    <row r="7180" spans="1:6" s="315" customFormat="1" ht="15">
      <c r="A7180" s="472" t="s">
        <v>9697</v>
      </c>
      <c r="B7180" s="472" t="s">
        <v>8905</v>
      </c>
      <c r="C7180" s="472" t="s">
        <v>181</v>
      </c>
      <c r="D7180" s="472">
        <v>35.097999999999999</v>
      </c>
      <c r="E7180" s="472" t="s">
        <v>6305</v>
      </c>
      <c r="F7180" s="352"/>
    </row>
    <row r="7181" spans="1:6" s="315" customFormat="1" ht="15">
      <c r="A7181" s="472" t="s">
        <v>9698</v>
      </c>
      <c r="B7181" s="472" t="s">
        <v>8907</v>
      </c>
      <c r="C7181" s="472" t="s">
        <v>181</v>
      </c>
      <c r="D7181" s="472">
        <v>2.1747999999999998</v>
      </c>
      <c r="E7181" s="472" t="s">
        <v>6305</v>
      </c>
      <c r="F7181" s="352"/>
    </row>
    <row r="7182" spans="1:6" s="315" customFormat="1" ht="15">
      <c r="A7182" s="472" t="s">
        <v>9699</v>
      </c>
      <c r="B7182" s="472" t="s">
        <v>8909</v>
      </c>
      <c r="C7182" s="472" t="s">
        <v>181</v>
      </c>
      <c r="D7182" s="472">
        <v>14.159000000000001</v>
      </c>
      <c r="E7182" s="472" t="s">
        <v>6305</v>
      </c>
      <c r="F7182" s="352"/>
    </row>
    <row r="7183" spans="1:6" s="315" customFormat="1" ht="15">
      <c r="A7183" s="472" t="s">
        <v>9700</v>
      </c>
      <c r="B7183" s="472" t="s">
        <v>8911</v>
      </c>
      <c r="C7183" s="472" t="s">
        <v>181</v>
      </c>
      <c r="D7183" s="472">
        <v>0.35659999999999997</v>
      </c>
      <c r="E7183" s="472" t="s">
        <v>6305</v>
      </c>
      <c r="F7183" s="352"/>
    </row>
    <row r="7184" spans="1:6" s="315" customFormat="1" ht="15">
      <c r="A7184" s="472" t="s">
        <v>9701</v>
      </c>
      <c r="B7184" s="472" t="s">
        <v>8913</v>
      </c>
      <c r="C7184" s="472" t="s">
        <v>181</v>
      </c>
      <c r="D7184" s="472">
        <v>73.9542</v>
      </c>
      <c r="E7184" s="472" t="s">
        <v>6305</v>
      </c>
      <c r="F7184" s="352"/>
    </row>
    <row r="7185" spans="1:6" s="315" customFormat="1" ht="15">
      <c r="A7185" s="472" t="s">
        <v>9702</v>
      </c>
      <c r="B7185" s="472" t="s">
        <v>8915</v>
      </c>
      <c r="C7185" s="472" t="s">
        <v>181</v>
      </c>
      <c r="D7185" s="472">
        <v>46.997199999999999</v>
      </c>
      <c r="E7185" s="472" t="s">
        <v>6305</v>
      </c>
      <c r="F7185" s="352"/>
    </row>
    <row r="7186" spans="1:6" s="315" customFormat="1" ht="15">
      <c r="A7186" s="472" t="s">
        <v>9703</v>
      </c>
      <c r="B7186" s="472" t="s">
        <v>8917</v>
      </c>
      <c r="C7186" s="472" t="s">
        <v>181</v>
      </c>
      <c r="D7186" s="472">
        <v>47.019599999999997</v>
      </c>
      <c r="E7186" s="472" t="s">
        <v>6305</v>
      </c>
      <c r="F7186" s="352"/>
    </row>
    <row r="7187" spans="1:6" s="315" customFormat="1" ht="15">
      <c r="A7187" s="472" t="s">
        <v>9704</v>
      </c>
      <c r="B7187" s="472" t="s">
        <v>8919</v>
      </c>
      <c r="C7187" s="472" t="s">
        <v>181</v>
      </c>
      <c r="D7187" s="472">
        <v>77.052099999999996</v>
      </c>
      <c r="E7187" s="472" t="s">
        <v>6305</v>
      </c>
      <c r="F7187" s="352"/>
    </row>
    <row r="7188" spans="1:6" s="315" customFormat="1" ht="15">
      <c r="A7188" s="472" t="s">
        <v>9705</v>
      </c>
      <c r="B7188" s="472" t="s">
        <v>8921</v>
      </c>
      <c r="C7188" s="472" t="s">
        <v>181</v>
      </c>
      <c r="D7188" s="472">
        <v>29.194600000000001</v>
      </c>
      <c r="E7188" s="472" t="s">
        <v>6305</v>
      </c>
      <c r="F7188" s="352"/>
    </row>
    <row r="7189" spans="1:6" s="315" customFormat="1" ht="15">
      <c r="A7189" s="472" t="s">
        <v>9706</v>
      </c>
      <c r="B7189" s="472" t="s">
        <v>8923</v>
      </c>
      <c r="C7189" s="472" t="s">
        <v>181</v>
      </c>
      <c r="D7189" s="472">
        <v>295.08749999999998</v>
      </c>
      <c r="E7189" s="472" t="s">
        <v>6305</v>
      </c>
      <c r="F7189" s="352"/>
    </row>
    <row r="7190" spans="1:6" s="315" customFormat="1" ht="15">
      <c r="A7190" s="472" t="s">
        <v>9707</v>
      </c>
      <c r="B7190" s="472" t="s">
        <v>7808</v>
      </c>
      <c r="C7190" s="472" t="s">
        <v>181</v>
      </c>
      <c r="D7190" s="472">
        <v>29.743500000000001</v>
      </c>
      <c r="E7190" s="472" t="s">
        <v>6305</v>
      </c>
      <c r="F7190" s="352"/>
    </row>
    <row r="7191" spans="1:6" s="315" customFormat="1" ht="15">
      <c r="A7191" s="472" t="s">
        <v>9708</v>
      </c>
      <c r="B7191" s="472" t="s">
        <v>8926</v>
      </c>
      <c r="C7191" s="472" t="s">
        <v>181</v>
      </c>
      <c r="D7191" s="472">
        <v>973.84770000000003</v>
      </c>
      <c r="E7191" s="472" t="s">
        <v>6305</v>
      </c>
      <c r="F7191" s="352"/>
    </row>
    <row r="7192" spans="1:6" s="315" customFormat="1" ht="15">
      <c r="A7192" s="472" t="s">
        <v>9709</v>
      </c>
      <c r="B7192" s="472" t="s">
        <v>8928</v>
      </c>
      <c r="C7192" s="472" t="s">
        <v>181</v>
      </c>
      <c r="D7192" s="472">
        <v>113.4901</v>
      </c>
      <c r="E7192" s="472" t="s">
        <v>6305</v>
      </c>
      <c r="F7192" s="352"/>
    </row>
    <row r="7193" spans="1:6" s="315" customFormat="1" ht="15">
      <c r="A7193" s="472" t="s">
        <v>9710</v>
      </c>
      <c r="B7193" s="472" t="s">
        <v>8930</v>
      </c>
      <c r="C7193" s="472" t="s">
        <v>181</v>
      </c>
      <c r="D7193" s="472">
        <v>39.701599999999999</v>
      </c>
      <c r="E7193" s="472" t="s">
        <v>6305</v>
      </c>
      <c r="F7193" s="352"/>
    </row>
    <row r="7194" spans="1:6" s="315" customFormat="1" ht="15">
      <c r="A7194" s="472" t="s">
        <v>9711</v>
      </c>
      <c r="B7194" s="472" t="s">
        <v>8932</v>
      </c>
      <c r="C7194" s="472" t="s">
        <v>181</v>
      </c>
      <c r="D7194" s="472">
        <v>5.8377999999999997</v>
      </c>
      <c r="E7194" s="472" t="s">
        <v>6305</v>
      </c>
      <c r="F7194" s="352"/>
    </row>
    <row r="7195" spans="1:6" s="315" customFormat="1" ht="15">
      <c r="A7195" s="472" t="s">
        <v>9712</v>
      </c>
      <c r="B7195" s="472" t="s">
        <v>26764</v>
      </c>
      <c r="C7195" s="472" t="s">
        <v>181</v>
      </c>
      <c r="D7195" s="472">
        <v>12.7941</v>
      </c>
      <c r="E7195" s="472" t="s">
        <v>6305</v>
      </c>
      <c r="F7195" s="352"/>
    </row>
    <row r="7196" spans="1:6" s="315" customFormat="1" ht="15">
      <c r="A7196" s="472" t="s">
        <v>9713</v>
      </c>
      <c r="B7196" s="472" t="s">
        <v>8935</v>
      </c>
      <c r="C7196" s="472" t="s">
        <v>181</v>
      </c>
      <c r="D7196" s="472">
        <v>7.1349</v>
      </c>
      <c r="E7196" s="472" t="s">
        <v>6305</v>
      </c>
      <c r="F7196" s="352"/>
    </row>
    <row r="7197" spans="1:6" s="315" customFormat="1" ht="15">
      <c r="A7197" s="472" t="s">
        <v>9714</v>
      </c>
      <c r="B7197" s="472" t="s">
        <v>8937</v>
      </c>
      <c r="C7197" s="472" t="s">
        <v>181</v>
      </c>
      <c r="D7197" s="472">
        <v>24.6203</v>
      </c>
      <c r="E7197" s="472" t="s">
        <v>6305</v>
      </c>
      <c r="F7197" s="352"/>
    </row>
    <row r="7198" spans="1:6" s="315" customFormat="1" ht="15">
      <c r="A7198" s="472" t="s">
        <v>9715</v>
      </c>
      <c r="B7198" s="472" t="s">
        <v>8939</v>
      </c>
      <c r="C7198" s="472" t="s">
        <v>181</v>
      </c>
      <c r="D7198" s="472">
        <v>39.404600000000002</v>
      </c>
      <c r="E7198" s="472" t="s">
        <v>6305</v>
      </c>
      <c r="F7198" s="352"/>
    </row>
    <row r="7199" spans="1:6" s="315" customFormat="1" ht="15">
      <c r="A7199" s="472" t="s">
        <v>9716</v>
      </c>
      <c r="B7199" s="472" t="s">
        <v>8941</v>
      </c>
      <c r="C7199" s="472" t="s">
        <v>181</v>
      </c>
      <c r="D7199" s="472">
        <v>17.570900000000002</v>
      </c>
      <c r="E7199" s="472" t="s">
        <v>6305</v>
      </c>
      <c r="F7199" s="352"/>
    </row>
    <row r="7200" spans="1:6" s="315" customFormat="1" ht="15">
      <c r="A7200" s="472" t="s">
        <v>9717</v>
      </c>
      <c r="B7200" s="472" t="s">
        <v>8943</v>
      </c>
      <c r="C7200" s="472" t="s">
        <v>181</v>
      </c>
      <c r="D7200" s="472">
        <v>209.78739999999999</v>
      </c>
      <c r="E7200" s="472" t="s">
        <v>6305</v>
      </c>
      <c r="F7200" s="352"/>
    </row>
    <row r="7201" spans="1:6" s="315" customFormat="1" ht="15">
      <c r="A7201" s="472" t="s">
        <v>9718</v>
      </c>
      <c r="B7201" s="472" t="s">
        <v>8945</v>
      </c>
      <c r="C7201" s="472" t="s">
        <v>181</v>
      </c>
      <c r="D7201" s="472">
        <v>37.442100000000003</v>
      </c>
      <c r="E7201" s="472" t="s">
        <v>6305</v>
      </c>
      <c r="F7201" s="352"/>
    </row>
    <row r="7202" spans="1:6" s="315" customFormat="1" ht="15">
      <c r="A7202" s="472" t="s">
        <v>9719</v>
      </c>
      <c r="B7202" s="472" t="s">
        <v>8947</v>
      </c>
      <c r="C7202" s="472" t="s">
        <v>181</v>
      </c>
      <c r="D7202" s="472">
        <v>4.3064</v>
      </c>
      <c r="E7202" s="472" t="s">
        <v>6305</v>
      </c>
      <c r="F7202" s="352"/>
    </row>
    <row r="7203" spans="1:6" s="315" customFormat="1" ht="15">
      <c r="A7203" s="472" t="s">
        <v>9720</v>
      </c>
      <c r="B7203" s="472" t="s">
        <v>8949</v>
      </c>
      <c r="C7203" s="472" t="s">
        <v>181</v>
      </c>
      <c r="D7203" s="472">
        <v>99.008300000000006</v>
      </c>
      <c r="E7203" s="472" t="s">
        <v>6305</v>
      </c>
      <c r="F7203" s="352"/>
    </row>
    <row r="7204" spans="1:6" s="315" customFormat="1" ht="15">
      <c r="A7204" s="472" t="s">
        <v>9721</v>
      </c>
      <c r="B7204" s="472" t="s">
        <v>8951</v>
      </c>
      <c r="C7204" s="472" t="s">
        <v>181</v>
      </c>
      <c r="D7204" s="472">
        <v>155.31530000000001</v>
      </c>
      <c r="E7204" s="472" t="s">
        <v>6305</v>
      </c>
      <c r="F7204" s="352"/>
    </row>
    <row r="7205" spans="1:6" s="315" customFormat="1" ht="15">
      <c r="A7205" s="472" t="s">
        <v>9722</v>
      </c>
      <c r="B7205" s="472" t="s">
        <v>8953</v>
      </c>
      <c r="C7205" s="472" t="s">
        <v>181</v>
      </c>
      <c r="D7205" s="472">
        <v>167.15190000000001</v>
      </c>
      <c r="E7205" s="472" t="s">
        <v>6305</v>
      </c>
      <c r="F7205" s="352"/>
    </row>
    <row r="7206" spans="1:6" s="315" customFormat="1" ht="15">
      <c r="A7206" s="472" t="s">
        <v>9723</v>
      </c>
      <c r="B7206" s="472" t="s">
        <v>8955</v>
      </c>
      <c r="C7206" s="472" t="s">
        <v>181</v>
      </c>
      <c r="D7206" s="472">
        <v>72.631200000000007</v>
      </c>
      <c r="E7206" s="472" t="s">
        <v>6305</v>
      </c>
      <c r="F7206" s="352"/>
    </row>
    <row r="7207" spans="1:6" s="315" customFormat="1" ht="15">
      <c r="A7207" s="472" t="s">
        <v>9724</v>
      </c>
      <c r="B7207" s="472" t="s">
        <v>8957</v>
      </c>
      <c r="C7207" s="472" t="s">
        <v>181</v>
      </c>
      <c r="D7207" s="472">
        <v>2.9763000000000002</v>
      </c>
      <c r="E7207" s="472" t="s">
        <v>6305</v>
      </c>
      <c r="F7207" s="352"/>
    </row>
    <row r="7208" spans="1:6" s="315" customFormat="1" ht="15">
      <c r="A7208" s="472" t="s">
        <v>9725</v>
      </c>
      <c r="B7208" s="472" t="s">
        <v>8959</v>
      </c>
      <c r="C7208" s="472" t="s">
        <v>181</v>
      </c>
      <c r="D7208" s="472">
        <v>0.2651</v>
      </c>
      <c r="E7208" s="472" t="s">
        <v>6305</v>
      </c>
      <c r="F7208" s="352"/>
    </row>
    <row r="7209" spans="1:6" s="315" customFormat="1" ht="15">
      <c r="A7209" s="472" t="s">
        <v>9726</v>
      </c>
      <c r="B7209" s="472" t="s">
        <v>8961</v>
      </c>
      <c r="C7209" s="472" t="s">
        <v>181</v>
      </c>
      <c r="D7209" s="472">
        <v>24.133400000000002</v>
      </c>
      <c r="E7209" s="472" t="s">
        <v>6305</v>
      </c>
      <c r="F7209" s="352"/>
    </row>
    <row r="7210" spans="1:6" s="315" customFormat="1" ht="15">
      <c r="A7210" s="472" t="s">
        <v>9727</v>
      </c>
      <c r="B7210" s="472" t="s">
        <v>8963</v>
      </c>
      <c r="C7210" s="472" t="s">
        <v>181</v>
      </c>
      <c r="D7210" s="472">
        <v>590.84019999999998</v>
      </c>
      <c r="E7210" s="472" t="s">
        <v>6305</v>
      </c>
      <c r="F7210" s="352"/>
    </row>
    <row r="7211" spans="1:6" s="315" customFormat="1" ht="15">
      <c r="A7211" s="472" t="s">
        <v>9728</v>
      </c>
      <c r="B7211" s="472" t="s">
        <v>8965</v>
      </c>
      <c r="C7211" s="472" t="s">
        <v>181</v>
      </c>
      <c r="D7211" s="472">
        <v>1.7514000000000001</v>
      </c>
      <c r="E7211" s="472" t="s">
        <v>6305</v>
      </c>
      <c r="F7211" s="352"/>
    </row>
    <row r="7212" spans="1:6" s="315" customFormat="1" ht="15">
      <c r="A7212" s="472" t="s">
        <v>9729</v>
      </c>
      <c r="B7212" s="472" t="s">
        <v>8967</v>
      </c>
      <c r="C7212" s="472" t="s">
        <v>181</v>
      </c>
      <c r="D7212" s="472">
        <v>0.28699999999999998</v>
      </c>
      <c r="E7212" s="472" t="s">
        <v>6305</v>
      </c>
      <c r="F7212" s="352"/>
    </row>
    <row r="7213" spans="1:6" s="315" customFormat="1" ht="15">
      <c r="A7213" s="472" t="s">
        <v>9730</v>
      </c>
      <c r="B7213" s="472" t="s">
        <v>8969</v>
      </c>
      <c r="C7213" s="472" t="s">
        <v>181</v>
      </c>
      <c r="D7213" s="472">
        <v>2.0238</v>
      </c>
      <c r="E7213" s="472" t="s">
        <v>6305</v>
      </c>
      <c r="F7213" s="352"/>
    </row>
    <row r="7214" spans="1:6" s="315" customFormat="1" ht="15">
      <c r="A7214" s="472" t="s">
        <v>9731</v>
      </c>
      <c r="B7214" s="472" t="s">
        <v>8971</v>
      </c>
      <c r="C7214" s="472" t="s">
        <v>181</v>
      </c>
      <c r="D7214" s="472">
        <v>0.44900000000000001</v>
      </c>
      <c r="E7214" s="472" t="s">
        <v>6305</v>
      </c>
      <c r="F7214" s="352"/>
    </row>
    <row r="7215" spans="1:6" s="315" customFormat="1" ht="15">
      <c r="A7215" s="472" t="s">
        <v>9732</v>
      </c>
      <c r="B7215" s="472" t="s">
        <v>8973</v>
      </c>
      <c r="C7215" s="472" t="s">
        <v>181</v>
      </c>
      <c r="D7215" s="472">
        <v>1.2242</v>
      </c>
      <c r="E7215" s="472" t="s">
        <v>6305</v>
      </c>
      <c r="F7215" s="352"/>
    </row>
    <row r="7216" spans="1:6" s="315" customFormat="1" ht="15">
      <c r="A7216" s="472" t="s">
        <v>9733</v>
      </c>
      <c r="B7216" s="472" t="s">
        <v>8975</v>
      </c>
      <c r="C7216" s="472" t="s">
        <v>181</v>
      </c>
      <c r="D7216" s="472">
        <v>7.7206000000000001</v>
      </c>
      <c r="E7216" s="472" t="s">
        <v>6305</v>
      </c>
      <c r="F7216" s="352"/>
    </row>
    <row r="7217" spans="1:6" s="315" customFormat="1" ht="15">
      <c r="A7217" s="472" t="s">
        <v>9734</v>
      </c>
      <c r="B7217" s="472" t="s">
        <v>8977</v>
      </c>
      <c r="C7217" s="472" t="s">
        <v>181</v>
      </c>
      <c r="D7217" s="472">
        <v>28.3309</v>
      </c>
      <c r="E7217" s="472" t="s">
        <v>6305</v>
      </c>
      <c r="F7217" s="352"/>
    </row>
    <row r="7218" spans="1:6" s="315" customFormat="1" ht="15">
      <c r="A7218" s="472" t="s">
        <v>9735</v>
      </c>
      <c r="B7218" s="472" t="s">
        <v>8979</v>
      </c>
      <c r="C7218" s="472" t="s">
        <v>181</v>
      </c>
      <c r="D7218" s="472">
        <v>83.961299999999994</v>
      </c>
      <c r="E7218" s="472" t="s">
        <v>6305</v>
      </c>
      <c r="F7218" s="352"/>
    </row>
    <row r="7219" spans="1:6" s="315" customFormat="1" ht="15">
      <c r="A7219" s="472" t="s">
        <v>9736</v>
      </c>
      <c r="B7219" s="472" t="s">
        <v>8981</v>
      </c>
      <c r="C7219" s="472" t="s">
        <v>181</v>
      </c>
      <c r="D7219" s="472">
        <v>54.235599999999998</v>
      </c>
      <c r="E7219" s="472" t="s">
        <v>6305</v>
      </c>
      <c r="F7219" s="352"/>
    </row>
    <row r="7220" spans="1:6" s="315" customFormat="1" ht="15">
      <c r="A7220" s="472" t="s">
        <v>9737</v>
      </c>
      <c r="B7220" s="472" t="s">
        <v>8983</v>
      </c>
      <c r="C7220" s="472" t="s">
        <v>181</v>
      </c>
      <c r="D7220" s="472">
        <v>38.959299999999999</v>
      </c>
      <c r="E7220" s="472" t="s">
        <v>6305</v>
      </c>
      <c r="F7220" s="352"/>
    </row>
    <row r="7221" spans="1:6" s="315" customFormat="1" ht="15">
      <c r="A7221" s="472" t="s">
        <v>9738</v>
      </c>
      <c r="B7221" s="472" t="s">
        <v>8985</v>
      </c>
      <c r="C7221" s="472" t="s">
        <v>181</v>
      </c>
      <c r="D7221" s="472">
        <v>5.0594999999999999</v>
      </c>
      <c r="E7221" s="472" t="s">
        <v>6305</v>
      </c>
      <c r="F7221" s="352"/>
    </row>
    <row r="7222" spans="1:6" s="315" customFormat="1" ht="15">
      <c r="A7222" s="472" t="s">
        <v>9739</v>
      </c>
      <c r="B7222" s="472" t="s">
        <v>8987</v>
      </c>
      <c r="C7222" s="472" t="s">
        <v>181</v>
      </c>
      <c r="D7222" s="472">
        <v>0.89529999999999998</v>
      </c>
      <c r="E7222" s="472" t="s">
        <v>6305</v>
      </c>
      <c r="F7222" s="352"/>
    </row>
    <row r="7223" spans="1:6" s="315" customFormat="1" ht="15">
      <c r="A7223" s="472" t="s">
        <v>9740</v>
      </c>
      <c r="B7223" s="472" t="s">
        <v>8989</v>
      </c>
      <c r="C7223" s="472" t="s">
        <v>181</v>
      </c>
      <c r="D7223" s="472">
        <v>92.824100000000001</v>
      </c>
      <c r="E7223" s="472" t="s">
        <v>6305</v>
      </c>
      <c r="F7223" s="352"/>
    </row>
    <row r="7224" spans="1:6" s="315" customFormat="1" ht="15">
      <c r="A7224" s="472" t="s">
        <v>9741</v>
      </c>
      <c r="B7224" s="472" t="s">
        <v>8991</v>
      </c>
      <c r="C7224" s="472" t="s">
        <v>181</v>
      </c>
      <c r="D7224" s="472">
        <v>25.4466</v>
      </c>
      <c r="E7224" s="472" t="s">
        <v>6305</v>
      </c>
      <c r="F7224" s="352"/>
    </row>
    <row r="7225" spans="1:6" s="315" customFormat="1" ht="15">
      <c r="A7225" s="472" t="s">
        <v>9742</v>
      </c>
      <c r="B7225" s="472" t="s">
        <v>8993</v>
      </c>
      <c r="C7225" s="472" t="s">
        <v>181</v>
      </c>
      <c r="D7225" s="472">
        <v>11.901400000000001</v>
      </c>
      <c r="E7225" s="472" t="s">
        <v>6305</v>
      </c>
      <c r="F7225" s="352"/>
    </row>
    <row r="7226" spans="1:6" s="315" customFormat="1" ht="15">
      <c r="A7226" s="472" t="s">
        <v>9743</v>
      </c>
      <c r="B7226" s="472" t="s">
        <v>8995</v>
      </c>
      <c r="C7226" s="472" t="s">
        <v>181</v>
      </c>
      <c r="D7226" s="472">
        <v>59.436100000000003</v>
      </c>
      <c r="E7226" s="472" t="s">
        <v>6305</v>
      </c>
      <c r="F7226" s="352"/>
    </row>
    <row r="7227" spans="1:6" s="315" customFormat="1" ht="15">
      <c r="A7227" s="472" t="s">
        <v>9744</v>
      </c>
      <c r="B7227" s="472" t="s">
        <v>8997</v>
      </c>
      <c r="C7227" s="472" t="s">
        <v>181</v>
      </c>
      <c r="D7227" s="472">
        <v>82.371700000000004</v>
      </c>
      <c r="E7227" s="472" t="s">
        <v>6305</v>
      </c>
      <c r="F7227" s="352"/>
    </row>
    <row r="7228" spans="1:6" s="315" customFormat="1" ht="15">
      <c r="A7228" s="472" t="s">
        <v>9745</v>
      </c>
      <c r="B7228" s="472" t="s">
        <v>8999</v>
      </c>
      <c r="C7228" s="472" t="s">
        <v>181</v>
      </c>
      <c r="D7228" s="472">
        <v>311.31479999999999</v>
      </c>
      <c r="E7228" s="472" t="s">
        <v>6305</v>
      </c>
      <c r="F7228" s="352"/>
    </row>
    <row r="7229" spans="1:6" s="315" customFormat="1" ht="15">
      <c r="A7229" s="472" t="s">
        <v>9746</v>
      </c>
      <c r="B7229" s="472" t="s">
        <v>9001</v>
      </c>
      <c r="C7229" s="472" t="s">
        <v>181</v>
      </c>
      <c r="D7229" s="472">
        <v>27.424199999999999</v>
      </c>
      <c r="E7229" s="472" t="s">
        <v>6305</v>
      </c>
      <c r="F7229" s="352"/>
    </row>
    <row r="7230" spans="1:6" s="315" customFormat="1" ht="15">
      <c r="A7230" s="472" t="s">
        <v>9747</v>
      </c>
      <c r="B7230" s="472" t="s">
        <v>9003</v>
      </c>
      <c r="C7230" s="472" t="s">
        <v>181</v>
      </c>
      <c r="D7230" s="472">
        <v>1.4312</v>
      </c>
      <c r="E7230" s="472" t="s">
        <v>6305</v>
      </c>
      <c r="F7230" s="352"/>
    </row>
    <row r="7231" spans="1:6" s="315" customFormat="1" ht="15">
      <c r="A7231" s="472" t="s">
        <v>9748</v>
      </c>
      <c r="B7231" s="472" t="s">
        <v>9005</v>
      </c>
      <c r="C7231" s="472" t="s">
        <v>181</v>
      </c>
      <c r="D7231" s="472">
        <v>20.081099999999999</v>
      </c>
      <c r="E7231" s="472" t="s">
        <v>6305</v>
      </c>
      <c r="F7231" s="352"/>
    </row>
    <row r="7232" spans="1:6" s="315" customFormat="1" ht="15">
      <c r="A7232" s="472" t="s">
        <v>9749</v>
      </c>
      <c r="B7232" s="472" t="s">
        <v>6653</v>
      </c>
      <c r="C7232" s="472" t="s">
        <v>181</v>
      </c>
      <c r="D7232" s="472">
        <v>0.1249</v>
      </c>
      <c r="E7232" s="472" t="s">
        <v>6305</v>
      </c>
      <c r="F7232" s="352"/>
    </row>
    <row r="7233" spans="1:6" s="315" customFormat="1" ht="15">
      <c r="A7233" s="472" t="s">
        <v>9750</v>
      </c>
      <c r="B7233" s="472" t="s">
        <v>9008</v>
      </c>
      <c r="C7233" s="472" t="s">
        <v>181</v>
      </c>
      <c r="D7233" s="472">
        <v>6.399</v>
      </c>
      <c r="E7233" s="472" t="s">
        <v>6305</v>
      </c>
      <c r="F7233" s="352"/>
    </row>
    <row r="7234" spans="1:6" s="315" customFormat="1" ht="15">
      <c r="A7234" s="472" t="s">
        <v>9751</v>
      </c>
      <c r="B7234" s="472" t="s">
        <v>9010</v>
      </c>
      <c r="C7234" s="472" t="s">
        <v>181</v>
      </c>
      <c r="D7234" s="472">
        <v>254.20330000000001</v>
      </c>
      <c r="E7234" s="472" t="s">
        <v>6305</v>
      </c>
      <c r="F7234" s="352"/>
    </row>
    <row r="7235" spans="1:6" s="315" customFormat="1" ht="15">
      <c r="A7235" s="472" t="s">
        <v>9752</v>
      </c>
      <c r="B7235" s="472" t="s">
        <v>9012</v>
      </c>
      <c r="C7235" s="472" t="s">
        <v>181</v>
      </c>
      <c r="D7235" s="472">
        <v>68.476399999999998</v>
      </c>
      <c r="E7235" s="472" t="s">
        <v>6305</v>
      </c>
      <c r="F7235" s="352"/>
    </row>
    <row r="7236" spans="1:6" s="315" customFormat="1" ht="15">
      <c r="A7236" s="472" t="s">
        <v>9753</v>
      </c>
      <c r="B7236" s="472" t="s">
        <v>9014</v>
      </c>
      <c r="C7236" s="472" t="s">
        <v>181</v>
      </c>
      <c r="D7236" s="472">
        <v>66.052599999999998</v>
      </c>
      <c r="E7236" s="472" t="s">
        <v>6305</v>
      </c>
      <c r="F7236" s="352"/>
    </row>
    <row r="7237" spans="1:6" s="315" customFormat="1" ht="15">
      <c r="A7237" s="472" t="s">
        <v>9754</v>
      </c>
      <c r="B7237" s="472" t="s">
        <v>9016</v>
      </c>
      <c r="C7237" s="472" t="s">
        <v>181</v>
      </c>
      <c r="D7237" s="472">
        <v>42.511200000000002</v>
      </c>
      <c r="E7237" s="472" t="s">
        <v>6305</v>
      </c>
      <c r="F7237" s="352"/>
    </row>
    <row r="7238" spans="1:6" s="315" customFormat="1" ht="15">
      <c r="A7238" s="472" t="s">
        <v>9755</v>
      </c>
      <c r="B7238" s="472" t="s">
        <v>9018</v>
      </c>
      <c r="C7238" s="472" t="s">
        <v>181</v>
      </c>
      <c r="D7238" s="472">
        <v>20.102499999999999</v>
      </c>
      <c r="E7238" s="472" t="s">
        <v>6305</v>
      </c>
      <c r="F7238" s="352"/>
    </row>
    <row r="7239" spans="1:6" s="315" customFormat="1" ht="15">
      <c r="A7239" s="472" t="s">
        <v>9756</v>
      </c>
      <c r="B7239" s="472" t="s">
        <v>9020</v>
      </c>
      <c r="C7239" s="472" t="s">
        <v>181</v>
      </c>
      <c r="D7239" s="472">
        <v>39.087000000000003</v>
      </c>
      <c r="E7239" s="472" t="s">
        <v>6305</v>
      </c>
      <c r="F7239" s="352"/>
    </row>
    <row r="7240" spans="1:6" s="315" customFormat="1" ht="15">
      <c r="A7240" s="472" t="s">
        <v>9757</v>
      </c>
      <c r="B7240" s="472" t="s">
        <v>9022</v>
      </c>
      <c r="C7240" s="472" t="s">
        <v>181</v>
      </c>
      <c r="D7240" s="472">
        <v>185.5591</v>
      </c>
      <c r="E7240" s="472" t="s">
        <v>6305</v>
      </c>
      <c r="F7240" s="352"/>
    </row>
    <row r="7241" spans="1:6" s="315" customFormat="1" ht="15">
      <c r="A7241" s="472" t="s">
        <v>9758</v>
      </c>
      <c r="B7241" s="472" t="s">
        <v>9024</v>
      </c>
      <c r="C7241" s="472" t="s">
        <v>181</v>
      </c>
      <c r="D7241" s="472">
        <v>53.485100000000003</v>
      </c>
      <c r="E7241" s="472" t="s">
        <v>6305</v>
      </c>
      <c r="F7241" s="352"/>
    </row>
    <row r="7242" spans="1:6" s="315" customFormat="1" ht="15">
      <c r="A7242" s="472" t="s">
        <v>9759</v>
      </c>
      <c r="B7242" s="472" t="s">
        <v>9026</v>
      </c>
      <c r="C7242" s="472" t="s">
        <v>181</v>
      </c>
      <c r="D7242" s="472">
        <v>2.8359999999999999</v>
      </c>
      <c r="E7242" s="472" t="s">
        <v>6305</v>
      </c>
      <c r="F7242" s="352"/>
    </row>
    <row r="7243" spans="1:6" s="315" customFormat="1" ht="15">
      <c r="A7243" s="472" t="s">
        <v>9760</v>
      </c>
      <c r="B7243" s="472" t="s">
        <v>9028</v>
      </c>
      <c r="C7243" s="472" t="s">
        <v>181</v>
      </c>
      <c r="D7243" s="472">
        <v>19.110900000000001</v>
      </c>
      <c r="E7243" s="472" t="s">
        <v>6305</v>
      </c>
      <c r="F7243" s="352"/>
    </row>
    <row r="7244" spans="1:6" s="315" customFormat="1" ht="15">
      <c r="A7244" s="472" t="s">
        <v>9761</v>
      </c>
      <c r="B7244" s="472" t="s">
        <v>9030</v>
      </c>
      <c r="C7244" s="472" t="s">
        <v>181</v>
      </c>
      <c r="D7244" s="472">
        <v>35.511800000000001</v>
      </c>
      <c r="E7244" s="472" t="s">
        <v>6305</v>
      </c>
      <c r="F7244" s="352"/>
    </row>
    <row r="7245" spans="1:6" s="315" customFormat="1" ht="15">
      <c r="A7245" s="472" t="s">
        <v>9762</v>
      </c>
      <c r="B7245" s="472" t="s">
        <v>9032</v>
      </c>
      <c r="C7245" s="472" t="s">
        <v>181</v>
      </c>
      <c r="D7245" s="472">
        <v>52.706099999999999</v>
      </c>
      <c r="E7245" s="472" t="s">
        <v>6305</v>
      </c>
      <c r="F7245" s="352"/>
    </row>
    <row r="7246" spans="1:6" s="315" customFormat="1" ht="15">
      <c r="A7246" s="472" t="s">
        <v>9763</v>
      </c>
      <c r="B7246" s="472" t="s">
        <v>9034</v>
      </c>
      <c r="C7246" s="472" t="s">
        <v>181</v>
      </c>
      <c r="D7246" s="472">
        <v>1.8545</v>
      </c>
      <c r="E7246" s="472" t="s">
        <v>6305</v>
      </c>
      <c r="F7246" s="352"/>
    </row>
    <row r="7247" spans="1:6" s="315" customFormat="1" ht="15">
      <c r="A7247" s="472" t="s">
        <v>9764</v>
      </c>
      <c r="B7247" s="472" t="s">
        <v>9036</v>
      </c>
      <c r="C7247" s="472" t="s">
        <v>181</v>
      </c>
      <c r="D7247" s="472">
        <v>35.439900000000002</v>
      </c>
      <c r="E7247" s="472" t="s">
        <v>6305</v>
      </c>
      <c r="F7247" s="352"/>
    </row>
    <row r="7248" spans="1:6" s="315" customFormat="1" ht="15">
      <c r="A7248" s="472" t="s">
        <v>9765</v>
      </c>
      <c r="B7248" s="472" t="s">
        <v>9038</v>
      </c>
      <c r="C7248" s="472" t="s">
        <v>181</v>
      </c>
      <c r="D7248" s="472">
        <v>61.688800000000001</v>
      </c>
      <c r="E7248" s="472" t="s">
        <v>6305</v>
      </c>
      <c r="F7248" s="352"/>
    </row>
    <row r="7249" spans="1:6" s="315" customFormat="1" ht="15">
      <c r="A7249" s="472" t="s">
        <v>9766</v>
      </c>
      <c r="B7249" s="472" t="s">
        <v>7915</v>
      </c>
      <c r="C7249" s="472" t="s">
        <v>181</v>
      </c>
      <c r="D7249" s="472">
        <v>126.5802</v>
      </c>
      <c r="E7249" s="472" t="s">
        <v>6305</v>
      </c>
      <c r="F7249" s="352"/>
    </row>
    <row r="7250" spans="1:6" s="315" customFormat="1" ht="15">
      <c r="A7250" s="472" t="s">
        <v>9767</v>
      </c>
      <c r="B7250" s="472" t="s">
        <v>9041</v>
      </c>
      <c r="C7250" s="472" t="s">
        <v>181</v>
      </c>
      <c r="D7250" s="472">
        <v>3.5472999999999999</v>
      </c>
      <c r="E7250" s="472" t="s">
        <v>6305</v>
      </c>
      <c r="F7250" s="352"/>
    </row>
    <row r="7251" spans="1:6" s="315" customFormat="1" ht="15">
      <c r="A7251" s="472" t="s">
        <v>9768</v>
      </c>
      <c r="B7251" s="472" t="s">
        <v>9043</v>
      </c>
      <c r="C7251" s="472" t="s">
        <v>181</v>
      </c>
      <c r="D7251" s="472">
        <v>72.645600000000002</v>
      </c>
      <c r="E7251" s="472" t="s">
        <v>6305</v>
      </c>
      <c r="F7251" s="352"/>
    </row>
    <row r="7252" spans="1:6" s="315" customFormat="1" ht="15">
      <c r="A7252" s="472" t="s">
        <v>9769</v>
      </c>
      <c r="B7252" s="472" t="s">
        <v>9045</v>
      </c>
      <c r="C7252" s="472" t="s">
        <v>181</v>
      </c>
      <c r="D7252" s="472">
        <v>4.0099999999999997E-2</v>
      </c>
      <c r="E7252" s="472" t="s">
        <v>6305</v>
      </c>
      <c r="F7252" s="352"/>
    </row>
    <row r="7253" spans="1:6" s="315" customFormat="1" ht="15">
      <c r="A7253" s="472" t="s">
        <v>9770</v>
      </c>
      <c r="B7253" s="472" t="s">
        <v>6760</v>
      </c>
      <c r="C7253" s="472" t="s">
        <v>181</v>
      </c>
      <c r="D7253" s="472">
        <v>8.9099999999999999E-2</v>
      </c>
      <c r="E7253" s="472" t="s">
        <v>6305</v>
      </c>
      <c r="F7253" s="352"/>
    </row>
    <row r="7254" spans="1:6" s="315" customFormat="1" ht="15">
      <c r="A7254" s="472" t="s">
        <v>9771</v>
      </c>
      <c r="B7254" s="472" t="s">
        <v>9048</v>
      </c>
      <c r="C7254" s="472" t="s">
        <v>181</v>
      </c>
      <c r="D7254" s="472">
        <v>0.58399999999999996</v>
      </c>
      <c r="E7254" s="472" t="s">
        <v>6305</v>
      </c>
      <c r="F7254" s="352"/>
    </row>
    <row r="7255" spans="1:6" s="315" customFormat="1" ht="15">
      <c r="A7255" s="472" t="s">
        <v>9772</v>
      </c>
      <c r="B7255" s="472" t="s">
        <v>9050</v>
      </c>
      <c r="C7255" s="472" t="s">
        <v>181</v>
      </c>
      <c r="D7255" s="472">
        <v>0.75639999999999996</v>
      </c>
      <c r="E7255" s="472" t="s">
        <v>6305</v>
      </c>
      <c r="F7255" s="352"/>
    </row>
    <row r="7256" spans="1:6" s="315" customFormat="1" ht="15">
      <c r="A7256" s="472" t="s">
        <v>9773</v>
      </c>
      <c r="B7256" s="472" t="s">
        <v>9052</v>
      </c>
      <c r="C7256" s="472" t="s">
        <v>181</v>
      </c>
      <c r="D7256" s="472">
        <v>2.0809000000000002</v>
      </c>
      <c r="E7256" s="472" t="s">
        <v>6305</v>
      </c>
      <c r="F7256" s="352"/>
    </row>
    <row r="7257" spans="1:6" s="315" customFormat="1" ht="15">
      <c r="A7257" s="472" t="s">
        <v>9774</v>
      </c>
      <c r="B7257" s="472" t="s">
        <v>9054</v>
      </c>
      <c r="C7257" s="472" t="s">
        <v>181</v>
      </c>
      <c r="D7257" s="472">
        <v>0.49609999999999999</v>
      </c>
      <c r="E7257" s="472" t="s">
        <v>6305</v>
      </c>
      <c r="F7257" s="352"/>
    </row>
    <row r="7258" spans="1:6" s="315" customFormat="1" ht="15">
      <c r="A7258" s="472" t="s">
        <v>9775</v>
      </c>
      <c r="B7258" s="472" t="s">
        <v>9056</v>
      </c>
      <c r="C7258" s="472" t="s">
        <v>181</v>
      </c>
      <c r="D7258" s="472">
        <v>9.8110999999999997</v>
      </c>
      <c r="E7258" s="472" t="s">
        <v>6305</v>
      </c>
      <c r="F7258" s="352"/>
    </row>
    <row r="7259" spans="1:6" s="315" customFormat="1" ht="15">
      <c r="A7259" s="472" t="s">
        <v>9776</v>
      </c>
      <c r="B7259" s="472" t="s">
        <v>9058</v>
      </c>
      <c r="C7259" s="472" t="s">
        <v>181</v>
      </c>
      <c r="D7259" s="472">
        <v>16.152999999999999</v>
      </c>
      <c r="E7259" s="472" t="s">
        <v>6305</v>
      </c>
      <c r="F7259" s="352"/>
    </row>
    <row r="7260" spans="1:6" s="315" customFormat="1" ht="15">
      <c r="A7260" s="472" t="s">
        <v>9777</v>
      </c>
      <c r="B7260" s="472" t="s">
        <v>9060</v>
      </c>
      <c r="C7260" s="472" t="s">
        <v>181</v>
      </c>
      <c r="D7260" s="472">
        <v>50.957500000000003</v>
      </c>
      <c r="E7260" s="472" t="s">
        <v>6305</v>
      </c>
      <c r="F7260" s="352"/>
    </row>
    <row r="7261" spans="1:6" s="315" customFormat="1" ht="15">
      <c r="A7261" s="472" t="s">
        <v>9778</v>
      </c>
      <c r="B7261" s="472" t="s">
        <v>9062</v>
      </c>
      <c r="C7261" s="472" t="s">
        <v>181</v>
      </c>
      <c r="D7261" s="472">
        <v>2.1583999999999999</v>
      </c>
      <c r="E7261" s="472" t="s">
        <v>6305</v>
      </c>
      <c r="F7261" s="352"/>
    </row>
    <row r="7262" spans="1:6" s="315" customFormat="1" ht="15">
      <c r="A7262" s="472" t="s">
        <v>9779</v>
      </c>
      <c r="B7262" s="472" t="s">
        <v>9064</v>
      </c>
      <c r="C7262" s="472" t="s">
        <v>181</v>
      </c>
      <c r="D7262" s="472">
        <v>3.7298</v>
      </c>
      <c r="E7262" s="472" t="s">
        <v>6305</v>
      </c>
      <c r="F7262" s="352"/>
    </row>
    <row r="7263" spans="1:6" s="315" customFormat="1" ht="15">
      <c r="A7263" s="472" t="s">
        <v>9780</v>
      </c>
      <c r="B7263" s="472" t="s">
        <v>9066</v>
      </c>
      <c r="C7263" s="472" t="s">
        <v>181</v>
      </c>
      <c r="D7263" s="472">
        <v>206.78479999999999</v>
      </c>
      <c r="E7263" s="472" t="s">
        <v>6305</v>
      </c>
      <c r="F7263" s="352"/>
    </row>
    <row r="7264" spans="1:6" s="315" customFormat="1" ht="15">
      <c r="A7264" s="472" t="s">
        <v>9781</v>
      </c>
      <c r="B7264" s="472" t="s">
        <v>9068</v>
      </c>
      <c r="C7264" s="472" t="s">
        <v>181</v>
      </c>
      <c r="D7264" s="472">
        <v>127.193</v>
      </c>
      <c r="E7264" s="472" t="s">
        <v>6305</v>
      </c>
      <c r="F7264" s="352"/>
    </row>
    <row r="7265" spans="1:6" s="315" customFormat="1" ht="15">
      <c r="A7265" s="472" t="s">
        <v>9782</v>
      </c>
      <c r="B7265" s="472" t="s">
        <v>9070</v>
      </c>
      <c r="C7265" s="472" t="s">
        <v>181</v>
      </c>
      <c r="D7265" s="472">
        <v>135.94040000000001</v>
      </c>
      <c r="E7265" s="472" t="s">
        <v>6305</v>
      </c>
      <c r="F7265" s="352"/>
    </row>
    <row r="7266" spans="1:6" s="315" customFormat="1" ht="15">
      <c r="A7266" s="472" t="s">
        <v>9783</v>
      </c>
      <c r="B7266" s="472" t="s">
        <v>9072</v>
      </c>
      <c r="C7266" s="472" t="s">
        <v>181</v>
      </c>
      <c r="D7266" s="472">
        <v>1.1206</v>
      </c>
      <c r="E7266" s="472" t="s">
        <v>6305</v>
      </c>
      <c r="F7266" s="352"/>
    </row>
    <row r="7267" spans="1:6" s="315" customFormat="1" ht="15">
      <c r="A7267" s="472" t="s">
        <v>9784</v>
      </c>
      <c r="B7267" s="472" t="s">
        <v>9074</v>
      </c>
      <c r="C7267" s="472" t="s">
        <v>181</v>
      </c>
      <c r="D7267" s="472">
        <v>8.3500000000000005E-2</v>
      </c>
      <c r="E7267" s="472" t="s">
        <v>6305</v>
      </c>
      <c r="F7267" s="352"/>
    </row>
    <row r="7268" spans="1:6" s="315" customFormat="1" ht="15">
      <c r="A7268" s="472" t="s">
        <v>9785</v>
      </c>
      <c r="B7268" s="472" t="s">
        <v>9076</v>
      </c>
      <c r="C7268" s="472" t="s">
        <v>181</v>
      </c>
      <c r="D7268" s="472">
        <v>123.1713</v>
      </c>
      <c r="E7268" s="472" t="s">
        <v>6305</v>
      </c>
      <c r="F7268" s="352"/>
    </row>
    <row r="7269" spans="1:6" s="315" customFormat="1" ht="15">
      <c r="A7269" s="472" t="s">
        <v>9786</v>
      </c>
      <c r="B7269" s="472" t="s">
        <v>9078</v>
      </c>
      <c r="C7269" s="472" t="s">
        <v>181</v>
      </c>
      <c r="D7269" s="472">
        <v>160.96770000000001</v>
      </c>
      <c r="E7269" s="472" t="s">
        <v>6305</v>
      </c>
      <c r="F7269" s="352"/>
    </row>
    <row r="7270" spans="1:6" s="315" customFormat="1" ht="15">
      <c r="A7270" s="472" t="s">
        <v>9787</v>
      </c>
      <c r="B7270" s="472" t="s">
        <v>9080</v>
      </c>
      <c r="C7270" s="472" t="s">
        <v>181</v>
      </c>
      <c r="D7270" s="472">
        <v>73.544300000000007</v>
      </c>
      <c r="E7270" s="472" t="s">
        <v>6305</v>
      </c>
      <c r="F7270" s="352"/>
    </row>
    <row r="7271" spans="1:6" s="315" customFormat="1" ht="15">
      <c r="A7271" s="472" t="s">
        <v>9788</v>
      </c>
      <c r="B7271" s="472" t="s">
        <v>9082</v>
      </c>
      <c r="C7271" s="472" t="s">
        <v>181</v>
      </c>
      <c r="D7271" s="472">
        <v>29.842199999999998</v>
      </c>
      <c r="E7271" s="472" t="s">
        <v>6305</v>
      </c>
      <c r="F7271" s="352"/>
    </row>
    <row r="7272" spans="1:6" s="315" customFormat="1" ht="15">
      <c r="A7272" s="472" t="s">
        <v>9789</v>
      </c>
      <c r="B7272" s="472" t="s">
        <v>9084</v>
      </c>
      <c r="C7272" s="472" t="s">
        <v>181</v>
      </c>
      <c r="D7272" s="472">
        <v>1.9576</v>
      </c>
      <c r="E7272" s="472" t="s">
        <v>6305</v>
      </c>
      <c r="F7272" s="352"/>
    </row>
    <row r="7273" spans="1:6" s="315" customFormat="1" ht="15">
      <c r="A7273" s="472" t="s">
        <v>9790</v>
      </c>
      <c r="B7273" s="472" t="s">
        <v>9086</v>
      </c>
      <c r="C7273" s="472" t="s">
        <v>181</v>
      </c>
      <c r="D7273" s="472">
        <v>166.6782</v>
      </c>
      <c r="E7273" s="472" t="s">
        <v>6305</v>
      </c>
      <c r="F7273" s="352"/>
    </row>
    <row r="7274" spans="1:6" s="315" customFormat="1" ht="15">
      <c r="A7274" s="472" t="s">
        <v>9791</v>
      </c>
      <c r="B7274" s="472" t="s">
        <v>9088</v>
      </c>
      <c r="C7274" s="472" t="s">
        <v>181</v>
      </c>
      <c r="D7274" s="472">
        <v>59.729799999999997</v>
      </c>
      <c r="E7274" s="472" t="s">
        <v>6305</v>
      </c>
      <c r="F7274" s="352"/>
    </row>
    <row r="7275" spans="1:6" s="315" customFormat="1" ht="15">
      <c r="A7275" s="472" t="s">
        <v>9792</v>
      </c>
      <c r="B7275" s="472" t="s">
        <v>9090</v>
      </c>
      <c r="C7275" s="472" t="s">
        <v>181</v>
      </c>
      <c r="D7275" s="472">
        <v>4.6147999999999998</v>
      </c>
      <c r="E7275" s="472" t="s">
        <v>6305</v>
      </c>
      <c r="F7275" s="352"/>
    </row>
    <row r="7276" spans="1:6" s="315" customFormat="1" ht="15">
      <c r="A7276" s="472" t="s">
        <v>9793</v>
      </c>
      <c r="B7276" s="472" t="s">
        <v>7805</v>
      </c>
      <c r="C7276" s="472" t="s">
        <v>181</v>
      </c>
      <c r="D7276" s="472">
        <v>51.259700000000002</v>
      </c>
      <c r="E7276" s="472" t="s">
        <v>6305</v>
      </c>
      <c r="F7276" s="352"/>
    </row>
    <row r="7277" spans="1:6" s="315" customFormat="1" ht="15">
      <c r="A7277" s="472" t="s">
        <v>9794</v>
      </c>
      <c r="B7277" s="472" t="s">
        <v>9093</v>
      </c>
      <c r="C7277" s="472" t="s">
        <v>181</v>
      </c>
      <c r="D7277" s="472">
        <v>19.7026</v>
      </c>
      <c r="E7277" s="472" t="s">
        <v>6305</v>
      </c>
      <c r="F7277" s="352"/>
    </row>
    <row r="7278" spans="1:6" s="315" customFormat="1" ht="15">
      <c r="A7278" s="472" t="s">
        <v>9795</v>
      </c>
      <c r="B7278" s="472" t="s">
        <v>9095</v>
      </c>
      <c r="C7278" s="472" t="s">
        <v>181</v>
      </c>
      <c r="D7278" s="472">
        <v>0.27339999999999998</v>
      </c>
      <c r="E7278" s="472" t="s">
        <v>6305</v>
      </c>
      <c r="F7278" s="352"/>
    </row>
    <row r="7279" spans="1:6" s="315" customFormat="1" ht="15">
      <c r="A7279" s="472" t="s">
        <v>9796</v>
      </c>
      <c r="B7279" s="472" t="s">
        <v>9097</v>
      </c>
      <c r="C7279" s="472" t="s">
        <v>181</v>
      </c>
      <c r="D7279" s="472">
        <v>201.95529999999999</v>
      </c>
      <c r="E7279" s="472" t="s">
        <v>6305</v>
      </c>
      <c r="F7279" s="352"/>
    </row>
    <row r="7280" spans="1:6" s="315" customFormat="1" ht="15">
      <c r="A7280" s="472" t="s">
        <v>9797</v>
      </c>
      <c r="B7280" s="472" t="s">
        <v>9099</v>
      </c>
      <c r="C7280" s="472" t="s">
        <v>181</v>
      </c>
      <c r="D7280" s="472">
        <v>66.738600000000005</v>
      </c>
      <c r="E7280" s="472" t="s">
        <v>6305</v>
      </c>
      <c r="F7280" s="352"/>
    </row>
    <row r="7281" spans="1:6" s="315" customFormat="1" ht="15">
      <c r="A7281" s="472" t="s">
        <v>9798</v>
      </c>
      <c r="B7281" s="472" t="s">
        <v>8018</v>
      </c>
      <c r="C7281" s="472" t="s">
        <v>181</v>
      </c>
      <c r="D7281" s="472">
        <v>49.4026</v>
      </c>
      <c r="E7281" s="472" t="s">
        <v>6305</v>
      </c>
      <c r="F7281" s="352"/>
    </row>
    <row r="7282" spans="1:6" s="315" customFormat="1" ht="15">
      <c r="A7282" s="472" t="s">
        <v>9799</v>
      </c>
      <c r="B7282" s="472" t="s">
        <v>9102</v>
      </c>
      <c r="C7282" s="472" t="s">
        <v>181</v>
      </c>
      <c r="D7282" s="472">
        <v>0.98250000000000004</v>
      </c>
      <c r="E7282" s="472" t="s">
        <v>6305</v>
      </c>
      <c r="F7282" s="352"/>
    </row>
    <row r="7283" spans="1:6" s="315" customFormat="1" ht="15">
      <c r="A7283" s="472" t="s">
        <v>9800</v>
      </c>
      <c r="B7283" s="472" t="s">
        <v>9104</v>
      </c>
      <c r="C7283" s="472" t="s">
        <v>181</v>
      </c>
      <c r="D7283" s="472">
        <v>869.26710000000003</v>
      </c>
      <c r="E7283" s="472" t="s">
        <v>6305</v>
      </c>
      <c r="F7283" s="352"/>
    </row>
    <row r="7284" spans="1:6" s="315" customFormat="1" ht="15">
      <c r="A7284" s="472" t="s">
        <v>9801</v>
      </c>
      <c r="B7284" s="472" t="s">
        <v>9106</v>
      </c>
      <c r="C7284" s="472" t="s">
        <v>181</v>
      </c>
      <c r="D7284" s="472">
        <v>1022.9731</v>
      </c>
      <c r="E7284" s="472" t="s">
        <v>6305</v>
      </c>
      <c r="F7284" s="352"/>
    </row>
    <row r="7285" spans="1:6" s="315" customFormat="1" ht="15">
      <c r="A7285" s="472" t="s">
        <v>9802</v>
      </c>
      <c r="B7285" s="472" t="s">
        <v>9108</v>
      </c>
      <c r="C7285" s="472" t="s">
        <v>181</v>
      </c>
      <c r="D7285" s="472">
        <v>1884.4110000000001</v>
      </c>
      <c r="E7285" s="472" t="s">
        <v>6305</v>
      </c>
      <c r="F7285" s="352"/>
    </row>
    <row r="7286" spans="1:6" s="315" customFormat="1" ht="15">
      <c r="A7286" s="472" t="s">
        <v>9803</v>
      </c>
      <c r="B7286" s="472" t="s">
        <v>9110</v>
      </c>
      <c r="C7286" s="472" t="s">
        <v>181</v>
      </c>
      <c r="D7286" s="472">
        <v>2507.6954000000001</v>
      </c>
      <c r="E7286" s="472" t="s">
        <v>6305</v>
      </c>
      <c r="F7286" s="352"/>
    </row>
    <row r="7287" spans="1:6" s="315" customFormat="1" ht="15">
      <c r="A7287" s="472" t="s">
        <v>9804</v>
      </c>
      <c r="B7287" s="472" t="s">
        <v>9112</v>
      </c>
      <c r="C7287" s="472" t="s">
        <v>181</v>
      </c>
      <c r="D7287" s="472">
        <v>2827.4268999999999</v>
      </c>
      <c r="E7287" s="472" t="s">
        <v>6305</v>
      </c>
      <c r="F7287" s="352"/>
    </row>
    <row r="7288" spans="1:6" s="315" customFormat="1" ht="15">
      <c r="A7288" s="472" t="s">
        <v>9805</v>
      </c>
      <c r="B7288" s="472" t="s">
        <v>9114</v>
      </c>
      <c r="C7288" s="472" t="s">
        <v>181</v>
      </c>
      <c r="D7288" s="472">
        <v>3297.3020999999999</v>
      </c>
      <c r="E7288" s="472" t="s">
        <v>6305</v>
      </c>
      <c r="F7288" s="352"/>
    </row>
    <row r="7289" spans="1:6" s="315" customFormat="1" ht="15">
      <c r="A7289" s="472" t="s">
        <v>9806</v>
      </c>
      <c r="B7289" s="472" t="s">
        <v>9116</v>
      </c>
      <c r="C7289" s="472" t="s">
        <v>181</v>
      </c>
      <c r="D7289" s="472">
        <v>39.996200000000002</v>
      </c>
      <c r="E7289" s="472" t="s">
        <v>6305</v>
      </c>
      <c r="F7289" s="352"/>
    </row>
    <row r="7290" spans="1:6" s="315" customFormat="1" ht="15">
      <c r="A7290" s="472" t="s">
        <v>9807</v>
      </c>
      <c r="B7290" s="472" t="s">
        <v>9118</v>
      </c>
      <c r="C7290" s="472" t="s">
        <v>181</v>
      </c>
      <c r="D7290" s="472">
        <v>41.510399999999997</v>
      </c>
      <c r="E7290" s="472" t="s">
        <v>6305</v>
      </c>
      <c r="F7290" s="352"/>
    </row>
    <row r="7291" spans="1:6" s="315" customFormat="1" ht="15">
      <c r="A7291" s="472" t="s">
        <v>9808</v>
      </c>
      <c r="B7291" s="472" t="s">
        <v>9120</v>
      </c>
      <c r="C7291" s="472" t="s">
        <v>181</v>
      </c>
      <c r="D7291" s="472">
        <v>175.53440000000001</v>
      </c>
      <c r="E7291" s="472" t="s">
        <v>6305</v>
      </c>
      <c r="F7291" s="352"/>
    </row>
    <row r="7292" spans="1:6" s="315" customFormat="1" ht="15">
      <c r="A7292" s="472" t="s">
        <v>9809</v>
      </c>
      <c r="B7292" s="472" t="s">
        <v>9122</v>
      </c>
      <c r="C7292" s="472" t="s">
        <v>181</v>
      </c>
      <c r="D7292" s="472">
        <v>151.6174</v>
      </c>
      <c r="E7292" s="472" t="s">
        <v>6305</v>
      </c>
      <c r="F7292" s="352"/>
    </row>
    <row r="7293" spans="1:6" s="315" customFormat="1" ht="15">
      <c r="A7293" s="472" t="s">
        <v>9810</v>
      </c>
      <c r="B7293" s="472" t="s">
        <v>9124</v>
      </c>
      <c r="C7293" s="472" t="s">
        <v>181</v>
      </c>
      <c r="D7293" s="472">
        <v>126.40219999999999</v>
      </c>
      <c r="E7293" s="472" t="s">
        <v>6305</v>
      </c>
      <c r="F7293" s="352"/>
    </row>
    <row r="7294" spans="1:6" s="315" customFormat="1" ht="15">
      <c r="A7294" s="472" t="s">
        <v>9811</v>
      </c>
      <c r="B7294" s="472" t="s">
        <v>9126</v>
      </c>
      <c r="C7294" s="472" t="s">
        <v>181</v>
      </c>
      <c r="D7294" s="472">
        <v>61.833300000000001</v>
      </c>
      <c r="E7294" s="472" t="s">
        <v>6305</v>
      </c>
      <c r="F7294" s="352"/>
    </row>
    <row r="7295" spans="1:6" s="315" customFormat="1" ht="15">
      <c r="A7295" s="472" t="s">
        <v>9812</v>
      </c>
      <c r="B7295" s="472" t="s">
        <v>9128</v>
      </c>
      <c r="C7295" s="472" t="s">
        <v>181</v>
      </c>
      <c r="D7295" s="472">
        <v>342.6696</v>
      </c>
      <c r="E7295" s="472" t="s">
        <v>6305</v>
      </c>
      <c r="F7295" s="352"/>
    </row>
    <row r="7296" spans="1:6" s="315" customFormat="1" ht="15">
      <c r="A7296" s="472" t="s">
        <v>9813</v>
      </c>
      <c r="B7296" s="472" t="s">
        <v>7893</v>
      </c>
      <c r="C7296" s="472" t="s">
        <v>181</v>
      </c>
      <c r="D7296" s="472">
        <v>50.3018</v>
      </c>
      <c r="E7296" s="472" t="s">
        <v>6305</v>
      </c>
      <c r="F7296" s="352"/>
    </row>
    <row r="7297" spans="1:6" s="315" customFormat="1" ht="15">
      <c r="A7297" s="472" t="s">
        <v>9814</v>
      </c>
      <c r="B7297" s="472" t="s">
        <v>9131</v>
      </c>
      <c r="C7297" s="472" t="s">
        <v>181</v>
      </c>
      <c r="D7297" s="472">
        <v>135.48609999999999</v>
      </c>
      <c r="E7297" s="472" t="s">
        <v>6305</v>
      </c>
      <c r="F7297" s="352"/>
    </row>
    <row r="7298" spans="1:6" s="315" customFormat="1" ht="15">
      <c r="A7298" s="472" t="s">
        <v>9815</v>
      </c>
      <c r="B7298" s="472" t="s">
        <v>9133</v>
      </c>
      <c r="C7298" s="472" t="s">
        <v>181</v>
      </c>
      <c r="D7298" s="472">
        <v>0.4768</v>
      </c>
      <c r="E7298" s="472" t="s">
        <v>6305</v>
      </c>
      <c r="F7298" s="352"/>
    </row>
    <row r="7299" spans="1:6" s="315" customFormat="1" ht="15">
      <c r="A7299" s="472" t="s">
        <v>9816</v>
      </c>
      <c r="B7299" s="472" t="s">
        <v>9135</v>
      </c>
      <c r="C7299" s="472" t="s">
        <v>181</v>
      </c>
      <c r="D7299" s="472">
        <v>78.176000000000002</v>
      </c>
      <c r="E7299" s="472" t="s">
        <v>6305</v>
      </c>
      <c r="F7299" s="352"/>
    </row>
    <row r="7300" spans="1:6" s="315" customFormat="1" ht="15">
      <c r="A7300" s="472" t="s">
        <v>9817</v>
      </c>
      <c r="B7300" s="472" t="s">
        <v>9137</v>
      </c>
      <c r="C7300" s="472" t="s">
        <v>181</v>
      </c>
      <c r="D7300" s="472">
        <v>32.184199999999997</v>
      </c>
      <c r="E7300" s="472" t="s">
        <v>6305</v>
      </c>
      <c r="F7300" s="352"/>
    </row>
    <row r="7301" spans="1:6" s="315" customFormat="1" ht="15">
      <c r="A7301" s="472" t="s">
        <v>9818</v>
      </c>
      <c r="B7301" s="472" t="s">
        <v>26765</v>
      </c>
      <c r="C7301" s="472" t="s">
        <v>181</v>
      </c>
      <c r="D7301" s="472">
        <v>268.94470000000001</v>
      </c>
      <c r="E7301" s="472" t="s">
        <v>6305</v>
      </c>
      <c r="F7301" s="352"/>
    </row>
    <row r="7302" spans="1:6" s="315" customFormat="1" ht="15">
      <c r="A7302" s="472" t="s">
        <v>9819</v>
      </c>
      <c r="B7302" s="472" t="s">
        <v>26766</v>
      </c>
      <c r="C7302" s="472" t="s">
        <v>181</v>
      </c>
      <c r="D7302" s="472">
        <v>304.90199999999999</v>
      </c>
      <c r="E7302" s="472" t="s">
        <v>6305</v>
      </c>
      <c r="F7302" s="352"/>
    </row>
    <row r="7303" spans="1:6" s="315" customFormat="1" ht="15">
      <c r="A7303" s="472" t="s">
        <v>9820</v>
      </c>
      <c r="B7303" s="472" t="s">
        <v>9141</v>
      </c>
      <c r="C7303" s="472" t="s">
        <v>181</v>
      </c>
      <c r="D7303" s="472">
        <v>42.590400000000002</v>
      </c>
      <c r="E7303" s="472" t="s">
        <v>6305</v>
      </c>
      <c r="F7303" s="352"/>
    </row>
    <row r="7304" spans="1:6" s="315" customFormat="1" ht="15">
      <c r="A7304" s="472" t="s">
        <v>9821</v>
      </c>
      <c r="B7304" s="472" t="s">
        <v>8019</v>
      </c>
      <c r="C7304" s="472" t="s">
        <v>181</v>
      </c>
      <c r="D7304" s="472">
        <v>36.206000000000003</v>
      </c>
      <c r="E7304" s="472" t="s">
        <v>6305</v>
      </c>
      <c r="F7304" s="352"/>
    </row>
    <row r="7305" spans="1:6" s="315" customFormat="1" ht="15">
      <c r="A7305" s="472" t="s">
        <v>9822</v>
      </c>
      <c r="B7305" s="472" t="s">
        <v>9144</v>
      </c>
      <c r="C7305" s="472" t="s">
        <v>181</v>
      </c>
      <c r="D7305" s="472">
        <v>2.3647999999999998</v>
      </c>
      <c r="E7305" s="472" t="s">
        <v>6305</v>
      </c>
      <c r="F7305" s="352"/>
    </row>
    <row r="7306" spans="1:6" s="315" customFormat="1" ht="15">
      <c r="A7306" s="472" t="s">
        <v>9823</v>
      </c>
      <c r="B7306" s="472" t="s">
        <v>9146</v>
      </c>
      <c r="C7306" s="472" t="s">
        <v>181</v>
      </c>
      <c r="D7306" s="472">
        <v>4.2915999999999999</v>
      </c>
      <c r="E7306" s="472" t="s">
        <v>6305</v>
      </c>
      <c r="F7306" s="352"/>
    </row>
    <row r="7307" spans="1:6" s="315" customFormat="1" ht="15">
      <c r="A7307" s="472" t="s">
        <v>9824</v>
      </c>
      <c r="B7307" s="472" t="s">
        <v>9148</v>
      </c>
      <c r="C7307" s="472" t="s">
        <v>181</v>
      </c>
      <c r="D7307" s="472">
        <v>5093.4111999999996</v>
      </c>
      <c r="E7307" s="472" t="s">
        <v>6305</v>
      </c>
      <c r="F7307" s="352"/>
    </row>
    <row r="7308" spans="1:6" s="315" customFormat="1" ht="15">
      <c r="A7308" s="472" t="s">
        <v>9825</v>
      </c>
      <c r="B7308" s="472" t="s">
        <v>9150</v>
      </c>
      <c r="C7308" s="472" t="s">
        <v>181</v>
      </c>
      <c r="D7308" s="472">
        <v>7179.1656999999996</v>
      </c>
      <c r="E7308" s="472" t="s">
        <v>6305</v>
      </c>
      <c r="F7308" s="352"/>
    </row>
    <row r="7309" spans="1:6" s="315" customFormat="1" ht="15">
      <c r="A7309" s="472" t="s">
        <v>9826</v>
      </c>
      <c r="B7309" s="472" t="s">
        <v>9152</v>
      </c>
      <c r="C7309" s="472" t="s">
        <v>181</v>
      </c>
      <c r="D7309" s="472">
        <v>9262.5666999999994</v>
      </c>
      <c r="E7309" s="472" t="s">
        <v>6305</v>
      </c>
      <c r="F7309" s="352"/>
    </row>
    <row r="7310" spans="1:6" s="315" customFormat="1" ht="15">
      <c r="A7310" s="472" t="s">
        <v>9827</v>
      </c>
      <c r="B7310" s="472" t="s">
        <v>9154</v>
      </c>
      <c r="C7310" s="472" t="s">
        <v>181</v>
      </c>
      <c r="D7310" s="472">
        <v>1.6046</v>
      </c>
      <c r="E7310" s="472" t="s">
        <v>6305</v>
      </c>
      <c r="F7310" s="352"/>
    </row>
    <row r="7311" spans="1:6" s="315" customFormat="1" ht="15">
      <c r="A7311" s="472" t="s">
        <v>9828</v>
      </c>
      <c r="B7311" s="472" t="s">
        <v>7909</v>
      </c>
      <c r="C7311" s="472" t="s">
        <v>181</v>
      </c>
      <c r="D7311" s="472">
        <v>0.2707</v>
      </c>
      <c r="E7311" s="472" t="s">
        <v>6305</v>
      </c>
      <c r="F7311" s="352"/>
    </row>
    <row r="7312" spans="1:6" s="315" customFormat="1" ht="15">
      <c r="A7312" s="472" t="s">
        <v>9829</v>
      </c>
      <c r="B7312" s="472" t="s">
        <v>9157</v>
      </c>
      <c r="C7312" s="472" t="s">
        <v>181</v>
      </c>
      <c r="D7312" s="472">
        <v>39.819899999999997</v>
      </c>
      <c r="E7312" s="472" t="s">
        <v>6305</v>
      </c>
      <c r="F7312" s="352"/>
    </row>
    <row r="7313" spans="1:6" s="315" customFormat="1" ht="15">
      <c r="A7313" s="472" t="s">
        <v>9830</v>
      </c>
      <c r="B7313" s="472" t="s">
        <v>9159</v>
      </c>
      <c r="C7313" s="472" t="s">
        <v>181</v>
      </c>
      <c r="D7313" s="472">
        <v>5.1139999999999999</v>
      </c>
      <c r="E7313" s="472" t="s">
        <v>6305</v>
      </c>
      <c r="F7313" s="352"/>
    </row>
    <row r="7314" spans="1:6" s="315" customFormat="1" ht="15">
      <c r="A7314" s="472" t="s">
        <v>9831</v>
      </c>
      <c r="B7314" s="472" t="s">
        <v>9161</v>
      </c>
      <c r="C7314" s="472" t="s">
        <v>181</v>
      </c>
      <c r="D7314" s="472">
        <v>5.8394000000000004</v>
      </c>
      <c r="E7314" s="472" t="s">
        <v>6305</v>
      </c>
      <c r="F7314" s="352"/>
    </row>
    <row r="7315" spans="1:6" s="315" customFormat="1" ht="15">
      <c r="A7315" s="472" t="s">
        <v>9832</v>
      </c>
      <c r="B7315" s="472" t="s">
        <v>9163</v>
      </c>
      <c r="C7315" s="472" t="s">
        <v>181</v>
      </c>
      <c r="D7315" s="472">
        <v>6.3547000000000002</v>
      </c>
      <c r="E7315" s="472" t="s">
        <v>6305</v>
      </c>
      <c r="F7315" s="352"/>
    </row>
    <row r="7316" spans="1:6" s="315" customFormat="1" ht="15">
      <c r="A7316" s="472" t="s">
        <v>9833</v>
      </c>
      <c r="B7316" s="472" t="s">
        <v>9165</v>
      </c>
      <c r="C7316" s="472" t="s">
        <v>181</v>
      </c>
      <c r="D7316" s="472">
        <v>133.38050000000001</v>
      </c>
      <c r="E7316" s="472" t="s">
        <v>6305</v>
      </c>
      <c r="F7316" s="352"/>
    </row>
    <row r="7317" spans="1:6" s="315" customFormat="1" ht="15">
      <c r="A7317" s="472" t="s">
        <v>9834</v>
      </c>
      <c r="B7317" s="472" t="s">
        <v>9167</v>
      </c>
      <c r="C7317" s="472" t="s">
        <v>181</v>
      </c>
      <c r="D7317" s="472">
        <v>155.56899999999999</v>
      </c>
      <c r="E7317" s="472" t="s">
        <v>6305</v>
      </c>
      <c r="F7317" s="352"/>
    </row>
    <row r="7318" spans="1:6" s="315" customFormat="1" ht="15">
      <c r="A7318" s="472" t="s">
        <v>9835</v>
      </c>
      <c r="B7318" s="472" t="s">
        <v>9169</v>
      </c>
      <c r="C7318" s="472" t="s">
        <v>181</v>
      </c>
      <c r="D7318" s="472">
        <v>230.4333</v>
      </c>
      <c r="E7318" s="472" t="s">
        <v>6305</v>
      </c>
      <c r="F7318" s="352"/>
    </row>
    <row r="7319" spans="1:6" s="315" customFormat="1" ht="15">
      <c r="A7319" s="472" t="s">
        <v>9836</v>
      </c>
      <c r="B7319" s="472" t="s">
        <v>9171</v>
      </c>
      <c r="C7319" s="472" t="s">
        <v>181</v>
      </c>
      <c r="D7319" s="472">
        <v>296.22280000000001</v>
      </c>
      <c r="E7319" s="472" t="s">
        <v>6305</v>
      </c>
      <c r="F7319" s="352"/>
    </row>
    <row r="7320" spans="1:6" s="315" customFormat="1" ht="15">
      <c r="A7320" s="472" t="s">
        <v>9837</v>
      </c>
      <c r="B7320" s="472" t="s">
        <v>9173</v>
      </c>
      <c r="C7320" s="472" t="s">
        <v>181</v>
      </c>
      <c r="D7320" s="472">
        <v>165.09790000000001</v>
      </c>
      <c r="E7320" s="472" t="s">
        <v>6305</v>
      </c>
      <c r="F7320" s="352"/>
    </row>
    <row r="7321" spans="1:6" s="315" customFormat="1" ht="15">
      <c r="A7321" s="472" t="s">
        <v>9838</v>
      </c>
      <c r="B7321" s="472" t="s">
        <v>9175</v>
      </c>
      <c r="C7321" s="472" t="s">
        <v>181</v>
      </c>
      <c r="D7321" s="472">
        <v>3.6324999999999998</v>
      </c>
      <c r="E7321" s="472" t="s">
        <v>6305</v>
      </c>
      <c r="F7321" s="352"/>
    </row>
    <row r="7322" spans="1:6" s="315" customFormat="1" ht="15">
      <c r="A7322" s="472" t="s">
        <v>9839</v>
      </c>
      <c r="B7322" s="472" t="s">
        <v>9177</v>
      </c>
      <c r="C7322" s="472" t="s">
        <v>181</v>
      </c>
      <c r="D7322" s="472">
        <v>5.8975</v>
      </c>
      <c r="E7322" s="472" t="s">
        <v>6305</v>
      </c>
      <c r="F7322" s="352"/>
    </row>
    <row r="7323" spans="1:6" s="315" customFormat="1" ht="15">
      <c r="A7323" s="472" t="s">
        <v>9840</v>
      </c>
      <c r="B7323" s="472" t="s">
        <v>9179</v>
      </c>
      <c r="C7323" s="472" t="s">
        <v>181</v>
      </c>
      <c r="D7323" s="472">
        <v>81.271100000000004</v>
      </c>
      <c r="E7323" s="472" t="s">
        <v>6305</v>
      </c>
      <c r="F7323" s="352"/>
    </row>
    <row r="7324" spans="1:6" s="315" customFormat="1" ht="15">
      <c r="A7324" s="472" t="s">
        <v>9841</v>
      </c>
      <c r="B7324" s="472" t="s">
        <v>9181</v>
      </c>
      <c r="C7324" s="472" t="s">
        <v>181</v>
      </c>
      <c r="D7324" s="472">
        <v>0.25800000000000001</v>
      </c>
      <c r="E7324" s="472" t="s">
        <v>6305</v>
      </c>
      <c r="F7324" s="352"/>
    </row>
    <row r="7325" spans="1:6" s="315" customFormat="1" ht="15">
      <c r="A7325" s="472" t="s">
        <v>9842</v>
      </c>
      <c r="B7325" s="472" t="s">
        <v>9183</v>
      </c>
      <c r="C7325" s="472" t="s">
        <v>181</v>
      </c>
      <c r="D7325" s="472">
        <v>5.3182</v>
      </c>
      <c r="E7325" s="472" t="s">
        <v>6305</v>
      </c>
      <c r="F7325" s="352"/>
    </row>
    <row r="7326" spans="1:6" s="315" customFormat="1" ht="15">
      <c r="A7326" s="472" t="s">
        <v>9843</v>
      </c>
      <c r="B7326" s="472" t="s">
        <v>9185</v>
      </c>
      <c r="C7326" s="472" t="s">
        <v>181</v>
      </c>
      <c r="D7326" s="472">
        <v>0.52929999999999999</v>
      </c>
      <c r="E7326" s="472" t="s">
        <v>6305</v>
      </c>
      <c r="F7326" s="352"/>
    </row>
    <row r="7327" spans="1:6" s="315" customFormat="1" ht="15">
      <c r="A7327" s="472" t="s">
        <v>9844</v>
      </c>
      <c r="B7327" s="472" t="s">
        <v>9187</v>
      </c>
      <c r="C7327" s="472" t="s">
        <v>181</v>
      </c>
      <c r="D7327" s="472">
        <v>26.1873</v>
      </c>
      <c r="E7327" s="472" t="s">
        <v>6305</v>
      </c>
      <c r="F7327" s="352"/>
    </row>
    <row r="7328" spans="1:6" s="315" customFormat="1" ht="15">
      <c r="A7328" s="472" t="s">
        <v>9845</v>
      </c>
      <c r="B7328" s="472" t="s">
        <v>7748</v>
      </c>
      <c r="C7328" s="472" t="s">
        <v>181</v>
      </c>
      <c r="D7328" s="472">
        <v>10.2575</v>
      </c>
      <c r="E7328" s="472" t="s">
        <v>6305</v>
      </c>
      <c r="F7328" s="352"/>
    </row>
    <row r="7329" spans="1:6" s="315" customFormat="1" ht="15">
      <c r="A7329" s="472" t="s">
        <v>9846</v>
      </c>
      <c r="B7329" s="472" t="s">
        <v>7892</v>
      </c>
      <c r="C7329" s="472" t="s">
        <v>181</v>
      </c>
      <c r="D7329" s="472">
        <v>153.06559999999999</v>
      </c>
      <c r="E7329" s="472" t="s">
        <v>6305</v>
      </c>
      <c r="F7329" s="352"/>
    </row>
    <row r="7330" spans="1:6" s="315" customFormat="1" ht="15">
      <c r="A7330" s="472" t="s">
        <v>9847</v>
      </c>
      <c r="B7330" s="472" t="s">
        <v>9191</v>
      </c>
      <c r="C7330" s="472" t="s">
        <v>181</v>
      </c>
      <c r="D7330" s="472">
        <v>137.2603</v>
      </c>
      <c r="E7330" s="472" t="s">
        <v>6305</v>
      </c>
      <c r="F7330" s="352"/>
    </row>
    <row r="7331" spans="1:6" s="315" customFormat="1" ht="15">
      <c r="A7331" s="472" t="s">
        <v>9848</v>
      </c>
      <c r="B7331" s="472" t="s">
        <v>9193</v>
      </c>
      <c r="C7331" s="472" t="s">
        <v>181</v>
      </c>
      <c r="D7331" s="472">
        <v>37.159799999999997</v>
      </c>
      <c r="E7331" s="472" t="s">
        <v>6305</v>
      </c>
      <c r="F7331" s="352"/>
    </row>
    <row r="7332" spans="1:6" s="315" customFormat="1" ht="15">
      <c r="A7332" s="472" t="s">
        <v>9849</v>
      </c>
      <c r="B7332" s="472" t="s">
        <v>9195</v>
      </c>
      <c r="C7332" s="472" t="s">
        <v>181</v>
      </c>
      <c r="D7332" s="472">
        <v>134.72999999999999</v>
      </c>
      <c r="E7332" s="472" t="s">
        <v>6305</v>
      </c>
      <c r="F7332" s="352"/>
    </row>
    <row r="7333" spans="1:6" s="315" customFormat="1" ht="15">
      <c r="A7333" s="472" t="s">
        <v>9850</v>
      </c>
      <c r="B7333" s="472" t="s">
        <v>9197</v>
      </c>
      <c r="C7333" s="472" t="s">
        <v>181</v>
      </c>
      <c r="D7333" s="472">
        <v>134.72999999999999</v>
      </c>
      <c r="E7333" s="472" t="s">
        <v>6305</v>
      </c>
      <c r="F7333" s="352"/>
    </row>
    <row r="7334" spans="1:6" s="315" customFormat="1" ht="15">
      <c r="A7334" s="472" t="s">
        <v>9851</v>
      </c>
      <c r="B7334" s="472" t="s">
        <v>9199</v>
      </c>
      <c r="C7334" s="472" t="s">
        <v>181</v>
      </c>
      <c r="D7334" s="472">
        <v>135.44759999999999</v>
      </c>
      <c r="E7334" s="472" t="s">
        <v>6305</v>
      </c>
      <c r="F7334" s="352"/>
    </row>
    <row r="7335" spans="1:6" s="315" customFormat="1" ht="15">
      <c r="A7335" s="472" t="s">
        <v>9852</v>
      </c>
      <c r="B7335" s="472" t="s">
        <v>9201</v>
      </c>
      <c r="C7335" s="472" t="s">
        <v>181</v>
      </c>
      <c r="D7335" s="472">
        <v>134.18709999999999</v>
      </c>
      <c r="E7335" s="472" t="s">
        <v>6305</v>
      </c>
      <c r="F7335" s="352"/>
    </row>
    <row r="7336" spans="1:6" s="315" customFormat="1" ht="15">
      <c r="A7336" s="472" t="s">
        <v>9853</v>
      </c>
      <c r="B7336" s="472" t="s">
        <v>9203</v>
      </c>
      <c r="C7336" s="472" t="s">
        <v>181</v>
      </c>
      <c r="D7336" s="472">
        <v>134.18709999999999</v>
      </c>
      <c r="E7336" s="472" t="s">
        <v>6305</v>
      </c>
      <c r="F7336" s="352"/>
    </row>
    <row r="7337" spans="1:6" s="315" customFormat="1" ht="15">
      <c r="A7337" s="472" t="s">
        <v>9854</v>
      </c>
      <c r="B7337" s="472" t="s">
        <v>9205</v>
      </c>
      <c r="C7337" s="472" t="s">
        <v>181</v>
      </c>
      <c r="D7337" s="472">
        <v>134.18709999999999</v>
      </c>
      <c r="E7337" s="472" t="s">
        <v>6305</v>
      </c>
      <c r="F7337" s="352"/>
    </row>
    <row r="7338" spans="1:6" s="315" customFormat="1" ht="15">
      <c r="A7338" s="472" t="s">
        <v>9855</v>
      </c>
      <c r="B7338" s="472" t="s">
        <v>9207</v>
      </c>
      <c r="C7338" s="472" t="s">
        <v>181</v>
      </c>
      <c r="D7338" s="472">
        <v>25.118200000000002</v>
      </c>
      <c r="E7338" s="472" t="s">
        <v>6305</v>
      </c>
      <c r="F7338" s="352"/>
    </row>
    <row r="7339" spans="1:6" s="315" customFormat="1" ht="15">
      <c r="A7339" s="472" t="s">
        <v>9856</v>
      </c>
      <c r="B7339" s="472" t="s">
        <v>9209</v>
      </c>
      <c r="C7339" s="472" t="s">
        <v>181</v>
      </c>
      <c r="D7339" s="472">
        <v>131.49590000000001</v>
      </c>
      <c r="E7339" s="472" t="s">
        <v>6305</v>
      </c>
      <c r="F7339" s="352"/>
    </row>
    <row r="7340" spans="1:6" s="315" customFormat="1" ht="15">
      <c r="A7340" s="472" t="s">
        <v>9857</v>
      </c>
      <c r="B7340" s="472" t="s">
        <v>9211</v>
      </c>
      <c r="C7340" s="472" t="s">
        <v>181</v>
      </c>
      <c r="D7340" s="472">
        <v>7.6109</v>
      </c>
      <c r="E7340" s="472" t="s">
        <v>6305</v>
      </c>
      <c r="F7340" s="352"/>
    </row>
    <row r="7341" spans="1:6" s="315" customFormat="1" ht="15">
      <c r="A7341" s="472" t="s">
        <v>9858</v>
      </c>
      <c r="B7341" s="472" t="s">
        <v>7766</v>
      </c>
      <c r="C7341" s="472" t="s">
        <v>181</v>
      </c>
      <c r="D7341" s="472">
        <v>0.49430000000000002</v>
      </c>
      <c r="E7341" s="472" t="s">
        <v>6305</v>
      </c>
      <c r="F7341" s="352"/>
    </row>
    <row r="7342" spans="1:6" s="315" customFormat="1" ht="15">
      <c r="A7342" s="472" t="s">
        <v>26779</v>
      </c>
      <c r="B7342" s="472" t="s">
        <v>26768</v>
      </c>
      <c r="C7342" s="472" t="s">
        <v>181</v>
      </c>
      <c r="D7342" s="472">
        <v>94.139200000000002</v>
      </c>
      <c r="E7342" s="472" t="s">
        <v>6305</v>
      </c>
      <c r="F7342" s="352"/>
    </row>
    <row r="7343" spans="1:6" s="315" customFormat="1" ht="15">
      <c r="A7343" s="472" t="s">
        <v>9859</v>
      </c>
      <c r="B7343" s="472" t="s">
        <v>9214</v>
      </c>
      <c r="C7343" s="472" t="s">
        <v>181</v>
      </c>
      <c r="D7343" s="472">
        <v>1.4642999999999999</v>
      </c>
      <c r="E7343" s="472" t="s">
        <v>6305</v>
      </c>
      <c r="F7343" s="352"/>
    </row>
    <row r="7344" spans="1:6" s="315" customFormat="1" ht="15">
      <c r="A7344" s="472" t="s">
        <v>9860</v>
      </c>
      <c r="B7344" s="472" t="s">
        <v>9216</v>
      </c>
      <c r="C7344" s="472" t="s">
        <v>181</v>
      </c>
      <c r="D7344" s="472">
        <v>23.959399999999999</v>
      </c>
      <c r="E7344" s="472" t="s">
        <v>6305</v>
      </c>
      <c r="F7344" s="352"/>
    </row>
    <row r="7345" spans="1:6" s="315" customFormat="1" ht="15">
      <c r="A7345" s="472" t="s">
        <v>9861</v>
      </c>
      <c r="B7345" s="472" t="s">
        <v>9218</v>
      </c>
      <c r="C7345" s="472" t="s">
        <v>181</v>
      </c>
      <c r="D7345" s="472">
        <v>86.884399999999999</v>
      </c>
      <c r="E7345" s="472" t="s">
        <v>6305</v>
      </c>
      <c r="F7345" s="352"/>
    </row>
    <row r="7346" spans="1:6" s="315" customFormat="1" ht="15">
      <c r="A7346" s="472" t="s">
        <v>9862</v>
      </c>
      <c r="B7346" s="472" t="s">
        <v>9220</v>
      </c>
      <c r="C7346" s="472" t="s">
        <v>181</v>
      </c>
      <c r="D7346" s="472">
        <v>61.732900000000001</v>
      </c>
      <c r="E7346" s="472" t="s">
        <v>6305</v>
      </c>
      <c r="F7346" s="352"/>
    </row>
    <row r="7347" spans="1:6" s="315" customFormat="1" ht="15">
      <c r="A7347" s="472" t="s">
        <v>9863</v>
      </c>
      <c r="B7347" s="472" t="s">
        <v>9222</v>
      </c>
      <c r="C7347" s="472" t="s">
        <v>181</v>
      </c>
      <c r="D7347" s="472">
        <v>0.2954</v>
      </c>
      <c r="E7347" s="472" t="s">
        <v>6305</v>
      </c>
      <c r="F7347" s="352"/>
    </row>
    <row r="7348" spans="1:6" s="315" customFormat="1" ht="15">
      <c r="A7348" s="472" t="s">
        <v>9864</v>
      </c>
      <c r="B7348" s="472" t="s">
        <v>9224</v>
      </c>
      <c r="C7348" s="472" t="s">
        <v>181</v>
      </c>
      <c r="D7348" s="472">
        <v>38.447200000000002</v>
      </c>
      <c r="E7348" s="472" t="s">
        <v>6305</v>
      </c>
      <c r="F7348" s="352"/>
    </row>
    <row r="7349" spans="1:6" s="315" customFormat="1" ht="15">
      <c r="A7349" s="472" t="s">
        <v>9865</v>
      </c>
      <c r="B7349" s="472" t="s">
        <v>9226</v>
      </c>
      <c r="C7349" s="472" t="s">
        <v>181</v>
      </c>
      <c r="D7349" s="472">
        <v>19.458400000000001</v>
      </c>
      <c r="E7349" s="472" t="s">
        <v>6305</v>
      </c>
      <c r="F7349" s="352"/>
    </row>
    <row r="7350" spans="1:6" s="315" customFormat="1" ht="15">
      <c r="A7350" s="472" t="s">
        <v>9866</v>
      </c>
      <c r="B7350" s="472" t="s">
        <v>9228</v>
      </c>
      <c r="C7350" s="472" t="s">
        <v>181</v>
      </c>
      <c r="D7350" s="472">
        <v>316.6832</v>
      </c>
      <c r="E7350" s="472" t="s">
        <v>6305</v>
      </c>
      <c r="F7350" s="352"/>
    </row>
    <row r="7351" spans="1:6" s="315" customFormat="1" ht="15">
      <c r="A7351" s="472" t="s">
        <v>9867</v>
      </c>
      <c r="B7351" s="472" t="s">
        <v>9230</v>
      </c>
      <c r="C7351" s="472" t="s">
        <v>181</v>
      </c>
      <c r="D7351" s="472">
        <v>37.160699999999999</v>
      </c>
      <c r="E7351" s="472" t="s">
        <v>6305</v>
      </c>
      <c r="F7351" s="352"/>
    </row>
    <row r="7352" spans="1:6" s="315" customFormat="1" ht="15">
      <c r="A7352" s="472" t="s">
        <v>9868</v>
      </c>
      <c r="B7352" s="472" t="s">
        <v>7809</v>
      </c>
      <c r="C7352" s="472" t="s">
        <v>181</v>
      </c>
      <c r="D7352" s="472">
        <v>34.5184</v>
      </c>
      <c r="E7352" s="472" t="s">
        <v>6305</v>
      </c>
      <c r="F7352" s="352"/>
    </row>
    <row r="7353" spans="1:6" s="315" customFormat="1" ht="15">
      <c r="A7353" s="472" t="s">
        <v>9869</v>
      </c>
      <c r="B7353" s="472" t="s">
        <v>9233</v>
      </c>
      <c r="C7353" s="472" t="s">
        <v>181</v>
      </c>
      <c r="D7353" s="472">
        <v>54.892099999999999</v>
      </c>
      <c r="E7353" s="472" t="s">
        <v>6305</v>
      </c>
      <c r="F7353" s="352"/>
    </row>
    <row r="7354" spans="1:6" s="315" customFormat="1" ht="15">
      <c r="A7354" s="472" t="s">
        <v>9870</v>
      </c>
      <c r="B7354" s="472" t="s">
        <v>9235</v>
      </c>
      <c r="C7354" s="472" t="s">
        <v>181</v>
      </c>
      <c r="D7354" s="472">
        <v>341.94330000000002</v>
      </c>
      <c r="E7354" s="472" t="s">
        <v>6305</v>
      </c>
      <c r="F7354" s="352"/>
    </row>
    <row r="7355" spans="1:6" s="315" customFormat="1" ht="15">
      <c r="A7355" s="472" t="s">
        <v>9871</v>
      </c>
      <c r="B7355" s="472" t="s">
        <v>7774</v>
      </c>
      <c r="C7355" s="472" t="s">
        <v>181</v>
      </c>
      <c r="D7355" s="472">
        <v>32.244199999999999</v>
      </c>
      <c r="E7355" s="472" t="s">
        <v>6305</v>
      </c>
      <c r="F7355" s="352"/>
    </row>
    <row r="7356" spans="1:6" s="315" customFormat="1" ht="15">
      <c r="A7356" s="472" t="s">
        <v>9872</v>
      </c>
      <c r="B7356" s="472" t="s">
        <v>7769</v>
      </c>
      <c r="C7356" s="472" t="s">
        <v>181</v>
      </c>
      <c r="D7356" s="472">
        <v>21.8096</v>
      </c>
      <c r="E7356" s="472" t="s">
        <v>6305</v>
      </c>
      <c r="F7356" s="352"/>
    </row>
    <row r="7357" spans="1:6" s="315" customFormat="1" ht="15">
      <c r="A7357" s="472" t="s">
        <v>9873</v>
      </c>
      <c r="B7357" s="472" t="s">
        <v>9239</v>
      </c>
      <c r="C7357" s="472" t="s">
        <v>181</v>
      </c>
      <c r="D7357" s="472">
        <v>20.378799999999998</v>
      </c>
      <c r="E7357" s="472" t="s">
        <v>6305</v>
      </c>
      <c r="F7357" s="352"/>
    </row>
    <row r="7358" spans="1:6" s="315" customFormat="1" ht="15">
      <c r="A7358" s="472" t="s">
        <v>9874</v>
      </c>
      <c r="B7358" s="472" t="s">
        <v>9241</v>
      </c>
      <c r="C7358" s="472" t="s">
        <v>181</v>
      </c>
      <c r="D7358" s="472">
        <v>39.799199999999999</v>
      </c>
      <c r="E7358" s="472" t="s">
        <v>6305</v>
      </c>
      <c r="F7358" s="352"/>
    </row>
    <row r="7359" spans="1:6" s="315" customFormat="1" ht="15">
      <c r="A7359" s="472" t="s">
        <v>9875</v>
      </c>
      <c r="B7359" s="472" t="s">
        <v>9243</v>
      </c>
      <c r="C7359" s="472" t="s">
        <v>181</v>
      </c>
      <c r="D7359" s="472">
        <v>116.7552</v>
      </c>
      <c r="E7359" s="472" t="s">
        <v>6305</v>
      </c>
      <c r="F7359" s="352"/>
    </row>
    <row r="7360" spans="1:6" s="315" customFormat="1" ht="15">
      <c r="A7360" s="472" t="s">
        <v>9876</v>
      </c>
      <c r="B7360" s="472" t="s">
        <v>9245</v>
      </c>
      <c r="C7360" s="472" t="s">
        <v>181</v>
      </c>
      <c r="D7360" s="472">
        <v>20.3338</v>
      </c>
      <c r="E7360" s="472" t="s">
        <v>6305</v>
      </c>
      <c r="F7360" s="352"/>
    </row>
    <row r="7361" spans="1:6" s="315" customFormat="1" ht="15">
      <c r="A7361" s="472" t="s">
        <v>9877</v>
      </c>
      <c r="B7361" s="472" t="s">
        <v>9247</v>
      </c>
      <c r="C7361" s="472" t="s">
        <v>181</v>
      </c>
      <c r="D7361" s="472">
        <v>21.394100000000002</v>
      </c>
      <c r="E7361" s="472" t="s">
        <v>6305</v>
      </c>
      <c r="F7361" s="352"/>
    </row>
    <row r="7362" spans="1:6" s="315" customFormat="1" ht="15">
      <c r="A7362" s="472" t="s">
        <v>9878</v>
      </c>
      <c r="B7362" s="472" t="s">
        <v>9249</v>
      </c>
      <c r="C7362" s="472" t="s">
        <v>181</v>
      </c>
      <c r="D7362" s="472">
        <v>1.6046</v>
      </c>
      <c r="E7362" s="472" t="s">
        <v>6305</v>
      </c>
      <c r="F7362" s="352"/>
    </row>
    <row r="7363" spans="1:6" s="315" customFormat="1" ht="15">
      <c r="A7363" s="472" t="s">
        <v>9879</v>
      </c>
      <c r="B7363" s="472" t="s">
        <v>9251</v>
      </c>
      <c r="C7363" s="472" t="s">
        <v>181</v>
      </c>
      <c r="D7363" s="472">
        <v>24.499700000000001</v>
      </c>
      <c r="E7363" s="472" t="s">
        <v>6305</v>
      </c>
      <c r="F7363" s="352"/>
    </row>
    <row r="7364" spans="1:6" s="315" customFormat="1" ht="15">
      <c r="A7364" s="472" t="s">
        <v>9880</v>
      </c>
      <c r="B7364" s="472" t="s">
        <v>9253</v>
      </c>
      <c r="C7364" s="472" t="s">
        <v>181</v>
      </c>
      <c r="D7364" s="472">
        <v>19.671800000000001</v>
      </c>
      <c r="E7364" s="472" t="s">
        <v>6305</v>
      </c>
      <c r="F7364" s="352"/>
    </row>
    <row r="7365" spans="1:6" s="315" customFormat="1" ht="15">
      <c r="A7365" s="472" t="s">
        <v>9881</v>
      </c>
      <c r="B7365" s="472" t="s">
        <v>9255</v>
      </c>
      <c r="C7365" s="472" t="s">
        <v>181</v>
      </c>
      <c r="D7365" s="472">
        <v>19.976700000000001</v>
      </c>
      <c r="E7365" s="472" t="s">
        <v>6305</v>
      </c>
      <c r="F7365" s="352"/>
    </row>
    <row r="7366" spans="1:6" s="315" customFormat="1" ht="15">
      <c r="A7366" s="472" t="s">
        <v>9882</v>
      </c>
      <c r="B7366" s="472" t="s">
        <v>9257</v>
      </c>
      <c r="C7366" s="472" t="s">
        <v>181</v>
      </c>
      <c r="D7366" s="472">
        <v>19.3567</v>
      </c>
      <c r="E7366" s="472" t="s">
        <v>6305</v>
      </c>
      <c r="F7366" s="352"/>
    </row>
    <row r="7367" spans="1:6" s="315" customFormat="1" ht="15">
      <c r="A7367" s="472" t="s">
        <v>9883</v>
      </c>
      <c r="B7367" s="472" t="s">
        <v>9259</v>
      </c>
      <c r="C7367" s="472" t="s">
        <v>181</v>
      </c>
      <c r="D7367" s="472">
        <v>21.018599999999999</v>
      </c>
      <c r="E7367" s="472" t="s">
        <v>6305</v>
      </c>
      <c r="F7367" s="352"/>
    </row>
    <row r="7368" spans="1:6" s="315" customFormat="1" ht="15">
      <c r="A7368" s="472" t="s">
        <v>9884</v>
      </c>
      <c r="B7368" s="472" t="s">
        <v>9261</v>
      </c>
      <c r="C7368" s="472" t="s">
        <v>181</v>
      </c>
      <c r="D7368" s="472">
        <v>896.49379999999996</v>
      </c>
      <c r="E7368" s="472" t="s">
        <v>6305</v>
      </c>
      <c r="F7368" s="352"/>
    </row>
    <row r="7369" spans="1:6" s="315" customFormat="1" ht="15">
      <c r="A7369" s="472" t="s">
        <v>9885</v>
      </c>
      <c r="B7369" s="472" t="s">
        <v>9263</v>
      </c>
      <c r="C7369" s="472" t="s">
        <v>181</v>
      </c>
      <c r="D7369" s="472">
        <v>463.13799999999998</v>
      </c>
      <c r="E7369" s="472" t="s">
        <v>6305</v>
      </c>
      <c r="F7369" s="352"/>
    </row>
    <row r="7370" spans="1:6" s="315" customFormat="1" ht="15">
      <c r="A7370" s="472" t="s">
        <v>9886</v>
      </c>
      <c r="B7370" s="472" t="s">
        <v>9265</v>
      </c>
      <c r="C7370" s="472" t="s">
        <v>181</v>
      </c>
      <c r="D7370" s="472">
        <v>167.37190000000001</v>
      </c>
      <c r="E7370" s="472" t="s">
        <v>6305</v>
      </c>
      <c r="F7370" s="352"/>
    </row>
    <row r="7371" spans="1:6" s="315" customFormat="1" ht="15">
      <c r="A7371" s="472" t="s">
        <v>9887</v>
      </c>
      <c r="B7371" s="472" t="s">
        <v>9267</v>
      </c>
      <c r="C7371" s="472" t="s">
        <v>181</v>
      </c>
      <c r="D7371" s="472">
        <v>35.698799999999999</v>
      </c>
      <c r="E7371" s="472" t="s">
        <v>6305</v>
      </c>
      <c r="F7371" s="352"/>
    </row>
    <row r="7372" spans="1:6" s="315" customFormat="1" ht="15">
      <c r="A7372" s="472" t="s">
        <v>9888</v>
      </c>
      <c r="B7372" s="472" t="s">
        <v>7773</v>
      </c>
      <c r="C7372" s="472" t="s">
        <v>181</v>
      </c>
      <c r="D7372" s="472">
        <v>6.9099999999999995E-2</v>
      </c>
      <c r="E7372" s="472" t="s">
        <v>6305</v>
      </c>
      <c r="F7372" s="352"/>
    </row>
    <row r="7373" spans="1:6" s="315" customFormat="1" ht="15">
      <c r="A7373" s="472" t="s">
        <v>9889</v>
      </c>
      <c r="B7373" s="472" t="s">
        <v>9270</v>
      </c>
      <c r="C7373" s="472" t="s">
        <v>181</v>
      </c>
      <c r="D7373" s="472">
        <v>399.27190000000002</v>
      </c>
      <c r="E7373" s="472" t="s">
        <v>6305</v>
      </c>
      <c r="F7373" s="352"/>
    </row>
    <row r="7374" spans="1:6" s="315" customFormat="1" ht="15">
      <c r="A7374" s="472" t="s">
        <v>9890</v>
      </c>
      <c r="B7374" s="472" t="s">
        <v>7757</v>
      </c>
      <c r="C7374" s="472" t="s">
        <v>181</v>
      </c>
      <c r="D7374" s="472">
        <v>0.1109</v>
      </c>
      <c r="E7374" s="472" t="s">
        <v>6305</v>
      </c>
      <c r="F7374" s="352"/>
    </row>
    <row r="7375" spans="1:6" s="315" customFormat="1" ht="15">
      <c r="A7375" s="472" t="s">
        <v>9891</v>
      </c>
      <c r="B7375" s="472" t="s">
        <v>9273</v>
      </c>
      <c r="C7375" s="472" t="s">
        <v>181</v>
      </c>
      <c r="D7375" s="472">
        <v>35.536900000000003</v>
      </c>
      <c r="E7375" s="472" t="s">
        <v>6305</v>
      </c>
      <c r="F7375" s="352"/>
    </row>
    <row r="7376" spans="1:6" s="315" customFormat="1" ht="15">
      <c r="A7376" s="472" t="s">
        <v>9892</v>
      </c>
      <c r="B7376" s="472" t="s">
        <v>8020</v>
      </c>
      <c r="C7376" s="472" t="s">
        <v>181</v>
      </c>
      <c r="D7376" s="472">
        <v>36.196399999999997</v>
      </c>
      <c r="E7376" s="472" t="s">
        <v>6305</v>
      </c>
      <c r="F7376" s="352"/>
    </row>
    <row r="7377" spans="1:6" s="315" customFormat="1" ht="15">
      <c r="A7377" s="472" t="s">
        <v>9893</v>
      </c>
      <c r="B7377" s="472" t="s">
        <v>9276</v>
      </c>
      <c r="C7377" s="472" t="s">
        <v>181</v>
      </c>
      <c r="D7377" s="472">
        <v>36.952199999999998</v>
      </c>
      <c r="E7377" s="472" t="s">
        <v>6305</v>
      </c>
      <c r="F7377" s="352"/>
    </row>
    <row r="7378" spans="1:6" s="315" customFormat="1" ht="15">
      <c r="A7378" s="472" t="s">
        <v>9894</v>
      </c>
      <c r="B7378" s="472" t="s">
        <v>9278</v>
      </c>
      <c r="C7378" s="472" t="s">
        <v>181</v>
      </c>
      <c r="D7378" s="472">
        <v>37.319000000000003</v>
      </c>
      <c r="E7378" s="472" t="s">
        <v>6305</v>
      </c>
      <c r="F7378" s="352"/>
    </row>
    <row r="7379" spans="1:6" s="315" customFormat="1" ht="15">
      <c r="A7379" s="472" t="s">
        <v>9895</v>
      </c>
      <c r="B7379" s="472" t="s">
        <v>9280</v>
      </c>
      <c r="C7379" s="472" t="s">
        <v>181</v>
      </c>
      <c r="D7379" s="472">
        <v>37.484999999999999</v>
      </c>
      <c r="E7379" s="472" t="s">
        <v>6305</v>
      </c>
      <c r="F7379" s="352"/>
    </row>
    <row r="7380" spans="1:6" s="315" customFormat="1" ht="15">
      <c r="A7380" s="472" t="s">
        <v>9896</v>
      </c>
      <c r="B7380" s="472" t="s">
        <v>9282</v>
      </c>
      <c r="C7380" s="472" t="s">
        <v>181</v>
      </c>
      <c r="D7380" s="472">
        <v>37.663499999999999</v>
      </c>
      <c r="E7380" s="472" t="s">
        <v>6305</v>
      </c>
      <c r="F7380" s="352"/>
    </row>
    <row r="7381" spans="1:6" s="315" customFormat="1" ht="15">
      <c r="A7381" s="472" t="s">
        <v>9897</v>
      </c>
      <c r="B7381" s="472" t="s">
        <v>9284</v>
      </c>
      <c r="C7381" s="472" t="s">
        <v>181</v>
      </c>
      <c r="D7381" s="472">
        <v>30.218699999999998</v>
      </c>
      <c r="E7381" s="472" t="s">
        <v>6305</v>
      </c>
      <c r="F7381" s="352"/>
    </row>
    <row r="7382" spans="1:6" s="315" customFormat="1" ht="15">
      <c r="A7382" s="472" t="s">
        <v>9898</v>
      </c>
      <c r="B7382" s="472" t="s">
        <v>9286</v>
      </c>
      <c r="C7382" s="472" t="s">
        <v>181</v>
      </c>
      <c r="D7382" s="472">
        <v>27.005099999999999</v>
      </c>
      <c r="E7382" s="472" t="s">
        <v>6305</v>
      </c>
      <c r="F7382" s="352"/>
    </row>
    <row r="7383" spans="1:6" s="315" customFormat="1" ht="15">
      <c r="A7383" s="472" t="s">
        <v>9899</v>
      </c>
      <c r="B7383" s="472" t="s">
        <v>9288</v>
      </c>
      <c r="C7383" s="472" t="s">
        <v>181</v>
      </c>
      <c r="D7383" s="472">
        <v>1.7081</v>
      </c>
      <c r="E7383" s="472" t="s">
        <v>6305</v>
      </c>
      <c r="F7383" s="352"/>
    </row>
    <row r="7384" spans="1:6" s="315" customFormat="1" ht="15">
      <c r="A7384" s="472" t="s">
        <v>9900</v>
      </c>
      <c r="B7384" s="472" t="s">
        <v>9290</v>
      </c>
      <c r="C7384" s="472" t="s">
        <v>181</v>
      </c>
      <c r="D7384" s="472">
        <v>2.6006999999999998</v>
      </c>
      <c r="E7384" s="472" t="s">
        <v>6305</v>
      </c>
      <c r="F7384" s="352"/>
    </row>
    <row r="7385" spans="1:6" s="315" customFormat="1" ht="15">
      <c r="A7385" s="472" t="s">
        <v>9901</v>
      </c>
      <c r="B7385" s="472" t="s">
        <v>9292</v>
      </c>
      <c r="C7385" s="472" t="s">
        <v>181</v>
      </c>
      <c r="D7385" s="472">
        <v>4.9969999999999999</v>
      </c>
      <c r="E7385" s="472" t="s">
        <v>6305</v>
      </c>
      <c r="F7385" s="352"/>
    </row>
    <row r="7386" spans="1:6" s="315" customFormat="1" ht="15">
      <c r="A7386" s="472" t="s">
        <v>9902</v>
      </c>
      <c r="B7386" s="472" t="s">
        <v>9294</v>
      </c>
      <c r="C7386" s="472" t="s">
        <v>181</v>
      </c>
      <c r="D7386" s="472">
        <v>5.2268999999999997</v>
      </c>
      <c r="E7386" s="472" t="s">
        <v>6305</v>
      </c>
      <c r="F7386" s="352"/>
    </row>
    <row r="7387" spans="1:6" s="315" customFormat="1" ht="15">
      <c r="A7387" s="472" t="s">
        <v>9903</v>
      </c>
      <c r="B7387" s="472" t="s">
        <v>8017</v>
      </c>
      <c r="C7387" s="472" t="s">
        <v>181</v>
      </c>
      <c r="D7387" s="472">
        <v>24.567299999999999</v>
      </c>
      <c r="E7387" s="472" t="s">
        <v>6305</v>
      </c>
      <c r="F7387" s="352"/>
    </row>
    <row r="7388" spans="1:6" s="315" customFormat="1" ht="15">
      <c r="A7388" s="472" t="s">
        <v>9904</v>
      </c>
      <c r="B7388" s="472" t="s">
        <v>9297</v>
      </c>
      <c r="C7388" s="472" t="s">
        <v>181</v>
      </c>
      <c r="D7388" s="472">
        <v>1.6814</v>
      </c>
      <c r="E7388" s="472" t="s">
        <v>6305</v>
      </c>
      <c r="F7388" s="352"/>
    </row>
    <row r="7389" spans="1:6" s="315" customFormat="1" ht="15">
      <c r="A7389" s="472" t="s">
        <v>9905</v>
      </c>
      <c r="B7389" s="472" t="s">
        <v>9299</v>
      </c>
      <c r="C7389" s="472" t="s">
        <v>181</v>
      </c>
      <c r="D7389" s="472">
        <v>2.3252000000000002</v>
      </c>
      <c r="E7389" s="472" t="s">
        <v>6305</v>
      </c>
      <c r="F7389" s="352"/>
    </row>
    <row r="7390" spans="1:6" s="315" customFormat="1" ht="15">
      <c r="A7390" s="472" t="s">
        <v>9906</v>
      </c>
      <c r="B7390" s="472" t="s">
        <v>9301</v>
      </c>
      <c r="C7390" s="472" t="s">
        <v>181</v>
      </c>
      <c r="D7390" s="472">
        <v>5.4226999999999999</v>
      </c>
      <c r="E7390" s="472" t="s">
        <v>6305</v>
      </c>
      <c r="F7390" s="352"/>
    </row>
    <row r="7391" spans="1:6" s="315" customFormat="1" ht="15">
      <c r="A7391" s="472" t="s">
        <v>9907</v>
      </c>
      <c r="B7391" s="472" t="s">
        <v>9303</v>
      </c>
      <c r="C7391" s="472" t="s">
        <v>181</v>
      </c>
      <c r="D7391" s="472">
        <v>8.5099999999999995E-2</v>
      </c>
      <c r="E7391" s="472" t="s">
        <v>6305</v>
      </c>
      <c r="F7391" s="352"/>
    </row>
    <row r="7392" spans="1:6" s="315" customFormat="1" ht="15">
      <c r="A7392" s="472" t="s">
        <v>9908</v>
      </c>
      <c r="B7392" s="472" t="s">
        <v>9305</v>
      </c>
      <c r="C7392" s="472" t="s">
        <v>181</v>
      </c>
      <c r="D7392" s="472">
        <v>221.5401</v>
      </c>
      <c r="E7392" s="472" t="s">
        <v>6305</v>
      </c>
      <c r="F7392" s="352"/>
    </row>
    <row r="7393" spans="1:6" s="315" customFormat="1" ht="15">
      <c r="A7393" s="472" t="s">
        <v>9909</v>
      </c>
      <c r="B7393" s="472" t="s">
        <v>26769</v>
      </c>
      <c r="C7393" s="472" t="s">
        <v>181</v>
      </c>
      <c r="D7393" s="472">
        <v>5.8276000000000003</v>
      </c>
      <c r="E7393" s="472" t="s">
        <v>6305</v>
      </c>
      <c r="F7393" s="352"/>
    </row>
    <row r="7394" spans="1:6" s="315" customFormat="1" ht="15">
      <c r="A7394" s="472" t="s">
        <v>9910</v>
      </c>
      <c r="B7394" s="472" t="s">
        <v>9308</v>
      </c>
      <c r="C7394" s="472" t="s">
        <v>181</v>
      </c>
      <c r="D7394" s="472">
        <v>30.773700000000002</v>
      </c>
      <c r="E7394" s="472" t="s">
        <v>6305</v>
      </c>
      <c r="F7394" s="352"/>
    </row>
    <row r="7395" spans="1:6" s="315" customFormat="1" ht="15">
      <c r="A7395" s="472" t="s">
        <v>9911</v>
      </c>
      <c r="B7395" s="472" t="s">
        <v>9310</v>
      </c>
      <c r="C7395" s="472" t="s">
        <v>181</v>
      </c>
      <c r="D7395" s="472">
        <v>19.866299999999999</v>
      </c>
      <c r="E7395" s="472" t="s">
        <v>6305</v>
      </c>
      <c r="F7395" s="352"/>
    </row>
    <row r="7396" spans="1:6" s="315" customFormat="1" ht="15">
      <c r="A7396" s="472" t="s">
        <v>9912</v>
      </c>
      <c r="B7396" s="472" t="s">
        <v>9312</v>
      </c>
      <c r="C7396" s="472" t="s">
        <v>181</v>
      </c>
      <c r="D7396" s="472">
        <v>19.921299999999999</v>
      </c>
      <c r="E7396" s="472" t="s">
        <v>6305</v>
      </c>
      <c r="F7396" s="352"/>
    </row>
    <row r="7397" spans="1:6" s="315" customFormat="1" ht="15">
      <c r="A7397" s="472" t="s">
        <v>9913</v>
      </c>
      <c r="B7397" s="472" t="s">
        <v>9314</v>
      </c>
      <c r="C7397" s="472" t="s">
        <v>181</v>
      </c>
      <c r="D7397" s="472">
        <v>18.9742</v>
      </c>
      <c r="E7397" s="472" t="s">
        <v>6305</v>
      </c>
      <c r="F7397" s="352"/>
    </row>
    <row r="7398" spans="1:6" s="315" customFormat="1" ht="15">
      <c r="A7398" s="472" t="s">
        <v>9914</v>
      </c>
      <c r="B7398" s="472" t="s">
        <v>7749</v>
      </c>
      <c r="C7398" s="472" t="s">
        <v>181</v>
      </c>
      <c r="D7398" s="472">
        <v>19.268899999999999</v>
      </c>
      <c r="E7398" s="472" t="s">
        <v>6305</v>
      </c>
      <c r="F7398" s="352"/>
    </row>
    <row r="7399" spans="1:6" s="315" customFormat="1" ht="15">
      <c r="A7399" s="472" t="s">
        <v>9915</v>
      </c>
      <c r="B7399" s="472" t="s">
        <v>9317</v>
      </c>
      <c r="C7399" s="472" t="s">
        <v>181</v>
      </c>
      <c r="D7399" s="472">
        <v>106.3449</v>
      </c>
      <c r="E7399" s="472" t="s">
        <v>6305</v>
      </c>
      <c r="F7399" s="352"/>
    </row>
    <row r="7400" spans="1:6" s="315" customFormat="1" ht="15">
      <c r="A7400" s="472" t="s">
        <v>9916</v>
      </c>
      <c r="B7400" s="472" t="s">
        <v>9319</v>
      </c>
      <c r="C7400" s="472" t="s">
        <v>181</v>
      </c>
      <c r="D7400" s="472">
        <v>43.374899999999997</v>
      </c>
      <c r="E7400" s="472" t="s">
        <v>6305</v>
      </c>
      <c r="F7400" s="352"/>
    </row>
    <row r="7401" spans="1:6" s="315" customFormat="1" ht="15">
      <c r="A7401" s="472" t="s">
        <v>9917</v>
      </c>
      <c r="B7401" s="472" t="s">
        <v>9321</v>
      </c>
      <c r="C7401" s="472" t="s">
        <v>181</v>
      </c>
      <c r="D7401" s="472">
        <v>77.265600000000006</v>
      </c>
      <c r="E7401" s="472" t="s">
        <v>6305</v>
      </c>
      <c r="F7401" s="352"/>
    </row>
    <row r="7402" spans="1:6" s="315" customFormat="1" ht="15">
      <c r="A7402" s="472" t="s">
        <v>9918</v>
      </c>
      <c r="B7402" s="472" t="s">
        <v>9323</v>
      </c>
      <c r="C7402" s="472" t="s">
        <v>181</v>
      </c>
      <c r="D7402" s="472">
        <v>0.84499999999999997</v>
      </c>
      <c r="E7402" s="472" t="s">
        <v>6305</v>
      </c>
      <c r="F7402" s="352"/>
    </row>
    <row r="7403" spans="1:6" s="315" customFormat="1" ht="15">
      <c r="A7403" s="472" t="s">
        <v>9919</v>
      </c>
      <c r="B7403" s="472" t="s">
        <v>7775</v>
      </c>
      <c r="C7403" s="472" t="s">
        <v>181</v>
      </c>
      <c r="D7403" s="472">
        <v>0.24210000000000001</v>
      </c>
      <c r="E7403" s="472" t="s">
        <v>6305</v>
      </c>
      <c r="F7403" s="352"/>
    </row>
    <row r="7404" spans="1:6" s="315" customFormat="1" ht="15">
      <c r="A7404" s="472" t="s">
        <v>9920</v>
      </c>
      <c r="B7404" s="472" t="s">
        <v>9326</v>
      </c>
      <c r="C7404" s="472" t="s">
        <v>181</v>
      </c>
      <c r="D7404" s="472">
        <v>59.563800000000001</v>
      </c>
      <c r="E7404" s="472" t="s">
        <v>6305</v>
      </c>
      <c r="F7404" s="352"/>
    </row>
    <row r="7405" spans="1:6" s="315" customFormat="1" ht="15">
      <c r="A7405" s="472" t="s">
        <v>9921</v>
      </c>
      <c r="B7405" s="472" t="s">
        <v>7771</v>
      </c>
      <c r="C7405" s="472" t="s">
        <v>181</v>
      </c>
      <c r="D7405" s="472">
        <v>2.5886999999999998</v>
      </c>
      <c r="E7405" s="472" t="s">
        <v>6305</v>
      </c>
      <c r="F7405" s="352"/>
    </row>
    <row r="7406" spans="1:6" s="315" customFormat="1" ht="15">
      <c r="A7406" s="472" t="s">
        <v>9922</v>
      </c>
      <c r="B7406" s="472" t="s">
        <v>9329</v>
      </c>
      <c r="C7406" s="472" t="s">
        <v>181</v>
      </c>
      <c r="D7406" s="472">
        <v>22.418800000000001</v>
      </c>
      <c r="E7406" s="472" t="s">
        <v>6305</v>
      </c>
      <c r="F7406" s="352"/>
    </row>
    <row r="7407" spans="1:6" s="315" customFormat="1" ht="15">
      <c r="A7407" s="472" t="s">
        <v>9923</v>
      </c>
      <c r="B7407" s="472" t="s">
        <v>9331</v>
      </c>
      <c r="C7407" s="472" t="s">
        <v>181</v>
      </c>
      <c r="D7407" s="472">
        <v>25.5182</v>
      </c>
      <c r="E7407" s="472" t="s">
        <v>6305</v>
      </c>
      <c r="F7407" s="352"/>
    </row>
    <row r="7408" spans="1:6" s="315" customFormat="1" ht="15">
      <c r="A7408" s="472" t="s">
        <v>9924</v>
      </c>
      <c r="B7408" s="472" t="s">
        <v>9333</v>
      </c>
      <c r="C7408" s="472" t="s">
        <v>181</v>
      </c>
      <c r="D7408" s="472">
        <v>31.145199999999999</v>
      </c>
      <c r="E7408" s="472" t="s">
        <v>6305</v>
      </c>
      <c r="F7408" s="352"/>
    </row>
    <row r="7409" spans="1:6" s="315" customFormat="1" ht="15">
      <c r="A7409" s="472" t="s">
        <v>9925</v>
      </c>
      <c r="B7409" s="472" t="s">
        <v>9335</v>
      </c>
      <c r="C7409" s="472" t="s">
        <v>181</v>
      </c>
      <c r="D7409" s="472">
        <v>149.1311</v>
      </c>
      <c r="E7409" s="472" t="s">
        <v>6305</v>
      </c>
      <c r="F7409" s="352"/>
    </row>
    <row r="7410" spans="1:6" s="315" customFormat="1" ht="15">
      <c r="A7410" s="472" t="s">
        <v>9926</v>
      </c>
      <c r="B7410" s="472" t="s">
        <v>9337</v>
      </c>
      <c r="C7410" s="472" t="s">
        <v>181</v>
      </c>
      <c r="D7410" s="472">
        <v>4.8872999999999998</v>
      </c>
      <c r="E7410" s="472" t="s">
        <v>6305</v>
      </c>
      <c r="F7410" s="352"/>
    </row>
    <row r="7411" spans="1:6" s="315" customFormat="1" ht="15">
      <c r="A7411" s="472" t="s">
        <v>9927</v>
      </c>
      <c r="B7411" s="472" t="s">
        <v>9339</v>
      </c>
      <c r="C7411" s="472" t="s">
        <v>181</v>
      </c>
      <c r="D7411" s="472">
        <v>105.1481</v>
      </c>
      <c r="E7411" s="472" t="s">
        <v>6305</v>
      </c>
      <c r="F7411" s="352"/>
    </row>
    <row r="7412" spans="1:6" s="315" customFormat="1" ht="15">
      <c r="A7412" s="472" t="s">
        <v>9928</v>
      </c>
      <c r="B7412" s="472" t="s">
        <v>9341</v>
      </c>
      <c r="C7412" s="472" t="s">
        <v>181</v>
      </c>
      <c r="D7412" s="472">
        <v>7.5008999999999997</v>
      </c>
      <c r="E7412" s="472" t="s">
        <v>6305</v>
      </c>
      <c r="F7412" s="352"/>
    </row>
    <row r="7413" spans="1:6" s="315" customFormat="1" ht="15">
      <c r="A7413" s="472" t="s">
        <v>9929</v>
      </c>
      <c r="B7413" s="472" t="s">
        <v>9343</v>
      </c>
      <c r="C7413" s="472" t="s">
        <v>181</v>
      </c>
      <c r="D7413" s="472">
        <v>3.1446999999999998</v>
      </c>
      <c r="E7413" s="472" t="s">
        <v>6305</v>
      </c>
      <c r="F7413" s="352"/>
    </row>
    <row r="7414" spans="1:6" s="315" customFormat="1" ht="15">
      <c r="A7414" s="472" t="s">
        <v>9930</v>
      </c>
      <c r="B7414" s="472" t="s">
        <v>9345</v>
      </c>
      <c r="C7414" s="472" t="s">
        <v>181</v>
      </c>
      <c r="D7414" s="472">
        <v>33.443600000000004</v>
      </c>
      <c r="E7414" s="472" t="s">
        <v>6305</v>
      </c>
      <c r="F7414" s="352"/>
    </row>
    <row r="7415" spans="1:6" s="315" customFormat="1" ht="15">
      <c r="A7415" s="472" t="s">
        <v>9931</v>
      </c>
      <c r="B7415" s="472" t="s">
        <v>7754</v>
      </c>
      <c r="C7415" s="472" t="s">
        <v>181</v>
      </c>
      <c r="D7415" s="472">
        <v>50.874200000000002</v>
      </c>
      <c r="E7415" s="472" t="s">
        <v>6305</v>
      </c>
      <c r="F7415" s="352"/>
    </row>
    <row r="7416" spans="1:6" s="315" customFormat="1" ht="15">
      <c r="A7416" s="472" t="s">
        <v>9932</v>
      </c>
      <c r="B7416" s="472" t="s">
        <v>9348</v>
      </c>
      <c r="C7416" s="472" t="s">
        <v>181</v>
      </c>
      <c r="D7416" s="472">
        <v>22.362500000000001</v>
      </c>
      <c r="E7416" s="472" t="s">
        <v>6305</v>
      </c>
      <c r="F7416" s="352"/>
    </row>
    <row r="7417" spans="1:6" s="315" customFormat="1" ht="15">
      <c r="A7417" s="472" t="s">
        <v>9933</v>
      </c>
      <c r="B7417" s="472" t="s">
        <v>9350</v>
      </c>
      <c r="C7417" s="472" t="s">
        <v>181</v>
      </c>
      <c r="D7417" s="472">
        <v>45.474899999999998</v>
      </c>
      <c r="E7417" s="472" t="s">
        <v>6305</v>
      </c>
      <c r="F7417" s="352"/>
    </row>
    <row r="7418" spans="1:6" s="315" customFormat="1" ht="15">
      <c r="A7418" s="472" t="s">
        <v>9934</v>
      </c>
      <c r="B7418" s="472" t="s">
        <v>7765</v>
      </c>
      <c r="C7418" s="472" t="s">
        <v>181</v>
      </c>
      <c r="D7418" s="472">
        <v>123.29810000000001</v>
      </c>
      <c r="E7418" s="472" t="s">
        <v>6305</v>
      </c>
      <c r="F7418" s="352"/>
    </row>
    <row r="7419" spans="1:6" s="315" customFormat="1" ht="15">
      <c r="A7419" s="472" t="s">
        <v>9935</v>
      </c>
      <c r="B7419" s="472" t="s">
        <v>9353</v>
      </c>
      <c r="C7419" s="472" t="s">
        <v>181</v>
      </c>
      <c r="D7419" s="472">
        <v>19.698399999999999</v>
      </c>
      <c r="E7419" s="472" t="s">
        <v>6305</v>
      </c>
      <c r="F7419" s="352"/>
    </row>
    <row r="7420" spans="1:6" s="315" customFormat="1" ht="15">
      <c r="A7420" s="472" t="s">
        <v>9936</v>
      </c>
      <c r="B7420" s="472" t="s">
        <v>9355</v>
      </c>
      <c r="C7420" s="472" t="s">
        <v>181</v>
      </c>
      <c r="D7420" s="472">
        <v>0.17530000000000001</v>
      </c>
      <c r="E7420" s="472" t="s">
        <v>6305</v>
      </c>
      <c r="F7420" s="352"/>
    </row>
    <row r="7421" spans="1:6" s="315" customFormat="1" ht="15">
      <c r="A7421" s="472" t="s">
        <v>9937</v>
      </c>
      <c r="B7421" s="472" t="s">
        <v>9357</v>
      </c>
      <c r="C7421" s="472" t="s">
        <v>181</v>
      </c>
      <c r="D7421" s="472">
        <v>46.312800000000003</v>
      </c>
      <c r="E7421" s="472" t="s">
        <v>6305</v>
      </c>
      <c r="F7421" s="352"/>
    </row>
    <row r="7422" spans="1:6" s="315" customFormat="1" ht="15">
      <c r="A7422" s="472" t="s">
        <v>9938</v>
      </c>
      <c r="B7422" s="472" t="s">
        <v>9359</v>
      </c>
      <c r="C7422" s="472" t="s">
        <v>181</v>
      </c>
      <c r="D7422" s="472">
        <v>324.154</v>
      </c>
      <c r="E7422" s="472" t="s">
        <v>6305</v>
      </c>
      <c r="F7422" s="352"/>
    </row>
    <row r="7423" spans="1:6" s="315" customFormat="1" ht="15">
      <c r="A7423" s="472" t="s">
        <v>9939</v>
      </c>
      <c r="B7423" s="472" t="s">
        <v>9361</v>
      </c>
      <c r="C7423" s="472" t="s">
        <v>181</v>
      </c>
      <c r="D7423" s="472">
        <v>148.72229999999999</v>
      </c>
      <c r="E7423" s="472" t="s">
        <v>6305</v>
      </c>
      <c r="F7423" s="352"/>
    </row>
    <row r="7424" spans="1:6" s="315" customFormat="1" ht="15">
      <c r="A7424" s="472" t="s">
        <v>9940</v>
      </c>
      <c r="B7424" s="472" t="s">
        <v>9363</v>
      </c>
      <c r="C7424" s="472" t="s">
        <v>181</v>
      </c>
      <c r="D7424" s="472">
        <v>581.54679999999996</v>
      </c>
      <c r="E7424" s="472" t="s">
        <v>6305</v>
      </c>
      <c r="F7424" s="352"/>
    </row>
    <row r="7425" spans="1:6" s="315" customFormat="1" ht="15">
      <c r="A7425" s="472" t="s">
        <v>9941</v>
      </c>
      <c r="B7425" s="472" t="s">
        <v>9365</v>
      </c>
      <c r="C7425" s="472" t="s">
        <v>181</v>
      </c>
      <c r="D7425" s="472">
        <v>111.3147</v>
      </c>
      <c r="E7425" s="472" t="s">
        <v>6305</v>
      </c>
      <c r="F7425" s="352"/>
    </row>
    <row r="7426" spans="1:6" s="315" customFormat="1" ht="15">
      <c r="A7426" s="472" t="s">
        <v>9942</v>
      </c>
      <c r="B7426" s="472" t="s">
        <v>9367</v>
      </c>
      <c r="C7426" s="472" t="s">
        <v>181</v>
      </c>
      <c r="D7426" s="472">
        <v>55.145000000000003</v>
      </c>
      <c r="E7426" s="472" t="s">
        <v>6305</v>
      </c>
      <c r="F7426" s="352"/>
    </row>
    <row r="7427" spans="1:6" s="315" customFormat="1" ht="15">
      <c r="A7427" s="472" t="s">
        <v>9943</v>
      </c>
      <c r="B7427" s="472" t="s">
        <v>9369</v>
      </c>
      <c r="C7427" s="472" t="s">
        <v>181</v>
      </c>
      <c r="D7427" s="472">
        <v>48.550199999999997</v>
      </c>
      <c r="E7427" s="472" t="s">
        <v>6305</v>
      </c>
      <c r="F7427" s="352"/>
    </row>
    <row r="7428" spans="1:6" s="315" customFormat="1" ht="15">
      <c r="A7428" s="472" t="s">
        <v>9944</v>
      </c>
      <c r="B7428" s="472" t="s">
        <v>9371</v>
      </c>
      <c r="C7428" s="472" t="s">
        <v>181</v>
      </c>
      <c r="D7428" s="472">
        <v>6.5948000000000002</v>
      </c>
      <c r="E7428" s="472" t="s">
        <v>6305</v>
      </c>
      <c r="F7428" s="352"/>
    </row>
    <row r="7429" spans="1:6" s="315" customFormat="1" ht="15">
      <c r="A7429" s="472" t="s">
        <v>9945</v>
      </c>
      <c r="B7429" s="472" t="s">
        <v>7810</v>
      </c>
      <c r="C7429" s="472" t="s">
        <v>181</v>
      </c>
      <c r="D7429" s="472">
        <v>77.273499999999999</v>
      </c>
      <c r="E7429" s="472" t="s">
        <v>6305</v>
      </c>
      <c r="F7429" s="352"/>
    </row>
    <row r="7430" spans="1:6" s="315" customFormat="1" ht="15">
      <c r="A7430" s="472" t="s">
        <v>9946</v>
      </c>
      <c r="B7430" s="472" t="s">
        <v>9374</v>
      </c>
      <c r="C7430" s="472" t="s">
        <v>181</v>
      </c>
      <c r="D7430" s="472">
        <v>52.383699999999997</v>
      </c>
      <c r="E7430" s="472" t="s">
        <v>6305</v>
      </c>
      <c r="F7430" s="352"/>
    </row>
    <row r="7431" spans="1:6" s="315" customFormat="1" ht="15">
      <c r="A7431" s="472" t="s">
        <v>9947</v>
      </c>
      <c r="B7431" s="472" t="s">
        <v>9376</v>
      </c>
      <c r="C7431" s="472" t="s">
        <v>181</v>
      </c>
      <c r="D7431" s="472">
        <v>19.987300000000001</v>
      </c>
      <c r="E7431" s="472" t="s">
        <v>6305</v>
      </c>
      <c r="F7431" s="352"/>
    </row>
    <row r="7432" spans="1:6" s="315" customFormat="1" ht="15">
      <c r="A7432" s="472" t="s">
        <v>9948</v>
      </c>
      <c r="B7432" s="472" t="s">
        <v>9378</v>
      </c>
      <c r="C7432" s="472" t="s">
        <v>181</v>
      </c>
      <c r="D7432" s="472">
        <v>4.9024999999999999</v>
      </c>
      <c r="E7432" s="472" t="s">
        <v>6305</v>
      </c>
      <c r="F7432" s="352"/>
    </row>
    <row r="7433" spans="1:6" s="315" customFormat="1" ht="15">
      <c r="A7433" s="472" t="s">
        <v>9949</v>
      </c>
      <c r="B7433" s="472" t="s">
        <v>9380</v>
      </c>
      <c r="C7433" s="472" t="s">
        <v>181</v>
      </c>
      <c r="D7433" s="472">
        <v>61.143500000000003</v>
      </c>
      <c r="E7433" s="472" t="s">
        <v>6305</v>
      </c>
      <c r="F7433" s="352"/>
    </row>
    <row r="7434" spans="1:6" s="315" customFormat="1" ht="15">
      <c r="A7434" s="472" t="s">
        <v>9950</v>
      </c>
      <c r="B7434" s="472" t="s">
        <v>9382</v>
      </c>
      <c r="C7434" s="472" t="s">
        <v>181</v>
      </c>
      <c r="D7434" s="472">
        <v>39.746899999999997</v>
      </c>
      <c r="E7434" s="472" t="s">
        <v>6305</v>
      </c>
      <c r="F7434" s="352"/>
    </row>
    <row r="7435" spans="1:6" s="315" customFormat="1" ht="15">
      <c r="A7435" s="472" t="s">
        <v>9951</v>
      </c>
      <c r="B7435" s="472" t="s">
        <v>9384</v>
      </c>
      <c r="C7435" s="472" t="s">
        <v>181</v>
      </c>
      <c r="D7435" s="472">
        <v>21.396599999999999</v>
      </c>
      <c r="E7435" s="472" t="s">
        <v>6305</v>
      </c>
      <c r="F7435" s="352"/>
    </row>
    <row r="7436" spans="1:6" s="315" customFormat="1" ht="15">
      <c r="A7436" s="472" t="s">
        <v>9952</v>
      </c>
      <c r="B7436" s="472" t="s">
        <v>9386</v>
      </c>
      <c r="C7436" s="472" t="s">
        <v>181</v>
      </c>
      <c r="D7436" s="472">
        <v>153.262</v>
      </c>
      <c r="E7436" s="472" t="s">
        <v>6305</v>
      </c>
      <c r="F7436" s="352"/>
    </row>
    <row r="7437" spans="1:6" s="315" customFormat="1" ht="15">
      <c r="A7437" s="472" t="s">
        <v>9953</v>
      </c>
      <c r="B7437" s="472" t="s">
        <v>9388</v>
      </c>
      <c r="C7437" s="472" t="s">
        <v>181</v>
      </c>
      <c r="D7437" s="472">
        <v>41.418999999999997</v>
      </c>
      <c r="E7437" s="472" t="s">
        <v>6305</v>
      </c>
      <c r="F7437" s="352"/>
    </row>
    <row r="7438" spans="1:6" s="315" customFormat="1" ht="15">
      <c r="A7438" s="472" t="s">
        <v>9954</v>
      </c>
      <c r="B7438" s="472" t="s">
        <v>9390</v>
      </c>
      <c r="C7438" s="472" t="s">
        <v>181</v>
      </c>
      <c r="D7438" s="472">
        <v>111.843</v>
      </c>
      <c r="E7438" s="472" t="s">
        <v>6305</v>
      </c>
      <c r="F7438" s="352"/>
    </row>
    <row r="7439" spans="1:6" s="315" customFormat="1" ht="15">
      <c r="A7439" s="472" t="s">
        <v>9955</v>
      </c>
      <c r="B7439" s="472" t="s">
        <v>9392</v>
      </c>
      <c r="C7439" s="472" t="s">
        <v>181</v>
      </c>
      <c r="D7439" s="472">
        <v>77.015100000000004</v>
      </c>
      <c r="E7439" s="472" t="s">
        <v>6305</v>
      </c>
      <c r="F7439" s="352"/>
    </row>
    <row r="7440" spans="1:6" s="315" customFormat="1" ht="15">
      <c r="A7440" s="472" t="s">
        <v>9956</v>
      </c>
      <c r="B7440" s="472" t="s">
        <v>9394</v>
      </c>
      <c r="C7440" s="472" t="s">
        <v>181</v>
      </c>
      <c r="D7440" s="472">
        <v>41.747100000000003</v>
      </c>
      <c r="E7440" s="472" t="s">
        <v>6305</v>
      </c>
      <c r="F7440" s="352"/>
    </row>
    <row r="7441" spans="1:6" s="315" customFormat="1" ht="15">
      <c r="A7441" s="472" t="s">
        <v>9957</v>
      </c>
      <c r="B7441" s="472" t="s">
        <v>9396</v>
      </c>
      <c r="C7441" s="472" t="s">
        <v>181</v>
      </c>
      <c r="D7441" s="472">
        <v>1.3718999999999999</v>
      </c>
      <c r="E7441" s="472" t="s">
        <v>6305</v>
      </c>
      <c r="F7441" s="352"/>
    </row>
    <row r="7442" spans="1:6" s="315" customFormat="1" ht="15">
      <c r="A7442" s="472" t="s">
        <v>9958</v>
      </c>
      <c r="B7442" s="472" t="s">
        <v>9398</v>
      </c>
      <c r="C7442" s="472" t="s">
        <v>181</v>
      </c>
      <c r="D7442" s="472">
        <v>33.896099999999997</v>
      </c>
      <c r="E7442" s="472" t="s">
        <v>6305</v>
      </c>
      <c r="F7442" s="352"/>
    </row>
    <row r="7443" spans="1:6" s="315" customFormat="1" ht="15">
      <c r="A7443" s="472" t="s">
        <v>9959</v>
      </c>
      <c r="B7443" s="472" t="s">
        <v>9400</v>
      </c>
      <c r="C7443" s="472" t="s">
        <v>181</v>
      </c>
      <c r="D7443" s="472">
        <v>95.128</v>
      </c>
      <c r="E7443" s="472" t="s">
        <v>6305</v>
      </c>
      <c r="F7443" s="352"/>
    </row>
    <row r="7444" spans="1:6" s="315" customFormat="1" ht="15">
      <c r="A7444" s="472" t="s">
        <v>9960</v>
      </c>
      <c r="B7444" s="472" t="s">
        <v>9402</v>
      </c>
      <c r="C7444" s="472" t="s">
        <v>181</v>
      </c>
      <c r="D7444" s="472">
        <v>37.686</v>
      </c>
      <c r="E7444" s="472" t="s">
        <v>6305</v>
      </c>
      <c r="F7444" s="352"/>
    </row>
    <row r="7445" spans="1:6" s="315" customFormat="1" ht="15">
      <c r="A7445" s="472" t="s">
        <v>9961</v>
      </c>
      <c r="B7445" s="472" t="s">
        <v>9404</v>
      </c>
      <c r="C7445" s="472" t="s">
        <v>181</v>
      </c>
      <c r="D7445" s="472">
        <v>0.75870000000000004</v>
      </c>
      <c r="E7445" s="472" t="s">
        <v>6305</v>
      </c>
      <c r="F7445" s="352"/>
    </row>
    <row r="7446" spans="1:6" s="315" customFormat="1" ht="15">
      <c r="A7446" s="472" t="s">
        <v>9962</v>
      </c>
      <c r="B7446" s="472" t="s">
        <v>9406</v>
      </c>
      <c r="C7446" s="472" t="s">
        <v>181</v>
      </c>
      <c r="D7446" s="472">
        <v>25.704000000000001</v>
      </c>
      <c r="E7446" s="472" t="s">
        <v>6305</v>
      </c>
      <c r="F7446" s="352"/>
    </row>
    <row r="7447" spans="1:6" s="315" customFormat="1" ht="15">
      <c r="A7447" s="472" t="s">
        <v>9963</v>
      </c>
      <c r="B7447" s="472" t="s">
        <v>9408</v>
      </c>
      <c r="C7447" s="472" t="s">
        <v>181</v>
      </c>
      <c r="D7447" s="472">
        <v>30.979299999999999</v>
      </c>
      <c r="E7447" s="472" t="s">
        <v>6305</v>
      </c>
      <c r="F7447" s="352"/>
    </row>
    <row r="7448" spans="1:6" s="315" customFormat="1" ht="15">
      <c r="A7448" s="472" t="s">
        <v>9964</v>
      </c>
      <c r="B7448" s="472" t="s">
        <v>9410</v>
      </c>
      <c r="C7448" s="472" t="s">
        <v>181</v>
      </c>
      <c r="D7448" s="472">
        <v>36.943600000000004</v>
      </c>
      <c r="E7448" s="472" t="s">
        <v>6305</v>
      </c>
      <c r="F7448" s="352"/>
    </row>
    <row r="7449" spans="1:6" s="315" customFormat="1" ht="15">
      <c r="A7449" s="472" t="s">
        <v>9965</v>
      </c>
      <c r="B7449" s="472" t="s">
        <v>9412</v>
      </c>
      <c r="C7449" s="472" t="s">
        <v>181</v>
      </c>
      <c r="D7449" s="472">
        <v>34.482900000000001</v>
      </c>
      <c r="E7449" s="472" t="s">
        <v>6305</v>
      </c>
      <c r="F7449" s="352"/>
    </row>
    <row r="7450" spans="1:6" s="315" customFormat="1" ht="15">
      <c r="A7450" s="472" t="s">
        <v>9966</v>
      </c>
      <c r="B7450" s="472" t="s">
        <v>9414</v>
      </c>
      <c r="C7450" s="472" t="s">
        <v>181</v>
      </c>
      <c r="D7450" s="472">
        <v>2.4607000000000001</v>
      </c>
      <c r="E7450" s="472" t="s">
        <v>6305</v>
      </c>
      <c r="F7450" s="352"/>
    </row>
    <row r="7451" spans="1:6" s="315" customFormat="1" ht="15">
      <c r="A7451" s="472" t="s">
        <v>9967</v>
      </c>
      <c r="B7451" s="472" t="s">
        <v>9416</v>
      </c>
      <c r="C7451" s="472" t="s">
        <v>181</v>
      </c>
      <c r="D7451" s="472">
        <v>65.7727</v>
      </c>
      <c r="E7451" s="472" t="s">
        <v>6305</v>
      </c>
      <c r="F7451" s="352"/>
    </row>
    <row r="7452" spans="1:6" s="315" customFormat="1" ht="15">
      <c r="A7452" s="472" t="s">
        <v>9968</v>
      </c>
      <c r="B7452" s="472" t="s">
        <v>9418</v>
      </c>
      <c r="C7452" s="472" t="s">
        <v>181</v>
      </c>
      <c r="D7452" s="472">
        <v>40.514200000000002</v>
      </c>
      <c r="E7452" s="472" t="s">
        <v>6305</v>
      </c>
      <c r="F7452" s="352"/>
    </row>
    <row r="7453" spans="1:6" s="315" customFormat="1" ht="15">
      <c r="A7453" s="472" t="s">
        <v>9969</v>
      </c>
      <c r="B7453" s="472" t="s">
        <v>9420</v>
      </c>
      <c r="C7453" s="472" t="s">
        <v>181</v>
      </c>
      <c r="D7453" s="472">
        <v>25.258500000000002</v>
      </c>
      <c r="E7453" s="472" t="s">
        <v>6305</v>
      </c>
      <c r="F7453" s="352"/>
    </row>
    <row r="7454" spans="1:6" s="315" customFormat="1" ht="15">
      <c r="A7454" s="472" t="s">
        <v>9970</v>
      </c>
      <c r="B7454" s="472" t="s">
        <v>9422</v>
      </c>
      <c r="C7454" s="472" t="s">
        <v>181</v>
      </c>
      <c r="D7454" s="472">
        <v>85.069900000000004</v>
      </c>
      <c r="E7454" s="472" t="s">
        <v>6305</v>
      </c>
      <c r="F7454" s="352"/>
    </row>
    <row r="7455" spans="1:6" s="315" customFormat="1" ht="15">
      <c r="A7455" s="472" t="s">
        <v>9971</v>
      </c>
      <c r="B7455" s="472" t="s">
        <v>9424</v>
      </c>
      <c r="C7455" s="472" t="s">
        <v>181</v>
      </c>
      <c r="D7455" s="472">
        <v>47.136699999999998</v>
      </c>
      <c r="E7455" s="472" t="s">
        <v>6305</v>
      </c>
      <c r="F7455" s="352"/>
    </row>
    <row r="7456" spans="1:6" s="315" customFormat="1" ht="15">
      <c r="A7456" s="472" t="s">
        <v>9972</v>
      </c>
      <c r="B7456" s="472" t="s">
        <v>9426</v>
      </c>
      <c r="C7456" s="472" t="s">
        <v>181</v>
      </c>
      <c r="D7456" s="472">
        <v>37.933199999999999</v>
      </c>
      <c r="E7456" s="472" t="s">
        <v>6305</v>
      </c>
      <c r="F7456" s="352"/>
    </row>
    <row r="7457" spans="1:6" s="315" customFormat="1" ht="15">
      <c r="A7457" s="472" t="s">
        <v>9973</v>
      </c>
      <c r="B7457" s="472" t="s">
        <v>9428</v>
      </c>
      <c r="C7457" s="472" t="s">
        <v>181</v>
      </c>
      <c r="D7457" s="472">
        <v>39.1952</v>
      </c>
      <c r="E7457" s="472" t="s">
        <v>6305</v>
      </c>
      <c r="F7457" s="352"/>
    </row>
    <row r="7458" spans="1:6" s="315" customFormat="1" ht="15">
      <c r="A7458" s="472" t="s">
        <v>9974</v>
      </c>
      <c r="B7458" s="472" t="s">
        <v>9430</v>
      </c>
      <c r="C7458" s="472" t="s">
        <v>181</v>
      </c>
      <c r="D7458" s="472">
        <v>39.1952</v>
      </c>
      <c r="E7458" s="472" t="s">
        <v>6305</v>
      </c>
      <c r="F7458" s="352"/>
    </row>
    <row r="7459" spans="1:6" s="315" customFormat="1" ht="15">
      <c r="A7459" s="472" t="s">
        <v>9975</v>
      </c>
      <c r="B7459" s="472" t="s">
        <v>9432</v>
      </c>
      <c r="C7459" s="472" t="s">
        <v>181</v>
      </c>
      <c r="D7459" s="472">
        <v>2.9773999999999998</v>
      </c>
      <c r="E7459" s="472" t="s">
        <v>6305</v>
      </c>
      <c r="F7459" s="352"/>
    </row>
    <row r="7460" spans="1:6" s="315" customFormat="1" ht="15">
      <c r="A7460" s="472" t="s">
        <v>9976</v>
      </c>
      <c r="B7460" s="472" t="s">
        <v>9434</v>
      </c>
      <c r="C7460" s="472" t="s">
        <v>181</v>
      </c>
      <c r="D7460" s="472">
        <v>2.9773999999999998</v>
      </c>
      <c r="E7460" s="472" t="s">
        <v>6305</v>
      </c>
      <c r="F7460" s="352"/>
    </row>
    <row r="7461" spans="1:6" s="315" customFormat="1" ht="15">
      <c r="A7461" s="472" t="s">
        <v>9977</v>
      </c>
      <c r="B7461" s="472" t="s">
        <v>9436</v>
      </c>
      <c r="C7461" s="472" t="s">
        <v>181</v>
      </c>
      <c r="D7461" s="472">
        <v>15.8451</v>
      </c>
      <c r="E7461" s="472" t="s">
        <v>6305</v>
      </c>
      <c r="F7461" s="352"/>
    </row>
    <row r="7462" spans="1:6" s="315" customFormat="1" ht="15">
      <c r="A7462" s="472" t="s">
        <v>9978</v>
      </c>
      <c r="B7462" s="472" t="s">
        <v>9438</v>
      </c>
      <c r="C7462" s="472" t="s">
        <v>181</v>
      </c>
      <c r="D7462" s="472">
        <v>15.8451</v>
      </c>
      <c r="E7462" s="472" t="s">
        <v>6305</v>
      </c>
      <c r="F7462" s="352"/>
    </row>
    <row r="7463" spans="1:6" s="315" customFormat="1" ht="15">
      <c r="A7463" s="472" t="s">
        <v>9979</v>
      </c>
      <c r="B7463" s="472" t="s">
        <v>9440</v>
      </c>
      <c r="C7463" s="472" t="s">
        <v>181</v>
      </c>
      <c r="D7463" s="472">
        <v>42.150700000000001</v>
      </c>
      <c r="E7463" s="472" t="s">
        <v>6305</v>
      </c>
      <c r="F7463" s="352"/>
    </row>
    <row r="7464" spans="1:6" s="315" customFormat="1" ht="15">
      <c r="A7464" s="472" t="s">
        <v>9980</v>
      </c>
      <c r="B7464" s="472" t="s">
        <v>9382</v>
      </c>
      <c r="C7464" s="472" t="s">
        <v>181</v>
      </c>
      <c r="D7464" s="472">
        <v>39.746899999999997</v>
      </c>
      <c r="E7464" s="472" t="s">
        <v>6305</v>
      </c>
      <c r="F7464" s="352"/>
    </row>
    <row r="7465" spans="1:6" s="315" customFormat="1" ht="15">
      <c r="A7465" s="472" t="s">
        <v>9981</v>
      </c>
      <c r="B7465" s="472" t="s">
        <v>9443</v>
      </c>
      <c r="C7465" s="472" t="s">
        <v>181</v>
      </c>
      <c r="D7465" s="472">
        <v>2.4037999999999999</v>
      </c>
      <c r="E7465" s="472" t="s">
        <v>6305</v>
      </c>
      <c r="F7465" s="352"/>
    </row>
    <row r="7466" spans="1:6" s="315" customFormat="1" ht="15">
      <c r="A7466" s="472" t="s">
        <v>9982</v>
      </c>
      <c r="B7466" s="472" t="s">
        <v>9445</v>
      </c>
      <c r="C7466" s="472" t="s">
        <v>181</v>
      </c>
      <c r="D7466" s="472">
        <v>58.513599999999997</v>
      </c>
      <c r="E7466" s="472" t="s">
        <v>6305</v>
      </c>
      <c r="F7466" s="352"/>
    </row>
    <row r="7467" spans="1:6" s="315" customFormat="1" ht="15">
      <c r="A7467" s="472" t="s">
        <v>9943</v>
      </c>
      <c r="B7467" s="472" t="s">
        <v>9369</v>
      </c>
      <c r="C7467" s="472" t="s">
        <v>181</v>
      </c>
      <c r="D7467" s="472">
        <v>48.550199999999997</v>
      </c>
      <c r="E7467" s="472" t="s">
        <v>6305</v>
      </c>
      <c r="F7467" s="352"/>
    </row>
    <row r="7468" spans="1:6" s="315" customFormat="1" ht="15">
      <c r="A7468" s="472" t="s">
        <v>9983</v>
      </c>
      <c r="B7468" s="472" t="s">
        <v>9447</v>
      </c>
      <c r="C7468" s="472" t="s">
        <v>181</v>
      </c>
      <c r="D7468" s="472">
        <v>9.9634</v>
      </c>
      <c r="E7468" s="472" t="s">
        <v>6305</v>
      </c>
      <c r="F7468" s="352"/>
    </row>
    <row r="7469" spans="1:6" s="315" customFormat="1" ht="15">
      <c r="A7469" s="472" t="s">
        <v>9984</v>
      </c>
      <c r="B7469" s="472" t="s">
        <v>9449</v>
      </c>
      <c r="C7469" s="472" t="s">
        <v>181</v>
      </c>
      <c r="D7469" s="472">
        <v>54.008200000000002</v>
      </c>
      <c r="E7469" s="472" t="s">
        <v>6305</v>
      </c>
      <c r="F7469" s="352"/>
    </row>
    <row r="7470" spans="1:6" s="315" customFormat="1" ht="15">
      <c r="A7470" s="472" t="s">
        <v>9985</v>
      </c>
      <c r="B7470" s="472" t="s">
        <v>9451</v>
      </c>
      <c r="C7470" s="472" t="s">
        <v>181</v>
      </c>
      <c r="D7470" s="472">
        <v>47.4161</v>
      </c>
      <c r="E7470" s="472" t="s">
        <v>6305</v>
      </c>
      <c r="F7470" s="352"/>
    </row>
    <row r="7471" spans="1:6" s="315" customFormat="1" ht="15">
      <c r="A7471" s="472" t="s">
        <v>9986</v>
      </c>
      <c r="B7471" s="472" t="s">
        <v>9453</v>
      </c>
      <c r="C7471" s="472" t="s">
        <v>181</v>
      </c>
      <c r="D7471" s="472">
        <v>6.5921000000000003</v>
      </c>
      <c r="E7471" s="472" t="s">
        <v>6305</v>
      </c>
      <c r="F7471" s="352"/>
    </row>
    <row r="7472" spans="1:6" s="315" customFormat="1" ht="15">
      <c r="A7472" s="472" t="s">
        <v>9987</v>
      </c>
      <c r="B7472" s="472" t="s">
        <v>9455</v>
      </c>
      <c r="C7472" s="472" t="s">
        <v>181</v>
      </c>
      <c r="D7472" s="472">
        <v>91.387799999999999</v>
      </c>
      <c r="E7472" s="472" t="s">
        <v>6305</v>
      </c>
      <c r="F7472" s="352"/>
    </row>
    <row r="7473" spans="1:6" s="315" customFormat="1" ht="15">
      <c r="A7473" s="472" t="s">
        <v>9988</v>
      </c>
      <c r="B7473" s="472" t="s">
        <v>9457</v>
      </c>
      <c r="C7473" s="472" t="s">
        <v>181</v>
      </c>
      <c r="D7473" s="472">
        <v>42.027700000000003</v>
      </c>
      <c r="E7473" s="472" t="s">
        <v>6305</v>
      </c>
      <c r="F7473" s="352"/>
    </row>
    <row r="7474" spans="1:6" s="315" customFormat="1" ht="15">
      <c r="A7474" s="472" t="s">
        <v>9989</v>
      </c>
      <c r="B7474" s="472" t="s">
        <v>9459</v>
      </c>
      <c r="C7474" s="472" t="s">
        <v>181</v>
      </c>
      <c r="D7474" s="472">
        <v>49.360100000000003</v>
      </c>
      <c r="E7474" s="472" t="s">
        <v>6305</v>
      </c>
      <c r="F7474" s="352"/>
    </row>
    <row r="7475" spans="1:6" s="315" customFormat="1" ht="15">
      <c r="A7475" s="472" t="s">
        <v>9990</v>
      </c>
      <c r="B7475" s="472" t="s">
        <v>7804</v>
      </c>
      <c r="C7475" s="472" t="s">
        <v>181</v>
      </c>
      <c r="D7475" s="472">
        <v>41.301299999999998</v>
      </c>
      <c r="E7475" s="472" t="s">
        <v>6305</v>
      </c>
      <c r="F7475" s="352"/>
    </row>
    <row r="7476" spans="1:6" s="315" customFormat="1" ht="15">
      <c r="A7476" s="472" t="s">
        <v>9991</v>
      </c>
      <c r="B7476" s="472" t="s">
        <v>9462</v>
      </c>
      <c r="C7476" s="472" t="s">
        <v>181</v>
      </c>
      <c r="D7476" s="472">
        <v>38.842100000000002</v>
      </c>
      <c r="E7476" s="472" t="s">
        <v>6305</v>
      </c>
      <c r="F7476" s="352"/>
    </row>
    <row r="7477" spans="1:6" s="315" customFormat="1" ht="15">
      <c r="A7477" s="472" t="s">
        <v>9992</v>
      </c>
      <c r="B7477" s="472" t="s">
        <v>9464</v>
      </c>
      <c r="C7477" s="472" t="s">
        <v>181</v>
      </c>
      <c r="D7477" s="472">
        <v>2.4592000000000001</v>
      </c>
      <c r="E7477" s="472" t="s">
        <v>6305</v>
      </c>
      <c r="F7477" s="352"/>
    </row>
    <row r="7478" spans="1:6" s="315" customFormat="1" ht="15">
      <c r="A7478" s="472" t="s">
        <v>9993</v>
      </c>
      <c r="B7478" s="472" t="s">
        <v>7811</v>
      </c>
      <c r="C7478" s="472" t="s">
        <v>181</v>
      </c>
      <c r="D7478" s="472">
        <v>40.193800000000003</v>
      </c>
      <c r="E7478" s="472" t="s">
        <v>6305</v>
      </c>
      <c r="F7478" s="352"/>
    </row>
    <row r="7479" spans="1:6" s="315" customFormat="1" ht="15">
      <c r="A7479" s="472" t="s">
        <v>9994</v>
      </c>
      <c r="B7479" s="472" t="s">
        <v>9467</v>
      </c>
      <c r="C7479" s="472" t="s">
        <v>181</v>
      </c>
      <c r="D7479" s="472">
        <v>38.878599999999999</v>
      </c>
      <c r="E7479" s="472" t="s">
        <v>6305</v>
      </c>
      <c r="F7479" s="352"/>
    </row>
    <row r="7480" spans="1:6" s="315" customFormat="1" ht="15">
      <c r="A7480" s="472" t="s">
        <v>9995</v>
      </c>
      <c r="B7480" s="472" t="s">
        <v>9469</v>
      </c>
      <c r="C7480" s="472" t="s">
        <v>181</v>
      </c>
      <c r="D7480" s="472">
        <v>1.3151999999999999</v>
      </c>
      <c r="E7480" s="472" t="s">
        <v>6305</v>
      </c>
      <c r="F7480" s="352"/>
    </row>
    <row r="7481" spans="1:6" s="315" customFormat="1" ht="15">
      <c r="A7481" s="472" t="s">
        <v>9996</v>
      </c>
      <c r="B7481" s="472" t="s">
        <v>9471</v>
      </c>
      <c r="C7481" s="472" t="s">
        <v>181</v>
      </c>
      <c r="D7481" s="472">
        <v>43.888599999999997</v>
      </c>
      <c r="E7481" s="472" t="s">
        <v>6305</v>
      </c>
      <c r="F7481" s="352"/>
    </row>
    <row r="7482" spans="1:6" s="315" customFormat="1" ht="15">
      <c r="A7482" s="472" t="s">
        <v>9960</v>
      </c>
      <c r="B7482" s="472" t="s">
        <v>9402</v>
      </c>
      <c r="C7482" s="472" t="s">
        <v>181</v>
      </c>
      <c r="D7482" s="472">
        <v>37.686</v>
      </c>
      <c r="E7482" s="472" t="s">
        <v>6305</v>
      </c>
      <c r="F7482" s="352"/>
    </row>
    <row r="7483" spans="1:6" s="315" customFormat="1" ht="15">
      <c r="A7483" s="472" t="s">
        <v>9997</v>
      </c>
      <c r="B7483" s="472" t="s">
        <v>26770</v>
      </c>
      <c r="C7483" s="472" t="s">
        <v>181</v>
      </c>
      <c r="D7483" s="472">
        <v>6.2026000000000003</v>
      </c>
      <c r="E7483" s="472" t="s">
        <v>6305</v>
      </c>
      <c r="F7483" s="352"/>
    </row>
    <row r="7484" spans="1:6" s="315" customFormat="1" ht="15">
      <c r="A7484" s="472" t="s">
        <v>9998</v>
      </c>
      <c r="B7484" s="472" t="s">
        <v>9474</v>
      </c>
      <c r="C7484" s="472" t="s">
        <v>181</v>
      </c>
      <c r="D7484" s="472">
        <v>46.7316</v>
      </c>
      <c r="E7484" s="472" t="s">
        <v>6305</v>
      </c>
      <c r="F7484" s="352"/>
    </row>
    <row r="7485" spans="1:6" s="315" customFormat="1" ht="15">
      <c r="A7485" s="472" t="s">
        <v>9999</v>
      </c>
      <c r="B7485" s="472" t="s">
        <v>9476</v>
      </c>
      <c r="C7485" s="472" t="s">
        <v>181</v>
      </c>
      <c r="D7485" s="472">
        <v>42.091099999999997</v>
      </c>
      <c r="E7485" s="472" t="s">
        <v>6305</v>
      </c>
      <c r="F7485" s="352"/>
    </row>
    <row r="7486" spans="1:6" s="315" customFormat="1" ht="15">
      <c r="A7486" s="472" t="s">
        <v>10000</v>
      </c>
      <c r="B7486" s="472" t="s">
        <v>9478</v>
      </c>
      <c r="C7486" s="472" t="s">
        <v>181</v>
      </c>
      <c r="D7486" s="472">
        <v>4.6405000000000003</v>
      </c>
      <c r="E7486" s="472" t="s">
        <v>6305</v>
      </c>
      <c r="F7486" s="352"/>
    </row>
    <row r="7487" spans="1:6" s="315" customFormat="1" ht="15">
      <c r="A7487" s="472" t="s">
        <v>10001</v>
      </c>
      <c r="B7487" s="472" t="s">
        <v>7777</v>
      </c>
      <c r="C7487" s="472" t="s">
        <v>181</v>
      </c>
      <c r="D7487" s="472">
        <v>47.441800000000001</v>
      </c>
      <c r="E7487" s="472" t="s">
        <v>6305</v>
      </c>
      <c r="F7487" s="352"/>
    </row>
    <row r="7488" spans="1:6" s="315" customFormat="1" ht="15">
      <c r="A7488" s="472" t="s">
        <v>10002</v>
      </c>
      <c r="B7488" s="472" t="s">
        <v>9476</v>
      </c>
      <c r="C7488" s="472" t="s">
        <v>181</v>
      </c>
      <c r="D7488" s="472">
        <v>42.091099999999997</v>
      </c>
      <c r="E7488" s="472" t="s">
        <v>6305</v>
      </c>
      <c r="F7488" s="352"/>
    </row>
    <row r="7489" spans="1:6" s="315" customFormat="1" ht="15">
      <c r="A7489" s="472" t="s">
        <v>10003</v>
      </c>
      <c r="B7489" s="472" t="s">
        <v>9482</v>
      </c>
      <c r="C7489" s="472" t="s">
        <v>181</v>
      </c>
      <c r="D7489" s="472">
        <v>5.3506999999999998</v>
      </c>
      <c r="E7489" s="472" t="s">
        <v>6305</v>
      </c>
      <c r="F7489" s="352"/>
    </row>
    <row r="7490" spans="1:6" s="315" customFormat="1" ht="15">
      <c r="A7490" s="472" t="s">
        <v>10004</v>
      </c>
      <c r="B7490" s="472" t="s">
        <v>9484</v>
      </c>
      <c r="C7490" s="472" t="s">
        <v>181</v>
      </c>
      <c r="D7490" s="472">
        <v>44.940199999999997</v>
      </c>
      <c r="E7490" s="472" t="s">
        <v>6305</v>
      </c>
      <c r="F7490" s="352"/>
    </row>
    <row r="7491" spans="1:6" s="315" customFormat="1" ht="15">
      <c r="A7491" s="472" t="s">
        <v>10005</v>
      </c>
      <c r="B7491" s="472" t="s">
        <v>9388</v>
      </c>
      <c r="C7491" s="472" t="s">
        <v>181</v>
      </c>
      <c r="D7491" s="472">
        <v>41.418999999999997</v>
      </c>
      <c r="E7491" s="472" t="s">
        <v>6305</v>
      </c>
      <c r="F7491" s="352"/>
    </row>
    <row r="7492" spans="1:6" s="315" customFormat="1" ht="15">
      <c r="A7492" s="472" t="s">
        <v>10006</v>
      </c>
      <c r="B7492" s="472" t="s">
        <v>9487</v>
      </c>
      <c r="C7492" s="472" t="s">
        <v>181</v>
      </c>
      <c r="D7492" s="472">
        <v>3.5211999999999999</v>
      </c>
      <c r="E7492" s="472" t="s">
        <v>6305</v>
      </c>
      <c r="F7492" s="352"/>
    </row>
    <row r="7493" spans="1:6" s="315" customFormat="1" ht="15">
      <c r="A7493" s="472" t="s">
        <v>10007</v>
      </c>
      <c r="B7493" s="472" t="s">
        <v>9489</v>
      </c>
      <c r="C7493" s="472" t="s">
        <v>181</v>
      </c>
      <c r="D7493" s="472">
        <v>42.870600000000003</v>
      </c>
      <c r="E7493" s="472" t="s">
        <v>6305</v>
      </c>
      <c r="F7493" s="352"/>
    </row>
    <row r="7494" spans="1:6" s="315" customFormat="1" ht="15">
      <c r="A7494" s="472" t="s">
        <v>9980</v>
      </c>
      <c r="B7494" s="472" t="s">
        <v>9382</v>
      </c>
      <c r="C7494" s="472" t="s">
        <v>181</v>
      </c>
      <c r="D7494" s="472">
        <v>39.746899999999997</v>
      </c>
      <c r="E7494" s="472" t="s">
        <v>6305</v>
      </c>
      <c r="F7494" s="352"/>
    </row>
    <row r="7495" spans="1:6" s="315" customFormat="1" ht="15">
      <c r="A7495" s="472" t="s">
        <v>10008</v>
      </c>
      <c r="B7495" s="472" t="s">
        <v>9491</v>
      </c>
      <c r="C7495" s="472" t="s">
        <v>181</v>
      </c>
      <c r="D7495" s="472">
        <v>3.1236999999999999</v>
      </c>
      <c r="E7495" s="472" t="s">
        <v>6305</v>
      </c>
      <c r="F7495" s="352"/>
    </row>
    <row r="7496" spans="1:6" s="315" customFormat="1" ht="15">
      <c r="A7496" s="472" t="s">
        <v>10009</v>
      </c>
      <c r="B7496" s="472" t="s">
        <v>9493</v>
      </c>
      <c r="C7496" s="472" t="s">
        <v>181</v>
      </c>
      <c r="D7496" s="472">
        <v>41.453499999999998</v>
      </c>
      <c r="E7496" s="472" t="s">
        <v>6305</v>
      </c>
      <c r="F7496" s="352"/>
    </row>
    <row r="7497" spans="1:6" s="315" customFormat="1" ht="15">
      <c r="A7497" s="472" t="s">
        <v>10010</v>
      </c>
      <c r="B7497" s="472" t="s">
        <v>9495</v>
      </c>
      <c r="C7497" s="472" t="s">
        <v>181</v>
      </c>
      <c r="D7497" s="472">
        <v>40.075000000000003</v>
      </c>
      <c r="E7497" s="472" t="s">
        <v>6305</v>
      </c>
      <c r="F7497" s="352"/>
    </row>
    <row r="7498" spans="1:6" s="315" customFormat="1" ht="15">
      <c r="A7498" s="472" t="s">
        <v>10011</v>
      </c>
      <c r="B7498" s="472" t="s">
        <v>9497</v>
      </c>
      <c r="C7498" s="472" t="s">
        <v>181</v>
      </c>
      <c r="D7498" s="472">
        <v>1.3785000000000001</v>
      </c>
      <c r="E7498" s="472" t="s">
        <v>6305</v>
      </c>
      <c r="F7498" s="352"/>
    </row>
    <row r="7499" spans="1:6" s="315" customFormat="1" ht="15">
      <c r="A7499" s="472" t="s">
        <v>10012</v>
      </c>
      <c r="B7499" s="472" t="s">
        <v>9499</v>
      </c>
      <c r="C7499" s="472" t="s">
        <v>181</v>
      </c>
      <c r="D7499" s="472">
        <v>49.176900000000003</v>
      </c>
      <c r="E7499" s="472" t="s">
        <v>6305</v>
      </c>
      <c r="F7499" s="352"/>
    </row>
    <row r="7500" spans="1:6" s="315" customFormat="1" ht="15">
      <c r="A7500" s="472" t="s">
        <v>10005</v>
      </c>
      <c r="B7500" s="472" t="s">
        <v>9388</v>
      </c>
      <c r="C7500" s="472" t="s">
        <v>181</v>
      </c>
      <c r="D7500" s="472">
        <v>41.418999999999997</v>
      </c>
      <c r="E7500" s="472" t="s">
        <v>6305</v>
      </c>
      <c r="F7500" s="352"/>
    </row>
    <row r="7501" spans="1:6" s="315" customFormat="1" ht="15">
      <c r="A7501" s="472" t="s">
        <v>10013</v>
      </c>
      <c r="B7501" s="472" t="s">
        <v>9501</v>
      </c>
      <c r="C7501" s="472" t="s">
        <v>181</v>
      </c>
      <c r="D7501" s="472">
        <v>7.7579000000000002</v>
      </c>
      <c r="E7501" s="472" t="s">
        <v>6305</v>
      </c>
      <c r="F7501" s="352"/>
    </row>
    <row r="7502" spans="1:6" s="315" customFormat="1" ht="15">
      <c r="A7502" s="472" t="s">
        <v>10014</v>
      </c>
      <c r="B7502" s="472" t="s">
        <v>9503</v>
      </c>
      <c r="C7502" s="472" t="s">
        <v>181</v>
      </c>
      <c r="D7502" s="472">
        <v>48.285299999999999</v>
      </c>
      <c r="E7502" s="472" t="s">
        <v>6305</v>
      </c>
      <c r="F7502" s="352"/>
    </row>
    <row r="7503" spans="1:6" s="315" customFormat="1" ht="15">
      <c r="A7503" s="472" t="s">
        <v>10015</v>
      </c>
      <c r="B7503" s="472" t="s">
        <v>9505</v>
      </c>
      <c r="C7503" s="472" t="s">
        <v>181</v>
      </c>
      <c r="D7503" s="472">
        <v>45.752899999999997</v>
      </c>
      <c r="E7503" s="472" t="s">
        <v>6305</v>
      </c>
      <c r="F7503" s="352"/>
    </row>
    <row r="7504" spans="1:6" s="315" customFormat="1" ht="15">
      <c r="A7504" s="472" t="s">
        <v>10016</v>
      </c>
      <c r="B7504" s="472" t="s">
        <v>9507</v>
      </c>
      <c r="C7504" s="472" t="s">
        <v>181</v>
      </c>
      <c r="D7504" s="472">
        <v>2.5324</v>
      </c>
      <c r="E7504" s="472" t="s">
        <v>6305</v>
      </c>
      <c r="F7504" s="352"/>
    </row>
    <row r="7505" spans="1:6" s="315" customFormat="1" ht="15">
      <c r="A7505" s="472" t="s">
        <v>10017</v>
      </c>
      <c r="B7505" s="472" t="s">
        <v>9509</v>
      </c>
      <c r="C7505" s="472" t="s">
        <v>181</v>
      </c>
      <c r="D7505" s="472">
        <v>41.9666</v>
      </c>
      <c r="E7505" s="472" t="s">
        <v>6305</v>
      </c>
      <c r="F7505" s="352"/>
    </row>
    <row r="7506" spans="1:6" s="315" customFormat="1" ht="15">
      <c r="A7506" s="472" t="s">
        <v>9960</v>
      </c>
      <c r="B7506" s="472" t="s">
        <v>9402</v>
      </c>
      <c r="C7506" s="472" t="s">
        <v>181</v>
      </c>
      <c r="D7506" s="472">
        <v>37.686</v>
      </c>
      <c r="E7506" s="472" t="s">
        <v>6305</v>
      </c>
      <c r="F7506" s="352"/>
    </row>
    <row r="7507" spans="1:6" s="315" customFormat="1" ht="15">
      <c r="A7507" s="472" t="s">
        <v>10018</v>
      </c>
      <c r="B7507" s="472" t="s">
        <v>9511</v>
      </c>
      <c r="C7507" s="472" t="s">
        <v>181</v>
      </c>
      <c r="D7507" s="472">
        <v>4.2805999999999997</v>
      </c>
      <c r="E7507" s="472" t="s">
        <v>6305</v>
      </c>
      <c r="F7507" s="352"/>
    </row>
    <row r="7508" spans="1:6" s="315" customFormat="1" ht="15">
      <c r="A7508" s="472" t="s">
        <v>10019</v>
      </c>
      <c r="B7508" s="472" t="s">
        <v>9513</v>
      </c>
      <c r="C7508" s="472" t="s">
        <v>181</v>
      </c>
      <c r="D7508" s="472">
        <v>106.9806</v>
      </c>
      <c r="E7508" s="472" t="s">
        <v>6305</v>
      </c>
      <c r="F7508" s="352"/>
    </row>
    <row r="7509" spans="1:6" s="315" customFormat="1" ht="15">
      <c r="A7509" s="472" t="s">
        <v>10020</v>
      </c>
      <c r="B7509" s="472" t="s">
        <v>9515</v>
      </c>
      <c r="C7509" s="472" t="s">
        <v>181</v>
      </c>
      <c r="D7509" s="472">
        <v>33.977800000000002</v>
      </c>
      <c r="E7509" s="472" t="s">
        <v>6305</v>
      </c>
      <c r="F7509" s="352"/>
    </row>
    <row r="7510" spans="1:6" s="315" customFormat="1" ht="15">
      <c r="A7510" s="472" t="s">
        <v>10021</v>
      </c>
      <c r="B7510" s="472" t="s">
        <v>26771</v>
      </c>
      <c r="C7510" s="472" t="s">
        <v>181</v>
      </c>
      <c r="D7510" s="472">
        <v>73.002799999999993</v>
      </c>
      <c r="E7510" s="472" t="s">
        <v>6305</v>
      </c>
      <c r="F7510" s="352"/>
    </row>
    <row r="7511" spans="1:6" s="315" customFormat="1" ht="15">
      <c r="A7511" s="472" t="s">
        <v>10022</v>
      </c>
      <c r="B7511" s="472" t="s">
        <v>26772</v>
      </c>
      <c r="C7511" s="472" t="s">
        <v>181</v>
      </c>
      <c r="D7511" s="472">
        <v>145.14769999999999</v>
      </c>
      <c r="E7511" s="472" t="s">
        <v>6305</v>
      </c>
      <c r="F7511" s="352"/>
    </row>
    <row r="7512" spans="1:6" s="315" customFormat="1" ht="15">
      <c r="A7512" s="472" t="s">
        <v>10023</v>
      </c>
      <c r="B7512" s="472" t="s">
        <v>9519</v>
      </c>
      <c r="C7512" s="472" t="s">
        <v>181</v>
      </c>
      <c r="D7512" s="472">
        <v>39.3581</v>
      </c>
      <c r="E7512" s="472" t="s">
        <v>6305</v>
      </c>
      <c r="F7512" s="352"/>
    </row>
    <row r="7513" spans="1:6" s="315" customFormat="1" ht="15">
      <c r="A7513" s="472" t="s">
        <v>10024</v>
      </c>
      <c r="B7513" s="472" t="s">
        <v>9521</v>
      </c>
      <c r="C7513" s="472" t="s">
        <v>181</v>
      </c>
      <c r="D7513" s="472">
        <v>6.2897999999999996</v>
      </c>
      <c r="E7513" s="472" t="s">
        <v>6305</v>
      </c>
      <c r="F7513" s="352"/>
    </row>
    <row r="7514" spans="1:6" s="315" customFormat="1" ht="15">
      <c r="A7514" s="472" t="s">
        <v>10025</v>
      </c>
      <c r="B7514" s="472" t="s">
        <v>26773</v>
      </c>
      <c r="C7514" s="472" t="s">
        <v>181</v>
      </c>
      <c r="D7514" s="472">
        <v>99.499799999999993</v>
      </c>
      <c r="E7514" s="472" t="s">
        <v>6305</v>
      </c>
      <c r="F7514" s="352"/>
    </row>
    <row r="7515" spans="1:6" s="315" customFormat="1" ht="15">
      <c r="A7515" s="472" t="s">
        <v>10026</v>
      </c>
      <c r="B7515" s="472" t="s">
        <v>9524</v>
      </c>
      <c r="C7515" s="472" t="s">
        <v>181</v>
      </c>
      <c r="D7515" s="472">
        <v>39.641199999999998</v>
      </c>
      <c r="E7515" s="472" t="s">
        <v>6305</v>
      </c>
      <c r="F7515" s="352"/>
    </row>
    <row r="7516" spans="1:6" s="315" customFormat="1" ht="15">
      <c r="A7516" s="472" t="s">
        <v>10027</v>
      </c>
      <c r="B7516" s="472" t="s">
        <v>9402</v>
      </c>
      <c r="C7516" s="472" t="s">
        <v>181</v>
      </c>
      <c r="D7516" s="472">
        <v>37.686</v>
      </c>
      <c r="E7516" s="472" t="s">
        <v>6305</v>
      </c>
      <c r="F7516" s="352"/>
    </row>
    <row r="7517" spans="1:6" s="315" customFormat="1" ht="15">
      <c r="A7517" s="472" t="s">
        <v>10028</v>
      </c>
      <c r="B7517" s="472" t="s">
        <v>9527</v>
      </c>
      <c r="C7517" s="472" t="s">
        <v>181</v>
      </c>
      <c r="D7517" s="472">
        <v>1.9552</v>
      </c>
      <c r="E7517" s="472" t="s">
        <v>6305</v>
      </c>
      <c r="F7517" s="352"/>
    </row>
    <row r="7518" spans="1:6" s="315" customFormat="1" ht="15">
      <c r="A7518" s="472" t="s">
        <v>10029</v>
      </c>
      <c r="B7518" s="472" t="s">
        <v>9529</v>
      </c>
      <c r="C7518" s="472" t="s">
        <v>181</v>
      </c>
      <c r="D7518" s="472">
        <v>55.9129</v>
      </c>
      <c r="E7518" s="472" t="s">
        <v>6305</v>
      </c>
      <c r="F7518" s="352"/>
    </row>
    <row r="7519" spans="1:6" s="315" customFormat="1" ht="15">
      <c r="A7519" s="472" t="s">
        <v>10030</v>
      </c>
      <c r="B7519" s="472" t="s">
        <v>9531</v>
      </c>
      <c r="C7519" s="472" t="s">
        <v>181</v>
      </c>
      <c r="D7519" s="472">
        <v>44.599400000000003</v>
      </c>
      <c r="E7519" s="472" t="s">
        <v>6305</v>
      </c>
      <c r="F7519" s="352"/>
    </row>
    <row r="7520" spans="1:6" s="315" customFormat="1" ht="15">
      <c r="A7520" s="472" t="s">
        <v>10031</v>
      </c>
      <c r="B7520" s="472" t="s">
        <v>9533</v>
      </c>
      <c r="C7520" s="472" t="s">
        <v>181</v>
      </c>
      <c r="D7520" s="472">
        <v>11.313499999999999</v>
      </c>
      <c r="E7520" s="472" t="s">
        <v>6305</v>
      </c>
      <c r="F7520" s="352"/>
    </row>
    <row r="7521" spans="1:6" s="315" customFormat="1" ht="15">
      <c r="A7521" s="472" t="s">
        <v>10032</v>
      </c>
      <c r="B7521" s="472" t="s">
        <v>9535</v>
      </c>
      <c r="C7521" s="472" t="s">
        <v>181</v>
      </c>
      <c r="D7521" s="472">
        <v>62.277200000000001</v>
      </c>
      <c r="E7521" s="472" t="s">
        <v>6305</v>
      </c>
      <c r="F7521" s="352"/>
    </row>
    <row r="7522" spans="1:6" s="315" customFormat="1" ht="15">
      <c r="A7522" s="472" t="s">
        <v>10033</v>
      </c>
      <c r="B7522" s="472" t="s">
        <v>9369</v>
      </c>
      <c r="C7522" s="472" t="s">
        <v>181</v>
      </c>
      <c r="D7522" s="472">
        <v>48.550199999999997</v>
      </c>
      <c r="E7522" s="472" t="s">
        <v>6305</v>
      </c>
      <c r="F7522" s="352"/>
    </row>
    <row r="7523" spans="1:6" s="315" customFormat="1" ht="15">
      <c r="A7523" s="472" t="s">
        <v>10034</v>
      </c>
      <c r="B7523" s="472" t="s">
        <v>9538</v>
      </c>
      <c r="C7523" s="472" t="s">
        <v>181</v>
      </c>
      <c r="D7523" s="472">
        <v>13.727</v>
      </c>
      <c r="E7523" s="472" t="s">
        <v>6305</v>
      </c>
      <c r="F7523" s="352"/>
    </row>
    <row r="7524" spans="1:6" s="315" customFormat="1" ht="15">
      <c r="A7524" s="472" t="s">
        <v>10035</v>
      </c>
      <c r="B7524" s="472" t="s">
        <v>9540</v>
      </c>
      <c r="C7524" s="472" t="s">
        <v>181</v>
      </c>
      <c r="D7524" s="472">
        <v>44.940199999999997</v>
      </c>
      <c r="E7524" s="472" t="s">
        <v>6305</v>
      </c>
      <c r="F7524" s="352"/>
    </row>
    <row r="7525" spans="1:6" s="315" customFormat="1" ht="15">
      <c r="A7525" s="472" t="s">
        <v>10005</v>
      </c>
      <c r="B7525" s="472" t="s">
        <v>9388</v>
      </c>
      <c r="C7525" s="472" t="s">
        <v>181</v>
      </c>
      <c r="D7525" s="472">
        <v>41.418999999999997</v>
      </c>
      <c r="E7525" s="472" t="s">
        <v>6305</v>
      </c>
      <c r="F7525" s="352"/>
    </row>
    <row r="7526" spans="1:6" s="315" customFormat="1" ht="15">
      <c r="A7526" s="472" t="s">
        <v>10036</v>
      </c>
      <c r="B7526" s="472" t="s">
        <v>9542</v>
      </c>
      <c r="C7526" s="472" t="s">
        <v>181</v>
      </c>
      <c r="D7526" s="472">
        <v>3.5211999999999999</v>
      </c>
      <c r="E7526" s="472" t="s">
        <v>6305</v>
      </c>
      <c r="F7526" s="352"/>
    </row>
    <row r="7527" spans="1:6" s="315" customFormat="1" ht="15">
      <c r="A7527" s="472" t="s">
        <v>10037</v>
      </c>
      <c r="B7527" s="472" t="s">
        <v>7806</v>
      </c>
      <c r="C7527" s="472" t="s">
        <v>181</v>
      </c>
      <c r="D7527" s="472">
        <v>43.638800000000003</v>
      </c>
      <c r="E7527" s="472" t="s">
        <v>6305</v>
      </c>
      <c r="F7527" s="352"/>
    </row>
    <row r="7528" spans="1:6" s="315" customFormat="1" ht="15">
      <c r="A7528" s="472" t="s">
        <v>10038</v>
      </c>
      <c r="B7528" s="472" t="s">
        <v>9467</v>
      </c>
      <c r="C7528" s="472" t="s">
        <v>181</v>
      </c>
      <c r="D7528" s="472">
        <v>38.878599999999999</v>
      </c>
      <c r="E7528" s="472" t="s">
        <v>6305</v>
      </c>
      <c r="F7528" s="352"/>
    </row>
    <row r="7529" spans="1:6" s="315" customFormat="1" ht="15">
      <c r="A7529" s="472" t="s">
        <v>10039</v>
      </c>
      <c r="B7529" s="472" t="s">
        <v>9546</v>
      </c>
      <c r="C7529" s="472" t="s">
        <v>181</v>
      </c>
      <c r="D7529" s="472">
        <v>4.7602000000000002</v>
      </c>
      <c r="E7529" s="472" t="s">
        <v>6305</v>
      </c>
      <c r="F7529" s="352"/>
    </row>
    <row r="7530" spans="1:6" s="315" customFormat="1" ht="15">
      <c r="A7530" s="472" t="s">
        <v>10040</v>
      </c>
      <c r="B7530" s="472" t="s">
        <v>26774</v>
      </c>
      <c r="C7530" s="472" t="s">
        <v>181</v>
      </c>
      <c r="D7530" s="472">
        <v>141.75069999999999</v>
      </c>
      <c r="E7530" s="472" t="s">
        <v>6305</v>
      </c>
      <c r="F7530" s="352"/>
    </row>
    <row r="7531" spans="1:6" s="315" customFormat="1" ht="15">
      <c r="A7531" s="472" t="s">
        <v>10041</v>
      </c>
      <c r="B7531" s="472" t="s">
        <v>9531</v>
      </c>
      <c r="C7531" s="472" t="s">
        <v>181</v>
      </c>
      <c r="D7531" s="472">
        <v>44.599400000000003</v>
      </c>
      <c r="E7531" s="472" t="s">
        <v>6305</v>
      </c>
      <c r="F7531" s="352"/>
    </row>
    <row r="7532" spans="1:6" s="315" customFormat="1" ht="15">
      <c r="A7532" s="472" t="s">
        <v>10042</v>
      </c>
      <c r="B7532" s="472" t="s">
        <v>26775</v>
      </c>
      <c r="C7532" s="472" t="s">
        <v>181</v>
      </c>
      <c r="D7532" s="472">
        <v>97.151300000000006</v>
      </c>
      <c r="E7532" s="472" t="s">
        <v>6305</v>
      </c>
      <c r="F7532" s="352"/>
    </row>
    <row r="7533" spans="1:6" s="315" customFormat="1" ht="15">
      <c r="A7533" s="472" t="s">
        <v>10043</v>
      </c>
      <c r="B7533" s="472" t="s">
        <v>9551</v>
      </c>
      <c r="C7533" s="472" t="s">
        <v>181</v>
      </c>
      <c r="D7533" s="472">
        <v>48.011099999999999</v>
      </c>
      <c r="E7533" s="472" t="s">
        <v>6305</v>
      </c>
      <c r="F7533" s="352"/>
    </row>
    <row r="7534" spans="1:6" s="315" customFormat="1" ht="15">
      <c r="A7534" s="472" t="s">
        <v>10005</v>
      </c>
      <c r="B7534" s="472" t="s">
        <v>9388</v>
      </c>
      <c r="C7534" s="472" t="s">
        <v>181</v>
      </c>
      <c r="D7534" s="472">
        <v>41.418999999999997</v>
      </c>
      <c r="E7534" s="472" t="s">
        <v>6305</v>
      </c>
      <c r="F7534" s="352"/>
    </row>
    <row r="7535" spans="1:6" s="315" customFormat="1" ht="15">
      <c r="A7535" s="472" t="s">
        <v>9986</v>
      </c>
      <c r="B7535" s="472" t="s">
        <v>9453</v>
      </c>
      <c r="C7535" s="472" t="s">
        <v>181</v>
      </c>
      <c r="D7535" s="472">
        <v>6.5921000000000003</v>
      </c>
      <c r="E7535" s="472" t="s">
        <v>6305</v>
      </c>
      <c r="F7535" s="352"/>
    </row>
    <row r="7536" spans="1:6" s="315" customFormat="1" ht="15">
      <c r="A7536" s="472" t="s">
        <v>10044</v>
      </c>
      <c r="B7536" s="472" t="s">
        <v>9553</v>
      </c>
      <c r="C7536" s="472" t="s">
        <v>181</v>
      </c>
      <c r="D7536" s="472">
        <v>217.29900000000001</v>
      </c>
      <c r="E7536" s="472" t="s">
        <v>6305</v>
      </c>
      <c r="F7536" s="352"/>
    </row>
    <row r="7537" spans="1:6" s="315" customFormat="1" ht="15">
      <c r="A7537" s="472" t="s">
        <v>10045</v>
      </c>
      <c r="B7537" s="472" t="s">
        <v>9555</v>
      </c>
      <c r="C7537" s="472" t="s">
        <v>181</v>
      </c>
      <c r="D7537" s="472">
        <v>169.6396</v>
      </c>
      <c r="E7537" s="472" t="s">
        <v>6305</v>
      </c>
      <c r="F7537" s="352"/>
    </row>
    <row r="7538" spans="1:6" s="315" customFormat="1" ht="15">
      <c r="A7538" s="472" t="s">
        <v>10046</v>
      </c>
      <c r="B7538" s="472" t="s">
        <v>9557</v>
      </c>
      <c r="C7538" s="472" t="s">
        <v>181</v>
      </c>
      <c r="D7538" s="472">
        <v>47.659399999999998</v>
      </c>
      <c r="E7538" s="472" t="s">
        <v>6305</v>
      </c>
      <c r="F7538" s="352"/>
    </row>
    <row r="7539" spans="1:6" s="315" customFormat="1" ht="15">
      <c r="A7539" s="472" t="s">
        <v>10047</v>
      </c>
      <c r="B7539" s="472" t="s">
        <v>9559</v>
      </c>
      <c r="C7539" s="472" t="s">
        <v>181</v>
      </c>
      <c r="D7539" s="472">
        <v>47.557000000000002</v>
      </c>
      <c r="E7539" s="472" t="s">
        <v>6305</v>
      </c>
      <c r="F7539" s="352"/>
    </row>
    <row r="7540" spans="1:6" s="315" customFormat="1" ht="15">
      <c r="A7540" s="472" t="s">
        <v>10002</v>
      </c>
      <c r="B7540" s="472" t="s">
        <v>9476</v>
      </c>
      <c r="C7540" s="472" t="s">
        <v>181</v>
      </c>
      <c r="D7540" s="472">
        <v>42.091099999999997</v>
      </c>
      <c r="E7540" s="472" t="s">
        <v>6305</v>
      </c>
      <c r="F7540" s="352"/>
    </row>
    <row r="7541" spans="1:6" s="315" customFormat="1" ht="15">
      <c r="A7541" s="472" t="s">
        <v>10048</v>
      </c>
      <c r="B7541" s="472" t="s">
        <v>9561</v>
      </c>
      <c r="C7541" s="472" t="s">
        <v>181</v>
      </c>
      <c r="D7541" s="472">
        <v>5.4659000000000004</v>
      </c>
      <c r="E7541" s="472" t="s">
        <v>6305</v>
      </c>
      <c r="F7541" s="352"/>
    </row>
    <row r="7542" spans="1:6" s="315" customFormat="1" ht="15">
      <c r="A7542" s="472" t="s">
        <v>10049</v>
      </c>
      <c r="B7542" s="472" t="s">
        <v>7760</v>
      </c>
      <c r="C7542" s="472" t="s">
        <v>181</v>
      </c>
      <c r="D7542" s="472">
        <v>67.450299999999999</v>
      </c>
      <c r="E7542" s="472" t="s">
        <v>6305</v>
      </c>
      <c r="F7542" s="352"/>
    </row>
    <row r="7543" spans="1:6" s="315" customFormat="1" ht="15">
      <c r="A7543" s="472" t="s">
        <v>10050</v>
      </c>
      <c r="B7543" s="472" t="s">
        <v>9564</v>
      </c>
      <c r="C7543" s="472" t="s">
        <v>181</v>
      </c>
      <c r="D7543" s="472">
        <v>40.550699999999999</v>
      </c>
      <c r="E7543" s="472" t="s">
        <v>6305</v>
      </c>
      <c r="F7543" s="352"/>
    </row>
    <row r="7544" spans="1:6" s="315" customFormat="1" ht="15">
      <c r="A7544" s="472" t="s">
        <v>10051</v>
      </c>
      <c r="B7544" s="472" t="s">
        <v>9566</v>
      </c>
      <c r="C7544" s="472" t="s">
        <v>181</v>
      </c>
      <c r="D7544" s="472">
        <v>1.1956</v>
      </c>
      <c r="E7544" s="472" t="s">
        <v>6305</v>
      </c>
      <c r="F7544" s="352"/>
    </row>
    <row r="7545" spans="1:6" s="315" customFormat="1" ht="15">
      <c r="A7545" s="472" t="s">
        <v>9962</v>
      </c>
      <c r="B7545" s="472" t="s">
        <v>9406</v>
      </c>
      <c r="C7545" s="472" t="s">
        <v>181</v>
      </c>
      <c r="D7545" s="472">
        <v>25.704000000000001</v>
      </c>
      <c r="E7545" s="472" t="s">
        <v>6305</v>
      </c>
      <c r="F7545" s="352"/>
    </row>
    <row r="7546" spans="1:6" s="315" customFormat="1" ht="15">
      <c r="A7546" s="472" t="s">
        <v>10052</v>
      </c>
      <c r="B7546" s="472" t="s">
        <v>6600</v>
      </c>
      <c r="C7546" s="472" t="s">
        <v>181</v>
      </c>
      <c r="D7546" s="472">
        <v>33.813400000000001</v>
      </c>
      <c r="E7546" s="472" t="s">
        <v>6305</v>
      </c>
      <c r="F7546" s="352"/>
    </row>
    <row r="7547" spans="1:6" s="315" customFormat="1" ht="15">
      <c r="A7547" s="472" t="s">
        <v>10053</v>
      </c>
      <c r="B7547" s="472" t="s">
        <v>9569</v>
      </c>
      <c r="C7547" s="472" t="s">
        <v>181</v>
      </c>
      <c r="D7547" s="472">
        <v>32.8108</v>
      </c>
      <c r="E7547" s="472" t="s">
        <v>6305</v>
      </c>
      <c r="F7547" s="352"/>
    </row>
    <row r="7548" spans="1:6" s="315" customFormat="1" ht="15">
      <c r="A7548" s="472" t="s">
        <v>10054</v>
      </c>
      <c r="B7548" s="472" t="s">
        <v>9571</v>
      </c>
      <c r="C7548" s="472" t="s">
        <v>181</v>
      </c>
      <c r="D7548" s="472">
        <v>1.0025999999999999</v>
      </c>
      <c r="E7548" s="472" t="s">
        <v>6305</v>
      </c>
      <c r="F7548" s="352"/>
    </row>
    <row r="7549" spans="1:6" s="315" customFormat="1" ht="15">
      <c r="A7549" s="472" t="s">
        <v>10055</v>
      </c>
      <c r="B7549" s="472" t="s">
        <v>26776</v>
      </c>
      <c r="C7549" s="472" t="s">
        <v>181</v>
      </c>
      <c r="D7549" s="472">
        <v>105.12090000000001</v>
      </c>
      <c r="E7549" s="472" t="s">
        <v>6305</v>
      </c>
      <c r="F7549" s="352"/>
    </row>
    <row r="7550" spans="1:6" s="315" customFormat="1" ht="15">
      <c r="A7550" s="472" t="s">
        <v>10056</v>
      </c>
      <c r="B7550" s="472" t="s">
        <v>9574</v>
      </c>
      <c r="C7550" s="472" t="s">
        <v>181</v>
      </c>
      <c r="D7550" s="472">
        <v>43.763199999999998</v>
      </c>
      <c r="E7550" s="472" t="s">
        <v>6305</v>
      </c>
      <c r="F7550" s="352"/>
    </row>
    <row r="7551" spans="1:6" s="315" customFormat="1" ht="15">
      <c r="A7551" s="472" t="s">
        <v>10057</v>
      </c>
      <c r="B7551" s="472" t="s">
        <v>26777</v>
      </c>
      <c r="C7551" s="472" t="s">
        <v>181</v>
      </c>
      <c r="D7551" s="472">
        <v>61.357700000000001</v>
      </c>
      <c r="E7551" s="472" t="s">
        <v>6305</v>
      </c>
      <c r="F7551" s="352"/>
    </row>
    <row r="7552" spans="1:6" s="315" customFormat="1" ht="15">
      <c r="A7552" s="472" t="s">
        <v>10058</v>
      </c>
      <c r="B7552" s="472" t="s">
        <v>9577</v>
      </c>
      <c r="C7552" s="472" t="s">
        <v>181</v>
      </c>
      <c r="D7552" s="472">
        <v>89.412300000000002</v>
      </c>
      <c r="E7552" s="472" t="s">
        <v>6305</v>
      </c>
      <c r="F7552" s="352"/>
    </row>
    <row r="7553" spans="1:6" s="315" customFormat="1" ht="15">
      <c r="A7553" s="472" t="s">
        <v>10050</v>
      </c>
      <c r="B7553" s="472" t="s">
        <v>9564</v>
      </c>
      <c r="C7553" s="472" t="s">
        <v>181</v>
      </c>
      <c r="D7553" s="472">
        <v>40.550699999999999</v>
      </c>
      <c r="E7553" s="472" t="s">
        <v>6305</v>
      </c>
      <c r="F7553" s="352"/>
    </row>
    <row r="7554" spans="1:6" s="315" customFormat="1" ht="15">
      <c r="A7554" s="472" t="s">
        <v>10059</v>
      </c>
      <c r="B7554" s="472" t="s">
        <v>9579</v>
      </c>
      <c r="C7554" s="472" t="s">
        <v>181</v>
      </c>
      <c r="D7554" s="472">
        <v>3.2347999999999999</v>
      </c>
      <c r="E7554" s="472" t="s">
        <v>6305</v>
      </c>
      <c r="F7554" s="352"/>
    </row>
    <row r="7555" spans="1:6" s="315" customFormat="1" ht="15">
      <c r="A7555" s="472" t="s">
        <v>10060</v>
      </c>
      <c r="B7555" s="472" t="s">
        <v>9581</v>
      </c>
      <c r="C7555" s="472" t="s">
        <v>181</v>
      </c>
      <c r="D7555" s="472">
        <v>44.311599999999999</v>
      </c>
      <c r="E7555" s="472" t="s">
        <v>6305</v>
      </c>
      <c r="F7555" s="352"/>
    </row>
    <row r="7556" spans="1:6" s="315" customFormat="1" ht="15">
      <c r="A7556" s="472" t="s">
        <v>9995</v>
      </c>
      <c r="B7556" s="472" t="s">
        <v>9469</v>
      </c>
      <c r="C7556" s="472" t="s">
        <v>181</v>
      </c>
      <c r="D7556" s="472">
        <v>1.3151999999999999</v>
      </c>
      <c r="E7556" s="472" t="s">
        <v>6305</v>
      </c>
      <c r="F7556" s="352"/>
    </row>
    <row r="7557" spans="1:6" s="315" customFormat="1" ht="15">
      <c r="A7557" s="472" t="s">
        <v>10061</v>
      </c>
      <c r="B7557" s="472" t="s">
        <v>9583</v>
      </c>
      <c r="C7557" s="472" t="s">
        <v>181</v>
      </c>
      <c r="D7557" s="472">
        <v>272.82659999999998</v>
      </c>
      <c r="E7557" s="472" t="s">
        <v>6305</v>
      </c>
      <c r="F7557" s="352"/>
    </row>
    <row r="7558" spans="1:6" s="315" customFormat="1" ht="15">
      <c r="A7558" s="472" t="s">
        <v>10062</v>
      </c>
      <c r="B7558" s="472" t="s">
        <v>9569</v>
      </c>
      <c r="C7558" s="472" t="s">
        <v>181</v>
      </c>
      <c r="D7558" s="472">
        <v>32.8108</v>
      </c>
      <c r="E7558" s="472" t="s">
        <v>6305</v>
      </c>
      <c r="F7558" s="352"/>
    </row>
    <row r="7559" spans="1:6" s="315" customFormat="1" ht="15">
      <c r="A7559" s="472" t="s">
        <v>10063</v>
      </c>
      <c r="B7559" s="472" t="s">
        <v>9586</v>
      </c>
      <c r="C7559" s="472" t="s">
        <v>181</v>
      </c>
      <c r="D7559" s="472">
        <v>240.01580000000001</v>
      </c>
      <c r="E7559" s="472" t="s">
        <v>6305</v>
      </c>
      <c r="F7559" s="352"/>
    </row>
    <row r="7560" spans="1:6" s="315" customFormat="1" ht="15">
      <c r="A7560" s="472" t="s">
        <v>10064</v>
      </c>
      <c r="B7560" s="472" t="s">
        <v>9588</v>
      </c>
      <c r="C7560" s="472" t="s">
        <v>181</v>
      </c>
      <c r="D7560" s="472">
        <v>80.985399999999998</v>
      </c>
      <c r="E7560" s="472" t="s">
        <v>6305</v>
      </c>
      <c r="F7560" s="352"/>
    </row>
    <row r="7561" spans="1:6" s="315" customFormat="1" ht="15">
      <c r="A7561" s="472" t="s">
        <v>10065</v>
      </c>
      <c r="B7561" s="472" t="s">
        <v>9590</v>
      </c>
      <c r="C7561" s="472" t="s">
        <v>181</v>
      </c>
      <c r="D7561" s="472">
        <v>36.0306</v>
      </c>
      <c r="E7561" s="472" t="s">
        <v>6305</v>
      </c>
      <c r="F7561" s="352"/>
    </row>
    <row r="7562" spans="1:6" s="315" customFormat="1" ht="15">
      <c r="A7562" s="472" t="s">
        <v>10066</v>
      </c>
      <c r="B7562" s="472" t="s">
        <v>9592</v>
      </c>
      <c r="C7562" s="472" t="s">
        <v>181</v>
      </c>
      <c r="D7562" s="472">
        <v>44.954799999999999</v>
      </c>
      <c r="E7562" s="472" t="s">
        <v>6305</v>
      </c>
      <c r="F7562" s="352"/>
    </row>
    <row r="7563" spans="1:6" s="315" customFormat="1" ht="15">
      <c r="A7563" s="472" t="s">
        <v>10067</v>
      </c>
      <c r="B7563" s="472" t="s">
        <v>9594</v>
      </c>
      <c r="C7563" s="472" t="s">
        <v>181</v>
      </c>
      <c r="D7563" s="472">
        <v>113.1379</v>
      </c>
      <c r="E7563" s="472" t="s">
        <v>6305</v>
      </c>
      <c r="F7563" s="352"/>
    </row>
    <row r="7564" spans="1:6" s="315" customFormat="1" ht="15">
      <c r="A7564" s="472" t="s">
        <v>10050</v>
      </c>
      <c r="B7564" s="472" t="s">
        <v>9564</v>
      </c>
      <c r="C7564" s="472" t="s">
        <v>181</v>
      </c>
      <c r="D7564" s="472">
        <v>40.550699999999999</v>
      </c>
      <c r="E7564" s="472" t="s">
        <v>6305</v>
      </c>
      <c r="F7564" s="352"/>
    </row>
    <row r="7565" spans="1:6" s="315" customFormat="1" ht="15">
      <c r="A7565" s="472" t="s">
        <v>10068</v>
      </c>
      <c r="B7565" s="472" t="s">
        <v>9596</v>
      </c>
      <c r="C7565" s="472" t="s">
        <v>181</v>
      </c>
      <c r="D7565" s="472">
        <v>72.587199999999996</v>
      </c>
      <c r="E7565" s="472" t="s">
        <v>6305</v>
      </c>
      <c r="F7565" s="352"/>
    </row>
    <row r="7566" spans="1:6" s="315" customFormat="1" ht="15">
      <c r="A7566" s="472" t="s">
        <v>10069</v>
      </c>
      <c r="B7566" s="472" t="s">
        <v>9598</v>
      </c>
      <c r="C7566" s="472" t="s">
        <v>181</v>
      </c>
      <c r="D7566" s="472">
        <v>65.140799999999999</v>
      </c>
      <c r="E7566" s="472" t="s">
        <v>6305</v>
      </c>
      <c r="F7566" s="352"/>
    </row>
    <row r="7567" spans="1:6" s="315" customFormat="1" ht="15">
      <c r="A7567" s="472" t="s">
        <v>9960</v>
      </c>
      <c r="B7567" s="472" t="s">
        <v>9402</v>
      </c>
      <c r="C7567" s="472" t="s">
        <v>181</v>
      </c>
      <c r="D7567" s="472">
        <v>37.686</v>
      </c>
      <c r="E7567" s="472" t="s">
        <v>6305</v>
      </c>
      <c r="F7567" s="352"/>
    </row>
    <row r="7568" spans="1:6" s="315" customFormat="1" ht="15">
      <c r="A7568" s="472" t="s">
        <v>10070</v>
      </c>
      <c r="B7568" s="472" t="s">
        <v>26778</v>
      </c>
      <c r="C7568" s="472" t="s">
        <v>181</v>
      </c>
      <c r="D7568" s="472">
        <v>27.454799999999999</v>
      </c>
      <c r="E7568" s="472" t="s">
        <v>6305</v>
      </c>
      <c r="F7568" s="352"/>
    </row>
    <row r="7569" spans="1:6" s="315" customFormat="1" ht="19.5">
      <c r="A7569" s="488"/>
      <c r="B7569" s="488"/>
      <c r="C7569" s="488"/>
      <c r="D7569" s="488"/>
      <c r="E7569" s="488"/>
      <c r="F7569" s="474"/>
    </row>
    <row r="7570" spans="1:6" s="315" customFormat="1" ht="19.5">
      <c r="A7570" s="488"/>
      <c r="B7570" s="488" t="s">
        <v>13395</v>
      </c>
      <c r="C7570" s="488"/>
      <c r="D7570" s="488"/>
      <c r="E7570" s="488"/>
      <c r="F7570" s="352"/>
    </row>
    <row r="7571" spans="1:6" s="315" customFormat="1" ht="27">
      <c r="A7571" s="314">
        <v>5003</v>
      </c>
      <c r="B7571" s="314" t="s">
        <v>8560</v>
      </c>
      <c r="C7571" s="314" t="s">
        <v>8561</v>
      </c>
      <c r="D7571" s="553">
        <v>93</v>
      </c>
      <c r="E7571" s="314" t="s">
        <v>201</v>
      </c>
      <c r="F7571" s="352"/>
    </row>
    <row r="7572" spans="1:6" s="315" customFormat="1" ht="13.5">
      <c r="A7572" s="314" t="s">
        <v>8088</v>
      </c>
      <c r="B7572" s="314" t="s">
        <v>8087</v>
      </c>
      <c r="C7572" s="314" t="s">
        <v>8093</v>
      </c>
      <c r="D7572" s="554">
        <v>0.13</v>
      </c>
      <c r="E7572" s="314" t="s">
        <v>201</v>
      </c>
      <c r="F7572" s="352"/>
    </row>
    <row r="7573" spans="1:6" s="315" customFormat="1" ht="13.5">
      <c r="A7573" s="314" t="s">
        <v>8090</v>
      </c>
      <c r="B7573" s="314" t="s">
        <v>8089</v>
      </c>
      <c r="C7573" s="314" t="s">
        <v>8093</v>
      </c>
      <c r="D7573" s="554">
        <v>1.7499999999999998E-2</v>
      </c>
      <c r="E7573" s="314" t="s">
        <v>201</v>
      </c>
      <c r="F7573" s="352"/>
    </row>
    <row r="7574" spans="1:6" s="315" customFormat="1" ht="13.5">
      <c r="A7574" s="314" t="s">
        <v>8092</v>
      </c>
      <c r="B7574" s="314" t="s">
        <v>8091</v>
      </c>
      <c r="C7574" s="314" t="s">
        <v>8093</v>
      </c>
      <c r="D7574" s="554">
        <v>8.3333333333333329E-2</v>
      </c>
      <c r="E7574" s="314" t="s">
        <v>201</v>
      </c>
      <c r="F7574" s="352"/>
    </row>
    <row r="7575" spans="1:6" s="315" customFormat="1" ht="27">
      <c r="A7575" s="314" t="s">
        <v>6819</v>
      </c>
      <c r="B7575" s="314" t="s">
        <v>6820</v>
      </c>
      <c r="C7575" s="314" t="s">
        <v>5079</v>
      </c>
      <c r="D7575" s="552">
        <v>21020.83</v>
      </c>
      <c r="E7575" s="314" t="s">
        <v>7326</v>
      </c>
      <c r="F7575" s="352"/>
    </row>
    <row r="7576" spans="1:6" s="315" customFormat="1" ht="13.5">
      <c r="A7576" s="314" t="s">
        <v>7654</v>
      </c>
      <c r="B7576" s="314" t="s">
        <v>7797</v>
      </c>
      <c r="C7576" s="314" t="s">
        <v>5079</v>
      </c>
      <c r="D7576" s="552">
        <v>21731.673900000002</v>
      </c>
      <c r="E7576" s="314" t="s">
        <v>7326</v>
      </c>
      <c r="F7576" s="352"/>
    </row>
    <row r="7577" spans="1:6" s="315" customFormat="1" ht="13.5">
      <c r="A7577" s="314" t="s">
        <v>7655</v>
      </c>
      <c r="B7577" s="314" t="s">
        <v>7798</v>
      </c>
      <c r="C7577" s="314" t="s">
        <v>5079</v>
      </c>
      <c r="D7577" s="552">
        <v>17574.942899999998</v>
      </c>
      <c r="E7577" s="314" t="s">
        <v>7326</v>
      </c>
      <c r="F7577" s="352"/>
    </row>
    <row r="7578" spans="1:6" s="315" customFormat="1" ht="27">
      <c r="A7578" s="314" t="s">
        <v>7677</v>
      </c>
      <c r="B7578" s="556" t="s">
        <v>8526</v>
      </c>
      <c r="C7578" s="314" t="s">
        <v>5079</v>
      </c>
      <c r="D7578" s="553">
        <v>6502.9154716499997</v>
      </c>
      <c r="E7578" s="314" t="s">
        <v>201</v>
      </c>
      <c r="F7578" s="352"/>
    </row>
    <row r="7579" spans="1:6" s="315" customFormat="1" ht="27">
      <c r="A7579" s="314" t="s">
        <v>7683</v>
      </c>
      <c r="B7579" s="314" t="s">
        <v>8503</v>
      </c>
      <c r="C7579" s="314" t="s">
        <v>5079</v>
      </c>
      <c r="D7579" s="554">
        <v>664.99</v>
      </c>
      <c r="E7579" s="314" t="s">
        <v>170</v>
      </c>
      <c r="F7579" s="352"/>
    </row>
    <row r="7580" spans="1:6" s="315" customFormat="1" ht="27">
      <c r="A7580" s="314" t="s">
        <v>7691</v>
      </c>
      <c r="B7580" s="314" t="s">
        <v>8504</v>
      </c>
      <c r="C7580" s="314" t="s">
        <v>5079</v>
      </c>
      <c r="D7580" s="554">
        <v>3179.5</v>
      </c>
      <c r="E7580" s="314" t="s">
        <v>201</v>
      </c>
      <c r="F7580" s="352"/>
    </row>
    <row r="7581" spans="1:6" s="315" customFormat="1" ht="27">
      <c r="A7581" s="314" t="s">
        <v>8507</v>
      </c>
      <c r="B7581" s="314" t="s">
        <v>8506</v>
      </c>
      <c r="C7581" s="314" t="s">
        <v>5079</v>
      </c>
      <c r="D7581" s="554">
        <v>4003.81</v>
      </c>
      <c r="E7581" s="314" t="s">
        <v>201</v>
      </c>
      <c r="F7581" s="352"/>
    </row>
    <row r="7582" spans="1:6" s="315" customFormat="1" ht="27">
      <c r="A7582" s="314" t="s">
        <v>7704</v>
      </c>
      <c r="B7582" s="314" t="s">
        <v>8505</v>
      </c>
      <c r="C7582" s="314" t="s">
        <v>5079</v>
      </c>
      <c r="D7582" s="554">
        <v>1826.25</v>
      </c>
      <c r="E7582" s="314" t="s">
        <v>201</v>
      </c>
      <c r="F7582" s="352"/>
    </row>
    <row r="7583" spans="1:6" s="315" customFormat="1" ht="27">
      <c r="A7583" s="314" t="s">
        <v>13305</v>
      </c>
      <c r="B7583" s="314" t="s">
        <v>13304</v>
      </c>
      <c r="C7583" s="314" t="s">
        <v>8441</v>
      </c>
      <c r="D7583" s="554"/>
      <c r="E7583" s="314" t="s">
        <v>201</v>
      </c>
      <c r="F7583" s="352"/>
    </row>
    <row r="7584" spans="1:6" s="315" customFormat="1" ht="13.5">
      <c r="A7584" s="314" t="s">
        <v>7563</v>
      </c>
      <c r="B7584" s="314" t="s">
        <v>7562</v>
      </c>
      <c r="C7584" s="314" t="s">
        <v>3495</v>
      </c>
      <c r="D7584" s="553">
        <v>128.97999999999999</v>
      </c>
      <c r="E7584" s="314" t="s">
        <v>201</v>
      </c>
      <c r="F7584" s="352"/>
    </row>
    <row r="7585" spans="1:6" s="315" customFormat="1" ht="13.5">
      <c r="A7585" s="314" t="s">
        <v>7565</v>
      </c>
      <c r="B7585" s="314" t="s">
        <v>7566</v>
      </c>
      <c r="C7585" s="314" t="s">
        <v>3495</v>
      </c>
      <c r="D7585" s="553">
        <v>128.97999999999999</v>
      </c>
      <c r="E7585" s="314" t="s">
        <v>201</v>
      </c>
      <c r="F7585" s="352"/>
    </row>
    <row r="7586" spans="1:6" s="315" customFormat="1" ht="13.5">
      <c r="A7586" s="314" t="s">
        <v>7718</v>
      </c>
      <c r="B7586" s="314" t="s">
        <v>8501</v>
      </c>
      <c r="C7586" s="314" t="s">
        <v>90</v>
      </c>
      <c r="D7586" s="555">
        <f>5*2*4</f>
        <v>40</v>
      </c>
      <c r="E7586" s="314" t="s">
        <v>201</v>
      </c>
      <c r="F7586" s="352"/>
    </row>
    <row r="7587" spans="1:6" s="315" customFormat="1" ht="13.5">
      <c r="A7587" s="314" t="s">
        <v>7499</v>
      </c>
      <c r="B7587" s="314" t="s">
        <v>7500</v>
      </c>
      <c r="C7587" s="314" t="s">
        <v>4521</v>
      </c>
      <c r="D7587" s="554">
        <v>1285.2</v>
      </c>
      <c r="E7587" s="314" t="s">
        <v>201</v>
      </c>
      <c r="F7587" s="352"/>
    </row>
    <row r="7588" spans="1:6" s="315" customFormat="1" ht="13.5">
      <c r="A7588" s="314" t="s">
        <v>7888</v>
      </c>
      <c r="B7588" s="314" t="s">
        <v>7889</v>
      </c>
      <c r="C7588" s="314" t="s">
        <v>4521</v>
      </c>
      <c r="D7588" s="554">
        <v>142.19999999999999</v>
      </c>
      <c r="E7588" s="314" t="s">
        <v>201</v>
      </c>
      <c r="F7588" s="352"/>
    </row>
    <row r="7589" spans="1:6" s="315" customFormat="1" ht="13.5">
      <c r="A7589" s="314" t="s">
        <v>8209</v>
      </c>
      <c r="B7589" s="314" t="s">
        <v>8208</v>
      </c>
      <c r="C7589" s="314" t="s">
        <v>4521</v>
      </c>
      <c r="D7589" s="554">
        <v>642.6</v>
      </c>
      <c r="E7589" s="314" t="s">
        <v>201</v>
      </c>
      <c r="F7589" s="352"/>
    </row>
    <row r="7590" spans="1:6" s="315" customFormat="1" ht="27">
      <c r="A7590" s="314" t="s">
        <v>8225</v>
      </c>
      <c r="B7590" s="314" t="s">
        <v>13484</v>
      </c>
      <c r="C7590" s="314" t="s">
        <v>4521</v>
      </c>
      <c r="D7590" s="554">
        <v>642.6</v>
      </c>
      <c r="E7590" s="314" t="s">
        <v>201</v>
      </c>
      <c r="F7590" s="352"/>
    </row>
    <row r="7591" spans="1:6" s="315" customFormat="1" ht="13.5">
      <c r="A7591" s="314" t="s">
        <v>13221</v>
      </c>
      <c r="B7591" s="314" t="s">
        <v>13222</v>
      </c>
      <c r="C7591" s="314" t="s">
        <v>4521</v>
      </c>
      <c r="D7591" s="554">
        <v>357</v>
      </c>
      <c r="E7591" s="314" t="s">
        <v>201</v>
      </c>
      <c r="F7591" s="352"/>
    </row>
    <row r="7592" spans="1:6" s="315" customFormat="1" ht="13.5">
      <c r="A7592" s="314" t="s">
        <v>13491</v>
      </c>
      <c r="B7592" s="314" t="s">
        <v>13492</v>
      </c>
      <c r="C7592" s="314" t="s">
        <v>4521</v>
      </c>
      <c r="D7592" s="554">
        <v>1285.2</v>
      </c>
      <c r="E7592" s="314" t="s">
        <v>201</v>
      </c>
      <c r="F7592" s="352"/>
    </row>
    <row r="7593" spans="1:6" s="315" customFormat="1" ht="13.5">
      <c r="A7593" s="314" t="s">
        <v>26987</v>
      </c>
      <c r="B7593" s="314" t="s">
        <v>26988</v>
      </c>
      <c r="C7593" s="314" t="s">
        <v>3495</v>
      </c>
      <c r="D7593" s="554">
        <v>12.23</v>
      </c>
      <c r="E7593" s="314" t="s">
        <v>201</v>
      </c>
      <c r="F7593" s="352"/>
    </row>
    <row r="7594" spans="1:6" s="315" customFormat="1" ht="13.5">
      <c r="A7594" s="314" t="s">
        <v>26989</v>
      </c>
      <c r="B7594" s="314" t="s">
        <v>26990</v>
      </c>
      <c r="C7594" s="314" t="s">
        <v>3495</v>
      </c>
      <c r="D7594" s="554">
        <v>19.07</v>
      </c>
      <c r="E7594" s="314" t="s">
        <v>201</v>
      </c>
      <c r="F7594" s="352"/>
    </row>
    <row r="7595" spans="1:6" ht="13.5">
      <c r="A7595" s="210"/>
      <c r="B7595" s="210"/>
      <c r="C7595" s="210"/>
      <c r="D7595" s="212"/>
      <c r="E7595" s="210" t="s">
        <v>201</v>
      </c>
      <c r="F7595" s="252"/>
    </row>
    <row r="7596" spans="1:6" ht="13.5">
      <c r="A7596" s="210"/>
      <c r="B7596" s="210"/>
      <c r="C7596" s="210"/>
      <c r="D7596" s="212"/>
      <c r="E7596" s="210" t="s">
        <v>201</v>
      </c>
      <c r="F7596" s="252"/>
    </row>
    <row r="7597" spans="1:6" ht="13.5">
      <c r="A7597" s="210"/>
      <c r="B7597" s="210"/>
      <c r="C7597" s="210"/>
      <c r="D7597" s="212"/>
      <c r="E7597" s="210" t="s">
        <v>201</v>
      </c>
      <c r="F7597" s="252"/>
    </row>
    <row r="7598" spans="1:6" ht="13.5">
      <c r="A7598" s="210"/>
      <c r="B7598" s="210"/>
      <c r="C7598" s="210"/>
      <c r="D7598" s="212"/>
      <c r="E7598" s="210" t="s">
        <v>201</v>
      </c>
      <c r="F7598" s="252"/>
    </row>
    <row r="7599" spans="1:6" ht="13.5">
      <c r="A7599" s="210"/>
      <c r="B7599" s="210"/>
      <c r="C7599" s="210"/>
      <c r="D7599" s="212"/>
      <c r="E7599" s="210" t="s">
        <v>201</v>
      </c>
      <c r="F7599" s="252"/>
    </row>
    <row r="7600" spans="1:6" ht="13.5">
      <c r="A7600" s="210"/>
      <c r="B7600" s="210"/>
      <c r="C7600" s="210"/>
      <c r="D7600" s="212"/>
      <c r="E7600" s="210" t="s">
        <v>201</v>
      </c>
      <c r="F7600" s="252"/>
    </row>
    <row r="7601" spans="1:6" ht="13.5">
      <c r="A7601" s="210"/>
      <c r="B7601" s="210"/>
      <c r="C7601" s="210"/>
      <c r="D7601" s="212"/>
      <c r="E7601" s="210" t="s">
        <v>201</v>
      </c>
      <c r="F7601" s="252"/>
    </row>
    <row r="7602" spans="1:6" ht="13.5">
      <c r="A7602" s="210"/>
      <c r="B7602" s="210"/>
      <c r="C7602" s="210"/>
      <c r="D7602" s="212"/>
      <c r="E7602" s="210" t="s">
        <v>201</v>
      </c>
      <c r="F7602" s="252"/>
    </row>
    <row r="7603" spans="1:6" ht="13.5">
      <c r="A7603" s="210"/>
      <c r="B7603" s="210"/>
      <c r="C7603" s="210"/>
      <c r="D7603" s="212"/>
      <c r="E7603" s="210" t="s">
        <v>201</v>
      </c>
      <c r="F7603" s="252"/>
    </row>
    <row r="7604" spans="1:6" ht="13.5">
      <c r="A7604" s="210"/>
      <c r="B7604" s="210"/>
      <c r="C7604" s="210"/>
      <c r="D7604" s="212"/>
      <c r="E7604" s="210" t="s">
        <v>201</v>
      </c>
      <c r="F7604" s="252"/>
    </row>
    <row r="7605" spans="1:6" ht="13.5">
      <c r="A7605" s="210"/>
      <c r="B7605" s="210"/>
      <c r="C7605" s="210"/>
      <c r="D7605" s="212"/>
      <c r="E7605" s="210" t="s">
        <v>201</v>
      </c>
      <c r="F7605" s="252"/>
    </row>
    <row r="7606" spans="1:6" ht="13.5">
      <c r="A7606" s="210"/>
      <c r="B7606" s="210"/>
      <c r="C7606" s="210"/>
      <c r="D7606" s="212"/>
      <c r="E7606" s="210" t="s">
        <v>201</v>
      </c>
      <c r="F7606" s="252"/>
    </row>
    <row r="7607" spans="1:6" ht="13.5">
      <c r="A7607" s="210"/>
      <c r="B7607" s="210"/>
      <c r="C7607" s="210"/>
      <c r="D7607" s="212"/>
      <c r="E7607" s="210" t="s">
        <v>201</v>
      </c>
      <c r="F7607" s="252"/>
    </row>
    <row r="7608" spans="1:6" ht="13.5">
      <c r="A7608" s="210"/>
      <c r="B7608" s="210"/>
      <c r="C7608" s="210"/>
      <c r="D7608" s="212"/>
      <c r="E7608" s="210" t="s">
        <v>201</v>
      </c>
      <c r="F7608" s="252"/>
    </row>
    <row r="7609" spans="1:6" ht="13.5">
      <c r="A7609" s="210"/>
      <c r="B7609" s="210"/>
      <c r="C7609" s="210"/>
      <c r="D7609" s="212"/>
      <c r="E7609" s="210" t="s">
        <v>201</v>
      </c>
    </row>
    <row r="7610" spans="1:6" ht="13.5">
      <c r="A7610" s="210"/>
      <c r="B7610" s="210"/>
      <c r="C7610" s="210"/>
      <c r="D7610" s="212"/>
      <c r="E7610" s="210" t="s">
        <v>201</v>
      </c>
    </row>
    <row r="7611" spans="1:6" ht="13.5">
      <c r="A7611" s="210"/>
      <c r="B7611" s="210"/>
      <c r="C7611" s="210"/>
      <c r="D7611" s="212"/>
      <c r="E7611" s="210" t="s">
        <v>201</v>
      </c>
    </row>
    <row r="7612" spans="1:6" ht="13.5">
      <c r="A7612" s="210"/>
      <c r="B7612" s="210"/>
      <c r="C7612" s="210"/>
      <c r="D7612" s="212"/>
      <c r="E7612" s="210" t="s">
        <v>201</v>
      </c>
    </row>
    <row r="7613" spans="1:6" ht="13.5">
      <c r="A7613" s="210"/>
      <c r="B7613" s="210"/>
      <c r="C7613" s="210"/>
      <c r="D7613" s="212"/>
      <c r="E7613" s="210" t="s">
        <v>201</v>
      </c>
    </row>
    <row r="7614" spans="1:6" ht="13.5">
      <c r="A7614" s="210"/>
      <c r="B7614" s="210"/>
      <c r="C7614" s="210"/>
      <c r="D7614" s="212"/>
      <c r="E7614" s="210" t="s">
        <v>201</v>
      </c>
      <c r="F7614" s="248" t="str">
        <f t="shared" ref="F7614:F7619" si="0">UPPER(B7614)</f>
        <v/>
      </c>
    </row>
    <row r="7615" spans="1:6" ht="13.5">
      <c r="A7615" s="210"/>
      <c r="B7615" s="210"/>
      <c r="C7615" s="210"/>
      <c r="D7615" s="212"/>
      <c r="E7615" s="210" t="s">
        <v>201</v>
      </c>
      <c r="F7615" s="248" t="str">
        <f t="shared" si="0"/>
        <v/>
      </c>
    </row>
    <row r="7616" spans="1:6" ht="13.5">
      <c r="A7616" s="210"/>
      <c r="B7616" s="210"/>
      <c r="C7616" s="210"/>
      <c r="D7616" s="212"/>
      <c r="E7616" s="210" t="s">
        <v>201</v>
      </c>
      <c r="F7616" s="248" t="str">
        <f t="shared" si="0"/>
        <v/>
      </c>
    </row>
    <row r="7617" spans="1:6" ht="13.5">
      <c r="A7617" s="210"/>
      <c r="B7617" s="210"/>
      <c r="C7617" s="210"/>
      <c r="D7617" s="212"/>
      <c r="E7617" s="210" t="s">
        <v>201</v>
      </c>
      <c r="F7617" s="248" t="str">
        <f t="shared" si="0"/>
        <v/>
      </c>
    </row>
    <row r="7618" spans="1:6" ht="13.5">
      <c r="A7618" s="210"/>
      <c r="B7618" s="210"/>
      <c r="C7618" s="210"/>
      <c r="D7618" s="212"/>
      <c r="E7618" s="210" t="s">
        <v>201</v>
      </c>
      <c r="F7618" s="248" t="str">
        <f t="shared" si="0"/>
        <v/>
      </c>
    </row>
    <row r="7619" spans="1:6" ht="13.5">
      <c r="A7619" s="210"/>
      <c r="B7619" s="210"/>
      <c r="C7619" s="210"/>
      <c r="D7619" s="212"/>
      <c r="E7619" s="210" t="s">
        <v>201</v>
      </c>
      <c r="F7619" s="248" t="str">
        <f t="shared" si="0"/>
        <v/>
      </c>
    </row>
    <row r="7620" spans="1:6" ht="13.5">
      <c r="A7620" s="210"/>
      <c r="B7620" s="210"/>
      <c r="C7620" s="210"/>
      <c r="D7620" s="212"/>
      <c r="E7620" s="210"/>
    </row>
    <row r="7621" spans="1:6" ht="13.5">
      <c r="A7621" s="210"/>
      <c r="B7621" s="210"/>
      <c r="C7621" s="210"/>
      <c r="D7621" s="212"/>
      <c r="E7621" s="210"/>
    </row>
    <row r="7622" spans="1:6" ht="13.5">
      <c r="A7622" s="210"/>
      <c r="B7622" s="210"/>
      <c r="C7622" s="210"/>
      <c r="D7622" s="212"/>
      <c r="E7622" s="210"/>
    </row>
    <row r="7623" spans="1:6" ht="13.5">
      <c r="A7623" s="210"/>
      <c r="B7623" s="210"/>
      <c r="C7623" s="210"/>
      <c r="D7623" s="212"/>
      <c r="E7623" s="210"/>
    </row>
    <row r="7624" spans="1:6" ht="13.5">
      <c r="A7624" s="210"/>
      <c r="B7624" s="210"/>
      <c r="C7624" s="210"/>
      <c r="D7624" s="212"/>
      <c r="E7624" s="210"/>
    </row>
    <row r="7625" spans="1:6" ht="13.5">
      <c r="A7625" s="210"/>
      <c r="B7625" s="210"/>
      <c r="C7625" s="210"/>
      <c r="D7625" s="212"/>
      <c r="E7625" s="210"/>
      <c r="F7625" s="252"/>
    </row>
    <row r="7626" spans="1:6" ht="13.5">
      <c r="A7626" s="210"/>
      <c r="B7626" s="210"/>
      <c r="C7626" s="210"/>
      <c r="D7626" s="212"/>
      <c r="E7626" s="210"/>
      <c r="F7626" s="252"/>
    </row>
    <row r="7627" spans="1:6" ht="13.5">
      <c r="A7627" s="210"/>
      <c r="B7627" s="210"/>
      <c r="C7627" s="210"/>
      <c r="D7627" s="212"/>
      <c r="E7627" s="210"/>
      <c r="F7627" s="252"/>
    </row>
    <row r="7628" spans="1:6" ht="13.5">
      <c r="A7628" s="210"/>
      <c r="B7628" s="210"/>
      <c r="C7628" s="210"/>
      <c r="D7628" s="212"/>
      <c r="E7628" s="210"/>
      <c r="F7628" s="252"/>
    </row>
    <row r="7629" spans="1:6" ht="13.5">
      <c r="A7629" s="210"/>
      <c r="B7629" s="210"/>
      <c r="C7629" s="210"/>
      <c r="D7629" s="212"/>
      <c r="E7629" s="210"/>
      <c r="F7629" s="252"/>
    </row>
    <row r="7630" spans="1:6" ht="13.5">
      <c r="A7630" s="210"/>
      <c r="B7630" s="210"/>
      <c r="C7630" s="210"/>
      <c r="D7630" s="212"/>
      <c r="E7630" s="210"/>
      <c r="F7630" s="252"/>
    </row>
    <row r="7631" spans="1:6" ht="13.5">
      <c r="A7631" s="210"/>
      <c r="B7631" s="210"/>
      <c r="C7631" s="210"/>
      <c r="D7631" s="212"/>
      <c r="E7631" s="210"/>
      <c r="F7631" s="252"/>
    </row>
    <row r="7632" spans="1:6" ht="13.5">
      <c r="A7632" s="210"/>
      <c r="B7632" s="210"/>
      <c r="C7632" s="210"/>
      <c r="D7632" s="212"/>
      <c r="E7632" s="210"/>
      <c r="F7632" s="252"/>
    </row>
    <row r="7633" spans="1:6" ht="13.5">
      <c r="A7633" s="210"/>
      <c r="B7633" s="210"/>
      <c r="C7633" s="210"/>
      <c r="D7633" s="212"/>
      <c r="E7633" s="210"/>
      <c r="F7633" s="252"/>
    </row>
    <row r="7634" spans="1:6" ht="13.5">
      <c r="A7634" s="210"/>
      <c r="B7634" s="210"/>
      <c r="C7634" s="210"/>
      <c r="D7634" s="212"/>
      <c r="E7634" s="210"/>
      <c r="F7634" s="252"/>
    </row>
    <row r="7635" spans="1:6" ht="13.5">
      <c r="A7635" s="210"/>
      <c r="B7635" s="210"/>
      <c r="C7635" s="210"/>
      <c r="D7635" s="212"/>
      <c r="E7635" s="210"/>
      <c r="F7635" s="252"/>
    </row>
    <row r="7636" spans="1:6" ht="13.5">
      <c r="A7636" s="210"/>
      <c r="B7636" s="210"/>
      <c r="C7636" s="210"/>
      <c r="D7636" s="212"/>
      <c r="E7636" s="210"/>
      <c r="F7636" s="252"/>
    </row>
    <row r="7637" spans="1:6" ht="13.5">
      <c r="A7637" s="210"/>
      <c r="B7637" s="210"/>
      <c r="C7637" s="210"/>
      <c r="D7637" s="212"/>
      <c r="E7637" s="210"/>
      <c r="F7637" s="252"/>
    </row>
    <row r="7638" spans="1:6" ht="13.5">
      <c r="A7638" s="210"/>
      <c r="B7638" s="210"/>
      <c r="C7638" s="210"/>
      <c r="D7638" s="212"/>
      <c r="E7638" s="210"/>
      <c r="F7638" s="252"/>
    </row>
    <row r="7639" spans="1:6" ht="13.5">
      <c r="A7639" s="210"/>
      <c r="B7639" s="210"/>
      <c r="C7639" s="210"/>
      <c r="D7639" s="212"/>
      <c r="E7639" s="210"/>
      <c r="F7639" s="252"/>
    </row>
    <row r="7640" spans="1:6" ht="13.5">
      <c r="A7640" s="210"/>
      <c r="B7640" s="210"/>
      <c r="C7640" s="210"/>
      <c r="D7640" s="212"/>
      <c r="E7640" s="210"/>
      <c r="F7640" s="252"/>
    </row>
    <row r="7641" spans="1:6" ht="13.5">
      <c r="A7641" s="210"/>
      <c r="B7641" s="210"/>
      <c r="C7641" s="210"/>
      <c r="D7641" s="212"/>
      <c r="E7641" s="210"/>
      <c r="F7641" s="252"/>
    </row>
    <row r="7642" spans="1:6" ht="13.5">
      <c r="A7642" s="210"/>
      <c r="B7642" s="210"/>
      <c r="C7642" s="210"/>
      <c r="D7642" s="212"/>
      <c r="E7642" s="210"/>
      <c r="F7642" s="252"/>
    </row>
    <row r="7643" spans="1:6" ht="13.5">
      <c r="A7643" s="210"/>
      <c r="B7643" s="210"/>
      <c r="C7643" s="210"/>
      <c r="D7643" s="212"/>
      <c r="E7643" s="210"/>
      <c r="F7643" s="252"/>
    </row>
    <row r="7644" spans="1:6">
      <c r="A7644" s="211"/>
      <c r="B7644" s="211"/>
      <c r="C7644" s="211"/>
      <c r="D7644" s="211"/>
      <c r="F7644" s="252"/>
    </row>
  </sheetData>
  <autoFilter ref="C1:C7644"/>
  <sortState ref="A7514:E7534">
    <sortCondition ref="C7514:C7534"/>
  </sortState>
  <mergeCells count="1">
    <mergeCell ref="A6484:E6484"/>
  </mergeCells>
  <phoneticPr fontId="75" type="noConversion"/>
  <pageMargins left="0.78740157499999996" right="0.78740157499999996" top="0.984251969" bottom="0.984251969" header="0.5" footer="0.5"/>
  <pageSetup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dimension ref="A1:H6961"/>
  <sheetViews>
    <sheetView topLeftCell="A6889" workbookViewId="0">
      <selection activeCell="F6373" sqref="F6373"/>
    </sheetView>
  </sheetViews>
  <sheetFormatPr defaultRowHeight="12.75"/>
  <cols>
    <col min="1" max="1" width="10.5703125" style="252" customWidth="1"/>
    <col min="2" max="2" width="78.140625" style="252" customWidth="1"/>
    <col min="3" max="3" width="9.140625" style="252" bestFit="1" customWidth="1"/>
    <col min="4" max="4" width="12.85546875" style="252" customWidth="1"/>
    <col min="5" max="5" width="18.28515625" style="252" customWidth="1"/>
    <col min="6" max="6" width="14.85546875" style="248" customWidth="1"/>
    <col min="7" max="11" width="9.140625" style="252"/>
    <col min="12" max="12" width="22.140625" style="252" customWidth="1"/>
    <col min="13" max="256" width="9.140625" style="252"/>
    <col min="257" max="257" width="10.5703125" style="252" customWidth="1"/>
    <col min="258" max="258" width="78.140625" style="252" customWidth="1"/>
    <col min="259" max="259" width="9.140625" style="252" bestFit="1" customWidth="1"/>
    <col min="260" max="260" width="22.28515625" style="252" customWidth="1"/>
    <col min="261" max="512" width="9.140625" style="252"/>
    <col min="513" max="513" width="10.5703125" style="252" customWidth="1"/>
    <col min="514" max="514" width="78.140625" style="252" customWidth="1"/>
    <col min="515" max="515" width="9.140625" style="252" bestFit="1" customWidth="1"/>
    <col min="516" max="516" width="22.28515625" style="252" customWidth="1"/>
    <col min="517" max="768" width="9.140625" style="252"/>
    <col min="769" max="769" width="10.5703125" style="252" customWidth="1"/>
    <col min="770" max="770" width="78.140625" style="252" customWidth="1"/>
    <col min="771" max="771" width="9.140625" style="252" bestFit="1" customWidth="1"/>
    <col min="772" max="772" width="22.28515625" style="252" customWidth="1"/>
    <col min="773" max="1024" width="9.140625" style="252"/>
    <col min="1025" max="1025" width="10.5703125" style="252" customWidth="1"/>
    <col min="1026" max="1026" width="78.140625" style="252" customWidth="1"/>
    <col min="1027" max="1027" width="9.140625" style="252" bestFit="1" customWidth="1"/>
    <col min="1028" max="1028" width="22.28515625" style="252" customWidth="1"/>
    <col min="1029" max="1280" width="9.140625" style="252"/>
    <col min="1281" max="1281" width="10.5703125" style="252" customWidth="1"/>
    <col min="1282" max="1282" width="78.140625" style="252" customWidth="1"/>
    <col min="1283" max="1283" width="9.140625" style="252" bestFit="1" customWidth="1"/>
    <col min="1284" max="1284" width="22.28515625" style="252" customWidth="1"/>
    <col min="1285" max="1536" width="9.140625" style="252"/>
    <col min="1537" max="1537" width="10.5703125" style="252" customWidth="1"/>
    <col min="1538" max="1538" width="78.140625" style="252" customWidth="1"/>
    <col min="1539" max="1539" width="9.140625" style="252" bestFit="1" customWidth="1"/>
    <col min="1540" max="1540" width="22.28515625" style="252" customWidth="1"/>
    <col min="1541" max="1792" width="9.140625" style="252"/>
    <col min="1793" max="1793" width="10.5703125" style="252" customWidth="1"/>
    <col min="1794" max="1794" width="78.140625" style="252" customWidth="1"/>
    <col min="1795" max="1795" width="9.140625" style="252" bestFit="1" customWidth="1"/>
    <col min="1796" max="1796" width="22.28515625" style="252" customWidth="1"/>
    <col min="1797" max="2048" width="9.140625" style="252"/>
    <col min="2049" max="2049" width="10.5703125" style="252" customWidth="1"/>
    <col min="2050" max="2050" width="78.140625" style="252" customWidth="1"/>
    <col min="2051" max="2051" width="9.140625" style="252" bestFit="1" customWidth="1"/>
    <col min="2052" max="2052" width="22.28515625" style="252" customWidth="1"/>
    <col min="2053" max="2304" width="9.140625" style="252"/>
    <col min="2305" max="2305" width="10.5703125" style="252" customWidth="1"/>
    <col min="2306" max="2306" width="78.140625" style="252" customWidth="1"/>
    <col min="2307" max="2307" width="9.140625" style="252" bestFit="1" customWidth="1"/>
    <col min="2308" max="2308" width="22.28515625" style="252" customWidth="1"/>
    <col min="2309" max="2560" width="9.140625" style="252"/>
    <col min="2561" max="2561" width="10.5703125" style="252" customWidth="1"/>
    <col min="2562" max="2562" width="78.140625" style="252" customWidth="1"/>
    <col min="2563" max="2563" width="9.140625" style="252" bestFit="1" customWidth="1"/>
    <col min="2564" max="2564" width="22.28515625" style="252" customWidth="1"/>
    <col min="2565" max="2816" width="9.140625" style="252"/>
    <col min="2817" max="2817" width="10.5703125" style="252" customWidth="1"/>
    <col min="2818" max="2818" width="78.140625" style="252" customWidth="1"/>
    <col min="2819" max="2819" width="9.140625" style="252" bestFit="1" customWidth="1"/>
    <col min="2820" max="2820" width="22.28515625" style="252" customWidth="1"/>
    <col min="2821" max="3072" width="9.140625" style="252"/>
    <col min="3073" max="3073" width="10.5703125" style="252" customWidth="1"/>
    <col min="3074" max="3074" width="78.140625" style="252" customWidth="1"/>
    <col min="3075" max="3075" width="9.140625" style="252" bestFit="1" customWidth="1"/>
    <col min="3076" max="3076" width="22.28515625" style="252" customWidth="1"/>
    <col min="3077" max="3328" width="9.140625" style="252"/>
    <col min="3329" max="3329" width="10.5703125" style="252" customWidth="1"/>
    <col min="3330" max="3330" width="78.140625" style="252" customWidth="1"/>
    <col min="3331" max="3331" width="9.140625" style="252" bestFit="1" customWidth="1"/>
    <col min="3332" max="3332" width="22.28515625" style="252" customWidth="1"/>
    <col min="3333" max="3584" width="9.140625" style="252"/>
    <col min="3585" max="3585" width="10.5703125" style="252" customWidth="1"/>
    <col min="3586" max="3586" width="78.140625" style="252" customWidth="1"/>
    <col min="3587" max="3587" width="9.140625" style="252" bestFit="1" customWidth="1"/>
    <col min="3588" max="3588" width="22.28515625" style="252" customWidth="1"/>
    <col min="3589" max="3840" width="9.140625" style="252"/>
    <col min="3841" max="3841" width="10.5703125" style="252" customWidth="1"/>
    <col min="3842" max="3842" width="78.140625" style="252" customWidth="1"/>
    <col min="3843" max="3843" width="9.140625" style="252" bestFit="1" customWidth="1"/>
    <col min="3844" max="3844" width="22.28515625" style="252" customWidth="1"/>
    <col min="3845" max="4096" width="9.140625" style="252"/>
    <col min="4097" max="4097" width="10.5703125" style="252" customWidth="1"/>
    <col min="4098" max="4098" width="78.140625" style="252" customWidth="1"/>
    <col min="4099" max="4099" width="9.140625" style="252" bestFit="1" customWidth="1"/>
    <col min="4100" max="4100" width="22.28515625" style="252" customWidth="1"/>
    <col min="4101" max="4352" width="9.140625" style="252"/>
    <col min="4353" max="4353" width="10.5703125" style="252" customWidth="1"/>
    <col min="4354" max="4354" width="78.140625" style="252" customWidth="1"/>
    <col min="4355" max="4355" width="9.140625" style="252" bestFit="1" customWidth="1"/>
    <col min="4356" max="4356" width="22.28515625" style="252" customWidth="1"/>
    <col min="4357" max="4608" width="9.140625" style="252"/>
    <col min="4609" max="4609" width="10.5703125" style="252" customWidth="1"/>
    <col min="4610" max="4610" width="78.140625" style="252" customWidth="1"/>
    <col min="4611" max="4611" width="9.140625" style="252" bestFit="1" customWidth="1"/>
    <col min="4612" max="4612" width="22.28515625" style="252" customWidth="1"/>
    <col min="4613" max="4864" width="9.140625" style="252"/>
    <col min="4865" max="4865" width="10.5703125" style="252" customWidth="1"/>
    <col min="4866" max="4866" width="78.140625" style="252" customWidth="1"/>
    <col min="4867" max="4867" width="9.140625" style="252" bestFit="1" customWidth="1"/>
    <col min="4868" max="4868" width="22.28515625" style="252" customWidth="1"/>
    <col min="4869" max="5120" width="9.140625" style="252"/>
    <col min="5121" max="5121" width="10.5703125" style="252" customWidth="1"/>
    <col min="5122" max="5122" width="78.140625" style="252" customWidth="1"/>
    <col min="5123" max="5123" width="9.140625" style="252" bestFit="1" customWidth="1"/>
    <col min="5124" max="5124" width="22.28515625" style="252" customWidth="1"/>
    <col min="5125" max="5376" width="9.140625" style="252"/>
    <col min="5377" max="5377" width="10.5703125" style="252" customWidth="1"/>
    <col min="5378" max="5378" width="78.140625" style="252" customWidth="1"/>
    <col min="5379" max="5379" width="9.140625" style="252" bestFit="1" customWidth="1"/>
    <col min="5380" max="5380" width="22.28515625" style="252" customWidth="1"/>
    <col min="5381" max="5632" width="9.140625" style="252"/>
    <col min="5633" max="5633" width="10.5703125" style="252" customWidth="1"/>
    <col min="5634" max="5634" width="78.140625" style="252" customWidth="1"/>
    <col min="5635" max="5635" width="9.140625" style="252" bestFit="1" customWidth="1"/>
    <col min="5636" max="5636" width="22.28515625" style="252" customWidth="1"/>
    <col min="5637" max="5888" width="9.140625" style="252"/>
    <col min="5889" max="5889" width="10.5703125" style="252" customWidth="1"/>
    <col min="5890" max="5890" width="78.140625" style="252" customWidth="1"/>
    <col min="5891" max="5891" width="9.140625" style="252" bestFit="1" customWidth="1"/>
    <col min="5892" max="5892" width="22.28515625" style="252" customWidth="1"/>
    <col min="5893" max="6144" width="9.140625" style="252"/>
    <col min="6145" max="6145" width="10.5703125" style="252" customWidth="1"/>
    <col min="6146" max="6146" width="78.140625" style="252" customWidth="1"/>
    <col min="6147" max="6147" width="9.140625" style="252" bestFit="1" customWidth="1"/>
    <col min="6148" max="6148" width="22.28515625" style="252" customWidth="1"/>
    <col min="6149" max="6400" width="9.140625" style="252"/>
    <col min="6401" max="6401" width="10.5703125" style="252" customWidth="1"/>
    <col min="6402" max="6402" width="78.140625" style="252" customWidth="1"/>
    <col min="6403" max="6403" width="9.140625" style="252" bestFit="1" customWidth="1"/>
    <col min="6404" max="6404" width="22.28515625" style="252" customWidth="1"/>
    <col min="6405" max="6656" width="9.140625" style="252"/>
    <col min="6657" max="6657" width="10.5703125" style="252" customWidth="1"/>
    <col min="6658" max="6658" width="78.140625" style="252" customWidth="1"/>
    <col min="6659" max="6659" width="9.140625" style="252" bestFit="1" customWidth="1"/>
    <col min="6660" max="6660" width="22.28515625" style="252" customWidth="1"/>
    <col min="6661" max="6912" width="9.140625" style="252"/>
    <col min="6913" max="6913" width="10.5703125" style="252" customWidth="1"/>
    <col min="6914" max="6914" width="78.140625" style="252" customWidth="1"/>
    <col min="6915" max="6915" width="9.140625" style="252" bestFit="1" customWidth="1"/>
    <col min="6916" max="6916" width="22.28515625" style="252" customWidth="1"/>
    <col min="6917" max="7168" width="9.140625" style="252"/>
    <col min="7169" max="7169" width="10.5703125" style="252" customWidth="1"/>
    <col min="7170" max="7170" width="78.140625" style="252" customWidth="1"/>
    <col min="7171" max="7171" width="9.140625" style="252" bestFit="1" customWidth="1"/>
    <col min="7172" max="7172" width="22.28515625" style="252" customWidth="1"/>
    <col min="7173" max="7424" width="9.140625" style="252"/>
    <col min="7425" max="7425" width="10.5703125" style="252" customWidth="1"/>
    <col min="7426" max="7426" width="78.140625" style="252" customWidth="1"/>
    <col min="7427" max="7427" width="9.140625" style="252" bestFit="1" customWidth="1"/>
    <col min="7428" max="7428" width="22.28515625" style="252" customWidth="1"/>
    <col min="7429" max="7680" width="9.140625" style="252"/>
    <col min="7681" max="7681" width="10.5703125" style="252" customWidth="1"/>
    <col min="7682" max="7682" width="78.140625" style="252" customWidth="1"/>
    <col min="7683" max="7683" width="9.140625" style="252" bestFit="1" customWidth="1"/>
    <col min="7684" max="7684" width="22.28515625" style="252" customWidth="1"/>
    <col min="7685" max="7936" width="9.140625" style="252"/>
    <col min="7937" max="7937" width="10.5703125" style="252" customWidth="1"/>
    <col min="7938" max="7938" width="78.140625" style="252" customWidth="1"/>
    <col min="7939" max="7939" width="9.140625" style="252" bestFit="1" customWidth="1"/>
    <col min="7940" max="7940" width="22.28515625" style="252" customWidth="1"/>
    <col min="7941" max="8192" width="9.140625" style="252"/>
    <col min="8193" max="8193" width="10.5703125" style="252" customWidth="1"/>
    <col min="8194" max="8194" width="78.140625" style="252" customWidth="1"/>
    <col min="8195" max="8195" width="9.140625" style="252" bestFit="1" customWidth="1"/>
    <col min="8196" max="8196" width="22.28515625" style="252" customWidth="1"/>
    <col min="8197" max="8448" width="9.140625" style="252"/>
    <col min="8449" max="8449" width="10.5703125" style="252" customWidth="1"/>
    <col min="8450" max="8450" width="78.140625" style="252" customWidth="1"/>
    <col min="8451" max="8451" width="9.140625" style="252" bestFit="1" customWidth="1"/>
    <col min="8452" max="8452" width="22.28515625" style="252" customWidth="1"/>
    <col min="8453" max="8704" width="9.140625" style="252"/>
    <col min="8705" max="8705" width="10.5703125" style="252" customWidth="1"/>
    <col min="8706" max="8706" width="78.140625" style="252" customWidth="1"/>
    <col min="8707" max="8707" width="9.140625" style="252" bestFit="1" customWidth="1"/>
    <col min="8708" max="8708" width="22.28515625" style="252" customWidth="1"/>
    <col min="8709" max="8960" width="9.140625" style="252"/>
    <col min="8961" max="8961" width="10.5703125" style="252" customWidth="1"/>
    <col min="8962" max="8962" width="78.140625" style="252" customWidth="1"/>
    <col min="8963" max="8963" width="9.140625" style="252" bestFit="1" customWidth="1"/>
    <col min="8964" max="8964" width="22.28515625" style="252" customWidth="1"/>
    <col min="8965" max="9216" width="9.140625" style="252"/>
    <col min="9217" max="9217" width="10.5703125" style="252" customWidth="1"/>
    <col min="9218" max="9218" width="78.140625" style="252" customWidth="1"/>
    <col min="9219" max="9219" width="9.140625" style="252" bestFit="1" customWidth="1"/>
    <col min="9220" max="9220" width="22.28515625" style="252" customWidth="1"/>
    <col min="9221" max="9472" width="9.140625" style="252"/>
    <col min="9473" max="9473" width="10.5703125" style="252" customWidth="1"/>
    <col min="9474" max="9474" width="78.140625" style="252" customWidth="1"/>
    <col min="9475" max="9475" width="9.140625" style="252" bestFit="1" customWidth="1"/>
    <col min="9476" max="9476" width="22.28515625" style="252" customWidth="1"/>
    <col min="9477" max="9728" width="9.140625" style="252"/>
    <col min="9729" max="9729" width="10.5703125" style="252" customWidth="1"/>
    <col min="9730" max="9730" width="78.140625" style="252" customWidth="1"/>
    <col min="9731" max="9731" width="9.140625" style="252" bestFit="1" customWidth="1"/>
    <col min="9732" max="9732" width="22.28515625" style="252" customWidth="1"/>
    <col min="9733" max="9984" width="9.140625" style="252"/>
    <col min="9985" max="9985" width="10.5703125" style="252" customWidth="1"/>
    <col min="9986" max="9986" width="78.140625" style="252" customWidth="1"/>
    <col min="9987" max="9987" width="9.140625" style="252" bestFit="1" customWidth="1"/>
    <col min="9988" max="9988" width="22.28515625" style="252" customWidth="1"/>
    <col min="9989" max="10240" width="9.140625" style="252"/>
    <col min="10241" max="10241" width="10.5703125" style="252" customWidth="1"/>
    <col min="10242" max="10242" width="78.140625" style="252" customWidth="1"/>
    <col min="10243" max="10243" width="9.140625" style="252" bestFit="1" customWidth="1"/>
    <col min="10244" max="10244" width="22.28515625" style="252" customWidth="1"/>
    <col min="10245" max="10496" width="9.140625" style="252"/>
    <col min="10497" max="10497" width="10.5703125" style="252" customWidth="1"/>
    <col min="10498" max="10498" width="78.140625" style="252" customWidth="1"/>
    <col min="10499" max="10499" width="9.140625" style="252" bestFit="1" customWidth="1"/>
    <col min="10500" max="10500" width="22.28515625" style="252" customWidth="1"/>
    <col min="10501" max="10752" width="9.140625" style="252"/>
    <col min="10753" max="10753" width="10.5703125" style="252" customWidth="1"/>
    <col min="10754" max="10754" width="78.140625" style="252" customWidth="1"/>
    <col min="10755" max="10755" width="9.140625" style="252" bestFit="1" customWidth="1"/>
    <col min="10756" max="10756" width="22.28515625" style="252" customWidth="1"/>
    <col min="10757" max="11008" width="9.140625" style="252"/>
    <col min="11009" max="11009" width="10.5703125" style="252" customWidth="1"/>
    <col min="11010" max="11010" width="78.140625" style="252" customWidth="1"/>
    <col min="11011" max="11011" width="9.140625" style="252" bestFit="1" customWidth="1"/>
    <col min="11012" max="11012" width="22.28515625" style="252" customWidth="1"/>
    <col min="11013" max="11264" width="9.140625" style="252"/>
    <col min="11265" max="11265" width="10.5703125" style="252" customWidth="1"/>
    <col min="11266" max="11266" width="78.140625" style="252" customWidth="1"/>
    <col min="11267" max="11267" width="9.140625" style="252" bestFit="1" customWidth="1"/>
    <col min="11268" max="11268" width="22.28515625" style="252" customWidth="1"/>
    <col min="11269" max="11520" width="9.140625" style="252"/>
    <col min="11521" max="11521" width="10.5703125" style="252" customWidth="1"/>
    <col min="11522" max="11522" width="78.140625" style="252" customWidth="1"/>
    <col min="11523" max="11523" width="9.140625" style="252" bestFit="1" customWidth="1"/>
    <col min="11524" max="11524" width="22.28515625" style="252" customWidth="1"/>
    <col min="11525" max="11776" width="9.140625" style="252"/>
    <col min="11777" max="11777" width="10.5703125" style="252" customWidth="1"/>
    <col min="11778" max="11778" width="78.140625" style="252" customWidth="1"/>
    <col min="11779" max="11779" width="9.140625" style="252" bestFit="1" customWidth="1"/>
    <col min="11780" max="11780" width="22.28515625" style="252" customWidth="1"/>
    <col min="11781" max="12032" width="9.140625" style="252"/>
    <col min="12033" max="12033" width="10.5703125" style="252" customWidth="1"/>
    <col min="12034" max="12034" width="78.140625" style="252" customWidth="1"/>
    <col min="12035" max="12035" width="9.140625" style="252" bestFit="1" customWidth="1"/>
    <col min="12036" max="12036" width="22.28515625" style="252" customWidth="1"/>
    <col min="12037" max="12288" width="9.140625" style="252"/>
    <col min="12289" max="12289" width="10.5703125" style="252" customWidth="1"/>
    <col min="12290" max="12290" width="78.140625" style="252" customWidth="1"/>
    <col min="12291" max="12291" width="9.140625" style="252" bestFit="1" customWidth="1"/>
    <col min="12292" max="12292" width="22.28515625" style="252" customWidth="1"/>
    <col min="12293" max="12544" width="9.140625" style="252"/>
    <col min="12545" max="12545" width="10.5703125" style="252" customWidth="1"/>
    <col min="12546" max="12546" width="78.140625" style="252" customWidth="1"/>
    <col min="12547" max="12547" width="9.140625" style="252" bestFit="1" customWidth="1"/>
    <col min="12548" max="12548" width="22.28515625" style="252" customWidth="1"/>
    <col min="12549" max="12800" width="9.140625" style="252"/>
    <col min="12801" max="12801" width="10.5703125" style="252" customWidth="1"/>
    <col min="12802" max="12802" width="78.140625" style="252" customWidth="1"/>
    <col min="12803" max="12803" width="9.140625" style="252" bestFit="1" customWidth="1"/>
    <col min="12804" max="12804" width="22.28515625" style="252" customWidth="1"/>
    <col min="12805" max="13056" width="9.140625" style="252"/>
    <col min="13057" max="13057" width="10.5703125" style="252" customWidth="1"/>
    <col min="13058" max="13058" width="78.140625" style="252" customWidth="1"/>
    <col min="13059" max="13059" width="9.140625" style="252" bestFit="1" customWidth="1"/>
    <col min="13060" max="13060" width="22.28515625" style="252" customWidth="1"/>
    <col min="13061" max="13312" width="9.140625" style="252"/>
    <col min="13313" max="13313" width="10.5703125" style="252" customWidth="1"/>
    <col min="13314" max="13314" width="78.140625" style="252" customWidth="1"/>
    <col min="13315" max="13315" width="9.140625" style="252" bestFit="1" customWidth="1"/>
    <col min="13316" max="13316" width="22.28515625" style="252" customWidth="1"/>
    <col min="13317" max="13568" width="9.140625" style="252"/>
    <col min="13569" max="13569" width="10.5703125" style="252" customWidth="1"/>
    <col min="13570" max="13570" width="78.140625" style="252" customWidth="1"/>
    <col min="13571" max="13571" width="9.140625" style="252" bestFit="1" customWidth="1"/>
    <col min="13572" max="13572" width="22.28515625" style="252" customWidth="1"/>
    <col min="13573" max="13824" width="9.140625" style="252"/>
    <col min="13825" max="13825" width="10.5703125" style="252" customWidth="1"/>
    <col min="13826" max="13826" width="78.140625" style="252" customWidth="1"/>
    <col min="13827" max="13827" width="9.140625" style="252" bestFit="1" customWidth="1"/>
    <col min="13828" max="13828" width="22.28515625" style="252" customWidth="1"/>
    <col min="13829" max="14080" width="9.140625" style="252"/>
    <col min="14081" max="14081" width="10.5703125" style="252" customWidth="1"/>
    <col min="14082" max="14082" width="78.140625" style="252" customWidth="1"/>
    <col min="14083" max="14083" width="9.140625" style="252" bestFit="1" customWidth="1"/>
    <col min="14084" max="14084" width="22.28515625" style="252" customWidth="1"/>
    <col min="14085" max="14336" width="9.140625" style="252"/>
    <col min="14337" max="14337" width="10.5703125" style="252" customWidth="1"/>
    <col min="14338" max="14338" width="78.140625" style="252" customWidth="1"/>
    <col min="14339" max="14339" width="9.140625" style="252" bestFit="1" customWidth="1"/>
    <col min="14340" max="14340" width="22.28515625" style="252" customWidth="1"/>
    <col min="14341" max="14592" width="9.140625" style="252"/>
    <col min="14593" max="14593" width="10.5703125" style="252" customWidth="1"/>
    <col min="14594" max="14594" width="78.140625" style="252" customWidth="1"/>
    <col min="14595" max="14595" width="9.140625" style="252" bestFit="1" customWidth="1"/>
    <col min="14596" max="14596" width="22.28515625" style="252" customWidth="1"/>
    <col min="14597" max="14848" width="9.140625" style="252"/>
    <col min="14849" max="14849" width="10.5703125" style="252" customWidth="1"/>
    <col min="14850" max="14850" width="78.140625" style="252" customWidth="1"/>
    <col min="14851" max="14851" width="9.140625" style="252" bestFit="1" customWidth="1"/>
    <col min="14852" max="14852" width="22.28515625" style="252" customWidth="1"/>
    <col min="14853" max="15104" width="9.140625" style="252"/>
    <col min="15105" max="15105" width="10.5703125" style="252" customWidth="1"/>
    <col min="15106" max="15106" width="78.140625" style="252" customWidth="1"/>
    <col min="15107" max="15107" width="9.140625" style="252" bestFit="1" customWidth="1"/>
    <col min="15108" max="15108" width="22.28515625" style="252" customWidth="1"/>
    <col min="15109" max="15360" width="9.140625" style="252"/>
    <col min="15361" max="15361" width="10.5703125" style="252" customWidth="1"/>
    <col min="15362" max="15362" width="78.140625" style="252" customWidth="1"/>
    <col min="15363" max="15363" width="9.140625" style="252" bestFit="1" customWidth="1"/>
    <col min="15364" max="15364" width="22.28515625" style="252" customWidth="1"/>
    <col min="15365" max="15616" width="9.140625" style="252"/>
    <col min="15617" max="15617" width="10.5703125" style="252" customWidth="1"/>
    <col min="15618" max="15618" width="78.140625" style="252" customWidth="1"/>
    <col min="15619" max="15619" width="9.140625" style="252" bestFit="1" customWidth="1"/>
    <col min="15620" max="15620" width="22.28515625" style="252" customWidth="1"/>
    <col min="15621" max="15872" width="9.140625" style="252"/>
    <col min="15873" max="15873" width="10.5703125" style="252" customWidth="1"/>
    <col min="15874" max="15874" width="78.140625" style="252" customWidth="1"/>
    <col min="15875" max="15875" width="9.140625" style="252" bestFit="1" customWidth="1"/>
    <col min="15876" max="15876" width="22.28515625" style="252" customWidth="1"/>
    <col min="15877" max="16128" width="9.140625" style="252"/>
    <col min="16129" max="16129" width="10.5703125" style="252" customWidth="1"/>
    <col min="16130" max="16130" width="78.140625" style="252" customWidth="1"/>
    <col min="16131" max="16131" width="9.140625" style="252" bestFit="1" customWidth="1"/>
    <col min="16132" max="16132" width="22.28515625" style="252" customWidth="1"/>
    <col min="16133" max="16384" width="9.140625" style="252"/>
  </cols>
  <sheetData>
    <row r="1" spans="1:5" s="248" customFormat="1" ht="15">
      <c r="A1" s="250" t="s">
        <v>18648</v>
      </c>
      <c r="B1" s="250"/>
      <c r="C1" s="250"/>
      <c r="D1" s="250"/>
      <c r="E1" s="250"/>
    </row>
    <row r="2" spans="1:5" s="248" customFormat="1" ht="15">
      <c r="A2" s="250" t="s">
        <v>158</v>
      </c>
      <c r="B2" s="250"/>
      <c r="C2" s="250"/>
      <c r="D2" s="250"/>
      <c r="E2" s="250"/>
    </row>
    <row r="3" spans="1:5" s="248" customFormat="1" ht="15">
      <c r="A3" s="250" t="s">
        <v>18649</v>
      </c>
      <c r="B3" s="250"/>
      <c r="C3" s="250"/>
      <c r="D3" s="250"/>
      <c r="E3" s="250"/>
    </row>
    <row r="4" spans="1:5" s="248" customFormat="1" ht="15">
      <c r="A4" s="250" t="s">
        <v>4517</v>
      </c>
      <c r="B4" s="250"/>
      <c r="C4" s="250"/>
      <c r="D4" s="250"/>
      <c r="E4" s="250"/>
    </row>
    <row r="5" spans="1:5" s="248" customFormat="1" ht="15">
      <c r="A5" s="250" t="s">
        <v>18650</v>
      </c>
      <c r="B5" s="250"/>
      <c r="C5" s="250"/>
      <c r="D5" s="250"/>
      <c r="E5" s="250"/>
    </row>
    <row r="6" spans="1:5" s="248" customFormat="1" ht="15">
      <c r="A6" s="250" t="s">
        <v>158</v>
      </c>
      <c r="B6" s="250"/>
      <c r="C6" s="250"/>
      <c r="D6" s="250"/>
      <c r="E6" s="250"/>
    </row>
    <row r="7" spans="1:5" s="248" customFormat="1" ht="15">
      <c r="A7" s="250" t="s">
        <v>4518</v>
      </c>
      <c r="B7" s="250" t="s">
        <v>4519</v>
      </c>
      <c r="C7" s="250" t="s">
        <v>18651</v>
      </c>
      <c r="D7" s="250" t="s">
        <v>18652</v>
      </c>
      <c r="E7" s="250" t="s">
        <v>5108</v>
      </c>
    </row>
    <row r="8" spans="1:5" ht="30">
      <c r="A8" s="254">
        <v>39680</v>
      </c>
      <c r="B8" s="254" t="s">
        <v>18653</v>
      </c>
      <c r="C8" s="254" t="s">
        <v>4521</v>
      </c>
      <c r="D8" s="255" t="s">
        <v>18654</v>
      </c>
      <c r="E8" s="254" t="s">
        <v>170</v>
      </c>
    </row>
    <row r="9" spans="1:5" ht="45">
      <c r="A9" s="254">
        <v>39683</v>
      </c>
      <c r="B9" s="254" t="s">
        <v>18655</v>
      </c>
      <c r="C9" s="254" t="s">
        <v>4521</v>
      </c>
      <c r="D9" s="255" t="s">
        <v>18656</v>
      </c>
      <c r="E9" s="254" t="s">
        <v>170</v>
      </c>
    </row>
    <row r="10" spans="1:5" ht="30">
      <c r="A10" s="254">
        <v>2404</v>
      </c>
      <c r="B10" s="254" t="s">
        <v>18657</v>
      </c>
      <c r="C10" s="254" t="s">
        <v>4523</v>
      </c>
      <c r="D10" s="255" t="s">
        <v>18658</v>
      </c>
      <c r="E10" s="254" t="s">
        <v>170</v>
      </c>
    </row>
    <row r="11" spans="1:5" ht="30">
      <c r="A11" s="254">
        <v>2720</v>
      </c>
      <c r="B11" s="254" t="s">
        <v>18659</v>
      </c>
      <c r="C11" s="254" t="s">
        <v>4520</v>
      </c>
      <c r="D11" s="256" t="s">
        <v>18660</v>
      </c>
      <c r="E11" s="254" t="s">
        <v>6305</v>
      </c>
    </row>
    <row r="12" spans="1:5" ht="45">
      <c r="A12" s="254">
        <v>2719</v>
      </c>
      <c r="B12" s="254" t="s">
        <v>18661</v>
      </c>
      <c r="C12" s="254" t="s">
        <v>4520</v>
      </c>
      <c r="D12" s="255" t="s">
        <v>18662</v>
      </c>
      <c r="E12" s="254" t="s">
        <v>6305</v>
      </c>
    </row>
    <row r="13" spans="1:5" ht="45">
      <c r="A13" s="254">
        <v>3378</v>
      </c>
      <c r="B13" s="254" t="s">
        <v>18663</v>
      </c>
      <c r="C13" s="254" t="s">
        <v>4521</v>
      </c>
      <c r="D13" s="255" t="s">
        <v>18664</v>
      </c>
      <c r="E13" s="254" t="s">
        <v>170</v>
      </c>
    </row>
    <row r="14" spans="1:5" ht="45">
      <c r="A14" s="254">
        <v>3380</v>
      </c>
      <c r="B14" s="254" t="s">
        <v>18665</v>
      </c>
      <c r="C14" s="254" t="s">
        <v>4521</v>
      </c>
      <c r="D14" s="255" t="s">
        <v>18666</v>
      </c>
      <c r="E14" s="254" t="s">
        <v>170</v>
      </c>
    </row>
    <row r="15" spans="1:5" ht="45">
      <c r="A15" s="254">
        <v>3379</v>
      </c>
      <c r="B15" s="254" t="s">
        <v>18667</v>
      </c>
      <c r="C15" s="254" t="s">
        <v>4521</v>
      </c>
      <c r="D15" s="255" t="s">
        <v>18668</v>
      </c>
      <c r="E15" s="254" t="s">
        <v>170</v>
      </c>
    </row>
    <row r="16" spans="1:5" ht="30">
      <c r="A16" s="254">
        <v>3346</v>
      </c>
      <c r="B16" s="254" t="s">
        <v>18669</v>
      </c>
      <c r="C16" s="254" t="s">
        <v>4520</v>
      </c>
      <c r="D16" s="255" t="s">
        <v>18670</v>
      </c>
      <c r="E16" s="254" t="s">
        <v>6305</v>
      </c>
    </row>
    <row r="17" spans="1:5" ht="30">
      <c r="A17" s="254">
        <v>3348</v>
      </c>
      <c r="B17" s="254" t="s">
        <v>18671</v>
      </c>
      <c r="C17" s="254" t="s">
        <v>4520</v>
      </c>
      <c r="D17" s="255" t="s">
        <v>16731</v>
      </c>
      <c r="E17" s="254" t="s">
        <v>6305</v>
      </c>
    </row>
    <row r="18" spans="1:5" ht="30">
      <c r="A18" s="254">
        <v>3345</v>
      </c>
      <c r="B18" s="254" t="s">
        <v>18672</v>
      </c>
      <c r="C18" s="254" t="s">
        <v>4520</v>
      </c>
      <c r="D18" s="255" t="s">
        <v>17658</v>
      </c>
      <c r="E18" s="254" t="s">
        <v>6305</v>
      </c>
    </row>
    <row r="19" spans="1:5" ht="30">
      <c r="A19" s="254">
        <v>39833</v>
      </c>
      <c r="B19" s="254" t="s">
        <v>18673</v>
      </c>
      <c r="C19" s="254" t="s">
        <v>4520</v>
      </c>
      <c r="D19" s="255" t="s">
        <v>18674</v>
      </c>
      <c r="E19" s="254" t="s">
        <v>6305</v>
      </c>
    </row>
    <row r="20" spans="1:5" ht="30">
      <c r="A20" s="254">
        <v>39834</v>
      </c>
      <c r="B20" s="254" t="s">
        <v>18675</v>
      </c>
      <c r="C20" s="254" t="s">
        <v>4520</v>
      </c>
      <c r="D20" s="255" t="s">
        <v>18676</v>
      </c>
      <c r="E20" s="254" t="s">
        <v>6305</v>
      </c>
    </row>
    <row r="21" spans="1:5" ht="30">
      <c r="A21" s="254">
        <v>39835</v>
      </c>
      <c r="B21" s="254" t="s">
        <v>18677</v>
      </c>
      <c r="C21" s="254" t="s">
        <v>4520</v>
      </c>
      <c r="D21" s="255" t="s">
        <v>18678</v>
      </c>
      <c r="E21" s="254" t="s">
        <v>6305</v>
      </c>
    </row>
    <row r="22" spans="1:5" ht="30">
      <c r="A22" s="254">
        <v>13382</v>
      </c>
      <c r="B22" s="254" t="s">
        <v>18679</v>
      </c>
      <c r="C22" s="254" t="s">
        <v>4521</v>
      </c>
      <c r="D22" s="255" t="s">
        <v>15110</v>
      </c>
      <c r="E22" s="254" t="s">
        <v>170</v>
      </c>
    </row>
    <row r="23" spans="1:5" ht="45">
      <c r="A23" s="254">
        <v>13399</v>
      </c>
      <c r="B23" s="254" t="s">
        <v>18680</v>
      </c>
      <c r="C23" s="254" t="s">
        <v>4521</v>
      </c>
      <c r="D23" s="255" t="s">
        <v>18681</v>
      </c>
      <c r="E23" s="254" t="s">
        <v>170</v>
      </c>
    </row>
    <row r="24" spans="1:5" ht="45">
      <c r="A24" s="254">
        <v>39764</v>
      </c>
      <c r="B24" s="254" t="s">
        <v>18682</v>
      </c>
      <c r="C24" s="254" t="s">
        <v>4521</v>
      </c>
      <c r="D24" s="255" t="s">
        <v>18683</v>
      </c>
      <c r="E24" s="254" t="s">
        <v>170</v>
      </c>
    </row>
    <row r="25" spans="1:5" ht="30">
      <c r="A25" s="254">
        <v>4126</v>
      </c>
      <c r="B25" s="254" t="s">
        <v>18684</v>
      </c>
      <c r="C25" s="254" t="s">
        <v>4521</v>
      </c>
      <c r="D25" s="255" t="s">
        <v>18685</v>
      </c>
      <c r="E25" s="254" t="s">
        <v>170</v>
      </c>
    </row>
    <row r="26" spans="1:5" ht="30">
      <c r="A26" s="254">
        <v>10615</v>
      </c>
      <c r="B26" s="254" t="s">
        <v>18686</v>
      </c>
      <c r="C26" s="254" t="s">
        <v>4521</v>
      </c>
      <c r="D26" s="255" t="s">
        <v>18687</v>
      </c>
      <c r="E26" s="254" t="s">
        <v>170</v>
      </c>
    </row>
    <row r="27" spans="1:5" ht="30">
      <c r="A27" s="254">
        <v>21136</v>
      </c>
      <c r="B27" s="254" t="s">
        <v>18688</v>
      </c>
      <c r="C27" s="254" t="s">
        <v>4524</v>
      </c>
      <c r="D27" s="255" t="s">
        <v>14471</v>
      </c>
      <c r="E27" s="254" t="s">
        <v>170</v>
      </c>
    </row>
    <row r="28" spans="1:5" ht="30">
      <c r="A28" s="254">
        <v>21128</v>
      </c>
      <c r="B28" s="254" t="s">
        <v>18689</v>
      </c>
      <c r="C28" s="254" t="s">
        <v>4524</v>
      </c>
      <c r="D28" s="255" t="s">
        <v>14022</v>
      </c>
      <c r="E28" s="254" t="s">
        <v>170</v>
      </c>
    </row>
    <row r="29" spans="1:5" ht="30">
      <c r="A29" s="254">
        <v>21130</v>
      </c>
      <c r="B29" s="254" t="s">
        <v>18690</v>
      </c>
      <c r="C29" s="254" t="s">
        <v>4524</v>
      </c>
      <c r="D29" s="255" t="s">
        <v>18691</v>
      </c>
      <c r="E29" s="254" t="s">
        <v>170</v>
      </c>
    </row>
    <row r="30" spans="1:5" ht="30">
      <c r="A30" s="254">
        <v>21135</v>
      </c>
      <c r="B30" s="254" t="s">
        <v>18692</v>
      </c>
      <c r="C30" s="254" t="s">
        <v>4524</v>
      </c>
      <c r="D30" s="255" t="s">
        <v>17122</v>
      </c>
      <c r="E30" s="254" t="s">
        <v>170</v>
      </c>
    </row>
    <row r="31" spans="1:5" ht="15">
      <c r="A31" s="254">
        <v>42402</v>
      </c>
      <c r="B31" s="254" t="s">
        <v>18693</v>
      </c>
      <c r="C31" s="254" t="s">
        <v>4525</v>
      </c>
      <c r="D31" s="255" t="s">
        <v>18694</v>
      </c>
      <c r="E31" s="254" t="s">
        <v>170</v>
      </c>
    </row>
    <row r="32" spans="1:5" ht="30">
      <c r="A32" s="254">
        <v>38605</v>
      </c>
      <c r="B32" s="254" t="s">
        <v>18695</v>
      </c>
      <c r="C32" s="254" t="s">
        <v>4521</v>
      </c>
      <c r="D32" s="255" t="s">
        <v>18696</v>
      </c>
      <c r="E32" s="254" t="s">
        <v>170</v>
      </c>
    </row>
    <row r="33" spans="1:5" ht="30">
      <c r="A33" s="254">
        <v>11270</v>
      </c>
      <c r="B33" s="254" t="s">
        <v>18697</v>
      </c>
      <c r="C33" s="254" t="s">
        <v>4521</v>
      </c>
      <c r="D33" s="255" t="s">
        <v>14224</v>
      </c>
      <c r="E33" s="254" t="s">
        <v>170</v>
      </c>
    </row>
    <row r="34" spans="1:5" ht="30">
      <c r="A34" s="254">
        <v>412</v>
      </c>
      <c r="B34" s="254" t="s">
        <v>18698</v>
      </c>
      <c r="C34" s="254" t="s">
        <v>4521</v>
      </c>
      <c r="D34" s="255" t="s">
        <v>18699</v>
      </c>
      <c r="E34" s="254" t="s">
        <v>170</v>
      </c>
    </row>
    <row r="35" spans="1:5" ht="30">
      <c r="A35" s="254">
        <v>414</v>
      </c>
      <c r="B35" s="254" t="s">
        <v>18700</v>
      </c>
      <c r="C35" s="254" t="s">
        <v>4521</v>
      </c>
      <c r="D35" s="255" t="s">
        <v>13920</v>
      </c>
      <c r="E35" s="254" t="s">
        <v>170</v>
      </c>
    </row>
    <row r="36" spans="1:5" ht="30">
      <c r="A36" s="254">
        <v>410</v>
      </c>
      <c r="B36" s="254" t="s">
        <v>18701</v>
      </c>
      <c r="C36" s="254" t="s">
        <v>4521</v>
      </c>
      <c r="D36" s="255" t="s">
        <v>14210</v>
      </c>
      <c r="E36" s="254" t="s">
        <v>170</v>
      </c>
    </row>
    <row r="37" spans="1:5" ht="30">
      <c r="A37" s="254">
        <v>411</v>
      </c>
      <c r="B37" s="254" t="s">
        <v>18702</v>
      </c>
      <c r="C37" s="254" t="s">
        <v>4521</v>
      </c>
      <c r="D37" s="255" t="s">
        <v>13982</v>
      </c>
      <c r="E37" s="254" t="s">
        <v>170</v>
      </c>
    </row>
    <row r="38" spans="1:5" ht="30">
      <c r="A38" s="254">
        <v>408</v>
      </c>
      <c r="B38" s="254" t="s">
        <v>18703</v>
      </c>
      <c r="C38" s="254" t="s">
        <v>4521</v>
      </c>
      <c r="D38" s="255" t="s">
        <v>17655</v>
      </c>
      <c r="E38" s="254" t="s">
        <v>170</v>
      </c>
    </row>
    <row r="39" spans="1:5" ht="30">
      <c r="A39" s="254">
        <v>39131</v>
      </c>
      <c r="B39" s="254" t="s">
        <v>18704</v>
      </c>
      <c r="C39" s="254" t="s">
        <v>4521</v>
      </c>
      <c r="D39" s="255" t="s">
        <v>18705</v>
      </c>
      <c r="E39" s="254" t="s">
        <v>170</v>
      </c>
    </row>
    <row r="40" spans="1:5" ht="30">
      <c r="A40" s="254">
        <v>394</v>
      </c>
      <c r="B40" s="254" t="s">
        <v>18706</v>
      </c>
      <c r="C40" s="254" t="s">
        <v>4521</v>
      </c>
      <c r="D40" s="255" t="s">
        <v>13958</v>
      </c>
      <c r="E40" s="254" t="s">
        <v>170</v>
      </c>
    </row>
    <row r="41" spans="1:5" ht="30">
      <c r="A41" s="254">
        <v>39130</v>
      </c>
      <c r="B41" s="254" t="s">
        <v>18707</v>
      </c>
      <c r="C41" s="254" t="s">
        <v>4521</v>
      </c>
      <c r="D41" s="255" t="s">
        <v>14357</v>
      </c>
      <c r="E41" s="254" t="s">
        <v>170</v>
      </c>
    </row>
    <row r="42" spans="1:5" ht="30">
      <c r="A42" s="254">
        <v>395</v>
      </c>
      <c r="B42" s="254" t="s">
        <v>18708</v>
      </c>
      <c r="C42" s="254" t="s">
        <v>4521</v>
      </c>
      <c r="D42" s="255" t="s">
        <v>18709</v>
      </c>
      <c r="E42" s="254" t="s">
        <v>170</v>
      </c>
    </row>
    <row r="43" spans="1:5" ht="30">
      <c r="A43" s="254">
        <v>39127</v>
      </c>
      <c r="B43" s="254" t="s">
        <v>18710</v>
      </c>
      <c r="C43" s="254" t="s">
        <v>4521</v>
      </c>
      <c r="D43" s="255" t="s">
        <v>13943</v>
      </c>
      <c r="E43" s="254" t="s">
        <v>170</v>
      </c>
    </row>
    <row r="44" spans="1:5" ht="30">
      <c r="A44" s="254">
        <v>392</v>
      </c>
      <c r="B44" s="254" t="s">
        <v>18711</v>
      </c>
      <c r="C44" s="254" t="s">
        <v>4521</v>
      </c>
      <c r="D44" s="255" t="s">
        <v>14402</v>
      </c>
      <c r="E44" s="254" t="s">
        <v>170</v>
      </c>
    </row>
    <row r="45" spans="1:5" ht="30">
      <c r="A45" s="254">
        <v>39129</v>
      </c>
      <c r="B45" s="254" t="s">
        <v>18712</v>
      </c>
      <c r="C45" s="254" t="s">
        <v>4521</v>
      </c>
      <c r="D45" s="255" t="s">
        <v>14475</v>
      </c>
      <c r="E45" s="254" t="s">
        <v>170</v>
      </c>
    </row>
    <row r="46" spans="1:5" ht="30">
      <c r="A46" s="254">
        <v>393</v>
      </c>
      <c r="B46" s="254" t="s">
        <v>18713</v>
      </c>
      <c r="C46" s="254" t="s">
        <v>4521</v>
      </c>
      <c r="D46" s="255" t="s">
        <v>18714</v>
      </c>
      <c r="E46" s="254" t="s">
        <v>170</v>
      </c>
    </row>
    <row r="47" spans="1:5" ht="30">
      <c r="A47" s="254">
        <v>39133</v>
      </c>
      <c r="B47" s="254" t="s">
        <v>18715</v>
      </c>
      <c r="C47" s="254" t="s">
        <v>4521</v>
      </c>
      <c r="D47" s="255" t="s">
        <v>18716</v>
      </c>
      <c r="E47" s="254" t="s">
        <v>170</v>
      </c>
    </row>
    <row r="48" spans="1:5" ht="30">
      <c r="A48" s="254">
        <v>397</v>
      </c>
      <c r="B48" s="254" t="s">
        <v>18717</v>
      </c>
      <c r="C48" s="254" t="s">
        <v>4521</v>
      </c>
      <c r="D48" s="255" t="s">
        <v>17524</v>
      </c>
      <c r="E48" s="254" t="s">
        <v>170</v>
      </c>
    </row>
    <row r="49" spans="1:5" ht="30">
      <c r="A49" s="254">
        <v>39132</v>
      </c>
      <c r="B49" s="254" t="s">
        <v>18718</v>
      </c>
      <c r="C49" s="254" t="s">
        <v>4521</v>
      </c>
      <c r="D49" s="255" t="s">
        <v>18719</v>
      </c>
      <c r="E49" s="254" t="s">
        <v>170</v>
      </c>
    </row>
    <row r="50" spans="1:5" ht="30">
      <c r="A50" s="254">
        <v>396</v>
      </c>
      <c r="B50" s="254" t="s">
        <v>18720</v>
      </c>
      <c r="C50" s="254" t="s">
        <v>4521</v>
      </c>
      <c r="D50" s="255" t="s">
        <v>14322</v>
      </c>
      <c r="E50" s="254" t="s">
        <v>170</v>
      </c>
    </row>
    <row r="51" spans="1:5" ht="30">
      <c r="A51" s="254">
        <v>39135</v>
      </c>
      <c r="B51" s="254" t="s">
        <v>18721</v>
      </c>
      <c r="C51" s="254" t="s">
        <v>4521</v>
      </c>
      <c r="D51" s="255" t="s">
        <v>13870</v>
      </c>
      <c r="E51" s="254" t="s">
        <v>170</v>
      </c>
    </row>
    <row r="52" spans="1:5" ht="30">
      <c r="A52" s="254">
        <v>39128</v>
      </c>
      <c r="B52" s="254" t="s">
        <v>18722</v>
      </c>
      <c r="C52" s="254" t="s">
        <v>4521</v>
      </c>
      <c r="D52" s="255" t="s">
        <v>18723</v>
      </c>
      <c r="E52" s="254" t="s">
        <v>170</v>
      </c>
    </row>
    <row r="53" spans="1:5" ht="30">
      <c r="A53" s="254">
        <v>400</v>
      </c>
      <c r="B53" s="254" t="s">
        <v>18724</v>
      </c>
      <c r="C53" s="254" t="s">
        <v>4521</v>
      </c>
      <c r="D53" s="255" t="s">
        <v>14294</v>
      </c>
      <c r="E53" s="254" t="s">
        <v>170</v>
      </c>
    </row>
    <row r="54" spans="1:5" ht="30">
      <c r="A54" s="254">
        <v>39125</v>
      </c>
      <c r="B54" s="254" t="s">
        <v>18725</v>
      </c>
      <c r="C54" s="254" t="s">
        <v>4521</v>
      </c>
      <c r="D54" s="255" t="s">
        <v>18723</v>
      </c>
      <c r="E54" s="254" t="s">
        <v>170</v>
      </c>
    </row>
    <row r="55" spans="1:5" ht="30">
      <c r="A55" s="254">
        <v>39134</v>
      </c>
      <c r="B55" s="254" t="s">
        <v>18726</v>
      </c>
      <c r="C55" s="254" t="s">
        <v>4521</v>
      </c>
      <c r="D55" s="255" t="s">
        <v>13615</v>
      </c>
      <c r="E55" s="254" t="s">
        <v>170</v>
      </c>
    </row>
    <row r="56" spans="1:5" ht="30">
      <c r="A56" s="254">
        <v>398</v>
      </c>
      <c r="B56" s="254" t="s">
        <v>18727</v>
      </c>
      <c r="C56" s="254" t="s">
        <v>4521</v>
      </c>
      <c r="D56" s="255" t="s">
        <v>16517</v>
      </c>
      <c r="E56" s="254" t="s">
        <v>170</v>
      </c>
    </row>
    <row r="57" spans="1:5" ht="30">
      <c r="A57" s="254">
        <v>39126</v>
      </c>
      <c r="B57" s="254" t="s">
        <v>18728</v>
      </c>
      <c r="C57" s="254" t="s">
        <v>4521</v>
      </c>
      <c r="D57" s="255" t="s">
        <v>18729</v>
      </c>
      <c r="E57" s="254" t="s">
        <v>170</v>
      </c>
    </row>
    <row r="58" spans="1:5" ht="30">
      <c r="A58" s="254">
        <v>399</v>
      </c>
      <c r="B58" s="254" t="s">
        <v>18730</v>
      </c>
      <c r="C58" s="254" t="s">
        <v>4521</v>
      </c>
      <c r="D58" s="255" t="s">
        <v>17654</v>
      </c>
      <c r="E58" s="254" t="s">
        <v>170</v>
      </c>
    </row>
    <row r="59" spans="1:5" ht="30">
      <c r="A59" s="254">
        <v>39158</v>
      </c>
      <c r="B59" s="254" t="s">
        <v>18731</v>
      </c>
      <c r="C59" s="254" t="s">
        <v>4521</v>
      </c>
      <c r="D59" s="255" t="s">
        <v>14367</v>
      </c>
      <c r="E59" s="254" t="s">
        <v>170</v>
      </c>
    </row>
    <row r="60" spans="1:5" ht="30">
      <c r="A60" s="254">
        <v>39141</v>
      </c>
      <c r="B60" s="254" t="s">
        <v>18732</v>
      </c>
      <c r="C60" s="254" t="s">
        <v>4521</v>
      </c>
      <c r="D60" s="255" t="s">
        <v>18523</v>
      </c>
      <c r="E60" s="254" t="s">
        <v>170</v>
      </c>
    </row>
    <row r="61" spans="1:5" ht="30">
      <c r="A61" s="254">
        <v>39140</v>
      </c>
      <c r="B61" s="254" t="s">
        <v>18733</v>
      </c>
      <c r="C61" s="254" t="s">
        <v>4521</v>
      </c>
      <c r="D61" s="255" t="s">
        <v>18734</v>
      </c>
      <c r="E61" s="254" t="s">
        <v>170</v>
      </c>
    </row>
    <row r="62" spans="1:5" ht="30">
      <c r="A62" s="254">
        <v>39137</v>
      </c>
      <c r="B62" s="254" t="s">
        <v>18735</v>
      </c>
      <c r="C62" s="254" t="s">
        <v>4521</v>
      </c>
      <c r="D62" s="255" t="s">
        <v>14426</v>
      </c>
      <c r="E62" s="254" t="s">
        <v>170</v>
      </c>
    </row>
    <row r="63" spans="1:5" ht="30">
      <c r="A63" s="254">
        <v>39139</v>
      </c>
      <c r="B63" s="254" t="s">
        <v>18736</v>
      </c>
      <c r="C63" s="254" t="s">
        <v>4521</v>
      </c>
      <c r="D63" s="255" t="s">
        <v>13667</v>
      </c>
      <c r="E63" s="254" t="s">
        <v>170</v>
      </c>
    </row>
    <row r="64" spans="1:5" ht="30">
      <c r="A64" s="254">
        <v>39143</v>
      </c>
      <c r="B64" s="254" t="s">
        <v>18737</v>
      </c>
      <c r="C64" s="254" t="s">
        <v>4521</v>
      </c>
      <c r="D64" s="255" t="s">
        <v>18738</v>
      </c>
      <c r="E64" s="254" t="s">
        <v>170</v>
      </c>
    </row>
    <row r="65" spans="1:5" ht="30">
      <c r="A65" s="254">
        <v>39142</v>
      </c>
      <c r="B65" s="254" t="s">
        <v>18739</v>
      </c>
      <c r="C65" s="254" t="s">
        <v>4521</v>
      </c>
      <c r="D65" s="255" t="s">
        <v>13869</v>
      </c>
      <c r="E65" s="254" t="s">
        <v>170</v>
      </c>
    </row>
    <row r="66" spans="1:5" ht="30">
      <c r="A66" s="254">
        <v>39138</v>
      </c>
      <c r="B66" s="254" t="s">
        <v>18740</v>
      </c>
      <c r="C66" s="254" t="s">
        <v>4521</v>
      </c>
      <c r="D66" s="255" t="s">
        <v>14348</v>
      </c>
      <c r="E66" s="254" t="s">
        <v>170</v>
      </c>
    </row>
    <row r="67" spans="1:5" ht="30">
      <c r="A67" s="254">
        <v>39136</v>
      </c>
      <c r="B67" s="254" t="s">
        <v>18741</v>
      </c>
      <c r="C67" s="254" t="s">
        <v>4521</v>
      </c>
      <c r="D67" s="255" t="s">
        <v>14180</v>
      </c>
      <c r="E67" s="254" t="s">
        <v>170</v>
      </c>
    </row>
    <row r="68" spans="1:5" ht="30">
      <c r="A68" s="254">
        <v>39144</v>
      </c>
      <c r="B68" s="254" t="s">
        <v>18742</v>
      </c>
      <c r="C68" s="254" t="s">
        <v>4521</v>
      </c>
      <c r="D68" s="255" t="s">
        <v>18709</v>
      </c>
      <c r="E68" s="254" t="s">
        <v>170</v>
      </c>
    </row>
    <row r="69" spans="1:5" ht="30">
      <c r="A69" s="254">
        <v>39145</v>
      </c>
      <c r="B69" s="254" t="s">
        <v>18743</v>
      </c>
      <c r="C69" s="254" t="s">
        <v>4521</v>
      </c>
      <c r="D69" s="255" t="s">
        <v>14021</v>
      </c>
      <c r="E69" s="254" t="s">
        <v>170</v>
      </c>
    </row>
    <row r="70" spans="1:5" ht="30">
      <c r="A70" s="254">
        <v>12615</v>
      </c>
      <c r="B70" s="254" t="s">
        <v>18744</v>
      </c>
      <c r="C70" s="254" t="s">
        <v>4521</v>
      </c>
      <c r="D70" s="255" t="s">
        <v>14310</v>
      </c>
      <c r="E70" s="254" t="s">
        <v>170</v>
      </c>
    </row>
    <row r="71" spans="1:5" ht="30">
      <c r="A71" s="254">
        <v>11927</v>
      </c>
      <c r="B71" s="254" t="s">
        <v>18745</v>
      </c>
      <c r="C71" s="254" t="s">
        <v>4521</v>
      </c>
      <c r="D71" s="255" t="s">
        <v>18746</v>
      </c>
      <c r="E71" s="254" t="s">
        <v>170</v>
      </c>
    </row>
    <row r="72" spans="1:5" ht="30">
      <c r="A72" s="254">
        <v>11928</v>
      </c>
      <c r="B72" s="254" t="s">
        <v>18747</v>
      </c>
      <c r="C72" s="254" t="s">
        <v>4521</v>
      </c>
      <c r="D72" s="255" t="s">
        <v>16480</v>
      </c>
      <c r="E72" s="254" t="s">
        <v>170</v>
      </c>
    </row>
    <row r="73" spans="1:5" ht="30">
      <c r="A73" s="254">
        <v>11929</v>
      </c>
      <c r="B73" s="254" t="s">
        <v>18748</v>
      </c>
      <c r="C73" s="254" t="s">
        <v>4521</v>
      </c>
      <c r="D73" s="255" t="s">
        <v>17919</v>
      </c>
      <c r="E73" s="254" t="s">
        <v>170</v>
      </c>
    </row>
    <row r="74" spans="1:5" ht="15">
      <c r="A74" s="254">
        <v>36801</v>
      </c>
      <c r="B74" s="254" t="s">
        <v>18749</v>
      </c>
      <c r="C74" s="254" t="s">
        <v>4521</v>
      </c>
      <c r="D74" s="255" t="s">
        <v>16673</v>
      </c>
      <c r="E74" s="254" t="s">
        <v>170</v>
      </c>
    </row>
    <row r="75" spans="1:5" ht="30">
      <c r="A75" s="254">
        <v>36246</v>
      </c>
      <c r="B75" s="254" t="s">
        <v>18750</v>
      </c>
      <c r="C75" s="254" t="s">
        <v>4524</v>
      </c>
      <c r="D75" s="255" t="s">
        <v>18751</v>
      </c>
      <c r="E75" s="254" t="s">
        <v>170</v>
      </c>
    </row>
    <row r="76" spans="1:5" ht="15">
      <c r="A76" s="254">
        <v>37600</v>
      </c>
      <c r="B76" s="254" t="s">
        <v>18752</v>
      </c>
      <c r="C76" s="254" t="s">
        <v>4521</v>
      </c>
      <c r="D76" s="255" t="s">
        <v>18753</v>
      </c>
      <c r="E76" s="254" t="s">
        <v>170</v>
      </c>
    </row>
    <row r="77" spans="1:5" ht="30">
      <c r="A77" s="254">
        <v>37599</v>
      </c>
      <c r="B77" s="254" t="s">
        <v>18754</v>
      </c>
      <c r="C77" s="254" t="s">
        <v>4521</v>
      </c>
      <c r="D77" s="255" t="s">
        <v>18755</v>
      </c>
      <c r="E77" s="254" t="s">
        <v>170</v>
      </c>
    </row>
    <row r="78" spans="1:5" ht="15">
      <c r="A78" s="254">
        <v>1</v>
      </c>
      <c r="B78" s="254" t="s">
        <v>18756</v>
      </c>
      <c r="C78" s="254" t="s">
        <v>4525</v>
      </c>
      <c r="D78" s="255" t="s">
        <v>18757</v>
      </c>
      <c r="E78" s="254" t="s">
        <v>170</v>
      </c>
    </row>
    <row r="79" spans="1:5" ht="15">
      <c r="A79" s="254">
        <v>3</v>
      </c>
      <c r="B79" s="254" t="s">
        <v>18758</v>
      </c>
      <c r="C79" s="254" t="s">
        <v>4526</v>
      </c>
      <c r="D79" s="255" t="s">
        <v>17019</v>
      </c>
      <c r="E79" s="254" t="s">
        <v>170</v>
      </c>
    </row>
    <row r="80" spans="1:5" ht="30">
      <c r="A80" s="254">
        <v>43054</v>
      </c>
      <c r="B80" s="254" t="s">
        <v>18759</v>
      </c>
      <c r="C80" s="254" t="s">
        <v>4525</v>
      </c>
      <c r="D80" s="255" t="s">
        <v>18760</v>
      </c>
      <c r="E80" s="254" t="s">
        <v>170</v>
      </c>
    </row>
    <row r="81" spans="1:5" ht="15">
      <c r="A81" s="254">
        <v>42403</v>
      </c>
      <c r="B81" s="254" t="s">
        <v>18761</v>
      </c>
      <c r="C81" s="254" t="s">
        <v>4525</v>
      </c>
      <c r="D81" s="255" t="s">
        <v>13906</v>
      </c>
      <c r="E81" s="254" t="s">
        <v>170</v>
      </c>
    </row>
    <row r="82" spans="1:5" ht="15">
      <c r="A82" s="254">
        <v>42404</v>
      </c>
      <c r="B82" s="254" t="s">
        <v>18762</v>
      </c>
      <c r="C82" s="254" t="s">
        <v>4525</v>
      </c>
      <c r="D82" s="255" t="s">
        <v>13764</v>
      </c>
      <c r="E82" s="254" t="s">
        <v>170</v>
      </c>
    </row>
    <row r="83" spans="1:5" ht="15">
      <c r="A83" s="254">
        <v>42405</v>
      </c>
      <c r="B83" s="254" t="s">
        <v>18763</v>
      </c>
      <c r="C83" s="254" t="s">
        <v>4525</v>
      </c>
      <c r="D83" s="255" t="s">
        <v>13636</v>
      </c>
      <c r="E83" s="254" t="s">
        <v>170</v>
      </c>
    </row>
    <row r="84" spans="1:5" ht="15">
      <c r="A84" s="254">
        <v>34341</v>
      </c>
      <c r="B84" s="254" t="s">
        <v>18764</v>
      </c>
      <c r="C84" s="254" t="s">
        <v>4525</v>
      </c>
      <c r="D84" s="255" t="s">
        <v>18765</v>
      </c>
      <c r="E84" s="254" t="s">
        <v>170</v>
      </c>
    </row>
    <row r="85" spans="1:5" ht="15">
      <c r="A85" s="254">
        <v>43053</v>
      </c>
      <c r="B85" s="254" t="s">
        <v>18766</v>
      </c>
      <c r="C85" s="254" t="s">
        <v>4525</v>
      </c>
      <c r="D85" s="255" t="s">
        <v>14222</v>
      </c>
      <c r="E85" s="254" t="s">
        <v>170</v>
      </c>
    </row>
    <row r="86" spans="1:5" ht="15">
      <c r="A86" s="254">
        <v>43058</v>
      </c>
      <c r="B86" s="254" t="s">
        <v>18767</v>
      </c>
      <c r="C86" s="254" t="s">
        <v>4525</v>
      </c>
      <c r="D86" s="255" t="s">
        <v>18746</v>
      </c>
      <c r="E86" s="254" t="s">
        <v>170</v>
      </c>
    </row>
    <row r="87" spans="1:5" ht="15">
      <c r="A87" s="254">
        <v>34</v>
      </c>
      <c r="B87" s="254" t="s">
        <v>18768</v>
      </c>
      <c r="C87" s="254" t="s">
        <v>4525</v>
      </c>
      <c r="D87" s="255" t="s">
        <v>18769</v>
      </c>
      <c r="E87" s="254" t="s">
        <v>170</v>
      </c>
    </row>
    <row r="88" spans="1:5" ht="15">
      <c r="A88" s="254">
        <v>43055</v>
      </c>
      <c r="B88" s="254" t="s">
        <v>18770</v>
      </c>
      <c r="C88" s="254" t="s">
        <v>4525</v>
      </c>
      <c r="D88" s="255" t="s">
        <v>17527</v>
      </c>
      <c r="E88" s="254" t="s">
        <v>170</v>
      </c>
    </row>
    <row r="89" spans="1:5" ht="15">
      <c r="A89" s="254">
        <v>43056</v>
      </c>
      <c r="B89" s="254" t="s">
        <v>18771</v>
      </c>
      <c r="C89" s="254" t="s">
        <v>4525</v>
      </c>
      <c r="D89" s="255" t="s">
        <v>16593</v>
      </c>
      <c r="E89" s="254" t="s">
        <v>170</v>
      </c>
    </row>
    <row r="90" spans="1:5" ht="15">
      <c r="A90" s="254">
        <v>43057</v>
      </c>
      <c r="B90" s="254" t="s">
        <v>18772</v>
      </c>
      <c r="C90" s="254" t="s">
        <v>4525</v>
      </c>
      <c r="D90" s="255" t="s">
        <v>16626</v>
      </c>
      <c r="E90" s="254" t="s">
        <v>170</v>
      </c>
    </row>
    <row r="91" spans="1:5" ht="15">
      <c r="A91" s="254">
        <v>34449</v>
      </c>
      <c r="B91" s="254" t="s">
        <v>18773</v>
      </c>
      <c r="C91" s="254" t="s">
        <v>4525</v>
      </c>
      <c r="D91" s="255" t="s">
        <v>14738</v>
      </c>
      <c r="E91" s="254" t="s">
        <v>170</v>
      </c>
    </row>
    <row r="92" spans="1:5" ht="15">
      <c r="A92" s="254">
        <v>32</v>
      </c>
      <c r="B92" s="254" t="s">
        <v>18774</v>
      </c>
      <c r="C92" s="254" t="s">
        <v>4525</v>
      </c>
      <c r="D92" s="255" t="s">
        <v>16920</v>
      </c>
      <c r="E92" s="254" t="s">
        <v>170</v>
      </c>
    </row>
    <row r="93" spans="1:5" ht="15">
      <c r="A93" s="254">
        <v>33</v>
      </c>
      <c r="B93" s="254" t="s">
        <v>18775</v>
      </c>
      <c r="C93" s="254" t="s">
        <v>4525</v>
      </c>
      <c r="D93" s="255" t="s">
        <v>15502</v>
      </c>
      <c r="E93" s="254" t="s">
        <v>170</v>
      </c>
    </row>
    <row r="94" spans="1:5" ht="15">
      <c r="A94" s="254">
        <v>43061</v>
      </c>
      <c r="B94" s="254" t="s">
        <v>18776</v>
      </c>
      <c r="C94" s="254" t="s">
        <v>4525</v>
      </c>
      <c r="D94" s="255" t="s">
        <v>15466</v>
      </c>
      <c r="E94" s="254" t="s">
        <v>170</v>
      </c>
    </row>
    <row r="95" spans="1:5" ht="15">
      <c r="A95" s="254">
        <v>43059</v>
      </c>
      <c r="B95" s="254" t="s">
        <v>18777</v>
      </c>
      <c r="C95" s="254" t="s">
        <v>4525</v>
      </c>
      <c r="D95" s="255" t="s">
        <v>18778</v>
      </c>
      <c r="E95" s="254" t="s">
        <v>170</v>
      </c>
    </row>
    <row r="96" spans="1:5" ht="15">
      <c r="A96" s="254">
        <v>43062</v>
      </c>
      <c r="B96" s="254" t="s">
        <v>18779</v>
      </c>
      <c r="C96" s="254" t="s">
        <v>4525</v>
      </c>
      <c r="D96" s="255" t="s">
        <v>18780</v>
      </c>
      <c r="E96" s="254" t="s">
        <v>170</v>
      </c>
    </row>
    <row r="97" spans="1:5" ht="15">
      <c r="A97" s="254">
        <v>43060</v>
      </c>
      <c r="B97" s="254" t="s">
        <v>18781</v>
      </c>
      <c r="C97" s="254" t="s">
        <v>4525</v>
      </c>
      <c r="D97" s="255" t="s">
        <v>18139</v>
      </c>
      <c r="E97" s="254" t="s">
        <v>170</v>
      </c>
    </row>
    <row r="98" spans="1:5" ht="30">
      <c r="A98" s="254">
        <v>20063</v>
      </c>
      <c r="B98" s="254" t="s">
        <v>18782</v>
      </c>
      <c r="C98" s="254" t="s">
        <v>4521</v>
      </c>
      <c r="D98" s="255" t="s">
        <v>17672</v>
      </c>
      <c r="E98" s="254" t="s">
        <v>170</v>
      </c>
    </row>
    <row r="99" spans="1:5" ht="30">
      <c r="A99" s="254">
        <v>40410</v>
      </c>
      <c r="B99" s="254" t="s">
        <v>18783</v>
      </c>
      <c r="C99" s="254" t="s">
        <v>4521</v>
      </c>
      <c r="D99" s="255" t="s">
        <v>18455</v>
      </c>
      <c r="E99" s="254" t="s">
        <v>170</v>
      </c>
    </row>
    <row r="100" spans="1:5" ht="30">
      <c r="A100" s="254">
        <v>40411</v>
      </c>
      <c r="B100" s="254" t="s">
        <v>18784</v>
      </c>
      <c r="C100" s="254" t="s">
        <v>4521</v>
      </c>
      <c r="D100" s="255" t="s">
        <v>14485</v>
      </c>
      <c r="E100" s="254" t="s">
        <v>170</v>
      </c>
    </row>
    <row r="101" spans="1:5" ht="30">
      <c r="A101" s="254">
        <v>40412</v>
      </c>
      <c r="B101" s="254" t="s">
        <v>18785</v>
      </c>
      <c r="C101" s="254" t="s">
        <v>4521</v>
      </c>
      <c r="D101" s="255" t="s">
        <v>18185</v>
      </c>
      <c r="E101" s="254" t="s">
        <v>170</v>
      </c>
    </row>
    <row r="102" spans="1:5" ht="15">
      <c r="A102" s="254">
        <v>38838</v>
      </c>
      <c r="B102" s="254" t="s">
        <v>18786</v>
      </c>
      <c r="C102" s="254" t="s">
        <v>4521</v>
      </c>
      <c r="D102" s="255" t="s">
        <v>16498</v>
      </c>
      <c r="E102" s="254" t="s">
        <v>170</v>
      </c>
    </row>
    <row r="103" spans="1:5" ht="15">
      <c r="A103" s="254">
        <v>38839</v>
      </c>
      <c r="B103" s="254" t="s">
        <v>18787</v>
      </c>
      <c r="C103" s="254" t="s">
        <v>4521</v>
      </c>
      <c r="D103" s="255" t="s">
        <v>13637</v>
      </c>
      <c r="E103" s="254" t="s">
        <v>170</v>
      </c>
    </row>
    <row r="104" spans="1:5" ht="30">
      <c r="A104" s="254">
        <v>55</v>
      </c>
      <c r="B104" s="254" t="s">
        <v>18788</v>
      </c>
      <c r="C104" s="254" t="s">
        <v>4521</v>
      </c>
      <c r="D104" s="255" t="s">
        <v>17524</v>
      </c>
      <c r="E104" s="254" t="s">
        <v>170</v>
      </c>
    </row>
    <row r="105" spans="1:5" ht="30">
      <c r="A105" s="254">
        <v>61</v>
      </c>
      <c r="B105" s="254" t="s">
        <v>18789</v>
      </c>
      <c r="C105" s="254" t="s">
        <v>4521</v>
      </c>
      <c r="D105" s="255" t="s">
        <v>14306</v>
      </c>
      <c r="E105" s="254" t="s">
        <v>170</v>
      </c>
    </row>
    <row r="106" spans="1:5" ht="30">
      <c r="A106" s="254">
        <v>62</v>
      </c>
      <c r="B106" s="254" t="s">
        <v>18790</v>
      </c>
      <c r="C106" s="254" t="s">
        <v>4521</v>
      </c>
      <c r="D106" s="255" t="s">
        <v>15768</v>
      </c>
      <c r="E106" s="254" t="s">
        <v>170</v>
      </c>
    </row>
    <row r="107" spans="1:5" ht="30">
      <c r="A107" s="254">
        <v>77</v>
      </c>
      <c r="B107" s="254" t="s">
        <v>18791</v>
      </c>
      <c r="C107" s="254" t="s">
        <v>4521</v>
      </c>
      <c r="D107" s="255" t="s">
        <v>18792</v>
      </c>
      <c r="E107" s="254" t="s">
        <v>170</v>
      </c>
    </row>
    <row r="108" spans="1:5" ht="15">
      <c r="A108" s="254">
        <v>76</v>
      </c>
      <c r="B108" s="254" t="s">
        <v>18793</v>
      </c>
      <c r="C108" s="254" t="s">
        <v>4521</v>
      </c>
      <c r="D108" s="255" t="s">
        <v>18794</v>
      </c>
      <c r="E108" s="254" t="s">
        <v>170</v>
      </c>
    </row>
    <row r="109" spans="1:5" ht="30">
      <c r="A109" s="254">
        <v>67</v>
      </c>
      <c r="B109" s="254" t="s">
        <v>18795</v>
      </c>
      <c r="C109" s="254" t="s">
        <v>4521</v>
      </c>
      <c r="D109" s="255" t="s">
        <v>18796</v>
      </c>
      <c r="E109" s="254" t="s">
        <v>170</v>
      </c>
    </row>
    <row r="110" spans="1:5" ht="30">
      <c r="A110" s="254">
        <v>71</v>
      </c>
      <c r="B110" s="254" t="s">
        <v>18797</v>
      </c>
      <c r="C110" s="254" t="s">
        <v>4521</v>
      </c>
      <c r="D110" s="255" t="s">
        <v>18798</v>
      </c>
      <c r="E110" s="254" t="s">
        <v>170</v>
      </c>
    </row>
    <row r="111" spans="1:5" ht="30">
      <c r="A111" s="254">
        <v>73</v>
      </c>
      <c r="B111" s="254" t="s">
        <v>18799</v>
      </c>
      <c r="C111" s="254" t="s">
        <v>4521</v>
      </c>
      <c r="D111" s="255" t="s">
        <v>13685</v>
      </c>
      <c r="E111" s="254" t="s">
        <v>170</v>
      </c>
    </row>
    <row r="112" spans="1:5" ht="30">
      <c r="A112" s="254">
        <v>103</v>
      </c>
      <c r="B112" s="254" t="s">
        <v>18800</v>
      </c>
      <c r="C112" s="254" t="s">
        <v>4521</v>
      </c>
      <c r="D112" s="255" t="s">
        <v>15601</v>
      </c>
      <c r="E112" s="254" t="s">
        <v>170</v>
      </c>
    </row>
    <row r="113" spans="1:5" ht="30">
      <c r="A113" s="254">
        <v>107</v>
      </c>
      <c r="B113" s="254" t="s">
        <v>18801</v>
      </c>
      <c r="C113" s="254" t="s">
        <v>4521</v>
      </c>
      <c r="D113" s="255" t="s">
        <v>14198</v>
      </c>
      <c r="E113" s="254" t="s">
        <v>170</v>
      </c>
    </row>
    <row r="114" spans="1:5" ht="30">
      <c r="A114" s="254">
        <v>65</v>
      </c>
      <c r="B114" s="254" t="s">
        <v>18802</v>
      </c>
      <c r="C114" s="254" t="s">
        <v>4521</v>
      </c>
      <c r="D114" s="255" t="s">
        <v>14183</v>
      </c>
      <c r="E114" s="254" t="s">
        <v>170</v>
      </c>
    </row>
    <row r="115" spans="1:5" ht="30">
      <c r="A115" s="254">
        <v>108</v>
      </c>
      <c r="B115" s="254" t="s">
        <v>18803</v>
      </c>
      <c r="C115" s="254" t="s">
        <v>4521</v>
      </c>
      <c r="D115" s="255" t="s">
        <v>18619</v>
      </c>
      <c r="E115" s="254" t="s">
        <v>170</v>
      </c>
    </row>
    <row r="116" spans="1:5" ht="30">
      <c r="A116" s="254">
        <v>110</v>
      </c>
      <c r="B116" s="254" t="s">
        <v>18804</v>
      </c>
      <c r="C116" s="254" t="s">
        <v>4521</v>
      </c>
      <c r="D116" s="255" t="s">
        <v>18068</v>
      </c>
      <c r="E116" s="254" t="s">
        <v>170</v>
      </c>
    </row>
    <row r="117" spans="1:5" ht="30">
      <c r="A117" s="254">
        <v>109</v>
      </c>
      <c r="B117" s="254" t="s">
        <v>18805</v>
      </c>
      <c r="C117" s="254" t="s">
        <v>4521</v>
      </c>
      <c r="D117" s="255" t="s">
        <v>18443</v>
      </c>
      <c r="E117" s="254" t="s">
        <v>170</v>
      </c>
    </row>
    <row r="118" spans="1:5" ht="30">
      <c r="A118" s="254">
        <v>111</v>
      </c>
      <c r="B118" s="254" t="s">
        <v>18806</v>
      </c>
      <c r="C118" s="254" t="s">
        <v>4521</v>
      </c>
      <c r="D118" s="255" t="s">
        <v>18807</v>
      </c>
      <c r="E118" s="254" t="s">
        <v>170</v>
      </c>
    </row>
    <row r="119" spans="1:5" ht="30">
      <c r="A119" s="254">
        <v>112</v>
      </c>
      <c r="B119" s="254" t="s">
        <v>18808</v>
      </c>
      <c r="C119" s="254" t="s">
        <v>4521</v>
      </c>
      <c r="D119" s="255" t="s">
        <v>13981</v>
      </c>
      <c r="E119" s="254" t="s">
        <v>170</v>
      </c>
    </row>
    <row r="120" spans="1:5" ht="30">
      <c r="A120" s="254">
        <v>113</v>
      </c>
      <c r="B120" s="254" t="s">
        <v>18809</v>
      </c>
      <c r="C120" s="254" t="s">
        <v>4521</v>
      </c>
      <c r="D120" s="255" t="s">
        <v>18810</v>
      </c>
      <c r="E120" s="254" t="s">
        <v>170</v>
      </c>
    </row>
    <row r="121" spans="1:5" ht="30">
      <c r="A121" s="254">
        <v>104</v>
      </c>
      <c r="B121" s="254" t="s">
        <v>18811</v>
      </c>
      <c r="C121" s="254" t="s">
        <v>4521</v>
      </c>
      <c r="D121" s="255" t="s">
        <v>18812</v>
      </c>
      <c r="E121" s="254" t="s">
        <v>170</v>
      </c>
    </row>
    <row r="122" spans="1:5" ht="30">
      <c r="A122" s="254">
        <v>102</v>
      </c>
      <c r="B122" s="254" t="s">
        <v>18813</v>
      </c>
      <c r="C122" s="254" t="s">
        <v>4521</v>
      </c>
      <c r="D122" s="255" t="s">
        <v>18814</v>
      </c>
      <c r="E122" s="254" t="s">
        <v>170</v>
      </c>
    </row>
    <row r="123" spans="1:5" ht="30">
      <c r="A123" s="254">
        <v>95</v>
      </c>
      <c r="B123" s="254" t="s">
        <v>18815</v>
      </c>
      <c r="C123" s="254" t="s">
        <v>4521</v>
      </c>
      <c r="D123" s="255" t="s">
        <v>15220</v>
      </c>
      <c r="E123" s="254" t="s">
        <v>170</v>
      </c>
    </row>
    <row r="124" spans="1:5" ht="30">
      <c r="A124" s="254">
        <v>96</v>
      </c>
      <c r="B124" s="254" t="s">
        <v>18816</v>
      </c>
      <c r="C124" s="254" t="s">
        <v>4521</v>
      </c>
      <c r="D124" s="255" t="s">
        <v>15777</v>
      </c>
      <c r="E124" s="254" t="s">
        <v>170</v>
      </c>
    </row>
    <row r="125" spans="1:5" ht="30">
      <c r="A125" s="254">
        <v>97</v>
      </c>
      <c r="B125" s="254" t="s">
        <v>18817</v>
      </c>
      <c r="C125" s="254" t="s">
        <v>4521</v>
      </c>
      <c r="D125" s="255" t="s">
        <v>16995</v>
      </c>
      <c r="E125" s="254" t="s">
        <v>170</v>
      </c>
    </row>
    <row r="126" spans="1:5" ht="30">
      <c r="A126" s="254">
        <v>98</v>
      </c>
      <c r="B126" s="254" t="s">
        <v>18818</v>
      </c>
      <c r="C126" s="254" t="s">
        <v>4521</v>
      </c>
      <c r="D126" s="255" t="s">
        <v>17073</v>
      </c>
      <c r="E126" s="254" t="s">
        <v>170</v>
      </c>
    </row>
    <row r="127" spans="1:5" ht="30">
      <c r="A127" s="254">
        <v>99</v>
      </c>
      <c r="B127" s="254" t="s">
        <v>18819</v>
      </c>
      <c r="C127" s="254" t="s">
        <v>4521</v>
      </c>
      <c r="D127" s="255" t="s">
        <v>18820</v>
      </c>
      <c r="E127" s="254" t="s">
        <v>170</v>
      </c>
    </row>
    <row r="128" spans="1:5" ht="30">
      <c r="A128" s="254">
        <v>100</v>
      </c>
      <c r="B128" s="254" t="s">
        <v>18821</v>
      </c>
      <c r="C128" s="254" t="s">
        <v>4521</v>
      </c>
      <c r="D128" s="255" t="s">
        <v>18822</v>
      </c>
      <c r="E128" s="254" t="s">
        <v>170</v>
      </c>
    </row>
    <row r="129" spans="1:5" ht="30">
      <c r="A129" s="254">
        <v>75</v>
      </c>
      <c r="B129" s="254" t="s">
        <v>18823</v>
      </c>
      <c r="C129" s="254" t="s">
        <v>4521</v>
      </c>
      <c r="D129" s="255" t="s">
        <v>18824</v>
      </c>
      <c r="E129" s="254" t="s">
        <v>170</v>
      </c>
    </row>
    <row r="130" spans="1:5" ht="30">
      <c r="A130" s="254">
        <v>114</v>
      </c>
      <c r="B130" s="254" t="s">
        <v>18825</v>
      </c>
      <c r="C130" s="254" t="s">
        <v>4521</v>
      </c>
      <c r="D130" s="255" t="s">
        <v>17530</v>
      </c>
      <c r="E130" s="254" t="s">
        <v>170</v>
      </c>
    </row>
    <row r="131" spans="1:5" ht="15">
      <c r="A131" s="254">
        <v>68</v>
      </c>
      <c r="B131" s="254" t="s">
        <v>18826</v>
      </c>
      <c r="C131" s="254" t="s">
        <v>4521</v>
      </c>
      <c r="D131" s="255" t="s">
        <v>18827</v>
      </c>
      <c r="E131" s="254" t="s">
        <v>170</v>
      </c>
    </row>
    <row r="132" spans="1:5" ht="30">
      <c r="A132" s="254">
        <v>86</v>
      </c>
      <c r="B132" s="254" t="s">
        <v>18828</v>
      </c>
      <c r="C132" s="254" t="s">
        <v>4521</v>
      </c>
      <c r="D132" s="255" t="s">
        <v>18829</v>
      </c>
      <c r="E132" s="254" t="s">
        <v>170</v>
      </c>
    </row>
    <row r="133" spans="1:5" ht="30">
      <c r="A133" s="254">
        <v>66</v>
      </c>
      <c r="B133" s="254" t="s">
        <v>18830</v>
      </c>
      <c r="C133" s="254" t="s">
        <v>4521</v>
      </c>
      <c r="D133" s="255" t="s">
        <v>18831</v>
      </c>
      <c r="E133" s="254" t="s">
        <v>170</v>
      </c>
    </row>
    <row r="134" spans="1:5" ht="15">
      <c r="A134" s="254">
        <v>69</v>
      </c>
      <c r="B134" s="254" t="s">
        <v>18832</v>
      </c>
      <c r="C134" s="254" t="s">
        <v>4521</v>
      </c>
      <c r="D134" s="255" t="s">
        <v>18833</v>
      </c>
      <c r="E134" s="254" t="s">
        <v>170</v>
      </c>
    </row>
    <row r="135" spans="1:5" ht="30">
      <c r="A135" s="254">
        <v>83</v>
      </c>
      <c r="B135" s="254" t="s">
        <v>18834</v>
      </c>
      <c r="C135" s="254" t="s">
        <v>4521</v>
      </c>
      <c r="D135" s="255" t="s">
        <v>18835</v>
      </c>
      <c r="E135" s="254" t="s">
        <v>170</v>
      </c>
    </row>
    <row r="136" spans="1:5" ht="15">
      <c r="A136" s="254">
        <v>74</v>
      </c>
      <c r="B136" s="254" t="s">
        <v>18836</v>
      </c>
      <c r="C136" s="254" t="s">
        <v>4521</v>
      </c>
      <c r="D136" s="255" t="s">
        <v>18837</v>
      </c>
      <c r="E136" s="254" t="s">
        <v>170</v>
      </c>
    </row>
    <row r="137" spans="1:5" ht="30">
      <c r="A137" s="254">
        <v>106</v>
      </c>
      <c r="B137" s="254" t="s">
        <v>18838</v>
      </c>
      <c r="C137" s="254" t="s">
        <v>4521</v>
      </c>
      <c r="D137" s="255" t="s">
        <v>18839</v>
      </c>
      <c r="E137" s="254" t="s">
        <v>170</v>
      </c>
    </row>
    <row r="138" spans="1:5" ht="30">
      <c r="A138" s="254">
        <v>87</v>
      </c>
      <c r="B138" s="254" t="s">
        <v>18840</v>
      </c>
      <c r="C138" s="254" t="s">
        <v>4521</v>
      </c>
      <c r="D138" s="255" t="s">
        <v>18841</v>
      </c>
      <c r="E138" s="254" t="s">
        <v>170</v>
      </c>
    </row>
    <row r="139" spans="1:5" ht="30">
      <c r="A139" s="254">
        <v>88</v>
      </c>
      <c r="B139" s="254" t="s">
        <v>18842</v>
      </c>
      <c r="C139" s="254" t="s">
        <v>4521</v>
      </c>
      <c r="D139" s="255" t="s">
        <v>18843</v>
      </c>
      <c r="E139" s="254" t="s">
        <v>170</v>
      </c>
    </row>
    <row r="140" spans="1:5" ht="30">
      <c r="A140" s="254">
        <v>89</v>
      </c>
      <c r="B140" s="254" t="s">
        <v>18844</v>
      </c>
      <c r="C140" s="254" t="s">
        <v>4521</v>
      </c>
      <c r="D140" s="255" t="s">
        <v>18183</v>
      </c>
      <c r="E140" s="254" t="s">
        <v>170</v>
      </c>
    </row>
    <row r="141" spans="1:5" ht="30">
      <c r="A141" s="254">
        <v>90</v>
      </c>
      <c r="B141" s="254" t="s">
        <v>18845</v>
      </c>
      <c r="C141" s="254" t="s">
        <v>4521</v>
      </c>
      <c r="D141" s="255" t="s">
        <v>14051</v>
      </c>
      <c r="E141" s="254" t="s">
        <v>170</v>
      </c>
    </row>
    <row r="142" spans="1:5" ht="30">
      <c r="A142" s="254">
        <v>81</v>
      </c>
      <c r="B142" s="254" t="s">
        <v>18846</v>
      </c>
      <c r="C142" s="254" t="s">
        <v>4521</v>
      </c>
      <c r="D142" s="255" t="s">
        <v>18847</v>
      </c>
      <c r="E142" s="254" t="s">
        <v>170</v>
      </c>
    </row>
    <row r="143" spans="1:5" ht="30">
      <c r="A143" s="254">
        <v>82</v>
      </c>
      <c r="B143" s="254" t="s">
        <v>18848</v>
      </c>
      <c r="C143" s="254" t="s">
        <v>4521</v>
      </c>
      <c r="D143" s="255" t="s">
        <v>18849</v>
      </c>
      <c r="E143" s="254" t="s">
        <v>170</v>
      </c>
    </row>
    <row r="144" spans="1:5" ht="30">
      <c r="A144" s="254">
        <v>105</v>
      </c>
      <c r="B144" s="254" t="s">
        <v>18850</v>
      </c>
      <c r="C144" s="254" t="s">
        <v>4521</v>
      </c>
      <c r="D144" s="255" t="s">
        <v>18851</v>
      </c>
      <c r="E144" s="254" t="s">
        <v>170</v>
      </c>
    </row>
    <row r="145" spans="1:5" ht="30">
      <c r="A145" s="254">
        <v>60</v>
      </c>
      <c r="B145" s="254" t="s">
        <v>18852</v>
      </c>
      <c r="C145" s="254" t="s">
        <v>4521</v>
      </c>
      <c r="D145" s="255" t="s">
        <v>18853</v>
      </c>
      <c r="E145" s="254" t="s">
        <v>170</v>
      </c>
    </row>
    <row r="146" spans="1:5" ht="30">
      <c r="A146" s="254">
        <v>72</v>
      </c>
      <c r="B146" s="254" t="s">
        <v>18854</v>
      </c>
      <c r="C146" s="254" t="s">
        <v>4521</v>
      </c>
      <c r="D146" s="255" t="s">
        <v>18855</v>
      </c>
      <c r="E146" s="254" t="s">
        <v>170</v>
      </c>
    </row>
    <row r="147" spans="1:5" ht="30">
      <c r="A147" s="254">
        <v>70</v>
      </c>
      <c r="B147" s="254" t="s">
        <v>18856</v>
      </c>
      <c r="C147" s="254" t="s">
        <v>4521</v>
      </c>
      <c r="D147" s="255" t="s">
        <v>18572</v>
      </c>
      <c r="E147" s="254" t="s">
        <v>170</v>
      </c>
    </row>
    <row r="148" spans="1:5" ht="30">
      <c r="A148" s="254">
        <v>85</v>
      </c>
      <c r="B148" s="254" t="s">
        <v>18857</v>
      </c>
      <c r="C148" s="254" t="s">
        <v>4521</v>
      </c>
      <c r="D148" s="255" t="s">
        <v>18858</v>
      </c>
      <c r="E148" s="254" t="s">
        <v>170</v>
      </c>
    </row>
    <row r="149" spans="1:5" ht="15">
      <c r="A149" s="254">
        <v>84</v>
      </c>
      <c r="B149" s="254" t="s">
        <v>18859</v>
      </c>
      <c r="C149" s="254" t="s">
        <v>4521</v>
      </c>
      <c r="D149" s="255" t="s">
        <v>14301</v>
      </c>
      <c r="E149" s="254" t="s">
        <v>170</v>
      </c>
    </row>
    <row r="150" spans="1:5" ht="15">
      <c r="A150" s="254">
        <v>37997</v>
      </c>
      <c r="B150" s="254" t="s">
        <v>18860</v>
      </c>
      <c r="C150" s="254" t="s">
        <v>4521</v>
      </c>
      <c r="D150" s="255" t="s">
        <v>18861</v>
      </c>
      <c r="E150" s="254" t="s">
        <v>170</v>
      </c>
    </row>
    <row r="151" spans="1:5" ht="15">
      <c r="A151" s="254">
        <v>37998</v>
      </c>
      <c r="B151" s="254" t="s">
        <v>18862</v>
      </c>
      <c r="C151" s="254" t="s">
        <v>4521</v>
      </c>
      <c r="D151" s="255" t="s">
        <v>13981</v>
      </c>
      <c r="E151" s="254" t="s">
        <v>170</v>
      </c>
    </row>
    <row r="152" spans="1:5" ht="30">
      <c r="A152" s="254">
        <v>10899</v>
      </c>
      <c r="B152" s="254" t="s">
        <v>18863</v>
      </c>
      <c r="C152" s="254" t="s">
        <v>4521</v>
      </c>
      <c r="D152" s="255" t="s">
        <v>18479</v>
      </c>
      <c r="E152" s="254" t="s">
        <v>170</v>
      </c>
    </row>
    <row r="153" spans="1:5" ht="30">
      <c r="A153" s="254">
        <v>10900</v>
      </c>
      <c r="B153" s="254" t="s">
        <v>18864</v>
      </c>
      <c r="C153" s="254" t="s">
        <v>4521</v>
      </c>
      <c r="D153" s="255" t="s">
        <v>18865</v>
      </c>
      <c r="E153" s="254" t="s">
        <v>170</v>
      </c>
    </row>
    <row r="154" spans="1:5" ht="15">
      <c r="A154" s="254">
        <v>46</v>
      </c>
      <c r="B154" s="254" t="s">
        <v>18866</v>
      </c>
      <c r="C154" s="254" t="s">
        <v>4521</v>
      </c>
      <c r="D154" s="255" t="s">
        <v>18867</v>
      </c>
      <c r="E154" s="254" t="s">
        <v>170</v>
      </c>
    </row>
    <row r="155" spans="1:5" ht="15">
      <c r="A155" s="254">
        <v>51</v>
      </c>
      <c r="B155" s="254" t="s">
        <v>18868</v>
      </c>
      <c r="C155" s="254" t="s">
        <v>4521</v>
      </c>
      <c r="D155" s="255" t="s">
        <v>18869</v>
      </c>
      <c r="E155" s="254" t="s">
        <v>170</v>
      </c>
    </row>
    <row r="156" spans="1:5" ht="15">
      <c r="A156" s="254">
        <v>12863</v>
      </c>
      <c r="B156" s="254" t="s">
        <v>18870</v>
      </c>
      <c r="C156" s="254" t="s">
        <v>4521</v>
      </c>
      <c r="D156" s="255" t="s">
        <v>18871</v>
      </c>
      <c r="E156" s="254" t="s">
        <v>170</v>
      </c>
    </row>
    <row r="157" spans="1:5" ht="15">
      <c r="A157" s="254">
        <v>50</v>
      </c>
      <c r="B157" s="254" t="s">
        <v>18872</v>
      </c>
      <c r="C157" s="254" t="s">
        <v>4521</v>
      </c>
      <c r="D157" s="255" t="s">
        <v>18873</v>
      </c>
      <c r="E157" s="254" t="s">
        <v>170</v>
      </c>
    </row>
    <row r="158" spans="1:5" ht="15">
      <c r="A158" s="254">
        <v>47</v>
      </c>
      <c r="B158" s="254" t="s">
        <v>18874</v>
      </c>
      <c r="C158" s="254" t="s">
        <v>4521</v>
      </c>
      <c r="D158" s="255" t="s">
        <v>18875</v>
      </c>
      <c r="E158" s="254" t="s">
        <v>170</v>
      </c>
    </row>
    <row r="159" spans="1:5" ht="15">
      <c r="A159" s="254">
        <v>48</v>
      </c>
      <c r="B159" s="254" t="s">
        <v>18876</v>
      </c>
      <c r="C159" s="254" t="s">
        <v>4521</v>
      </c>
      <c r="D159" s="255" t="s">
        <v>18877</v>
      </c>
      <c r="E159" s="254" t="s">
        <v>170</v>
      </c>
    </row>
    <row r="160" spans="1:5" ht="15">
      <c r="A160" s="254">
        <v>52</v>
      </c>
      <c r="B160" s="254" t="s">
        <v>18878</v>
      </c>
      <c r="C160" s="254" t="s">
        <v>4521</v>
      </c>
      <c r="D160" s="255" t="s">
        <v>16984</v>
      </c>
      <c r="E160" s="254" t="s">
        <v>170</v>
      </c>
    </row>
    <row r="161" spans="1:5" ht="15">
      <c r="A161" s="254">
        <v>43</v>
      </c>
      <c r="B161" s="254" t="s">
        <v>18879</v>
      </c>
      <c r="C161" s="254" t="s">
        <v>4521</v>
      </c>
      <c r="D161" s="255" t="s">
        <v>18880</v>
      </c>
      <c r="E161" s="254" t="s">
        <v>170</v>
      </c>
    </row>
    <row r="162" spans="1:5" ht="15">
      <c r="A162" s="254">
        <v>4791</v>
      </c>
      <c r="B162" s="254" t="s">
        <v>18881</v>
      </c>
      <c r="C162" s="254" t="s">
        <v>4525</v>
      </c>
      <c r="D162" s="255" t="s">
        <v>18882</v>
      </c>
      <c r="E162" s="254" t="s">
        <v>170</v>
      </c>
    </row>
    <row r="163" spans="1:5" ht="30">
      <c r="A163" s="254">
        <v>157</v>
      </c>
      <c r="B163" s="254" t="s">
        <v>18883</v>
      </c>
      <c r="C163" s="254" t="s">
        <v>4525</v>
      </c>
      <c r="D163" s="255" t="s">
        <v>18884</v>
      </c>
      <c r="E163" s="254" t="s">
        <v>170</v>
      </c>
    </row>
    <row r="164" spans="1:5" ht="15">
      <c r="A164" s="254">
        <v>156</v>
      </c>
      <c r="B164" s="254" t="s">
        <v>18885</v>
      </c>
      <c r="C164" s="254" t="s">
        <v>4525</v>
      </c>
      <c r="D164" s="255" t="s">
        <v>18886</v>
      </c>
      <c r="E164" s="254" t="s">
        <v>170</v>
      </c>
    </row>
    <row r="165" spans="1:5" ht="30">
      <c r="A165" s="254">
        <v>131</v>
      </c>
      <c r="B165" s="254" t="s">
        <v>18887</v>
      </c>
      <c r="C165" s="254" t="s">
        <v>4525</v>
      </c>
      <c r="D165" s="255" t="s">
        <v>18888</v>
      </c>
      <c r="E165" s="254" t="s">
        <v>170</v>
      </c>
    </row>
    <row r="166" spans="1:5" ht="30">
      <c r="A166" s="254">
        <v>39719</v>
      </c>
      <c r="B166" s="254" t="s">
        <v>18889</v>
      </c>
      <c r="C166" s="254" t="s">
        <v>4526</v>
      </c>
      <c r="D166" s="255" t="s">
        <v>18890</v>
      </c>
      <c r="E166" s="254" t="s">
        <v>170</v>
      </c>
    </row>
    <row r="167" spans="1:5" ht="15">
      <c r="A167" s="254">
        <v>21114</v>
      </c>
      <c r="B167" s="254" t="s">
        <v>18891</v>
      </c>
      <c r="C167" s="254" t="s">
        <v>4521</v>
      </c>
      <c r="D167" s="255" t="s">
        <v>18892</v>
      </c>
      <c r="E167" s="254" t="s">
        <v>170</v>
      </c>
    </row>
    <row r="168" spans="1:5" ht="15">
      <c r="A168" s="254">
        <v>119</v>
      </c>
      <c r="B168" s="254" t="s">
        <v>18893</v>
      </c>
      <c r="C168" s="254" t="s">
        <v>4521</v>
      </c>
      <c r="D168" s="255" t="s">
        <v>15465</v>
      </c>
      <c r="E168" s="254" t="s">
        <v>170</v>
      </c>
    </row>
    <row r="169" spans="1:5" ht="15">
      <c r="A169" s="254">
        <v>20080</v>
      </c>
      <c r="B169" s="254" t="s">
        <v>18894</v>
      </c>
      <c r="C169" s="254" t="s">
        <v>4521</v>
      </c>
      <c r="D169" s="255" t="s">
        <v>18895</v>
      </c>
      <c r="E169" s="254" t="s">
        <v>170</v>
      </c>
    </row>
    <row r="170" spans="1:5" ht="15">
      <c r="A170" s="254">
        <v>122</v>
      </c>
      <c r="B170" s="254" t="s">
        <v>18896</v>
      </c>
      <c r="C170" s="254" t="s">
        <v>4521</v>
      </c>
      <c r="D170" s="255" t="s">
        <v>18897</v>
      </c>
      <c r="E170" s="254" t="s">
        <v>170</v>
      </c>
    </row>
    <row r="171" spans="1:5" ht="15">
      <c r="A171" s="254">
        <v>3410</v>
      </c>
      <c r="B171" s="254" t="s">
        <v>18898</v>
      </c>
      <c r="C171" s="254" t="s">
        <v>4525</v>
      </c>
      <c r="D171" s="255" t="s">
        <v>18899</v>
      </c>
      <c r="E171" s="254" t="s">
        <v>170</v>
      </c>
    </row>
    <row r="172" spans="1:5" ht="30">
      <c r="A172" s="254">
        <v>124</v>
      </c>
      <c r="B172" s="254" t="s">
        <v>18900</v>
      </c>
      <c r="C172" s="254" t="s">
        <v>4526</v>
      </c>
      <c r="D172" s="255" t="s">
        <v>18901</v>
      </c>
      <c r="E172" s="254" t="s">
        <v>170</v>
      </c>
    </row>
    <row r="173" spans="1:5" ht="15">
      <c r="A173" s="254">
        <v>7334</v>
      </c>
      <c r="B173" s="254" t="s">
        <v>18902</v>
      </c>
      <c r="C173" s="254" t="s">
        <v>4526</v>
      </c>
      <c r="D173" s="255" t="s">
        <v>14937</v>
      </c>
      <c r="E173" s="254" t="s">
        <v>170</v>
      </c>
    </row>
    <row r="174" spans="1:5" ht="30">
      <c r="A174" s="254">
        <v>123</v>
      </c>
      <c r="B174" s="254" t="s">
        <v>18903</v>
      </c>
      <c r="C174" s="254" t="s">
        <v>4526</v>
      </c>
      <c r="D174" s="256" t="s">
        <v>15766</v>
      </c>
      <c r="E174" s="254" t="s">
        <v>170</v>
      </c>
    </row>
    <row r="175" spans="1:5" ht="30">
      <c r="A175" s="254">
        <v>127</v>
      </c>
      <c r="B175" s="254" t="s">
        <v>18904</v>
      </c>
      <c r="C175" s="254" t="s">
        <v>4526</v>
      </c>
      <c r="D175" s="256" t="s">
        <v>16240</v>
      </c>
      <c r="E175" s="254" t="s">
        <v>170</v>
      </c>
    </row>
    <row r="176" spans="1:5" ht="15">
      <c r="A176" s="254">
        <v>41373</v>
      </c>
      <c r="B176" s="254" t="s">
        <v>18905</v>
      </c>
      <c r="C176" s="254" t="s">
        <v>4526</v>
      </c>
      <c r="D176" s="256" t="s">
        <v>13529</v>
      </c>
      <c r="E176" s="254" t="s">
        <v>170</v>
      </c>
    </row>
    <row r="177" spans="1:5" ht="30">
      <c r="A177" s="254">
        <v>133</v>
      </c>
      <c r="B177" s="254" t="s">
        <v>18906</v>
      </c>
      <c r="C177" s="254" t="s">
        <v>4526</v>
      </c>
      <c r="D177" s="256" t="s">
        <v>13540</v>
      </c>
      <c r="E177" s="254" t="s">
        <v>170</v>
      </c>
    </row>
    <row r="178" spans="1:5" ht="30">
      <c r="A178" s="254">
        <v>43617</v>
      </c>
      <c r="B178" s="254" t="s">
        <v>18907</v>
      </c>
      <c r="C178" s="254" t="s">
        <v>4526</v>
      </c>
      <c r="D178" s="256" t="s">
        <v>15693</v>
      </c>
      <c r="E178" s="254" t="s">
        <v>170</v>
      </c>
    </row>
    <row r="179" spans="1:5" ht="30">
      <c r="A179" s="254">
        <v>132</v>
      </c>
      <c r="B179" s="254" t="s">
        <v>18908</v>
      </c>
      <c r="C179" s="254" t="s">
        <v>4526</v>
      </c>
      <c r="D179" s="255" t="s">
        <v>14012</v>
      </c>
      <c r="E179" s="254" t="s">
        <v>170</v>
      </c>
    </row>
    <row r="180" spans="1:5" ht="30">
      <c r="A180" s="254">
        <v>43618</v>
      </c>
      <c r="B180" s="254" t="s">
        <v>18909</v>
      </c>
      <c r="C180" s="254" t="s">
        <v>4525</v>
      </c>
      <c r="D180" s="255" t="s">
        <v>16023</v>
      </c>
      <c r="E180" s="254" t="s">
        <v>170</v>
      </c>
    </row>
    <row r="181" spans="1:5" ht="30">
      <c r="A181" s="254">
        <v>37476</v>
      </c>
      <c r="B181" s="254" t="s">
        <v>18910</v>
      </c>
      <c r="C181" s="254" t="s">
        <v>4521</v>
      </c>
      <c r="D181" s="255" t="s">
        <v>18911</v>
      </c>
      <c r="E181" s="254" t="s">
        <v>170</v>
      </c>
    </row>
    <row r="182" spans="1:5" ht="30">
      <c r="A182" s="254">
        <v>37478</v>
      </c>
      <c r="B182" s="254" t="s">
        <v>18912</v>
      </c>
      <c r="C182" s="254" t="s">
        <v>4521</v>
      </c>
      <c r="D182" s="255" t="s">
        <v>18913</v>
      </c>
      <c r="E182" s="253" t="s">
        <v>170</v>
      </c>
    </row>
    <row r="183" spans="1:5" ht="30">
      <c r="A183" s="254">
        <v>37477</v>
      </c>
      <c r="B183" s="254" t="s">
        <v>18914</v>
      </c>
      <c r="C183" s="254" t="s">
        <v>4521</v>
      </c>
      <c r="D183" s="255" t="s">
        <v>18915</v>
      </c>
      <c r="E183" s="253" t="s">
        <v>170</v>
      </c>
    </row>
    <row r="184" spans="1:5" ht="30">
      <c r="A184" s="254">
        <v>37479</v>
      </c>
      <c r="B184" s="254" t="s">
        <v>18916</v>
      </c>
      <c r="C184" s="254" t="s">
        <v>4521</v>
      </c>
      <c r="D184" s="255" t="s">
        <v>18917</v>
      </c>
      <c r="E184" s="253" t="s">
        <v>170</v>
      </c>
    </row>
    <row r="185" spans="1:5" ht="15">
      <c r="A185" s="254">
        <v>4319</v>
      </c>
      <c r="B185" s="254" t="s">
        <v>18918</v>
      </c>
      <c r="C185" s="254" t="s">
        <v>4521</v>
      </c>
      <c r="D185" s="255" t="s">
        <v>13750</v>
      </c>
      <c r="E185" s="253" t="s">
        <v>170</v>
      </c>
    </row>
    <row r="186" spans="1:5" ht="30">
      <c r="A186" s="254">
        <v>42409</v>
      </c>
      <c r="B186" s="254" t="s">
        <v>18919</v>
      </c>
      <c r="C186" s="254" t="s">
        <v>4525</v>
      </c>
      <c r="D186" s="255" t="s">
        <v>15490</v>
      </c>
      <c r="E186" s="253" t="s">
        <v>170</v>
      </c>
    </row>
    <row r="187" spans="1:5" ht="15">
      <c r="A187" s="254">
        <v>40553</v>
      </c>
      <c r="B187" s="254" t="s">
        <v>18920</v>
      </c>
      <c r="C187" s="254" t="s">
        <v>4522</v>
      </c>
      <c r="D187" s="255" t="s">
        <v>18921</v>
      </c>
      <c r="E187" s="253" t="s">
        <v>170</v>
      </c>
    </row>
    <row r="188" spans="1:5" ht="15">
      <c r="A188" s="254">
        <v>13003</v>
      </c>
      <c r="B188" s="254" t="s">
        <v>18922</v>
      </c>
      <c r="C188" s="254" t="s">
        <v>4526</v>
      </c>
      <c r="D188" s="255" t="s">
        <v>18923</v>
      </c>
      <c r="E188" s="253" t="s">
        <v>170</v>
      </c>
    </row>
    <row r="189" spans="1:5" ht="15">
      <c r="A189" s="254">
        <v>6114</v>
      </c>
      <c r="B189" s="254" t="s">
        <v>18924</v>
      </c>
      <c r="C189" s="254" t="s">
        <v>4520</v>
      </c>
      <c r="D189" s="255" t="s">
        <v>16711</v>
      </c>
      <c r="E189" s="253" t="s">
        <v>8722</v>
      </c>
    </row>
    <row r="190" spans="1:5" ht="15">
      <c r="A190" s="254">
        <v>40912</v>
      </c>
      <c r="B190" s="254" t="s">
        <v>18925</v>
      </c>
      <c r="C190" s="254" t="s">
        <v>4528</v>
      </c>
      <c r="D190" s="255" t="s">
        <v>18926</v>
      </c>
      <c r="E190" s="253" t="s">
        <v>8722</v>
      </c>
    </row>
    <row r="191" spans="1:5" ht="15">
      <c r="A191" s="254">
        <v>247</v>
      </c>
      <c r="B191" s="254" t="s">
        <v>18927</v>
      </c>
      <c r="C191" s="254" t="s">
        <v>4520</v>
      </c>
      <c r="D191" s="255" t="s">
        <v>18928</v>
      </c>
      <c r="E191" s="253" t="s">
        <v>8722</v>
      </c>
    </row>
    <row r="192" spans="1:5" ht="15">
      <c r="A192" s="254">
        <v>40919</v>
      </c>
      <c r="B192" s="254" t="s">
        <v>18929</v>
      </c>
      <c r="C192" s="254" t="s">
        <v>4528</v>
      </c>
      <c r="D192" s="255" t="s">
        <v>18930</v>
      </c>
      <c r="E192" s="253" t="s">
        <v>8722</v>
      </c>
    </row>
    <row r="193" spans="1:5" ht="15">
      <c r="A193" s="254">
        <v>25958</v>
      </c>
      <c r="B193" s="254" t="s">
        <v>18931</v>
      </c>
      <c r="C193" s="254" t="s">
        <v>4520</v>
      </c>
      <c r="D193" s="255" t="s">
        <v>18932</v>
      </c>
      <c r="E193" s="253" t="s">
        <v>8722</v>
      </c>
    </row>
    <row r="194" spans="1:5" ht="15">
      <c r="A194" s="254">
        <v>40984</v>
      </c>
      <c r="B194" s="254" t="s">
        <v>18933</v>
      </c>
      <c r="C194" s="254" t="s">
        <v>4528</v>
      </c>
      <c r="D194" s="256" t="s">
        <v>18934</v>
      </c>
      <c r="E194" s="253" t="s">
        <v>8722</v>
      </c>
    </row>
    <row r="195" spans="1:5" ht="15">
      <c r="A195" s="254">
        <v>248</v>
      </c>
      <c r="B195" s="254" t="s">
        <v>18935</v>
      </c>
      <c r="C195" s="254" t="s">
        <v>4520</v>
      </c>
      <c r="D195" s="255" t="s">
        <v>18936</v>
      </c>
      <c r="E195" s="253" t="s">
        <v>8722</v>
      </c>
    </row>
    <row r="196" spans="1:5" ht="15">
      <c r="A196" s="254">
        <v>41086</v>
      </c>
      <c r="B196" s="254" t="s">
        <v>18937</v>
      </c>
      <c r="C196" s="254" t="s">
        <v>4528</v>
      </c>
      <c r="D196" s="255" t="s">
        <v>18938</v>
      </c>
      <c r="E196" s="253" t="s">
        <v>8722</v>
      </c>
    </row>
    <row r="197" spans="1:5" ht="15">
      <c r="A197" s="254">
        <v>34466</v>
      </c>
      <c r="B197" s="254" t="s">
        <v>18939</v>
      </c>
      <c r="C197" s="254" t="s">
        <v>4520</v>
      </c>
      <c r="D197" s="255" t="s">
        <v>18936</v>
      </c>
      <c r="E197" s="253" t="s">
        <v>8722</v>
      </c>
    </row>
    <row r="198" spans="1:5" ht="15">
      <c r="A198" s="254">
        <v>41083</v>
      </c>
      <c r="B198" s="254" t="s">
        <v>18940</v>
      </c>
      <c r="C198" s="254" t="s">
        <v>4528</v>
      </c>
      <c r="D198" s="255" t="s">
        <v>18938</v>
      </c>
      <c r="E198" s="253" t="s">
        <v>8722</v>
      </c>
    </row>
    <row r="199" spans="1:5" ht="15">
      <c r="A199" s="254">
        <v>252</v>
      </c>
      <c r="B199" s="254" t="s">
        <v>18941</v>
      </c>
      <c r="C199" s="254" t="s">
        <v>4520</v>
      </c>
      <c r="D199" s="255" t="s">
        <v>14215</v>
      </c>
      <c r="E199" s="253" t="s">
        <v>8722</v>
      </c>
    </row>
    <row r="200" spans="1:5" ht="15">
      <c r="A200" s="254">
        <v>40909</v>
      </c>
      <c r="B200" s="254" t="s">
        <v>18942</v>
      </c>
      <c r="C200" s="254" t="s">
        <v>4528</v>
      </c>
      <c r="D200" s="255" t="s">
        <v>18943</v>
      </c>
      <c r="E200" s="253" t="s">
        <v>8722</v>
      </c>
    </row>
    <row r="201" spans="1:5" ht="15">
      <c r="A201" s="254">
        <v>242</v>
      </c>
      <c r="B201" s="254" t="s">
        <v>18944</v>
      </c>
      <c r="C201" s="254" t="s">
        <v>4520</v>
      </c>
      <c r="D201" s="255" t="s">
        <v>16859</v>
      </c>
      <c r="E201" s="253" t="s">
        <v>8722</v>
      </c>
    </row>
    <row r="202" spans="1:5" ht="15">
      <c r="A202" s="254">
        <v>41085</v>
      </c>
      <c r="B202" s="254" t="s">
        <v>18945</v>
      </c>
      <c r="C202" s="254" t="s">
        <v>4528</v>
      </c>
      <c r="D202" s="255" t="s">
        <v>18946</v>
      </c>
      <c r="E202" s="253" t="s">
        <v>8722</v>
      </c>
    </row>
    <row r="203" spans="1:5" ht="30">
      <c r="A203" s="254">
        <v>427</v>
      </c>
      <c r="B203" s="254" t="s">
        <v>18947</v>
      </c>
      <c r="C203" s="254" t="s">
        <v>4521</v>
      </c>
      <c r="D203" s="255" t="s">
        <v>16472</v>
      </c>
      <c r="E203" s="253" t="s">
        <v>170</v>
      </c>
    </row>
    <row r="204" spans="1:5" ht="30">
      <c r="A204" s="254">
        <v>417</v>
      </c>
      <c r="B204" s="254" t="s">
        <v>18948</v>
      </c>
      <c r="C204" s="254" t="s">
        <v>4521</v>
      </c>
      <c r="D204" s="255" t="s">
        <v>18949</v>
      </c>
      <c r="E204" s="253" t="s">
        <v>170</v>
      </c>
    </row>
    <row r="205" spans="1:5" ht="30">
      <c r="A205" s="254">
        <v>11273</v>
      </c>
      <c r="B205" s="254" t="s">
        <v>18950</v>
      </c>
      <c r="C205" s="254" t="s">
        <v>4521</v>
      </c>
      <c r="D205" s="255" t="s">
        <v>15769</v>
      </c>
      <c r="E205" s="253" t="s">
        <v>170</v>
      </c>
    </row>
    <row r="206" spans="1:5" ht="30">
      <c r="A206" s="254">
        <v>11272</v>
      </c>
      <c r="B206" s="254" t="s">
        <v>18951</v>
      </c>
      <c r="C206" s="254" t="s">
        <v>4521</v>
      </c>
      <c r="D206" s="255" t="s">
        <v>16201</v>
      </c>
      <c r="E206" s="253" t="s">
        <v>170</v>
      </c>
    </row>
    <row r="207" spans="1:5" ht="30">
      <c r="A207" s="254">
        <v>11275</v>
      </c>
      <c r="B207" s="254" t="s">
        <v>18952</v>
      </c>
      <c r="C207" s="254" t="s">
        <v>4521</v>
      </c>
      <c r="D207" s="255" t="s">
        <v>16226</v>
      </c>
      <c r="E207" s="253" t="s">
        <v>170</v>
      </c>
    </row>
    <row r="208" spans="1:5" ht="30">
      <c r="A208" s="254">
        <v>11274</v>
      </c>
      <c r="B208" s="254" t="s">
        <v>18953</v>
      </c>
      <c r="C208" s="254" t="s">
        <v>4521</v>
      </c>
      <c r="D208" s="255" t="s">
        <v>13869</v>
      </c>
      <c r="E208" s="253" t="s">
        <v>170</v>
      </c>
    </row>
    <row r="209" spans="1:5" ht="15">
      <c r="A209" s="254">
        <v>38470</v>
      </c>
      <c r="B209" s="254" t="s">
        <v>18954</v>
      </c>
      <c r="C209" s="254" t="s">
        <v>4521</v>
      </c>
      <c r="D209" s="255" t="s">
        <v>18955</v>
      </c>
      <c r="E209" s="253" t="s">
        <v>170</v>
      </c>
    </row>
    <row r="210" spans="1:5" ht="15">
      <c r="A210" s="254">
        <v>38547</v>
      </c>
      <c r="B210" s="254" t="s">
        <v>18956</v>
      </c>
      <c r="C210" s="254" t="s">
        <v>4521</v>
      </c>
      <c r="D210" s="255" t="s">
        <v>18957</v>
      </c>
      <c r="E210" s="253" t="s">
        <v>170</v>
      </c>
    </row>
    <row r="211" spans="1:5" ht="15">
      <c r="A211" s="254">
        <v>38469</v>
      </c>
      <c r="B211" s="254" t="s">
        <v>18958</v>
      </c>
      <c r="C211" s="254" t="s">
        <v>4521</v>
      </c>
      <c r="D211" s="255" t="s">
        <v>18959</v>
      </c>
      <c r="E211" s="253" t="s">
        <v>170</v>
      </c>
    </row>
    <row r="212" spans="1:5" ht="15">
      <c r="A212" s="254">
        <v>38467</v>
      </c>
      <c r="B212" s="254" t="s">
        <v>18960</v>
      </c>
      <c r="C212" s="254" t="s">
        <v>4521</v>
      </c>
      <c r="D212" s="255" t="s">
        <v>17712</v>
      </c>
      <c r="E212" s="253" t="s">
        <v>170</v>
      </c>
    </row>
    <row r="213" spans="1:5" ht="15">
      <c r="A213" s="254">
        <v>38468</v>
      </c>
      <c r="B213" s="254" t="s">
        <v>18961</v>
      </c>
      <c r="C213" s="254" t="s">
        <v>4521</v>
      </c>
      <c r="D213" s="255" t="s">
        <v>18962</v>
      </c>
      <c r="E213" s="253" t="s">
        <v>170</v>
      </c>
    </row>
    <row r="214" spans="1:5" ht="15">
      <c r="A214" s="254">
        <v>38471</v>
      </c>
      <c r="B214" s="254" t="s">
        <v>18963</v>
      </c>
      <c r="C214" s="254" t="s">
        <v>4521</v>
      </c>
      <c r="D214" s="255" t="s">
        <v>18964</v>
      </c>
      <c r="E214" s="253" t="s">
        <v>170</v>
      </c>
    </row>
    <row r="215" spans="1:5" ht="15">
      <c r="A215" s="254">
        <v>37370</v>
      </c>
      <c r="B215" s="254" t="s">
        <v>18965</v>
      </c>
      <c r="C215" s="254" t="s">
        <v>4520</v>
      </c>
      <c r="D215" s="255" t="s">
        <v>18443</v>
      </c>
      <c r="E215" s="253" t="s">
        <v>8722</v>
      </c>
    </row>
    <row r="216" spans="1:5" ht="15">
      <c r="A216" s="254">
        <v>40862</v>
      </c>
      <c r="B216" s="254" t="s">
        <v>18966</v>
      </c>
      <c r="C216" s="254" t="s">
        <v>4528</v>
      </c>
      <c r="D216" s="255" t="s">
        <v>18967</v>
      </c>
      <c r="E216" s="253" t="s">
        <v>8722</v>
      </c>
    </row>
    <row r="217" spans="1:5" ht="30">
      <c r="A217" s="254">
        <v>10658</v>
      </c>
      <c r="B217" s="254" t="s">
        <v>18968</v>
      </c>
      <c r="C217" s="254" t="s">
        <v>4521</v>
      </c>
      <c r="D217" s="255" t="s">
        <v>18969</v>
      </c>
      <c r="E217" s="253" t="s">
        <v>170</v>
      </c>
    </row>
    <row r="218" spans="1:5" ht="15">
      <c r="A218" s="254">
        <v>253</v>
      </c>
      <c r="B218" s="254" t="s">
        <v>18970</v>
      </c>
      <c r="C218" s="254" t="s">
        <v>4520</v>
      </c>
      <c r="D218" s="255" t="s">
        <v>18971</v>
      </c>
      <c r="E218" s="253" t="s">
        <v>8722</v>
      </c>
    </row>
    <row r="219" spans="1:5" ht="15">
      <c r="A219" s="254">
        <v>40809</v>
      </c>
      <c r="B219" s="254" t="s">
        <v>18972</v>
      </c>
      <c r="C219" s="254" t="s">
        <v>4528</v>
      </c>
      <c r="D219" s="255" t="s">
        <v>18973</v>
      </c>
      <c r="E219" s="253" t="s">
        <v>8722</v>
      </c>
    </row>
    <row r="220" spans="1:5" ht="45">
      <c r="A220" s="254">
        <v>42428</v>
      </c>
      <c r="B220" s="254" t="s">
        <v>18974</v>
      </c>
      <c r="C220" s="254" t="s">
        <v>4521</v>
      </c>
      <c r="D220" s="255" t="s">
        <v>18975</v>
      </c>
      <c r="E220" s="253" t="s">
        <v>170</v>
      </c>
    </row>
    <row r="221" spans="1:5" ht="15">
      <c r="A221" s="254">
        <v>583</v>
      </c>
      <c r="B221" s="254" t="s">
        <v>18976</v>
      </c>
      <c r="C221" s="254" t="s">
        <v>4525</v>
      </c>
      <c r="D221" s="255" t="s">
        <v>18977</v>
      </c>
      <c r="E221" s="253" t="s">
        <v>170</v>
      </c>
    </row>
    <row r="222" spans="1:5" ht="15">
      <c r="A222" s="254">
        <v>299</v>
      </c>
      <c r="B222" s="254" t="s">
        <v>18978</v>
      </c>
      <c r="C222" s="254" t="s">
        <v>4521</v>
      </c>
      <c r="D222" s="255" t="s">
        <v>18439</v>
      </c>
      <c r="E222" s="253" t="s">
        <v>170</v>
      </c>
    </row>
    <row r="223" spans="1:5" ht="15">
      <c r="A223" s="254">
        <v>298</v>
      </c>
      <c r="B223" s="254" t="s">
        <v>18979</v>
      </c>
      <c r="C223" s="254" t="s">
        <v>4521</v>
      </c>
      <c r="D223" s="255" t="s">
        <v>18503</v>
      </c>
      <c r="E223" s="253" t="s">
        <v>170</v>
      </c>
    </row>
    <row r="224" spans="1:5" ht="15">
      <c r="A224" s="254">
        <v>295</v>
      </c>
      <c r="B224" s="254" t="s">
        <v>18980</v>
      </c>
      <c r="C224" s="254" t="s">
        <v>4521</v>
      </c>
      <c r="D224" s="255" t="s">
        <v>14169</v>
      </c>
      <c r="E224" s="253" t="s">
        <v>170</v>
      </c>
    </row>
    <row r="225" spans="1:5" ht="15">
      <c r="A225" s="254">
        <v>296</v>
      </c>
      <c r="B225" s="254" t="s">
        <v>18981</v>
      </c>
      <c r="C225" s="254" t="s">
        <v>4521</v>
      </c>
      <c r="D225" s="255" t="s">
        <v>18521</v>
      </c>
      <c r="E225" s="253" t="s">
        <v>170</v>
      </c>
    </row>
    <row r="226" spans="1:5" ht="15">
      <c r="A226" s="254">
        <v>297</v>
      </c>
      <c r="B226" s="254" t="s">
        <v>18982</v>
      </c>
      <c r="C226" s="254" t="s">
        <v>4521</v>
      </c>
      <c r="D226" s="255" t="s">
        <v>17864</v>
      </c>
      <c r="E226" s="253" t="s">
        <v>170</v>
      </c>
    </row>
    <row r="227" spans="1:5" ht="15">
      <c r="A227" s="254">
        <v>301</v>
      </c>
      <c r="B227" s="254" t="s">
        <v>18983</v>
      </c>
      <c r="C227" s="254" t="s">
        <v>4521</v>
      </c>
      <c r="D227" s="255" t="s">
        <v>18705</v>
      </c>
      <c r="E227" s="253" t="s">
        <v>170</v>
      </c>
    </row>
    <row r="228" spans="1:5" ht="15">
      <c r="A228" s="254">
        <v>300</v>
      </c>
      <c r="B228" s="254" t="s">
        <v>18984</v>
      </c>
      <c r="C228" s="254" t="s">
        <v>4521</v>
      </c>
      <c r="D228" s="255" t="s">
        <v>17530</v>
      </c>
      <c r="E228" s="253" t="s">
        <v>170</v>
      </c>
    </row>
    <row r="229" spans="1:5" ht="15">
      <c r="A229" s="254">
        <v>20084</v>
      </c>
      <c r="B229" s="254" t="s">
        <v>18985</v>
      </c>
      <c r="C229" s="254" t="s">
        <v>4521</v>
      </c>
      <c r="D229" s="255" t="s">
        <v>14169</v>
      </c>
      <c r="E229" s="253" t="s">
        <v>170</v>
      </c>
    </row>
    <row r="230" spans="1:5" ht="15">
      <c r="A230" s="254">
        <v>20085</v>
      </c>
      <c r="B230" s="254" t="s">
        <v>18986</v>
      </c>
      <c r="C230" s="254" t="s">
        <v>4521</v>
      </c>
      <c r="D230" s="255" t="s">
        <v>14000</v>
      </c>
      <c r="E230" s="253" t="s">
        <v>170</v>
      </c>
    </row>
    <row r="231" spans="1:5" ht="15">
      <c r="A231" s="254">
        <v>311</v>
      </c>
      <c r="B231" s="254" t="s">
        <v>18987</v>
      </c>
      <c r="C231" s="254" t="s">
        <v>4521</v>
      </c>
      <c r="D231" s="255" t="s">
        <v>15220</v>
      </c>
      <c r="E231" s="253" t="s">
        <v>170</v>
      </c>
    </row>
    <row r="232" spans="1:5" ht="15">
      <c r="A232" s="254">
        <v>318</v>
      </c>
      <c r="B232" s="254" t="s">
        <v>18988</v>
      </c>
      <c r="C232" s="254" t="s">
        <v>4521</v>
      </c>
      <c r="D232" s="255" t="s">
        <v>18989</v>
      </c>
      <c r="E232" s="253" t="s">
        <v>170</v>
      </c>
    </row>
    <row r="233" spans="1:5" ht="15">
      <c r="A233" s="254">
        <v>319</v>
      </c>
      <c r="B233" s="254" t="s">
        <v>18990</v>
      </c>
      <c r="C233" s="254" t="s">
        <v>4521</v>
      </c>
      <c r="D233" s="255" t="s">
        <v>18991</v>
      </c>
      <c r="E233" s="253" t="s">
        <v>170</v>
      </c>
    </row>
    <row r="234" spans="1:5" ht="15">
      <c r="A234" s="254">
        <v>320</v>
      </c>
      <c r="B234" s="254" t="s">
        <v>18992</v>
      </c>
      <c r="C234" s="254" t="s">
        <v>4521</v>
      </c>
      <c r="D234" s="255" t="s">
        <v>18993</v>
      </c>
      <c r="E234" s="253" t="s">
        <v>170</v>
      </c>
    </row>
    <row r="235" spans="1:5" ht="15">
      <c r="A235" s="254">
        <v>314</v>
      </c>
      <c r="B235" s="254" t="s">
        <v>18994</v>
      </c>
      <c r="C235" s="254" t="s">
        <v>4521</v>
      </c>
      <c r="D235" s="255" t="s">
        <v>18995</v>
      </c>
      <c r="E235" s="253" t="s">
        <v>170</v>
      </c>
    </row>
    <row r="236" spans="1:5" ht="15">
      <c r="A236" s="254">
        <v>303</v>
      </c>
      <c r="B236" s="254" t="s">
        <v>18996</v>
      </c>
      <c r="C236" s="254" t="s">
        <v>4521</v>
      </c>
      <c r="D236" s="255" t="s">
        <v>16520</v>
      </c>
      <c r="E236" s="253" t="s">
        <v>170</v>
      </c>
    </row>
    <row r="237" spans="1:5" ht="15">
      <c r="A237" s="254">
        <v>304</v>
      </c>
      <c r="B237" s="254" t="s">
        <v>18997</v>
      </c>
      <c r="C237" s="254" t="s">
        <v>4521</v>
      </c>
      <c r="D237" s="255" t="s">
        <v>16454</v>
      </c>
      <c r="E237" s="253" t="s">
        <v>170</v>
      </c>
    </row>
    <row r="238" spans="1:5" ht="15">
      <c r="A238" s="254">
        <v>305</v>
      </c>
      <c r="B238" s="254" t="s">
        <v>18998</v>
      </c>
      <c r="C238" s="254" t="s">
        <v>4521</v>
      </c>
      <c r="D238" s="255" t="s">
        <v>16452</v>
      </c>
      <c r="E238" s="253" t="s">
        <v>170</v>
      </c>
    </row>
    <row r="239" spans="1:5" ht="15">
      <c r="A239" s="254">
        <v>306</v>
      </c>
      <c r="B239" s="254" t="s">
        <v>18999</v>
      </c>
      <c r="C239" s="254" t="s">
        <v>4521</v>
      </c>
      <c r="D239" s="255" t="s">
        <v>16499</v>
      </c>
      <c r="E239" s="253" t="s">
        <v>170</v>
      </c>
    </row>
    <row r="240" spans="1:5" ht="15">
      <c r="A240" s="254">
        <v>307</v>
      </c>
      <c r="B240" s="254" t="s">
        <v>19000</v>
      </c>
      <c r="C240" s="254" t="s">
        <v>4521</v>
      </c>
      <c r="D240" s="255" t="s">
        <v>19001</v>
      </c>
      <c r="E240" s="253" t="s">
        <v>170</v>
      </c>
    </row>
    <row r="241" spans="1:5" ht="15">
      <c r="A241" s="254">
        <v>309</v>
      </c>
      <c r="B241" s="254" t="s">
        <v>19002</v>
      </c>
      <c r="C241" s="254" t="s">
        <v>4521</v>
      </c>
      <c r="D241" s="255" t="s">
        <v>18098</v>
      </c>
      <c r="E241" s="253" t="s">
        <v>170</v>
      </c>
    </row>
    <row r="242" spans="1:5" ht="15">
      <c r="A242" s="254">
        <v>310</v>
      </c>
      <c r="B242" s="254" t="s">
        <v>19003</v>
      </c>
      <c r="C242" s="254" t="s">
        <v>4521</v>
      </c>
      <c r="D242" s="255" t="s">
        <v>19004</v>
      </c>
      <c r="E242" s="253" t="s">
        <v>170</v>
      </c>
    </row>
    <row r="243" spans="1:5" ht="15">
      <c r="A243" s="254">
        <v>328</v>
      </c>
      <c r="B243" s="254" t="s">
        <v>19005</v>
      </c>
      <c r="C243" s="254" t="s">
        <v>4521</v>
      </c>
      <c r="D243" s="255" t="s">
        <v>19006</v>
      </c>
      <c r="E243" s="253" t="s">
        <v>170</v>
      </c>
    </row>
    <row r="244" spans="1:5" ht="15">
      <c r="A244" s="254">
        <v>325</v>
      </c>
      <c r="B244" s="254" t="s">
        <v>19007</v>
      </c>
      <c r="C244" s="254" t="s">
        <v>4521</v>
      </c>
      <c r="D244" s="255" t="s">
        <v>13958</v>
      </c>
      <c r="E244" s="253" t="s">
        <v>170</v>
      </c>
    </row>
    <row r="245" spans="1:5" ht="15">
      <c r="A245" s="254">
        <v>20326</v>
      </c>
      <c r="B245" s="254" t="s">
        <v>19008</v>
      </c>
      <c r="C245" s="254" t="s">
        <v>4521</v>
      </c>
      <c r="D245" s="255" t="s">
        <v>13671</v>
      </c>
      <c r="E245" s="253" t="s">
        <v>170</v>
      </c>
    </row>
    <row r="246" spans="1:5" ht="15">
      <c r="A246" s="254">
        <v>329</v>
      </c>
      <c r="B246" s="254" t="s">
        <v>19009</v>
      </c>
      <c r="C246" s="254" t="s">
        <v>4521</v>
      </c>
      <c r="D246" s="255" t="s">
        <v>19010</v>
      </c>
      <c r="E246" s="253" t="s">
        <v>170</v>
      </c>
    </row>
    <row r="247" spans="1:5" ht="15">
      <c r="A247" s="254">
        <v>308</v>
      </c>
      <c r="B247" s="254" t="s">
        <v>19011</v>
      </c>
      <c r="C247" s="254" t="s">
        <v>4521</v>
      </c>
      <c r="D247" s="255" t="s">
        <v>19012</v>
      </c>
      <c r="E247" s="253" t="s">
        <v>170</v>
      </c>
    </row>
    <row r="248" spans="1:5" ht="30">
      <c r="A248" s="254">
        <v>39642</v>
      </c>
      <c r="B248" s="254" t="s">
        <v>19013</v>
      </c>
      <c r="C248" s="254" t="s">
        <v>4521</v>
      </c>
      <c r="D248" s="255" t="s">
        <v>19014</v>
      </c>
      <c r="E248" s="253" t="s">
        <v>170</v>
      </c>
    </row>
    <row r="249" spans="1:5" ht="30">
      <c r="A249" s="254">
        <v>39641</v>
      </c>
      <c r="B249" s="254" t="s">
        <v>19015</v>
      </c>
      <c r="C249" s="254" t="s">
        <v>4521</v>
      </c>
      <c r="D249" s="255" t="s">
        <v>19016</v>
      </c>
      <c r="E249" s="253" t="s">
        <v>170</v>
      </c>
    </row>
    <row r="250" spans="1:5" ht="30">
      <c r="A250" s="254">
        <v>39643</v>
      </c>
      <c r="B250" s="254" t="s">
        <v>19017</v>
      </c>
      <c r="C250" s="254" t="s">
        <v>4521</v>
      </c>
      <c r="D250" s="255" t="s">
        <v>19018</v>
      </c>
      <c r="E250" s="253" t="s">
        <v>170</v>
      </c>
    </row>
    <row r="251" spans="1:5" ht="30">
      <c r="A251" s="254">
        <v>39644</v>
      </c>
      <c r="B251" s="254" t="s">
        <v>19019</v>
      </c>
      <c r="C251" s="254" t="s">
        <v>4521</v>
      </c>
      <c r="D251" s="255" t="s">
        <v>16457</v>
      </c>
      <c r="E251" s="253" t="s">
        <v>170</v>
      </c>
    </row>
    <row r="252" spans="1:5" ht="30">
      <c r="A252" s="254">
        <v>39645</v>
      </c>
      <c r="B252" s="254" t="s">
        <v>19020</v>
      </c>
      <c r="C252" s="254" t="s">
        <v>4521</v>
      </c>
      <c r="D252" s="255" t="s">
        <v>17531</v>
      </c>
      <c r="E252" s="253" t="s">
        <v>170</v>
      </c>
    </row>
    <row r="253" spans="1:5" ht="15">
      <c r="A253" s="254">
        <v>12548</v>
      </c>
      <c r="B253" s="254" t="s">
        <v>19021</v>
      </c>
      <c r="C253" s="254" t="s">
        <v>4521</v>
      </c>
      <c r="D253" s="255" t="s">
        <v>19022</v>
      </c>
      <c r="E253" s="253" t="s">
        <v>170</v>
      </c>
    </row>
    <row r="254" spans="1:5" ht="15">
      <c r="A254" s="254">
        <v>13113</v>
      </c>
      <c r="B254" s="254" t="s">
        <v>19023</v>
      </c>
      <c r="C254" s="254" t="s">
        <v>4521</v>
      </c>
      <c r="D254" s="255" t="s">
        <v>19024</v>
      </c>
      <c r="E254" s="253" t="s">
        <v>170</v>
      </c>
    </row>
    <row r="255" spans="1:5" ht="15">
      <c r="A255" s="254">
        <v>13114</v>
      </c>
      <c r="B255" s="254" t="s">
        <v>19025</v>
      </c>
      <c r="C255" s="254" t="s">
        <v>4521</v>
      </c>
      <c r="D255" s="255" t="s">
        <v>19026</v>
      </c>
      <c r="E255" s="253" t="s">
        <v>170</v>
      </c>
    </row>
    <row r="256" spans="1:5" ht="15">
      <c r="A256" s="254">
        <v>12530</v>
      </c>
      <c r="B256" s="254" t="s">
        <v>19027</v>
      </c>
      <c r="C256" s="254" t="s">
        <v>4521</v>
      </c>
      <c r="D256" s="255" t="s">
        <v>17891</v>
      </c>
      <c r="E256" s="253" t="s">
        <v>170</v>
      </c>
    </row>
    <row r="257" spans="1:5" ht="15">
      <c r="A257" s="254">
        <v>12531</v>
      </c>
      <c r="B257" s="254" t="s">
        <v>19028</v>
      </c>
      <c r="C257" s="254" t="s">
        <v>4521</v>
      </c>
      <c r="D257" s="256" t="s">
        <v>19029</v>
      </c>
      <c r="E257" s="253" t="s">
        <v>170</v>
      </c>
    </row>
    <row r="258" spans="1:5" ht="15">
      <c r="A258" s="254">
        <v>12532</v>
      </c>
      <c r="B258" s="254" t="s">
        <v>19030</v>
      </c>
      <c r="C258" s="254" t="s">
        <v>4521</v>
      </c>
      <c r="D258" s="255" t="s">
        <v>16815</v>
      </c>
      <c r="E258" s="253" t="s">
        <v>170</v>
      </c>
    </row>
    <row r="259" spans="1:5" ht="15">
      <c r="A259" s="254">
        <v>12533</v>
      </c>
      <c r="B259" s="254" t="s">
        <v>19031</v>
      </c>
      <c r="C259" s="254" t="s">
        <v>4521</v>
      </c>
      <c r="D259" s="255" t="s">
        <v>19032</v>
      </c>
      <c r="E259" s="253" t="s">
        <v>170</v>
      </c>
    </row>
    <row r="260" spans="1:5" ht="15">
      <c r="A260" s="254">
        <v>12544</v>
      </c>
      <c r="B260" s="254" t="s">
        <v>19033</v>
      </c>
      <c r="C260" s="254" t="s">
        <v>4521</v>
      </c>
      <c r="D260" s="255" t="s">
        <v>19034</v>
      </c>
      <c r="E260" s="253" t="s">
        <v>170</v>
      </c>
    </row>
    <row r="261" spans="1:5" ht="15">
      <c r="A261" s="254">
        <v>12546</v>
      </c>
      <c r="B261" s="254" t="s">
        <v>19035</v>
      </c>
      <c r="C261" s="254" t="s">
        <v>4521</v>
      </c>
      <c r="D261" s="256" t="s">
        <v>19036</v>
      </c>
      <c r="E261" s="253" t="s">
        <v>170</v>
      </c>
    </row>
    <row r="262" spans="1:5" ht="15">
      <c r="A262" s="254">
        <v>12547</v>
      </c>
      <c r="B262" s="254" t="s">
        <v>19037</v>
      </c>
      <c r="C262" s="254" t="s">
        <v>4521</v>
      </c>
      <c r="D262" s="256" t="s">
        <v>19038</v>
      </c>
      <c r="E262" s="253" t="s">
        <v>170</v>
      </c>
    </row>
    <row r="263" spans="1:5" ht="15">
      <c r="A263" s="254">
        <v>12551</v>
      </c>
      <c r="B263" s="254" t="s">
        <v>19039</v>
      </c>
      <c r="C263" s="254" t="s">
        <v>4521</v>
      </c>
      <c r="D263" s="256" t="s">
        <v>19040</v>
      </c>
      <c r="E263" s="253" t="s">
        <v>170</v>
      </c>
    </row>
    <row r="264" spans="1:5" ht="15">
      <c r="A264" s="254">
        <v>12563</v>
      </c>
      <c r="B264" s="254" t="s">
        <v>19041</v>
      </c>
      <c r="C264" s="254" t="s">
        <v>4521</v>
      </c>
      <c r="D264" s="256" t="s">
        <v>19042</v>
      </c>
      <c r="E264" s="253" t="s">
        <v>170</v>
      </c>
    </row>
    <row r="265" spans="1:5" ht="15">
      <c r="A265" s="254">
        <v>12565</v>
      </c>
      <c r="B265" s="254" t="s">
        <v>19043</v>
      </c>
      <c r="C265" s="254" t="s">
        <v>4521</v>
      </c>
      <c r="D265" s="256" t="s">
        <v>19044</v>
      </c>
      <c r="E265" s="253" t="s">
        <v>170</v>
      </c>
    </row>
    <row r="266" spans="1:5" ht="15">
      <c r="A266" s="254">
        <v>12567</v>
      </c>
      <c r="B266" s="254" t="s">
        <v>19045</v>
      </c>
      <c r="C266" s="254" t="s">
        <v>4521</v>
      </c>
      <c r="D266" s="256" t="s">
        <v>19046</v>
      </c>
      <c r="E266" s="253" t="s">
        <v>170</v>
      </c>
    </row>
    <row r="267" spans="1:5" ht="15">
      <c r="A267" s="254">
        <v>12568</v>
      </c>
      <c r="B267" s="254" t="s">
        <v>19047</v>
      </c>
      <c r="C267" s="254" t="s">
        <v>4521</v>
      </c>
      <c r="D267" s="256" t="s">
        <v>19048</v>
      </c>
      <c r="E267" s="253" t="s">
        <v>170</v>
      </c>
    </row>
    <row r="268" spans="1:5" ht="15">
      <c r="A268" s="254">
        <v>11789</v>
      </c>
      <c r="B268" s="254" t="s">
        <v>19049</v>
      </c>
      <c r="C268" s="254" t="s">
        <v>4521</v>
      </c>
      <c r="D268" s="256" t="s">
        <v>14183</v>
      </c>
      <c r="E268" s="253" t="s">
        <v>170</v>
      </c>
    </row>
    <row r="269" spans="1:5" ht="30">
      <c r="A269" s="254">
        <v>20975</v>
      </c>
      <c r="B269" s="254" t="s">
        <v>19050</v>
      </c>
      <c r="C269" s="254" t="s">
        <v>4521</v>
      </c>
      <c r="D269" s="256" t="s">
        <v>15719</v>
      </c>
      <c r="E269" s="253" t="s">
        <v>170</v>
      </c>
    </row>
    <row r="270" spans="1:5" ht="30">
      <c r="A270" s="254">
        <v>20976</v>
      </c>
      <c r="B270" s="254" t="s">
        <v>19051</v>
      </c>
      <c r="C270" s="254" t="s">
        <v>4521</v>
      </c>
      <c r="D270" s="256" t="s">
        <v>15781</v>
      </c>
      <c r="E270" s="253" t="s">
        <v>170</v>
      </c>
    </row>
    <row r="271" spans="1:5" ht="30">
      <c r="A271" s="254">
        <v>40340</v>
      </c>
      <c r="B271" s="254" t="s">
        <v>19052</v>
      </c>
      <c r="C271" s="254" t="s">
        <v>4521</v>
      </c>
      <c r="D271" s="256" t="s">
        <v>19053</v>
      </c>
      <c r="E271" s="253" t="s">
        <v>170</v>
      </c>
    </row>
    <row r="272" spans="1:5" ht="30">
      <c r="A272" s="254">
        <v>40341</v>
      </c>
      <c r="B272" s="254" t="s">
        <v>19054</v>
      </c>
      <c r="C272" s="254" t="s">
        <v>4521</v>
      </c>
      <c r="D272" s="256" t="s">
        <v>19055</v>
      </c>
      <c r="E272" s="253" t="s">
        <v>170</v>
      </c>
    </row>
    <row r="273" spans="1:5" ht="30">
      <c r="A273" s="254">
        <v>40342</v>
      </c>
      <c r="B273" s="254" t="s">
        <v>19056</v>
      </c>
      <c r="C273" s="254" t="s">
        <v>4521</v>
      </c>
      <c r="D273" s="256" t="s">
        <v>19057</v>
      </c>
      <c r="E273" s="253" t="s">
        <v>170</v>
      </c>
    </row>
    <row r="274" spans="1:5" ht="30">
      <c r="A274" s="254">
        <v>40343</v>
      </c>
      <c r="B274" s="254" t="s">
        <v>19058</v>
      </c>
      <c r="C274" s="254" t="s">
        <v>4521</v>
      </c>
      <c r="D274" s="256" t="s">
        <v>19059</v>
      </c>
      <c r="E274" s="253" t="s">
        <v>170</v>
      </c>
    </row>
    <row r="275" spans="1:5" ht="30">
      <c r="A275" s="254">
        <v>40344</v>
      </c>
      <c r="B275" s="254" t="s">
        <v>19060</v>
      </c>
      <c r="C275" s="254" t="s">
        <v>4521</v>
      </c>
      <c r="D275" s="256" t="s">
        <v>19061</v>
      </c>
      <c r="E275" s="253" t="s">
        <v>170</v>
      </c>
    </row>
    <row r="276" spans="1:5" ht="30">
      <c r="A276" s="254">
        <v>40345</v>
      </c>
      <c r="B276" s="254" t="s">
        <v>19062</v>
      </c>
      <c r="C276" s="254" t="s">
        <v>4521</v>
      </c>
      <c r="D276" s="256" t="s">
        <v>19063</v>
      </c>
      <c r="E276" s="253" t="s">
        <v>170</v>
      </c>
    </row>
    <row r="277" spans="1:5" ht="30">
      <c r="A277" s="254">
        <v>40346</v>
      </c>
      <c r="B277" s="254" t="s">
        <v>19064</v>
      </c>
      <c r="C277" s="254" t="s">
        <v>4521</v>
      </c>
      <c r="D277" s="256" t="s">
        <v>19065</v>
      </c>
      <c r="E277" s="253" t="s">
        <v>170</v>
      </c>
    </row>
    <row r="278" spans="1:5" ht="30">
      <c r="A278" s="254">
        <v>40347</v>
      </c>
      <c r="B278" s="254" t="s">
        <v>19066</v>
      </c>
      <c r="C278" s="254" t="s">
        <v>4521</v>
      </c>
      <c r="D278" s="256" t="s">
        <v>19067</v>
      </c>
      <c r="E278" s="253" t="s">
        <v>170</v>
      </c>
    </row>
    <row r="279" spans="1:5" ht="15">
      <c r="A279" s="254">
        <v>38840</v>
      </c>
      <c r="B279" s="254" t="s">
        <v>19068</v>
      </c>
      <c r="C279" s="254" t="s">
        <v>4521</v>
      </c>
      <c r="D279" s="256" t="s">
        <v>17873</v>
      </c>
      <c r="E279" s="253" t="s">
        <v>170</v>
      </c>
    </row>
    <row r="280" spans="1:5" ht="15">
      <c r="A280" s="254">
        <v>38841</v>
      </c>
      <c r="B280" s="254" t="s">
        <v>19069</v>
      </c>
      <c r="C280" s="254" t="s">
        <v>4521</v>
      </c>
      <c r="D280" s="256" t="s">
        <v>18438</v>
      </c>
      <c r="E280" s="253" t="s">
        <v>170</v>
      </c>
    </row>
    <row r="281" spans="1:5" ht="15">
      <c r="A281" s="254">
        <v>38842</v>
      </c>
      <c r="B281" s="254" t="s">
        <v>19070</v>
      </c>
      <c r="C281" s="254" t="s">
        <v>4521</v>
      </c>
      <c r="D281" s="256" t="s">
        <v>19071</v>
      </c>
      <c r="E281" s="253" t="s">
        <v>170</v>
      </c>
    </row>
    <row r="282" spans="1:5" ht="15">
      <c r="A282" s="254">
        <v>38843</v>
      </c>
      <c r="B282" s="254" t="s">
        <v>19072</v>
      </c>
      <c r="C282" s="254" t="s">
        <v>4521</v>
      </c>
      <c r="D282" s="256" t="s">
        <v>15476</v>
      </c>
      <c r="E282" s="253" t="s">
        <v>170</v>
      </c>
    </row>
    <row r="283" spans="1:5" ht="30">
      <c r="A283" s="254">
        <v>13761</v>
      </c>
      <c r="B283" s="254" t="s">
        <v>19073</v>
      </c>
      <c r="C283" s="254" t="s">
        <v>4521</v>
      </c>
      <c r="D283" s="256" t="s">
        <v>19074</v>
      </c>
      <c r="E283" s="253" t="s">
        <v>170</v>
      </c>
    </row>
    <row r="284" spans="1:5" ht="45">
      <c r="A284" s="254">
        <v>12888</v>
      </c>
      <c r="B284" s="254" t="s">
        <v>19075</v>
      </c>
      <c r="C284" s="254" t="s">
        <v>4530</v>
      </c>
      <c r="D284" s="256" t="s">
        <v>19065</v>
      </c>
      <c r="E284" s="253" t="s">
        <v>170</v>
      </c>
    </row>
    <row r="285" spans="1:5" ht="30">
      <c r="A285" s="254">
        <v>12889</v>
      </c>
      <c r="B285" s="254" t="s">
        <v>19076</v>
      </c>
      <c r="C285" s="254" t="s">
        <v>4530</v>
      </c>
      <c r="D285" s="256" t="s">
        <v>19077</v>
      </c>
      <c r="E285" s="253" t="s">
        <v>170</v>
      </c>
    </row>
    <row r="286" spans="1:5" ht="30">
      <c r="A286" s="254">
        <v>4814</v>
      </c>
      <c r="B286" s="254" t="s">
        <v>19078</v>
      </c>
      <c r="C286" s="254" t="s">
        <v>4521</v>
      </c>
      <c r="D286" s="256" t="s">
        <v>19079</v>
      </c>
      <c r="E286" s="253" t="s">
        <v>170</v>
      </c>
    </row>
    <row r="287" spans="1:5" ht="15">
      <c r="A287" s="254">
        <v>25967</v>
      </c>
      <c r="B287" s="254" t="s">
        <v>19080</v>
      </c>
      <c r="C287" s="254" t="s">
        <v>4521</v>
      </c>
      <c r="D287" s="256" t="s">
        <v>19081</v>
      </c>
      <c r="E287" s="253" t="s">
        <v>170</v>
      </c>
    </row>
    <row r="288" spans="1:5" ht="15">
      <c r="A288" s="254">
        <v>6122</v>
      </c>
      <c r="B288" s="254" t="s">
        <v>19082</v>
      </c>
      <c r="C288" s="254" t="s">
        <v>4520</v>
      </c>
      <c r="D288" s="256" t="s">
        <v>15591</v>
      </c>
      <c r="E288" s="253" t="s">
        <v>8722</v>
      </c>
    </row>
    <row r="289" spans="1:5" ht="15">
      <c r="A289" s="254">
        <v>40810</v>
      </c>
      <c r="B289" s="254" t="s">
        <v>19083</v>
      </c>
      <c r="C289" s="254" t="s">
        <v>4528</v>
      </c>
      <c r="D289" s="256" t="s">
        <v>19084</v>
      </c>
      <c r="E289" s="253" t="s">
        <v>8722</v>
      </c>
    </row>
    <row r="290" spans="1:5" ht="30">
      <c r="A290" s="254">
        <v>21100</v>
      </c>
      <c r="B290" s="254" t="s">
        <v>19085</v>
      </c>
      <c r="C290" s="254" t="s">
        <v>4521</v>
      </c>
      <c r="D290" s="256" t="s">
        <v>19086</v>
      </c>
      <c r="E290" s="253" t="s">
        <v>170</v>
      </c>
    </row>
    <row r="291" spans="1:5" ht="30">
      <c r="A291" s="254">
        <v>11816</v>
      </c>
      <c r="B291" s="254" t="s">
        <v>19087</v>
      </c>
      <c r="C291" s="254" t="s">
        <v>4521</v>
      </c>
      <c r="D291" s="256" t="s">
        <v>19088</v>
      </c>
      <c r="E291" s="253" t="s">
        <v>170</v>
      </c>
    </row>
    <row r="292" spans="1:5" ht="30">
      <c r="A292" s="254">
        <v>11814</v>
      </c>
      <c r="B292" s="254" t="s">
        <v>19089</v>
      </c>
      <c r="C292" s="254" t="s">
        <v>4521</v>
      </c>
      <c r="D292" s="256" t="s">
        <v>19090</v>
      </c>
      <c r="E292" s="253" t="s">
        <v>170</v>
      </c>
    </row>
    <row r="293" spans="1:5" ht="45">
      <c r="A293" s="254">
        <v>14186</v>
      </c>
      <c r="B293" s="254" t="s">
        <v>19091</v>
      </c>
      <c r="C293" s="254" t="s">
        <v>4521</v>
      </c>
      <c r="D293" s="256" t="s">
        <v>19092</v>
      </c>
      <c r="E293" s="253" t="s">
        <v>170</v>
      </c>
    </row>
    <row r="294" spans="1:5" ht="30">
      <c r="A294" s="254">
        <v>14185</v>
      </c>
      <c r="B294" s="254" t="s">
        <v>19093</v>
      </c>
      <c r="C294" s="254" t="s">
        <v>4521</v>
      </c>
      <c r="D294" s="256" t="s">
        <v>19094</v>
      </c>
      <c r="E294" s="253" t="s">
        <v>170</v>
      </c>
    </row>
    <row r="295" spans="1:5" ht="45">
      <c r="A295" s="254">
        <v>11811</v>
      </c>
      <c r="B295" s="254" t="s">
        <v>19095</v>
      </c>
      <c r="C295" s="254" t="s">
        <v>4521</v>
      </c>
      <c r="D295" s="256" t="s">
        <v>19096</v>
      </c>
      <c r="E295" s="253" t="s">
        <v>170</v>
      </c>
    </row>
    <row r="296" spans="1:5" ht="15">
      <c r="A296" s="254">
        <v>26038</v>
      </c>
      <c r="B296" s="254" t="s">
        <v>19097</v>
      </c>
      <c r="C296" s="254" t="s">
        <v>4521</v>
      </c>
      <c r="D296" s="256" t="s">
        <v>19098</v>
      </c>
      <c r="E296" s="253" t="s">
        <v>170</v>
      </c>
    </row>
    <row r="297" spans="1:5" ht="30">
      <c r="A297" s="254">
        <v>34482</v>
      </c>
      <c r="B297" s="254" t="s">
        <v>19099</v>
      </c>
      <c r="C297" s="254" t="s">
        <v>4521</v>
      </c>
      <c r="D297" s="256" t="s">
        <v>19100</v>
      </c>
      <c r="E297" s="253" t="s">
        <v>170</v>
      </c>
    </row>
    <row r="298" spans="1:5" ht="30">
      <c r="A298" s="254">
        <v>34469</v>
      </c>
      <c r="B298" s="254" t="s">
        <v>19101</v>
      </c>
      <c r="C298" s="254" t="s">
        <v>4521</v>
      </c>
      <c r="D298" s="256" t="s">
        <v>19102</v>
      </c>
      <c r="E298" s="253" t="s">
        <v>170</v>
      </c>
    </row>
    <row r="299" spans="1:5" ht="30">
      <c r="A299" s="254">
        <v>34472</v>
      </c>
      <c r="B299" s="254" t="s">
        <v>19103</v>
      </c>
      <c r="C299" s="254" t="s">
        <v>4521</v>
      </c>
      <c r="D299" s="256" t="s">
        <v>19104</v>
      </c>
      <c r="E299" s="253" t="s">
        <v>170</v>
      </c>
    </row>
    <row r="300" spans="1:5" ht="30">
      <c r="A300" s="254">
        <v>34476</v>
      </c>
      <c r="B300" s="254" t="s">
        <v>19105</v>
      </c>
      <c r="C300" s="254" t="s">
        <v>4521</v>
      </c>
      <c r="D300" s="256" t="s">
        <v>19106</v>
      </c>
      <c r="E300" s="253" t="s">
        <v>170</v>
      </c>
    </row>
    <row r="301" spans="1:5" ht="30">
      <c r="A301" s="254">
        <v>34477</v>
      </c>
      <c r="B301" s="254" t="s">
        <v>19107</v>
      </c>
      <c r="C301" s="254" t="s">
        <v>4521</v>
      </c>
      <c r="D301" s="255" t="s">
        <v>19108</v>
      </c>
      <c r="E301" s="253" t="s">
        <v>170</v>
      </c>
    </row>
    <row r="302" spans="1:5" ht="30">
      <c r="A302" s="254">
        <v>42425</v>
      </c>
      <c r="B302" s="254" t="s">
        <v>19109</v>
      </c>
      <c r="C302" s="254" t="s">
        <v>4521</v>
      </c>
      <c r="D302" s="255" t="s">
        <v>19110</v>
      </c>
      <c r="E302" s="253" t="s">
        <v>170</v>
      </c>
    </row>
    <row r="303" spans="1:5" ht="30">
      <c r="A303" s="254">
        <v>42422</v>
      </c>
      <c r="B303" s="254" t="s">
        <v>19111</v>
      </c>
      <c r="C303" s="254" t="s">
        <v>4521</v>
      </c>
      <c r="D303" s="255" t="s">
        <v>19112</v>
      </c>
      <c r="E303" s="253" t="s">
        <v>170</v>
      </c>
    </row>
    <row r="304" spans="1:5" ht="30">
      <c r="A304" s="254">
        <v>43184</v>
      </c>
      <c r="B304" s="254" t="s">
        <v>19113</v>
      </c>
      <c r="C304" s="254" t="s">
        <v>4521</v>
      </c>
      <c r="D304" s="255" t="s">
        <v>19114</v>
      </c>
      <c r="E304" s="253" t="s">
        <v>170</v>
      </c>
    </row>
    <row r="305" spans="1:5" ht="30">
      <c r="A305" s="254">
        <v>42424</v>
      </c>
      <c r="B305" s="254" t="s">
        <v>19115</v>
      </c>
      <c r="C305" s="254" t="s">
        <v>4521</v>
      </c>
      <c r="D305" s="255" t="s">
        <v>19116</v>
      </c>
      <c r="E305" s="253" t="s">
        <v>170</v>
      </c>
    </row>
    <row r="306" spans="1:5" ht="45">
      <c r="A306" s="254">
        <v>42421</v>
      </c>
      <c r="B306" s="254" t="s">
        <v>19117</v>
      </c>
      <c r="C306" s="254" t="s">
        <v>4521</v>
      </c>
      <c r="D306" s="255" t="s">
        <v>19118</v>
      </c>
      <c r="E306" s="253" t="s">
        <v>170</v>
      </c>
    </row>
    <row r="307" spans="1:5" ht="30">
      <c r="A307" s="254">
        <v>42416</v>
      </c>
      <c r="B307" s="254" t="s">
        <v>19119</v>
      </c>
      <c r="C307" s="254" t="s">
        <v>4521</v>
      </c>
      <c r="D307" s="255" t="s">
        <v>19120</v>
      </c>
      <c r="E307" s="253" t="s">
        <v>170</v>
      </c>
    </row>
    <row r="308" spans="1:5" ht="30">
      <c r="A308" s="254">
        <v>42417</v>
      </c>
      <c r="B308" s="254" t="s">
        <v>19121</v>
      </c>
      <c r="C308" s="254" t="s">
        <v>4521</v>
      </c>
      <c r="D308" s="255" t="s">
        <v>19122</v>
      </c>
      <c r="E308" s="253" t="s">
        <v>170</v>
      </c>
    </row>
    <row r="309" spans="1:5" ht="30">
      <c r="A309" s="254">
        <v>42419</v>
      </c>
      <c r="B309" s="254" t="s">
        <v>19123</v>
      </c>
      <c r="C309" s="254" t="s">
        <v>4521</v>
      </c>
      <c r="D309" s="255" t="s">
        <v>19124</v>
      </c>
      <c r="E309" s="253" t="s">
        <v>170</v>
      </c>
    </row>
    <row r="310" spans="1:5" ht="30">
      <c r="A310" s="254">
        <v>42420</v>
      </c>
      <c r="B310" s="254" t="s">
        <v>19125</v>
      </c>
      <c r="C310" s="254" t="s">
        <v>4521</v>
      </c>
      <c r="D310" s="255" t="s">
        <v>19126</v>
      </c>
      <c r="E310" s="253" t="s">
        <v>170</v>
      </c>
    </row>
    <row r="311" spans="1:5" ht="30">
      <c r="A311" s="254">
        <v>43195</v>
      </c>
      <c r="B311" s="254" t="s">
        <v>19127</v>
      </c>
      <c r="C311" s="254" t="s">
        <v>4521</v>
      </c>
      <c r="D311" s="255" t="s">
        <v>19128</v>
      </c>
      <c r="E311" s="253" t="s">
        <v>170</v>
      </c>
    </row>
    <row r="312" spans="1:5" ht="30">
      <c r="A312" s="254">
        <v>43196</v>
      </c>
      <c r="B312" s="254" t="s">
        <v>19129</v>
      </c>
      <c r="C312" s="254" t="s">
        <v>4521</v>
      </c>
      <c r="D312" s="255" t="s">
        <v>19130</v>
      </c>
      <c r="E312" s="253" t="s">
        <v>170</v>
      </c>
    </row>
    <row r="313" spans="1:5" ht="30">
      <c r="A313" s="254">
        <v>43198</v>
      </c>
      <c r="B313" s="254" t="s">
        <v>19131</v>
      </c>
      <c r="C313" s="254" t="s">
        <v>4521</v>
      </c>
      <c r="D313" s="255" t="s">
        <v>19132</v>
      </c>
      <c r="E313" s="253" t="s">
        <v>170</v>
      </c>
    </row>
    <row r="314" spans="1:5" ht="30">
      <c r="A314" s="254">
        <v>43199</v>
      </c>
      <c r="B314" s="254" t="s">
        <v>19133</v>
      </c>
      <c r="C314" s="254" t="s">
        <v>4521</v>
      </c>
      <c r="D314" s="255" t="s">
        <v>19134</v>
      </c>
      <c r="E314" s="253" t="s">
        <v>170</v>
      </c>
    </row>
    <row r="315" spans="1:5" ht="30">
      <c r="A315" s="254">
        <v>43200</v>
      </c>
      <c r="B315" s="254" t="s">
        <v>19135</v>
      </c>
      <c r="C315" s="254" t="s">
        <v>4521</v>
      </c>
      <c r="D315" s="255" t="s">
        <v>19136</v>
      </c>
      <c r="E315" s="253" t="s">
        <v>170</v>
      </c>
    </row>
    <row r="316" spans="1:5" ht="45">
      <c r="A316" s="254">
        <v>39556</v>
      </c>
      <c r="B316" s="254" t="s">
        <v>19137</v>
      </c>
      <c r="C316" s="254" t="s">
        <v>4521</v>
      </c>
      <c r="D316" s="255" t="s">
        <v>19138</v>
      </c>
      <c r="E316" s="253" t="s">
        <v>170</v>
      </c>
    </row>
    <row r="317" spans="1:5" ht="45">
      <c r="A317" s="254">
        <v>39557</v>
      </c>
      <c r="B317" s="254" t="s">
        <v>19139</v>
      </c>
      <c r="C317" s="254" t="s">
        <v>4521</v>
      </c>
      <c r="D317" s="255" t="s">
        <v>19140</v>
      </c>
      <c r="E317" s="253" t="s">
        <v>170</v>
      </c>
    </row>
    <row r="318" spans="1:5" ht="45">
      <c r="A318" s="254">
        <v>39559</v>
      </c>
      <c r="B318" s="254" t="s">
        <v>19141</v>
      </c>
      <c r="C318" s="254" t="s">
        <v>4521</v>
      </c>
      <c r="D318" s="255" t="s">
        <v>19142</v>
      </c>
      <c r="E318" s="253" t="s">
        <v>170</v>
      </c>
    </row>
    <row r="319" spans="1:5" ht="45">
      <c r="A319" s="254">
        <v>39560</v>
      </c>
      <c r="B319" s="254" t="s">
        <v>19143</v>
      </c>
      <c r="C319" s="254" t="s">
        <v>4521</v>
      </c>
      <c r="D319" s="255" t="s">
        <v>19144</v>
      </c>
      <c r="E319" s="253" t="s">
        <v>170</v>
      </c>
    </row>
    <row r="320" spans="1:5" ht="45">
      <c r="A320" s="254">
        <v>39561</v>
      </c>
      <c r="B320" s="254" t="s">
        <v>19145</v>
      </c>
      <c r="C320" s="254" t="s">
        <v>4521</v>
      </c>
      <c r="D320" s="255" t="s">
        <v>19146</v>
      </c>
      <c r="E320" s="253" t="s">
        <v>170</v>
      </c>
    </row>
    <row r="321" spans="1:5" ht="30">
      <c r="A321" s="254">
        <v>43190</v>
      </c>
      <c r="B321" s="254" t="s">
        <v>19147</v>
      </c>
      <c r="C321" s="254" t="s">
        <v>4521</v>
      </c>
      <c r="D321" s="255" t="s">
        <v>19148</v>
      </c>
      <c r="E321" s="253" t="s">
        <v>170</v>
      </c>
    </row>
    <row r="322" spans="1:5" ht="45">
      <c r="A322" s="254">
        <v>39555</v>
      </c>
      <c r="B322" s="254" t="s">
        <v>19149</v>
      </c>
      <c r="C322" s="254" t="s">
        <v>4521</v>
      </c>
      <c r="D322" s="255" t="s">
        <v>19150</v>
      </c>
      <c r="E322" s="253" t="s">
        <v>170</v>
      </c>
    </row>
    <row r="323" spans="1:5" ht="30">
      <c r="A323" s="254">
        <v>43191</v>
      </c>
      <c r="B323" s="254" t="s">
        <v>19151</v>
      </c>
      <c r="C323" s="254" t="s">
        <v>4521</v>
      </c>
      <c r="D323" s="256" t="s">
        <v>19152</v>
      </c>
      <c r="E323" s="253" t="s">
        <v>170</v>
      </c>
    </row>
    <row r="324" spans="1:5" ht="45">
      <c r="A324" s="254">
        <v>39548</v>
      </c>
      <c r="B324" s="254" t="s">
        <v>19153</v>
      </c>
      <c r="C324" s="254" t="s">
        <v>4521</v>
      </c>
      <c r="D324" s="255" t="s">
        <v>19154</v>
      </c>
      <c r="E324" s="253" t="s">
        <v>170</v>
      </c>
    </row>
    <row r="325" spans="1:5" ht="30">
      <c r="A325" s="254">
        <v>43192</v>
      </c>
      <c r="B325" s="254" t="s">
        <v>19155</v>
      </c>
      <c r="C325" s="254" t="s">
        <v>4521</v>
      </c>
      <c r="D325" s="255" t="s">
        <v>19156</v>
      </c>
      <c r="E325" s="253" t="s">
        <v>170</v>
      </c>
    </row>
    <row r="326" spans="1:5" ht="45">
      <c r="A326" s="254">
        <v>39554</v>
      </c>
      <c r="B326" s="254" t="s">
        <v>19157</v>
      </c>
      <c r="C326" s="254" t="s">
        <v>4521</v>
      </c>
      <c r="D326" s="255" t="s">
        <v>19158</v>
      </c>
      <c r="E326" s="253" t="s">
        <v>170</v>
      </c>
    </row>
    <row r="327" spans="1:5" ht="30">
      <c r="A327" s="254">
        <v>43194</v>
      </c>
      <c r="B327" s="254" t="s">
        <v>19159</v>
      </c>
      <c r="C327" s="254" t="s">
        <v>4521</v>
      </c>
      <c r="D327" s="255" t="s">
        <v>19160</v>
      </c>
      <c r="E327" s="253" t="s">
        <v>170</v>
      </c>
    </row>
    <row r="328" spans="1:5" ht="45">
      <c r="A328" s="254">
        <v>39551</v>
      </c>
      <c r="B328" s="254" t="s">
        <v>19161</v>
      </c>
      <c r="C328" s="254" t="s">
        <v>4521</v>
      </c>
      <c r="D328" s="255" t="s">
        <v>19162</v>
      </c>
      <c r="E328" s="253" t="s">
        <v>170</v>
      </c>
    </row>
    <row r="329" spans="1:5" ht="30">
      <c r="A329" s="254">
        <v>43185</v>
      </c>
      <c r="B329" s="254" t="s">
        <v>19163</v>
      </c>
      <c r="C329" s="254" t="s">
        <v>4521</v>
      </c>
      <c r="D329" s="255" t="s">
        <v>19164</v>
      </c>
      <c r="E329" s="253" t="s">
        <v>170</v>
      </c>
    </row>
    <row r="330" spans="1:5" ht="30">
      <c r="A330" s="254">
        <v>43186</v>
      </c>
      <c r="B330" s="254" t="s">
        <v>19165</v>
      </c>
      <c r="C330" s="254" t="s">
        <v>4521</v>
      </c>
      <c r="D330" s="255" t="s">
        <v>19166</v>
      </c>
      <c r="E330" s="253" t="s">
        <v>170</v>
      </c>
    </row>
    <row r="331" spans="1:5" ht="30">
      <c r="A331" s="254">
        <v>43187</v>
      </c>
      <c r="B331" s="254" t="s">
        <v>19167</v>
      </c>
      <c r="C331" s="254" t="s">
        <v>4521</v>
      </c>
      <c r="D331" s="255" t="s">
        <v>19168</v>
      </c>
      <c r="E331" s="253" t="s">
        <v>170</v>
      </c>
    </row>
    <row r="332" spans="1:5" ht="30">
      <c r="A332" s="254">
        <v>43188</v>
      </c>
      <c r="B332" s="254" t="s">
        <v>19169</v>
      </c>
      <c r="C332" s="254" t="s">
        <v>4521</v>
      </c>
      <c r="D332" s="255" t="s">
        <v>19170</v>
      </c>
      <c r="E332" s="253" t="s">
        <v>170</v>
      </c>
    </row>
    <row r="333" spans="1:5" ht="30">
      <c r="A333" s="254">
        <v>43189</v>
      </c>
      <c r="B333" s="254" t="s">
        <v>19171</v>
      </c>
      <c r="C333" s="254" t="s">
        <v>4521</v>
      </c>
      <c r="D333" s="255" t="s">
        <v>19172</v>
      </c>
      <c r="E333" s="253" t="s">
        <v>170</v>
      </c>
    </row>
    <row r="334" spans="1:5" ht="15">
      <c r="A334" s="254">
        <v>39580</v>
      </c>
      <c r="B334" s="254" t="s">
        <v>19173</v>
      </c>
      <c r="C334" s="254" t="s">
        <v>4521</v>
      </c>
      <c r="D334" s="255" t="s">
        <v>19174</v>
      </c>
      <c r="E334" s="253" t="s">
        <v>170</v>
      </c>
    </row>
    <row r="335" spans="1:5" ht="15">
      <c r="A335" s="254">
        <v>39577</v>
      </c>
      <c r="B335" s="254" t="s">
        <v>19175</v>
      </c>
      <c r="C335" s="254" t="s">
        <v>4521</v>
      </c>
      <c r="D335" s="255" t="s">
        <v>19176</v>
      </c>
      <c r="E335" s="253" t="s">
        <v>170</v>
      </c>
    </row>
    <row r="336" spans="1:5" ht="15">
      <c r="A336" s="254">
        <v>39578</v>
      </c>
      <c r="B336" s="254" t="s">
        <v>19177</v>
      </c>
      <c r="C336" s="254" t="s">
        <v>4521</v>
      </c>
      <c r="D336" s="255" t="s">
        <v>19178</v>
      </c>
      <c r="E336" s="253" t="s">
        <v>170</v>
      </c>
    </row>
    <row r="337" spans="1:5" ht="15">
      <c r="A337" s="254">
        <v>39579</v>
      </c>
      <c r="B337" s="254" t="s">
        <v>19179</v>
      </c>
      <c r="C337" s="254" t="s">
        <v>4521</v>
      </c>
      <c r="D337" s="255" t="s">
        <v>19180</v>
      </c>
      <c r="E337" s="253" t="s">
        <v>170</v>
      </c>
    </row>
    <row r="338" spans="1:5" ht="30">
      <c r="A338" s="254">
        <v>39826</v>
      </c>
      <c r="B338" s="254" t="s">
        <v>19181</v>
      </c>
      <c r="C338" s="254" t="s">
        <v>4521</v>
      </c>
      <c r="D338" s="255" t="s">
        <v>19182</v>
      </c>
      <c r="E338" s="253" t="s">
        <v>170</v>
      </c>
    </row>
    <row r="339" spans="1:5" ht="15">
      <c r="A339" s="254">
        <v>10700</v>
      </c>
      <c r="B339" s="254" t="s">
        <v>19183</v>
      </c>
      <c r="C339" s="254" t="s">
        <v>4521</v>
      </c>
      <c r="D339" s="255" t="s">
        <v>19184</v>
      </c>
      <c r="E339" s="253" t="s">
        <v>170</v>
      </c>
    </row>
    <row r="340" spans="1:5" ht="15">
      <c r="A340" s="254">
        <v>346</v>
      </c>
      <c r="B340" s="254" t="s">
        <v>19185</v>
      </c>
      <c r="C340" s="254" t="s">
        <v>4525</v>
      </c>
      <c r="D340" s="255" t="s">
        <v>14400</v>
      </c>
      <c r="E340" s="253" t="s">
        <v>170</v>
      </c>
    </row>
    <row r="341" spans="1:5" ht="15">
      <c r="A341" s="254">
        <v>3312</v>
      </c>
      <c r="B341" s="254" t="s">
        <v>19186</v>
      </c>
      <c r="C341" s="254" t="s">
        <v>4525</v>
      </c>
      <c r="D341" s="255" t="s">
        <v>17068</v>
      </c>
      <c r="E341" s="253" t="s">
        <v>170</v>
      </c>
    </row>
    <row r="342" spans="1:5" ht="15">
      <c r="A342" s="254">
        <v>339</v>
      </c>
      <c r="B342" s="254" t="s">
        <v>19187</v>
      </c>
      <c r="C342" s="254" t="s">
        <v>4524</v>
      </c>
      <c r="D342" s="255" t="s">
        <v>14184</v>
      </c>
      <c r="E342" s="253" t="s">
        <v>170</v>
      </c>
    </row>
    <row r="343" spans="1:5" ht="15">
      <c r="A343" s="254">
        <v>340</v>
      </c>
      <c r="B343" s="254" t="s">
        <v>19188</v>
      </c>
      <c r="C343" s="254" t="s">
        <v>4524</v>
      </c>
      <c r="D343" s="255" t="s">
        <v>14491</v>
      </c>
      <c r="E343" s="253" t="s">
        <v>170</v>
      </c>
    </row>
    <row r="344" spans="1:5" ht="30">
      <c r="A344" s="254">
        <v>43130</v>
      </c>
      <c r="B344" s="254" t="s">
        <v>19189</v>
      </c>
      <c r="C344" s="254" t="s">
        <v>4525</v>
      </c>
      <c r="D344" s="255" t="s">
        <v>16570</v>
      </c>
      <c r="E344" s="253" t="s">
        <v>170</v>
      </c>
    </row>
    <row r="345" spans="1:5" ht="15">
      <c r="A345" s="254">
        <v>333</v>
      </c>
      <c r="B345" s="254" t="s">
        <v>19190</v>
      </c>
      <c r="C345" s="254" t="s">
        <v>4525</v>
      </c>
      <c r="D345" s="255" t="s">
        <v>16570</v>
      </c>
      <c r="E345" s="253" t="s">
        <v>170</v>
      </c>
    </row>
    <row r="346" spans="1:5" ht="15">
      <c r="A346" s="254">
        <v>344</v>
      </c>
      <c r="B346" s="254" t="s">
        <v>19191</v>
      </c>
      <c r="C346" s="254" t="s">
        <v>4525</v>
      </c>
      <c r="D346" s="255" t="s">
        <v>19192</v>
      </c>
      <c r="E346" s="253" t="s">
        <v>170</v>
      </c>
    </row>
    <row r="347" spans="1:5" ht="15">
      <c r="A347" s="254">
        <v>345</v>
      </c>
      <c r="B347" s="254" t="s">
        <v>19193</v>
      </c>
      <c r="C347" s="254" t="s">
        <v>4525</v>
      </c>
      <c r="D347" s="255" t="s">
        <v>14567</v>
      </c>
      <c r="E347" s="253" t="s">
        <v>170</v>
      </c>
    </row>
    <row r="348" spans="1:5" ht="30">
      <c r="A348" s="254">
        <v>43131</v>
      </c>
      <c r="B348" s="254" t="s">
        <v>19194</v>
      </c>
      <c r="C348" s="254" t="s">
        <v>4525</v>
      </c>
      <c r="D348" s="255" t="s">
        <v>19195</v>
      </c>
      <c r="E348" s="253" t="s">
        <v>170</v>
      </c>
    </row>
    <row r="349" spans="1:5" ht="15">
      <c r="A349" s="254">
        <v>3313</v>
      </c>
      <c r="B349" s="254" t="s">
        <v>19196</v>
      </c>
      <c r="C349" s="254" t="s">
        <v>4525</v>
      </c>
      <c r="D349" s="255" t="s">
        <v>19197</v>
      </c>
      <c r="E349" s="253" t="s">
        <v>170</v>
      </c>
    </row>
    <row r="350" spans="1:5" ht="30">
      <c r="A350" s="254">
        <v>43132</v>
      </c>
      <c r="B350" s="254" t="s">
        <v>19198</v>
      </c>
      <c r="C350" s="254" t="s">
        <v>4525</v>
      </c>
      <c r="D350" s="255" t="s">
        <v>15938</v>
      </c>
      <c r="E350" s="253" t="s">
        <v>170</v>
      </c>
    </row>
    <row r="351" spans="1:5" ht="30">
      <c r="A351" s="254">
        <v>369</v>
      </c>
      <c r="B351" s="254" t="s">
        <v>19199</v>
      </c>
      <c r="C351" s="254" t="s">
        <v>4522</v>
      </c>
      <c r="D351" s="255" t="s">
        <v>19200</v>
      </c>
      <c r="E351" s="253" t="s">
        <v>170</v>
      </c>
    </row>
    <row r="352" spans="1:5" ht="15">
      <c r="A352" s="254">
        <v>366</v>
      </c>
      <c r="B352" s="254" t="s">
        <v>19201</v>
      </c>
      <c r="C352" s="254" t="s">
        <v>4522</v>
      </c>
      <c r="D352" s="255" t="s">
        <v>19202</v>
      </c>
      <c r="E352" s="253" t="s">
        <v>170</v>
      </c>
    </row>
    <row r="353" spans="1:5" ht="30">
      <c r="A353" s="254">
        <v>367</v>
      </c>
      <c r="B353" s="254" t="s">
        <v>19203</v>
      </c>
      <c r="C353" s="254" t="s">
        <v>4522</v>
      </c>
      <c r="D353" s="255" t="s">
        <v>19204</v>
      </c>
      <c r="E353" s="253" t="s">
        <v>170</v>
      </c>
    </row>
    <row r="354" spans="1:5" ht="30">
      <c r="A354" s="254">
        <v>370</v>
      </c>
      <c r="B354" s="254" t="s">
        <v>19205</v>
      </c>
      <c r="C354" s="254" t="s">
        <v>4522</v>
      </c>
      <c r="D354" s="255" t="s">
        <v>19206</v>
      </c>
      <c r="E354" s="253" t="s">
        <v>170</v>
      </c>
    </row>
    <row r="355" spans="1:5" ht="30">
      <c r="A355" s="254">
        <v>368</v>
      </c>
      <c r="B355" s="254" t="s">
        <v>19207</v>
      </c>
      <c r="C355" s="254" t="s">
        <v>4522</v>
      </c>
      <c r="D355" s="255" t="s">
        <v>19208</v>
      </c>
      <c r="E355" s="253" t="s">
        <v>170</v>
      </c>
    </row>
    <row r="356" spans="1:5" ht="30">
      <c r="A356" s="254">
        <v>11075</v>
      </c>
      <c r="B356" s="254" t="s">
        <v>19209</v>
      </c>
      <c r="C356" s="254" t="s">
        <v>4522</v>
      </c>
      <c r="D356" s="255" t="s">
        <v>19210</v>
      </c>
      <c r="E356" s="253" t="s">
        <v>170</v>
      </c>
    </row>
    <row r="357" spans="1:5" ht="30">
      <c r="A357" s="254">
        <v>11076</v>
      </c>
      <c r="B357" s="254" t="s">
        <v>19211</v>
      </c>
      <c r="C357" s="254" t="s">
        <v>4522</v>
      </c>
      <c r="D357" s="255" t="s">
        <v>19212</v>
      </c>
      <c r="E357" s="253" t="s">
        <v>170</v>
      </c>
    </row>
    <row r="358" spans="1:5" ht="15">
      <c r="A358" s="254">
        <v>1381</v>
      </c>
      <c r="B358" s="254" t="s">
        <v>19213</v>
      </c>
      <c r="C358" s="254" t="s">
        <v>4525</v>
      </c>
      <c r="D358" s="255" t="s">
        <v>14064</v>
      </c>
      <c r="E358" s="253" t="s">
        <v>170</v>
      </c>
    </row>
    <row r="359" spans="1:5" ht="15">
      <c r="A359" s="254">
        <v>34353</v>
      </c>
      <c r="B359" s="254" t="s">
        <v>19214</v>
      </c>
      <c r="C359" s="254" t="s">
        <v>4525</v>
      </c>
      <c r="D359" s="255" t="s">
        <v>14186</v>
      </c>
      <c r="E359" s="253" t="s">
        <v>170</v>
      </c>
    </row>
    <row r="360" spans="1:5" ht="15">
      <c r="A360" s="254">
        <v>37595</v>
      </c>
      <c r="B360" s="254" t="s">
        <v>19215</v>
      </c>
      <c r="C360" s="254" t="s">
        <v>4525</v>
      </c>
      <c r="D360" s="255" t="s">
        <v>14093</v>
      </c>
      <c r="E360" s="253" t="s">
        <v>170</v>
      </c>
    </row>
    <row r="361" spans="1:5" ht="15">
      <c r="A361" s="254">
        <v>37596</v>
      </c>
      <c r="B361" s="254" t="s">
        <v>19216</v>
      </c>
      <c r="C361" s="254" t="s">
        <v>4525</v>
      </c>
      <c r="D361" s="255" t="s">
        <v>19217</v>
      </c>
      <c r="E361" s="253" t="s">
        <v>170</v>
      </c>
    </row>
    <row r="362" spans="1:5" ht="30">
      <c r="A362" s="254">
        <v>371</v>
      </c>
      <c r="B362" s="254" t="s">
        <v>19218</v>
      </c>
      <c r="C362" s="254" t="s">
        <v>4525</v>
      </c>
      <c r="D362" s="255" t="s">
        <v>14307</v>
      </c>
      <c r="E362" s="253" t="s">
        <v>170</v>
      </c>
    </row>
    <row r="363" spans="1:5" ht="15">
      <c r="A363" s="254">
        <v>37553</v>
      </c>
      <c r="B363" s="254" t="s">
        <v>19219</v>
      </c>
      <c r="C363" s="254" t="s">
        <v>4525</v>
      </c>
      <c r="D363" s="255" t="s">
        <v>13869</v>
      </c>
      <c r="E363" s="253" t="s">
        <v>170</v>
      </c>
    </row>
    <row r="364" spans="1:5" ht="15">
      <c r="A364" s="254">
        <v>37552</v>
      </c>
      <c r="B364" s="254" t="s">
        <v>19220</v>
      </c>
      <c r="C364" s="254" t="s">
        <v>4525</v>
      </c>
      <c r="D364" s="255" t="s">
        <v>16223</v>
      </c>
      <c r="E364" s="253" t="s">
        <v>170</v>
      </c>
    </row>
    <row r="365" spans="1:5" ht="15">
      <c r="A365" s="254">
        <v>36880</v>
      </c>
      <c r="B365" s="254" t="s">
        <v>19221</v>
      </c>
      <c r="C365" s="254" t="s">
        <v>4525</v>
      </c>
      <c r="D365" s="255" t="s">
        <v>19222</v>
      </c>
      <c r="E365" s="253" t="s">
        <v>170</v>
      </c>
    </row>
    <row r="366" spans="1:5" ht="15">
      <c r="A366" s="254">
        <v>34355</v>
      </c>
      <c r="B366" s="254" t="s">
        <v>19223</v>
      </c>
      <c r="C366" s="254" t="s">
        <v>4525</v>
      </c>
      <c r="D366" s="255" t="s">
        <v>19224</v>
      </c>
      <c r="E366" s="253" t="s">
        <v>170</v>
      </c>
    </row>
    <row r="367" spans="1:5" ht="15">
      <c r="A367" s="254">
        <v>130</v>
      </c>
      <c r="B367" s="254" t="s">
        <v>19225</v>
      </c>
      <c r="C367" s="254" t="s">
        <v>4525</v>
      </c>
      <c r="D367" s="255" t="s">
        <v>19226</v>
      </c>
      <c r="E367" s="253" t="s">
        <v>170</v>
      </c>
    </row>
    <row r="368" spans="1:5" ht="30">
      <c r="A368" s="254">
        <v>135</v>
      </c>
      <c r="B368" s="254" t="s">
        <v>19227</v>
      </c>
      <c r="C368" s="254" t="s">
        <v>4525</v>
      </c>
      <c r="D368" s="255" t="s">
        <v>14344</v>
      </c>
      <c r="E368" s="253" t="s">
        <v>170</v>
      </c>
    </row>
    <row r="369" spans="1:5" ht="15">
      <c r="A369" s="254">
        <v>36886</v>
      </c>
      <c r="B369" s="254" t="s">
        <v>19228</v>
      </c>
      <c r="C369" s="254" t="s">
        <v>4525</v>
      </c>
      <c r="D369" s="255" t="s">
        <v>18460</v>
      </c>
      <c r="E369" s="253" t="s">
        <v>170</v>
      </c>
    </row>
    <row r="370" spans="1:5" ht="15">
      <c r="A370" s="254">
        <v>374</v>
      </c>
      <c r="B370" s="254" t="s">
        <v>19229</v>
      </c>
      <c r="C370" s="254" t="s">
        <v>4525</v>
      </c>
      <c r="D370" s="255" t="s">
        <v>13995</v>
      </c>
      <c r="E370" s="253" t="s">
        <v>170</v>
      </c>
    </row>
    <row r="371" spans="1:5" ht="30">
      <c r="A371" s="254">
        <v>38546</v>
      </c>
      <c r="B371" s="254" t="s">
        <v>19230</v>
      </c>
      <c r="C371" s="254" t="s">
        <v>4522</v>
      </c>
      <c r="D371" s="255" t="s">
        <v>19231</v>
      </c>
      <c r="E371" s="253" t="s">
        <v>170</v>
      </c>
    </row>
    <row r="372" spans="1:5" ht="15">
      <c r="A372" s="254">
        <v>34549</v>
      </c>
      <c r="B372" s="254" t="s">
        <v>19232</v>
      </c>
      <c r="C372" s="254" t="s">
        <v>4522</v>
      </c>
      <c r="D372" s="255" t="s">
        <v>19233</v>
      </c>
      <c r="E372" s="253" t="s">
        <v>170</v>
      </c>
    </row>
    <row r="373" spans="1:5" ht="15">
      <c r="A373" s="254">
        <v>6081</v>
      </c>
      <c r="B373" s="254" t="s">
        <v>19234</v>
      </c>
      <c r="C373" s="254" t="s">
        <v>4522</v>
      </c>
      <c r="D373" s="255" t="s">
        <v>18174</v>
      </c>
      <c r="E373" s="253" t="s">
        <v>170</v>
      </c>
    </row>
    <row r="374" spans="1:5" ht="30">
      <c r="A374" s="254">
        <v>6077</v>
      </c>
      <c r="B374" s="254" t="s">
        <v>19235</v>
      </c>
      <c r="C374" s="254" t="s">
        <v>4522</v>
      </c>
      <c r="D374" s="255" t="s">
        <v>19236</v>
      </c>
      <c r="E374" s="253" t="s">
        <v>170</v>
      </c>
    </row>
    <row r="375" spans="1:5" ht="30">
      <c r="A375" s="254">
        <v>6079</v>
      </c>
      <c r="B375" s="254" t="s">
        <v>19237</v>
      </c>
      <c r="C375" s="254" t="s">
        <v>4522</v>
      </c>
      <c r="D375" s="255" t="s">
        <v>15436</v>
      </c>
      <c r="E375" s="253" t="s">
        <v>170</v>
      </c>
    </row>
    <row r="376" spans="1:5" ht="30">
      <c r="A376" s="254">
        <v>1091</v>
      </c>
      <c r="B376" s="254" t="s">
        <v>19238</v>
      </c>
      <c r="C376" s="254" t="s">
        <v>4521</v>
      </c>
      <c r="D376" s="255" t="s">
        <v>16195</v>
      </c>
      <c r="E376" s="253" t="s">
        <v>170</v>
      </c>
    </row>
    <row r="377" spans="1:5" ht="30">
      <c r="A377" s="254">
        <v>1094</v>
      </c>
      <c r="B377" s="254" t="s">
        <v>19239</v>
      </c>
      <c r="C377" s="254" t="s">
        <v>4521</v>
      </c>
      <c r="D377" s="255" t="s">
        <v>14122</v>
      </c>
      <c r="E377" s="253" t="s">
        <v>170</v>
      </c>
    </row>
    <row r="378" spans="1:5" ht="30">
      <c r="A378" s="254">
        <v>1095</v>
      </c>
      <c r="B378" s="254" t="s">
        <v>19240</v>
      </c>
      <c r="C378" s="254" t="s">
        <v>4521</v>
      </c>
      <c r="D378" s="255" t="s">
        <v>19241</v>
      </c>
      <c r="E378" s="253" t="s">
        <v>170</v>
      </c>
    </row>
    <row r="379" spans="1:5" ht="30">
      <c r="A379" s="254">
        <v>1092</v>
      </c>
      <c r="B379" s="254" t="s">
        <v>19242</v>
      </c>
      <c r="C379" s="254" t="s">
        <v>4521</v>
      </c>
      <c r="D379" s="255" t="s">
        <v>16669</v>
      </c>
      <c r="E379" s="253" t="s">
        <v>170</v>
      </c>
    </row>
    <row r="380" spans="1:5" ht="30">
      <c r="A380" s="254">
        <v>1093</v>
      </c>
      <c r="B380" s="254" t="s">
        <v>19243</v>
      </c>
      <c r="C380" s="254" t="s">
        <v>4521</v>
      </c>
      <c r="D380" s="255" t="s">
        <v>16537</v>
      </c>
      <c r="E380" s="253" t="s">
        <v>170</v>
      </c>
    </row>
    <row r="381" spans="1:5" ht="30">
      <c r="A381" s="254">
        <v>1090</v>
      </c>
      <c r="B381" s="254" t="s">
        <v>19244</v>
      </c>
      <c r="C381" s="254" t="s">
        <v>4521</v>
      </c>
      <c r="D381" s="255" t="s">
        <v>15350</v>
      </c>
      <c r="E381" s="253" t="s">
        <v>170</v>
      </c>
    </row>
    <row r="382" spans="1:5" ht="30">
      <c r="A382" s="254">
        <v>1096</v>
      </c>
      <c r="B382" s="254" t="s">
        <v>19245</v>
      </c>
      <c r="C382" s="254" t="s">
        <v>4521</v>
      </c>
      <c r="D382" s="255" t="s">
        <v>19246</v>
      </c>
      <c r="E382" s="253" t="s">
        <v>170</v>
      </c>
    </row>
    <row r="383" spans="1:5" ht="30">
      <c r="A383" s="254">
        <v>1097</v>
      </c>
      <c r="B383" s="254" t="s">
        <v>19247</v>
      </c>
      <c r="C383" s="254" t="s">
        <v>4521</v>
      </c>
      <c r="D383" s="255" t="s">
        <v>19248</v>
      </c>
      <c r="E383" s="253" t="s">
        <v>170</v>
      </c>
    </row>
    <row r="384" spans="1:5" ht="15">
      <c r="A384" s="254">
        <v>378</v>
      </c>
      <c r="B384" s="254" t="s">
        <v>19249</v>
      </c>
      <c r="C384" s="254" t="s">
        <v>4520</v>
      </c>
      <c r="D384" s="255" t="s">
        <v>19250</v>
      </c>
      <c r="E384" s="253" t="s">
        <v>8722</v>
      </c>
    </row>
    <row r="385" spans="1:5" ht="15">
      <c r="A385" s="254">
        <v>40911</v>
      </c>
      <c r="B385" s="254" t="s">
        <v>19251</v>
      </c>
      <c r="C385" s="254" t="s">
        <v>4528</v>
      </c>
      <c r="D385" s="255" t="s">
        <v>19252</v>
      </c>
      <c r="E385" s="253" t="s">
        <v>8722</v>
      </c>
    </row>
    <row r="386" spans="1:5" ht="15">
      <c r="A386" s="254">
        <v>33939</v>
      </c>
      <c r="B386" s="254" t="s">
        <v>19253</v>
      </c>
      <c r="C386" s="254" t="s">
        <v>4520</v>
      </c>
      <c r="D386" s="255" t="s">
        <v>19254</v>
      </c>
      <c r="E386" s="253" t="s">
        <v>8722</v>
      </c>
    </row>
    <row r="387" spans="1:5" ht="15">
      <c r="A387" s="254">
        <v>40815</v>
      </c>
      <c r="B387" s="254" t="s">
        <v>19255</v>
      </c>
      <c r="C387" s="254" t="s">
        <v>4528</v>
      </c>
      <c r="D387" s="255" t="s">
        <v>19256</v>
      </c>
      <c r="E387" s="253" t="s">
        <v>8722</v>
      </c>
    </row>
    <row r="388" spans="1:5" ht="15">
      <c r="A388" s="254">
        <v>34760</v>
      </c>
      <c r="B388" s="254" t="s">
        <v>19257</v>
      </c>
      <c r="C388" s="254" t="s">
        <v>4520</v>
      </c>
      <c r="D388" s="255" t="s">
        <v>19258</v>
      </c>
      <c r="E388" s="253" t="s">
        <v>8722</v>
      </c>
    </row>
    <row r="389" spans="1:5" ht="15">
      <c r="A389" s="254">
        <v>40935</v>
      </c>
      <c r="B389" s="254" t="s">
        <v>19259</v>
      </c>
      <c r="C389" s="254" t="s">
        <v>4528</v>
      </c>
      <c r="D389" s="255" t="s">
        <v>19260</v>
      </c>
      <c r="E389" s="253" t="s">
        <v>8722</v>
      </c>
    </row>
    <row r="390" spans="1:5" ht="15">
      <c r="A390" s="254">
        <v>33952</v>
      </c>
      <c r="B390" s="254" t="s">
        <v>19261</v>
      </c>
      <c r="C390" s="254" t="s">
        <v>4520</v>
      </c>
      <c r="D390" s="255" t="s">
        <v>19262</v>
      </c>
      <c r="E390" s="253" t="s">
        <v>8722</v>
      </c>
    </row>
    <row r="391" spans="1:5" ht="15">
      <c r="A391" s="254">
        <v>40816</v>
      </c>
      <c r="B391" s="254" t="s">
        <v>19263</v>
      </c>
      <c r="C391" s="254" t="s">
        <v>4528</v>
      </c>
      <c r="D391" s="255" t="s">
        <v>19264</v>
      </c>
      <c r="E391" s="253" t="s">
        <v>8722</v>
      </c>
    </row>
    <row r="392" spans="1:5" ht="15">
      <c r="A392" s="254">
        <v>33953</v>
      </c>
      <c r="B392" s="254" t="s">
        <v>19265</v>
      </c>
      <c r="C392" s="254" t="s">
        <v>4520</v>
      </c>
      <c r="D392" s="255" t="s">
        <v>19266</v>
      </c>
      <c r="E392" s="253" t="s">
        <v>8722</v>
      </c>
    </row>
    <row r="393" spans="1:5" ht="15">
      <c r="A393" s="254">
        <v>40817</v>
      </c>
      <c r="B393" s="254" t="s">
        <v>19267</v>
      </c>
      <c r="C393" s="254" t="s">
        <v>4528</v>
      </c>
      <c r="D393" s="255" t="s">
        <v>19268</v>
      </c>
      <c r="E393" s="253" t="s">
        <v>8722</v>
      </c>
    </row>
    <row r="394" spans="1:5" ht="30">
      <c r="A394" s="254">
        <v>13348</v>
      </c>
      <c r="B394" s="254" t="s">
        <v>19269</v>
      </c>
      <c r="C394" s="254" t="s">
        <v>4521</v>
      </c>
      <c r="D394" s="255" t="s">
        <v>18792</v>
      </c>
      <c r="E394" s="253" t="s">
        <v>170</v>
      </c>
    </row>
    <row r="395" spans="1:5" ht="15">
      <c r="A395" s="254">
        <v>39211</v>
      </c>
      <c r="B395" s="254" t="s">
        <v>19270</v>
      </c>
      <c r="C395" s="254" t="s">
        <v>4521</v>
      </c>
      <c r="D395" s="255" t="s">
        <v>14249</v>
      </c>
      <c r="E395" s="253" t="s">
        <v>170</v>
      </c>
    </row>
    <row r="396" spans="1:5" ht="15">
      <c r="A396" s="254">
        <v>39212</v>
      </c>
      <c r="B396" s="254" t="s">
        <v>19271</v>
      </c>
      <c r="C396" s="254" t="s">
        <v>4521</v>
      </c>
      <c r="D396" s="256" t="s">
        <v>13946</v>
      </c>
      <c r="E396" s="253" t="s">
        <v>170</v>
      </c>
    </row>
    <row r="397" spans="1:5" ht="15">
      <c r="A397" s="254">
        <v>39208</v>
      </c>
      <c r="B397" s="254" t="s">
        <v>19272</v>
      </c>
      <c r="C397" s="254" t="s">
        <v>4521</v>
      </c>
      <c r="D397" s="256" t="s">
        <v>14454</v>
      </c>
      <c r="E397" s="253" t="s">
        <v>170</v>
      </c>
    </row>
    <row r="398" spans="1:5" ht="15">
      <c r="A398" s="254">
        <v>39210</v>
      </c>
      <c r="B398" s="254" t="s">
        <v>19273</v>
      </c>
      <c r="C398" s="254" t="s">
        <v>4521</v>
      </c>
      <c r="D398" s="255" t="s">
        <v>18514</v>
      </c>
      <c r="E398" s="253" t="s">
        <v>170</v>
      </c>
    </row>
    <row r="399" spans="1:5" ht="15">
      <c r="A399" s="254">
        <v>39214</v>
      </c>
      <c r="B399" s="254" t="s">
        <v>19274</v>
      </c>
      <c r="C399" s="254" t="s">
        <v>4521</v>
      </c>
      <c r="D399" s="255" t="s">
        <v>14365</v>
      </c>
      <c r="E399" s="253" t="s">
        <v>170</v>
      </c>
    </row>
    <row r="400" spans="1:5" ht="15">
      <c r="A400" s="254">
        <v>39213</v>
      </c>
      <c r="B400" s="254" t="s">
        <v>19275</v>
      </c>
      <c r="C400" s="254" t="s">
        <v>4521</v>
      </c>
      <c r="D400" s="255" t="s">
        <v>14148</v>
      </c>
      <c r="E400" s="253" t="s">
        <v>170</v>
      </c>
    </row>
    <row r="401" spans="1:5" ht="15">
      <c r="A401" s="254">
        <v>39209</v>
      </c>
      <c r="B401" s="254" t="s">
        <v>19276</v>
      </c>
      <c r="C401" s="254" t="s">
        <v>4521</v>
      </c>
      <c r="D401" s="255" t="s">
        <v>14045</v>
      </c>
      <c r="E401" s="253" t="s">
        <v>170</v>
      </c>
    </row>
    <row r="402" spans="1:5" ht="15">
      <c r="A402" s="254">
        <v>39207</v>
      </c>
      <c r="B402" s="254" t="s">
        <v>19277</v>
      </c>
      <c r="C402" s="254" t="s">
        <v>4521</v>
      </c>
      <c r="D402" s="255" t="s">
        <v>18514</v>
      </c>
      <c r="E402" s="253" t="s">
        <v>170</v>
      </c>
    </row>
    <row r="403" spans="1:5" ht="15">
      <c r="A403" s="254">
        <v>39215</v>
      </c>
      <c r="B403" s="254" t="s">
        <v>19278</v>
      </c>
      <c r="C403" s="254" t="s">
        <v>4521</v>
      </c>
      <c r="D403" s="255" t="s">
        <v>16237</v>
      </c>
      <c r="E403" s="253" t="s">
        <v>170</v>
      </c>
    </row>
    <row r="404" spans="1:5" ht="15">
      <c r="A404" s="254">
        <v>39216</v>
      </c>
      <c r="B404" s="254" t="s">
        <v>19279</v>
      </c>
      <c r="C404" s="254" t="s">
        <v>4521</v>
      </c>
      <c r="D404" s="255" t="s">
        <v>16919</v>
      </c>
      <c r="E404" s="253" t="s">
        <v>170</v>
      </c>
    </row>
    <row r="405" spans="1:5" ht="30">
      <c r="A405" s="254">
        <v>379</v>
      </c>
      <c r="B405" s="254" t="s">
        <v>19280</v>
      </c>
      <c r="C405" s="254" t="s">
        <v>4521</v>
      </c>
      <c r="D405" s="255" t="s">
        <v>13751</v>
      </c>
      <c r="E405" s="253" t="s">
        <v>170</v>
      </c>
    </row>
    <row r="406" spans="1:5" ht="30">
      <c r="A406" s="254">
        <v>11267</v>
      </c>
      <c r="B406" s="254" t="s">
        <v>19281</v>
      </c>
      <c r="C406" s="254" t="s">
        <v>4521</v>
      </c>
      <c r="D406" s="255" t="s">
        <v>13753</v>
      </c>
      <c r="E406" s="253" t="s">
        <v>170</v>
      </c>
    </row>
    <row r="407" spans="1:5" ht="30">
      <c r="A407" s="254">
        <v>41901</v>
      </c>
      <c r="B407" s="254" t="s">
        <v>19282</v>
      </c>
      <c r="C407" s="254" t="s">
        <v>4525</v>
      </c>
      <c r="D407" s="255" t="s">
        <v>15728</v>
      </c>
      <c r="E407" s="253" t="s">
        <v>170</v>
      </c>
    </row>
    <row r="408" spans="1:5" ht="30">
      <c r="A408" s="254">
        <v>510</v>
      </c>
      <c r="B408" s="254" t="s">
        <v>19283</v>
      </c>
      <c r="C408" s="254" t="s">
        <v>4525</v>
      </c>
      <c r="D408" s="255" t="s">
        <v>16473</v>
      </c>
      <c r="E408" s="253" t="s">
        <v>170</v>
      </c>
    </row>
    <row r="409" spans="1:5" ht="30">
      <c r="A409" s="254">
        <v>516</v>
      </c>
      <c r="B409" s="254" t="s">
        <v>19284</v>
      </c>
      <c r="C409" s="254" t="s">
        <v>4525</v>
      </c>
      <c r="D409" s="255" t="s">
        <v>19285</v>
      </c>
      <c r="E409" s="253" t="s">
        <v>170</v>
      </c>
    </row>
    <row r="410" spans="1:5" ht="30">
      <c r="A410" s="254">
        <v>509</v>
      </c>
      <c r="B410" s="254" t="s">
        <v>19286</v>
      </c>
      <c r="C410" s="254" t="s">
        <v>4525</v>
      </c>
      <c r="D410" s="255" t="s">
        <v>15734</v>
      </c>
      <c r="E410" s="253" t="s">
        <v>170</v>
      </c>
    </row>
    <row r="411" spans="1:5" ht="15">
      <c r="A411" s="254">
        <v>40331</v>
      </c>
      <c r="B411" s="254" t="s">
        <v>19287</v>
      </c>
      <c r="C411" s="254" t="s">
        <v>4520</v>
      </c>
      <c r="D411" s="255" t="s">
        <v>16534</v>
      </c>
      <c r="E411" s="253" t="s">
        <v>8722</v>
      </c>
    </row>
    <row r="412" spans="1:5" ht="15">
      <c r="A412" s="254">
        <v>40930</v>
      </c>
      <c r="B412" s="254" t="s">
        <v>19288</v>
      </c>
      <c r="C412" s="254" t="s">
        <v>4528</v>
      </c>
      <c r="D412" s="255" t="s">
        <v>19289</v>
      </c>
      <c r="E412" s="253" t="s">
        <v>8722</v>
      </c>
    </row>
    <row r="413" spans="1:5" ht="15">
      <c r="A413" s="254">
        <v>11761</v>
      </c>
      <c r="B413" s="254" t="s">
        <v>19290</v>
      </c>
      <c r="C413" s="254" t="s">
        <v>4521</v>
      </c>
      <c r="D413" s="255" t="s">
        <v>18255</v>
      </c>
      <c r="E413" s="253" t="s">
        <v>170</v>
      </c>
    </row>
    <row r="414" spans="1:5" ht="15">
      <c r="A414" s="254">
        <v>377</v>
      </c>
      <c r="B414" s="254" t="s">
        <v>19291</v>
      </c>
      <c r="C414" s="254" t="s">
        <v>4521</v>
      </c>
      <c r="D414" s="255" t="s">
        <v>19292</v>
      </c>
      <c r="E414" s="253" t="s">
        <v>170</v>
      </c>
    </row>
    <row r="415" spans="1:5" ht="15">
      <c r="A415" s="254">
        <v>7588</v>
      </c>
      <c r="B415" s="254" t="s">
        <v>19293</v>
      </c>
      <c r="C415" s="254" t="s">
        <v>4521</v>
      </c>
      <c r="D415" s="255" t="s">
        <v>19294</v>
      </c>
      <c r="E415" s="253" t="s">
        <v>170</v>
      </c>
    </row>
    <row r="416" spans="1:5" ht="15">
      <c r="A416" s="254">
        <v>34392</v>
      </c>
      <c r="B416" s="254" t="s">
        <v>19295</v>
      </c>
      <c r="C416" s="254" t="s">
        <v>4520</v>
      </c>
      <c r="D416" s="255" t="s">
        <v>18183</v>
      </c>
      <c r="E416" s="253" t="s">
        <v>8722</v>
      </c>
    </row>
    <row r="417" spans="1:5" ht="15">
      <c r="A417" s="254">
        <v>40908</v>
      </c>
      <c r="B417" s="254" t="s">
        <v>19296</v>
      </c>
      <c r="C417" s="254" t="s">
        <v>4528</v>
      </c>
      <c r="D417" s="255" t="s">
        <v>19297</v>
      </c>
      <c r="E417" s="253" t="s">
        <v>8722</v>
      </c>
    </row>
    <row r="418" spans="1:5" ht="15">
      <c r="A418" s="254">
        <v>34551</v>
      </c>
      <c r="B418" s="254" t="s">
        <v>19298</v>
      </c>
      <c r="C418" s="254" t="s">
        <v>4520</v>
      </c>
      <c r="D418" s="255" t="s">
        <v>14143</v>
      </c>
      <c r="E418" s="253" t="s">
        <v>8722</v>
      </c>
    </row>
    <row r="419" spans="1:5" ht="15">
      <c r="A419" s="254">
        <v>41078</v>
      </c>
      <c r="B419" s="254" t="s">
        <v>19299</v>
      </c>
      <c r="C419" s="254" t="s">
        <v>4528</v>
      </c>
      <c r="D419" s="255" t="s">
        <v>19300</v>
      </c>
      <c r="E419" s="253" t="s">
        <v>8722</v>
      </c>
    </row>
    <row r="420" spans="1:5" ht="15">
      <c r="A420" s="254">
        <v>246</v>
      </c>
      <c r="B420" s="254" t="s">
        <v>19301</v>
      </c>
      <c r="C420" s="254" t="s">
        <v>4520</v>
      </c>
      <c r="D420" s="255" t="s">
        <v>13526</v>
      </c>
      <c r="E420" s="253" t="s">
        <v>8722</v>
      </c>
    </row>
    <row r="421" spans="1:5" ht="15">
      <c r="A421" s="254">
        <v>40927</v>
      </c>
      <c r="B421" s="254" t="s">
        <v>19302</v>
      </c>
      <c r="C421" s="254" t="s">
        <v>4528</v>
      </c>
      <c r="D421" s="255" t="s">
        <v>19303</v>
      </c>
      <c r="E421" s="253" t="s">
        <v>8722</v>
      </c>
    </row>
    <row r="422" spans="1:5" ht="15">
      <c r="A422" s="254">
        <v>2350</v>
      </c>
      <c r="B422" s="254" t="s">
        <v>19304</v>
      </c>
      <c r="C422" s="254" t="s">
        <v>4520</v>
      </c>
      <c r="D422" s="255" t="s">
        <v>15750</v>
      </c>
      <c r="E422" s="253" t="s">
        <v>8722</v>
      </c>
    </row>
    <row r="423" spans="1:5" ht="15">
      <c r="A423" s="254">
        <v>40812</v>
      </c>
      <c r="B423" s="254" t="s">
        <v>19305</v>
      </c>
      <c r="C423" s="254" t="s">
        <v>4528</v>
      </c>
      <c r="D423" s="255" t="s">
        <v>19306</v>
      </c>
      <c r="E423" s="253" t="s">
        <v>8722</v>
      </c>
    </row>
    <row r="424" spans="1:5" ht="15">
      <c r="A424" s="254">
        <v>245</v>
      </c>
      <c r="B424" s="254" t="s">
        <v>19307</v>
      </c>
      <c r="C424" s="254" t="s">
        <v>4520</v>
      </c>
      <c r="D424" s="255" t="s">
        <v>19308</v>
      </c>
      <c r="E424" s="253" t="s">
        <v>8722</v>
      </c>
    </row>
    <row r="425" spans="1:5" ht="15">
      <c r="A425" s="254">
        <v>41090</v>
      </c>
      <c r="B425" s="254" t="s">
        <v>19309</v>
      </c>
      <c r="C425" s="254" t="s">
        <v>4528</v>
      </c>
      <c r="D425" s="255" t="s">
        <v>19310</v>
      </c>
      <c r="E425" s="253" t="s">
        <v>8722</v>
      </c>
    </row>
    <row r="426" spans="1:5" ht="15">
      <c r="A426" s="254">
        <v>251</v>
      </c>
      <c r="B426" s="254" t="s">
        <v>19311</v>
      </c>
      <c r="C426" s="254" t="s">
        <v>4520</v>
      </c>
      <c r="D426" s="255" t="s">
        <v>14176</v>
      </c>
      <c r="E426" s="253" t="s">
        <v>8722</v>
      </c>
    </row>
    <row r="427" spans="1:5" ht="15">
      <c r="A427" s="254">
        <v>40975</v>
      </c>
      <c r="B427" s="254" t="s">
        <v>19312</v>
      </c>
      <c r="C427" s="254" t="s">
        <v>4528</v>
      </c>
      <c r="D427" s="255" t="s">
        <v>19313</v>
      </c>
      <c r="E427" s="253" t="s">
        <v>8722</v>
      </c>
    </row>
    <row r="428" spans="1:5" ht="15">
      <c r="A428" s="254">
        <v>6127</v>
      </c>
      <c r="B428" s="254" t="s">
        <v>19314</v>
      </c>
      <c r="C428" s="254" t="s">
        <v>4520</v>
      </c>
      <c r="D428" s="255" t="s">
        <v>19315</v>
      </c>
      <c r="E428" s="253" t="s">
        <v>8722</v>
      </c>
    </row>
    <row r="429" spans="1:5" ht="15">
      <c r="A429" s="254">
        <v>41072</v>
      </c>
      <c r="B429" s="254" t="s">
        <v>19316</v>
      </c>
      <c r="C429" s="254" t="s">
        <v>4528</v>
      </c>
      <c r="D429" s="255" t="s">
        <v>19317</v>
      </c>
      <c r="E429" s="253" t="s">
        <v>8722</v>
      </c>
    </row>
    <row r="430" spans="1:5" ht="15">
      <c r="A430" s="254">
        <v>6121</v>
      </c>
      <c r="B430" s="254" t="s">
        <v>19318</v>
      </c>
      <c r="C430" s="254" t="s">
        <v>4520</v>
      </c>
      <c r="D430" s="255" t="s">
        <v>19319</v>
      </c>
      <c r="E430" s="253" t="s">
        <v>8722</v>
      </c>
    </row>
    <row r="431" spans="1:5" ht="15">
      <c r="A431" s="254">
        <v>41071</v>
      </c>
      <c r="B431" s="254" t="s">
        <v>19320</v>
      </c>
      <c r="C431" s="254" t="s">
        <v>4528</v>
      </c>
      <c r="D431" s="255" t="s">
        <v>19321</v>
      </c>
      <c r="E431" s="253" t="s">
        <v>8722</v>
      </c>
    </row>
    <row r="432" spans="1:5" ht="15">
      <c r="A432" s="254">
        <v>244</v>
      </c>
      <c r="B432" s="254" t="s">
        <v>19322</v>
      </c>
      <c r="C432" s="254" t="s">
        <v>4520</v>
      </c>
      <c r="D432" s="256" t="s">
        <v>16716</v>
      </c>
      <c r="E432" s="253" t="s">
        <v>8722</v>
      </c>
    </row>
    <row r="433" spans="1:5" ht="15">
      <c r="A433" s="254">
        <v>41093</v>
      </c>
      <c r="B433" s="254" t="s">
        <v>19323</v>
      </c>
      <c r="C433" s="254" t="s">
        <v>4528</v>
      </c>
      <c r="D433" s="255" t="s">
        <v>19324</v>
      </c>
      <c r="E433" s="253" t="s">
        <v>8722</v>
      </c>
    </row>
    <row r="434" spans="1:5" ht="15">
      <c r="A434" s="254">
        <v>532</v>
      </c>
      <c r="B434" s="254" t="s">
        <v>19325</v>
      </c>
      <c r="C434" s="254" t="s">
        <v>4520</v>
      </c>
      <c r="D434" s="255" t="s">
        <v>19326</v>
      </c>
      <c r="E434" s="253" t="s">
        <v>8722</v>
      </c>
    </row>
    <row r="435" spans="1:5" ht="15">
      <c r="A435" s="254">
        <v>40931</v>
      </c>
      <c r="B435" s="254" t="s">
        <v>19327</v>
      </c>
      <c r="C435" s="254" t="s">
        <v>4528</v>
      </c>
      <c r="D435" s="255" t="s">
        <v>19328</v>
      </c>
      <c r="E435" s="253" t="s">
        <v>8722</v>
      </c>
    </row>
    <row r="436" spans="1:5" ht="15">
      <c r="A436" s="254">
        <v>36150</v>
      </c>
      <c r="B436" s="254" t="s">
        <v>19329</v>
      </c>
      <c r="C436" s="254" t="s">
        <v>4521</v>
      </c>
      <c r="D436" s="255" t="s">
        <v>19330</v>
      </c>
      <c r="E436" s="253" t="s">
        <v>170</v>
      </c>
    </row>
    <row r="437" spans="1:5" ht="15">
      <c r="A437" s="254">
        <v>4760</v>
      </c>
      <c r="B437" s="254" t="s">
        <v>19331</v>
      </c>
      <c r="C437" s="254" t="s">
        <v>4520</v>
      </c>
      <c r="D437" s="255" t="s">
        <v>19250</v>
      </c>
      <c r="E437" s="253" t="s">
        <v>8722</v>
      </c>
    </row>
    <row r="438" spans="1:5" ht="15">
      <c r="A438" s="254">
        <v>41069</v>
      </c>
      <c r="B438" s="254" t="s">
        <v>19332</v>
      </c>
      <c r="C438" s="254" t="s">
        <v>4528</v>
      </c>
      <c r="D438" s="255" t="s">
        <v>19252</v>
      </c>
      <c r="E438" s="253" t="s">
        <v>8722</v>
      </c>
    </row>
    <row r="439" spans="1:5" ht="15">
      <c r="A439" s="254">
        <v>10422</v>
      </c>
      <c r="B439" s="254" t="s">
        <v>19333</v>
      </c>
      <c r="C439" s="254" t="s">
        <v>4521</v>
      </c>
      <c r="D439" s="255" t="s">
        <v>19334</v>
      </c>
      <c r="E439" s="253" t="s">
        <v>170</v>
      </c>
    </row>
    <row r="440" spans="1:5" ht="15">
      <c r="A440" s="254">
        <v>10420</v>
      </c>
      <c r="B440" s="254" t="s">
        <v>19335</v>
      </c>
      <c r="C440" s="254" t="s">
        <v>4521</v>
      </c>
      <c r="D440" s="256" t="s">
        <v>19336</v>
      </c>
      <c r="E440" s="253" t="s">
        <v>170</v>
      </c>
    </row>
    <row r="441" spans="1:5" ht="15">
      <c r="A441" s="254">
        <v>10421</v>
      </c>
      <c r="B441" s="254" t="s">
        <v>19337</v>
      </c>
      <c r="C441" s="254" t="s">
        <v>4521</v>
      </c>
      <c r="D441" s="256" t="s">
        <v>19338</v>
      </c>
      <c r="E441" s="253" t="s">
        <v>170</v>
      </c>
    </row>
    <row r="442" spans="1:5" ht="30">
      <c r="A442" s="254">
        <v>36520</v>
      </c>
      <c r="B442" s="254" t="s">
        <v>19339</v>
      </c>
      <c r="C442" s="254" t="s">
        <v>4521</v>
      </c>
      <c r="D442" s="256" t="s">
        <v>19340</v>
      </c>
      <c r="E442" s="253" t="s">
        <v>170</v>
      </c>
    </row>
    <row r="443" spans="1:5" ht="15">
      <c r="A443" s="254">
        <v>11784</v>
      </c>
      <c r="B443" s="254" t="s">
        <v>19341</v>
      </c>
      <c r="C443" s="254" t="s">
        <v>4521</v>
      </c>
      <c r="D443" s="256" t="s">
        <v>19342</v>
      </c>
      <c r="E443" s="253" t="s">
        <v>170</v>
      </c>
    </row>
    <row r="444" spans="1:5" ht="15">
      <c r="A444" s="254">
        <v>10</v>
      </c>
      <c r="B444" s="254" t="s">
        <v>19343</v>
      </c>
      <c r="C444" s="254" t="s">
        <v>4521</v>
      </c>
      <c r="D444" s="256" t="s">
        <v>17622</v>
      </c>
      <c r="E444" s="253" t="s">
        <v>170</v>
      </c>
    </row>
    <row r="445" spans="1:5" ht="15">
      <c r="A445" s="254">
        <v>4815</v>
      </c>
      <c r="B445" s="254" t="s">
        <v>19344</v>
      </c>
      <c r="C445" s="254" t="s">
        <v>4521</v>
      </c>
      <c r="D445" s="256" t="s">
        <v>13815</v>
      </c>
      <c r="E445" s="253" t="s">
        <v>170</v>
      </c>
    </row>
    <row r="446" spans="1:5" ht="15">
      <c r="A446" s="254">
        <v>541</v>
      </c>
      <c r="B446" s="254" t="s">
        <v>19345</v>
      </c>
      <c r="C446" s="254" t="s">
        <v>4521</v>
      </c>
      <c r="D446" s="256" t="s">
        <v>19346</v>
      </c>
      <c r="E446" s="253" t="s">
        <v>170</v>
      </c>
    </row>
    <row r="447" spans="1:5" ht="15">
      <c r="A447" s="254">
        <v>542</v>
      </c>
      <c r="B447" s="254" t="s">
        <v>19347</v>
      </c>
      <c r="C447" s="254" t="s">
        <v>4521</v>
      </c>
      <c r="D447" s="255" t="s">
        <v>19348</v>
      </c>
      <c r="E447" s="253" t="s">
        <v>170</v>
      </c>
    </row>
    <row r="448" spans="1:5" ht="15">
      <c r="A448" s="254">
        <v>540</v>
      </c>
      <c r="B448" s="254" t="s">
        <v>19349</v>
      </c>
      <c r="C448" s="254" t="s">
        <v>4521</v>
      </c>
      <c r="D448" s="255" t="s">
        <v>19350</v>
      </c>
      <c r="E448" s="253" t="s">
        <v>170</v>
      </c>
    </row>
    <row r="449" spans="1:5" ht="45">
      <c r="A449" s="254">
        <v>38364</v>
      </c>
      <c r="B449" s="254" t="s">
        <v>19351</v>
      </c>
      <c r="C449" s="254" t="s">
        <v>4521</v>
      </c>
      <c r="D449" s="255" t="s">
        <v>19352</v>
      </c>
      <c r="E449" s="253" t="s">
        <v>170</v>
      </c>
    </row>
    <row r="450" spans="1:5" ht="15">
      <c r="A450" s="254">
        <v>11692</v>
      </c>
      <c r="B450" s="254" t="s">
        <v>19353</v>
      </c>
      <c r="C450" s="254" t="s">
        <v>4523</v>
      </c>
      <c r="D450" s="255" t="s">
        <v>19354</v>
      </c>
      <c r="E450" s="253" t="s">
        <v>170</v>
      </c>
    </row>
    <row r="451" spans="1:5" ht="30">
      <c r="A451" s="254">
        <v>1746</v>
      </c>
      <c r="B451" s="254" t="s">
        <v>19355</v>
      </c>
      <c r="C451" s="254" t="s">
        <v>4521</v>
      </c>
      <c r="D451" s="255" t="s">
        <v>19356</v>
      </c>
      <c r="E451" s="253" t="s">
        <v>170</v>
      </c>
    </row>
    <row r="452" spans="1:5" ht="30">
      <c r="A452" s="254">
        <v>1748</v>
      </c>
      <c r="B452" s="254" t="s">
        <v>19357</v>
      </c>
      <c r="C452" s="254" t="s">
        <v>4521</v>
      </c>
      <c r="D452" s="255" t="s">
        <v>19358</v>
      </c>
      <c r="E452" s="253" t="s">
        <v>170</v>
      </c>
    </row>
    <row r="453" spans="1:5" ht="30">
      <c r="A453" s="254">
        <v>1749</v>
      </c>
      <c r="B453" s="254" t="s">
        <v>19359</v>
      </c>
      <c r="C453" s="254" t="s">
        <v>4521</v>
      </c>
      <c r="D453" s="255" t="s">
        <v>15528</v>
      </c>
      <c r="E453" s="253" t="s">
        <v>170</v>
      </c>
    </row>
    <row r="454" spans="1:5" ht="30">
      <c r="A454" s="254">
        <v>37412</v>
      </c>
      <c r="B454" s="254" t="s">
        <v>19360</v>
      </c>
      <c r="C454" s="254" t="s">
        <v>4521</v>
      </c>
      <c r="D454" s="255" t="s">
        <v>17860</v>
      </c>
      <c r="E454" s="253" t="s">
        <v>170</v>
      </c>
    </row>
    <row r="455" spans="1:5" ht="30">
      <c r="A455" s="254">
        <v>1745</v>
      </c>
      <c r="B455" s="254" t="s">
        <v>19361</v>
      </c>
      <c r="C455" s="254" t="s">
        <v>4521</v>
      </c>
      <c r="D455" s="255" t="s">
        <v>19362</v>
      </c>
      <c r="E455" s="253" t="s">
        <v>170</v>
      </c>
    </row>
    <row r="456" spans="1:5" ht="30">
      <c r="A456" s="254">
        <v>1750</v>
      </c>
      <c r="B456" s="254" t="s">
        <v>19363</v>
      </c>
      <c r="C456" s="254" t="s">
        <v>4521</v>
      </c>
      <c r="D456" s="255" t="s">
        <v>19364</v>
      </c>
      <c r="E456" s="253" t="s">
        <v>170</v>
      </c>
    </row>
    <row r="457" spans="1:5" ht="30">
      <c r="A457" s="254">
        <v>11687</v>
      </c>
      <c r="B457" s="254" t="s">
        <v>19365</v>
      </c>
      <c r="C457" s="254" t="s">
        <v>4524</v>
      </c>
      <c r="D457" s="255" t="s">
        <v>19366</v>
      </c>
      <c r="E457" s="253" t="s">
        <v>170</v>
      </c>
    </row>
    <row r="458" spans="1:5" ht="30">
      <c r="A458" s="254">
        <v>11689</v>
      </c>
      <c r="B458" s="254" t="s">
        <v>19367</v>
      </c>
      <c r="C458" s="254" t="s">
        <v>4524</v>
      </c>
      <c r="D458" s="255" t="s">
        <v>19368</v>
      </c>
      <c r="E458" s="253" t="s">
        <v>170</v>
      </c>
    </row>
    <row r="459" spans="1:5" ht="15">
      <c r="A459" s="254">
        <v>11693</v>
      </c>
      <c r="B459" s="254" t="s">
        <v>19369</v>
      </c>
      <c r="C459" s="254" t="s">
        <v>4523</v>
      </c>
      <c r="D459" s="255" t="s">
        <v>19370</v>
      </c>
      <c r="E459" s="253" t="s">
        <v>170</v>
      </c>
    </row>
    <row r="460" spans="1:5" ht="15">
      <c r="A460" s="254">
        <v>36215</v>
      </c>
      <c r="B460" s="254" t="s">
        <v>19371</v>
      </c>
      <c r="C460" s="254" t="s">
        <v>4521</v>
      </c>
      <c r="D460" s="255" t="s">
        <v>19372</v>
      </c>
      <c r="E460" s="253" t="s">
        <v>170</v>
      </c>
    </row>
    <row r="461" spans="1:5" ht="45">
      <c r="A461" s="254">
        <v>42439</v>
      </c>
      <c r="B461" s="254" t="s">
        <v>19373</v>
      </c>
      <c r="C461" s="254" t="s">
        <v>4521</v>
      </c>
      <c r="D461" s="255" t="s">
        <v>19374</v>
      </c>
      <c r="E461" s="253" t="s">
        <v>170</v>
      </c>
    </row>
    <row r="462" spans="1:5" ht="15">
      <c r="A462" s="254">
        <v>38381</v>
      </c>
      <c r="B462" s="254" t="s">
        <v>19375</v>
      </c>
      <c r="C462" s="254" t="s">
        <v>4521</v>
      </c>
      <c r="D462" s="255" t="s">
        <v>14410</v>
      </c>
      <c r="E462" s="253" t="s">
        <v>170</v>
      </c>
    </row>
    <row r="463" spans="1:5" ht="15">
      <c r="A463" s="254">
        <v>39621</v>
      </c>
      <c r="B463" s="254" t="s">
        <v>19376</v>
      </c>
      <c r="C463" s="254" t="s">
        <v>4529</v>
      </c>
      <c r="D463" s="255" t="s">
        <v>19377</v>
      </c>
      <c r="E463" s="253" t="s">
        <v>170</v>
      </c>
    </row>
    <row r="464" spans="1:5" ht="15">
      <c r="A464" s="254">
        <v>39624</v>
      </c>
      <c r="B464" s="254" t="s">
        <v>19378</v>
      </c>
      <c r="C464" s="254" t="s">
        <v>4529</v>
      </c>
      <c r="D464" s="255" t="s">
        <v>19379</v>
      </c>
      <c r="E464" s="253" t="s">
        <v>170</v>
      </c>
    </row>
    <row r="465" spans="1:5" ht="15">
      <c r="A465" s="254">
        <v>39615</v>
      </c>
      <c r="B465" s="254" t="s">
        <v>19380</v>
      </c>
      <c r="C465" s="254" t="s">
        <v>4521</v>
      </c>
      <c r="D465" s="255" t="s">
        <v>19381</v>
      </c>
      <c r="E465" s="253" t="s">
        <v>170</v>
      </c>
    </row>
    <row r="466" spans="1:5" ht="15">
      <c r="A466" s="254">
        <v>39620</v>
      </c>
      <c r="B466" s="254" t="s">
        <v>19382</v>
      </c>
      <c r="C466" s="254" t="s">
        <v>4521</v>
      </c>
      <c r="D466" s="255" t="s">
        <v>19383</v>
      </c>
      <c r="E466" s="253" t="s">
        <v>170</v>
      </c>
    </row>
    <row r="467" spans="1:5" ht="15">
      <c r="A467" s="254">
        <v>39623</v>
      </c>
      <c r="B467" s="254" t="s">
        <v>19384</v>
      </c>
      <c r="C467" s="254" t="s">
        <v>4521</v>
      </c>
      <c r="D467" s="255" t="s">
        <v>19385</v>
      </c>
      <c r="E467" s="253" t="s">
        <v>170</v>
      </c>
    </row>
    <row r="468" spans="1:5" ht="15">
      <c r="A468" s="254">
        <v>36207</v>
      </c>
      <c r="B468" s="254" t="s">
        <v>19386</v>
      </c>
      <c r="C468" s="254" t="s">
        <v>4521</v>
      </c>
      <c r="D468" s="255" t="s">
        <v>19387</v>
      </c>
      <c r="E468" s="253" t="s">
        <v>170</v>
      </c>
    </row>
    <row r="469" spans="1:5" ht="15">
      <c r="A469" s="254">
        <v>36209</v>
      </c>
      <c r="B469" s="254" t="s">
        <v>19388</v>
      </c>
      <c r="C469" s="254" t="s">
        <v>4521</v>
      </c>
      <c r="D469" s="255" t="s">
        <v>19389</v>
      </c>
      <c r="E469" s="253" t="s">
        <v>170</v>
      </c>
    </row>
    <row r="470" spans="1:5" ht="30">
      <c r="A470" s="254">
        <v>36210</v>
      </c>
      <c r="B470" s="254" t="s">
        <v>19390</v>
      </c>
      <c r="C470" s="254" t="s">
        <v>4521</v>
      </c>
      <c r="D470" s="255" t="s">
        <v>19391</v>
      </c>
      <c r="E470" s="253" t="s">
        <v>170</v>
      </c>
    </row>
    <row r="471" spans="1:5" ht="30">
      <c r="A471" s="254">
        <v>36204</v>
      </c>
      <c r="B471" s="254" t="s">
        <v>19392</v>
      </c>
      <c r="C471" s="254" t="s">
        <v>4521</v>
      </c>
      <c r="D471" s="255" t="s">
        <v>19393</v>
      </c>
      <c r="E471" s="253" t="s">
        <v>170</v>
      </c>
    </row>
    <row r="472" spans="1:5" ht="30">
      <c r="A472" s="254">
        <v>36205</v>
      </c>
      <c r="B472" s="254" t="s">
        <v>19394</v>
      </c>
      <c r="C472" s="254" t="s">
        <v>4521</v>
      </c>
      <c r="D472" s="255" t="s">
        <v>19395</v>
      </c>
      <c r="E472" s="253" t="s">
        <v>170</v>
      </c>
    </row>
    <row r="473" spans="1:5" ht="30">
      <c r="A473" s="254">
        <v>36081</v>
      </c>
      <c r="B473" s="254" t="s">
        <v>19396</v>
      </c>
      <c r="C473" s="254" t="s">
        <v>4521</v>
      </c>
      <c r="D473" s="255" t="s">
        <v>19397</v>
      </c>
      <c r="E473" s="253" t="s">
        <v>170</v>
      </c>
    </row>
    <row r="474" spans="1:5" ht="30">
      <c r="A474" s="254">
        <v>36206</v>
      </c>
      <c r="B474" s="254" t="s">
        <v>19398</v>
      </c>
      <c r="C474" s="254" t="s">
        <v>4521</v>
      </c>
      <c r="D474" s="255" t="s">
        <v>19399</v>
      </c>
      <c r="E474" s="253" t="s">
        <v>170</v>
      </c>
    </row>
    <row r="475" spans="1:5" ht="30">
      <c r="A475" s="254">
        <v>36218</v>
      </c>
      <c r="B475" s="254" t="s">
        <v>19400</v>
      </c>
      <c r="C475" s="254" t="s">
        <v>4521</v>
      </c>
      <c r="D475" s="255" t="s">
        <v>19401</v>
      </c>
      <c r="E475" s="253" t="s">
        <v>170</v>
      </c>
    </row>
    <row r="476" spans="1:5" ht="30">
      <c r="A476" s="254">
        <v>36220</v>
      </c>
      <c r="B476" s="254" t="s">
        <v>19402</v>
      </c>
      <c r="C476" s="254" t="s">
        <v>4521</v>
      </c>
      <c r="D476" s="255" t="s">
        <v>19403</v>
      </c>
      <c r="E476" s="253" t="s">
        <v>170</v>
      </c>
    </row>
    <row r="477" spans="1:5" ht="30">
      <c r="A477" s="254">
        <v>36080</v>
      </c>
      <c r="B477" s="254" t="s">
        <v>19404</v>
      </c>
      <c r="C477" s="254" t="s">
        <v>4521</v>
      </c>
      <c r="D477" s="255" t="s">
        <v>19405</v>
      </c>
      <c r="E477" s="253" t="s">
        <v>170</v>
      </c>
    </row>
    <row r="478" spans="1:5" ht="30">
      <c r="A478" s="254">
        <v>36223</v>
      </c>
      <c r="B478" s="254" t="s">
        <v>19406</v>
      </c>
      <c r="C478" s="254" t="s">
        <v>4521</v>
      </c>
      <c r="D478" s="255" t="s">
        <v>19407</v>
      </c>
      <c r="E478" s="253" t="s">
        <v>170</v>
      </c>
    </row>
    <row r="479" spans="1:5" ht="15">
      <c r="A479" s="254">
        <v>546</v>
      </c>
      <c r="B479" s="254" t="s">
        <v>19408</v>
      </c>
      <c r="C479" s="254" t="s">
        <v>4525</v>
      </c>
      <c r="D479" s="255" t="s">
        <v>17664</v>
      </c>
      <c r="E479" s="253" t="s">
        <v>170</v>
      </c>
    </row>
    <row r="480" spans="1:5" ht="15">
      <c r="A480" s="254">
        <v>557</v>
      </c>
      <c r="B480" s="254" t="s">
        <v>19409</v>
      </c>
      <c r="C480" s="254" t="s">
        <v>4524</v>
      </c>
      <c r="D480" s="255" t="s">
        <v>19410</v>
      </c>
      <c r="E480" s="253" t="s">
        <v>170</v>
      </c>
    </row>
    <row r="481" spans="1:5" ht="15">
      <c r="A481" s="254">
        <v>552</v>
      </c>
      <c r="B481" s="254" t="s">
        <v>19411</v>
      </c>
      <c r="C481" s="254" t="s">
        <v>4524</v>
      </c>
      <c r="D481" s="255" t="s">
        <v>19412</v>
      </c>
      <c r="E481" s="253" t="s">
        <v>170</v>
      </c>
    </row>
    <row r="482" spans="1:5" ht="15">
      <c r="A482" s="254">
        <v>555</v>
      </c>
      <c r="B482" s="254" t="s">
        <v>19413</v>
      </c>
      <c r="C482" s="254" t="s">
        <v>4524</v>
      </c>
      <c r="D482" s="255" t="s">
        <v>16459</v>
      </c>
      <c r="E482" s="253" t="s">
        <v>170</v>
      </c>
    </row>
    <row r="483" spans="1:5" ht="15">
      <c r="A483" s="254">
        <v>565</v>
      </c>
      <c r="B483" s="254" t="s">
        <v>19414</v>
      </c>
      <c r="C483" s="254" t="s">
        <v>4524</v>
      </c>
      <c r="D483" s="255" t="s">
        <v>19415</v>
      </c>
      <c r="E483" s="253" t="s">
        <v>170</v>
      </c>
    </row>
    <row r="484" spans="1:5" ht="15">
      <c r="A484" s="254">
        <v>549</v>
      </c>
      <c r="B484" s="254" t="s">
        <v>19416</v>
      </c>
      <c r="C484" s="254" t="s">
        <v>4524</v>
      </c>
      <c r="D484" s="255" t="s">
        <v>18168</v>
      </c>
      <c r="E484" s="253" t="s">
        <v>170</v>
      </c>
    </row>
    <row r="485" spans="1:5" ht="15">
      <c r="A485" s="254">
        <v>559</v>
      </c>
      <c r="B485" s="254" t="s">
        <v>19417</v>
      </c>
      <c r="C485" s="254" t="s">
        <v>4524</v>
      </c>
      <c r="D485" s="255" t="s">
        <v>19418</v>
      </c>
      <c r="E485" s="253" t="s">
        <v>170</v>
      </c>
    </row>
    <row r="486" spans="1:5" ht="15">
      <c r="A486" s="254">
        <v>551</v>
      </c>
      <c r="B486" s="254" t="s">
        <v>19419</v>
      </c>
      <c r="C486" s="254" t="s">
        <v>4524</v>
      </c>
      <c r="D486" s="255" t="s">
        <v>19420</v>
      </c>
      <c r="E486" s="253" t="s">
        <v>170</v>
      </c>
    </row>
    <row r="487" spans="1:5" ht="15">
      <c r="A487" s="254">
        <v>547</v>
      </c>
      <c r="B487" s="254" t="s">
        <v>19421</v>
      </c>
      <c r="C487" s="254" t="s">
        <v>4524</v>
      </c>
      <c r="D487" s="255" t="s">
        <v>19422</v>
      </c>
      <c r="E487" s="253" t="s">
        <v>170</v>
      </c>
    </row>
    <row r="488" spans="1:5" ht="15">
      <c r="A488" s="254">
        <v>560</v>
      </c>
      <c r="B488" s="254" t="s">
        <v>19423</v>
      </c>
      <c r="C488" s="254" t="s">
        <v>4524</v>
      </c>
      <c r="D488" s="255" t="s">
        <v>19424</v>
      </c>
      <c r="E488" s="253" t="s">
        <v>170</v>
      </c>
    </row>
    <row r="489" spans="1:5" ht="15">
      <c r="A489" s="254">
        <v>566</v>
      </c>
      <c r="B489" s="254" t="s">
        <v>19425</v>
      </c>
      <c r="C489" s="254" t="s">
        <v>4524</v>
      </c>
      <c r="D489" s="255" t="s">
        <v>13977</v>
      </c>
      <c r="E489" s="253" t="s">
        <v>170</v>
      </c>
    </row>
    <row r="490" spans="1:5" ht="15">
      <c r="A490" s="254">
        <v>563</v>
      </c>
      <c r="B490" s="254" t="s">
        <v>19426</v>
      </c>
      <c r="C490" s="254" t="s">
        <v>4524</v>
      </c>
      <c r="D490" s="255" t="s">
        <v>13852</v>
      </c>
      <c r="E490" s="253" t="s">
        <v>170</v>
      </c>
    </row>
    <row r="491" spans="1:5" ht="15">
      <c r="A491" s="254">
        <v>38127</v>
      </c>
      <c r="B491" s="254" t="s">
        <v>19427</v>
      </c>
      <c r="C491" s="254" t="s">
        <v>4521</v>
      </c>
      <c r="D491" s="255" t="s">
        <v>19428</v>
      </c>
      <c r="E491" s="253" t="s">
        <v>170</v>
      </c>
    </row>
    <row r="492" spans="1:5" ht="15">
      <c r="A492" s="254">
        <v>38060</v>
      </c>
      <c r="B492" s="254" t="s">
        <v>19429</v>
      </c>
      <c r="C492" s="254" t="s">
        <v>4521</v>
      </c>
      <c r="D492" s="255" t="s">
        <v>19430</v>
      </c>
      <c r="E492" s="253" t="s">
        <v>170</v>
      </c>
    </row>
    <row r="493" spans="1:5" ht="15">
      <c r="A493" s="254">
        <v>10956</v>
      </c>
      <c r="B493" s="254" t="s">
        <v>19431</v>
      </c>
      <c r="C493" s="254" t="s">
        <v>4521</v>
      </c>
      <c r="D493" s="255" t="s">
        <v>19432</v>
      </c>
      <c r="E493" s="253" t="s">
        <v>170</v>
      </c>
    </row>
    <row r="494" spans="1:5" ht="15">
      <c r="A494" s="254">
        <v>39380</v>
      </c>
      <c r="B494" s="254" t="s">
        <v>19433</v>
      </c>
      <c r="C494" s="254" t="s">
        <v>4521</v>
      </c>
      <c r="D494" s="255" t="s">
        <v>17045</v>
      </c>
      <c r="E494" s="253" t="s">
        <v>170</v>
      </c>
    </row>
    <row r="495" spans="1:5" ht="15">
      <c r="A495" s="254">
        <v>13374</v>
      </c>
      <c r="B495" s="254" t="s">
        <v>19434</v>
      </c>
      <c r="C495" s="254" t="s">
        <v>4521</v>
      </c>
      <c r="D495" s="255" t="s">
        <v>19435</v>
      </c>
      <c r="E495" s="253" t="s">
        <v>170</v>
      </c>
    </row>
    <row r="496" spans="1:5" ht="30">
      <c r="A496" s="254">
        <v>37597</v>
      </c>
      <c r="B496" s="254" t="s">
        <v>19436</v>
      </c>
      <c r="C496" s="254" t="s">
        <v>4521</v>
      </c>
      <c r="D496" s="255" t="s">
        <v>19437</v>
      </c>
      <c r="E496" s="253" t="s">
        <v>170</v>
      </c>
    </row>
    <row r="497" spans="1:5" ht="45">
      <c r="A497" s="254">
        <v>183</v>
      </c>
      <c r="B497" s="254" t="s">
        <v>19438</v>
      </c>
      <c r="C497" s="254" t="s">
        <v>4531</v>
      </c>
      <c r="D497" s="255" t="s">
        <v>19439</v>
      </c>
      <c r="E497" s="253" t="s">
        <v>170</v>
      </c>
    </row>
    <row r="498" spans="1:5" ht="45">
      <c r="A498" s="254">
        <v>184</v>
      </c>
      <c r="B498" s="254" t="s">
        <v>19440</v>
      </c>
      <c r="C498" s="254" t="s">
        <v>4531</v>
      </c>
      <c r="D498" s="255" t="s">
        <v>19441</v>
      </c>
      <c r="E498" s="253" t="s">
        <v>170</v>
      </c>
    </row>
    <row r="499" spans="1:5" ht="45">
      <c r="A499" s="254">
        <v>195</v>
      </c>
      <c r="B499" s="254" t="s">
        <v>19442</v>
      </c>
      <c r="C499" s="254" t="s">
        <v>4531</v>
      </c>
      <c r="D499" s="255" t="s">
        <v>19443</v>
      </c>
      <c r="E499" s="253" t="s">
        <v>170</v>
      </c>
    </row>
    <row r="500" spans="1:5" ht="45">
      <c r="A500" s="254">
        <v>194</v>
      </c>
      <c r="B500" s="254" t="s">
        <v>19444</v>
      </c>
      <c r="C500" s="254" t="s">
        <v>4531</v>
      </c>
      <c r="D500" s="255" t="s">
        <v>19445</v>
      </c>
      <c r="E500" s="253" t="s">
        <v>170</v>
      </c>
    </row>
    <row r="501" spans="1:5" ht="30">
      <c r="A501" s="254">
        <v>20001</v>
      </c>
      <c r="B501" s="254" t="s">
        <v>19446</v>
      </c>
      <c r="C501" s="254" t="s">
        <v>4531</v>
      </c>
      <c r="D501" s="255" t="s">
        <v>19447</v>
      </c>
      <c r="E501" s="253" t="s">
        <v>170</v>
      </c>
    </row>
    <row r="502" spans="1:5" ht="45">
      <c r="A502" s="254">
        <v>181</v>
      </c>
      <c r="B502" s="254" t="s">
        <v>19448</v>
      </c>
      <c r="C502" s="254" t="s">
        <v>4531</v>
      </c>
      <c r="D502" s="255" t="s">
        <v>19449</v>
      </c>
      <c r="E502" s="253" t="s">
        <v>170</v>
      </c>
    </row>
    <row r="503" spans="1:5" ht="45">
      <c r="A503" s="254">
        <v>39837</v>
      </c>
      <c r="B503" s="254" t="s">
        <v>19450</v>
      </c>
      <c r="C503" s="254" t="s">
        <v>4531</v>
      </c>
      <c r="D503" s="255" t="s">
        <v>19451</v>
      </c>
      <c r="E503" s="253" t="s">
        <v>170</v>
      </c>
    </row>
    <row r="504" spans="1:5" ht="30">
      <c r="A504" s="254">
        <v>10535</v>
      </c>
      <c r="B504" s="254" t="s">
        <v>19452</v>
      </c>
      <c r="C504" s="254" t="s">
        <v>4521</v>
      </c>
      <c r="D504" s="255" t="s">
        <v>19453</v>
      </c>
      <c r="E504" s="253" t="s">
        <v>170</v>
      </c>
    </row>
    <row r="505" spans="1:5" ht="30">
      <c r="A505" s="254">
        <v>10537</v>
      </c>
      <c r="B505" s="254" t="s">
        <v>19454</v>
      </c>
      <c r="C505" s="254" t="s">
        <v>4521</v>
      </c>
      <c r="D505" s="255" t="s">
        <v>19455</v>
      </c>
      <c r="E505" s="253" t="s">
        <v>170</v>
      </c>
    </row>
    <row r="506" spans="1:5" ht="30">
      <c r="A506" s="254">
        <v>13891</v>
      </c>
      <c r="B506" s="254" t="s">
        <v>19456</v>
      </c>
      <c r="C506" s="254" t="s">
        <v>4521</v>
      </c>
      <c r="D506" s="255" t="s">
        <v>19457</v>
      </c>
      <c r="E506" s="253" t="s">
        <v>170</v>
      </c>
    </row>
    <row r="507" spans="1:5" ht="30">
      <c r="A507" s="254">
        <v>25975</v>
      </c>
      <c r="B507" s="254" t="s">
        <v>19458</v>
      </c>
      <c r="C507" s="254" t="s">
        <v>4521</v>
      </c>
      <c r="D507" s="255" t="s">
        <v>19459</v>
      </c>
      <c r="E507" s="253" t="s">
        <v>170</v>
      </c>
    </row>
    <row r="508" spans="1:5" ht="30">
      <c r="A508" s="254">
        <v>36396</v>
      </c>
      <c r="B508" s="254" t="s">
        <v>19460</v>
      </c>
      <c r="C508" s="254" t="s">
        <v>4521</v>
      </c>
      <c r="D508" s="255" t="s">
        <v>19461</v>
      </c>
      <c r="E508" s="253" t="s">
        <v>170</v>
      </c>
    </row>
    <row r="509" spans="1:5" ht="30">
      <c r="A509" s="254">
        <v>36397</v>
      </c>
      <c r="B509" s="254" t="s">
        <v>19462</v>
      </c>
      <c r="C509" s="254" t="s">
        <v>4521</v>
      </c>
      <c r="D509" s="255" t="s">
        <v>19463</v>
      </c>
      <c r="E509" s="253" t="s">
        <v>170</v>
      </c>
    </row>
    <row r="510" spans="1:5" ht="30">
      <c r="A510" s="254">
        <v>36398</v>
      </c>
      <c r="B510" s="254" t="s">
        <v>19464</v>
      </c>
      <c r="C510" s="254" t="s">
        <v>4521</v>
      </c>
      <c r="D510" s="255" t="s">
        <v>19465</v>
      </c>
      <c r="E510" s="253" t="s">
        <v>170</v>
      </c>
    </row>
    <row r="511" spans="1:5" ht="15">
      <c r="A511" s="254">
        <v>647</v>
      </c>
      <c r="B511" s="254" t="s">
        <v>19466</v>
      </c>
      <c r="C511" s="254" t="s">
        <v>4520</v>
      </c>
      <c r="D511" s="255" t="s">
        <v>16942</v>
      </c>
      <c r="E511" s="253" t="s">
        <v>8722</v>
      </c>
    </row>
    <row r="512" spans="1:5" ht="15">
      <c r="A512" s="254">
        <v>40920</v>
      </c>
      <c r="B512" s="254" t="s">
        <v>19467</v>
      </c>
      <c r="C512" s="254" t="s">
        <v>4528</v>
      </c>
      <c r="D512" s="255" t="s">
        <v>19468</v>
      </c>
      <c r="E512" s="253" t="s">
        <v>8722</v>
      </c>
    </row>
    <row r="513" spans="1:5" ht="15">
      <c r="A513" s="254">
        <v>7266</v>
      </c>
      <c r="B513" s="254" t="s">
        <v>19469</v>
      </c>
      <c r="C513" s="254" t="s">
        <v>4532</v>
      </c>
      <c r="D513" s="255" t="s">
        <v>19470</v>
      </c>
      <c r="E513" s="253" t="s">
        <v>170</v>
      </c>
    </row>
    <row r="514" spans="1:5" ht="15">
      <c r="A514" s="254">
        <v>7270</v>
      </c>
      <c r="B514" s="254" t="s">
        <v>19471</v>
      </c>
      <c r="C514" s="254" t="s">
        <v>4521</v>
      </c>
      <c r="D514" s="255" t="s">
        <v>14426</v>
      </c>
      <c r="E514" s="253" t="s">
        <v>170</v>
      </c>
    </row>
    <row r="515" spans="1:5" ht="15">
      <c r="A515" s="254">
        <v>7269</v>
      </c>
      <c r="B515" s="254" t="s">
        <v>19472</v>
      </c>
      <c r="C515" s="254" t="s">
        <v>4521</v>
      </c>
      <c r="D515" s="255" t="s">
        <v>14180</v>
      </c>
      <c r="E515" s="253" t="s">
        <v>170</v>
      </c>
    </row>
    <row r="516" spans="1:5" ht="15">
      <c r="A516" s="254">
        <v>7271</v>
      </c>
      <c r="B516" s="254" t="s">
        <v>19473</v>
      </c>
      <c r="C516" s="254" t="s">
        <v>4521</v>
      </c>
      <c r="D516" s="255" t="s">
        <v>14348</v>
      </c>
      <c r="E516" s="253" t="s">
        <v>170</v>
      </c>
    </row>
    <row r="517" spans="1:5" ht="15">
      <c r="A517" s="254">
        <v>7268</v>
      </c>
      <c r="B517" s="254" t="s">
        <v>19474</v>
      </c>
      <c r="C517" s="254" t="s">
        <v>4521</v>
      </c>
      <c r="D517" s="255" t="s">
        <v>14355</v>
      </c>
      <c r="E517" s="253" t="s">
        <v>170</v>
      </c>
    </row>
    <row r="518" spans="1:5" ht="15">
      <c r="A518" s="254">
        <v>7267</v>
      </c>
      <c r="B518" s="254" t="s">
        <v>19475</v>
      </c>
      <c r="C518" s="254" t="s">
        <v>4521</v>
      </c>
      <c r="D518" s="255" t="s">
        <v>14045</v>
      </c>
      <c r="E518" s="253" t="s">
        <v>170</v>
      </c>
    </row>
    <row r="519" spans="1:5" ht="30">
      <c r="A519" s="254">
        <v>38783</v>
      </c>
      <c r="B519" s="254" t="s">
        <v>19476</v>
      </c>
      <c r="C519" s="254" t="s">
        <v>4521</v>
      </c>
      <c r="D519" s="255" t="s">
        <v>14349</v>
      </c>
      <c r="E519" s="253" t="s">
        <v>170</v>
      </c>
    </row>
    <row r="520" spans="1:5" ht="30">
      <c r="A520" s="254">
        <v>37593</v>
      </c>
      <c r="B520" s="254" t="s">
        <v>19477</v>
      </c>
      <c r="C520" s="254" t="s">
        <v>4521</v>
      </c>
      <c r="D520" s="255" t="s">
        <v>14472</v>
      </c>
      <c r="E520" s="253" t="s">
        <v>170</v>
      </c>
    </row>
    <row r="521" spans="1:5" ht="30">
      <c r="A521" s="254">
        <v>37594</v>
      </c>
      <c r="B521" s="254" t="s">
        <v>19478</v>
      </c>
      <c r="C521" s="254" t="s">
        <v>4521</v>
      </c>
      <c r="D521" s="255" t="s">
        <v>14185</v>
      </c>
      <c r="E521" s="253" t="s">
        <v>170</v>
      </c>
    </row>
    <row r="522" spans="1:5" ht="30">
      <c r="A522" s="254">
        <v>37592</v>
      </c>
      <c r="B522" s="254" t="s">
        <v>19479</v>
      </c>
      <c r="C522" s="254" t="s">
        <v>4521</v>
      </c>
      <c r="D522" s="255" t="s">
        <v>17533</v>
      </c>
      <c r="E522" s="253" t="s">
        <v>170</v>
      </c>
    </row>
    <row r="523" spans="1:5" ht="15">
      <c r="A523" s="254">
        <v>34556</v>
      </c>
      <c r="B523" s="254" t="s">
        <v>19480</v>
      </c>
      <c r="C523" s="254" t="s">
        <v>4521</v>
      </c>
      <c r="D523" s="255" t="s">
        <v>17525</v>
      </c>
      <c r="E523" s="253" t="s">
        <v>170</v>
      </c>
    </row>
    <row r="524" spans="1:5" ht="15">
      <c r="A524" s="254">
        <v>37873</v>
      </c>
      <c r="B524" s="254" t="s">
        <v>19481</v>
      </c>
      <c r="C524" s="254" t="s">
        <v>4521</v>
      </c>
      <c r="D524" s="255" t="s">
        <v>14240</v>
      </c>
      <c r="E524" s="253" t="s">
        <v>170</v>
      </c>
    </row>
    <row r="525" spans="1:5" ht="15">
      <c r="A525" s="254">
        <v>34564</v>
      </c>
      <c r="B525" s="254" t="s">
        <v>19482</v>
      </c>
      <c r="C525" s="254" t="s">
        <v>4521</v>
      </c>
      <c r="D525" s="255" t="s">
        <v>14125</v>
      </c>
      <c r="E525" s="253" t="s">
        <v>170</v>
      </c>
    </row>
    <row r="526" spans="1:5" ht="15">
      <c r="A526" s="254">
        <v>34565</v>
      </c>
      <c r="B526" s="254" t="s">
        <v>19483</v>
      </c>
      <c r="C526" s="254" t="s">
        <v>4521</v>
      </c>
      <c r="D526" s="255" t="s">
        <v>13760</v>
      </c>
      <c r="E526" s="253" t="s">
        <v>170</v>
      </c>
    </row>
    <row r="527" spans="1:5" ht="15">
      <c r="A527" s="254">
        <v>38590</v>
      </c>
      <c r="B527" s="254" t="s">
        <v>19484</v>
      </c>
      <c r="C527" s="254" t="s">
        <v>4521</v>
      </c>
      <c r="D527" s="256" t="s">
        <v>13897</v>
      </c>
      <c r="E527" s="253" t="s">
        <v>170</v>
      </c>
    </row>
    <row r="528" spans="1:5" ht="15">
      <c r="A528" s="254">
        <v>34566</v>
      </c>
      <c r="B528" s="254" t="s">
        <v>19485</v>
      </c>
      <c r="C528" s="254" t="s">
        <v>4521</v>
      </c>
      <c r="D528" s="256" t="s">
        <v>18439</v>
      </c>
      <c r="E528" s="253" t="s">
        <v>170</v>
      </c>
    </row>
    <row r="529" spans="1:5" ht="15">
      <c r="A529" s="254">
        <v>34567</v>
      </c>
      <c r="B529" s="254" t="s">
        <v>19486</v>
      </c>
      <c r="C529" s="254" t="s">
        <v>4521</v>
      </c>
      <c r="D529" s="255" t="s">
        <v>13958</v>
      </c>
      <c r="E529" s="253" t="s">
        <v>170</v>
      </c>
    </row>
    <row r="530" spans="1:5" ht="15">
      <c r="A530" s="254">
        <v>38591</v>
      </c>
      <c r="B530" s="254" t="s">
        <v>19487</v>
      </c>
      <c r="C530" s="254" t="s">
        <v>4521</v>
      </c>
      <c r="D530" s="256" t="s">
        <v>19488</v>
      </c>
      <c r="E530" s="253" t="s">
        <v>170</v>
      </c>
    </row>
    <row r="531" spans="1:5" ht="15">
      <c r="A531" s="254">
        <v>34568</v>
      </c>
      <c r="B531" s="254" t="s">
        <v>19489</v>
      </c>
      <c r="C531" s="254" t="s">
        <v>4521</v>
      </c>
      <c r="D531" s="255" t="s">
        <v>14128</v>
      </c>
      <c r="E531" s="253" t="s">
        <v>170</v>
      </c>
    </row>
    <row r="532" spans="1:5" ht="15">
      <c r="A532" s="254">
        <v>34569</v>
      </c>
      <c r="B532" s="254" t="s">
        <v>19490</v>
      </c>
      <c r="C532" s="254" t="s">
        <v>4521</v>
      </c>
      <c r="D532" s="255" t="s">
        <v>14194</v>
      </c>
      <c r="E532" s="253" t="s">
        <v>170</v>
      </c>
    </row>
    <row r="533" spans="1:5" ht="15">
      <c r="A533" s="254">
        <v>34570</v>
      </c>
      <c r="B533" s="254" t="s">
        <v>19491</v>
      </c>
      <c r="C533" s="254" t="s">
        <v>4521</v>
      </c>
      <c r="D533" s="255" t="s">
        <v>17524</v>
      </c>
      <c r="E533" s="253" t="s">
        <v>170</v>
      </c>
    </row>
    <row r="534" spans="1:5" ht="15">
      <c r="A534" s="254">
        <v>25070</v>
      </c>
      <c r="B534" s="254" t="s">
        <v>19492</v>
      </c>
      <c r="C534" s="254" t="s">
        <v>4521</v>
      </c>
      <c r="D534" s="255" t="s">
        <v>13829</v>
      </c>
      <c r="E534" s="253" t="s">
        <v>170</v>
      </c>
    </row>
    <row r="535" spans="1:5" ht="15">
      <c r="A535" s="254">
        <v>34571</v>
      </c>
      <c r="B535" s="254" t="s">
        <v>19493</v>
      </c>
      <c r="C535" s="254" t="s">
        <v>4521</v>
      </c>
      <c r="D535" s="256" t="s">
        <v>13612</v>
      </c>
      <c r="E535" s="253" t="s">
        <v>170</v>
      </c>
    </row>
    <row r="536" spans="1:5" ht="15">
      <c r="A536" s="254">
        <v>34573</v>
      </c>
      <c r="B536" s="254" t="s">
        <v>19494</v>
      </c>
      <c r="C536" s="254" t="s">
        <v>4521</v>
      </c>
      <c r="D536" s="256" t="s">
        <v>16225</v>
      </c>
      <c r="E536" s="253" t="s">
        <v>170</v>
      </c>
    </row>
    <row r="537" spans="1:5" ht="15">
      <c r="A537" s="254">
        <v>37107</v>
      </c>
      <c r="B537" s="254" t="s">
        <v>19495</v>
      </c>
      <c r="C537" s="254" t="s">
        <v>4521</v>
      </c>
      <c r="D537" s="256" t="s">
        <v>13752</v>
      </c>
      <c r="E537" s="253" t="s">
        <v>170</v>
      </c>
    </row>
    <row r="538" spans="1:5" ht="15">
      <c r="A538" s="254">
        <v>34576</v>
      </c>
      <c r="B538" s="254" t="s">
        <v>19496</v>
      </c>
      <c r="C538" s="254" t="s">
        <v>4521</v>
      </c>
      <c r="D538" s="255" t="s">
        <v>14447</v>
      </c>
      <c r="E538" s="253" t="s">
        <v>170</v>
      </c>
    </row>
    <row r="539" spans="1:5" ht="15">
      <c r="A539" s="254">
        <v>34577</v>
      </c>
      <c r="B539" s="254" t="s">
        <v>19497</v>
      </c>
      <c r="C539" s="254" t="s">
        <v>4521</v>
      </c>
      <c r="D539" s="256" t="s">
        <v>13752</v>
      </c>
      <c r="E539" s="253" t="s">
        <v>170</v>
      </c>
    </row>
    <row r="540" spans="1:5" ht="15">
      <c r="A540" s="254">
        <v>34578</v>
      </c>
      <c r="B540" s="254" t="s">
        <v>19498</v>
      </c>
      <c r="C540" s="254" t="s">
        <v>4521</v>
      </c>
      <c r="D540" s="256" t="s">
        <v>16201</v>
      </c>
      <c r="E540" s="253" t="s">
        <v>170</v>
      </c>
    </row>
    <row r="541" spans="1:5" ht="15">
      <c r="A541" s="254">
        <v>34579</v>
      </c>
      <c r="B541" s="254" t="s">
        <v>19499</v>
      </c>
      <c r="C541" s="254" t="s">
        <v>4521</v>
      </c>
      <c r="D541" s="256" t="s">
        <v>17876</v>
      </c>
      <c r="E541" s="253" t="s">
        <v>170</v>
      </c>
    </row>
    <row r="542" spans="1:5" ht="15">
      <c r="A542" s="254">
        <v>25067</v>
      </c>
      <c r="B542" s="254" t="s">
        <v>19500</v>
      </c>
      <c r="C542" s="254" t="s">
        <v>4521</v>
      </c>
      <c r="D542" s="256" t="s">
        <v>14125</v>
      </c>
      <c r="E542" s="253" t="s">
        <v>170</v>
      </c>
    </row>
    <row r="543" spans="1:5" ht="15">
      <c r="A543" s="254">
        <v>34580</v>
      </c>
      <c r="B543" s="254" t="s">
        <v>19501</v>
      </c>
      <c r="C543" s="254" t="s">
        <v>4521</v>
      </c>
      <c r="D543" s="256" t="s">
        <v>14011</v>
      </c>
      <c r="E543" s="253" t="s">
        <v>170</v>
      </c>
    </row>
    <row r="544" spans="1:5" ht="15">
      <c r="A544" s="254">
        <v>25071</v>
      </c>
      <c r="B544" s="254" t="s">
        <v>19502</v>
      </c>
      <c r="C544" s="254" t="s">
        <v>4521</v>
      </c>
      <c r="D544" s="256" t="s">
        <v>14380</v>
      </c>
      <c r="E544" s="253" t="s">
        <v>170</v>
      </c>
    </row>
    <row r="545" spans="1:5" ht="15">
      <c r="A545" s="254">
        <v>38395</v>
      </c>
      <c r="B545" s="254" t="s">
        <v>19503</v>
      </c>
      <c r="C545" s="254" t="s">
        <v>4521</v>
      </c>
      <c r="D545" s="256" t="s">
        <v>19504</v>
      </c>
      <c r="E545" s="253" t="s">
        <v>170</v>
      </c>
    </row>
    <row r="546" spans="1:5" ht="15">
      <c r="A546" s="254">
        <v>34583</v>
      </c>
      <c r="B546" s="254" t="s">
        <v>19505</v>
      </c>
      <c r="C546" s="254" t="s">
        <v>4523</v>
      </c>
      <c r="D546" s="256" t="s">
        <v>19506</v>
      </c>
      <c r="E546" s="253" t="s">
        <v>170</v>
      </c>
    </row>
    <row r="547" spans="1:5" ht="15">
      <c r="A547" s="254">
        <v>34584</v>
      </c>
      <c r="B547" s="254" t="s">
        <v>19507</v>
      </c>
      <c r="C547" s="254" t="s">
        <v>4523</v>
      </c>
      <c r="D547" s="256" t="s">
        <v>19508</v>
      </c>
      <c r="E547" s="253" t="s">
        <v>170</v>
      </c>
    </row>
    <row r="548" spans="1:5" ht="30">
      <c r="A548" s="254">
        <v>709</v>
      </c>
      <c r="B548" s="254" t="s">
        <v>19509</v>
      </c>
      <c r="C548" s="254" t="s">
        <v>4523</v>
      </c>
      <c r="D548" s="256" t="s">
        <v>19510</v>
      </c>
      <c r="E548" s="253" t="s">
        <v>170</v>
      </c>
    </row>
    <row r="549" spans="1:5" ht="15">
      <c r="A549" s="254">
        <v>716</v>
      </c>
      <c r="B549" s="254" t="s">
        <v>19511</v>
      </c>
      <c r="C549" s="254" t="s">
        <v>4521</v>
      </c>
      <c r="D549" s="256" t="s">
        <v>19512</v>
      </c>
      <c r="E549" s="253" t="s">
        <v>170</v>
      </c>
    </row>
    <row r="550" spans="1:5" ht="15">
      <c r="A550" s="254">
        <v>715</v>
      </c>
      <c r="B550" s="254" t="s">
        <v>19513</v>
      </c>
      <c r="C550" s="254" t="s">
        <v>4521</v>
      </c>
      <c r="D550" s="256" t="s">
        <v>15847</v>
      </c>
      <c r="E550" s="253" t="s">
        <v>170</v>
      </c>
    </row>
    <row r="551" spans="1:5" ht="15">
      <c r="A551" s="254">
        <v>718</v>
      </c>
      <c r="B551" s="254" t="s">
        <v>19514</v>
      </c>
      <c r="C551" s="254" t="s">
        <v>4521</v>
      </c>
      <c r="D551" s="256" t="s">
        <v>16529</v>
      </c>
      <c r="E551" s="253" t="s">
        <v>170</v>
      </c>
    </row>
    <row r="552" spans="1:5" ht="15">
      <c r="A552" s="254">
        <v>11981</v>
      </c>
      <c r="B552" s="254" t="s">
        <v>19515</v>
      </c>
      <c r="C552" s="254" t="s">
        <v>4521</v>
      </c>
      <c r="D552" s="256" t="s">
        <v>16711</v>
      </c>
      <c r="E552" s="253" t="s">
        <v>170</v>
      </c>
    </row>
    <row r="553" spans="1:5" ht="15">
      <c r="A553" s="254">
        <v>10610</v>
      </c>
      <c r="B553" s="254" t="s">
        <v>19516</v>
      </c>
      <c r="C553" s="254" t="s">
        <v>4521</v>
      </c>
      <c r="D553" s="256" t="s">
        <v>17690</v>
      </c>
      <c r="E553" s="253" t="s">
        <v>170</v>
      </c>
    </row>
    <row r="554" spans="1:5" ht="15">
      <c r="A554" s="254">
        <v>34585</v>
      </c>
      <c r="B554" s="254" t="s">
        <v>19517</v>
      </c>
      <c r="C554" s="254" t="s">
        <v>4521</v>
      </c>
      <c r="D554" s="256" t="s">
        <v>18619</v>
      </c>
      <c r="E554" s="253" t="s">
        <v>170</v>
      </c>
    </row>
    <row r="555" spans="1:5" ht="15">
      <c r="A555" s="254">
        <v>34586</v>
      </c>
      <c r="B555" s="254" t="s">
        <v>19518</v>
      </c>
      <c r="C555" s="254" t="s">
        <v>4521</v>
      </c>
      <c r="D555" s="256" t="s">
        <v>14148</v>
      </c>
      <c r="E555" s="253" t="s">
        <v>170</v>
      </c>
    </row>
    <row r="556" spans="1:5" ht="15">
      <c r="A556" s="254">
        <v>38603</v>
      </c>
      <c r="B556" s="254" t="s">
        <v>19519</v>
      </c>
      <c r="C556" s="254" t="s">
        <v>4521</v>
      </c>
      <c r="D556" s="256" t="s">
        <v>18507</v>
      </c>
      <c r="E556" s="253" t="s">
        <v>170</v>
      </c>
    </row>
    <row r="557" spans="1:5" ht="15">
      <c r="A557" s="254">
        <v>34588</v>
      </c>
      <c r="B557" s="254" t="s">
        <v>19520</v>
      </c>
      <c r="C557" s="254" t="s">
        <v>4521</v>
      </c>
      <c r="D557" s="255" t="s">
        <v>19217</v>
      </c>
      <c r="E557" s="253" t="s">
        <v>170</v>
      </c>
    </row>
    <row r="558" spans="1:5" ht="15">
      <c r="A558" s="254">
        <v>34590</v>
      </c>
      <c r="B558" s="254" t="s">
        <v>19521</v>
      </c>
      <c r="C558" s="254" t="s">
        <v>4521</v>
      </c>
      <c r="D558" s="255" t="s">
        <v>17924</v>
      </c>
      <c r="E558" s="253" t="s">
        <v>170</v>
      </c>
    </row>
    <row r="559" spans="1:5" ht="15">
      <c r="A559" s="254">
        <v>34591</v>
      </c>
      <c r="B559" s="254" t="s">
        <v>19522</v>
      </c>
      <c r="C559" s="254" t="s">
        <v>4521</v>
      </c>
      <c r="D559" s="255" t="s">
        <v>17932</v>
      </c>
      <c r="E559" s="253" t="s">
        <v>170</v>
      </c>
    </row>
    <row r="560" spans="1:5" ht="15">
      <c r="A560" s="254">
        <v>37103</v>
      </c>
      <c r="B560" s="254" t="s">
        <v>19523</v>
      </c>
      <c r="C560" s="254" t="s">
        <v>4521</v>
      </c>
      <c r="D560" s="255" t="s">
        <v>19524</v>
      </c>
      <c r="E560" s="253" t="s">
        <v>170</v>
      </c>
    </row>
    <row r="561" spans="1:5" ht="15">
      <c r="A561" s="254">
        <v>34555</v>
      </c>
      <c r="B561" s="254" t="s">
        <v>19525</v>
      </c>
      <c r="C561" s="254" t="s">
        <v>4521</v>
      </c>
      <c r="D561" s="255" t="s">
        <v>14361</v>
      </c>
      <c r="E561" s="253" t="s">
        <v>170</v>
      </c>
    </row>
    <row r="562" spans="1:5" ht="15">
      <c r="A562" s="254">
        <v>34599</v>
      </c>
      <c r="B562" s="254" t="s">
        <v>19526</v>
      </c>
      <c r="C562" s="254" t="s">
        <v>4521</v>
      </c>
      <c r="D562" s="255" t="s">
        <v>14214</v>
      </c>
      <c r="E562" s="253" t="s">
        <v>170</v>
      </c>
    </row>
    <row r="563" spans="1:5" ht="15">
      <c r="A563" s="254">
        <v>674</v>
      </c>
      <c r="B563" s="254" t="s">
        <v>19527</v>
      </c>
      <c r="C563" s="254" t="s">
        <v>4523</v>
      </c>
      <c r="D563" s="255" t="s">
        <v>17206</v>
      </c>
      <c r="E563" s="253" t="s">
        <v>170</v>
      </c>
    </row>
    <row r="564" spans="1:5" ht="15">
      <c r="A564" s="254">
        <v>34600</v>
      </c>
      <c r="B564" s="254" t="s">
        <v>19528</v>
      </c>
      <c r="C564" s="254" t="s">
        <v>4523</v>
      </c>
      <c r="D564" s="255" t="s">
        <v>19529</v>
      </c>
      <c r="E564" s="253" t="s">
        <v>170</v>
      </c>
    </row>
    <row r="565" spans="1:5" ht="15">
      <c r="A565" s="254">
        <v>652</v>
      </c>
      <c r="B565" s="254" t="s">
        <v>19530</v>
      </c>
      <c r="C565" s="254" t="s">
        <v>4523</v>
      </c>
      <c r="D565" s="255" t="s">
        <v>19531</v>
      </c>
      <c r="E565" s="253" t="s">
        <v>170</v>
      </c>
    </row>
    <row r="566" spans="1:5" ht="15">
      <c r="A566" s="254">
        <v>34592</v>
      </c>
      <c r="B566" s="254" t="s">
        <v>19532</v>
      </c>
      <c r="C566" s="254" t="s">
        <v>4521</v>
      </c>
      <c r="D566" s="255" t="s">
        <v>13759</v>
      </c>
      <c r="E566" s="253" t="s">
        <v>170</v>
      </c>
    </row>
    <row r="567" spans="1:5" ht="15">
      <c r="A567" s="254">
        <v>651</v>
      </c>
      <c r="B567" s="254" t="s">
        <v>19533</v>
      </c>
      <c r="C567" s="254" t="s">
        <v>4521</v>
      </c>
      <c r="D567" s="255" t="s">
        <v>19534</v>
      </c>
      <c r="E567" s="253" t="s">
        <v>170</v>
      </c>
    </row>
    <row r="568" spans="1:5" ht="15">
      <c r="A568" s="254">
        <v>654</v>
      </c>
      <c r="B568" s="254" t="s">
        <v>19535</v>
      </c>
      <c r="C568" s="254" t="s">
        <v>4521</v>
      </c>
      <c r="D568" s="255" t="s">
        <v>14282</v>
      </c>
      <c r="E568" s="253" t="s">
        <v>170</v>
      </c>
    </row>
    <row r="569" spans="1:5" ht="15">
      <c r="A569" s="254">
        <v>650</v>
      </c>
      <c r="B569" s="254" t="s">
        <v>19536</v>
      </c>
      <c r="C569" s="254" t="s">
        <v>4521</v>
      </c>
      <c r="D569" s="255" t="s">
        <v>16226</v>
      </c>
      <c r="E569" s="253" t="s">
        <v>170</v>
      </c>
    </row>
    <row r="570" spans="1:5" ht="30">
      <c r="A570" s="254">
        <v>40517</v>
      </c>
      <c r="B570" s="254" t="s">
        <v>19537</v>
      </c>
      <c r="C570" s="254" t="s">
        <v>4523</v>
      </c>
      <c r="D570" s="255" t="s">
        <v>19538</v>
      </c>
      <c r="E570" s="253" t="s">
        <v>170</v>
      </c>
    </row>
    <row r="571" spans="1:5" ht="30">
      <c r="A571" s="254">
        <v>40520</v>
      </c>
      <c r="B571" s="254" t="s">
        <v>19539</v>
      </c>
      <c r="C571" s="254" t="s">
        <v>4523</v>
      </c>
      <c r="D571" s="255" t="s">
        <v>19540</v>
      </c>
      <c r="E571" s="253" t="s">
        <v>170</v>
      </c>
    </row>
    <row r="572" spans="1:5" ht="30">
      <c r="A572" s="254">
        <v>40515</v>
      </c>
      <c r="B572" s="254" t="s">
        <v>19541</v>
      </c>
      <c r="C572" s="254" t="s">
        <v>4523</v>
      </c>
      <c r="D572" s="255" t="s">
        <v>13716</v>
      </c>
      <c r="E572" s="253" t="s">
        <v>170</v>
      </c>
    </row>
    <row r="573" spans="1:5" ht="30">
      <c r="A573" s="254">
        <v>40516</v>
      </c>
      <c r="B573" s="254" t="s">
        <v>19542</v>
      </c>
      <c r="C573" s="254" t="s">
        <v>4523</v>
      </c>
      <c r="D573" s="255" t="s">
        <v>19543</v>
      </c>
      <c r="E573" s="253" t="s">
        <v>170</v>
      </c>
    </row>
    <row r="574" spans="1:5" ht="45">
      <c r="A574" s="254">
        <v>40529</v>
      </c>
      <c r="B574" s="254" t="s">
        <v>19544</v>
      </c>
      <c r="C574" s="254" t="s">
        <v>4523</v>
      </c>
      <c r="D574" s="255" t="s">
        <v>19545</v>
      </c>
      <c r="E574" s="253" t="s">
        <v>170</v>
      </c>
    </row>
    <row r="575" spans="1:5" ht="45">
      <c r="A575" s="254">
        <v>36170</v>
      </c>
      <c r="B575" s="254" t="s">
        <v>19546</v>
      </c>
      <c r="C575" s="254" t="s">
        <v>4523</v>
      </c>
      <c r="D575" s="255" t="s">
        <v>19547</v>
      </c>
      <c r="E575" s="253" t="s">
        <v>170</v>
      </c>
    </row>
    <row r="576" spans="1:5" ht="45">
      <c r="A576" s="254">
        <v>40524</v>
      </c>
      <c r="B576" s="254" t="s">
        <v>19548</v>
      </c>
      <c r="C576" s="254" t="s">
        <v>4523</v>
      </c>
      <c r="D576" s="255" t="s">
        <v>14640</v>
      </c>
      <c r="E576" s="253" t="s">
        <v>170</v>
      </c>
    </row>
    <row r="577" spans="1:5" ht="45">
      <c r="A577" s="254">
        <v>36156</v>
      </c>
      <c r="B577" s="254" t="s">
        <v>19549</v>
      </c>
      <c r="C577" s="254" t="s">
        <v>4523</v>
      </c>
      <c r="D577" s="255" t="s">
        <v>19550</v>
      </c>
      <c r="E577" s="253" t="s">
        <v>170</v>
      </c>
    </row>
    <row r="578" spans="1:5" ht="45">
      <c r="A578" s="254">
        <v>36155</v>
      </c>
      <c r="B578" s="254" t="s">
        <v>19551</v>
      </c>
      <c r="C578" s="254" t="s">
        <v>4523</v>
      </c>
      <c r="D578" s="255" t="s">
        <v>19552</v>
      </c>
      <c r="E578" s="253" t="s">
        <v>170</v>
      </c>
    </row>
    <row r="579" spans="1:5" ht="45">
      <c r="A579" s="254">
        <v>36154</v>
      </c>
      <c r="B579" s="254" t="s">
        <v>19553</v>
      </c>
      <c r="C579" s="254" t="s">
        <v>4523</v>
      </c>
      <c r="D579" s="255" t="s">
        <v>19554</v>
      </c>
      <c r="E579" s="253" t="s">
        <v>170</v>
      </c>
    </row>
    <row r="580" spans="1:5" ht="30">
      <c r="A580" s="254">
        <v>695</v>
      </c>
      <c r="B580" s="254" t="s">
        <v>19555</v>
      </c>
      <c r="C580" s="254" t="s">
        <v>4523</v>
      </c>
      <c r="D580" s="255" t="s">
        <v>19556</v>
      </c>
      <c r="E580" s="253" t="s">
        <v>170</v>
      </c>
    </row>
    <row r="581" spans="1:5" ht="30">
      <c r="A581" s="254">
        <v>679</v>
      </c>
      <c r="B581" s="254" t="s">
        <v>19557</v>
      </c>
      <c r="C581" s="254" t="s">
        <v>4523</v>
      </c>
      <c r="D581" s="255" t="s">
        <v>19558</v>
      </c>
      <c r="E581" s="253" t="s">
        <v>170</v>
      </c>
    </row>
    <row r="582" spans="1:5" ht="30">
      <c r="A582" s="254">
        <v>711</v>
      </c>
      <c r="B582" s="254" t="s">
        <v>19559</v>
      </c>
      <c r="C582" s="254" t="s">
        <v>4523</v>
      </c>
      <c r="D582" s="255" t="s">
        <v>19560</v>
      </c>
      <c r="E582" s="253" t="s">
        <v>170</v>
      </c>
    </row>
    <row r="583" spans="1:5" ht="30">
      <c r="A583" s="254">
        <v>712</v>
      </c>
      <c r="B583" s="254" t="s">
        <v>19561</v>
      </c>
      <c r="C583" s="254" t="s">
        <v>4523</v>
      </c>
      <c r="D583" s="255" t="s">
        <v>19547</v>
      </c>
      <c r="E583" s="253" t="s">
        <v>170</v>
      </c>
    </row>
    <row r="584" spans="1:5" ht="30">
      <c r="A584" s="254">
        <v>12614</v>
      </c>
      <c r="B584" s="254" t="s">
        <v>19562</v>
      </c>
      <c r="C584" s="254" t="s">
        <v>4521</v>
      </c>
      <c r="D584" s="255" t="s">
        <v>19563</v>
      </c>
      <c r="E584" s="253" t="s">
        <v>170</v>
      </c>
    </row>
    <row r="585" spans="1:5" ht="15">
      <c r="A585" s="254">
        <v>6140</v>
      </c>
      <c r="B585" s="254" t="s">
        <v>19564</v>
      </c>
      <c r="C585" s="254" t="s">
        <v>4521</v>
      </c>
      <c r="D585" s="255" t="s">
        <v>14322</v>
      </c>
      <c r="E585" s="253" t="s">
        <v>170</v>
      </c>
    </row>
    <row r="586" spans="1:5" ht="15">
      <c r="A586" s="254">
        <v>38399</v>
      </c>
      <c r="B586" s="254" t="s">
        <v>19565</v>
      </c>
      <c r="C586" s="254" t="s">
        <v>4521</v>
      </c>
      <c r="D586" s="255" t="s">
        <v>19566</v>
      </c>
      <c r="E586" s="253" t="s">
        <v>170</v>
      </c>
    </row>
    <row r="587" spans="1:5" ht="45">
      <c r="A587" s="254">
        <v>735</v>
      </c>
      <c r="B587" s="254" t="s">
        <v>19567</v>
      </c>
      <c r="C587" s="254" t="s">
        <v>4521</v>
      </c>
      <c r="D587" s="255" t="s">
        <v>19568</v>
      </c>
      <c r="E587" s="253" t="s">
        <v>170</v>
      </c>
    </row>
    <row r="588" spans="1:5" ht="45">
      <c r="A588" s="254">
        <v>736</v>
      </c>
      <c r="B588" s="254" t="s">
        <v>19569</v>
      </c>
      <c r="C588" s="254" t="s">
        <v>4521</v>
      </c>
      <c r="D588" s="255" t="s">
        <v>19570</v>
      </c>
      <c r="E588" s="253" t="s">
        <v>170</v>
      </c>
    </row>
    <row r="589" spans="1:5" ht="45">
      <c r="A589" s="254">
        <v>729</v>
      </c>
      <c r="B589" s="254" t="s">
        <v>19571</v>
      </c>
      <c r="C589" s="254" t="s">
        <v>4521</v>
      </c>
      <c r="D589" s="255" t="s">
        <v>19572</v>
      </c>
      <c r="E589" s="253" t="s">
        <v>170</v>
      </c>
    </row>
    <row r="590" spans="1:5" ht="45">
      <c r="A590" s="254">
        <v>39925</v>
      </c>
      <c r="B590" s="254" t="s">
        <v>19573</v>
      </c>
      <c r="C590" s="254" t="s">
        <v>4521</v>
      </c>
      <c r="D590" s="255" t="s">
        <v>19574</v>
      </c>
      <c r="E590" s="253" t="s">
        <v>170</v>
      </c>
    </row>
    <row r="591" spans="1:5" ht="30">
      <c r="A591" s="254">
        <v>731</v>
      </c>
      <c r="B591" s="254" t="s">
        <v>19575</v>
      </c>
      <c r="C591" s="254" t="s">
        <v>4521</v>
      </c>
      <c r="D591" s="255" t="s">
        <v>19576</v>
      </c>
      <c r="E591" s="253" t="s">
        <v>170</v>
      </c>
    </row>
    <row r="592" spans="1:5" ht="45">
      <c r="A592" s="254">
        <v>10575</v>
      </c>
      <c r="B592" s="254" t="s">
        <v>19577</v>
      </c>
      <c r="C592" s="254" t="s">
        <v>4521</v>
      </c>
      <c r="D592" s="255" t="s">
        <v>19578</v>
      </c>
      <c r="E592" s="253" t="s">
        <v>170</v>
      </c>
    </row>
    <row r="593" spans="1:5" ht="45">
      <c r="A593" s="254">
        <v>733</v>
      </c>
      <c r="B593" s="254" t="s">
        <v>19579</v>
      </c>
      <c r="C593" s="254" t="s">
        <v>4521</v>
      </c>
      <c r="D593" s="255" t="s">
        <v>19580</v>
      </c>
      <c r="E593" s="253" t="s">
        <v>170</v>
      </c>
    </row>
    <row r="594" spans="1:5" ht="45">
      <c r="A594" s="254">
        <v>732</v>
      </c>
      <c r="B594" s="254" t="s">
        <v>19581</v>
      </c>
      <c r="C594" s="254" t="s">
        <v>4521</v>
      </c>
      <c r="D594" s="255" t="s">
        <v>19582</v>
      </c>
      <c r="E594" s="253" t="s">
        <v>170</v>
      </c>
    </row>
    <row r="595" spans="1:5" ht="45">
      <c r="A595" s="254">
        <v>737</v>
      </c>
      <c r="B595" s="254" t="s">
        <v>19583</v>
      </c>
      <c r="C595" s="254" t="s">
        <v>4521</v>
      </c>
      <c r="D595" s="255" t="s">
        <v>19584</v>
      </c>
      <c r="E595" s="253" t="s">
        <v>170</v>
      </c>
    </row>
    <row r="596" spans="1:5" ht="45">
      <c r="A596" s="254">
        <v>738</v>
      </c>
      <c r="B596" s="254" t="s">
        <v>19585</v>
      </c>
      <c r="C596" s="254" t="s">
        <v>4521</v>
      </c>
      <c r="D596" s="255" t="s">
        <v>19586</v>
      </c>
      <c r="E596" s="253" t="s">
        <v>170</v>
      </c>
    </row>
    <row r="597" spans="1:5" ht="45">
      <c r="A597" s="254">
        <v>740</v>
      </c>
      <c r="B597" s="254" t="s">
        <v>19587</v>
      </c>
      <c r="C597" s="254" t="s">
        <v>4521</v>
      </c>
      <c r="D597" s="255" t="s">
        <v>19588</v>
      </c>
      <c r="E597" s="253" t="s">
        <v>170</v>
      </c>
    </row>
    <row r="598" spans="1:5" ht="45">
      <c r="A598" s="254">
        <v>734</v>
      </c>
      <c r="B598" s="254" t="s">
        <v>19589</v>
      </c>
      <c r="C598" s="254" t="s">
        <v>4521</v>
      </c>
      <c r="D598" s="255" t="s">
        <v>19590</v>
      </c>
      <c r="E598" s="253" t="s">
        <v>170</v>
      </c>
    </row>
    <row r="599" spans="1:5" ht="15">
      <c r="A599" s="254">
        <v>39008</v>
      </c>
      <c r="B599" s="254" t="s">
        <v>19591</v>
      </c>
      <c r="C599" s="254" t="s">
        <v>4521</v>
      </c>
      <c r="D599" s="255" t="s">
        <v>19592</v>
      </c>
      <c r="E599" s="253" t="s">
        <v>170</v>
      </c>
    </row>
    <row r="600" spans="1:5" ht="15">
      <c r="A600" s="254">
        <v>39009</v>
      </c>
      <c r="B600" s="254" t="s">
        <v>19593</v>
      </c>
      <c r="C600" s="254" t="s">
        <v>4521</v>
      </c>
      <c r="D600" s="255" t="s">
        <v>19594</v>
      </c>
      <c r="E600" s="253" t="s">
        <v>170</v>
      </c>
    </row>
    <row r="601" spans="1:5" ht="60">
      <c r="A601" s="254">
        <v>10587</v>
      </c>
      <c r="B601" s="254" t="s">
        <v>19595</v>
      </c>
      <c r="C601" s="254" t="s">
        <v>4521</v>
      </c>
      <c r="D601" s="255" t="s">
        <v>19596</v>
      </c>
      <c r="E601" s="253" t="s">
        <v>170</v>
      </c>
    </row>
    <row r="602" spans="1:5" ht="60">
      <c r="A602" s="254">
        <v>759</v>
      </c>
      <c r="B602" s="254" t="s">
        <v>19597</v>
      </c>
      <c r="C602" s="254" t="s">
        <v>4521</v>
      </c>
      <c r="D602" s="255" t="s">
        <v>19598</v>
      </c>
      <c r="E602" s="253" t="s">
        <v>170</v>
      </c>
    </row>
    <row r="603" spans="1:5" ht="60">
      <c r="A603" s="254">
        <v>761</v>
      </c>
      <c r="B603" s="254" t="s">
        <v>19599</v>
      </c>
      <c r="C603" s="254" t="s">
        <v>4521</v>
      </c>
      <c r="D603" s="255" t="s">
        <v>19600</v>
      </c>
      <c r="E603" s="253" t="s">
        <v>170</v>
      </c>
    </row>
    <row r="604" spans="1:5" ht="45">
      <c r="A604" s="254">
        <v>750</v>
      </c>
      <c r="B604" s="254" t="s">
        <v>19601</v>
      </c>
      <c r="C604" s="254" t="s">
        <v>4521</v>
      </c>
      <c r="D604" s="255" t="s">
        <v>19602</v>
      </c>
      <c r="E604" s="253" t="s">
        <v>170</v>
      </c>
    </row>
    <row r="605" spans="1:5" ht="60">
      <c r="A605" s="254">
        <v>755</v>
      </c>
      <c r="B605" s="254" t="s">
        <v>19603</v>
      </c>
      <c r="C605" s="254" t="s">
        <v>4521</v>
      </c>
      <c r="D605" s="255" t="s">
        <v>19604</v>
      </c>
      <c r="E605" s="253" t="s">
        <v>170</v>
      </c>
    </row>
    <row r="606" spans="1:5" ht="60">
      <c r="A606" s="254">
        <v>749</v>
      </c>
      <c r="B606" s="254" t="s">
        <v>19605</v>
      </c>
      <c r="C606" s="254" t="s">
        <v>4521</v>
      </c>
      <c r="D606" s="255" t="s">
        <v>19606</v>
      </c>
      <c r="E606" s="253" t="s">
        <v>170</v>
      </c>
    </row>
    <row r="607" spans="1:5" ht="60">
      <c r="A607" s="254">
        <v>756</v>
      </c>
      <c r="B607" s="254" t="s">
        <v>19607</v>
      </c>
      <c r="C607" s="254" t="s">
        <v>4521</v>
      </c>
      <c r="D607" s="255" t="s">
        <v>19608</v>
      </c>
      <c r="E607" s="253" t="s">
        <v>170</v>
      </c>
    </row>
    <row r="608" spans="1:5" ht="45">
      <c r="A608" s="254">
        <v>757</v>
      </c>
      <c r="B608" s="254" t="s">
        <v>19609</v>
      </c>
      <c r="C608" s="254" t="s">
        <v>4521</v>
      </c>
      <c r="D608" s="255" t="s">
        <v>19610</v>
      </c>
      <c r="E608" s="253" t="s">
        <v>170</v>
      </c>
    </row>
    <row r="609" spans="1:5" ht="45">
      <c r="A609" s="254">
        <v>10588</v>
      </c>
      <c r="B609" s="254" t="s">
        <v>19611</v>
      </c>
      <c r="C609" s="254" t="s">
        <v>4521</v>
      </c>
      <c r="D609" s="255" t="s">
        <v>19612</v>
      </c>
      <c r="E609" s="253" t="s">
        <v>170</v>
      </c>
    </row>
    <row r="610" spans="1:5" ht="45">
      <c r="A610" s="254">
        <v>10592</v>
      </c>
      <c r="B610" s="254" t="s">
        <v>19613</v>
      </c>
      <c r="C610" s="254" t="s">
        <v>4521</v>
      </c>
      <c r="D610" s="255" t="s">
        <v>19614</v>
      </c>
      <c r="E610" s="253" t="s">
        <v>170</v>
      </c>
    </row>
    <row r="611" spans="1:5" ht="45">
      <c r="A611" s="254">
        <v>10589</v>
      </c>
      <c r="B611" s="254" t="s">
        <v>19615</v>
      </c>
      <c r="C611" s="254" t="s">
        <v>4521</v>
      </c>
      <c r="D611" s="255" t="s">
        <v>19616</v>
      </c>
      <c r="E611" s="253" t="s">
        <v>170</v>
      </c>
    </row>
    <row r="612" spans="1:5" ht="45">
      <c r="A612" s="254">
        <v>760</v>
      </c>
      <c r="B612" s="254" t="s">
        <v>19617</v>
      </c>
      <c r="C612" s="254" t="s">
        <v>4521</v>
      </c>
      <c r="D612" s="255" t="s">
        <v>19618</v>
      </c>
      <c r="E612" s="253" t="s">
        <v>170</v>
      </c>
    </row>
    <row r="613" spans="1:5" ht="45">
      <c r="A613" s="254">
        <v>751</v>
      </c>
      <c r="B613" s="254" t="s">
        <v>19619</v>
      </c>
      <c r="C613" s="254" t="s">
        <v>4521</v>
      </c>
      <c r="D613" s="255" t="s">
        <v>19620</v>
      </c>
      <c r="E613" s="253" t="s">
        <v>170</v>
      </c>
    </row>
    <row r="614" spans="1:5" ht="45">
      <c r="A614" s="254">
        <v>754</v>
      </c>
      <c r="B614" s="254" t="s">
        <v>19621</v>
      </c>
      <c r="C614" s="254" t="s">
        <v>4521</v>
      </c>
      <c r="D614" s="255" t="s">
        <v>19622</v>
      </c>
      <c r="E614" s="253" t="s">
        <v>170</v>
      </c>
    </row>
    <row r="615" spans="1:5" ht="15">
      <c r="A615" s="254">
        <v>14013</v>
      </c>
      <c r="B615" s="254" t="s">
        <v>19623</v>
      </c>
      <c r="C615" s="254" t="s">
        <v>4521</v>
      </c>
      <c r="D615" s="255" t="s">
        <v>19624</v>
      </c>
      <c r="E615" s="253" t="s">
        <v>170</v>
      </c>
    </row>
    <row r="616" spans="1:5" ht="30">
      <c r="A616" s="254">
        <v>39917</v>
      </c>
      <c r="B616" s="254" t="s">
        <v>19625</v>
      </c>
      <c r="C616" s="254" t="s">
        <v>4521</v>
      </c>
      <c r="D616" s="255" t="s">
        <v>19626</v>
      </c>
      <c r="E616" s="253" t="s">
        <v>170</v>
      </c>
    </row>
    <row r="617" spans="1:5" ht="15">
      <c r="A617" s="254">
        <v>5081</v>
      </c>
      <c r="B617" s="254" t="s">
        <v>19627</v>
      </c>
      <c r="C617" s="254" t="s">
        <v>4529</v>
      </c>
      <c r="D617" s="255" t="s">
        <v>17600</v>
      </c>
      <c r="E617" s="253" t="s">
        <v>170</v>
      </c>
    </row>
    <row r="618" spans="1:5" ht="15">
      <c r="A618" s="254">
        <v>38167</v>
      </c>
      <c r="B618" s="254" t="s">
        <v>19628</v>
      </c>
      <c r="C618" s="254" t="s">
        <v>4529</v>
      </c>
      <c r="D618" s="255" t="s">
        <v>19629</v>
      </c>
      <c r="E618" s="253" t="s">
        <v>170</v>
      </c>
    </row>
    <row r="619" spans="1:5" ht="15">
      <c r="A619" s="254">
        <v>36145</v>
      </c>
      <c r="B619" s="254" t="s">
        <v>19630</v>
      </c>
      <c r="C619" s="254" t="s">
        <v>4529</v>
      </c>
      <c r="D619" s="255" t="s">
        <v>19631</v>
      </c>
      <c r="E619" s="253" t="s">
        <v>170</v>
      </c>
    </row>
    <row r="620" spans="1:5" ht="15">
      <c r="A620" s="254">
        <v>12893</v>
      </c>
      <c r="B620" s="254" t="s">
        <v>19632</v>
      </c>
      <c r="C620" s="254" t="s">
        <v>4529</v>
      </c>
      <c r="D620" s="255" t="s">
        <v>19633</v>
      </c>
      <c r="E620" s="253" t="s">
        <v>170</v>
      </c>
    </row>
    <row r="621" spans="1:5" ht="15">
      <c r="A621" s="254">
        <v>11685</v>
      </c>
      <c r="B621" s="254" t="s">
        <v>19634</v>
      </c>
      <c r="C621" s="254" t="s">
        <v>4521</v>
      </c>
      <c r="D621" s="255" t="s">
        <v>15393</v>
      </c>
      <c r="E621" s="253" t="s">
        <v>170</v>
      </c>
    </row>
    <row r="622" spans="1:5" ht="15">
      <c r="A622" s="254">
        <v>11679</v>
      </c>
      <c r="B622" s="254" t="s">
        <v>19635</v>
      </c>
      <c r="C622" s="254" t="s">
        <v>4521</v>
      </c>
      <c r="D622" s="255" t="s">
        <v>15817</v>
      </c>
      <c r="E622" s="253" t="s">
        <v>170</v>
      </c>
    </row>
    <row r="623" spans="1:5" ht="15">
      <c r="A623" s="254">
        <v>11680</v>
      </c>
      <c r="B623" s="254" t="s">
        <v>19636</v>
      </c>
      <c r="C623" s="254" t="s">
        <v>4521</v>
      </c>
      <c r="D623" s="255" t="s">
        <v>19637</v>
      </c>
      <c r="E623" s="253" t="s">
        <v>170</v>
      </c>
    </row>
    <row r="624" spans="1:5" ht="15">
      <c r="A624" s="254">
        <v>2512</v>
      </c>
      <c r="B624" s="254" t="s">
        <v>19638</v>
      </c>
      <c r="C624" s="254" t="s">
        <v>4521</v>
      </c>
      <c r="D624" s="255" t="s">
        <v>14281</v>
      </c>
      <c r="E624" s="253" t="s">
        <v>170</v>
      </c>
    </row>
    <row r="625" spans="1:5" ht="15">
      <c r="A625" s="254">
        <v>4374</v>
      </c>
      <c r="B625" s="254" t="s">
        <v>19639</v>
      </c>
      <c r="C625" s="254" t="s">
        <v>4521</v>
      </c>
      <c r="D625" s="255" t="s">
        <v>19640</v>
      </c>
      <c r="E625" s="253" t="s">
        <v>170</v>
      </c>
    </row>
    <row r="626" spans="1:5" ht="30">
      <c r="A626" s="254">
        <v>7568</v>
      </c>
      <c r="B626" s="254" t="s">
        <v>19641</v>
      </c>
      <c r="C626" s="254" t="s">
        <v>4521</v>
      </c>
      <c r="D626" s="255" t="s">
        <v>13667</v>
      </c>
      <c r="E626" s="253" t="s">
        <v>170</v>
      </c>
    </row>
    <row r="627" spans="1:5" ht="30">
      <c r="A627" s="254">
        <v>7584</v>
      </c>
      <c r="B627" s="254" t="s">
        <v>19642</v>
      </c>
      <c r="C627" s="254" t="s">
        <v>4521</v>
      </c>
      <c r="D627" s="255" t="s">
        <v>18699</v>
      </c>
      <c r="E627" s="253" t="s">
        <v>170</v>
      </c>
    </row>
    <row r="628" spans="1:5" ht="15">
      <c r="A628" s="254">
        <v>11945</v>
      </c>
      <c r="B628" s="254" t="s">
        <v>19643</v>
      </c>
      <c r="C628" s="254" t="s">
        <v>4521</v>
      </c>
      <c r="D628" s="255" t="s">
        <v>13920</v>
      </c>
      <c r="E628" s="253" t="s">
        <v>170</v>
      </c>
    </row>
    <row r="629" spans="1:5" ht="15">
      <c r="A629" s="254">
        <v>11946</v>
      </c>
      <c r="B629" s="254" t="s">
        <v>19644</v>
      </c>
      <c r="C629" s="254" t="s">
        <v>4521</v>
      </c>
      <c r="D629" s="255" t="s">
        <v>14084</v>
      </c>
      <c r="E629" s="253" t="s">
        <v>170</v>
      </c>
    </row>
    <row r="630" spans="1:5" ht="15">
      <c r="A630" s="254">
        <v>4375</v>
      </c>
      <c r="B630" s="254" t="s">
        <v>19645</v>
      </c>
      <c r="C630" s="254" t="s">
        <v>4521</v>
      </c>
      <c r="D630" s="255" t="s">
        <v>14248</v>
      </c>
      <c r="E630" s="253" t="s">
        <v>170</v>
      </c>
    </row>
    <row r="631" spans="1:5" ht="30">
      <c r="A631" s="254">
        <v>11950</v>
      </c>
      <c r="B631" s="254" t="s">
        <v>19646</v>
      </c>
      <c r="C631" s="254" t="s">
        <v>4521</v>
      </c>
      <c r="D631" s="255" t="s">
        <v>14293</v>
      </c>
      <c r="E631" s="253" t="s">
        <v>170</v>
      </c>
    </row>
    <row r="632" spans="1:5" ht="15">
      <c r="A632" s="254">
        <v>4376</v>
      </c>
      <c r="B632" s="254" t="s">
        <v>19647</v>
      </c>
      <c r="C632" s="254" t="s">
        <v>4521</v>
      </c>
      <c r="D632" s="255" t="s">
        <v>14399</v>
      </c>
      <c r="E632" s="253" t="s">
        <v>170</v>
      </c>
    </row>
    <row r="633" spans="1:5" ht="30">
      <c r="A633" s="254">
        <v>7583</v>
      </c>
      <c r="B633" s="254" t="s">
        <v>19648</v>
      </c>
      <c r="C633" s="254" t="s">
        <v>4521</v>
      </c>
      <c r="D633" s="255" t="s">
        <v>14131</v>
      </c>
      <c r="E633" s="253" t="s">
        <v>170</v>
      </c>
    </row>
    <row r="634" spans="1:5" ht="30">
      <c r="A634" s="254">
        <v>4350</v>
      </c>
      <c r="B634" s="254" t="s">
        <v>19649</v>
      </c>
      <c r="C634" s="254" t="s">
        <v>4521</v>
      </c>
      <c r="D634" s="255" t="s">
        <v>14421</v>
      </c>
      <c r="E634" s="253" t="s">
        <v>170</v>
      </c>
    </row>
    <row r="635" spans="1:5" ht="30">
      <c r="A635" s="254">
        <v>39886</v>
      </c>
      <c r="B635" s="254" t="s">
        <v>19650</v>
      </c>
      <c r="C635" s="254" t="s">
        <v>4521</v>
      </c>
      <c r="D635" s="255" t="s">
        <v>19651</v>
      </c>
      <c r="E635" s="253" t="s">
        <v>170</v>
      </c>
    </row>
    <row r="636" spans="1:5" ht="30">
      <c r="A636" s="254">
        <v>39887</v>
      </c>
      <c r="B636" s="254" t="s">
        <v>19652</v>
      </c>
      <c r="C636" s="254" t="s">
        <v>4521</v>
      </c>
      <c r="D636" s="255" t="s">
        <v>19653</v>
      </c>
      <c r="E636" s="253" t="s">
        <v>170</v>
      </c>
    </row>
    <row r="637" spans="1:5" ht="30">
      <c r="A637" s="254">
        <v>39888</v>
      </c>
      <c r="B637" s="254" t="s">
        <v>19654</v>
      </c>
      <c r="C637" s="254" t="s">
        <v>4521</v>
      </c>
      <c r="D637" s="255" t="s">
        <v>19655</v>
      </c>
      <c r="E637" s="253" t="s">
        <v>170</v>
      </c>
    </row>
    <row r="638" spans="1:5" ht="30">
      <c r="A638" s="254">
        <v>39890</v>
      </c>
      <c r="B638" s="254" t="s">
        <v>19656</v>
      </c>
      <c r="C638" s="254" t="s">
        <v>4521</v>
      </c>
      <c r="D638" s="255" t="s">
        <v>16380</v>
      </c>
      <c r="E638" s="253" t="s">
        <v>170</v>
      </c>
    </row>
    <row r="639" spans="1:5" ht="30">
      <c r="A639" s="254">
        <v>39891</v>
      </c>
      <c r="B639" s="254" t="s">
        <v>19657</v>
      </c>
      <c r="C639" s="254" t="s">
        <v>4521</v>
      </c>
      <c r="D639" s="255" t="s">
        <v>19658</v>
      </c>
      <c r="E639" s="253" t="s">
        <v>170</v>
      </c>
    </row>
    <row r="640" spans="1:5" ht="30">
      <c r="A640" s="254">
        <v>39892</v>
      </c>
      <c r="B640" s="254" t="s">
        <v>19659</v>
      </c>
      <c r="C640" s="254" t="s">
        <v>4521</v>
      </c>
      <c r="D640" s="255" t="s">
        <v>19660</v>
      </c>
      <c r="E640" s="253" t="s">
        <v>170</v>
      </c>
    </row>
    <row r="641" spans="1:5" ht="15">
      <c r="A641" s="254">
        <v>790</v>
      </c>
      <c r="B641" s="254" t="s">
        <v>19661</v>
      </c>
      <c r="C641" s="254" t="s">
        <v>4521</v>
      </c>
      <c r="D641" s="255" t="s">
        <v>16554</v>
      </c>
      <c r="E641" s="253" t="s">
        <v>170</v>
      </c>
    </row>
    <row r="642" spans="1:5" ht="15">
      <c r="A642" s="254">
        <v>766</v>
      </c>
      <c r="B642" s="254" t="s">
        <v>19662</v>
      </c>
      <c r="C642" s="254" t="s">
        <v>4521</v>
      </c>
      <c r="D642" s="255" t="s">
        <v>16554</v>
      </c>
      <c r="E642" s="253" t="s">
        <v>170</v>
      </c>
    </row>
    <row r="643" spans="1:5" ht="15">
      <c r="A643" s="254">
        <v>791</v>
      </c>
      <c r="B643" s="254" t="s">
        <v>19663</v>
      </c>
      <c r="C643" s="254" t="s">
        <v>4521</v>
      </c>
      <c r="D643" s="255" t="s">
        <v>16554</v>
      </c>
      <c r="E643" s="253" t="s">
        <v>170</v>
      </c>
    </row>
    <row r="644" spans="1:5" ht="15">
      <c r="A644" s="254">
        <v>767</v>
      </c>
      <c r="B644" s="254" t="s">
        <v>19664</v>
      </c>
      <c r="C644" s="254" t="s">
        <v>4521</v>
      </c>
      <c r="D644" s="255" t="s">
        <v>16554</v>
      </c>
      <c r="E644" s="253" t="s">
        <v>170</v>
      </c>
    </row>
    <row r="645" spans="1:5" ht="15">
      <c r="A645" s="254">
        <v>768</v>
      </c>
      <c r="B645" s="254" t="s">
        <v>19665</v>
      </c>
      <c r="C645" s="254" t="s">
        <v>4521</v>
      </c>
      <c r="D645" s="255" t="s">
        <v>15739</v>
      </c>
      <c r="E645" s="253" t="s">
        <v>170</v>
      </c>
    </row>
    <row r="646" spans="1:5" ht="15">
      <c r="A646" s="254">
        <v>789</v>
      </c>
      <c r="B646" s="254" t="s">
        <v>19666</v>
      </c>
      <c r="C646" s="254" t="s">
        <v>4521</v>
      </c>
      <c r="D646" s="255" t="s">
        <v>19667</v>
      </c>
      <c r="E646" s="253" t="s">
        <v>170</v>
      </c>
    </row>
    <row r="647" spans="1:5" ht="15">
      <c r="A647" s="254">
        <v>769</v>
      </c>
      <c r="B647" s="254" t="s">
        <v>19668</v>
      </c>
      <c r="C647" s="254" t="s">
        <v>4521</v>
      </c>
      <c r="D647" s="255" t="s">
        <v>15739</v>
      </c>
      <c r="E647" s="253" t="s">
        <v>170</v>
      </c>
    </row>
    <row r="648" spans="1:5" ht="15">
      <c r="A648" s="254">
        <v>770</v>
      </c>
      <c r="B648" s="254" t="s">
        <v>19669</v>
      </c>
      <c r="C648" s="254" t="s">
        <v>4521</v>
      </c>
      <c r="D648" s="255" t="s">
        <v>16200</v>
      </c>
      <c r="E648" s="253" t="s">
        <v>170</v>
      </c>
    </row>
    <row r="649" spans="1:5" ht="15">
      <c r="A649" s="254">
        <v>12394</v>
      </c>
      <c r="B649" s="254" t="s">
        <v>19670</v>
      </c>
      <c r="C649" s="254" t="s">
        <v>4521</v>
      </c>
      <c r="D649" s="255" t="s">
        <v>16200</v>
      </c>
      <c r="E649" s="253" t="s">
        <v>170</v>
      </c>
    </row>
    <row r="650" spans="1:5" ht="15">
      <c r="A650" s="254">
        <v>764</v>
      </c>
      <c r="B650" s="254" t="s">
        <v>19671</v>
      </c>
      <c r="C650" s="254" t="s">
        <v>4521</v>
      </c>
      <c r="D650" s="255" t="s">
        <v>14467</v>
      </c>
      <c r="E650" s="253" t="s">
        <v>170</v>
      </c>
    </row>
    <row r="651" spans="1:5" ht="15">
      <c r="A651" s="254">
        <v>765</v>
      </c>
      <c r="B651" s="254" t="s">
        <v>19672</v>
      </c>
      <c r="C651" s="254" t="s">
        <v>4521</v>
      </c>
      <c r="D651" s="255" t="s">
        <v>14467</v>
      </c>
      <c r="E651" s="253" t="s">
        <v>170</v>
      </c>
    </row>
    <row r="652" spans="1:5" ht="15">
      <c r="A652" s="254">
        <v>787</v>
      </c>
      <c r="B652" s="254" t="s">
        <v>19673</v>
      </c>
      <c r="C652" s="254" t="s">
        <v>4521</v>
      </c>
      <c r="D652" s="255" t="s">
        <v>19674</v>
      </c>
      <c r="E652" s="253" t="s">
        <v>170</v>
      </c>
    </row>
    <row r="653" spans="1:5" ht="15">
      <c r="A653" s="254">
        <v>774</v>
      </c>
      <c r="B653" s="254" t="s">
        <v>19675</v>
      </c>
      <c r="C653" s="254" t="s">
        <v>4521</v>
      </c>
      <c r="D653" s="255" t="s">
        <v>19674</v>
      </c>
      <c r="E653" s="253" t="s">
        <v>170</v>
      </c>
    </row>
    <row r="654" spans="1:5" ht="15">
      <c r="A654" s="254">
        <v>773</v>
      </c>
      <c r="B654" s="254" t="s">
        <v>19676</v>
      </c>
      <c r="C654" s="254" t="s">
        <v>4521</v>
      </c>
      <c r="D654" s="255" t="s">
        <v>19674</v>
      </c>
      <c r="E654" s="253" t="s">
        <v>170</v>
      </c>
    </row>
    <row r="655" spans="1:5" ht="15">
      <c r="A655" s="254">
        <v>775</v>
      </c>
      <c r="B655" s="254" t="s">
        <v>19677</v>
      </c>
      <c r="C655" s="254" t="s">
        <v>4521</v>
      </c>
      <c r="D655" s="255" t="s">
        <v>19674</v>
      </c>
      <c r="E655" s="253" t="s">
        <v>170</v>
      </c>
    </row>
    <row r="656" spans="1:5" ht="15">
      <c r="A656" s="254">
        <v>788</v>
      </c>
      <c r="B656" s="254" t="s">
        <v>19678</v>
      </c>
      <c r="C656" s="254" t="s">
        <v>4521</v>
      </c>
      <c r="D656" s="255" t="s">
        <v>15500</v>
      </c>
      <c r="E656" s="253" t="s">
        <v>170</v>
      </c>
    </row>
    <row r="657" spans="1:5" ht="15">
      <c r="A657" s="254">
        <v>772</v>
      </c>
      <c r="B657" s="254" t="s">
        <v>19679</v>
      </c>
      <c r="C657" s="254" t="s">
        <v>4521</v>
      </c>
      <c r="D657" s="255" t="s">
        <v>15500</v>
      </c>
      <c r="E657" s="253" t="s">
        <v>170</v>
      </c>
    </row>
    <row r="658" spans="1:5" ht="15">
      <c r="A658" s="254">
        <v>771</v>
      </c>
      <c r="B658" s="254" t="s">
        <v>19680</v>
      </c>
      <c r="C658" s="254" t="s">
        <v>4521</v>
      </c>
      <c r="D658" s="255" t="s">
        <v>15500</v>
      </c>
      <c r="E658" s="253" t="s">
        <v>170</v>
      </c>
    </row>
    <row r="659" spans="1:5" ht="15">
      <c r="A659" s="254">
        <v>779</v>
      </c>
      <c r="B659" s="254" t="s">
        <v>19681</v>
      </c>
      <c r="C659" s="254" t="s">
        <v>4521</v>
      </c>
      <c r="D659" s="255" t="s">
        <v>13626</v>
      </c>
      <c r="E659" s="253" t="s">
        <v>170</v>
      </c>
    </row>
    <row r="660" spans="1:5" ht="15">
      <c r="A660" s="254">
        <v>776</v>
      </c>
      <c r="B660" s="254" t="s">
        <v>19682</v>
      </c>
      <c r="C660" s="254" t="s">
        <v>4521</v>
      </c>
      <c r="D660" s="255" t="s">
        <v>15755</v>
      </c>
      <c r="E660" s="253" t="s">
        <v>170</v>
      </c>
    </row>
    <row r="661" spans="1:5" ht="15">
      <c r="A661" s="254">
        <v>777</v>
      </c>
      <c r="B661" s="254" t="s">
        <v>19683</v>
      </c>
      <c r="C661" s="254" t="s">
        <v>4521</v>
      </c>
      <c r="D661" s="255" t="s">
        <v>19684</v>
      </c>
      <c r="E661" s="253" t="s">
        <v>170</v>
      </c>
    </row>
    <row r="662" spans="1:5" ht="15">
      <c r="A662" s="254">
        <v>780</v>
      </c>
      <c r="B662" s="254" t="s">
        <v>19685</v>
      </c>
      <c r="C662" s="254" t="s">
        <v>4521</v>
      </c>
      <c r="D662" s="255" t="s">
        <v>19686</v>
      </c>
      <c r="E662" s="253" t="s">
        <v>170</v>
      </c>
    </row>
    <row r="663" spans="1:5" ht="15">
      <c r="A663" s="254">
        <v>778</v>
      </c>
      <c r="B663" s="254" t="s">
        <v>19687</v>
      </c>
      <c r="C663" s="254" t="s">
        <v>4521</v>
      </c>
      <c r="D663" s="255" t="s">
        <v>15755</v>
      </c>
      <c r="E663" s="253" t="s">
        <v>170</v>
      </c>
    </row>
    <row r="664" spans="1:5" ht="15">
      <c r="A664" s="254">
        <v>781</v>
      </c>
      <c r="B664" s="254" t="s">
        <v>19688</v>
      </c>
      <c r="C664" s="254" t="s">
        <v>4521</v>
      </c>
      <c r="D664" s="255" t="s">
        <v>19689</v>
      </c>
      <c r="E664" s="253" t="s">
        <v>170</v>
      </c>
    </row>
    <row r="665" spans="1:5" ht="15">
      <c r="A665" s="254">
        <v>786</v>
      </c>
      <c r="B665" s="254" t="s">
        <v>19690</v>
      </c>
      <c r="C665" s="254" t="s">
        <v>4521</v>
      </c>
      <c r="D665" s="255" t="s">
        <v>19689</v>
      </c>
      <c r="E665" s="253" t="s">
        <v>170</v>
      </c>
    </row>
    <row r="666" spans="1:5" ht="15">
      <c r="A666" s="254">
        <v>782</v>
      </c>
      <c r="B666" s="254" t="s">
        <v>19691</v>
      </c>
      <c r="C666" s="254" t="s">
        <v>4521</v>
      </c>
      <c r="D666" s="255" t="s">
        <v>19689</v>
      </c>
      <c r="E666" s="253" t="s">
        <v>170</v>
      </c>
    </row>
    <row r="667" spans="1:5" ht="15">
      <c r="A667" s="254">
        <v>783</v>
      </c>
      <c r="B667" s="254" t="s">
        <v>19692</v>
      </c>
      <c r="C667" s="254" t="s">
        <v>4521</v>
      </c>
      <c r="D667" s="255" t="s">
        <v>19693</v>
      </c>
      <c r="E667" s="253" t="s">
        <v>170</v>
      </c>
    </row>
    <row r="668" spans="1:5" ht="15">
      <c r="A668" s="254">
        <v>785</v>
      </c>
      <c r="B668" s="254" t="s">
        <v>19694</v>
      </c>
      <c r="C668" s="254" t="s">
        <v>4521</v>
      </c>
      <c r="D668" s="255" t="s">
        <v>19695</v>
      </c>
      <c r="E668" s="253" t="s">
        <v>170</v>
      </c>
    </row>
    <row r="669" spans="1:5" ht="15">
      <c r="A669" s="254">
        <v>784</v>
      </c>
      <c r="B669" s="254" t="s">
        <v>19696</v>
      </c>
      <c r="C669" s="254" t="s">
        <v>4521</v>
      </c>
      <c r="D669" s="255" t="s">
        <v>19697</v>
      </c>
      <c r="E669" s="253" t="s">
        <v>170</v>
      </c>
    </row>
    <row r="670" spans="1:5" ht="30">
      <c r="A670" s="254">
        <v>831</v>
      </c>
      <c r="B670" s="254" t="s">
        <v>19698</v>
      </c>
      <c r="C670" s="254" t="s">
        <v>4521</v>
      </c>
      <c r="D670" s="255" t="s">
        <v>19699</v>
      </c>
      <c r="E670" s="253" t="s">
        <v>170</v>
      </c>
    </row>
    <row r="671" spans="1:5" ht="30">
      <c r="A671" s="254">
        <v>828</v>
      </c>
      <c r="B671" s="254" t="s">
        <v>19700</v>
      </c>
      <c r="C671" s="254" t="s">
        <v>4521</v>
      </c>
      <c r="D671" s="255" t="s">
        <v>14008</v>
      </c>
      <c r="E671" s="253" t="s">
        <v>170</v>
      </c>
    </row>
    <row r="672" spans="1:5" ht="30">
      <c r="A672" s="254">
        <v>829</v>
      </c>
      <c r="B672" s="254" t="s">
        <v>19701</v>
      </c>
      <c r="C672" s="254" t="s">
        <v>4521</v>
      </c>
      <c r="D672" s="255" t="s">
        <v>13667</v>
      </c>
      <c r="E672" s="253" t="s">
        <v>170</v>
      </c>
    </row>
    <row r="673" spans="1:5" ht="30">
      <c r="A673" s="254">
        <v>812</v>
      </c>
      <c r="B673" s="254" t="s">
        <v>19702</v>
      </c>
      <c r="C673" s="254" t="s">
        <v>4521</v>
      </c>
      <c r="D673" s="255" t="s">
        <v>14482</v>
      </c>
      <c r="E673" s="253" t="s">
        <v>170</v>
      </c>
    </row>
    <row r="674" spans="1:5" ht="30">
      <c r="A674" s="254">
        <v>819</v>
      </c>
      <c r="B674" s="254" t="s">
        <v>19703</v>
      </c>
      <c r="C674" s="254" t="s">
        <v>4521</v>
      </c>
      <c r="D674" s="255" t="s">
        <v>17932</v>
      </c>
      <c r="E674" s="253" t="s">
        <v>170</v>
      </c>
    </row>
    <row r="675" spans="1:5" ht="30">
      <c r="A675" s="254">
        <v>818</v>
      </c>
      <c r="B675" s="254" t="s">
        <v>19704</v>
      </c>
      <c r="C675" s="254" t="s">
        <v>4521</v>
      </c>
      <c r="D675" s="255" t="s">
        <v>19705</v>
      </c>
      <c r="E675" s="253" t="s">
        <v>170</v>
      </c>
    </row>
    <row r="676" spans="1:5" ht="30">
      <c r="A676" s="254">
        <v>823</v>
      </c>
      <c r="B676" s="254" t="s">
        <v>19706</v>
      </c>
      <c r="C676" s="254" t="s">
        <v>4521</v>
      </c>
      <c r="D676" s="255" t="s">
        <v>16676</v>
      </c>
      <c r="E676" s="253" t="s">
        <v>170</v>
      </c>
    </row>
    <row r="677" spans="1:5" ht="30">
      <c r="A677" s="254">
        <v>830</v>
      </c>
      <c r="B677" s="254" t="s">
        <v>19707</v>
      </c>
      <c r="C677" s="254" t="s">
        <v>4521</v>
      </c>
      <c r="D677" s="255" t="s">
        <v>14942</v>
      </c>
      <c r="E677" s="253" t="s">
        <v>170</v>
      </c>
    </row>
    <row r="678" spans="1:5" ht="30">
      <c r="A678" s="254">
        <v>826</v>
      </c>
      <c r="B678" s="254" t="s">
        <v>19708</v>
      </c>
      <c r="C678" s="254" t="s">
        <v>4521</v>
      </c>
      <c r="D678" s="255" t="s">
        <v>18134</v>
      </c>
      <c r="E678" s="253" t="s">
        <v>170</v>
      </c>
    </row>
    <row r="679" spans="1:5" ht="30">
      <c r="A679" s="254">
        <v>827</v>
      </c>
      <c r="B679" s="254" t="s">
        <v>19709</v>
      </c>
      <c r="C679" s="254" t="s">
        <v>4521</v>
      </c>
      <c r="D679" s="255" t="s">
        <v>19710</v>
      </c>
      <c r="E679" s="253" t="s">
        <v>170</v>
      </c>
    </row>
    <row r="680" spans="1:5" ht="30">
      <c r="A680" s="254">
        <v>832</v>
      </c>
      <c r="B680" s="254" t="s">
        <v>19711</v>
      </c>
      <c r="C680" s="254" t="s">
        <v>4521</v>
      </c>
      <c r="D680" s="255" t="s">
        <v>14354</v>
      </c>
      <c r="E680" s="253" t="s">
        <v>170</v>
      </c>
    </row>
    <row r="681" spans="1:5" ht="30">
      <c r="A681" s="254">
        <v>833</v>
      </c>
      <c r="B681" s="254" t="s">
        <v>19712</v>
      </c>
      <c r="C681" s="254" t="s">
        <v>4521</v>
      </c>
      <c r="D681" s="255" t="s">
        <v>19713</v>
      </c>
      <c r="E681" s="253" t="s">
        <v>170</v>
      </c>
    </row>
    <row r="682" spans="1:5" ht="30">
      <c r="A682" s="254">
        <v>834</v>
      </c>
      <c r="B682" s="254" t="s">
        <v>19714</v>
      </c>
      <c r="C682" s="254" t="s">
        <v>4521</v>
      </c>
      <c r="D682" s="255" t="s">
        <v>14130</v>
      </c>
      <c r="E682" s="253" t="s">
        <v>170</v>
      </c>
    </row>
    <row r="683" spans="1:5" ht="30">
      <c r="A683" s="254">
        <v>825</v>
      </c>
      <c r="B683" s="254" t="s">
        <v>19715</v>
      </c>
      <c r="C683" s="254" t="s">
        <v>4521</v>
      </c>
      <c r="D683" s="255" t="s">
        <v>13809</v>
      </c>
      <c r="E683" s="253" t="s">
        <v>170</v>
      </c>
    </row>
    <row r="684" spans="1:5" ht="30">
      <c r="A684" s="254">
        <v>813</v>
      </c>
      <c r="B684" s="254" t="s">
        <v>19716</v>
      </c>
      <c r="C684" s="254" t="s">
        <v>4521</v>
      </c>
      <c r="D684" s="255" t="s">
        <v>14053</v>
      </c>
      <c r="E684" s="253" t="s">
        <v>170</v>
      </c>
    </row>
    <row r="685" spans="1:5" ht="30">
      <c r="A685" s="254">
        <v>820</v>
      </c>
      <c r="B685" s="254" t="s">
        <v>19717</v>
      </c>
      <c r="C685" s="254" t="s">
        <v>4521</v>
      </c>
      <c r="D685" s="255" t="s">
        <v>19718</v>
      </c>
      <c r="E685" s="253" t="s">
        <v>170</v>
      </c>
    </row>
    <row r="686" spans="1:5" ht="30">
      <c r="A686" s="254">
        <v>816</v>
      </c>
      <c r="B686" s="254" t="s">
        <v>19719</v>
      </c>
      <c r="C686" s="254" t="s">
        <v>4521</v>
      </c>
      <c r="D686" s="255" t="s">
        <v>15442</v>
      </c>
      <c r="E686" s="253" t="s">
        <v>170</v>
      </c>
    </row>
    <row r="687" spans="1:5" ht="30">
      <c r="A687" s="254">
        <v>814</v>
      </c>
      <c r="B687" s="254" t="s">
        <v>19720</v>
      </c>
      <c r="C687" s="254" t="s">
        <v>4521</v>
      </c>
      <c r="D687" s="255" t="s">
        <v>16327</v>
      </c>
      <c r="E687" s="253" t="s">
        <v>170</v>
      </c>
    </row>
    <row r="688" spans="1:5" ht="30">
      <c r="A688" s="254">
        <v>815</v>
      </c>
      <c r="B688" s="254" t="s">
        <v>19721</v>
      </c>
      <c r="C688" s="254" t="s">
        <v>4521</v>
      </c>
      <c r="D688" s="255" t="s">
        <v>15736</v>
      </c>
      <c r="E688" s="253" t="s">
        <v>170</v>
      </c>
    </row>
    <row r="689" spans="1:5" ht="30">
      <c r="A689" s="254">
        <v>822</v>
      </c>
      <c r="B689" s="254" t="s">
        <v>19722</v>
      </c>
      <c r="C689" s="254" t="s">
        <v>4521</v>
      </c>
      <c r="D689" s="255" t="s">
        <v>15493</v>
      </c>
      <c r="E689" s="253" t="s">
        <v>170</v>
      </c>
    </row>
    <row r="690" spans="1:5" ht="30">
      <c r="A690" s="254">
        <v>821</v>
      </c>
      <c r="B690" s="254" t="s">
        <v>19723</v>
      </c>
      <c r="C690" s="254" t="s">
        <v>4521</v>
      </c>
      <c r="D690" s="255" t="s">
        <v>15499</v>
      </c>
      <c r="E690" s="253" t="s">
        <v>170</v>
      </c>
    </row>
    <row r="691" spans="1:5" ht="30">
      <c r="A691" s="254">
        <v>817</v>
      </c>
      <c r="B691" s="254" t="s">
        <v>19724</v>
      </c>
      <c r="C691" s="254" t="s">
        <v>4521</v>
      </c>
      <c r="D691" s="255" t="s">
        <v>16558</v>
      </c>
      <c r="E691" s="253" t="s">
        <v>170</v>
      </c>
    </row>
    <row r="692" spans="1:5" ht="15">
      <c r="A692" s="254">
        <v>20086</v>
      </c>
      <c r="B692" s="254" t="s">
        <v>19725</v>
      </c>
      <c r="C692" s="254" t="s">
        <v>4521</v>
      </c>
      <c r="D692" s="255" t="s">
        <v>13664</v>
      </c>
      <c r="E692" s="253" t="s">
        <v>170</v>
      </c>
    </row>
    <row r="693" spans="1:5" ht="30">
      <c r="A693" s="254">
        <v>39191</v>
      </c>
      <c r="B693" s="254" t="s">
        <v>19726</v>
      </c>
      <c r="C693" s="254" t="s">
        <v>4521</v>
      </c>
      <c r="D693" s="255" t="s">
        <v>14937</v>
      </c>
      <c r="E693" s="253" t="s">
        <v>170</v>
      </c>
    </row>
    <row r="694" spans="1:5" ht="15">
      <c r="A694" s="254">
        <v>39190</v>
      </c>
      <c r="B694" s="254" t="s">
        <v>19727</v>
      </c>
      <c r="C694" s="254" t="s">
        <v>4521</v>
      </c>
      <c r="D694" s="255" t="s">
        <v>16942</v>
      </c>
      <c r="E694" s="253" t="s">
        <v>170</v>
      </c>
    </row>
    <row r="695" spans="1:5" ht="15">
      <c r="A695" s="254">
        <v>39189</v>
      </c>
      <c r="B695" s="254" t="s">
        <v>19728</v>
      </c>
      <c r="C695" s="254" t="s">
        <v>4521</v>
      </c>
      <c r="D695" s="255" t="s">
        <v>19729</v>
      </c>
      <c r="E695" s="253" t="s">
        <v>170</v>
      </c>
    </row>
    <row r="696" spans="1:5" ht="15">
      <c r="A696" s="254">
        <v>39186</v>
      </c>
      <c r="B696" s="254" t="s">
        <v>19730</v>
      </c>
      <c r="C696" s="254" t="s">
        <v>4521</v>
      </c>
      <c r="D696" s="255" t="s">
        <v>15722</v>
      </c>
      <c r="E696" s="253" t="s">
        <v>170</v>
      </c>
    </row>
    <row r="697" spans="1:5" ht="15">
      <c r="A697" s="254">
        <v>39188</v>
      </c>
      <c r="B697" s="254" t="s">
        <v>19731</v>
      </c>
      <c r="C697" s="254" t="s">
        <v>4521</v>
      </c>
      <c r="D697" s="255" t="s">
        <v>15446</v>
      </c>
      <c r="E697" s="253" t="s">
        <v>170</v>
      </c>
    </row>
    <row r="698" spans="1:5" ht="15">
      <c r="A698" s="254">
        <v>39187</v>
      </c>
      <c r="B698" s="254" t="s">
        <v>19732</v>
      </c>
      <c r="C698" s="254" t="s">
        <v>4521</v>
      </c>
      <c r="D698" s="255" t="s">
        <v>19733</v>
      </c>
      <c r="E698" s="253" t="s">
        <v>170</v>
      </c>
    </row>
    <row r="699" spans="1:5" ht="15">
      <c r="A699" s="254">
        <v>39184</v>
      </c>
      <c r="B699" s="254" t="s">
        <v>19734</v>
      </c>
      <c r="C699" s="254" t="s">
        <v>4521</v>
      </c>
      <c r="D699" s="255" t="s">
        <v>16237</v>
      </c>
      <c r="E699" s="253" t="s">
        <v>170</v>
      </c>
    </row>
    <row r="700" spans="1:5" ht="15">
      <c r="A700" s="254">
        <v>39185</v>
      </c>
      <c r="B700" s="254" t="s">
        <v>19735</v>
      </c>
      <c r="C700" s="254" t="s">
        <v>4521</v>
      </c>
      <c r="D700" s="255" t="s">
        <v>17672</v>
      </c>
      <c r="E700" s="253" t="s">
        <v>170</v>
      </c>
    </row>
    <row r="701" spans="1:5" ht="30">
      <c r="A701" s="254">
        <v>39198</v>
      </c>
      <c r="B701" s="254" t="s">
        <v>19736</v>
      </c>
      <c r="C701" s="254" t="s">
        <v>4521</v>
      </c>
      <c r="D701" s="255" t="s">
        <v>14927</v>
      </c>
      <c r="E701" s="253" t="s">
        <v>170</v>
      </c>
    </row>
    <row r="702" spans="1:5" ht="30">
      <c r="A702" s="254">
        <v>39197</v>
      </c>
      <c r="B702" s="254" t="s">
        <v>19737</v>
      </c>
      <c r="C702" s="254" t="s">
        <v>4521</v>
      </c>
      <c r="D702" s="255" t="s">
        <v>15098</v>
      </c>
      <c r="E702" s="253" t="s">
        <v>170</v>
      </c>
    </row>
    <row r="703" spans="1:5" ht="15">
      <c r="A703" s="254">
        <v>39196</v>
      </c>
      <c r="B703" s="254" t="s">
        <v>19738</v>
      </c>
      <c r="C703" s="254" t="s">
        <v>4521</v>
      </c>
      <c r="D703" s="255" t="s">
        <v>19739</v>
      </c>
      <c r="E703" s="253" t="s">
        <v>170</v>
      </c>
    </row>
    <row r="704" spans="1:5" ht="15">
      <c r="A704" s="254">
        <v>39199</v>
      </c>
      <c r="B704" s="254" t="s">
        <v>19740</v>
      </c>
      <c r="C704" s="254" t="s">
        <v>4521</v>
      </c>
      <c r="D704" s="255" t="s">
        <v>19741</v>
      </c>
      <c r="E704" s="253" t="s">
        <v>170</v>
      </c>
    </row>
    <row r="705" spans="1:5" ht="15">
      <c r="A705" s="254">
        <v>39195</v>
      </c>
      <c r="B705" s="254" t="s">
        <v>19742</v>
      </c>
      <c r="C705" s="254" t="s">
        <v>4521</v>
      </c>
      <c r="D705" s="255" t="s">
        <v>16933</v>
      </c>
      <c r="E705" s="253" t="s">
        <v>170</v>
      </c>
    </row>
    <row r="706" spans="1:5" ht="15">
      <c r="A706" s="254">
        <v>39194</v>
      </c>
      <c r="B706" s="254" t="s">
        <v>19743</v>
      </c>
      <c r="C706" s="254" t="s">
        <v>4521</v>
      </c>
      <c r="D706" s="255" t="s">
        <v>19744</v>
      </c>
      <c r="E706" s="253" t="s">
        <v>170</v>
      </c>
    </row>
    <row r="707" spans="1:5" ht="15">
      <c r="A707" s="254">
        <v>39193</v>
      </c>
      <c r="B707" s="254" t="s">
        <v>19745</v>
      </c>
      <c r="C707" s="254" t="s">
        <v>4521</v>
      </c>
      <c r="D707" s="255" t="s">
        <v>16619</v>
      </c>
      <c r="E707" s="253" t="s">
        <v>170</v>
      </c>
    </row>
    <row r="708" spans="1:5" ht="15">
      <c r="A708" s="254">
        <v>39192</v>
      </c>
      <c r="B708" s="254" t="s">
        <v>19746</v>
      </c>
      <c r="C708" s="254" t="s">
        <v>4521</v>
      </c>
      <c r="D708" s="255" t="s">
        <v>19747</v>
      </c>
      <c r="E708" s="253" t="s">
        <v>170</v>
      </c>
    </row>
    <row r="709" spans="1:5" ht="15">
      <c r="A709" s="254">
        <v>39920</v>
      </c>
      <c r="B709" s="254" t="s">
        <v>19748</v>
      </c>
      <c r="C709" s="254" t="s">
        <v>4521</v>
      </c>
      <c r="D709" s="255" t="s">
        <v>14140</v>
      </c>
      <c r="E709" s="253" t="s">
        <v>170</v>
      </c>
    </row>
    <row r="710" spans="1:5" ht="15">
      <c r="A710" s="254">
        <v>39201</v>
      </c>
      <c r="B710" s="254" t="s">
        <v>19749</v>
      </c>
      <c r="C710" s="254" t="s">
        <v>4521</v>
      </c>
      <c r="D710" s="255" t="s">
        <v>18465</v>
      </c>
      <c r="E710" s="253" t="s">
        <v>170</v>
      </c>
    </row>
    <row r="711" spans="1:5" ht="15">
      <c r="A711" s="254">
        <v>39200</v>
      </c>
      <c r="B711" s="254" t="s">
        <v>19750</v>
      </c>
      <c r="C711" s="254" t="s">
        <v>4521</v>
      </c>
      <c r="D711" s="255" t="s">
        <v>19751</v>
      </c>
      <c r="E711" s="253" t="s">
        <v>170</v>
      </c>
    </row>
    <row r="712" spans="1:5" ht="15">
      <c r="A712" s="254">
        <v>39203</v>
      </c>
      <c r="B712" s="254" t="s">
        <v>19752</v>
      </c>
      <c r="C712" s="254" t="s">
        <v>4521</v>
      </c>
      <c r="D712" s="255" t="s">
        <v>14126</v>
      </c>
      <c r="E712" s="253" t="s">
        <v>170</v>
      </c>
    </row>
    <row r="713" spans="1:5" ht="15">
      <c r="A713" s="254">
        <v>39202</v>
      </c>
      <c r="B713" s="254" t="s">
        <v>19753</v>
      </c>
      <c r="C713" s="254" t="s">
        <v>4521</v>
      </c>
      <c r="D713" s="255" t="s">
        <v>19754</v>
      </c>
      <c r="E713" s="253" t="s">
        <v>170</v>
      </c>
    </row>
    <row r="714" spans="1:5" ht="15">
      <c r="A714" s="254">
        <v>39205</v>
      </c>
      <c r="B714" s="254" t="s">
        <v>19755</v>
      </c>
      <c r="C714" s="254" t="s">
        <v>4521</v>
      </c>
      <c r="D714" s="255" t="s">
        <v>17883</v>
      </c>
      <c r="E714" s="253" t="s">
        <v>170</v>
      </c>
    </row>
    <row r="715" spans="1:5" ht="15">
      <c r="A715" s="254">
        <v>39204</v>
      </c>
      <c r="B715" s="254" t="s">
        <v>19756</v>
      </c>
      <c r="C715" s="254" t="s">
        <v>4521</v>
      </c>
      <c r="D715" s="255" t="s">
        <v>16208</v>
      </c>
      <c r="E715" s="253" t="s">
        <v>170</v>
      </c>
    </row>
    <row r="716" spans="1:5" ht="15">
      <c r="A716" s="254">
        <v>39206</v>
      </c>
      <c r="B716" s="254" t="s">
        <v>19757</v>
      </c>
      <c r="C716" s="254" t="s">
        <v>4521</v>
      </c>
      <c r="D716" s="255" t="s">
        <v>19758</v>
      </c>
      <c r="E716" s="253" t="s">
        <v>170</v>
      </c>
    </row>
    <row r="717" spans="1:5" ht="15">
      <c r="A717" s="254">
        <v>797</v>
      </c>
      <c r="B717" s="254" t="s">
        <v>19759</v>
      </c>
      <c r="C717" s="254" t="s">
        <v>4521</v>
      </c>
      <c r="D717" s="255" t="s">
        <v>18142</v>
      </c>
      <c r="E717" s="253" t="s">
        <v>170</v>
      </c>
    </row>
    <row r="718" spans="1:5" ht="15">
      <c r="A718" s="254">
        <v>798</v>
      </c>
      <c r="B718" s="254" t="s">
        <v>19760</v>
      </c>
      <c r="C718" s="254" t="s">
        <v>4521</v>
      </c>
      <c r="D718" s="255" t="s">
        <v>14370</v>
      </c>
      <c r="E718" s="253" t="s">
        <v>170</v>
      </c>
    </row>
    <row r="719" spans="1:5" ht="15">
      <c r="A719" s="254">
        <v>796</v>
      </c>
      <c r="B719" s="254" t="s">
        <v>19761</v>
      </c>
      <c r="C719" s="254" t="s">
        <v>4521</v>
      </c>
      <c r="D719" s="255" t="s">
        <v>17876</v>
      </c>
      <c r="E719" s="253" t="s">
        <v>170</v>
      </c>
    </row>
    <row r="720" spans="1:5" ht="15">
      <c r="A720" s="254">
        <v>799</v>
      </c>
      <c r="B720" s="254" t="s">
        <v>19762</v>
      </c>
      <c r="C720" s="254" t="s">
        <v>4521</v>
      </c>
      <c r="D720" s="255" t="s">
        <v>18448</v>
      </c>
      <c r="E720" s="253" t="s">
        <v>170</v>
      </c>
    </row>
    <row r="721" spans="1:5" ht="15">
      <c r="A721" s="254">
        <v>792</v>
      </c>
      <c r="B721" s="254" t="s">
        <v>19763</v>
      </c>
      <c r="C721" s="254" t="s">
        <v>4521</v>
      </c>
      <c r="D721" s="255" t="s">
        <v>13850</v>
      </c>
      <c r="E721" s="253" t="s">
        <v>170</v>
      </c>
    </row>
    <row r="722" spans="1:5" ht="15">
      <c r="A722" s="254">
        <v>804</v>
      </c>
      <c r="B722" s="254" t="s">
        <v>19764</v>
      </c>
      <c r="C722" s="254" t="s">
        <v>4521</v>
      </c>
      <c r="D722" s="255" t="s">
        <v>18028</v>
      </c>
      <c r="E722" s="253" t="s">
        <v>170</v>
      </c>
    </row>
    <row r="723" spans="1:5" ht="15">
      <c r="A723" s="254">
        <v>793</v>
      </c>
      <c r="B723" s="254" t="s">
        <v>19765</v>
      </c>
      <c r="C723" s="254" t="s">
        <v>4521</v>
      </c>
      <c r="D723" s="255" t="s">
        <v>19766</v>
      </c>
      <c r="E723" s="253" t="s">
        <v>170</v>
      </c>
    </row>
    <row r="724" spans="1:5" ht="15">
      <c r="A724" s="254">
        <v>801</v>
      </c>
      <c r="B724" s="254" t="s">
        <v>19767</v>
      </c>
      <c r="C724" s="254" t="s">
        <v>4521</v>
      </c>
      <c r="D724" s="255" t="s">
        <v>19705</v>
      </c>
      <c r="E724" s="253" t="s">
        <v>170</v>
      </c>
    </row>
    <row r="725" spans="1:5" ht="15">
      <c r="A725" s="254">
        <v>794</v>
      </c>
      <c r="B725" s="254" t="s">
        <v>19768</v>
      </c>
      <c r="C725" s="254" t="s">
        <v>4521</v>
      </c>
      <c r="D725" s="255" t="s">
        <v>18541</v>
      </c>
      <c r="E725" s="253" t="s">
        <v>170</v>
      </c>
    </row>
    <row r="726" spans="1:5" ht="15">
      <c r="A726" s="254">
        <v>802</v>
      </c>
      <c r="B726" s="254" t="s">
        <v>19769</v>
      </c>
      <c r="C726" s="254" t="s">
        <v>4521</v>
      </c>
      <c r="D726" s="255" t="s">
        <v>17177</v>
      </c>
      <c r="E726" s="253" t="s">
        <v>170</v>
      </c>
    </row>
    <row r="727" spans="1:5" ht="15">
      <c r="A727" s="254">
        <v>803</v>
      </c>
      <c r="B727" s="254" t="s">
        <v>19770</v>
      </c>
      <c r="C727" s="254" t="s">
        <v>4521</v>
      </c>
      <c r="D727" s="255" t="s">
        <v>16634</v>
      </c>
      <c r="E727" s="253" t="s">
        <v>170</v>
      </c>
    </row>
    <row r="728" spans="1:5" ht="15">
      <c r="A728" s="254">
        <v>38001</v>
      </c>
      <c r="B728" s="254" t="s">
        <v>19771</v>
      </c>
      <c r="C728" s="254" t="s">
        <v>4521</v>
      </c>
      <c r="D728" s="255" t="s">
        <v>18514</v>
      </c>
      <c r="E728" s="253" t="s">
        <v>170</v>
      </c>
    </row>
    <row r="729" spans="1:5" ht="15">
      <c r="A729" s="254">
        <v>38002</v>
      </c>
      <c r="B729" s="254" t="s">
        <v>19772</v>
      </c>
      <c r="C729" s="254" t="s">
        <v>4521</v>
      </c>
      <c r="D729" s="255" t="s">
        <v>13668</v>
      </c>
      <c r="E729" s="253" t="s">
        <v>170</v>
      </c>
    </row>
    <row r="730" spans="1:5" ht="15">
      <c r="A730" s="254">
        <v>38003</v>
      </c>
      <c r="B730" s="254" t="s">
        <v>19773</v>
      </c>
      <c r="C730" s="254" t="s">
        <v>4521</v>
      </c>
      <c r="D730" s="255" t="s">
        <v>13913</v>
      </c>
      <c r="E730" s="253" t="s">
        <v>170</v>
      </c>
    </row>
    <row r="731" spans="1:5" ht="15">
      <c r="A731" s="254">
        <v>38004</v>
      </c>
      <c r="B731" s="254" t="s">
        <v>19774</v>
      </c>
      <c r="C731" s="254" t="s">
        <v>4521</v>
      </c>
      <c r="D731" s="255" t="s">
        <v>17666</v>
      </c>
      <c r="E731" s="253" t="s">
        <v>170</v>
      </c>
    </row>
    <row r="732" spans="1:5" ht="15">
      <c r="A732" s="254">
        <v>36327</v>
      </c>
      <c r="B732" s="254" t="s">
        <v>19775</v>
      </c>
      <c r="C732" s="254" t="s">
        <v>4521</v>
      </c>
      <c r="D732" s="255" t="s">
        <v>14482</v>
      </c>
      <c r="E732" s="253" t="s">
        <v>170</v>
      </c>
    </row>
    <row r="733" spans="1:5" ht="15">
      <c r="A733" s="254">
        <v>38992</v>
      </c>
      <c r="B733" s="254" t="s">
        <v>19776</v>
      </c>
      <c r="C733" s="254" t="s">
        <v>4521</v>
      </c>
      <c r="D733" s="255" t="s">
        <v>18719</v>
      </c>
      <c r="E733" s="253" t="s">
        <v>170</v>
      </c>
    </row>
    <row r="734" spans="1:5" ht="15">
      <c r="A734" s="254">
        <v>38993</v>
      </c>
      <c r="B734" s="254" t="s">
        <v>19777</v>
      </c>
      <c r="C734" s="254" t="s">
        <v>4521</v>
      </c>
      <c r="D734" s="255" t="s">
        <v>15478</v>
      </c>
      <c r="E734" s="253" t="s">
        <v>170</v>
      </c>
    </row>
    <row r="735" spans="1:5" ht="15">
      <c r="A735" s="254">
        <v>38418</v>
      </c>
      <c r="B735" s="254" t="s">
        <v>19778</v>
      </c>
      <c r="C735" s="254" t="s">
        <v>4521</v>
      </c>
      <c r="D735" s="255" t="s">
        <v>17019</v>
      </c>
      <c r="E735" s="253" t="s">
        <v>170</v>
      </c>
    </row>
    <row r="736" spans="1:5" ht="15">
      <c r="A736" s="254">
        <v>39178</v>
      </c>
      <c r="B736" s="254" t="s">
        <v>19779</v>
      </c>
      <c r="C736" s="254" t="s">
        <v>4521</v>
      </c>
      <c r="D736" s="255" t="s">
        <v>14093</v>
      </c>
      <c r="E736" s="253" t="s">
        <v>170</v>
      </c>
    </row>
    <row r="737" spans="1:5" ht="15">
      <c r="A737" s="254">
        <v>39177</v>
      </c>
      <c r="B737" s="254" t="s">
        <v>19780</v>
      </c>
      <c r="C737" s="254" t="s">
        <v>4521</v>
      </c>
      <c r="D737" s="255" t="s">
        <v>14466</v>
      </c>
      <c r="E737" s="253" t="s">
        <v>170</v>
      </c>
    </row>
    <row r="738" spans="1:5" ht="15">
      <c r="A738" s="254">
        <v>39174</v>
      </c>
      <c r="B738" s="254" t="s">
        <v>19781</v>
      </c>
      <c r="C738" s="254" t="s">
        <v>4521</v>
      </c>
      <c r="D738" s="255" t="s">
        <v>14198</v>
      </c>
      <c r="E738" s="253" t="s">
        <v>170</v>
      </c>
    </row>
    <row r="739" spans="1:5" ht="15">
      <c r="A739" s="254">
        <v>39176</v>
      </c>
      <c r="B739" s="254" t="s">
        <v>19782</v>
      </c>
      <c r="C739" s="254" t="s">
        <v>4521</v>
      </c>
      <c r="D739" s="255" t="s">
        <v>14355</v>
      </c>
      <c r="E739" s="253" t="s">
        <v>170</v>
      </c>
    </row>
    <row r="740" spans="1:5" ht="15">
      <c r="A740" s="254">
        <v>39180</v>
      </c>
      <c r="B740" s="254" t="s">
        <v>19783</v>
      </c>
      <c r="C740" s="254" t="s">
        <v>4521</v>
      </c>
      <c r="D740" s="255" t="s">
        <v>16479</v>
      </c>
      <c r="E740" s="253" t="s">
        <v>170</v>
      </c>
    </row>
    <row r="741" spans="1:5" ht="15">
      <c r="A741" s="254">
        <v>39179</v>
      </c>
      <c r="B741" s="254" t="s">
        <v>19784</v>
      </c>
      <c r="C741" s="254" t="s">
        <v>4521</v>
      </c>
      <c r="D741" s="255" t="s">
        <v>19785</v>
      </c>
      <c r="E741" s="253" t="s">
        <v>170</v>
      </c>
    </row>
    <row r="742" spans="1:5" ht="15">
      <c r="A742" s="254">
        <v>39175</v>
      </c>
      <c r="B742" s="254" t="s">
        <v>19786</v>
      </c>
      <c r="C742" s="254" t="s">
        <v>4521</v>
      </c>
      <c r="D742" s="255" t="s">
        <v>14183</v>
      </c>
      <c r="E742" s="253" t="s">
        <v>170</v>
      </c>
    </row>
    <row r="743" spans="1:5" ht="15">
      <c r="A743" s="254">
        <v>39217</v>
      </c>
      <c r="B743" s="254" t="s">
        <v>19787</v>
      </c>
      <c r="C743" s="254" t="s">
        <v>4521</v>
      </c>
      <c r="D743" s="255" t="s">
        <v>18618</v>
      </c>
      <c r="E743" s="253" t="s">
        <v>170</v>
      </c>
    </row>
    <row r="744" spans="1:5" ht="15">
      <c r="A744" s="254">
        <v>39181</v>
      </c>
      <c r="B744" s="254" t="s">
        <v>19788</v>
      </c>
      <c r="C744" s="254" t="s">
        <v>4521</v>
      </c>
      <c r="D744" s="255" t="s">
        <v>19789</v>
      </c>
      <c r="E744" s="253" t="s">
        <v>170</v>
      </c>
    </row>
    <row r="745" spans="1:5" ht="15">
      <c r="A745" s="254">
        <v>39182</v>
      </c>
      <c r="B745" s="254" t="s">
        <v>19790</v>
      </c>
      <c r="C745" s="254" t="s">
        <v>4521</v>
      </c>
      <c r="D745" s="255" t="s">
        <v>14657</v>
      </c>
      <c r="E745" s="253" t="s">
        <v>170</v>
      </c>
    </row>
    <row r="746" spans="1:5" ht="30">
      <c r="A746" s="254">
        <v>12616</v>
      </c>
      <c r="B746" s="254" t="s">
        <v>19791</v>
      </c>
      <c r="C746" s="254" t="s">
        <v>4521</v>
      </c>
      <c r="D746" s="255" t="s">
        <v>19792</v>
      </c>
      <c r="E746" s="253" t="s">
        <v>170</v>
      </c>
    </row>
    <row r="747" spans="1:5" ht="45">
      <c r="A747" s="254">
        <v>1049</v>
      </c>
      <c r="B747" s="254" t="s">
        <v>19793</v>
      </c>
      <c r="C747" s="254" t="s">
        <v>4521</v>
      </c>
      <c r="D747" s="255" t="s">
        <v>18144</v>
      </c>
      <c r="E747" s="253" t="s">
        <v>170</v>
      </c>
    </row>
    <row r="748" spans="1:5" ht="45">
      <c r="A748" s="254">
        <v>1099</v>
      </c>
      <c r="B748" s="254" t="s">
        <v>19794</v>
      </c>
      <c r="C748" s="254" t="s">
        <v>4521</v>
      </c>
      <c r="D748" s="255" t="s">
        <v>17007</v>
      </c>
      <c r="E748" s="253" t="s">
        <v>170</v>
      </c>
    </row>
    <row r="749" spans="1:5" ht="45">
      <c r="A749" s="254">
        <v>39678</v>
      </c>
      <c r="B749" s="254" t="s">
        <v>19795</v>
      </c>
      <c r="C749" s="254" t="s">
        <v>4521</v>
      </c>
      <c r="D749" s="255" t="s">
        <v>14250</v>
      </c>
      <c r="E749" s="253" t="s">
        <v>170</v>
      </c>
    </row>
    <row r="750" spans="1:5" ht="45">
      <c r="A750" s="254">
        <v>1050</v>
      </c>
      <c r="B750" s="254" t="s">
        <v>19796</v>
      </c>
      <c r="C750" s="254" t="s">
        <v>4521</v>
      </c>
      <c r="D750" s="255" t="s">
        <v>17598</v>
      </c>
      <c r="E750" s="253" t="s">
        <v>170</v>
      </c>
    </row>
    <row r="751" spans="1:5" ht="45">
      <c r="A751" s="254">
        <v>1101</v>
      </c>
      <c r="B751" s="254" t="s">
        <v>19797</v>
      </c>
      <c r="C751" s="254" t="s">
        <v>4521</v>
      </c>
      <c r="D751" s="255" t="s">
        <v>18012</v>
      </c>
      <c r="E751" s="253" t="s">
        <v>170</v>
      </c>
    </row>
    <row r="752" spans="1:5" ht="45">
      <c r="A752" s="254">
        <v>1100</v>
      </c>
      <c r="B752" s="254" t="s">
        <v>19798</v>
      </c>
      <c r="C752" s="254" t="s">
        <v>4521</v>
      </c>
      <c r="D752" s="255" t="s">
        <v>19799</v>
      </c>
      <c r="E752" s="253" t="s">
        <v>170</v>
      </c>
    </row>
    <row r="753" spans="1:5" ht="45">
      <c r="A753" s="254">
        <v>39679</v>
      </c>
      <c r="B753" s="254" t="s">
        <v>19800</v>
      </c>
      <c r="C753" s="254" t="s">
        <v>4521</v>
      </c>
      <c r="D753" s="255" t="s">
        <v>17172</v>
      </c>
      <c r="E753" s="253" t="s">
        <v>170</v>
      </c>
    </row>
    <row r="754" spans="1:5" ht="45">
      <c r="A754" s="254">
        <v>1098</v>
      </c>
      <c r="B754" s="254" t="s">
        <v>19801</v>
      </c>
      <c r="C754" s="254" t="s">
        <v>4521</v>
      </c>
      <c r="D754" s="255" t="s">
        <v>19524</v>
      </c>
      <c r="E754" s="253" t="s">
        <v>170</v>
      </c>
    </row>
    <row r="755" spans="1:5" ht="45">
      <c r="A755" s="254">
        <v>1102</v>
      </c>
      <c r="B755" s="254" t="s">
        <v>19802</v>
      </c>
      <c r="C755" s="254" t="s">
        <v>4521</v>
      </c>
      <c r="D755" s="255" t="s">
        <v>15822</v>
      </c>
      <c r="E755" s="253" t="s">
        <v>170</v>
      </c>
    </row>
    <row r="756" spans="1:5" ht="45">
      <c r="A756" s="254">
        <v>1051</v>
      </c>
      <c r="B756" s="254" t="s">
        <v>19803</v>
      </c>
      <c r="C756" s="254" t="s">
        <v>4521</v>
      </c>
      <c r="D756" s="255" t="s">
        <v>19804</v>
      </c>
      <c r="E756" s="253" t="s">
        <v>170</v>
      </c>
    </row>
    <row r="757" spans="1:5" ht="15">
      <c r="A757" s="254">
        <v>37399</v>
      </c>
      <c r="B757" s="254" t="s">
        <v>19805</v>
      </c>
      <c r="C757" s="254" t="s">
        <v>4521</v>
      </c>
      <c r="D757" s="255" t="s">
        <v>17228</v>
      </c>
      <c r="E757" s="253" t="s">
        <v>170</v>
      </c>
    </row>
    <row r="758" spans="1:5" ht="30">
      <c r="A758" s="254">
        <v>41955</v>
      </c>
      <c r="B758" s="254" t="s">
        <v>19806</v>
      </c>
      <c r="C758" s="254" t="s">
        <v>4525</v>
      </c>
      <c r="D758" s="255" t="s">
        <v>13980</v>
      </c>
      <c r="E758" s="253" t="s">
        <v>170</v>
      </c>
    </row>
    <row r="759" spans="1:5" ht="30">
      <c r="A759" s="254">
        <v>41953</v>
      </c>
      <c r="B759" s="254" t="s">
        <v>19807</v>
      </c>
      <c r="C759" s="254" t="s">
        <v>4525</v>
      </c>
      <c r="D759" s="255" t="s">
        <v>19808</v>
      </c>
      <c r="E759" s="253" t="s">
        <v>170</v>
      </c>
    </row>
    <row r="760" spans="1:5" ht="30">
      <c r="A760" s="254">
        <v>41954</v>
      </c>
      <c r="B760" s="254" t="s">
        <v>19809</v>
      </c>
      <c r="C760" s="254" t="s">
        <v>4525</v>
      </c>
      <c r="D760" s="255" t="s">
        <v>19810</v>
      </c>
      <c r="E760" s="253" t="s">
        <v>170</v>
      </c>
    </row>
    <row r="761" spans="1:5" ht="30">
      <c r="A761" s="254">
        <v>42655</v>
      </c>
      <c r="B761" s="254" t="s">
        <v>19811</v>
      </c>
      <c r="C761" s="254" t="s">
        <v>4525</v>
      </c>
      <c r="D761" s="255" t="s">
        <v>19812</v>
      </c>
      <c r="E761" s="253" t="s">
        <v>170</v>
      </c>
    </row>
    <row r="762" spans="1:5" ht="15">
      <c r="A762" s="254">
        <v>25004</v>
      </c>
      <c r="B762" s="254" t="s">
        <v>19813</v>
      </c>
      <c r="C762" s="254" t="s">
        <v>4525</v>
      </c>
      <c r="D762" s="255" t="s">
        <v>17608</v>
      </c>
      <c r="E762" s="253" t="s">
        <v>170</v>
      </c>
    </row>
    <row r="763" spans="1:5" ht="15">
      <c r="A763" s="254">
        <v>25002</v>
      </c>
      <c r="B763" s="254" t="s">
        <v>19814</v>
      </c>
      <c r="C763" s="254" t="s">
        <v>4525</v>
      </c>
      <c r="D763" s="255" t="s">
        <v>19815</v>
      </c>
      <c r="E763" s="253" t="s">
        <v>170</v>
      </c>
    </row>
    <row r="764" spans="1:5" ht="15">
      <c r="A764" s="254">
        <v>37409</v>
      </c>
      <c r="B764" s="254" t="s">
        <v>19816</v>
      </c>
      <c r="C764" s="254" t="s">
        <v>4525</v>
      </c>
      <c r="D764" s="255" t="s">
        <v>18106</v>
      </c>
      <c r="E764" s="253" t="s">
        <v>170</v>
      </c>
    </row>
    <row r="765" spans="1:5" ht="15">
      <c r="A765" s="254">
        <v>841</v>
      </c>
      <c r="B765" s="254" t="s">
        <v>19817</v>
      </c>
      <c r="C765" s="254" t="s">
        <v>4525</v>
      </c>
      <c r="D765" s="255" t="s">
        <v>19818</v>
      </c>
      <c r="E765" s="253" t="s">
        <v>170</v>
      </c>
    </row>
    <row r="766" spans="1:5" ht="15">
      <c r="A766" s="254">
        <v>25005</v>
      </c>
      <c r="B766" s="254" t="s">
        <v>19819</v>
      </c>
      <c r="C766" s="254" t="s">
        <v>4525</v>
      </c>
      <c r="D766" s="255" t="s">
        <v>15935</v>
      </c>
      <c r="E766" s="253" t="s">
        <v>170</v>
      </c>
    </row>
    <row r="767" spans="1:5" ht="15">
      <c r="A767" s="254">
        <v>25003</v>
      </c>
      <c r="B767" s="254" t="s">
        <v>19820</v>
      </c>
      <c r="C767" s="254" t="s">
        <v>4525</v>
      </c>
      <c r="D767" s="255" t="s">
        <v>19821</v>
      </c>
      <c r="E767" s="253" t="s">
        <v>170</v>
      </c>
    </row>
    <row r="768" spans="1:5" ht="15">
      <c r="A768" s="254">
        <v>37410</v>
      </c>
      <c r="B768" s="254" t="s">
        <v>19822</v>
      </c>
      <c r="C768" s="254" t="s">
        <v>4525</v>
      </c>
      <c r="D768" s="255" t="s">
        <v>15935</v>
      </c>
      <c r="E768" s="253" t="s">
        <v>170</v>
      </c>
    </row>
    <row r="769" spans="1:5" ht="15">
      <c r="A769" s="254">
        <v>842</v>
      </c>
      <c r="B769" s="254" t="s">
        <v>19823</v>
      </c>
      <c r="C769" s="254" t="s">
        <v>4525</v>
      </c>
      <c r="D769" s="255" t="s">
        <v>18871</v>
      </c>
      <c r="E769" s="253" t="s">
        <v>170</v>
      </c>
    </row>
    <row r="770" spans="1:5" ht="15">
      <c r="A770" s="254">
        <v>862</v>
      </c>
      <c r="B770" s="254" t="s">
        <v>19824</v>
      </c>
      <c r="C770" s="254" t="s">
        <v>4524</v>
      </c>
      <c r="D770" s="255" t="s">
        <v>16670</v>
      </c>
      <c r="E770" s="253" t="s">
        <v>170</v>
      </c>
    </row>
    <row r="771" spans="1:5" ht="15">
      <c r="A771" s="254">
        <v>866</v>
      </c>
      <c r="B771" s="254" t="s">
        <v>19825</v>
      </c>
      <c r="C771" s="254" t="s">
        <v>4524</v>
      </c>
      <c r="D771" s="255" t="s">
        <v>19826</v>
      </c>
      <c r="E771" s="253" t="s">
        <v>170</v>
      </c>
    </row>
    <row r="772" spans="1:5" ht="15">
      <c r="A772" s="254">
        <v>892</v>
      </c>
      <c r="B772" s="254" t="s">
        <v>19827</v>
      </c>
      <c r="C772" s="254" t="s">
        <v>4524</v>
      </c>
      <c r="D772" s="255" t="s">
        <v>19828</v>
      </c>
      <c r="E772" s="253" t="s">
        <v>170</v>
      </c>
    </row>
    <row r="773" spans="1:5" ht="15">
      <c r="A773" s="254">
        <v>857</v>
      </c>
      <c r="B773" s="254" t="s">
        <v>19829</v>
      </c>
      <c r="C773" s="254" t="s">
        <v>4524</v>
      </c>
      <c r="D773" s="255" t="s">
        <v>13636</v>
      </c>
      <c r="E773" s="253" t="s">
        <v>170</v>
      </c>
    </row>
    <row r="774" spans="1:5" ht="15">
      <c r="A774" s="254">
        <v>37404</v>
      </c>
      <c r="B774" s="254" t="s">
        <v>19830</v>
      </c>
      <c r="C774" s="254" t="s">
        <v>4524</v>
      </c>
      <c r="D774" s="255" t="s">
        <v>19831</v>
      </c>
      <c r="E774" s="253" t="s">
        <v>170</v>
      </c>
    </row>
    <row r="775" spans="1:5" ht="15">
      <c r="A775" s="254">
        <v>868</v>
      </c>
      <c r="B775" s="254" t="s">
        <v>19832</v>
      </c>
      <c r="C775" s="254" t="s">
        <v>4524</v>
      </c>
      <c r="D775" s="255" t="s">
        <v>19833</v>
      </c>
      <c r="E775" s="253" t="s">
        <v>170</v>
      </c>
    </row>
    <row r="776" spans="1:5" ht="15">
      <c r="A776" s="254">
        <v>870</v>
      </c>
      <c r="B776" s="254" t="s">
        <v>19834</v>
      </c>
      <c r="C776" s="254" t="s">
        <v>4524</v>
      </c>
      <c r="D776" s="255" t="s">
        <v>19835</v>
      </c>
      <c r="E776" s="253" t="s">
        <v>170</v>
      </c>
    </row>
    <row r="777" spans="1:5" ht="15">
      <c r="A777" s="254">
        <v>863</v>
      </c>
      <c r="B777" s="254" t="s">
        <v>19836</v>
      </c>
      <c r="C777" s="254" t="s">
        <v>4524</v>
      </c>
      <c r="D777" s="255" t="s">
        <v>19837</v>
      </c>
      <c r="E777" s="253" t="s">
        <v>170</v>
      </c>
    </row>
    <row r="778" spans="1:5" ht="15">
      <c r="A778" s="254">
        <v>867</v>
      </c>
      <c r="B778" s="254" t="s">
        <v>19838</v>
      </c>
      <c r="C778" s="254" t="s">
        <v>4524</v>
      </c>
      <c r="D778" s="255" t="s">
        <v>16669</v>
      </c>
      <c r="E778" s="253" t="s">
        <v>170</v>
      </c>
    </row>
    <row r="779" spans="1:5" ht="15">
      <c r="A779" s="254">
        <v>891</v>
      </c>
      <c r="B779" s="254" t="s">
        <v>19839</v>
      </c>
      <c r="C779" s="254" t="s">
        <v>4524</v>
      </c>
      <c r="D779" s="255" t="s">
        <v>19840</v>
      </c>
      <c r="E779" s="253" t="s">
        <v>170</v>
      </c>
    </row>
    <row r="780" spans="1:5" ht="15">
      <c r="A780" s="254">
        <v>864</v>
      </c>
      <c r="B780" s="254" t="s">
        <v>19841</v>
      </c>
      <c r="C780" s="254" t="s">
        <v>4524</v>
      </c>
      <c r="D780" s="255" t="s">
        <v>19842</v>
      </c>
      <c r="E780" s="253" t="s">
        <v>170</v>
      </c>
    </row>
    <row r="781" spans="1:5" ht="15">
      <c r="A781" s="254">
        <v>865</v>
      </c>
      <c r="B781" s="254" t="s">
        <v>19843</v>
      </c>
      <c r="C781" s="254" t="s">
        <v>4524</v>
      </c>
      <c r="D781" s="255" t="s">
        <v>19844</v>
      </c>
      <c r="E781" s="253" t="s">
        <v>170</v>
      </c>
    </row>
    <row r="782" spans="1:5" ht="30">
      <c r="A782" s="254">
        <v>1006</v>
      </c>
      <c r="B782" s="254" t="s">
        <v>19845</v>
      </c>
      <c r="C782" s="254" t="s">
        <v>4524</v>
      </c>
      <c r="D782" s="255" t="s">
        <v>19846</v>
      </c>
      <c r="E782" s="253" t="s">
        <v>170</v>
      </c>
    </row>
    <row r="783" spans="1:5" ht="30">
      <c r="A783" s="254">
        <v>948</v>
      </c>
      <c r="B783" s="254" t="s">
        <v>19847</v>
      </c>
      <c r="C783" s="254" t="s">
        <v>4524</v>
      </c>
      <c r="D783" s="255" t="s">
        <v>19848</v>
      </c>
      <c r="E783" s="253" t="s">
        <v>170</v>
      </c>
    </row>
    <row r="784" spans="1:5" ht="30">
      <c r="A784" s="254">
        <v>947</v>
      </c>
      <c r="B784" s="254" t="s">
        <v>19849</v>
      </c>
      <c r="C784" s="254" t="s">
        <v>4524</v>
      </c>
      <c r="D784" s="255" t="s">
        <v>18561</v>
      </c>
      <c r="E784" s="253" t="s">
        <v>170</v>
      </c>
    </row>
    <row r="785" spans="1:5" ht="30">
      <c r="A785" s="254">
        <v>911</v>
      </c>
      <c r="B785" s="254" t="s">
        <v>19850</v>
      </c>
      <c r="C785" s="254" t="s">
        <v>4524</v>
      </c>
      <c r="D785" s="255" t="s">
        <v>19851</v>
      </c>
      <c r="E785" s="253" t="s">
        <v>170</v>
      </c>
    </row>
    <row r="786" spans="1:5" ht="30">
      <c r="A786" s="254">
        <v>925</v>
      </c>
      <c r="B786" s="254" t="s">
        <v>19852</v>
      </c>
      <c r="C786" s="254" t="s">
        <v>4524</v>
      </c>
      <c r="D786" s="255" t="s">
        <v>14136</v>
      </c>
      <c r="E786" s="253" t="s">
        <v>170</v>
      </c>
    </row>
    <row r="787" spans="1:5" ht="30">
      <c r="A787" s="254">
        <v>954</v>
      </c>
      <c r="B787" s="254" t="s">
        <v>19853</v>
      </c>
      <c r="C787" s="254" t="s">
        <v>4524</v>
      </c>
      <c r="D787" s="255" t="s">
        <v>16574</v>
      </c>
      <c r="E787" s="253" t="s">
        <v>170</v>
      </c>
    </row>
    <row r="788" spans="1:5" ht="30">
      <c r="A788" s="254">
        <v>901</v>
      </c>
      <c r="B788" s="254" t="s">
        <v>19854</v>
      </c>
      <c r="C788" s="254" t="s">
        <v>4524</v>
      </c>
      <c r="D788" s="255" t="s">
        <v>16504</v>
      </c>
      <c r="E788" s="253" t="s">
        <v>170</v>
      </c>
    </row>
    <row r="789" spans="1:5" ht="30">
      <c r="A789" s="254">
        <v>926</v>
      </c>
      <c r="B789" s="254" t="s">
        <v>19855</v>
      </c>
      <c r="C789" s="254" t="s">
        <v>4524</v>
      </c>
      <c r="D789" s="255" t="s">
        <v>19856</v>
      </c>
      <c r="E789" s="253" t="s">
        <v>170</v>
      </c>
    </row>
    <row r="790" spans="1:5" ht="30">
      <c r="A790" s="254">
        <v>912</v>
      </c>
      <c r="B790" s="254" t="s">
        <v>19857</v>
      </c>
      <c r="C790" s="254" t="s">
        <v>4524</v>
      </c>
      <c r="D790" s="255" t="s">
        <v>15989</v>
      </c>
      <c r="E790" s="253" t="s">
        <v>170</v>
      </c>
    </row>
    <row r="791" spans="1:5" ht="30">
      <c r="A791" s="254">
        <v>955</v>
      </c>
      <c r="B791" s="254" t="s">
        <v>19858</v>
      </c>
      <c r="C791" s="254" t="s">
        <v>4524</v>
      </c>
      <c r="D791" s="255" t="s">
        <v>19859</v>
      </c>
      <c r="E791" s="253" t="s">
        <v>170</v>
      </c>
    </row>
    <row r="792" spans="1:5" ht="30">
      <c r="A792" s="254">
        <v>946</v>
      </c>
      <c r="B792" s="254" t="s">
        <v>19860</v>
      </c>
      <c r="C792" s="254" t="s">
        <v>4524</v>
      </c>
      <c r="D792" s="255" t="s">
        <v>19861</v>
      </c>
      <c r="E792" s="253" t="s">
        <v>170</v>
      </c>
    </row>
    <row r="793" spans="1:5" ht="30">
      <c r="A793" s="254">
        <v>953</v>
      </c>
      <c r="B793" s="254" t="s">
        <v>19862</v>
      </c>
      <c r="C793" s="254" t="s">
        <v>4524</v>
      </c>
      <c r="D793" s="255" t="s">
        <v>18481</v>
      </c>
      <c r="E793" s="253" t="s">
        <v>170</v>
      </c>
    </row>
    <row r="794" spans="1:5" ht="30">
      <c r="A794" s="254">
        <v>902</v>
      </c>
      <c r="B794" s="254" t="s">
        <v>19863</v>
      </c>
      <c r="C794" s="254" t="s">
        <v>4524</v>
      </c>
      <c r="D794" s="255" t="s">
        <v>19864</v>
      </c>
      <c r="E794" s="253" t="s">
        <v>170</v>
      </c>
    </row>
    <row r="795" spans="1:5" ht="30">
      <c r="A795" s="254">
        <v>927</v>
      </c>
      <c r="B795" s="254" t="s">
        <v>19865</v>
      </c>
      <c r="C795" s="254" t="s">
        <v>4524</v>
      </c>
      <c r="D795" s="255" t="s">
        <v>19866</v>
      </c>
      <c r="E795" s="253" t="s">
        <v>170</v>
      </c>
    </row>
    <row r="796" spans="1:5" ht="30">
      <c r="A796" s="254">
        <v>913</v>
      </c>
      <c r="B796" s="254" t="s">
        <v>19867</v>
      </c>
      <c r="C796" s="254" t="s">
        <v>4524</v>
      </c>
      <c r="D796" s="255" t="s">
        <v>15711</v>
      </c>
      <c r="E796" s="253" t="s">
        <v>170</v>
      </c>
    </row>
    <row r="797" spans="1:5" ht="30">
      <c r="A797" s="254">
        <v>903</v>
      </c>
      <c r="B797" s="254" t="s">
        <v>19868</v>
      </c>
      <c r="C797" s="254" t="s">
        <v>4524</v>
      </c>
      <c r="D797" s="255" t="s">
        <v>19869</v>
      </c>
      <c r="E797" s="253" t="s">
        <v>170</v>
      </c>
    </row>
    <row r="798" spans="1:5" ht="30">
      <c r="A798" s="254">
        <v>945</v>
      </c>
      <c r="B798" s="254" t="s">
        <v>19870</v>
      </c>
      <c r="C798" s="254" t="s">
        <v>4524</v>
      </c>
      <c r="D798" s="255" t="s">
        <v>19871</v>
      </c>
      <c r="E798" s="253" t="s">
        <v>170</v>
      </c>
    </row>
    <row r="799" spans="1:5" ht="30">
      <c r="A799" s="254">
        <v>914</v>
      </c>
      <c r="B799" s="254" t="s">
        <v>19872</v>
      </c>
      <c r="C799" s="254" t="s">
        <v>4524</v>
      </c>
      <c r="D799" s="255" t="s">
        <v>19873</v>
      </c>
      <c r="E799" s="253" t="s">
        <v>170</v>
      </c>
    </row>
    <row r="800" spans="1:5" ht="45">
      <c r="A800" s="254">
        <v>993</v>
      </c>
      <c r="B800" s="254" t="s">
        <v>19874</v>
      </c>
      <c r="C800" s="254" t="s">
        <v>4524</v>
      </c>
      <c r="D800" s="255" t="s">
        <v>19875</v>
      </c>
      <c r="E800" s="253" t="s">
        <v>170</v>
      </c>
    </row>
    <row r="801" spans="1:5" ht="45">
      <c r="A801" s="254">
        <v>1020</v>
      </c>
      <c r="B801" s="254" t="s">
        <v>19876</v>
      </c>
      <c r="C801" s="254" t="s">
        <v>4524</v>
      </c>
      <c r="D801" s="255" t="s">
        <v>15455</v>
      </c>
      <c r="E801" s="253" t="s">
        <v>170</v>
      </c>
    </row>
    <row r="802" spans="1:5" ht="45">
      <c r="A802" s="254">
        <v>1017</v>
      </c>
      <c r="B802" s="254" t="s">
        <v>19877</v>
      </c>
      <c r="C802" s="254" t="s">
        <v>4524</v>
      </c>
      <c r="D802" s="255" t="s">
        <v>19430</v>
      </c>
      <c r="E802" s="253" t="s">
        <v>170</v>
      </c>
    </row>
    <row r="803" spans="1:5" ht="45">
      <c r="A803" s="254">
        <v>999</v>
      </c>
      <c r="B803" s="254" t="s">
        <v>19878</v>
      </c>
      <c r="C803" s="254" t="s">
        <v>4524</v>
      </c>
      <c r="D803" s="255" t="s">
        <v>19879</v>
      </c>
      <c r="E803" s="253" t="s">
        <v>170</v>
      </c>
    </row>
    <row r="804" spans="1:5" ht="45">
      <c r="A804" s="254">
        <v>995</v>
      </c>
      <c r="B804" s="254" t="s">
        <v>19880</v>
      </c>
      <c r="C804" s="254" t="s">
        <v>4524</v>
      </c>
      <c r="D804" s="255" t="s">
        <v>16665</v>
      </c>
      <c r="E804" s="253" t="s">
        <v>170</v>
      </c>
    </row>
    <row r="805" spans="1:5" ht="45">
      <c r="A805" s="254">
        <v>1000</v>
      </c>
      <c r="B805" s="254" t="s">
        <v>19881</v>
      </c>
      <c r="C805" s="254" t="s">
        <v>4524</v>
      </c>
      <c r="D805" s="255" t="s">
        <v>19882</v>
      </c>
      <c r="E805" s="253" t="s">
        <v>170</v>
      </c>
    </row>
    <row r="806" spans="1:5" ht="45">
      <c r="A806" s="254">
        <v>1022</v>
      </c>
      <c r="B806" s="254" t="s">
        <v>19883</v>
      </c>
      <c r="C806" s="254" t="s">
        <v>4524</v>
      </c>
      <c r="D806" s="255" t="s">
        <v>19884</v>
      </c>
      <c r="E806" s="253" t="s">
        <v>170</v>
      </c>
    </row>
    <row r="807" spans="1:5" ht="45">
      <c r="A807" s="254">
        <v>1015</v>
      </c>
      <c r="B807" s="254" t="s">
        <v>19885</v>
      </c>
      <c r="C807" s="254" t="s">
        <v>4524</v>
      </c>
      <c r="D807" s="255" t="s">
        <v>19886</v>
      </c>
      <c r="E807" s="253" t="s">
        <v>170</v>
      </c>
    </row>
    <row r="808" spans="1:5" ht="45">
      <c r="A808" s="254">
        <v>996</v>
      </c>
      <c r="B808" s="254" t="s">
        <v>19887</v>
      </c>
      <c r="C808" s="254" t="s">
        <v>4524</v>
      </c>
      <c r="D808" s="255" t="s">
        <v>16991</v>
      </c>
      <c r="E808" s="253" t="s">
        <v>170</v>
      </c>
    </row>
    <row r="809" spans="1:5" ht="45">
      <c r="A809" s="254">
        <v>1001</v>
      </c>
      <c r="B809" s="254" t="s">
        <v>19888</v>
      </c>
      <c r="C809" s="254" t="s">
        <v>4524</v>
      </c>
      <c r="D809" s="255" t="s">
        <v>19889</v>
      </c>
      <c r="E809" s="253" t="s">
        <v>170</v>
      </c>
    </row>
    <row r="810" spans="1:5" ht="45">
      <c r="A810" s="254">
        <v>1019</v>
      </c>
      <c r="B810" s="254" t="s">
        <v>19890</v>
      </c>
      <c r="C810" s="254" t="s">
        <v>4524</v>
      </c>
      <c r="D810" s="255" t="s">
        <v>19891</v>
      </c>
      <c r="E810" s="253" t="s">
        <v>170</v>
      </c>
    </row>
    <row r="811" spans="1:5" ht="45">
      <c r="A811" s="254">
        <v>1021</v>
      </c>
      <c r="B811" s="254" t="s">
        <v>19892</v>
      </c>
      <c r="C811" s="254" t="s">
        <v>4524</v>
      </c>
      <c r="D811" s="255" t="s">
        <v>19893</v>
      </c>
      <c r="E811" s="253" t="s">
        <v>170</v>
      </c>
    </row>
    <row r="812" spans="1:5" ht="45">
      <c r="A812" s="254">
        <v>39249</v>
      </c>
      <c r="B812" s="254" t="s">
        <v>19894</v>
      </c>
      <c r="C812" s="254" t="s">
        <v>4524</v>
      </c>
      <c r="D812" s="255" t="s">
        <v>19895</v>
      </c>
      <c r="E812" s="253" t="s">
        <v>170</v>
      </c>
    </row>
    <row r="813" spans="1:5" ht="45">
      <c r="A813" s="254">
        <v>1018</v>
      </c>
      <c r="B813" s="254" t="s">
        <v>19896</v>
      </c>
      <c r="C813" s="254" t="s">
        <v>4524</v>
      </c>
      <c r="D813" s="255" t="s">
        <v>19897</v>
      </c>
      <c r="E813" s="253" t="s">
        <v>170</v>
      </c>
    </row>
    <row r="814" spans="1:5" ht="45">
      <c r="A814" s="254">
        <v>39250</v>
      </c>
      <c r="B814" s="254" t="s">
        <v>19898</v>
      </c>
      <c r="C814" s="254" t="s">
        <v>4524</v>
      </c>
      <c r="D814" s="255" t="s">
        <v>19899</v>
      </c>
      <c r="E814" s="253" t="s">
        <v>170</v>
      </c>
    </row>
    <row r="815" spans="1:5" ht="45">
      <c r="A815" s="254">
        <v>994</v>
      </c>
      <c r="B815" s="254" t="s">
        <v>19900</v>
      </c>
      <c r="C815" s="254" t="s">
        <v>4524</v>
      </c>
      <c r="D815" s="255" t="s">
        <v>17544</v>
      </c>
      <c r="E815" s="253" t="s">
        <v>170</v>
      </c>
    </row>
    <row r="816" spans="1:5" ht="45">
      <c r="A816" s="254">
        <v>977</v>
      </c>
      <c r="B816" s="254" t="s">
        <v>19901</v>
      </c>
      <c r="C816" s="254" t="s">
        <v>4524</v>
      </c>
      <c r="D816" s="255" t="s">
        <v>19902</v>
      </c>
      <c r="E816" s="253" t="s">
        <v>170</v>
      </c>
    </row>
    <row r="817" spans="1:5" ht="45">
      <c r="A817" s="254">
        <v>998</v>
      </c>
      <c r="B817" s="254" t="s">
        <v>19903</v>
      </c>
      <c r="C817" s="254" t="s">
        <v>4524</v>
      </c>
      <c r="D817" s="255" t="s">
        <v>19904</v>
      </c>
      <c r="E817" s="253" t="s">
        <v>170</v>
      </c>
    </row>
    <row r="818" spans="1:5" ht="30">
      <c r="A818" s="254">
        <v>39251</v>
      </c>
      <c r="B818" s="254" t="s">
        <v>19905</v>
      </c>
      <c r="C818" s="254" t="s">
        <v>4524</v>
      </c>
      <c r="D818" s="255" t="s">
        <v>18460</v>
      </c>
      <c r="E818" s="253" t="s">
        <v>170</v>
      </c>
    </row>
    <row r="819" spans="1:5" ht="30">
      <c r="A819" s="254">
        <v>1011</v>
      </c>
      <c r="B819" s="254" t="s">
        <v>19906</v>
      </c>
      <c r="C819" s="254" t="s">
        <v>4524</v>
      </c>
      <c r="D819" s="255" t="s">
        <v>14350</v>
      </c>
      <c r="E819" s="253" t="s">
        <v>170</v>
      </c>
    </row>
    <row r="820" spans="1:5" ht="30">
      <c r="A820" s="254">
        <v>39252</v>
      </c>
      <c r="B820" s="254" t="s">
        <v>19907</v>
      </c>
      <c r="C820" s="254" t="s">
        <v>4524</v>
      </c>
      <c r="D820" s="255" t="s">
        <v>13989</v>
      </c>
      <c r="E820" s="253" t="s">
        <v>170</v>
      </c>
    </row>
    <row r="821" spans="1:5" ht="30">
      <c r="A821" s="254">
        <v>1013</v>
      </c>
      <c r="B821" s="254" t="s">
        <v>19908</v>
      </c>
      <c r="C821" s="254" t="s">
        <v>4524</v>
      </c>
      <c r="D821" s="255" t="s">
        <v>19909</v>
      </c>
      <c r="E821" s="253" t="s">
        <v>170</v>
      </c>
    </row>
    <row r="822" spans="1:5" ht="30">
      <c r="A822" s="254">
        <v>980</v>
      </c>
      <c r="B822" s="254" t="s">
        <v>19910</v>
      </c>
      <c r="C822" s="254" t="s">
        <v>4524</v>
      </c>
      <c r="D822" s="255" t="s">
        <v>19911</v>
      </c>
      <c r="E822" s="253" t="s">
        <v>170</v>
      </c>
    </row>
    <row r="823" spans="1:5" ht="30">
      <c r="A823" s="254">
        <v>39237</v>
      </c>
      <c r="B823" s="254" t="s">
        <v>19912</v>
      </c>
      <c r="C823" s="254" t="s">
        <v>4524</v>
      </c>
      <c r="D823" s="255" t="s">
        <v>19913</v>
      </c>
      <c r="E823" s="253" t="s">
        <v>170</v>
      </c>
    </row>
    <row r="824" spans="1:5" ht="30">
      <c r="A824" s="254">
        <v>39238</v>
      </c>
      <c r="B824" s="254" t="s">
        <v>19914</v>
      </c>
      <c r="C824" s="254" t="s">
        <v>4524</v>
      </c>
      <c r="D824" s="255" t="s">
        <v>19915</v>
      </c>
      <c r="E824" s="253" t="s">
        <v>170</v>
      </c>
    </row>
    <row r="825" spans="1:5" ht="30">
      <c r="A825" s="254">
        <v>979</v>
      </c>
      <c r="B825" s="254" t="s">
        <v>19916</v>
      </c>
      <c r="C825" s="254" t="s">
        <v>4524</v>
      </c>
      <c r="D825" s="255" t="s">
        <v>17939</v>
      </c>
      <c r="E825" s="253" t="s">
        <v>170</v>
      </c>
    </row>
    <row r="826" spans="1:5" ht="30">
      <c r="A826" s="254">
        <v>39239</v>
      </c>
      <c r="B826" s="254" t="s">
        <v>19917</v>
      </c>
      <c r="C826" s="254" t="s">
        <v>4524</v>
      </c>
      <c r="D826" s="255" t="s">
        <v>19918</v>
      </c>
      <c r="E826" s="253" t="s">
        <v>170</v>
      </c>
    </row>
    <row r="827" spans="1:5" ht="30">
      <c r="A827" s="254">
        <v>1014</v>
      </c>
      <c r="B827" s="254" t="s">
        <v>19919</v>
      </c>
      <c r="C827" s="254" t="s">
        <v>4524</v>
      </c>
      <c r="D827" s="255" t="s">
        <v>14482</v>
      </c>
      <c r="E827" s="253" t="s">
        <v>170</v>
      </c>
    </row>
    <row r="828" spans="1:5" ht="30">
      <c r="A828" s="254">
        <v>39240</v>
      </c>
      <c r="B828" s="254" t="s">
        <v>19920</v>
      </c>
      <c r="C828" s="254" t="s">
        <v>4524</v>
      </c>
      <c r="D828" s="255" t="s">
        <v>19921</v>
      </c>
      <c r="E828" s="253" t="s">
        <v>170</v>
      </c>
    </row>
    <row r="829" spans="1:5" ht="30">
      <c r="A829" s="254">
        <v>39232</v>
      </c>
      <c r="B829" s="254" t="s">
        <v>19922</v>
      </c>
      <c r="C829" s="254" t="s">
        <v>4524</v>
      </c>
      <c r="D829" s="255" t="s">
        <v>14243</v>
      </c>
      <c r="E829" s="253" t="s">
        <v>170</v>
      </c>
    </row>
    <row r="830" spans="1:5" ht="30">
      <c r="A830" s="254">
        <v>39233</v>
      </c>
      <c r="B830" s="254" t="s">
        <v>19923</v>
      </c>
      <c r="C830" s="254" t="s">
        <v>4524</v>
      </c>
      <c r="D830" s="255" t="s">
        <v>16952</v>
      </c>
      <c r="E830" s="253" t="s">
        <v>170</v>
      </c>
    </row>
    <row r="831" spans="1:5" ht="30">
      <c r="A831" s="254">
        <v>981</v>
      </c>
      <c r="B831" s="254" t="s">
        <v>19924</v>
      </c>
      <c r="C831" s="254" t="s">
        <v>4524</v>
      </c>
      <c r="D831" s="255" t="s">
        <v>18448</v>
      </c>
      <c r="E831" s="253" t="s">
        <v>170</v>
      </c>
    </row>
    <row r="832" spans="1:5" ht="30">
      <c r="A832" s="254">
        <v>39234</v>
      </c>
      <c r="B832" s="254" t="s">
        <v>19925</v>
      </c>
      <c r="C832" s="254" t="s">
        <v>4524</v>
      </c>
      <c r="D832" s="255" t="s">
        <v>19926</v>
      </c>
      <c r="E832" s="253" t="s">
        <v>170</v>
      </c>
    </row>
    <row r="833" spans="1:5" ht="30">
      <c r="A833" s="254">
        <v>982</v>
      </c>
      <c r="B833" s="254" t="s">
        <v>19927</v>
      </c>
      <c r="C833" s="254" t="s">
        <v>4524</v>
      </c>
      <c r="D833" s="255" t="s">
        <v>14447</v>
      </c>
      <c r="E833" s="253" t="s">
        <v>170</v>
      </c>
    </row>
    <row r="834" spans="1:5" ht="30">
      <c r="A834" s="254">
        <v>39235</v>
      </c>
      <c r="B834" s="254" t="s">
        <v>19928</v>
      </c>
      <c r="C834" s="254" t="s">
        <v>4524</v>
      </c>
      <c r="D834" s="255" t="s">
        <v>19929</v>
      </c>
      <c r="E834" s="253" t="s">
        <v>170</v>
      </c>
    </row>
    <row r="835" spans="1:5" ht="30">
      <c r="A835" s="254">
        <v>39236</v>
      </c>
      <c r="B835" s="254" t="s">
        <v>19930</v>
      </c>
      <c r="C835" s="254" t="s">
        <v>4524</v>
      </c>
      <c r="D835" s="255" t="s">
        <v>17026</v>
      </c>
      <c r="E835" s="253" t="s">
        <v>170</v>
      </c>
    </row>
    <row r="836" spans="1:5" ht="45">
      <c r="A836" s="254">
        <v>876</v>
      </c>
      <c r="B836" s="254" t="s">
        <v>19931</v>
      </c>
      <c r="C836" s="254" t="s">
        <v>4524</v>
      </c>
      <c r="D836" s="255" t="s">
        <v>19932</v>
      </c>
      <c r="E836" s="253" t="s">
        <v>170</v>
      </c>
    </row>
    <row r="837" spans="1:5" ht="45">
      <c r="A837" s="254">
        <v>877</v>
      </c>
      <c r="B837" s="254" t="s">
        <v>19933</v>
      </c>
      <c r="C837" s="254" t="s">
        <v>4524</v>
      </c>
      <c r="D837" s="255" t="s">
        <v>19934</v>
      </c>
      <c r="E837" s="253" t="s">
        <v>170</v>
      </c>
    </row>
    <row r="838" spans="1:5" ht="45">
      <c r="A838" s="254">
        <v>882</v>
      </c>
      <c r="B838" s="254" t="s">
        <v>19935</v>
      </c>
      <c r="C838" s="254" t="s">
        <v>4524</v>
      </c>
      <c r="D838" s="255" t="s">
        <v>19936</v>
      </c>
      <c r="E838" s="253" t="s">
        <v>170</v>
      </c>
    </row>
    <row r="839" spans="1:5" ht="45">
      <c r="A839" s="254">
        <v>878</v>
      </c>
      <c r="B839" s="254" t="s">
        <v>19937</v>
      </c>
      <c r="C839" s="254" t="s">
        <v>4524</v>
      </c>
      <c r="D839" s="255" t="s">
        <v>19938</v>
      </c>
      <c r="E839" s="253" t="s">
        <v>170</v>
      </c>
    </row>
    <row r="840" spans="1:5" ht="45">
      <c r="A840" s="254">
        <v>879</v>
      </c>
      <c r="B840" s="254" t="s">
        <v>19939</v>
      </c>
      <c r="C840" s="254" t="s">
        <v>4524</v>
      </c>
      <c r="D840" s="255" t="s">
        <v>19940</v>
      </c>
      <c r="E840" s="253" t="s">
        <v>170</v>
      </c>
    </row>
    <row r="841" spans="1:5" ht="45">
      <c r="A841" s="254">
        <v>880</v>
      </c>
      <c r="B841" s="254" t="s">
        <v>19941</v>
      </c>
      <c r="C841" s="254" t="s">
        <v>4524</v>
      </c>
      <c r="D841" s="255" t="s">
        <v>19942</v>
      </c>
      <c r="E841" s="253" t="s">
        <v>170</v>
      </c>
    </row>
    <row r="842" spans="1:5" ht="45">
      <c r="A842" s="254">
        <v>873</v>
      </c>
      <c r="B842" s="254" t="s">
        <v>19943</v>
      </c>
      <c r="C842" s="254" t="s">
        <v>4524</v>
      </c>
      <c r="D842" s="255" t="s">
        <v>19944</v>
      </c>
      <c r="E842" s="253" t="s">
        <v>170</v>
      </c>
    </row>
    <row r="843" spans="1:5" ht="45">
      <c r="A843" s="254">
        <v>881</v>
      </c>
      <c r="B843" s="254" t="s">
        <v>19945</v>
      </c>
      <c r="C843" s="254" t="s">
        <v>4524</v>
      </c>
      <c r="D843" s="255" t="s">
        <v>19946</v>
      </c>
      <c r="E843" s="253" t="s">
        <v>170</v>
      </c>
    </row>
    <row r="844" spans="1:5" ht="45">
      <c r="A844" s="254">
        <v>874</v>
      </c>
      <c r="B844" s="254" t="s">
        <v>19947</v>
      </c>
      <c r="C844" s="254" t="s">
        <v>4524</v>
      </c>
      <c r="D844" s="256" t="s">
        <v>15408</v>
      </c>
      <c r="E844" s="253" t="s">
        <v>170</v>
      </c>
    </row>
    <row r="845" spans="1:5" ht="45">
      <c r="A845" s="254">
        <v>875</v>
      </c>
      <c r="B845" s="254" t="s">
        <v>19948</v>
      </c>
      <c r="C845" s="254" t="s">
        <v>4524</v>
      </c>
      <c r="D845" s="256" t="s">
        <v>19949</v>
      </c>
      <c r="E845" s="253" t="s">
        <v>170</v>
      </c>
    </row>
    <row r="846" spans="1:5" ht="30">
      <c r="A846" s="254">
        <v>983</v>
      </c>
      <c r="B846" s="254" t="s">
        <v>19950</v>
      </c>
      <c r="C846" s="254" t="s">
        <v>4524</v>
      </c>
      <c r="D846" s="256" t="s">
        <v>17874</v>
      </c>
      <c r="E846" s="253" t="s">
        <v>170</v>
      </c>
    </row>
    <row r="847" spans="1:5" ht="30">
      <c r="A847" s="254">
        <v>985</v>
      </c>
      <c r="B847" s="254" t="s">
        <v>19951</v>
      </c>
      <c r="C847" s="254" t="s">
        <v>4524</v>
      </c>
      <c r="D847" s="256" t="s">
        <v>15730</v>
      </c>
      <c r="E847" s="253" t="s">
        <v>170</v>
      </c>
    </row>
    <row r="848" spans="1:5" ht="30">
      <c r="A848" s="254">
        <v>990</v>
      </c>
      <c r="B848" s="254" t="s">
        <v>19952</v>
      </c>
      <c r="C848" s="254" t="s">
        <v>4524</v>
      </c>
      <c r="D848" s="255" t="s">
        <v>19953</v>
      </c>
      <c r="E848" s="253" t="s">
        <v>170</v>
      </c>
    </row>
    <row r="849" spans="1:5" ht="30">
      <c r="A849" s="254">
        <v>39241</v>
      </c>
      <c r="B849" s="254" t="s">
        <v>19954</v>
      </c>
      <c r="C849" s="254" t="s">
        <v>4524</v>
      </c>
      <c r="D849" s="255" t="s">
        <v>16053</v>
      </c>
      <c r="E849" s="253" t="s">
        <v>170</v>
      </c>
    </row>
    <row r="850" spans="1:5" ht="30">
      <c r="A850" s="254">
        <v>1005</v>
      </c>
      <c r="B850" s="254" t="s">
        <v>19955</v>
      </c>
      <c r="C850" s="254" t="s">
        <v>4524</v>
      </c>
      <c r="D850" s="255" t="s">
        <v>19956</v>
      </c>
      <c r="E850" s="253" t="s">
        <v>170</v>
      </c>
    </row>
    <row r="851" spans="1:5" ht="30">
      <c r="A851" s="254">
        <v>984</v>
      </c>
      <c r="B851" s="254" t="s">
        <v>19957</v>
      </c>
      <c r="C851" s="254" t="s">
        <v>4524</v>
      </c>
      <c r="D851" s="255" t="s">
        <v>14232</v>
      </c>
      <c r="E851" s="253" t="s">
        <v>170</v>
      </c>
    </row>
    <row r="852" spans="1:5" ht="30">
      <c r="A852" s="254">
        <v>991</v>
      </c>
      <c r="B852" s="254" t="s">
        <v>19958</v>
      </c>
      <c r="C852" s="254" t="s">
        <v>4524</v>
      </c>
      <c r="D852" s="255" t="s">
        <v>19959</v>
      </c>
      <c r="E852" s="253" t="s">
        <v>170</v>
      </c>
    </row>
    <row r="853" spans="1:5" ht="30">
      <c r="A853" s="254">
        <v>986</v>
      </c>
      <c r="B853" s="254" t="s">
        <v>19960</v>
      </c>
      <c r="C853" s="254" t="s">
        <v>4524</v>
      </c>
      <c r="D853" s="255" t="s">
        <v>19961</v>
      </c>
      <c r="E853" s="253" t="s">
        <v>170</v>
      </c>
    </row>
    <row r="854" spans="1:5" ht="30">
      <c r="A854" s="254">
        <v>1024</v>
      </c>
      <c r="B854" s="254" t="s">
        <v>19962</v>
      </c>
      <c r="C854" s="254" t="s">
        <v>4524</v>
      </c>
      <c r="D854" s="255" t="s">
        <v>19963</v>
      </c>
      <c r="E854" s="253" t="s">
        <v>170</v>
      </c>
    </row>
    <row r="855" spans="1:5" ht="30">
      <c r="A855" s="254">
        <v>987</v>
      </c>
      <c r="B855" s="254" t="s">
        <v>19964</v>
      </c>
      <c r="C855" s="254" t="s">
        <v>4524</v>
      </c>
      <c r="D855" s="255" t="s">
        <v>15851</v>
      </c>
      <c r="E855" s="253" t="s">
        <v>170</v>
      </c>
    </row>
    <row r="856" spans="1:5" ht="30">
      <c r="A856" s="254">
        <v>1003</v>
      </c>
      <c r="B856" s="254" t="s">
        <v>19965</v>
      </c>
      <c r="C856" s="254" t="s">
        <v>4524</v>
      </c>
      <c r="D856" s="255" t="s">
        <v>17529</v>
      </c>
      <c r="E856" s="253" t="s">
        <v>170</v>
      </c>
    </row>
    <row r="857" spans="1:5" ht="30">
      <c r="A857" s="254">
        <v>992</v>
      </c>
      <c r="B857" s="254" t="s">
        <v>19966</v>
      </c>
      <c r="C857" s="254" t="s">
        <v>4524</v>
      </c>
      <c r="D857" s="255" t="s">
        <v>19967</v>
      </c>
      <c r="E857" s="253" t="s">
        <v>170</v>
      </c>
    </row>
    <row r="858" spans="1:5" ht="30">
      <c r="A858" s="254">
        <v>1007</v>
      </c>
      <c r="B858" s="254" t="s">
        <v>19968</v>
      </c>
      <c r="C858" s="254" t="s">
        <v>4524</v>
      </c>
      <c r="D858" s="255" t="s">
        <v>19969</v>
      </c>
      <c r="E858" s="253" t="s">
        <v>170</v>
      </c>
    </row>
    <row r="859" spans="1:5" ht="30">
      <c r="A859" s="254">
        <v>39242</v>
      </c>
      <c r="B859" s="254" t="s">
        <v>19970</v>
      </c>
      <c r="C859" s="254" t="s">
        <v>4524</v>
      </c>
      <c r="D859" s="255" t="s">
        <v>19971</v>
      </c>
      <c r="E859" s="253" t="s">
        <v>170</v>
      </c>
    </row>
    <row r="860" spans="1:5" ht="30">
      <c r="A860" s="254">
        <v>1008</v>
      </c>
      <c r="B860" s="254" t="s">
        <v>19972</v>
      </c>
      <c r="C860" s="254" t="s">
        <v>4524</v>
      </c>
      <c r="D860" s="255" t="s">
        <v>14289</v>
      </c>
      <c r="E860" s="253" t="s">
        <v>170</v>
      </c>
    </row>
    <row r="861" spans="1:5" ht="30">
      <c r="A861" s="254">
        <v>988</v>
      </c>
      <c r="B861" s="254" t="s">
        <v>19973</v>
      </c>
      <c r="C861" s="254" t="s">
        <v>4524</v>
      </c>
      <c r="D861" s="255" t="s">
        <v>19974</v>
      </c>
      <c r="E861" s="253" t="s">
        <v>170</v>
      </c>
    </row>
    <row r="862" spans="1:5" ht="30">
      <c r="A862" s="254">
        <v>989</v>
      </c>
      <c r="B862" s="254" t="s">
        <v>19975</v>
      </c>
      <c r="C862" s="254" t="s">
        <v>4524</v>
      </c>
      <c r="D862" s="255" t="s">
        <v>19976</v>
      </c>
      <c r="E862" s="253" t="s">
        <v>170</v>
      </c>
    </row>
    <row r="863" spans="1:5" ht="15">
      <c r="A863" s="254">
        <v>39598</v>
      </c>
      <c r="B863" s="254" t="s">
        <v>19977</v>
      </c>
      <c r="C863" s="254" t="s">
        <v>4524</v>
      </c>
      <c r="D863" s="256" t="s">
        <v>19978</v>
      </c>
      <c r="E863" s="253" t="s">
        <v>170</v>
      </c>
    </row>
    <row r="864" spans="1:5" ht="15">
      <c r="A864" s="254">
        <v>39599</v>
      </c>
      <c r="B864" s="254" t="s">
        <v>19979</v>
      </c>
      <c r="C864" s="254" t="s">
        <v>4524</v>
      </c>
      <c r="D864" s="255" t="s">
        <v>19980</v>
      </c>
      <c r="E864" s="253" t="s">
        <v>170</v>
      </c>
    </row>
    <row r="865" spans="1:5" ht="15">
      <c r="A865" s="254">
        <v>34602</v>
      </c>
      <c r="B865" s="254" t="s">
        <v>19981</v>
      </c>
      <c r="C865" s="254" t="s">
        <v>4524</v>
      </c>
      <c r="D865" s="255" t="s">
        <v>15809</v>
      </c>
      <c r="E865" s="253" t="s">
        <v>170</v>
      </c>
    </row>
    <row r="866" spans="1:5" ht="15">
      <c r="A866" s="254">
        <v>34603</v>
      </c>
      <c r="B866" s="254" t="s">
        <v>19982</v>
      </c>
      <c r="C866" s="254" t="s">
        <v>4524</v>
      </c>
      <c r="D866" s="256" t="s">
        <v>16612</v>
      </c>
      <c r="E866" s="253" t="s">
        <v>170</v>
      </c>
    </row>
    <row r="867" spans="1:5" ht="15">
      <c r="A867" s="254">
        <v>34607</v>
      </c>
      <c r="B867" s="254" t="s">
        <v>19983</v>
      </c>
      <c r="C867" s="254" t="s">
        <v>4524</v>
      </c>
      <c r="D867" s="255" t="s">
        <v>19984</v>
      </c>
      <c r="E867" s="253" t="s">
        <v>170</v>
      </c>
    </row>
    <row r="868" spans="1:5" ht="15">
      <c r="A868" s="254">
        <v>34609</v>
      </c>
      <c r="B868" s="254" t="s">
        <v>19985</v>
      </c>
      <c r="C868" s="254" t="s">
        <v>4524</v>
      </c>
      <c r="D868" s="255" t="s">
        <v>15442</v>
      </c>
      <c r="E868" s="253" t="s">
        <v>170</v>
      </c>
    </row>
    <row r="869" spans="1:5" ht="15">
      <c r="A869" s="254">
        <v>34618</v>
      </c>
      <c r="B869" s="254" t="s">
        <v>19986</v>
      </c>
      <c r="C869" s="254" t="s">
        <v>4524</v>
      </c>
      <c r="D869" s="255" t="s">
        <v>17931</v>
      </c>
      <c r="E869" s="253" t="s">
        <v>170</v>
      </c>
    </row>
    <row r="870" spans="1:5" ht="15">
      <c r="A870" s="254">
        <v>34620</v>
      </c>
      <c r="B870" s="254" t="s">
        <v>19987</v>
      </c>
      <c r="C870" s="254" t="s">
        <v>4524</v>
      </c>
      <c r="D870" s="255" t="s">
        <v>18493</v>
      </c>
      <c r="E870" s="253" t="s">
        <v>170</v>
      </c>
    </row>
    <row r="871" spans="1:5" ht="15">
      <c r="A871" s="254">
        <v>34621</v>
      </c>
      <c r="B871" s="254" t="s">
        <v>19988</v>
      </c>
      <c r="C871" s="254" t="s">
        <v>4524</v>
      </c>
      <c r="D871" s="255" t="s">
        <v>17601</v>
      </c>
      <c r="E871" s="253" t="s">
        <v>170</v>
      </c>
    </row>
    <row r="872" spans="1:5" ht="15">
      <c r="A872" s="254">
        <v>34622</v>
      </c>
      <c r="B872" s="254" t="s">
        <v>19989</v>
      </c>
      <c r="C872" s="254" t="s">
        <v>4524</v>
      </c>
      <c r="D872" s="255" t="s">
        <v>14375</v>
      </c>
      <c r="E872" s="253" t="s">
        <v>170</v>
      </c>
    </row>
    <row r="873" spans="1:5" ht="15">
      <c r="A873" s="254">
        <v>34624</v>
      </c>
      <c r="B873" s="254" t="s">
        <v>19990</v>
      </c>
      <c r="C873" s="254" t="s">
        <v>4524</v>
      </c>
      <c r="D873" s="255" t="s">
        <v>13848</v>
      </c>
      <c r="E873" s="253" t="s">
        <v>170</v>
      </c>
    </row>
    <row r="874" spans="1:5" ht="15">
      <c r="A874" s="254">
        <v>34626</v>
      </c>
      <c r="B874" s="254" t="s">
        <v>19991</v>
      </c>
      <c r="C874" s="254" t="s">
        <v>4524</v>
      </c>
      <c r="D874" s="255" t="s">
        <v>19992</v>
      </c>
      <c r="E874" s="253" t="s">
        <v>170</v>
      </c>
    </row>
    <row r="875" spans="1:5" ht="15">
      <c r="A875" s="254">
        <v>34627</v>
      </c>
      <c r="B875" s="254" t="s">
        <v>19993</v>
      </c>
      <c r="C875" s="254" t="s">
        <v>4524</v>
      </c>
      <c r="D875" s="255" t="s">
        <v>13543</v>
      </c>
      <c r="E875" s="253" t="s">
        <v>170</v>
      </c>
    </row>
    <row r="876" spans="1:5" ht="15">
      <c r="A876" s="254">
        <v>34629</v>
      </c>
      <c r="B876" s="254" t="s">
        <v>19994</v>
      </c>
      <c r="C876" s="254" t="s">
        <v>4524</v>
      </c>
      <c r="D876" s="255" t="s">
        <v>13851</v>
      </c>
      <c r="E876" s="253" t="s">
        <v>170</v>
      </c>
    </row>
    <row r="877" spans="1:5" ht="30">
      <c r="A877" s="254">
        <v>39257</v>
      </c>
      <c r="B877" s="254" t="s">
        <v>19995</v>
      </c>
      <c r="C877" s="254" t="s">
        <v>4524</v>
      </c>
      <c r="D877" s="255" t="s">
        <v>19996</v>
      </c>
      <c r="E877" s="253" t="s">
        <v>170</v>
      </c>
    </row>
    <row r="878" spans="1:5" ht="30">
      <c r="A878" s="254">
        <v>39261</v>
      </c>
      <c r="B878" s="254" t="s">
        <v>19997</v>
      </c>
      <c r="C878" s="254" t="s">
        <v>4524</v>
      </c>
      <c r="D878" s="255" t="s">
        <v>16642</v>
      </c>
      <c r="E878" s="253" t="s">
        <v>170</v>
      </c>
    </row>
    <row r="879" spans="1:5" ht="30">
      <c r="A879" s="254">
        <v>39268</v>
      </c>
      <c r="B879" s="254" t="s">
        <v>19998</v>
      </c>
      <c r="C879" s="254" t="s">
        <v>4524</v>
      </c>
      <c r="D879" s="255" t="s">
        <v>19999</v>
      </c>
      <c r="E879" s="253" t="s">
        <v>170</v>
      </c>
    </row>
    <row r="880" spans="1:5" ht="30">
      <c r="A880" s="254">
        <v>39262</v>
      </c>
      <c r="B880" s="254" t="s">
        <v>20000</v>
      </c>
      <c r="C880" s="254" t="s">
        <v>4524</v>
      </c>
      <c r="D880" s="255" t="s">
        <v>15859</v>
      </c>
      <c r="E880" s="253" t="s">
        <v>170</v>
      </c>
    </row>
    <row r="881" spans="1:5" ht="30">
      <c r="A881" s="254">
        <v>39258</v>
      </c>
      <c r="B881" s="254" t="s">
        <v>20001</v>
      </c>
      <c r="C881" s="254" t="s">
        <v>4524</v>
      </c>
      <c r="D881" s="255" t="s">
        <v>14414</v>
      </c>
      <c r="E881" s="253" t="s">
        <v>170</v>
      </c>
    </row>
    <row r="882" spans="1:5" ht="30">
      <c r="A882" s="254">
        <v>39263</v>
      </c>
      <c r="B882" s="254" t="s">
        <v>20002</v>
      </c>
      <c r="C882" s="254" t="s">
        <v>4524</v>
      </c>
      <c r="D882" s="255" t="s">
        <v>20003</v>
      </c>
      <c r="E882" s="253" t="s">
        <v>170</v>
      </c>
    </row>
    <row r="883" spans="1:5" ht="30">
      <c r="A883" s="254">
        <v>39264</v>
      </c>
      <c r="B883" s="254" t="s">
        <v>20004</v>
      </c>
      <c r="C883" s="254" t="s">
        <v>4524</v>
      </c>
      <c r="D883" s="255" t="s">
        <v>17887</v>
      </c>
      <c r="E883" s="253" t="s">
        <v>170</v>
      </c>
    </row>
    <row r="884" spans="1:5" ht="30">
      <c r="A884" s="254">
        <v>39259</v>
      </c>
      <c r="B884" s="254" t="s">
        <v>20005</v>
      </c>
      <c r="C884" s="254" t="s">
        <v>4524</v>
      </c>
      <c r="D884" s="255" t="s">
        <v>20006</v>
      </c>
      <c r="E884" s="253" t="s">
        <v>170</v>
      </c>
    </row>
    <row r="885" spans="1:5" ht="30">
      <c r="A885" s="254">
        <v>39265</v>
      </c>
      <c r="B885" s="254" t="s">
        <v>20007</v>
      </c>
      <c r="C885" s="254" t="s">
        <v>4524</v>
      </c>
      <c r="D885" s="255" t="s">
        <v>20008</v>
      </c>
      <c r="E885" s="253" t="s">
        <v>170</v>
      </c>
    </row>
    <row r="886" spans="1:5" ht="30">
      <c r="A886" s="254">
        <v>39260</v>
      </c>
      <c r="B886" s="254" t="s">
        <v>20009</v>
      </c>
      <c r="C886" s="254" t="s">
        <v>4524</v>
      </c>
      <c r="D886" s="255" t="s">
        <v>17599</v>
      </c>
      <c r="E886" s="253" t="s">
        <v>170</v>
      </c>
    </row>
    <row r="887" spans="1:5" ht="30">
      <c r="A887" s="254">
        <v>39266</v>
      </c>
      <c r="B887" s="254" t="s">
        <v>20010</v>
      </c>
      <c r="C887" s="254" t="s">
        <v>4524</v>
      </c>
      <c r="D887" s="255" t="s">
        <v>20011</v>
      </c>
      <c r="E887" s="253" t="s">
        <v>170</v>
      </c>
    </row>
    <row r="888" spans="1:5" ht="30">
      <c r="A888" s="254">
        <v>39267</v>
      </c>
      <c r="B888" s="254" t="s">
        <v>20012</v>
      </c>
      <c r="C888" s="254" t="s">
        <v>4524</v>
      </c>
      <c r="D888" s="255" t="s">
        <v>20013</v>
      </c>
      <c r="E888" s="253" t="s">
        <v>170</v>
      </c>
    </row>
    <row r="889" spans="1:5" ht="15">
      <c r="A889" s="254">
        <v>11901</v>
      </c>
      <c r="B889" s="254" t="s">
        <v>20014</v>
      </c>
      <c r="C889" s="254" t="s">
        <v>4524</v>
      </c>
      <c r="D889" s="255" t="s">
        <v>18432</v>
      </c>
      <c r="E889" s="253" t="s">
        <v>170</v>
      </c>
    </row>
    <row r="890" spans="1:5" ht="15">
      <c r="A890" s="254">
        <v>11902</v>
      </c>
      <c r="B890" s="254" t="s">
        <v>20015</v>
      </c>
      <c r="C890" s="254" t="s">
        <v>4524</v>
      </c>
      <c r="D890" s="255" t="s">
        <v>13946</v>
      </c>
      <c r="E890" s="253" t="s">
        <v>170</v>
      </c>
    </row>
    <row r="891" spans="1:5" ht="15">
      <c r="A891" s="254">
        <v>11903</v>
      </c>
      <c r="B891" s="254" t="s">
        <v>20016</v>
      </c>
      <c r="C891" s="254" t="s">
        <v>4524</v>
      </c>
      <c r="D891" s="255" t="s">
        <v>14472</v>
      </c>
      <c r="E891" s="253" t="s">
        <v>170</v>
      </c>
    </row>
    <row r="892" spans="1:5" ht="15">
      <c r="A892" s="254">
        <v>11904</v>
      </c>
      <c r="B892" s="254" t="s">
        <v>20017</v>
      </c>
      <c r="C892" s="254" t="s">
        <v>4524</v>
      </c>
      <c r="D892" s="255" t="s">
        <v>18445</v>
      </c>
      <c r="E892" s="253" t="s">
        <v>170</v>
      </c>
    </row>
    <row r="893" spans="1:5" ht="15">
      <c r="A893" s="254">
        <v>11905</v>
      </c>
      <c r="B893" s="254" t="s">
        <v>20018</v>
      </c>
      <c r="C893" s="254" t="s">
        <v>4524</v>
      </c>
      <c r="D893" s="255" t="s">
        <v>13624</v>
      </c>
      <c r="E893" s="253" t="s">
        <v>170</v>
      </c>
    </row>
    <row r="894" spans="1:5" ht="15">
      <c r="A894" s="254">
        <v>11906</v>
      </c>
      <c r="B894" s="254" t="s">
        <v>20019</v>
      </c>
      <c r="C894" s="254" t="s">
        <v>4524</v>
      </c>
      <c r="D894" s="255" t="s">
        <v>18137</v>
      </c>
      <c r="E894" s="253" t="s">
        <v>170</v>
      </c>
    </row>
    <row r="895" spans="1:5" ht="15">
      <c r="A895" s="254">
        <v>11919</v>
      </c>
      <c r="B895" s="254" t="s">
        <v>20020</v>
      </c>
      <c r="C895" s="254" t="s">
        <v>4524</v>
      </c>
      <c r="D895" s="255" t="s">
        <v>15443</v>
      </c>
      <c r="E895" s="253" t="s">
        <v>170</v>
      </c>
    </row>
    <row r="896" spans="1:5" ht="15">
      <c r="A896" s="254">
        <v>11920</v>
      </c>
      <c r="B896" s="254" t="s">
        <v>20021</v>
      </c>
      <c r="C896" s="254" t="s">
        <v>4524</v>
      </c>
      <c r="D896" s="255" t="s">
        <v>16557</v>
      </c>
      <c r="E896" s="253" t="s">
        <v>170</v>
      </c>
    </row>
    <row r="897" spans="1:5" ht="15">
      <c r="A897" s="254">
        <v>11924</v>
      </c>
      <c r="B897" s="254" t="s">
        <v>20022</v>
      </c>
      <c r="C897" s="254" t="s">
        <v>4524</v>
      </c>
      <c r="D897" s="255" t="s">
        <v>20023</v>
      </c>
      <c r="E897" s="253" t="s">
        <v>170</v>
      </c>
    </row>
    <row r="898" spans="1:5" ht="15">
      <c r="A898" s="254">
        <v>11921</v>
      </c>
      <c r="B898" s="254" t="s">
        <v>20024</v>
      </c>
      <c r="C898" s="254" t="s">
        <v>4524</v>
      </c>
      <c r="D898" s="255" t="s">
        <v>20025</v>
      </c>
      <c r="E898" s="253" t="s">
        <v>170</v>
      </c>
    </row>
    <row r="899" spans="1:5" ht="15">
      <c r="A899" s="254">
        <v>11922</v>
      </c>
      <c r="B899" s="254" t="s">
        <v>20026</v>
      </c>
      <c r="C899" s="254" t="s">
        <v>4524</v>
      </c>
      <c r="D899" s="255" t="s">
        <v>16331</v>
      </c>
      <c r="E899" s="253" t="s">
        <v>170</v>
      </c>
    </row>
    <row r="900" spans="1:5" ht="15">
      <c r="A900" s="254">
        <v>11923</v>
      </c>
      <c r="B900" s="254" t="s">
        <v>20027</v>
      </c>
      <c r="C900" s="254" t="s">
        <v>4524</v>
      </c>
      <c r="D900" s="255" t="s">
        <v>20028</v>
      </c>
      <c r="E900" s="253" t="s">
        <v>170</v>
      </c>
    </row>
    <row r="901" spans="1:5" ht="15">
      <c r="A901" s="254">
        <v>11916</v>
      </c>
      <c r="B901" s="254" t="s">
        <v>20029</v>
      </c>
      <c r="C901" s="254" t="s">
        <v>4524</v>
      </c>
      <c r="D901" s="256" t="s">
        <v>17520</v>
      </c>
      <c r="E901" s="253" t="s">
        <v>170</v>
      </c>
    </row>
    <row r="902" spans="1:5" ht="15">
      <c r="A902" s="254">
        <v>11914</v>
      </c>
      <c r="B902" s="254" t="s">
        <v>20030</v>
      </c>
      <c r="C902" s="254" t="s">
        <v>4524</v>
      </c>
      <c r="D902" s="256" t="s">
        <v>20031</v>
      </c>
      <c r="E902" s="253" t="s">
        <v>170</v>
      </c>
    </row>
    <row r="903" spans="1:5" ht="15">
      <c r="A903" s="254">
        <v>11917</v>
      </c>
      <c r="B903" s="254" t="s">
        <v>20032</v>
      </c>
      <c r="C903" s="254" t="s">
        <v>4524</v>
      </c>
      <c r="D903" s="256" t="s">
        <v>20033</v>
      </c>
      <c r="E903" s="253" t="s">
        <v>170</v>
      </c>
    </row>
    <row r="904" spans="1:5" ht="15">
      <c r="A904" s="254">
        <v>11918</v>
      </c>
      <c r="B904" s="254" t="s">
        <v>20034</v>
      </c>
      <c r="C904" s="254" t="s">
        <v>4524</v>
      </c>
      <c r="D904" s="256" t="s">
        <v>14437</v>
      </c>
      <c r="E904" s="253" t="s">
        <v>170</v>
      </c>
    </row>
    <row r="905" spans="1:5" ht="30">
      <c r="A905" s="254">
        <v>37734</v>
      </c>
      <c r="B905" s="254" t="s">
        <v>20035</v>
      </c>
      <c r="C905" s="254" t="s">
        <v>4521</v>
      </c>
      <c r="D905" s="255" t="s">
        <v>20036</v>
      </c>
      <c r="E905" s="253" t="s">
        <v>170</v>
      </c>
    </row>
    <row r="906" spans="1:5" ht="30">
      <c r="A906" s="254">
        <v>42251</v>
      </c>
      <c r="B906" s="254" t="s">
        <v>20037</v>
      </c>
      <c r="C906" s="254" t="s">
        <v>4521</v>
      </c>
      <c r="D906" s="255" t="s">
        <v>20038</v>
      </c>
      <c r="E906" s="253" t="s">
        <v>170</v>
      </c>
    </row>
    <row r="907" spans="1:5" ht="30">
      <c r="A907" s="254">
        <v>37733</v>
      </c>
      <c r="B907" s="254" t="s">
        <v>20039</v>
      </c>
      <c r="C907" s="254" t="s">
        <v>4521</v>
      </c>
      <c r="D907" s="255" t="s">
        <v>20040</v>
      </c>
      <c r="E907" s="253" t="s">
        <v>170</v>
      </c>
    </row>
    <row r="908" spans="1:5" ht="30">
      <c r="A908" s="254">
        <v>37735</v>
      </c>
      <c r="B908" s="254" t="s">
        <v>20041</v>
      </c>
      <c r="C908" s="254" t="s">
        <v>4521</v>
      </c>
      <c r="D908" s="256" t="s">
        <v>20042</v>
      </c>
      <c r="E908" s="253" t="s">
        <v>170</v>
      </c>
    </row>
    <row r="909" spans="1:5" ht="30">
      <c r="A909" s="254">
        <v>41758</v>
      </c>
      <c r="B909" s="254" t="s">
        <v>20043</v>
      </c>
      <c r="C909" s="254" t="s">
        <v>4521</v>
      </c>
      <c r="D909" s="255" t="s">
        <v>20044</v>
      </c>
      <c r="E909" s="253" t="s">
        <v>170</v>
      </c>
    </row>
    <row r="910" spans="1:5" ht="30">
      <c r="A910" s="254">
        <v>5090</v>
      </c>
      <c r="B910" s="254" t="s">
        <v>20045</v>
      </c>
      <c r="C910" s="254" t="s">
        <v>4521</v>
      </c>
      <c r="D910" s="255" t="s">
        <v>16860</v>
      </c>
      <c r="E910" s="253" t="s">
        <v>170</v>
      </c>
    </row>
    <row r="911" spans="1:5" ht="30">
      <c r="A911" s="254">
        <v>5085</v>
      </c>
      <c r="B911" s="254" t="s">
        <v>20046</v>
      </c>
      <c r="C911" s="254" t="s">
        <v>4521</v>
      </c>
      <c r="D911" s="255" t="s">
        <v>20047</v>
      </c>
      <c r="E911" s="253" t="s">
        <v>170</v>
      </c>
    </row>
    <row r="912" spans="1:5" ht="15">
      <c r="A912" s="254">
        <v>38374</v>
      </c>
      <c r="B912" s="254" t="s">
        <v>20048</v>
      </c>
      <c r="C912" s="254" t="s">
        <v>4521</v>
      </c>
      <c r="D912" s="255" t="s">
        <v>20049</v>
      </c>
      <c r="E912" s="253" t="s">
        <v>170</v>
      </c>
    </row>
    <row r="913" spans="1:5" ht="30">
      <c r="A913" s="254">
        <v>20212</v>
      </c>
      <c r="B913" s="254" t="s">
        <v>20050</v>
      </c>
      <c r="C913" s="254" t="s">
        <v>4524</v>
      </c>
      <c r="D913" s="255" t="s">
        <v>20051</v>
      </c>
      <c r="E913" s="253" t="s">
        <v>170</v>
      </c>
    </row>
    <row r="914" spans="1:5" ht="30">
      <c r="A914" s="254">
        <v>4430</v>
      </c>
      <c r="B914" s="254" t="s">
        <v>20052</v>
      </c>
      <c r="C914" s="254" t="s">
        <v>4524</v>
      </c>
      <c r="D914" s="255" t="s">
        <v>16623</v>
      </c>
      <c r="E914" s="253" t="s">
        <v>170</v>
      </c>
    </row>
    <row r="915" spans="1:5" ht="30">
      <c r="A915" s="254">
        <v>4400</v>
      </c>
      <c r="B915" s="254" t="s">
        <v>20053</v>
      </c>
      <c r="C915" s="254" t="s">
        <v>4524</v>
      </c>
      <c r="D915" s="255" t="s">
        <v>20054</v>
      </c>
      <c r="E915" s="253" t="s">
        <v>170</v>
      </c>
    </row>
    <row r="916" spans="1:5" ht="30">
      <c r="A916" s="254">
        <v>4500</v>
      </c>
      <c r="B916" s="254" t="s">
        <v>20055</v>
      </c>
      <c r="C916" s="254" t="s">
        <v>4524</v>
      </c>
      <c r="D916" s="255" t="s">
        <v>20056</v>
      </c>
      <c r="E916" s="253" t="s">
        <v>170</v>
      </c>
    </row>
    <row r="917" spans="1:5" ht="30">
      <c r="A917" s="254">
        <v>4513</v>
      </c>
      <c r="B917" s="254" t="s">
        <v>20057</v>
      </c>
      <c r="C917" s="254" t="s">
        <v>4524</v>
      </c>
      <c r="D917" s="255" t="s">
        <v>14300</v>
      </c>
      <c r="E917" s="253" t="s">
        <v>170</v>
      </c>
    </row>
    <row r="918" spans="1:5" ht="30">
      <c r="A918" s="254">
        <v>4496</v>
      </c>
      <c r="B918" s="254" t="s">
        <v>20058</v>
      </c>
      <c r="C918" s="254" t="s">
        <v>4524</v>
      </c>
      <c r="D918" s="255" t="s">
        <v>15464</v>
      </c>
      <c r="E918" s="253" t="s">
        <v>170</v>
      </c>
    </row>
    <row r="919" spans="1:5" ht="15">
      <c r="A919" s="254">
        <v>11871</v>
      </c>
      <c r="B919" s="254" t="s">
        <v>20059</v>
      </c>
      <c r="C919" s="254" t="s">
        <v>4521</v>
      </c>
      <c r="D919" s="255" t="s">
        <v>20060</v>
      </c>
      <c r="E919" s="253" t="s">
        <v>170</v>
      </c>
    </row>
    <row r="920" spans="1:5" ht="15">
      <c r="A920" s="254">
        <v>34636</v>
      </c>
      <c r="B920" s="254" t="s">
        <v>20061</v>
      </c>
      <c r="C920" s="254" t="s">
        <v>4521</v>
      </c>
      <c r="D920" s="255" t="s">
        <v>20062</v>
      </c>
      <c r="E920" s="253" t="s">
        <v>170</v>
      </c>
    </row>
    <row r="921" spans="1:5" ht="15">
      <c r="A921" s="254">
        <v>34639</v>
      </c>
      <c r="B921" s="254" t="s">
        <v>20063</v>
      </c>
      <c r="C921" s="254" t="s">
        <v>4521</v>
      </c>
      <c r="D921" s="255" t="s">
        <v>20064</v>
      </c>
      <c r="E921" s="253" t="s">
        <v>170</v>
      </c>
    </row>
    <row r="922" spans="1:5" ht="15">
      <c r="A922" s="254">
        <v>34640</v>
      </c>
      <c r="B922" s="254" t="s">
        <v>20065</v>
      </c>
      <c r="C922" s="254" t="s">
        <v>4521</v>
      </c>
      <c r="D922" s="255" t="s">
        <v>20066</v>
      </c>
      <c r="E922" s="253" t="s">
        <v>170</v>
      </c>
    </row>
    <row r="923" spans="1:5" ht="15">
      <c r="A923" s="254">
        <v>34637</v>
      </c>
      <c r="B923" s="254" t="s">
        <v>20067</v>
      </c>
      <c r="C923" s="254" t="s">
        <v>4521</v>
      </c>
      <c r="D923" s="255" t="s">
        <v>20068</v>
      </c>
      <c r="E923" s="253" t="s">
        <v>170</v>
      </c>
    </row>
    <row r="924" spans="1:5" ht="15">
      <c r="A924" s="254">
        <v>34638</v>
      </c>
      <c r="B924" s="254" t="s">
        <v>20069</v>
      </c>
      <c r="C924" s="254" t="s">
        <v>4521</v>
      </c>
      <c r="D924" s="255" t="s">
        <v>20070</v>
      </c>
      <c r="E924" s="253" t="s">
        <v>170</v>
      </c>
    </row>
    <row r="925" spans="1:5" ht="15">
      <c r="A925" s="254">
        <v>11868</v>
      </c>
      <c r="B925" s="254" t="s">
        <v>20071</v>
      </c>
      <c r="C925" s="254" t="s">
        <v>4521</v>
      </c>
      <c r="D925" s="255" t="s">
        <v>20072</v>
      </c>
      <c r="E925" s="253" t="s">
        <v>170</v>
      </c>
    </row>
    <row r="926" spans="1:5" ht="15">
      <c r="A926" s="254">
        <v>37106</v>
      </c>
      <c r="B926" s="254" t="s">
        <v>20073</v>
      </c>
      <c r="C926" s="254" t="s">
        <v>4521</v>
      </c>
      <c r="D926" s="255" t="s">
        <v>20074</v>
      </c>
      <c r="E926" s="253" t="s">
        <v>170</v>
      </c>
    </row>
    <row r="927" spans="1:5" ht="15">
      <c r="A927" s="254">
        <v>11869</v>
      </c>
      <c r="B927" s="254" t="s">
        <v>20075</v>
      </c>
      <c r="C927" s="254" t="s">
        <v>4521</v>
      </c>
      <c r="D927" s="256" t="s">
        <v>20076</v>
      </c>
      <c r="E927" s="253" t="s">
        <v>170</v>
      </c>
    </row>
    <row r="928" spans="1:5" ht="15">
      <c r="A928" s="254">
        <v>37104</v>
      </c>
      <c r="B928" s="254" t="s">
        <v>20077</v>
      </c>
      <c r="C928" s="254" t="s">
        <v>4521</v>
      </c>
      <c r="D928" s="255" t="s">
        <v>20078</v>
      </c>
      <c r="E928" s="253" t="s">
        <v>170</v>
      </c>
    </row>
    <row r="929" spans="1:5" ht="15">
      <c r="A929" s="254">
        <v>37105</v>
      </c>
      <c r="B929" s="254" t="s">
        <v>20079</v>
      </c>
      <c r="C929" s="254" t="s">
        <v>4521</v>
      </c>
      <c r="D929" s="256" t="s">
        <v>20080</v>
      </c>
      <c r="E929" s="253" t="s">
        <v>170</v>
      </c>
    </row>
    <row r="930" spans="1:5" ht="45">
      <c r="A930" s="254">
        <v>43094</v>
      </c>
      <c r="B930" s="254" t="s">
        <v>20081</v>
      </c>
      <c r="C930" s="254" t="s">
        <v>4521</v>
      </c>
      <c r="D930" s="256" t="s">
        <v>20082</v>
      </c>
      <c r="E930" s="253" t="s">
        <v>170</v>
      </c>
    </row>
    <row r="931" spans="1:5" ht="45">
      <c r="A931" s="254">
        <v>43093</v>
      </c>
      <c r="B931" s="254" t="s">
        <v>20083</v>
      </c>
      <c r="C931" s="254" t="s">
        <v>4521</v>
      </c>
      <c r="D931" s="256" t="s">
        <v>20084</v>
      </c>
      <c r="E931" s="253" t="s">
        <v>170</v>
      </c>
    </row>
    <row r="932" spans="1:5" ht="30">
      <c r="A932" s="254">
        <v>1030</v>
      </c>
      <c r="B932" s="254" t="s">
        <v>20085</v>
      </c>
      <c r="C932" s="254" t="s">
        <v>4521</v>
      </c>
      <c r="D932" s="255" t="s">
        <v>20086</v>
      </c>
      <c r="E932" s="253" t="s">
        <v>170</v>
      </c>
    </row>
    <row r="933" spans="1:5" ht="30">
      <c r="A933" s="254">
        <v>11694</v>
      </c>
      <c r="B933" s="254" t="s">
        <v>20087</v>
      </c>
      <c r="C933" s="254" t="s">
        <v>4521</v>
      </c>
      <c r="D933" s="255" t="s">
        <v>20088</v>
      </c>
      <c r="E933" s="253" t="s">
        <v>170</v>
      </c>
    </row>
    <row r="934" spans="1:5" ht="30">
      <c r="A934" s="254">
        <v>35277</v>
      </c>
      <c r="B934" s="254" t="s">
        <v>20089</v>
      </c>
      <c r="C934" s="254" t="s">
        <v>4521</v>
      </c>
      <c r="D934" s="255" t="s">
        <v>20090</v>
      </c>
      <c r="E934" s="253" t="s">
        <v>170</v>
      </c>
    </row>
    <row r="935" spans="1:5" ht="60">
      <c r="A935" s="254">
        <v>10521</v>
      </c>
      <c r="B935" s="254" t="s">
        <v>20091</v>
      </c>
      <c r="C935" s="254" t="s">
        <v>4521</v>
      </c>
      <c r="D935" s="255" t="s">
        <v>20092</v>
      </c>
      <c r="E935" s="253" t="s">
        <v>170</v>
      </c>
    </row>
    <row r="936" spans="1:5" ht="60">
      <c r="A936" s="254">
        <v>10885</v>
      </c>
      <c r="B936" s="254" t="s">
        <v>20093</v>
      </c>
      <c r="C936" s="254" t="s">
        <v>4521</v>
      </c>
      <c r="D936" s="255" t="s">
        <v>20094</v>
      </c>
      <c r="E936" s="253" t="s">
        <v>170</v>
      </c>
    </row>
    <row r="937" spans="1:5" ht="60">
      <c r="A937" s="254">
        <v>20962</v>
      </c>
      <c r="B937" s="254" t="s">
        <v>20095</v>
      </c>
      <c r="C937" s="254" t="s">
        <v>4521</v>
      </c>
      <c r="D937" s="255" t="s">
        <v>20096</v>
      </c>
      <c r="E937" s="253" t="s">
        <v>170</v>
      </c>
    </row>
    <row r="938" spans="1:5" ht="60">
      <c r="A938" s="254">
        <v>20963</v>
      </c>
      <c r="B938" s="254" t="s">
        <v>20097</v>
      </c>
      <c r="C938" s="254" t="s">
        <v>4521</v>
      </c>
      <c r="D938" s="255" t="s">
        <v>20098</v>
      </c>
      <c r="E938" s="253" t="s">
        <v>170</v>
      </c>
    </row>
    <row r="939" spans="1:5" ht="15">
      <c r="A939" s="254">
        <v>2555</v>
      </c>
      <c r="B939" s="254" t="s">
        <v>20099</v>
      </c>
      <c r="C939" s="254" t="s">
        <v>4521</v>
      </c>
      <c r="D939" s="255" t="s">
        <v>14184</v>
      </c>
      <c r="E939" s="253" t="s">
        <v>170</v>
      </c>
    </row>
    <row r="940" spans="1:5" ht="15">
      <c r="A940" s="254">
        <v>2556</v>
      </c>
      <c r="B940" s="254" t="s">
        <v>20100</v>
      </c>
      <c r="C940" s="254" t="s">
        <v>4521</v>
      </c>
      <c r="D940" s="255" t="s">
        <v>14369</v>
      </c>
      <c r="E940" s="253" t="s">
        <v>170</v>
      </c>
    </row>
    <row r="941" spans="1:5" ht="15">
      <c r="A941" s="254">
        <v>2557</v>
      </c>
      <c r="B941" s="254" t="s">
        <v>20101</v>
      </c>
      <c r="C941" s="254" t="s">
        <v>4521</v>
      </c>
      <c r="D941" s="255" t="s">
        <v>14224</v>
      </c>
      <c r="E941" s="253" t="s">
        <v>170</v>
      </c>
    </row>
    <row r="942" spans="1:5" ht="30">
      <c r="A942" s="254">
        <v>10569</v>
      </c>
      <c r="B942" s="254" t="s">
        <v>20102</v>
      </c>
      <c r="C942" s="254" t="s">
        <v>4521</v>
      </c>
      <c r="D942" s="255" t="s">
        <v>14224</v>
      </c>
      <c r="E942" s="253" t="s">
        <v>170</v>
      </c>
    </row>
    <row r="943" spans="1:5" ht="30">
      <c r="A943" s="254">
        <v>39810</v>
      </c>
      <c r="B943" s="254" t="s">
        <v>20103</v>
      </c>
      <c r="C943" s="254" t="s">
        <v>4521</v>
      </c>
      <c r="D943" s="255" t="s">
        <v>20104</v>
      </c>
      <c r="E943" s="253" t="s">
        <v>170</v>
      </c>
    </row>
    <row r="944" spans="1:5" ht="30">
      <c r="A944" s="254">
        <v>39811</v>
      </c>
      <c r="B944" s="254" t="s">
        <v>20105</v>
      </c>
      <c r="C944" s="254" t="s">
        <v>4521</v>
      </c>
      <c r="D944" s="255" t="s">
        <v>20106</v>
      </c>
      <c r="E944" s="253" t="s">
        <v>170</v>
      </c>
    </row>
    <row r="945" spans="1:5" ht="30">
      <c r="A945" s="254">
        <v>39812</v>
      </c>
      <c r="B945" s="254" t="s">
        <v>20107</v>
      </c>
      <c r="C945" s="254" t="s">
        <v>4521</v>
      </c>
      <c r="D945" s="255" t="s">
        <v>16310</v>
      </c>
      <c r="E945" s="253" t="s">
        <v>170</v>
      </c>
    </row>
    <row r="946" spans="1:5" ht="30">
      <c r="A946" s="254">
        <v>43096</v>
      </c>
      <c r="B946" s="254" t="s">
        <v>20108</v>
      </c>
      <c r="C946" s="254" t="s">
        <v>4521</v>
      </c>
      <c r="D946" s="255" t="s">
        <v>17484</v>
      </c>
      <c r="E946" s="253" t="s">
        <v>170</v>
      </c>
    </row>
    <row r="947" spans="1:5" ht="30">
      <c r="A947" s="254">
        <v>43102</v>
      </c>
      <c r="B947" s="254" t="s">
        <v>20109</v>
      </c>
      <c r="C947" s="254" t="s">
        <v>4521</v>
      </c>
      <c r="D947" s="255" t="s">
        <v>20110</v>
      </c>
      <c r="E947" s="253" t="s">
        <v>170</v>
      </c>
    </row>
    <row r="948" spans="1:5" ht="30">
      <c r="A948" s="254">
        <v>43103</v>
      </c>
      <c r="B948" s="254" t="s">
        <v>20111</v>
      </c>
      <c r="C948" s="254" t="s">
        <v>4521</v>
      </c>
      <c r="D948" s="255" t="s">
        <v>13935</v>
      </c>
      <c r="E948" s="253" t="s">
        <v>170</v>
      </c>
    </row>
    <row r="949" spans="1:5" ht="30">
      <c r="A949" s="254">
        <v>43098</v>
      </c>
      <c r="B949" s="254" t="s">
        <v>20112</v>
      </c>
      <c r="C949" s="254" t="s">
        <v>4521</v>
      </c>
      <c r="D949" s="255" t="s">
        <v>13716</v>
      </c>
      <c r="E949" s="253" t="s">
        <v>170</v>
      </c>
    </row>
    <row r="950" spans="1:5" ht="30">
      <c r="A950" s="254">
        <v>43097</v>
      </c>
      <c r="B950" s="254" t="s">
        <v>20113</v>
      </c>
      <c r="C950" s="254" t="s">
        <v>4521</v>
      </c>
      <c r="D950" s="255" t="s">
        <v>20114</v>
      </c>
      <c r="E950" s="253" t="s">
        <v>170</v>
      </c>
    </row>
    <row r="951" spans="1:5" ht="15">
      <c r="A951" s="254">
        <v>43104</v>
      </c>
      <c r="B951" s="254" t="s">
        <v>20115</v>
      </c>
      <c r="C951" s="254" t="s">
        <v>4521</v>
      </c>
      <c r="D951" s="255" t="s">
        <v>20116</v>
      </c>
      <c r="E951" s="253" t="s">
        <v>170</v>
      </c>
    </row>
    <row r="952" spans="1:5" ht="30">
      <c r="A952" s="254">
        <v>39771</v>
      </c>
      <c r="B952" s="254" t="s">
        <v>20117</v>
      </c>
      <c r="C952" s="254" t="s">
        <v>4521</v>
      </c>
      <c r="D952" s="255" t="s">
        <v>20118</v>
      </c>
      <c r="E952" s="253" t="s">
        <v>170</v>
      </c>
    </row>
    <row r="953" spans="1:5" ht="30">
      <c r="A953" s="254">
        <v>39772</v>
      </c>
      <c r="B953" s="254" t="s">
        <v>20119</v>
      </c>
      <c r="C953" s="254" t="s">
        <v>4521</v>
      </c>
      <c r="D953" s="255" t="s">
        <v>20120</v>
      </c>
      <c r="E953" s="253" t="s">
        <v>170</v>
      </c>
    </row>
    <row r="954" spans="1:5" ht="30">
      <c r="A954" s="254">
        <v>39773</v>
      </c>
      <c r="B954" s="254" t="s">
        <v>20121</v>
      </c>
      <c r="C954" s="254" t="s">
        <v>4521</v>
      </c>
      <c r="D954" s="255" t="s">
        <v>20122</v>
      </c>
      <c r="E954" s="253" t="s">
        <v>170</v>
      </c>
    </row>
    <row r="955" spans="1:5" ht="30">
      <c r="A955" s="254">
        <v>39774</v>
      </c>
      <c r="B955" s="254" t="s">
        <v>20123</v>
      </c>
      <c r="C955" s="254" t="s">
        <v>4521</v>
      </c>
      <c r="D955" s="255" t="s">
        <v>20124</v>
      </c>
      <c r="E955" s="253" t="s">
        <v>170</v>
      </c>
    </row>
    <row r="956" spans="1:5" ht="30">
      <c r="A956" s="254">
        <v>39775</v>
      </c>
      <c r="B956" s="254" t="s">
        <v>20125</v>
      </c>
      <c r="C956" s="254" t="s">
        <v>4521</v>
      </c>
      <c r="D956" s="255" t="s">
        <v>20126</v>
      </c>
      <c r="E956" s="253" t="s">
        <v>170</v>
      </c>
    </row>
    <row r="957" spans="1:5" ht="30">
      <c r="A957" s="254">
        <v>39776</v>
      </c>
      <c r="B957" s="254" t="s">
        <v>20127</v>
      </c>
      <c r="C957" s="254" t="s">
        <v>4521</v>
      </c>
      <c r="D957" s="255" t="s">
        <v>20128</v>
      </c>
      <c r="E957" s="253" t="s">
        <v>170</v>
      </c>
    </row>
    <row r="958" spans="1:5" ht="30">
      <c r="A958" s="254">
        <v>39777</v>
      </c>
      <c r="B958" s="254" t="s">
        <v>20129</v>
      </c>
      <c r="C958" s="254" t="s">
        <v>4521</v>
      </c>
      <c r="D958" s="255" t="s">
        <v>20130</v>
      </c>
      <c r="E958" s="253" t="s">
        <v>170</v>
      </c>
    </row>
    <row r="959" spans="1:5" ht="30">
      <c r="A959" s="254">
        <v>20254</v>
      </c>
      <c r="B959" s="254" t="s">
        <v>20131</v>
      </c>
      <c r="C959" s="254" t="s">
        <v>4521</v>
      </c>
      <c r="D959" s="255" t="s">
        <v>20132</v>
      </c>
      <c r="E959" s="253" t="s">
        <v>170</v>
      </c>
    </row>
    <row r="960" spans="1:5" ht="30">
      <c r="A960" s="254">
        <v>20253</v>
      </c>
      <c r="B960" s="254" t="s">
        <v>20133</v>
      </c>
      <c r="C960" s="254" t="s">
        <v>4521</v>
      </c>
      <c r="D960" s="255" t="s">
        <v>17693</v>
      </c>
      <c r="E960" s="253" t="s">
        <v>170</v>
      </c>
    </row>
    <row r="961" spans="1:5" ht="30">
      <c r="A961" s="254">
        <v>11247</v>
      </c>
      <c r="B961" s="254" t="s">
        <v>20134</v>
      </c>
      <c r="C961" s="254" t="s">
        <v>4521</v>
      </c>
      <c r="D961" s="255" t="s">
        <v>20135</v>
      </c>
      <c r="E961" s="253" t="s">
        <v>170</v>
      </c>
    </row>
    <row r="962" spans="1:5" ht="30">
      <c r="A962" s="254">
        <v>11250</v>
      </c>
      <c r="B962" s="254" t="s">
        <v>20136</v>
      </c>
      <c r="C962" s="254" t="s">
        <v>4521</v>
      </c>
      <c r="D962" s="255" t="s">
        <v>20137</v>
      </c>
      <c r="E962" s="253" t="s">
        <v>170</v>
      </c>
    </row>
    <row r="963" spans="1:5" ht="30">
      <c r="A963" s="254">
        <v>11249</v>
      </c>
      <c r="B963" s="254" t="s">
        <v>20138</v>
      </c>
      <c r="C963" s="254" t="s">
        <v>4521</v>
      </c>
      <c r="D963" s="256" t="s">
        <v>20139</v>
      </c>
      <c r="E963" s="253" t="s">
        <v>170</v>
      </c>
    </row>
    <row r="964" spans="1:5" ht="30">
      <c r="A964" s="254">
        <v>11251</v>
      </c>
      <c r="B964" s="254" t="s">
        <v>20140</v>
      </c>
      <c r="C964" s="254" t="s">
        <v>4521</v>
      </c>
      <c r="D964" s="256" t="s">
        <v>20141</v>
      </c>
      <c r="E964" s="253" t="s">
        <v>170</v>
      </c>
    </row>
    <row r="965" spans="1:5" ht="30">
      <c r="A965" s="254">
        <v>11253</v>
      </c>
      <c r="B965" s="254" t="s">
        <v>20142</v>
      </c>
      <c r="C965" s="254" t="s">
        <v>4521</v>
      </c>
      <c r="D965" s="256" t="s">
        <v>20143</v>
      </c>
      <c r="E965" s="253" t="s">
        <v>170</v>
      </c>
    </row>
    <row r="966" spans="1:5" ht="30">
      <c r="A966" s="254">
        <v>11255</v>
      </c>
      <c r="B966" s="254" t="s">
        <v>20144</v>
      </c>
      <c r="C966" s="254" t="s">
        <v>4521</v>
      </c>
      <c r="D966" s="256" t="s">
        <v>20145</v>
      </c>
      <c r="E966" s="253" t="s">
        <v>170</v>
      </c>
    </row>
    <row r="967" spans="1:5" ht="30">
      <c r="A967" s="254">
        <v>14055</v>
      </c>
      <c r="B967" s="254" t="s">
        <v>20146</v>
      </c>
      <c r="C967" s="254" t="s">
        <v>4521</v>
      </c>
      <c r="D967" s="256" t="s">
        <v>20147</v>
      </c>
      <c r="E967" s="253" t="s">
        <v>170</v>
      </c>
    </row>
    <row r="968" spans="1:5" ht="30">
      <c r="A968" s="254">
        <v>11256</v>
      </c>
      <c r="B968" s="254" t="s">
        <v>20148</v>
      </c>
      <c r="C968" s="254" t="s">
        <v>4521</v>
      </c>
      <c r="D968" s="256" t="s">
        <v>20149</v>
      </c>
      <c r="E968" s="253" t="s">
        <v>170</v>
      </c>
    </row>
    <row r="969" spans="1:5" ht="15">
      <c r="A969" s="254">
        <v>1872</v>
      </c>
      <c r="B969" s="254" t="s">
        <v>20150</v>
      </c>
      <c r="C969" s="254" t="s">
        <v>4521</v>
      </c>
      <c r="D969" s="256" t="s">
        <v>13655</v>
      </c>
      <c r="E969" s="253" t="s">
        <v>170</v>
      </c>
    </row>
    <row r="970" spans="1:5" ht="15">
      <c r="A970" s="254">
        <v>1873</v>
      </c>
      <c r="B970" s="254" t="s">
        <v>20151</v>
      </c>
      <c r="C970" s="254" t="s">
        <v>4521</v>
      </c>
      <c r="D970" s="256" t="s">
        <v>14194</v>
      </c>
      <c r="E970" s="253" t="s">
        <v>170</v>
      </c>
    </row>
    <row r="971" spans="1:5" ht="30">
      <c r="A971" s="254">
        <v>39693</v>
      </c>
      <c r="B971" s="254" t="s">
        <v>20152</v>
      </c>
      <c r="C971" s="254" t="s">
        <v>4521</v>
      </c>
      <c r="D971" s="256" t="s">
        <v>20153</v>
      </c>
      <c r="E971" s="253" t="s">
        <v>170</v>
      </c>
    </row>
    <row r="972" spans="1:5" ht="30">
      <c r="A972" s="254">
        <v>39692</v>
      </c>
      <c r="B972" s="254" t="s">
        <v>20154</v>
      </c>
      <c r="C972" s="254" t="s">
        <v>4521</v>
      </c>
      <c r="D972" s="256" t="s">
        <v>20155</v>
      </c>
      <c r="E972" s="253" t="s">
        <v>170</v>
      </c>
    </row>
    <row r="973" spans="1:5" ht="30">
      <c r="A973" s="254">
        <v>3280</v>
      </c>
      <c r="B973" s="254" t="s">
        <v>20156</v>
      </c>
      <c r="C973" s="254" t="s">
        <v>4521</v>
      </c>
      <c r="D973" s="256" t="s">
        <v>20157</v>
      </c>
      <c r="E973" s="253" t="s">
        <v>170</v>
      </c>
    </row>
    <row r="974" spans="1:5" ht="30">
      <c r="A974" s="254">
        <v>11881</v>
      </c>
      <c r="B974" s="254" t="s">
        <v>20158</v>
      </c>
      <c r="C974" s="254" t="s">
        <v>4521</v>
      </c>
      <c r="D974" s="256" t="s">
        <v>20159</v>
      </c>
      <c r="E974" s="253" t="s">
        <v>170</v>
      </c>
    </row>
    <row r="975" spans="1:5" ht="30">
      <c r="A975" s="254">
        <v>34641</v>
      </c>
      <c r="B975" s="254" t="s">
        <v>20160</v>
      </c>
      <c r="C975" s="254" t="s">
        <v>4521</v>
      </c>
      <c r="D975" s="256" t="s">
        <v>20161</v>
      </c>
      <c r="E975" s="253" t="s">
        <v>170</v>
      </c>
    </row>
    <row r="976" spans="1:5" ht="30">
      <c r="A976" s="254">
        <v>34643</v>
      </c>
      <c r="B976" s="254" t="s">
        <v>20162</v>
      </c>
      <c r="C976" s="254" t="s">
        <v>4521</v>
      </c>
      <c r="D976" s="256" t="s">
        <v>14473</v>
      </c>
      <c r="E976" s="253" t="s">
        <v>170</v>
      </c>
    </row>
    <row r="977" spans="1:5" ht="15">
      <c r="A977" s="254">
        <v>3278</v>
      </c>
      <c r="B977" s="254" t="s">
        <v>20163</v>
      </c>
      <c r="C977" s="254" t="s">
        <v>4521</v>
      </c>
      <c r="D977" s="256" t="s">
        <v>16815</v>
      </c>
      <c r="E977" s="253" t="s">
        <v>170</v>
      </c>
    </row>
    <row r="978" spans="1:5" ht="30">
      <c r="A978" s="254">
        <v>3279</v>
      </c>
      <c r="B978" s="254" t="s">
        <v>20164</v>
      </c>
      <c r="C978" s="254" t="s">
        <v>4521</v>
      </c>
      <c r="D978" s="256" t="s">
        <v>20165</v>
      </c>
      <c r="E978" s="253" t="s">
        <v>170</v>
      </c>
    </row>
    <row r="979" spans="1:5" ht="30">
      <c r="A979" s="254">
        <v>1062</v>
      </c>
      <c r="B979" s="254" t="s">
        <v>20166</v>
      </c>
      <c r="C979" s="254" t="s">
        <v>4521</v>
      </c>
      <c r="D979" s="256" t="s">
        <v>20167</v>
      </c>
      <c r="E979" s="253" t="s">
        <v>170</v>
      </c>
    </row>
    <row r="980" spans="1:5" ht="30">
      <c r="A980" s="254">
        <v>39686</v>
      </c>
      <c r="B980" s="254" t="s">
        <v>20168</v>
      </c>
      <c r="C980" s="254" t="s">
        <v>4521</v>
      </c>
      <c r="D980" s="256" t="s">
        <v>20169</v>
      </c>
      <c r="E980" s="253" t="s">
        <v>170</v>
      </c>
    </row>
    <row r="981" spans="1:5" ht="45">
      <c r="A981" s="254">
        <v>43095</v>
      </c>
      <c r="B981" s="254" t="s">
        <v>20170</v>
      </c>
      <c r="C981" s="254" t="s">
        <v>4521</v>
      </c>
      <c r="D981" s="256" t="s">
        <v>20171</v>
      </c>
      <c r="E981" s="253" t="s">
        <v>170</v>
      </c>
    </row>
    <row r="982" spans="1:5" ht="30">
      <c r="A982" s="254">
        <v>1871</v>
      </c>
      <c r="B982" s="254" t="s">
        <v>20172</v>
      </c>
      <c r="C982" s="254" t="s">
        <v>4521</v>
      </c>
      <c r="D982" s="256" t="s">
        <v>18491</v>
      </c>
      <c r="E982" s="253" t="s">
        <v>170</v>
      </c>
    </row>
    <row r="983" spans="1:5" ht="30">
      <c r="A983" s="254">
        <v>12001</v>
      </c>
      <c r="B983" s="254" t="s">
        <v>20173</v>
      </c>
      <c r="C983" s="254" t="s">
        <v>4521</v>
      </c>
      <c r="D983" s="256" t="s">
        <v>13752</v>
      </c>
      <c r="E983" s="253" t="s">
        <v>170</v>
      </c>
    </row>
    <row r="984" spans="1:5" ht="15">
      <c r="A984" s="254">
        <v>11882</v>
      </c>
      <c r="B984" s="254" t="s">
        <v>20174</v>
      </c>
      <c r="C984" s="254" t="s">
        <v>4521</v>
      </c>
      <c r="D984" s="256" t="s">
        <v>16815</v>
      </c>
      <c r="E984" s="253" t="s">
        <v>170</v>
      </c>
    </row>
    <row r="985" spans="1:5" ht="30">
      <c r="A985" s="254">
        <v>1068</v>
      </c>
      <c r="B985" s="254" t="s">
        <v>20175</v>
      </c>
      <c r="C985" s="254" t="s">
        <v>4521</v>
      </c>
      <c r="D985" s="255" t="s">
        <v>20176</v>
      </c>
      <c r="E985" s="253" t="s">
        <v>170</v>
      </c>
    </row>
    <row r="986" spans="1:5" ht="30">
      <c r="A986" s="254">
        <v>39690</v>
      </c>
      <c r="B986" s="254" t="s">
        <v>20177</v>
      </c>
      <c r="C986" s="254" t="s">
        <v>4521</v>
      </c>
      <c r="D986" s="255" t="s">
        <v>20178</v>
      </c>
      <c r="E986" s="253" t="s">
        <v>170</v>
      </c>
    </row>
    <row r="987" spans="1:5" ht="30">
      <c r="A987" s="254">
        <v>39691</v>
      </c>
      <c r="B987" s="254" t="s">
        <v>20179</v>
      </c>
      <c r="C987" s="254" t="s">
        <v>4521</v>
      </c>
      <c r="D987" s="255" t="s">
        <v>20180</v>
      </c>
      <c r="E987" s="253" t="s">
        <v>170</v>
      </c>
    </row>
    <row r="988" spans="1:5" ht="30">
      <c r="A988" s="254">
        <v>39808</v>
      </c>
      <c r="B988" s="254" t="s">
        <v>20181</v>
      </c>
      <c r="C988" s="254" t="s">
        <v>4521</v>
      </c>
      <c r="D988" s="255" t="s">
        <v>20182</v>
      </c>
      <c r="E988" s="253" t="s">
        <v>170</v>
      </c>
    </row>
    <row r="989" spans="1:5" ht="30">
      <c r="A989" s="254">
        <v>39809</v>
      </c>
      <c r="B989" s="254" t="s">
        <v>20183</v>
      </c>
      <c r="C989" s="254" t="s">
        <v>4521</v>
      </c>
      <c r="D989" s="255" t="s">
        <v>20184</v>
      </c>
      <c r="E989" s="253" t="s">
        <v>170</v>
      </c>
    </row>
    <row r="990" spans="1:5" ht="15">
      <c r="A990" s="254">
        <v>11713</v>
      </c>
      <c r="B990" s="254" t="s">
        <v>20185</v>
      </c>
      <c r="C990" s="254" t="s">
        <v>4521</v>
      </c>
      <c r="D990" s="255" t="s">
        <v>13566</v>
      </c>
      <c r="E990" s="253" t="s">
        <v>170</v>
      </c>
    </row>
    <row r="991" spans="1:5" ht="15">
      <c r="A991" s="254">
        <v>11716</v>
      </c>
      <c r="B991" s="254" t="s">
        <v>20186</v>
      </c>
      <c r="C991" s="254" t="s">
        <v>4521</v>
      </c>
      <c r="D991" s="255" t="s">
        <v>20187</v>
      </c>
      <c r="E991" s="253" t="s">
        <v>170</v>
      </c>
    </row>
    <row r="992" spans="1:5" ht="15">
      <c r="A992" s="254">
        <v>5103</v>
      </c>
      <c r="B992" s="254" t="s">
        <v>20188</v>
      </c>
      <c r="C992" s="254" t="s">
        <v>4521</v>
      </c>
      <c r="D992" s="255" t="s">
        <v>20189</v>
      </c>
      <c r="E992" s="253" t="s">
        <v>170</v>
      </c>
    </row>
    <row r="993" spans="1:5" ht="30">
      <c r="A993" s="254">
        <v>11712</v>
      </c>
      <c r="B993" s="254" t="s">
        <v>20190</v>
      </c>
      <c r="C993" s="254" t="s">
        <v>4521</v>
      </c>
      <c r="D993" s="255" t="s">
        <v>20191</v>
      </c>
      <c r="E993" s="253" t="s">
        <v>170</v>
      </c>
    </row>
    <row r="994" spans="1:5" ht="15">
      <c r="A994" s="254">
        <v>11717</v>
      </c>
      <c r="B994" s="254" t="s">
        <v>20192</v>
      </c>
      <c r="C994" s="254" t="s">
        <v>4521</v>
      </c>
      <c r="D994" s="255" t="s">
        <v>20193</v>
      </c>
      <c r="E994" s="253" t="s">
        <v>170</v>
      </c>
    </row>
    <row r="995" spans="1:5" ht="15">
      <c r="A995" s="254">
        <v>11714</v>
      </c>
      <c r="B995" s="254" t="s">
        <v>20194</v>
      </c>
      <c r="C995" s="254" t="s">
        <v>4521</v>
      </c>
      <c r="D995" s="255" t="s">
        <v>13568</v>
      </c>
      <c r="E995" s="253" t="s">
        <v>170</v>
      </c>
    </row>
    <row r="996" spans="1:5" ht="15">
      <c r="A996" s="254">
        <v>11715</v>
      </c>
      <c r="B996" s="254" t="s">
        <v>20195</v>
      </c>
      <c r="C996" s="254" t="s">
        <v>4521</v>
      </c>
      <c r="D996" s="255" t="s">
        <v>20196</v>
      </c>
      <c r="E996" s="253" t="s">
        <v>170</v>
      </c>
    </row>
    <row r="997" spans="1:5" ht="30">
      <c r="A997" s="254">
        <v>11880</v>
      </c>
      <c r="B997" s="254" t="s">
        <v>20197</v>
      </c>
      <c r="C997" s="254" t="s">
        <v>4521</v>
      </c>
      <c r="D997" s="255" t="s">
        <v>20198</v>
      </c>
      <c r="E997" s="253" t="s">
        <v>170</v>
      </c>
    </row>
    <row r="998" spans="1:5" ht="15">
      <c r="A998" s="254">
        <v>1106</v>
      </c>
      <c r="B998" s="254" t="s">
        <v>20199</v>
      </c>
      <c r="C998" s="254" t="s">
        <v>4525</v>
      </c>
      <c r="D998" s="255" t="s">
        <v>14351</v>
      </c>
      <c r="E998" s="253" t="s">
        <v>170</v>
      </c>
    </row>
    <row r="999" spans="1:5" ht="15">
      <c r="A999" s="254">
        <v>11161</v>
      </c>
      <c r="B999" s="254" t="s">
        <v>20200</v>
      </c>
      <c r="C999" s="254" t="s">
        <v>4525</v>
      </c>
      <c r="D999" s="255" t="s">
        <v>13643</v>
      </c>
      <c r="E999" s="253" t="s">
        <v>170</v>
      </c>
    </row>
    <row r="1000" spans="1:5" ht="15">
      <c r="A1000" s="254">
        <v>1107</v>
      </c>
      <c r="B1000" s="254" t="s">
        <v>20201</v>
      </c>
      <c r="C1000" s="254" t="s">
        <v>4525</v>
      </c>
      <c r="D1000" s="255" t="s">
        <v>18734</v>
      </c>
      <c r="E1000" s="253" t="s">
        <v>170</v>
      </c>
    </row>
    <row r="1001" spans="1:5" ht="15">
      <c r="A1001" s="254">
        <v>4758</v>
      </c>
      <c r="B1001" s="254" t="s">
        <v>20202</v>
      </c>
      <c r="C1001" s="254" t="s">
        <v>4520</v>
      </c>
      <c r="D1001" s="255" t="s">
        <v>17667</v>
      </c>
      <c r="E1001" s="253" t="s">
        <v>8722</v>
      </c>
    </row>
    <row r="1002" spans="1:5" ht="15">
      <c r="A1002" s="254">
        <v>41080</v>
      </c>
      <c r="B1002" s="254" t="s">
        <v>20203</v>
      </c>
      <c r="C1002" s="254" t="s">
        <v>4528</v>
      </c>
      <c r="D1002" s="255" t="s">
        <v>20204</v>
      </c>
      <c r="E1002" s="253" t="s">
        <v>8722</v>
      </c>
    </row>
    <row r="1003" spans="1:5" ht="15">
      <c r="A1003" s="254">
        <v>25963</v>
      </c>
      <c r="B1003" s="254" t="s">
        <v>20205</v>
      </c>
      <c r="C1003" s="254" t="s">
        <v>4525</v>
      </c>
      <c r="D1003" s="255" t="s">
        <v>14248</v>
      </c>
      <c r="E1003" s="253" t="s">
        <v>170</v>
      </c>
    </row>
    <row r="1004" spans="1:5" ht="15">
      <c r="A1004" s="254">
        <v>4759</v>
      </c>
      <c r="B1004" s="254" t="s">
        <v>20206</v>
      </c>
      <c r="C1004" s="254" t="s">
        <v>4520</v>
      </c>
      <c r="D1004" s="255" t="s">
        <v>16242</v>
      </c>
      <c r="E1004" s="253" t="s">
        <v>8722</v>
      </c>
    </row>
    <row r="1005" spans="1:5" ht="15">
      <c r="A1005" s="254">
        <v>41068</v>
      </c>
      <c r="B1005" s="254" t="s">
        <v>20207</v>
      </c>
      <c r="C1005" s="254" t="s">
        <v>4528</v>
      </c>
      <c r="D1005" s="255" t="s">
        <v>20208</v>
      </c>
      <c r="E1005" s="253" t="s">
        <v>8722</v>
      </c>
    </row>
    <row r="1006" spans="1:5" ht="30">
      <c r="A1006" s="254">
        <v>1108</v>
      </c>
      <c r="B1006" s="254" t="s">
        <v>20209</v>
      </c>
      <c r="C1006" s="254" t="s">
        <v>4524</v>
      </c>
      <c r="D1006" s="255" t="s">
        <v>20210</v>
      </c>
      <c r="E1006" s="253" t="s">
        <v>170</v>
      </c>
    </row>
    <row r="1007" spans="1:5" ht="15">
      <c r="A1007" s="254">
        <v>1117</v>
      </c>
      <c r="B1007" s="254" t="s">
        <v>20211</v>
      </c>
      <c r="C1007" s="254" t="s">
        <v>4524</v>
      </c>
      <c r="D1007" s="255" t="s">
        <v>15597</v>
      </c>
      <c r="E1007" s="253" t="s">
        <v>170</v>
      </c>
    </row>
    <row r="1008" spans="1:5" ht="15">
      <c r="A1008" s="254">
        <v>1118</v>
      </c>
      <c r="B1008" s="254" t="s">
        <v>20212</v>
      </c>
      <c r="C1008" s="254" t="s">
        <v>4524</v>
      </c>
      <c r="D1008" s="255" t="s">
        <v>15385</v>
      </c>
      <c r="E1008" s="253" t="s">
        <v>170</v>
      </c>
    </row>
    <row r="1009" spans="1:5" ht="15">
      <c r="A1009" s="254">
        <v>1110</v>
      </c>
      <c r="B1009" s="254" t="s">
        <v>20213</v>
      </c>
      <c r="C1009" s="254" t="s">
        <v>4524</v>
      </c>
      <c r="D1009" s="255" t="s">
        <v>15385</v>
      </c>
      <c r="E1009" s="253" t="s">
        <v>170</v>
      </c>
    </row>
    <row r="1010" spans="1:5" ht="30">
      <c r="A1010" s="254">
        <v>12618</v>
      </c>
      <c r="B1010" s="254" t="s">
        <v>20214</v>
      </c>
      <c r="C1010" s="254" t="s">
        <v>4521</v>
      </c>
      <c r="D1010" s="255" t="s">
        <v>20215</v>
      </c>
      <c r="E1010" s="253" t="s">
        <v>170</v>
      </c>
    </row>
    <row r="1011" spans="1:5" ht="15">
      <c r="A1011" s="254">
        <v>40784</v>
      </c>
      <c r="B1011" s="254" t="s">
        <v>20216</v>
      </c>
      <c r="C1011" s="254" t="s">
        <v>4524</v>
      </c>
      <c r="D1011" s="255" t="s">
        <v>20217</v>
      </c>
      <c r="E1011" s="253" t="s">
        <v>170</v>
      </c>
    </row>
    <row r="1012" spans="1:5" ht="15">
      <c r="A1012" s="254">
        <v>40782</v>
      </c>
      <c r="B1012" s="254" t="s">
        <v>20218</v>
      </c>
      <c r="C1012" s="254" t="s">
        <v>4524</v>
      </c>
      <c r="D1012" s="255" t="s">
        <v>20219</v>
      </c>
      <c r="E1012" s="253" t="s">
        <v>170</v>
      </c>
    </row>
    <row r="1013" spans="1:5" ht="15">
      <c r="A1013" s="254">
        <v>40783</v>
      </c>
      <c r="B1013" s="254" t="s">
        <v>20220</v>
      </c>
      <c r="C1013" s="254" t="s">
        <v>4524</v>
      </c>
      <c r="D1013" s="255" t="s">
        <v>20221</v>
      </c>
      <c r="E1013" s="253" t="s">
        <v>170</v>
      </c>
    </row>
    <row r="1014" spans="1:5" ht="15">
      <c r="A1014" s="254">
        <v>1109</v>
      </c>
      <c r="B1014" s="254" t="s">
        <v>20222</v>
      </c>
      <c r="C1014" s="254" t="s">
        <v>4524</v>
      </c>
      <c r="D1014" s="255" t="s">
        <v>20210</v>
      </c>
      <c r="E1014" s="253" t="s">
        <v>170</v>
      </c>
    </row>
    <row r="1015" spans="1:5" ht="15">
      <c r="A1015" s="254">
        <v>1119</v>
      </c>
      <c r="B1015" s="254" t="s">
        <v>20223</v>
      </c>
      <c r="C1015" s="254" t="s">
        <v>4524</v>
      </c>
      <c r="D1015" s="255" t="s">
        <v>15771</v>
      </c>
      <c r="E1015" s="253" t="s">
        <v>170</v>
      </c>
    </row>
    <row r="1016" spans="1:5" ht="30">
      <c r="A1016" s="254">
        <v>13115</v>
      </c>
      <c r="B1016" s="254" t="s">
        <v>20224</v>
      </c>
      <c r="C1016" s="254" t="s">
        <v>4524</v>
      </c>
      <c r="D1016" s="255" t="s">
        <v>18067</v>
      </c>
      <c r="E1016" s="253" t="s">
        <v>170</v>
      </c>
    </row>
    <row r="1017" spans="1:5" ht="30">
      <c r="A1017" s="254">
        <v>10541</v>
      </c>
      <c r="B1017" s="254" t="s">
        <v>20225</v>
      </c>
      <c r="C1017" s="254" t="s">
        <v>4524</v>
      </c>
      <c r="D1017" s="255" t="s">
        <v>20226</v>
      </c>
      <c r="E1017" s="253" t="s">
        <v>170</v>
      </c>
    </row>
    <row r="1018" spans="1:5" ht="30">
      <c r="A1018" s="254">
        <v>10543</v>
      </c>
      <c r="B1018" s="254" t="s">
        <v>20227</v>
      </c>
      <c r="C1018" s="254" t="s">
        <v>4524</v>
      </c>
      <c r="D1018" s="255" t="s">
        <v>20228</v>
      </c>
      <c r="E1018" s="253" t="s">
        <v>170</v>
      </c>
    </row>
    <row r="1019" spans="1:5" ht="30">
      <c r="A1019" s="254">
        <v>10544</v>
      </c>
      <c r="B1019" s="254" t="s">
        <v>20229</v>
      </c>
      <c r="C1019" s="254" t="s">
        <v>4524</v>
      </c>
      <c r="D1019" s="255" t="s">
        <v>16387</v>
      </c>
      <c r="E1019" s="253" t="s">
        <v>170</v>
      </c>
    </row>
    <row r="1020" spans="1:5" ht="30">
      <c r="A1020" s="254">
        <v>10545</v>
      </c>
      <c r="B1020" s="254" t="s">
        <v>20230</v>
      </c>
      <c r="C1020" s="254" t="s">
        <v>4524</v>
      </c>
      <c r="D1020" s="255" t="s">
        <v>18062</v>
      </c>
      <c r="E1020" s="253" t="s">
        <v>170</v>
      </c>
    </row>
    <row r="1021" spans="1:5" ht="30">
      <c r="A1021" s="254">
        <v>10542</v>
      </c>
      <c r="B1021" s="254" t="s">
        <v>20231</v>
      </c>
      <c r="C1021" s="254" t="s">
        <v>4524</v>
      </c>
      <c r="D1021" s="255" t="s">
        <v>20232</v>
      </c>
      <c r="E1021" s="253" t="s">
        <v>170</v>
      </c>
    </row>
    <row r="1022" spans="1:5" ht="15">
      <c r="A1022" s="254">
        <v>38365</v>
      </c>
      <c r="B1022" s="254" t="s">
        <v>20233</v>
      </c>
      <c r="C1022" s="254" t="s">
        <v>4523</v>
      </c>
      <c r="D1022" s="255" t="s">
        <v>20234</v>
      </c>
      <c r="E1022" s="253" t="s">
        <v>170</v>
      </c>
    </row>
    <row r="1023" spans="1:5" ht="45">
      <c r="A1023" s="254">
        <v>37745</v>
      </c>
      <c r="B1023" s="254" t="s">
        <v>20235</v>
      </c>
      <c r="C1023" s="254" t="s">
        <v>4521</v>
      </c>
      <c r="D1023" s="255" t="s">
        <v>20236</v>
      </c>
      <c r="E1023" s="253" t="s">
        <v>6305</v>
      </c>
    </row>
    <row r="1024" spans="1:5" ht="45">
      <c r="A1024" s="254">
        <v>37754</v>
      </c>
      <c r="B1024" s="254" t="s">
        <v>20237</v>
      </c>
      <c r="C1024" s="254" t="s">
        <v>4521</v>
      </c>
      <c r="D1024" s="255" t="s">
        <v>20238</v>
      </c>
      <c r="E1024" s="253" t="s">
        <v>6305</v>
      </c>
    </row>
    <row r="1025" spans="1:5" ht="45">
      <c r="A1025" s="254">
        <v>37748</v>
      </c>
      <c r="B1025" s="254" t="s">
        <v>20239</v>
      </c>
      <c r="C1025" s="254" t="s">
        <v>4521</v>
      </c>
      <c r="D1025" s="255" t="s">
        <v>20240</v>
      </c>
      <c r="E1025" s="253" t="s">
        <v>6305</v>
      </c>
    </row>
    <row r="1026" spans="1:5" ht="45">
      <c r="A1026" s="254">
        <v>37761</v>
      </c>
      <c r="B1026" s="254" t="s">
        <v>20241</v>
      </c>
      <c r="C1026" s="254" t="s">
        <v>4521</v>
      </c>
      <c r="D1026" s="255" t="s">
        <v>20242</v>
      </c>
      <c r="E1026" s="253" t="s">
        <v>6305</v>
      </c>
    </row>
    <row r="1027" spans="1:5" ht="45">
      <c r="A1027" s="254">
        <v>37757</v>
      </c>
      <c r="B1027" s="254" t="s">
        <v>20243</v>
      </c>
      <c r="C1027" s="254" t="s">
        <v>4521</v>
      </c>
      <c r="D1027" s="255" t="s">
        <v>20244</v>
      </c>
      <c r="E1027" s="253" t="s">
        <v>6305</v>
      </c>
    </row>
    <row r="1028" spans="1:5" ht="45">
      <c r="A1028" s="254">
        <v>37759</v>
      </c>
      <c r="B1028" s="254" t="s">
        <v>20245</v>
      </c>
      <c r="C1028" s="254" t="s">
        <v>4521</v>
      </c>
      <c r="D1028" s="255" t="s">
        <v>20246</v>
      </c>
      <c r="E1028" s="253" t="s">
        <v>6305</v>
      </c>
    </row>
    <row r="1029" spans="1:5" ht="45">
      <c r="A1029" s="254">
        <v>37766</v>
      </c>
      <c r="B1029" s="254" t="s">
        <v>20247</v>
      </c>
      <c r="C1029" s="254" t="s">
        <v>4521</v>
      </c>
      <c r="D1029" s="255" t="s">
        <v>20248</v>
      </c>
      <c r="E1029" s="253" t="s">
        <v>6305</v>
      </c>
    </row>
    <row r="1030" spans="1:5" ht="45">
      <c r="A1030" s="254">
        <v>37752</v>
      </c>
      <c r="B1030" s="254" t="s">
        <v>20249</v>
      </c>
      <c r="C1030" s="254" t="s">
        <v>4521</v>
      </c>
      <c r="D1030" s="255" t="s">
        <v>20250</v>
      </c>
      <c r="E1030" s="253" t="s">
        <v>6305</v>
      </c>
    </row>
    <row r="1031" spans="1:5" ht="45">
      <c r="A1031" s="254">
        <v>37760</v>
      </c>
      <c r="B1031" s="254" t="s">
        <v>20251</v>
      </c>
      <c r="C1031" s="254" t="s">
        <v>4521</v>
      </c>
      <c r="D1031" s="255" t="s">
        <v>20252</v>
      </c>
      <c r="E1031" s="253" t="s">
        <v>6305</v>
      </c>
    </row>
    <row r="1032" spans="1:5" ht="45">
      <c r="A1032" s="254">
        <v>37765</v>
      </c>
      <c r="B1032" s="254" t="s">
        <v>20253</v>
      </c>
      <c r="C1032" s="254" t="s">
        <v>4521</v>
      </c>
      <c r="D1032" s="255" t="s">
        <v>20254</v>
      </c>
      <c r="E1032" s="253" t="s">
        <v>6305</v>
      </c>
    </row>
    <row r="1033" spans="1:5" ht="45">
      <c r="A1033" s="254">
        <v>37746</v>
      </c>
      <c r="B1033" s="254" t="s">
        <v>20255</v>
      </c>
      <c r="C1033" s="254" t="s">
        <v>4521</v>
      </c>
      <c r="D1033" s="255" t="s">
        <v>20256</v>
      </c>
      <c r="E1033" s="253" t="s">
        <v>6305</v>
      </c>
    </row>
    <row r="1034" spans="1:5" ht="45">
      <c r="A1034" s="254">
        <v>37750</v>
      </c>
      <c r="B1034" s="254" t="s">
        <v>20257</v>
      </c>
      <c r="C1034" s="254" t="s">
        <v>4521</v>
      </c>
      <c r="D1034" s="255" t="s">
        <v>20258</v>
      </c>
      <c r="E1034" s="253" t="s">
        <v>6305</v>
      </c>
    </row>
    <row r="1035" spans="1:5" ht="45">
      <c r="A1035" s="254">
        <v>37753</v>
      </c>
      <c r="B1035" s="254" t="s">
        <v>20259</v>
      </c>
      <c r="C1035" s="254" t="s">
        <v>4521</v>
      </c>
      <c r="D1035" s="255" t="s">
        <v>20260</v>
      </c>
      <c r="E1035" s="253" t="s">
        <v>6305</v>
      </c>
    </row>
    <row r="1036" spans="1:5" ht="45">
      <c r="A1036" s="254">
        <v>37756</v>
      </c>
      <c r="B1036" s="254" t="s">
        <v>20261</v>
      </c>
      <c r="C1036" s="254" t="s">
        <v>4521</v>
      </c>
      <c r="D1036" s="255" t="s">
        <v>20242</v>
      </c>
      <c r="E1036" s="253" t="s">
        <v>6305</v>
      </c>
    </row>
    <row r="1037" spans="1:5" ht="45">
      <c r="A1037" s="254">
        <v>37755</v>
      </c>
      <c r="B1037" s="254" t="s">
        <v>20262</v>
      </c>
      <c r="C1037" s="254" t="s">
        <v>4521</v>
      </c>
      <c r="D1037" s="255" t="s">
        <v>20263</v>
      </c>
      <c r="E1037" s="253" t="s">
        <v>6305</v>
      </c>
    </row>
    <row r="1038" spans="1:5" ht="45">
      <c r="A1038" s="254">
        <v>37758</v>
      </c>
      <c r="B1038" s="254" t="s">
        <v>20264</v>
      </c>
      <c r="C1038" s="254" t="s">
        <v>4521</v>
      </c>
      <c r="D1038" s="255" t="s">
        <v>20265</v>
      </c>
      <c r="E1038" s="253" t="s">
        <v>6305</v>
      </c>
    </row>
    <row r="1039" spans="1:5" ht="45">
      <c r="A1039" s="254">
        <v>37747</v>
      </c>
      <c r="B1039" s="254" t="s">
        <v>20266</v>
      </c>
      <c r="C1039" s="254" t="s">
        <v>4521</v>
      </c>
      <c r="D1039" s="255" t="s">
        <v>20267</v>
      </c>
      <c r="E1039" s="253" t="s">
        <v>6305</v>
      </c>
    </row>
    <row r="1040" spans="1:5" ht="45">
      <c r="A1040" s="254">
        <v>37767</v>
      </c>
      <c r="B1040" s="254" t="s">
        <v>20268</v>
      </c>
      <c r="C1040" s="254" t="s">
        <v>4521</v>
      </c>
      <c r="D1040" s="255" t="s">
        <v>20269</v>
      </c>
      <c r="E1040" s="253" t="s">
        <v>6305</v>
      </c>
    </row>
    <row r="1041" spans="1:5" ht="45">
      <c r="A1041" s="254">
        <v>37751</v>
      </c>
      <c r="B1041" s="254" t="s">
        <v>20270</v>
      </c>
      <c r="C1041" s="254" t="s">
        <v>4521</v>
      </c>
      <c r="D1041" s="255" t="s">
        <v>20269</v>
      </c>
      <c r="E1041" s="253" t="s">
        <v>6305</v>
      </c>
    </row>
    <row r="1042" spans="1:5" ht="45">
      <c r="A1042" s="254">
        <v>37749</v>
      </c>
      <c r="B1042" s="254" t="s">
        <v>20271</v>
      </c>
      <c r="C1042" s="254" t="s">
        <v>4521</v>
      </c>
      <c r="D1042" s="255" t="s">
        <v>20272</v>
      </c>
      <c r="E1042" s="253" t="s">
        <v>6305</v>
      </c>
    </row>
    <row r="1043" spans="1:5" ht="15">
      <c r="A1043" s="254">
        <v>1159</v>
      </c>
      <c r="B1043" s="254" t="s">
        <v>20273</v>
      </c>
      <c r="C1043" s="254" t="s">
        <v>4521</v>
      </c>
      <c r="D1043" s="255" t="s">
        <v>20274</v>
      </c>
      <c r="E1043" s="253" t="s">
        <v>170</v>
      </c>
    </row>
    <row r="1044" spans="1:5" ht="15">
      <c r="A1044" s="254">
        <v>12114</v>
      </c>
      <c r="B1044" s="254" t="s">
        <v>20275</v>
      </c>
      <c r="C1044" s="254" t="s">
        <v>4521</v>
      </c>
      <c r="D1044" s="255" t="s">
        <v>20276</v>
      </c>
      <c r="E1044" s="253" t="s">
        <v>170</v>
      </c>
    </row>
    <row r="1045" spans="1:5" ht="15">
      <c r="A1045" s="254">
        <v>38106</v>
      </c>
      <c r="B1045" s="254" t="s">
        <v>20277</v>
      </c>
      <c r="C1045" s="254" t="s">
        <v>4521</v>
      </c>
      <c r="D1045" s="255" t="s">
        <v>15816</v>
      </c>
      <c r="E1045" s="253" t="s">
        <v>170</v>
      </c>
    </row>
    <row r="1046" spans="1:5" ht="30">
      <c r="A1046" s="254">
        <v>38085</v>
      </c>
      <c r="B1046" s="254" t="s">
        <v>20278</v>
      </c>
      <c r="C1046" s="254" t="s">
        <v>4521</v>
      </c>
      <c r="D1046" s="255" t="s">
        <v>20279</v>
      </c>
      <c r="E1046" s="253" t="s">
        <v>170</v>
      </c>
    </row>
    <row r="1047" spans="1:5" ht="15">
      <c r="A1047" s="254">
        <v>38599</v>
      </c>
      <c r="B1047" s="254" t="s">
        <v>20280</v>
      </c>
      <c r="C1047" s="254" t="s">
        <v>4521</v>
      </c>
      <c r="D1047" s="255" t="s">
        <v>20281</v>
      </c>
      <c r="E1047" s="253" t="s">
        <v>170</v>
      </c>
    </row>
    <row r="1048" spans="1:5" ht="15">
      <c r="A1048" s="254">
        <v>38596</v>
      </c>
      <c r="B1048" s="254" t="s">
        <v>20282</v>
      </c>
      <c r="C1048" s="254" t="s">
        <v>4521</v>
      </c>
      <c r="D1048" s="255" t="s">
        <v>13958</v>
      </c>
      <c r="E1048" s="253" t="s">
        <v>170</v>
      </c>
    </row>
    <row r="1049" spans="1:5" ht="15">
      <c r="A1049" s="254">
        <v>38600</v>
      </c>
      <c r="B1049" s="254" t="s">
        <v>20283</v>
      </c>
      <c r="C1049" s="254" t="s">
        <v>4521</v>
      </c>
      <c r="D1049" s="255" t="s">
        <v>14242</v>
      </c>
      <c r="E1049" s="253" t="s">
        <v>170</v>
      </c>
    </row>
    <row r="1050" spans="1:5" ht="15">
      <c r="A1050" s="254">
        <v>38597</v>
      </c>
      <c r="B1050" s="254" t="s">
        <v>20284</v>
      </c>
      <c r="C1050" s="254" t="s">
        <v>4521</v>
      </c>
      <c r="D1050" s="255" t="s">
        <v>14182</v>
      </c>
      <c r="E1050" s="253" t="s">
        <v>170</v>
      </c>
    </row>
    <row r="1051" spans="1:5" ht="15">
      <c r="A1051" s="254">
        <v>659</v>
      </c>
      <c r="B1051" s="254" t="s">
        <v>20285</v>
      </c>
      <c r="C1051" s="254" t="s">
        <v>4521</v>
      </c>
      <c r="D1051" s="255" t="s">
        <v>17690</v>
      </c>
      <c r="E1051" s="253" t="s">
        <v>170</v>
      </c>
    </row>
    <row r="1052" spans="1:5" ht="15">
      <c r="A1052" s="254">
        <v>660</v>
      </c>
      <c r="B1052" s="254" t="s">
        <v>20286</v>
      </c>
      <c r="C1052" s="254" t="s">
        <v>4521</v>
      </c>
      <c r="D1052" s="255" t="s">
        <v>13953</v>
      </c>
      <c r="E1052" s="253" t="s">
        <v>170</v>
      </c>
    </row>
    <row r="1053" spans="1:5" ht="15">
      <c r="A1053" s="254">
        <v>658</v>
      </c>
      <c r="B1053" s="254" t="s">
        <v>20287</v>
      </c>
      <c r="C1053" s="254" t="s">
        <v>4521</v>
      </c>
      <c r="D1053" s="255" t="s">
        <v>14466</v>
      </c>
      <c r="E1053" s="253" t="s">
        <v>170</v>
      </c>
    </row>
    <row r="1054" spans="1:5" ht="15">
      <c r="A1054" s="254">
        <v>38548</v>
      </c>
      <c r="B1054" s="254" t="s">
        <v>20288</v>
      </c>
      <c r="C1054" s="254" t="s">
        <v>4521</v>
      </c>
      <c r="D1054" s="255" t="s">
        <v>13946</v>
      </c>
      <c r="E1054" s="253" t="s">
        <v>170</v>
      </c>
    </row>
    <row r="1055" spans="1:5" ht="15">
      <c r="A1055" s="254">
        <v>34647</v>
      </c>
      <c r="B1055" s="254" t="s">
        <v>20289</v>
      </c>
      <c r="C1055" s="254" t="s">
        <v>4521</v>
      </c>
      <c r="D1055" s="255" t="s">
        <v>13856</v>
      </c>
      <c r="E1055" s="253" t="s">
        <v>170</v>
      </c>
    </row>
    <row r="1056" spans="1:5" ht="15">
      <c r="A1056" s="254">
        <v>34649</v>
      </c>
      <c r="B1056" s="254" t="s">
        <v>20290</v>
      </c>
      <c r="C1056" s="254" t="s">
        <v>4521</v>
      </c>
      <c r="D1056" s="255" t="s">
        <v>18738</v>
      </c>
      <c r="E1056" s="253" t="s">
        <v>170</v>
      </c>
    </row>
    <row r="1057" spans="1:5" ht="15">
      <c r="A1057" s="254">
        <v>34652</v>
      </c>
      <c r="B1057" s="254" t="s">
        <v>20291</v>
      </c>
      <c r="C1057" s="254" t="s">
        <v>4521</v>
      </c>
      <c r="D1057" s="255" t="s">
        <v>14552</v>
      </c>
      <c r="E1057" s="253" t="s">
        <v>170</v>
      </c>
    </row>
    <row r="1058" spans="1:5" ht="15">
      <c r="A1058" s="254">
        <v>34655</v>
      </c>
      <c r="B1058" s="254" t="s">
        <v>20292</v>
      </c>
      <c r="C1058" s="254" t="s">
        <v>4521</v>
      </c>
      <c r="D1058" s="255" t="s">
        <v>18456</v>
      </c>
      <c r="E1058" s="253" t="s">
        <v>170</v>
      </c>
    </row>
    <row r="1059" spans="1:5" ht="30">
      <c r="A1059" s="254">
        <v>40607</v>
      </c>
      <c r="B1059" s="254" t="s">
        <v>20293</v>
      </c>
      <c r="C1059" s="254" t="s">
        <v>4521</v>
      </c>
      <c r="D1059" s="255" t="s">
        <v>17008</v>
      </c>
      <c r="E1059" s="253" t="s">
        <v>170</v>
      </c>
    </row>
    <row r="1060" spans="1:5" ht="15">
      <c r="A1060" s="254">
        <v>585</v>
      </c>
      <c r="B1060" s="254" t="s">
        <v>20294</v>
      </c>
      <c r="C1060" s="254" t="s">
        <v>4525</v>
      </c>
      <c r="D1060" s="255" t="s">
        <v>16485</v>
      </c>
      <c r="E1060" s="253" t="s">
        <v>170</v>
      </c>
    </row>
    <row r="1061" spans="1:5" ht="15">
      <c r="A1061" s="254">
        <v>4777</v>
      </c>
      <c r="B1061" s="254" t="s">
        <v>20295</v>
      </c>
      <c r="C1061" s="254" t="s">
        <v>4525</v>
      </c>
      <c r="D1061" s="255" t="s">
        <v>13628</v>
      </c>
      <c r="E1061" s="253" t="s">
        <v>170</v>
      </c>
    </row>
    <row r="1062" spans="1:5" ht="15">
      <c r="A1062" s="254">
        <v>587</v>
      </c>
      <c r="B1062" s="254" t="s">
        <v>20296</v>
      </c>
      <c r="C1062" s="254" t="s">
        <v>4525</v>
      </c>
      <c r="D1062" s="255" t="s">
        <v>13603</v>
      </c>
      <c r="E1062" s="253" t="s">
        <v>170</v>
      </c>
    </row>
    <row r="1063" spans="1:5" ht="15">
      <c r="A1063" s="254">
        <v>590</v>
      </c>
      <c r="B1063" s="254" t="s">
        <v>20297</v>
      </c>
      <c r="C1063" s="254" t="s">
        <v>4525</v>
      </c>
      <c r="D1063" s="255" t="s">
        <v>20298</v>
      </c>
      <c r="E1063" s="253" t="s">
        <v>170</v>
      </c>
    </row>
    <row r="1064" spans="1:5" ht="15">
      <c r="A1064" s="254">
        <v>592</v>
      </c>
      <c r="B1064" s="254" t="s">
        <v>20299</v>
      </c>
      <c r="C1064" s="254" t="s">
        <v>4525</v>
      </c>
      <c r="D1064" s="255" t="s">
        <v>13603</v>
      </c>
      <c r="E1064" s="253" t="s">
        <v>170</v>
      </c>
    </row>
    <row r="1065" spans="1:5" ht="15">
      <c r="A1065" s="254">
        <v>586</v>
      </c>
      <c r="B1065" s="254" t="s">
        <v>20300</v>
      </c>
      <c r="C1065" s="254" t="s">
        <v>4524</v>
      </c>
      <c r="D1065" s="255" t="s">
        <v>18459</v>
      </c>
      <c r="E1065" s="253" t="s">
        <v>170</v>
      </c>
    </row>
    <row r="1066" spans="1:5" ht="15">
      <c r="A1066" s="254">
        <v>591</v>
      </c>
      <c r="B1066" s="254" t="s">
        <v>20301</v>
      </c>
      <c r="C1066" s="254" t="s">
        <v>4525</v>
      </c>
      <c r="D1066" s="255" t="s">
        <v>16485</v>
      </c>
      <c r="E1066" s="253" t="s">
        <v>170</v>
      </c>
    </row>
    <row r="1067" spans="1:5" ht="15">
      <c r="A1067" s="254">
        <v>588</v>
      </c>
      <c r="B1067" s="254" t="s">
        <v>20302</v>
      </c>
      <c r="C1067" s="254" t="s">
        <v>4524</v>
      </c>
      <c r="D1067" s="255" t="s">
        <v>14251</v>
      </c>
      <c r="E1067" s="253" t="s">
        <v>170</v>
      </c>
    </row>
    <row r="1068" spans="1:5" ht="15">
      <c r="A1068" s="254">
        <v>589</v>
      </c>
      <c r="B1068" s="254" t="s">
        <v>20303</v>
      </c>
      <c r="C1068" s="254" t="s">
        <v>4524</v>
      </c>
      <c r="D1068" s="255" t="s">
        <v>20304</v>
      </c>
      <c r="E1068" s="253" t="s">
        <v>170</v>
      </c>
    </row>
    <row r="1069" spans="1:5" ht="15">
      <c r="A1069" s="254">
        <v>584</v>
      </c>
      <c r="B1069" s="254" t="s">
        <v>20305</v>
      </c>
      <c r="C1069" s="254" t="s">
        <v>4524</v>
      </c>
      <c r="D1069" s="255" t="s">
        <v>13648</v>
      </c>
      <c r="E1069" s="253" t="s">
        <v>170</v>
      </c>
    </row>
    <row r="1070" spans="1:5" ht="15">
      <c r="A1070" s="254">
        <v>574</v>
      </c>
      <c r="B1070" s="254" t="s">
        <v>20306</v>
      </c>
      <c r="C1070" s="254" t="s">
        <v>4524</v>
      </c>
      <c r="D1070" s="256" t="s">
        <v>20307</v>
      </c>
      <c r="E1070" s="253" t="s">
        <v>170</v>
      </c>
    </row>
    <row r="1071" spans="1:5" ht="15">
      <c r="A1071" s="254">
        <v>567</v>
      </c>
      <c r="B1071" s="254" t="s">
        <v>20308</v>
      </c>
      <c r="C1071" s="254" t="s">
        <v>4524</v>
      </c>
      <c r="D1071" s="255" t="s">
        <v>15496</v>
      </c>
      <c r="E1071" s="253" t="s">
        <v>170</v>
      </c>
    </row>
    <row r="1072" spans="1:5" ht="15">
      <c r="A1072" s="254">
        <v>568</v>
      </c>
      <c r="B1072" s="254" t="s">
        <v>20309</v>
      </c>
      <c r="C1072" s="254" t="s">
        <v>4524</v>
      </c>
      <c r="D1072" s="256" t="s">
        <v>17088</v>
      </c>
      <c r="E1072" s="253" t="s">
        <v>170</v>
      </c>
    </row>
    <row r="1073" spans="1:5" ht="15">
      <c r="A1073" s="254">
        <v>569</v>
      </c>
      <c r="B1073" s="254" t="s">
        <v>20310</v>
      </c>
      <c r="C1073" s="254" t="s">
        <v>4525</v>
      </c>
      <c r="D1073" s="256" t="s">
        <v>17605</v>
      </c>
      <c r="E1073" s="253" t="s">
        <v>170</v>
      </c>
    </row>
    <row r="1074" spans="1:5" ht="15">
      <c r="A1074" s="254">
        <v>1165</v>
      </c>
      <c r="B1074" s="254" t="s">
        <v>20311</v>
      </c>
      <c r="C1074" s="254" t="s">
        <v>4521</v>
      </c>
      <c r="D1074" s="256" t="s">
        <v>20312</v>
      </c>
      <c r="E1074" s="253" t="s">
        <v>170</v>
      </c>
    </row>
    <row r="1075" spans="1:5" ht="15">
      <c r="A1075" s="254">
        <v>1164</v>
      </c>
      <c r="B1075" s="254" t="s">
        <v>20313</v>
      </c>
      <c r="C1075" s="254" t="s">
        <v>4521</v>
      </c>
      <c r="D1075" s="256" t="s">
        <v>15490</v>
      </c>
      <c r="E1075" s="253" t="s">
        <v>170</v>
      </c>
    </row>
    <row r="1076" spans="1:5" ht="15">
      <c r="A1076" s="254">
        <v>1162</v>
      </c>
      <c r="B1076" s="254" t="s">
        <v>20314</v>
      </c>
      <c r="C1076" s="254" t="s">
        <v>4521</v>
      </c>
      <c r="D1076" s="256" t="s">
        <v>19785</v>
      </c>
      <c r="E1076" s="253" t="s">
        <v>170</v>
      </c>
    </row>
    <row r="1077" spans="1:5" ht="15">
      <c r="A1077" s="254">
        <v>12395</v>
      </c>
      <c r="B1077" s="254" t="s">
        <v>20315</v>
      </c>
      <c r="C1077" s="254" t="s">
        <v>4521</v>
      </c>
      <c r="D1077" s="256" t="s">
        <v>14240</v>
      </c>
      <c r="E1077" s="253" t="s">
        <v>170</v>
      </c>
    </row>
    <row r="1078" spans="1:5" ht="15">
      <c r="A1078" s="254">
        <v>1170</v>
      </c>
      <c r="B1078" s="254" t="s">
        <v>20316</v>
      </c>
      <c r="C1078" s="254" t="s">
        <v>4521</v>
      </c>
      <c r="D1078" s="256" t="s">
        <v>16593</v>
      </c>
      <c r="E1078" s="253" t="s">
        <v>170</v>
      </c>
    </row>
    <row r="1079" spans="1:5" ht="15">
      <c r="A1079" s="254">
        <v>1169</v>
      </c>
      <c r="B1079" s="254" t="s">
        <v>20317</v>
      </c>
      <c r="C1079" s="254" t="s">
        <v>4521</v>
      </c>
      <c r="D1079" s="255" t="s">
        <v>16840</v>
      </c>
      <c r="E1079" s="253" t="s">
        <v>170</v>
      </c>
    </row>
    <row r="1080" spans="1:5" ht="15">
      <c r="A1080" s="254">
        <v>1166</v>
      </c>
      <c r="B1080" s="254" t="s">
        <v>20318</v>
      </c>
      <c r="C1080" s="254" t="s">
        <v>4521</v>
      </c>
      <c r="D1080" s="255" t="s">
        <v>20319</v>
      </c>
      <c r="E1080" s="253" t="s">
        <v>170</v>
      </c>
    </row>
    <row r="1081" spans="1:5" ht="15">
      <c r="A1081" s="254">
        <v>1163</v>
      </c>
      <c r="B1081" s="254" t="s">
        <v>20320</v>
      </c>
      <c r="C1081" s="254" t="s">
        <v>4521</v>
      </c>
      <c r="D1081" s="255" t="s">
        <v>14338</v>
      </c>
      <c r="E1081" s="253" t="s">
        <v>170</v>
      </c>
    </row>
    <row r="1082" spans="1:5" ht="15">
      <c r="A1082" s="254">
        <v>12396</v>
      </c>
      <c r="B1082" s="254" t="s">
        <v>20321</v>
      </c>
      <c r="C1082" s="254" t="s">
        <v>4521</v>
      </c>
      <c r="D1082" s="255" t="s">
        <v>14240</v>
      </c>
      <c r="E1082" s="253" t="s">
        <v>170</v>
      </c>
    </row>
    <row r="1083" spans="1:5" ht="15">
      <c r="A1083" s="254">
        <v>1168</v>
      </c>
      <c r="B1083" s="254" t="s">
        <v>20322</v>
      </c>
      <c r="C1083" s="254" t="s">
        <v>4521</v>
      </c>
      <c r="D1083" s="256" t="s">
        <v>20323</v>
      </c>
      <c r="E1083" s="253" t="s">
        <v>170</v>
      </c>
    </row>
    <row r="1084" spans="1:5" ht="15">
      <c r="A1084" s="254">
        <v>1167</v>
      </c>
      <c r="B1084" s="254" t="s">
        <v>20324</v>
      </c>
      <c r="C1084" s="254" t="s">
        <v>4521</v>
      </c>
      <c r="D1084" s="256" t="s">
        <v>20325</v>
      </c>
      <c r="E1084" s="253" t="s">
        <v>170</v>
      </c>
    </row>
    <row r="1085" spans="1:5" ht="15">
      <c r="A1085" s="254">
        <v>36331</v>
      </c>
      <c r="B1085" s="254" t="s">
        <v>20326</v>
      </c>
      <c r="C1085" s="254" t="s">
        <v>4521</v>
      </c>
      <c r="D1085" s="256" t="s">
        <v>16224</v>
      </c>
      <c r="E1085" s="253" t="s">
        <v>170</v>
      </c>
    </row>
    <row r="1086" spans="1:5" ht="15">
      <c r="A1086" s="254">
        <v>36346</v>
      </c>
      <c r="B1086" s="254" t="s">
        <v>20327</v>
      </c>
      <c r="C1086" s="254" t="s">
        <v>4521</v>
      </c>
      <c r="D1086" s="256" t="s">
        <v>20328</v>
      </c>
      <c r="E1086" s="253" t="s">
        <v>170</v>
      </c>
    </row>
    <row r="1087" spans="1:5" ht="15">
      <c r="A1087" s="254">
        <v>1210</v>
      </c>
      <c r="B1087" s="254" t="s">
        <v>20329</v>
      </c>
      <c r="C1087" s="254" t="s">
        <v>4521</v>
      </c>
      <c r="D1087" s="256" t="s">
        <v>16858</v>
      </c>
      <c r="E1087" s="253" t="s">
        <v>170</v>
      </c>
    </row>
    <row r="1088" spans="1:5" ht="15">
      <c r="A1088" s="254">
        <v>1203</v>
      </c>
      <c r="B1088" s="254" t="s">
        <v>20330</v>
      </c>
      <c r="C1088" s="254" t="s">
        <v>4521</v>
      </c>
      <c r="D1088" s="256" t="s">
        <v>20331</v>
      </c>
      <c r="E1088" s="253" t="s">
        <v>170</v>
      </c>
    </row>
    <row r="1089" spans="1:5" ht="15">
      <c r="A1089" s="254">
        <v>1197</v>
      </c>
      <c r="B1089" s="254" t="s">
        <v>20332</v>
      </c>
      <c r="C1089" s="254" t="s">
        <v>4521</v>
      </c>
      <c r="D1089" s="255" t="s">
        <v>14335</v>
      </c>
      <c r="E1089" s="253" t="s">
        <v>170</v>
      </c>
    </row>
    <row r="1090" spans="1:5" ht="15">
      <c r="A1090" s="254">
        <v>1202</v>
      </c>
      <c r="B1090" s="254" t="s">
        <v>20333</v>
      </c>
      <c r="C1090" s="254" t="s">
        <v>4521</v>
      </c>
      <c r="D1090" s="255" t="s">
        <v>20334</v>
      </c>
      <c r="E1090" s="253" t="s">
        <v>170</v>
      </c>
    </row>
    <row r="1091" spans="1:5" ht="15">
      <c r="A1091" s="254">
        <v>1188</v>
      </c>
      <c r="B1091" s="254" t="s">
        <v>20335</v>
      </c>
      <c r="C1091" s="254" t="s">
        <v>4521</v>
      </c>
      <c r="D1091" s="255" t="s">
        <v>18573</v>
      </c>
      <c r="E1091" s="253" t="s">
        <v>170</v>
      </c>
    </row>
    <row r="1092" spans="1:5" ht="15">
      <c r="A1092" s="254">
        <v>1211</v>
      </c>
      <c r="B1092" s="254" t="s">
        <v>20336</v>
      </c>
      <c r="C1092" s="254" t="s">
        <v>4521</v>
      </c>
      <c r="D1092" s="255" t="s">
        <v>15441</v>
      </c>
      <c r="E1092" s="253" t="s">
        <v>170</v>
      </c>
    </row>
    <row r="1093" spans="1:5" ht="15">
      <c r="A1093" s="254">
        <v>1198</v>
      </c>
      <c r="B1093" s="254" t="s">
        <v>20337</v>
      </c>
      <c r="C1093" s="254" t="s">
        <v>4521</v>
      </c>
      <c r="D1093" s="255" t="s">
        <v>14274</v>
      </c>
      <c r="E1093" s="253" t="s">
        <v>170</v>
      </c>
    </row>
    <row r="1094" spans="1:5" ht="15">
      <c r="A1094" s="254">
        <v>1199</v>
      </c>
      <c r="B1094" s="254" t="s">
        <v>20338</v>
      </c>
      <c r="C1094" s="254" t="s">
        <v>4521</v>
      </c>
      <c r="D1094" s="255" t="s">
        <v>16873</v>
      </c>
      <c r="E1094" s="253" t="s">
        <v>170</v>
      </c>
    </row>
    <row r="1095" spans="1:5" ht="15">
      <c r="A1095" s="254">
        <v>20088</v>
      </c>
      <c r="B1095" s="254" t="s">
        <v>20339</v>
      </c>
      <c r="C1095" s="254" t="s">
        <v>4521</v>
      </c>
      <c r="D1095" s="255" t="s">
        <v>15844</v>
      </c>
      <c r="E1095" s="253" t="s">
        <v>170</v>
      </c>
    </row>
    <row r="1096" spans="1:5" ht="15">
      <c r="A1096" s="254">
        <v>20089</v>
      </c>
      <c r="B1096" s="254" t="s">
        <v>20340</v>
      </c>
      <c r="C1096" s="254" t="s">
        <v>4521</v>
      </c>
      <c r="D1096" s="255" t="s">
        <v>20341</v>
      </c>
      <c r="E1096" s="253" t="s">
        <v>170</v>
      </c>
    </row>
    <row r="1097" spans="1:5" ht="15">
      <c r="A1097" s="254">
        <v>20087</v>
      </c>
      <c r="B1097" s="254" t="s">
        <v>20342</v>
      </c>
      <c r="C1097" s="254" t="s">
        <v>4521</v>
      </c>
      <c r="D1097" s="255" t="s">
        <v>15438</v>
      </c>
      <c r="E1097" s="253" t="s">
        <v>170</v>
      </c>
    </row>
    <row r="1098" spans="1:5" ht="15">
      <c r="A1098" s="254">
        <v>1200</v>
      </c>
      <c r="B1098" s="254" t="s">
        <v>20343</v>
      </c>
      <c r="C1098" s="254" t="s">
        <v>4521</v>
      </c>
      <c r="D1098" s="255" t="s">
        <v>16459</v>
      </c>
      <c r="E1098" s="253" t="s">
        <v>170</v>
      </c>
    </row>
    <row r="1099" spans="1:5" ht="15">
      <c r="A1099" s="254">
        <v>12909</v>
      </c>
      <c r="B1099" s="254" t="s">
        <v>20344</v>
      </c>
      <c r="C1099" s="254" t="s">
        <v>4521</v>
      </c>
      <c r="D1099" s="255" t="s">
        <v>13666</v>
      </c>
      <c r="E1099" s="253" t="s">
        <v>170</v>
      </c>
    </row>
    <row r="1100" spans="1:5" ht="15">
      <c r="A1100" s="254">
        <v>12910</v>
      </c>
      <c r="B1100" s="254" t="s">
        <v>20345</v>
      </c>
      <c r="C1100" s="254" t="s">
        <v>4521</v>
      </c>
      <c r="D1100" s="255" t="s">
        <v>13990</v>
      </c>
      <c r="E1100" s="253" t="s">
        <v>170</v>
      </c>
    </row>
    <row r="1101" spans="1:5" ht="15">
      <c r="A1101" s="254">
        <v>1184</v>
      </c>
      <c r="B1101" s="254" t="s">
        <v>20346</v>
      </c>
      <c r="C1101" s="254" t="s">
        <v>4521</v>
      </c>
      <c r="D1101" s="255" t="s">
        <v>20347</v>
      </c>
      <c r="E1101" s="253" t="s">
        <v>170</v>
      </c>
    </row>
    <row r="1102" spans="1:5" ht="15">
      <c r="A1102" s="254">
        <v>1191</v>
      </c>
      <c r="B1102" s="254" t="s">
        <v>20348</v>
      </c>
      <c r="C1102" s="254" t="s">
        <v>4521</v>
      </c>
      <c r="D1102" s="255" t="s">
        <v>14036</v>
      </c>
      <c r="E1102" s="253" t="s">
        <v>170</v>
      </c>
    </row>
    <row r="1103" spans="1:5" ht="15">
      <c r="A1103" s="254">
        <v>1185</v>
      </c>
      <c r="B1103" s="254" t="s">
        <v>20349</v>
      </c>
      <c r="C1103" s="254" t="s">
        <v>4521</v>
      </c>
      <c r="D1103" s="255" t="s">
        <v>19909</v>
      </c>
      <c r="E1103" s="253" t="s">
        <v>170</v>
      </c>
    </row>
    <row r="1104" spans="1:5" ht="15">
      <c r="A1104" s="254">
        <v>1189</v>
      </c>
      <c r="B1104" s="254" t="s">
        <v>20350</v>
      </c>
      <c r="C1104" s="254" t="s">
        <v>4521</v>
      </c>
      <c r="D1104" s="255" t="s">
        <v>18507</v>
      </c>
      <c r="E1104" s="253" t="s">
        <v>170</v>
      </c>
    </row>
    <row r="1105" spans="1:5" ht="15">
      <c r="A1105" s="254">
        <v>1193</v>
      </c>
      <c r="B1105" s="254" t="s">
        <v>20351</v>
      </c>
      <c r="C1105" s="254" t="s">
        <v>4521</v>
      </c>
      <c r="D1105" s="255" t="s">
        <v>14201</v>
      </c>
      <c r="E1105" s="253" t="s">
        <v>170</v>
      </c>
    </row>
    <row r="1106" spans="1:5" ht="15">
      <c r="A1106" s="254">
        <v>1194</v>
      </c>
      <c r="B1106" s="254" t="s">
        <v>20352</v>
      </c>
      <c r="C1106" s="254" t="s">
        <v>4521</v>
      </c>
      <c r="D1106" s="255" t="s">
        <v>14635</v>
      </c>
      <c r="E1106" s="253" t="s">
        <v>170</v>
      </c>
    </row>
    <row r="1107" spans="1:5" ht="15">
      <c r="A1107" s="254">
        <v>1195</v>
      </c>
      <c r="B1107" s="254" t="s">
        <v>20353</v>
      </c>
      <c r="C1107" s="254" t="s">
        <v>4521</v>
      </c>
      <c r="D1107" s="255" t="s">
        <v>15736</v>
      </c>
      <c r="E1107" s="253" t="s">
        <v>170</v>
      </c>
    </row>
    <row r="1108" spans="1:5" ht="15">
      <c r="A1108" s="254">
        <v>1204</v>
      </c>
      <c r="B1108" s="254" t="s">
        <v>20354</v>
      </c>
      <c r="C1108" s="254" t="s">
        <v>4521</v>
      </c>
      <c r="D1108" s="255" t="s">
        <v>16991</v>
      </c>
      <c r="E1108" s="253" t="s">
        <v>170</v>
      </c>
    </row>
    <row r="1109" spans="1:5" ht="15">
      <c r="A1109" s="254">
        <v>1205</v>
      </c>
      <c r="B1109" s="254" t="s">
        <v>20355</v>
      </c>
      <c r="C1109" s="254" t="s">
        <v>4521</v>
      </c>
      <c r="D1109" s="255" t="s">
        <v>18180</v>
      </c>
      <c r="E1109" s="253" t="s">
        <v>170</v>
      </c>
    </row>
    <row r="1110" spans="1:5" ht="15">
      <c r="A1110" s="254">
        <v>1207</v>
      </c>
      <c r="B1110" s="254" t="s">
        <v>20356</v>
      </c>
      <c r="C1110" s="254" t="s">
        <v>4521</v>
      </c>
      <c r="D1110" s="255" t="s">
        <v>14145</v>
      </c>
      <c r="E1110" s="253" t="s">
        <v>170</v>
      </c>
    </row>
    <row r="1111" spans="1:5" ht="15">
      <c r="A1111" s="254">
        <v>1206</v>
      </c>
      <c r="B1111" s="254" t="s">
        <v>20357</v>
      </c>
      <c r="C1111" s="254" t="s">
        <v>4521</v>
      </c>
      <c r="D1111" s="256" t="s">
        <v>19766</v>
      </c>
      <c r="E1111" s="253" t="s">
        <v>170</v>
      </c>
    </row>
    <row r="1112" spans="1:5" ht="15">
      <c r="A1112" s="254">
        <v>1183</v>
      </c>
      <c r="B1112" s="254" t="s">
        <v>20358</v>
      </c>
      <c r="C1112" s="254" t="s">
        <v>4521</v>
      </c>
      <c r="D1112" s="255" t="s">
        <v>14101</v>
      </c>
      <c r="E1112" s="253" t="s">
        <v>170</v>
      </c>
    </row>
    <row r="1113" spans="1:5" ht="15">
      <c r="A1113" s="254">
        <v>42685</v>
      </c>
      <c r="B1113" s="254" t="s">
        <v>20359</v>
      </c>
      <c r="C1113" s="254" t="s">
        <v>4521</v>
      </c>
      <c r="D1113" s="255" t="s">
        <v>20360</v>
      </c>
      <c r="E1113" s="253" t="s">
        <v>170</v>
      </c>
    </row>
    <row r="1114" spans="1:5" ht="15">
      <c r="A1114" s="254">
        <v>42686</v>
      </c>
      <c r="B1114" s="254" t="s">
        <v>20361</v>
      </c>
      <c r="C1114" s="254" t="s">
        <v>4521</v>
      </c>
      <c r="D1114" s="255" t="s">
        <v>15346</v>
      </c>
      <c r="E1114" s="253" t="s">
        <v>170</v>
      </c>
    </row>
    <row r="1115" spans="1:5" ht="30">
      <c r="A1115" s="254">
        <v>12894</v>
      </c>
      <c r="B1115" s="254" t="s">
        <v>20362</v>
      </c>
      <c r="C1115" s="254" t="s">
        <v>4521</v>
      </c>
      <c r="D1115" s="255" t="s">
        <v>20363</v>
      </c>
      <c r="E1115" s="253" t="s">
        <v>170</v>
      </c>
    </row>
    <row r="1116" spans="1:5" ht="30">
      <c r="A1116" s="254">
        <v>12895</v>
      </c>
      <c r="B1116" s="254" t="s">
        <v>20364</v>
      </c>
      <c r="C1116" s="254" t="s">
        <v>4521</v>
      </c>
      <c r="D1116" s="255" t="s">
        <v>15808</v>
      </c>
      <c r="E1116" s="253" t="s">
        <v>170</v>
      </c>
    </row>
    <row r="1117" spans="1:5" ht="30">
      <c r="A1117" s="254">
        <v>1631</v>
      </c>
      <c r="B1117" s="254" t="s">
        <v>20365</v>
      </c>
      <c r="C1117" s="254" t="s">
        <v>4521</v>
      </c>
      <c r="D1117" s="255" t="s">
        <v>20366</v>
      </c>
      <c r="E1117" s="253" t="s">
        <v>170</v>
      </c>
    </row>
    <row r="1118" spans="1:5" ht="30">
      <c r="A1118" s="254">
        <v>1633</v>
      </c>
      <c r="B1118" s="254" t="s">
        <v>20367</v>
      </c>
      <c r="C1118" s="254" t="s">
        <v>4521</v>
      </c>
      <c r="D1118" s="255" t="s">
        <v>20368</v>
      </c>
      <c r="E1118" s="253" t="s">
        <v>170</v>
      </c>
    </row>
    <row r="1119" spans="1:5" ht="15">
      <c r="A1119" s="254">
        <v>10818</v>
      </c>
      <c r="B1119" s="254" t="s">
        <v>20369</v>
      </c>
      <c r="C1119" s="254" t="s">
        <v>4525</v>
      </c>
      <c r="D1119" s="255" t="s">
        <v>13551</v>
      </c>
      <c r="E1119" s="253" t="s">
        <v>170</v>
      </c>
    </row>
    <row r="1120" spans="1:5" ht="60">
      <c r="A1120" s="254">
        <v>39359</v>
      </c>
      <c r="B1120" s="254" t="s">
        <v>20370</v>
      </c>
      <c r="C1120" s="254" t="s">
        <v>4521</v>
      </c>
      <c r="D1120" s="255" t="s">
        <v>20371</v>
      </c>
      <c r="E1120" s="253" t="s">
        <v>170</v>
      </c>
    </row>
    <row r="1121" spans="1:5" ht="45">
      <c r="A1121" s="254">
        <v>39360</v>
      </c>
      <c r="B1121" s="254" t="s">
        <v>20372</v>
      </c>
      <c r="C1121" s="254" t="s">
        <v>4521</v>
      </c>
      <c r="D1121" s="255" t="s">
        <v>20373</v>
      </c>
      <c r="E1121" s="253" t="s">
        <v>170</v>
      </c>
    </row>
    <row r="1122" spans="1:5" ht="30">
      <c r="A1122" s="254">
        <v>10710</v>
      </c>
      <c r="B1122" s="254" t="s">
        <v>20374</v>
      </c>
      <c r="C1122" s="254" t="s">
        <v>4523</v>
      </c>
      <c r="D1122" s="255" t="s">
        <v>20375</v>
      </c>
      <c r="E1122" s="253" t="s">
        <v>170</v>
      </c>
    </row>
    <row r="1123" spans="1:5" ht="30">
      <c r="A1123" s="254">
        <v>10709</v>
      </c>
      <c r="B1123" s="254" t="s">
        <v>20376</v>
      </c>
      <c r="C1123" s="254" t="s">
        <v>4523</v>
      </c>
      <c r="D1123" s="255" t="s">
        <v>20377</v>
      </c>
      <c r="E1123" s="253" t="s">
        <v>170</v>
      </c>
    </row>
    <row r="1124" spans="1:5" ht="30">
      <c r="A1124" s="254">
        <v>39636</v>
      </c>
      <c r="B1124" s="254" t="s">
        <v>20378</v>
      </c>
      <c r="C1124" s="254" t="s">
        <v>4523</v>
      </c>
      <c r="D1124" s="255" t="s">
        <v>20379</v>
      </c>
      <c r="E1124" s="253" t="s">
        <v>170</v>
      </c>
    </row>
    <row r="1125" spans="1:5" ht="30">
      <c r="A1125" s="254">
        <v>10708</v>
      </c>
      <c r="B1125" s="254" t="s">
        <v>20380</v>
      </c>
      <c r="C1125" s="254" t="s">
        <v>4523</v>
      </c>
      <c r="D1125" s="255" t="s">
        <v>20381</v>
      </c>
      <c r="E1125" s="253" t="s">
        <v>170</v>
      </c>
    </row>
    <row r="1126" spans="1:5" ht="30">
      <c r="A1126" s="254">
        <v>39635</v>
      </c>
      <c r="B1126" s="254" t="s">
        <v>20382</v>
      </c>
      <c r="C1126" s="254" t="s">
        <v>4523</v>
      </c>
      <c r="D1126" s="255" t="s">
        <v>20383</v>
      </c>
      <c r="E1126" s="253" t="s">
        <v>170</v>
      </c>
    </row>
    <row r="1127" spans="1:5" ht="15">
      <c r="A1127" s="254">
        <v>6117</v>
      </c>
      <c r="B1127" s="254" t="s">
        <v>20384</v>
      </c>
      <c r="C1127" s="254" t="s">
        <v>4520</v>
      </c>
      <c r="D1127" s="255" t="s">
        <v>18812</v>
      </c>
      <c r="E1127" s="253" t="s">
        <v>8722</v>
      </c>
    </row>
    <row r="1128" spans="1:5" ht="15">
      <c r="A1128" s="254">
        <v>40913</v>
      </c>
      <c r="B1128" s="254" t="s">
        <v>20385</v>
      </c>
      <c r="C1128" s="254" t="s">
        <v>4528</v>
      </c>
      <c r="D1128" s="255" t="s">
        <v>20386</v>
      </c>
      <c r="E1128" s="253" t="s">
        <v>8722</v>
      </c>
    </row>
    <row r="1129" spans="1:5" ht="15">
      <c r="A1129" s="254">
        <v>1214</v>
      </c>
      <c r="B1129" s="254" t="s">
        <v>20387</v>
      </c>
      <c r="C1129" s="254" t="s">
        <v>4520</v>
      </c>
      <c r="D1129" s="255" t="s">
        <v>19250</v>
      </c>
      <c r="E1129" s="253" t="s">
        <v>8722</v>
      </c>
    </row>
    <row r="1130" spans="1:5" ht="15">
      <c r="A1130" s="254">
        <v>40915</v>
      </c>
      <c r="B1130" s="254" t="s">
        <v>20388</v>
      </c>
      <c r="C1130" s="254" t="s">
        <v>4528</v>
      </c>
      <c r="D1130" s="255" t="s">
        <v>19252</v>
      </c>
      <c r="E1130" s="253" t="s">
        <v>8722</v>
      </c>
    </row>
    <row r="1131" spans="1:5" ht="15">
      <c r="A1131" s="254">
        <v>1213</v>
      </c>
      <c r="B1131" s="254" t="s">
        <v>20389</v>
      </c>
      <c r="C1131" s="254" t="s">
        <v>4520</v>
      </c>
      <c r="D1131" s="255" t="s">
        <v>19250</v>
      </c>
      <c r="E1131" s="253" t="s">
        <v>8722</v>
      </c>
    </row>
    <row r="1132" spans="1:5" ht="15">
      <c r="A1132" s="254">
        <v>40914</v>
      </c>
      <c r="B1132" s="254" t="s">
        <v>20390</v>
      </c>
      <c r="C1132" s="254" t="s">
        <v>4528</v>
      </c>
      <c r="D1132" s="255" t="s">
        <v>19252</v>
      </c>
      <c r="E1132" s="253" t="s">
        <v>8722</v>
      </c>
    </row>
    <row r="1133" spans="1:5" ht="30">
      <c r="A1133" s="254">
        <v>5091</v>
      </c>
      <c r="B1133" s="254" t="s">
        <v>20391</v>
      </c>
      <c r="C1133" s="254" t="s">
        <v>4521</v>
      </c>
      <c r="D1133" s="255" t="s">
        <v>20392</v>
      </c>
      <c r="E1133" s="253" t="s">
        <v>170</v>
      </c>
    </row>
    <row r="1134" spans="1:5" ht="30">
      <c r="A1134" s="254">
        <v>14615</v>
      </c>
      <c r="B1134" s="254" t="s">
        <v>20393</v>
      </c>
      <c r="C1134" s="254" t="s">
        <v>4521</v>
      </c>
      <c r="D1134" s="255" t="s">
        <v>20394</v>
      </c>
      <c r="E1134" s="253" t="s">
        <v>170</v>
      </c>
    </row>
    <row r="1135" spans="1:5" ht="15">
      <c r="A1135" s="254">
        <v>2711</v>
      </c>
      <c r="B1135" s="254" t="s">
        <v>20395</v>
      </c>
      <c r="C1135" s="254" t="s">
        <v>4521</v>
      </c>
      <c r="D1135" s="255" t="s">
        <v>20396</v>
      </c>
      <c r="E1135" s="253" t="s">
        <v>170</v>
      </c>
    </row>
    <row r="1136" spans="1:5" ht="45">
      <c r="A1136" s="254">
        <v>37727</v>
      </c>
      <c r="B1136" s="254" t="s">
        <v>20397</v>
      </c>
      <c r="C1136" s="254" t="s">
        <v>4521</v>
      </c>
      <c r="D1136" s="255" t="s">
        <v>20398</v>
      </c>
      <c r="E1136" s="253" t="s">
        <v>6305</v>
      </c>
    </row>
    <row r="1137" spans="1:8" ht="45">
      <c r="A1137" s="254">
        <v>37728</v>
      </c>
      <c r="B1137" s="254" t="s">
        <v>20399</v>
      </c>
      <c r="C1137" s="254" t="s">
        <v>4521</v>
      </c>
      <c r="D1137" s="255" t="s">
        <v>20400</v>
      </c>
      <c r="E1137" s="253" t="s">
        <v>6305</v>
      </c>
    </row>
    <row r="1138" spans="1:8" ht="45">
      <c r="A1138" s="254">
        <v>37729</v>
      </c>
      <c r="B1138" s="254" t="s">
        <v>20401</v>
      </c>
      <c r="C1138" s="254" t="s">
        <v>4521</v>
      </c>
      <c r="D1138" s="255" t="s">
        <v>20402</v>
      </c>
      <c r="E1138" s="253" t="s">
        <v>6305</v>
      </c>
    </row>
    <row r="1139" spans="1:8" ht="45">
      <c r="A1139" s="254">
        <v>37730</v>
      </c>
      <c r="B1139" s="254" t="s">
        <v>20403</v>
      </c>
      <c r="C1139" s="254" t="s">
        <v>4521</v>
      </c>
      <c r="D1139" s="255" t="s">
        <v>20404</v>
      </c>
      <c r="E1139" s="253" t="s">
        <v>6305</v>
      </c>
    </row>
    <row r="1140" spans="1:8" ht="45">
      <c r="A1140" s="254">
        <v>37731</v>
      </c>
      <c r="B1140" s="254" t="s">
        <v>20405</v>
      </c>
      <c r="C1140" s="254" t="s">
        <v>4521</v>
      </c>
      <c r="D1140" s="255" t="s">
        <v>20406</v>
      </c>
      <c r="E1140" s="253" t="s">
        <v>6305</v>
      </c>
    </row>
    <row r="1141" spans="1:8" ht="45">
      <c r="A1141" s="254">
        <v>37732</v>
      </c>
      <c r="B1141" s="254" t="s">
        <v>20407</v>
      </c>
      <c r="C1141" s="254" t="s">
        <v>4521</v>
      </c>
      <c r="D1141" s="255" t="s">
        <v>20408</v>
      </c>
      <c r="E1141" s="253" t="s">
        <v>6305</v>
      </c>
    </row>
    <row r="1142" spans="1:8" ht="30">
      <c r="A1142" s="254">
        <v>42250</v>
      </c>
      <c r="B1142" s="254" t="s">
        <v>20409</v>
      </c>
      <c r="C1142" s="254" t="s">
        <v>4533</v>
      </c>
      <c r="D1142" s="255" t="s">
        <v>20410</v>
      </c>
      <c r="E1142" s="253" t="s">
        <v>170</v>
      </c>
    </row>
    <row r="1143" spans="1:8" ht="30">
      <c r="A1143" s="254">
        <v>42256</v>
      </c>
      <c r="B1143" s="254" t="s">
        <v>20411</v>
      </c>
      <c r="C1143" s="254" t="s">
        <v>4525</v>
      </c>
      <c r="D1143" s="255" t="s">
        <v>14276</v>
      </c>
      <c r="E1143" s="253" t="s">
        <v>170</v>
      </c>
    </row>
    <row r="1144" spans="1:8" ht="15">
      <c r="A1144" s="254">
        <v>4743</v>
      </c>
      <c r="B1144" s="254" t="s">
        <v>20412</v>
      </c>
      <c r="C1144" s="254" t="s">
        <v>4522</v>
      </c>
      <c r="D1144" s="255" t="s">
        <v>20413</v>
      </c>
      <c r="E1144" s="253" t="s">
        <v>170</v>
      </c>
      <c r="H1144" s="320"/>
    </row>
    <row r="1145" spans="1:8" ht="15">
      <c r="A1145" s="254">
        <v>4744</v>
      </c>
      <c r="B1145" s="254" t="s">
        <v>20414</v>
      </c>
      <c r="C1145" s="254" t="s">
        <v>4522</v>
      </c>
      <c r="D1145" s="255" t="s">
        <v>15917</v>
      </c>
      <c r="E1145" s="253" t="s">
        <v>170</v>
      </c>
    </row>
    <row r="1146" spans="1:8" ht="15">
      <c r="A1146" s="254">
        <v>4745</v>
      </c>
      <c r="B1146" s="254" t="s">
        <v>20415</v>
      </c>
      <c r="C1146" s="254" t="s">
        <v>4522</v>
      </c>
      <c r="D1146" s="255" t="s">
        <v>20416</v>
      </c>
      <c r="E1146" s="253" t="s">
        <v>170</v>
      </c>
    </row>
    <row r="1147" spans="1:8" ht="60">
      <c r="A1147" s="254">
        <v>36496</v>
      </c>
      <c r="B1147" s="254" t="s">
        <v>20417</v>
      </c>
      <c r="C1147" s="254" t="s">
        <v>4521</v>
      </c>
      <c r="D1147" s="255" t="s">
        <v>20418</v>
      </c>
      <c r="E1147" s="253" t="s">
        <v>6305</v>
      </c>
    </row>
    <row r="1148" spans="1:8" ht="45">
      <c r="A1148" s="254">
        <v>10630</v>
      </c>
      <c r="B1148" s="254" t="s">
        <v>20419</v>
      </c>
      <c r="C1148" s="254" t="s">
        <v>4521</v>
      </c>
      <c r="D1148" s="255" t="s">
        <v>20420</v>
      </c>
      <c r="E1148" s="253" t="s">
        <v>6305</v>
      </c>
    </row>
    <row r="1149" spans="1:8" ht="45">
      <c r="A1149" s="254">
        <v>37762</v>
      </c>
      <c r="B1149" s="254" t="s">
        <v>20421</v>
      </c>
      <c r="C1149" s="254" t="s">
        <v>4521</v>
      </c>
      <c r="D1149" s="255" t="s">
        <v>20422</v>
      </c>
      <c r="E1149" s="253" t="s">
        <v>6305</v>
      </c>
    </row>
    <row r="1150" spans="1:8" ht="45">
      <c r="A1150" s="254">
        <v>37763</v>
      </c>
      <c r="B1150" s="254" t="s">
        <v>20423</v>
      </c>
      <c r="C1150" s="254" t="s">
        <v>4521</v>
      </c>
      <c r="D1150" s="255" t="s">
        <v>20424</v>
      </c>
      <c r="E1150" s="253" t="s">
        <v>6305</v>
      </c>
    </row>
    <row r="1151" spans="1:8" ht="45">
      <c r="A1151" s="254">
        <v>41992</v>
      </c>
      <c r="B1151" s="254" t="s">
        <v>20425</v>
      </c>
      <c r="C1151" s="254" t="s">
        <v>4521</v>
      </c>
      <c r="D1151" s="255" t="s">
        <v>20426</v>
      </c>
      <c r="E1151" s="253" t="s">
        <v>6305</v>
      </c>
    </row>
    <row r="1152" spans="1:8" ht="45">
      <c r="A1152" s="254">
        <v>13215</v>
      </c>
      <c r="B1152" s="254" t="s">
        <v>20427</v>
      </c>
      <c r="C1152" s="254" t="s">
        <v>4521</v>
      </c>
      <c r="D1152" s="255" t="s">
        <v>20428</v>
      </c>
      <c r="E1152" s="253" t="s">
        <v>6305</v>
      </c>
    </row>
    <row r="1153" spans="1:5" ht="15">
      <c r="A1153" s="254">
        <v>4235</v>
      </c>
      <c r="B1153" s="254" t="s">
        <v>20429</v>
      </c>
      <c r="C1153" s="254" t="s">
        <v>4520</v>
      </c>
      <c r="D1153" s="255" t="s">
        <v>17960</v>
      </c>
      <c r="E1153" s="253" t="s">
        <v>8722</v>
      </c>
    </row>
    <row r="1154" spans="1:5" ht="15">
      <c r="A1154" s="254">
        <v>40976</v>
      </c>
      <c r="B1154" s="254" t="s">
        <v>20430</v>
      </c>
      <c r="C1154" s="254" t="s">
        <v>4528</v>
      </c>
      <c r="D1154" s="255" t="s">
        <v>20431</v>
      </c>
      <c r="E1154" s="253" t="s">
        <v>8722</v>
      </c>
    </row>
    <row r="1155" spans="1:5" ht="30">
      <c r="A1155" s="254">
        <v>39013</v>
      </c>
      <c r="B1155" s="254" t="s">
        <v>20432</v>
      </c>
      <c r="C1155" s="254" t="s">
        <v>4521</v>
      </c>
      <c r="D1155" s="255" t="s">
        <v>19978</v>
      </c>
      <c r="E1155" s="253" t="s">
        <v>170</v>
      </c>
    </row>
    <row r="1156" spans="1:5" ht="45">
      <c r="A1156" s="254">
        <v>43091</v>
      </c>
      <c r="B1156" s="254" t="s">
        <v>20433</v>
      </c>
      <c r="C1156" s="254" t="s">
        <v>4521</v>
      </c>
      <c r="D1156" s="255" t="s">
        <v>20434</v>
      </c>
      <c r="E1156" s="253" t="s">
        <v>170</v>
      </c>
    </row>
    <row r="1157" spans="1:5" ht="45">
      <c r="A1157" s="254">
        <v>43092</v>
      </c>
      <c r="B1157" s="254" t="s">
        <v>20435</v>
      </c>
      <c r="C1157" s="254" t="s">
        <v>4521</v>
      </c>
      <c r="D1157" s="255" t="s">
        <v>20436</v>
      </c>
      <c r="E1157" s="253" t="s">
        <v>170</v>
      </c>
    </row>
    <row r="1158" spans="1:5" ht="45">
      <c r="A1158" s="254">
        <v>43089</v>
      </c>
      <c r="B1158" s="254" t="s">
        <v>20437</v>
      </c>
      <c r="C1158" s="254" t="s">
        <v>4521</v>
      </c>
      <c r="D1158" s="255" t="s">
        <v>20438</v>
      </c>
      <c r="E1158" s="253" t="s">
        <v>170</v>
      </c>
    </row>
    <row r="1159" spans="1:5" ht="45">
      <c r="A1159" s="254">
        <v>43090</v>
      </c>
      <c r="B1159" s="254" t="s">
        <v>20439</v>
      </c>
      <c r="C1159" s="254" t="s">
        <v>4521</v>
      </c>
      <c r="D1159" s="255" t="s">
        <v>20440</v>
      </c>
      <c r="E1159" s="253" t="s">
        <v>170</v>
      </c>
    </row>
    <row r="1160" spans="1:5" ht="15">
      <c r="A1160" s="254">
        <v>41967</v>
      </c>
      <c r="B1160" s="254" t="s">
        <v>20441</v>
      </c>
      <c r="C1160" s="254" t="s">
        <v>4526</v>
      </c>
      <c r="D1160" s="255" t="s">
        <v>19504</v>
      </c>
      <c r="E1160" s="253" t="s">
        <v>170</v>
      </c>
    </row>
    <row r="1161" spans="1:5" ht="30">
      <c r="A1161" s="254">
        <v>12760</v>
      </c>
      <c r="B1161" s="254" t="s">
        <v>20442</v>
      </c>
      <c r="C1161" s="254" t="s">
        <v>4523</v>
      </c>
      <c r="D1161" s="255" t="s">
        <v>20443</v>
      </c>
      <c r="E1161" s="253" t="s">
        <v>170</v>
      </c>
    </row>
    <row r="1162" spans="1:5" ht="30">
      <c r="A1162" s="254">
        <v>12759</v>
      </c>
      <c r="B1162" s="254" t="s">
        <v>20444</v>
      </c>
      <c r="C1162" s="254" t="s">
        <v>4523</v>
      </c>
      <c r="D1162" s="255" t="s">
        <v>20445</v>
      </c>
      <c r="E1162" s="253" t="s">
        <v>170</v>
      </c>
    </row>
    <row r="1163" spans="1:5" ht="30">
      <c r="A1163" s="254">
        <v>43105</v>
      </c>
      <c r="B1163" s="254" t="s">
        <v>20446</v>
      </c>
      <c r="C1163" s="254" t="s">
        <v>4525</v>
      </c>
      <c r="D1163" s="255" t="s">
        <v>20447</v>
      </c>
      <c r="E1163" s="253" t="s">
        <v>170</v>
      </c>
    </row>
    <row r="1164" spans="1:5" ht="30">
      <c r="A1164" s="254">
        <v>40424</v>
      </c>
      <c r="B1164" s="254" t="s">
        <v>20448</v>
      </c>
      <c r="C1164" s="254" t="s">
        <v>4525</v>
      </c>
      <c r="D1164" s="255" t="s">
        <v>17630</v>
      </c>
      <c r="E1164" s="253" t="s">
        <v>170</v>
      </c>
    </row>
    <row r="1165" spans="1:5" ht="15">
      <c r="A1165" s="254">
        <v>1325</v>
      </c>
      <c r="B1165" s="254" t="s">
        <v>20449</v>
      </c>
      <c r="C1165" s="254" t="s">
        <v>4525</v>
      </c>
      <c r="D1165" s="255" t="s">
        <v>19766</v>
      </c>
      <c r="E1165" s="253" t="s">
        <v>170</v>
      </c>
    </row>
    <row r="1166" spans="1:5" ht="15">
      <c r="A1166" s="254">
        <v>1327</v>
      </c>
      <c r="B1166" s="254" t="s">
        <v>20450</v>
      </c>
      <c r="C1166" s="254" t="s">
        <v>4525</v>
      </c>
      <c r="D1166" s="255" t="s">
        <v>13991</v>
      </c>
      <c r="E1166" s="253" t="s">
        <v>170</v>
      </c>
    </row>
    <row r="1167" spans="1:5" ht="15">
      <c r="A1167" s="254">
        <v>1328</v>
      </c>
      <c r="B1167" s="254" t="s">
        <v>20451</v>
      </c>
      <c r="C1167" s="254" t="s">
        <v>4525</v>
      </c>
      <c r="D1167" s="255" t="s">
        <v>20452</v>
      </c>
      <c r="E1167" s="253" t="s">
        <v>170</v>
      </c>
    </row>
    <row r="1168" spans="1:5" ht="15">
      <c r="A1168" s="254">
        <v>1321</v>
      </c>
      <c r="B1168" s="254" t="s">
        <v>20453</v>
      </c>
      <c r="C1168" s="254" t="s">
        <v>4525</v>
      </c>
      <c r="D1168" s="255" t="s">
        <v>18729</v>
      </c>
      <c r="E1168" s="253" t="s">
        <v>170</v>
      </c>
    </row>
    <row r="1169" spans="1:5" ht="15">
      <c r="A1169" s="254">
        <v>1318</v>
      </c>
      <c r="B1169" s="254" t="s">
        <v>20454</v>
      </c>
      <c r="C1169" s="254" t="s">
        <v>4525</v>
      </c>
      <c r="D1169" s="255" t="s">
        <v>18729</v>
      </c>
      <c r="E1169" s="253" t="s">
        <v>170</v>
      </c>
    </row>
    <row r="1170" spans="1:5" ht="15">
      <c r="A1170" s="254">
        <v>1322</v>
      </c>
      <c r="B1170" s="254" t="s">
        <v>20455</v>
      </c>
      <c r="C1170" s="254" t="s">
        <v>4525</v>
      </c>
      <c r="D1170" s="255" t="s">
        <v>17876</v>
      </c>
      <c r="E1170" s="253" t="s">
        <v>170</v>
      </c>
    </row>
    <row r="1171" spans="1:5" ht="15">
      <c r="A1171" s="254">
        <v>1323</v>
      </c>
      <c r="B1171" s="254" t="s">
        <v>20456</v>
      </c>
      <c r="C1171" s="254" t="s">
        <v>4525</v>
      </c>
      <c r="D1171" s="255" t="s">
        <v>17876</v>
      </c>
      <c r="E1171" s="253" t="s">
        <v>170</v>
      </c>
    </row>
    <row r="1172" spans="1:5" ht="15">
      <c r="A1172" s="254">
        <v>1319</v>
      </c>
      <c r="B1172" s="254" t="s">
        <v>20457</v>
      </c>
      <c r="C1172" s="254" t="s">
        <v>4525</v>
      </c>
      <c r="D1172" s="255" t="s">
        <v>20458</v>
      </c>
      <c r="E1172" s="253" t="s">
        <v>170</v>
      </c>
    </row>
    <row r="1173" spans="1:5" ht="15">
      <c r="A1173" s="254">
        <v>11026</v>
      </c>
      <c r="B1173" s="254" t="s">
        <v>20459</v>
      </c>
      <c r="C1173" s="254" t="s">
        <v>4525</v>
      </c>
      <c r="D1173" s="255" t="s">
        <v>16446</v>
      </c>
      <c r="E1173" s="253" t="s">
        <v>170</v>
      </c>
    </row>
    <row r="1174" spans="1:5" ht="15">
      <c r="A1174" s="254">
        <v>11027</v>
      </c>
      <c r="B1174" s="254" t="s">
        <v>20460</v>
      </c>
      <c r="C1174" s="254" t="s">
        <v>4525</v>
      </c>
      <c r="D1174" s="255" t="s">
        <v>17661</v>
      </c>
      <c r="E1174" s="253" t="s">
        <v>170</v>
      </c>
    </row>
    <row r="1175" spans="1:5" ht="15">
      <c r="A1175" s="254">
        <v>11046</v>
      </c>
      <c r="B1175" s="254" t="s">
        <v>20461</v>
      </c>
      <c r="C1175" s="254" t="s">
        <v>4525</v>
      </c>
      <c r="D1175" s="255" t="s">
        <v>17601</v>
      </c>
      <c r="E1175" s="253" t="s">
        <v>170</v>
      </c>
    </row>
    <row r="1176" spans="1:5" ht="15">
      <c r="A1176" s="254">
        <v>11047</v>
      </c>
      <c r="B1176" s="254" t="s">
        <v>20462</v>
      </c>
      <c r="C1176" s="254" t="s">
        <v>4525</v>
      </c>
      <c r="D1176" s="255" t="s">
        <v>16589</v>
      </c>
      <c r="E1176" s="253" t="s">
        <v>170</v>
      </c>
    </row>
    <row r="1177" spans="1:5" ht="15">
      <c r="A1177" s="254">
        <v>43668</v>
      </c>
      <c r="B1177" s="254" t="s">
        <v>20463</v>
      </c>
      <c r="C1177" s="254" t="s">
        <v>4525</v>
      </c>
      <c r="D1177" s="255" t="s">
        <v>15718</v>
      </c>
      <c r="E1177" s="253" t="s">
        <v>170</v>
      </c>
    </row>
    <row r="1178" spans="1:5" ht="15">
      <c r="A1178" s="254">
        <v>11049</v>
      </c>
      <c r="B1178" s="254" t="s">
        <v>20464</v>
      </c>
      <c r="C1178" s="254" t="s">
        <v>4525</v>
      </c>
      <c r="D1178" s="255" t="s">
        <v>15477</v>
      </c>
      <c r="E1178" s="253" t="s">
        <v>170</v>
      </c>
    </row>
    <row r="1179" spans="1:5" ht="15">
      <c r="A1179" s="254">
        <v>43106</v>
      </c>
      <c r="B1179" s="254" t="s">
        <v>20465</v>
      </c>
      <c r="C1179" s="254" t="s">
        <v>4525</v>
      </c>
      <c r="D1179" s="255" t="s">
        <v>14932</v>
      </c>
      <c r="E1179" s="253" t="s">
        <v>170</v>
      </c>
    </row>
    <row r="1180" spans="1:5" ht="15">
      <c r="A1180" s="254">
        <v>11051</v>
      </c>
      <c r="B1180" s="254" t="s">
        <v>20466</v>
      </c>
      <c r="C1180" s="254" t="s">
        <v>4525</v>
      </c>
      <c r="D1180" s="255" t="s">
        <v>18145</v>
      </c>
      <c r="E1180" s="253" t="s">
        <v>170</v>
      </c>
    </row>
    <row r="1181" spans="1:5" ht="15">
      <c r="A1181" s="254">
        <v>11061</v>
      </c>
      <c r="B1181" s="254" t="s">
        <v>20467</v>
      </c>
      <c r="C1181" s="254" t="s">
        <v>4525</v>
      </c>
      <c r="D1181" s="255" t="s">
        <v>20468</v>
      </c>
      <c r="E1181" s="253" t="s">
        <v>170</v>
      </c>
    </row>
    <row r="1182" spans="1:5" ht="15">
      <c r="A1182" s="254">
        <v>43667</v>
      </c>
      <c r="B1182" s="254" t="s">
        <v>20469</v>
      </c>
      <c r="C1182" s="254" t="s">
        <v>4525</v>
      </c>
      <c r="D1182" s="255" t="s">
        <v>14305</v>
      </c>
      <c r="E1182" s="253" t="s">
        <v>170</v>
      </c>
    </row>
    <row r="1183" spans="1:5" ht="15">
      <c r="A1183" s="254">
        <v>1333</v>
      </c>
      <c r="B1183" s="254" t="s">
        <v>20470</v>
      </c>
      <c r="C1183" s="254" t="s">
        <v>4525</v>
      </c>
      <c r="D1183" s="255" t="s">
        <v>19653</v>
      </c>
      <c r="E1183" s="253" t="s">
        <v>170</v>
      </c>
    </row>
    <row r="1184" spans="1:5" ht="15">
      <c r="A1184" s="254">
        <v>1330</v>
      </c>
      <c r="B1184" s="254" t="s">
        <v>20471</v>
      </c>
      <c r="C1184" s="254" t="s">
        <v>4525</v>
      </c>
      <c r="D1184" s="255" t="s">
        <v>18485</v>
      </c>
      <c r="E1184" s="253" t="s">
        <v>170</v>
      </c>
    </row>
    <row r="1185" spans="1:5" ht="15">
      <c r="A1185" s="254">
        <v>10957</v>
      </c>
      <c r="B1185" s="254" t="s">
        <v>20472</v>
      </c>
      <c r="C1185" s="254" t="s">
        <v>4525</v>
      </c>
      <c r="D1185" s="255" t="s">
        <v>14635</v>
      </c>
      <c r="E1185" s="253" t="s">
        <v>170</v>
      </c>
    </row>
    <row r="1186" spans="1:5" ht="15">
      <c r="A1186" s="254">
        <v>1332</v>
      </c>
      <c r="B1186" s="254" t="s">
        <v>20473</v>
      </c>
      <c r="C1186" s="254" t="s">
        <v>4525</v>
      </c>
      <c r="D1186" s="255" t="s">
        <v>20474</v>
      </c>
      <c r="E1186" s="253" t="s">
        <v>170</v>
      </c>
    </row>
    <row r="1187" spans="1:5" ht="15">
      <c r="A1187" s="254">
        <v>1334</v>
      </c>
      <c r="B1187" s="254" t="s">
        <v>20475</v>
      </c>
      <c r="C1187" s="254" t="s">
        <v>4525</v>
      </c>
      <c r="D1187" s="255" t="s">
        <v>16360</v>
      </c>
      <c r="E1187" s="253" t="s">
        <v>170</v>
      </c>
    </row>
    <row r="1188" spans="1:5" ht="15">
      <c r="A1188" s="254">
        <v>1335</v>
      </c>
      <c r="B1188" s="254" t="s">
        <v>20476</v>
      </c>
      <c r="C1188" s="254" t="s">
        <v>4525</v>
      </c>
      <c r="D1188" s="255" t="s">
        <v>16482</v>
      </c>
      <c r="E1188" s="253" t="s">
        <v>170</v>
      </c>
    </row>
    <row r="1189" spans="1:5" ht="15">
      <c r="A1189" s="254">
        <v>40425</v>
      </c>
      <c r="B1189" s="254" t="s">
        <v>20477</v>
      </c>
      <c r="C1189" s="254" t="s">
        <v>4525</v>
      </c>
      <c r="D1189" s="255" t="s">
        <v>15766</v>
      </c>
      <c r="E1189" s="253" t="s">
        <v>170</v>
      </c>
    </row>
    <row r="1190" spans="1:5" ht="15">
      <c r="A1190" s="254">
        <v>1337</v>
      </c>
      <c r="B1190" s="254" t="s">
        <v>20478</v>
      </c>
      <c r="C1190" s="254" t="s">
        <v>4525</v>
      </c>
      <c r="D1190" s="255" t="s">
        <v>14635</v>
      </c>
      <c r="E1190" s="253" t="s">
        <v>170</v>
      </c>
    </row>
    <row r="1191" spans="1:5" ht="30">
      <c r="A1191" s="254">
        <v>39416</v>
      </c>
      <c r="B1191" s="254" t="s">
        <v>20479</v>
      </c>
      <c r="C1191" s="254" t="s">
        <v>4523</v>
      </c>
      <c r="D1191" s="255" t="s">
        <v>20480</v>
      </c>
      <c r="E1191" s="253" t="s">
        <v>170</v>
      </c>
    </row>
    <row r="1192" spans="1:5" ht="30">
      <c r="A1192" s="254">
        <v>39417</v>
      </c>
      <c r="B1192" s="254" t="s">
        <v>20481</v>
      </c>
      <c r="C1192" s="254" t="s">
        <v>4523</v>
      </c>
      <c r="D1192" s="255" t="s">
        <v>14096</v>
      </c>
      <c r="E1192" s="253" t="s">
        <v>170</v>
      </c>
    </row>
    <row r="1193" spans="1:5" ht="30">
      <c r="A1193" s="254">
        <v>39414</v>
      </c>
      <c r="B1193" s="254" t="s">
        <v>20482</v>
      </c>
      <c r="C1193" s="254" t="s">
        <v>4523</v>
      </c>
      <c r="D1193" s="255" t="s">
        <v>20483</v>
      </c>
      <c r="E1193" s="253" t="s">
        <v>170</v>
      </c>
    </row>
    <row r="1194" spans="1:5" ht="30">
      <c r="A1194" s="254">
        <v>39415</v>
      </c>
      <c r="B1194" s="254" t="s">
        <v>20484</v>
      </c>
      <c r="C1194" s="254" t="s">
        <v>4523</v>
      </c>
      <c r="D1194" s="255" t="s">
        <v>20485</v>
      </c>
      <c r="E1194" s="253" t="s">
        <v>170</v>
      </c>
    </row>
    <row r="1195" spans="1:5" ht="30">
      <c r="A1195" s="254">
        <v>39412</v>
      </c>
      <c r="B1195" s="254" t="s">
        <v>20486</v>
      </c>
      <c r="C1195" s="254" t="s">
        <v>4523</v>
      </c>
      <c r="D1195" s="255" t="s">
        <v>15851</v>
      </c>
      <c r="E1195" s="253" t="s">
        <v>170</v>
      </c>
    </row>
    <row r="1196" spans="1:5" ht="30">
      <c r="A1196" s="254">
        <v>39413</v>
      </c>
      <c r="B1196" s="254" t="s">
        <v>20487</v>
      </c>
      <c r="C1196" s="254" t="s">
        <v>4523</v>
      </c>
      <c r="D1196" s="255" t="s">
        <v>20488</v>
      </c>
      <c r="E1196" s="253" t="s">
        <v>170</v>
      </c>
    </row>
    <row r="1197" spans="1:5" ht="15">
      <c r="A1197" s="254">
        <v>1338</v>
      </c>
      <c r="B1197" s="254" t="s">
        <v>20489</v>
      </c>
      <c r="C1197" s="254" t="s">
        <v>4523</v>
      </c>
      <c r="D1197" s="255" t="s">
        <v>20490</v>
      </c>
      <c r="E1197" s="253" t="s">
        <v>170</v>
      </c>
    </row>
    <row r="1198" spans="1:5" ht="15">
      <c r="A1198" s="254">
        <v>1340</v>
      </c>
      <c r="B1198" s="254" t="s">
        <v>20491</v>
      </c>
      <c r="C1198" s="254" t="s">
        <v>4523</v>
      </c>
      <c r="D1198" s="255" t="s">
        <v>20492</v>
      </c>
      <c r="E1198" s="253" t="s">
        <v>170</v>
      </c>
    </row>
    <row r="1199" spans="1:5" ht="15">
      <c r="A1199" s="254">
        <v>1341</v>
      </c>
      <c r="B1199" s="254" t="s">
        <v>20493</v>
      </c>
      <c r="C1199" s="254" t="s">
        <v>4523</v>
      </c>
      <c r="D1199" s="255" t="s">
        <v>20494</v>
      </c>
      <c r="E1199" s="253" t="s">
        <v>170</v>
      </c>
    </row>
    <row r="1200" spans="1:5" ht="30">
      <c r="A1200" s="254">
        <v>1364</v>
      </c>
      <c r="B1200" s="254" t="s">
        <v>20495</v>
      </c>
      <c r="C1200" s="254" t="s">
        <v>4523</v>
      </c>
      <c r="D1200" s="255" t="s">
        <v>16250</v>
      </c>
      <c r="E1200" s="253" t="s">
        <v>170</v>
      </c>
    </row>
    <row r="1201" spans="1:5" ht="30">
      <c r="A1201" s="254">
        <v>1361</v>
      </c>
      <c r="B1201" s="254" t="s">
        <v>20496</v>
      </c>
      <c r="C1201" s="254" t="s">
        <v>4521</v>
      </c>
      <c r="D1201" s="255" t="s">
        <v>20497</v>
      </c>
      <c r="E1201" s="253" t="s">
        <v>170</v>
      </c>
    </row>
    <row r="1202" spans="1:5" ht="30">
      <c r="A1202" s="254">
        <v>1362</v>
      </c>
      <c r="B1202" s="254" t="s">
        <v>20498</v>
      </c>
      <c r="C1202" s="254" t="s">
        <v>4523</v>
      </c>
      <c r="D1202" s="255" t="s">
        <v>20499</v>
      </c>
      <c r="E1202" s="253" t="s">
        <v>170</v>
      </c>
    </row>
    <row r="1203" spans="1:5" ht="30">
      <c r="A1203" s="254">
        <v>11131</v>
      </c>
      <c r="B1203" s="254" t="s">
        <v>20500</v>
      </c>
      <c r="C1203" s="254" t="s">
        <v>4523</v>
      </c>
      <c r="D1203" s="256" t="s">
        <v>20501</v>
      </c>
      <c r="E1203" s="253" t="s">
        <v>170</v>
      </c>
    </row>
    <row r="1204" spans="1:5" ht="30">
      <c r="A1204" s="254">
        <v>11132</v>
      </c>
      <c r="B1204" s="254" t="s">
        <v>20502</v>
      </c>
      <c r="C1204" s="254" t="s">
        <v>4523</v>
      </c>
      <c r="D1204" s="255" t="s">
        <v>15284</v>
      </c>
      <c r="E1204" s="253" t="s">
        <v>170</v>
      </c>
    </row>
    <row r="1205" spans="1:5" ht="30">
      <c r="A1205" s="254">
        <v>1363</v>
      </c>
      <c r="B1205" s="254" t="s">
        <v>20503</v>
      </c>
      <c r="C1205" s="254" t="s">
        <v>4523</v>
      </c>
      <c r="D1205" s="255" t="s">
        <v>20504</v>
      </c>
      <c r="E1205" s="253" t="s">
        <v>170</v>
      </c>
    </row>
    <row r="1206" spans="1:5" ht="30">
      <c r="A1206" s="254">
        <v>11130</v>
      </c>
      <c r="B1206" s="254" t="s">
        <v>20505</v>
      </c>
      <c r="C1206" s="254" t="s">
        <v>4523</v>
      </c>
      <c r="D1206" s="255" t="s">
        <v>20506</v>
      </c>
      <c r="E1206" s="253" t="s">
        <v>170</v>
      </c>
    </row>
    <row r="1207" spans="1:5" ht="30">
      <c r="A1207" s="254">
        <v>11134</v>
      </c>
      <c r="B1207" s="254" t="s">
        <v>20507</v>
      </c>
      <c r="C1207" s="254" t="s">
        <v>4523</v>
      </c>
      <c r="D1207" s="255" t="s">
        <v>20508</v>
      </c>
      <c r="E1207" s="253" t="s">
        <v>170</v>
      </c>
    </row>
    <row r="1208" spans="1:5" ht="30">
      <c r="A1208" s="254">
        <v>11135</v>
      </c>
      <c r="B1208" s="254" t="s">
        <v>20509</v>
      </c>
      <c r="C1208" s="254" t="s">
        <v>4523</v>
      </c>
      <c r="D1208" s="255" t="s">
        <v>20510</v>
      </c>
      <c r="E1208" s="253" t="s">
        <v>170</v>
      </c>
    </row>
    <row r="1209" spans="1:5" ht="30">
      <c r="A1209" s="254">
        <v>11136</v>
      </c>
      <c r="B1209" s="254" t="s">
        <v>20511</v>
      </c>
      <c r="C1209" s="254" t="s">
        <v>4523</v>
      </c>
      <c r="D1209" s="255" t="s">
        <v>19904</v>
      </c>
      <c r="E1209" s="253" t="s">
        <v>170</v>
      </c>
    </row>
    <row r="1210" spans="1:5" ht="30">
      <c r="A1210" s="254">
        <v>34743</v>
      </c>
      <c r="B1210" s="254" t="s">
        <v>20512</v>
      </c>
      <c r="C1210" s="254" t="s">
        <v>4523</v>
      </c>
      <c r="D1210" s="255" t="s">
        <v>16841</v>
      </c>
      <c r="E1210" s="253" t="s">
        <v>170</v>
      </c>
    </row>
    <row r="1211" spans="1:5" ht="30">
      <c r="A1211" s="254">
        <v>11137</v>
      </c>
      <c r="B1211" s="254" t="s">
        <v>20513</v>
      </c>
      <c r="C1211" s="254" t="s">
        <v>4523</v>
      </c>
      <c r="D1211" s="255" t="s">
        <v>16407</v>
      </c>
      <c r="E1211" s="253" t="s">
        <v>170</v>
      </c>
    </row>
    <row r="1212" spans="1:5" ht="30">
      <c r="A1212" s="254">
        <v>34745</v>
      </c>
      <c r="B1212" s="254" t="s">
        <v>20514</v>
      </c>
      <c r="C1212" s="254" t="s">
        <v>4523</v>
      </c>
      <c r="D1212" s="255" t="s">
        <v>20515</v>
      </c>
      <c r="E1212" s="253" t="s">
        <v>170</v>
      </c>
    </row>
    <row r="1213" spans="1:5" ht="30">
      <c r="A1213" s="254">
        <v>34746</v>
      </c>
      <c r="B1213" s="254" t="s">
        <v>20516</v>
      </c>
      <c r="C1213" s="254" t="s">
        <v>4523</v>
      </c>
      <c r="D1213" s="255" t="s">
        <v>20517</v>
      </c>
      <c r="E1213" s="253" t="s">
        <v>170</v>
      </c>
    </row>
    <row r="1214" spans="1:5" ht="30">
      <c r="A1214" s="254">
        <v>1360</v>
      </c>
      <c r="B1214" s="254" t="s">
        <v>20518</v>
      </c>
      <c r="C1214" s="254" t="s">
        <v>4523</v>
      </c>
      <c r="D1214" s="255" t="s">
        <v>20519</v>
      </c>
      <c r="E1214" s="253" t="s">
        <v>170</v>
      </c>
    </row>
    <row r="1215" spans="1:5" ht="30">
      <c r="A1215" s="254">
        <v>1346</v>
      </c>
      <c r="B1215" s="254" t="s">
        <v>20520</v>
      </c>
      <c r="C1215" s="254" t="s">
        <v>4523</v>
      </c>
      <c r="D1215" s="255" t="s">
        <v>13693</v>
      </c>
      <c r="E1215" s="253" t="s">
        <v>170</v>
      </c>
    </row>
    <row r="1216" spans="1:5" ht="30">
      <c r="A1216" s="254">
        <v>1345</v>
      </c>
      <c r="B1216" s="254" t="s">
        <v>20521</v>
      </c>
      <c r="C1216" s="254" t="s">
        <v>4523</v>
      </c>
      <c r="D1216" s="255" t="s">
        <v>20522</v>
      </c>
      <c r="E1216" s="253" t="s">
        <v>170</v>
      </c>
    </row>
    <row r="1217" spans="1:5" ht="30">
      <c r="A1217" s="254">
        <v>1344</v>
      </c>
      <c r="B1217" s="254" t="s">
        <v>20523</v>
      </c>
      <c r="C1217" s="254" t="s">
        <v>4521</v>
      </c>
      <c r="D1217" s="255" t="s">
        <v>20524</v>
      </c>
      <c r="E1217" s="253" t="s">
        <v>170</v>
      </c>
    </row>
    <row r="1218" spans="1:5" ht="30">
      <c r="A1218" s="254">
        <v>1342</v>
      </c>
      <c r="B1218" s="254" t="s">
        <v>20525</v>
      </c>
      <c r="C1218" s="254" t="s">
        <v>4521</v>
      </c>
      <c r="D1218" s="255" t="s">
        <v>20526</v>
      </c>
      <c r="E1218" s="253" t="s">
        <v>170</v>
      </c>
    </row>
    <row r="1219" spans="1:5" ht="30">
      <c r="A1219" s="254">
        <v>1347</v>
      </c>
      <c r="B1219" s="254" t="s">
        <v>20527</v>
      </c>
      <c r="C1219" s="254" t="s">
        <v>4523</v>
      </c>
      <c r="D1219" s="255" t="s">
        <v>20528</v>
      </c>
      <c r="E1219" s="253" t="s">
        <v>170</v>
      </c>
    </row>
    <row r="1220" spans="1:5" ht="30">
      <c r="A1220" s="254">
        <v>1349</v>
      </c>
      <c r="B1220" s="254" t="s">
        <v>20529</v>
      </c>
      <c r="C1220" s="254" t="s">
        <v>4521</v>
      </c>
      <c r="D1220" s="255" t="s">
        <v>20530</v>
      </c>
      <c r="E1220" s="253" t="s">
        <v>170</v>
      </c>
    </row>
    <row r="1221" spans="1:5" ht="30">
      <c r="A1221" s="254">
        <v>1350</v>
      </c>
      <c r="B1221" s="254" t="s">
        <v>20531</v>
      </c>
      <c r="C1221" s="254" t="s">
        <v>4521</v>
      </c>
      <c r="D1221" s="255" t="s">
        <v>20532</v>
      </c>
      <c r="E1221" s="253" t="s">
        <v>170</v>
      </c>
    </row>
    <row r="1222" spans="1:5" ht="30">
      <c r="A1222" s="254">
        <v>1357</v>
      </c>
      <c r="B1222" s="254" t="s">
        <v>20533</v>
      </c>
      <c r="C1222" s="254" t="s">
        <v>4521</v>
      </c>
      <c r="D1222" s="255" t="s">
        <v>20534</v>
      </c>
      <c r="E1222" s="253" t="s">
        <v>170</v>
      </c>
    </row>
    <row r="1223" spans="1:5" ht="30">
      <c r="A1223" s="254">
        <v>1355</v>
      </c>
      <c r="B1223" s="254" t="s">
        <v>20535</v>
      </c>
      <c r="C1223" s="254" t="s">
        <v>4523</v>
      </c>
      <c r="D1223" s="255" t="s">
        <v>20536</v>
      </c>
      <c r="E1223" s="253" t="s">
        <v>170</v>
      </c>
    </row>
    <row r="1224" spans="1:5" ht="30">
      <c r="A1224" s="254">
        <v>1358</v>
      </c>
      <c r="B1224" s="254" t="s">
        <v>20537</v>
      </c>
      <c r="C1224" s="254" t="s">
        <v>4523</v>
      </c>
      <c r="D1224" s="255" t="s">
        <v>17945</v>
      </c>
      <c r="E1224" s="253" t="s">
        <v>170</v>
      </c>
    </row>
    <row r="1225" spans="1:5" ht="30">
      <c r="A1225" s="254">
        <v>1359</v>
      </c>
      <c r="B1225" s="254" t="s">
        <v>20538</v>
      </c>
      <c r="C1225" s="254" t="s">
        <v>4521</v>
      </c>
      <c r="D1225" s="255" t="s">
        <v>20539</v>
      </c>
      <c r="E1225" s="253" t="s">
        <v>170</v>
      </c>
    </row>
    <row r="1226" spans="1:5" ht="30">
      <c r="A1226" s="254">
        <v>1351</v>
      </c>
      <c r="B1226" s="254" t="s">
        <v>20540</v>
      </c>
      <c r="C1226" s="254" t="s">
        <v>4521</v>
      </c>
      <c r="D1226" s="255" t="s">
        <v>20541</v>
      </c>
      <c r="E1226" s="253" t="s">
        <v>170</v>
      </c>
    </row>
    <row r="1227" spans="1:5" ht="15">
      <c r="A1227" s="254">
        <v>34659</v>
      </c>
      <c r="B1227" s="254" t="s">
        <v>20542</v>
      </c>
      <c r="C1227" s="254" t="s">
        <v>4523</v>
      </c>
      <c r="D1227" s="255" t="s">
        <v>16780</v>
      </c>
      <c r="E1227" s="253" t="s">
        <v>170</v>
      </c>
    </row>
    <row r="1228" spans="1:5" ht="15">
      <c r="A1228" s="254">
        <v>34514</v>
      </c>
      <c r="B1228" s="254" t="s">
        <v>20543</v>
      </c>
      <c r="C1228" s="254" t="s">
        <v>4523</v>
      </c>
      <c r="D1228" s="255" t="s">
        <v>20544</v>
      </c>
      <c r="E1228" s="253" t="s">
        <v>170</v>
      </c>
    </row>
    <row r="1229" spans="1:5" ht="15">
      <c r="A1229" s="254">
        <v>34660</v>
      </c>
      <c r="B1229" s="254" t="s">
        <v>20545</v>
      </c>
      <c r="C1229" s="254" t="s">
        <v>4523</v>
      </c>
      <c r="D1229" s="255" t="s">
        <v>20546</v>
      </c>
      <c r="E1229" s="253" t="s">
        <v>170</v>
      </c>
    </row>
    <row r="1230" spans="1:5" ht="15">
      <c r="A1230" s="254">
        <v>34661</v>
      </c>
      <c r="B1230" s="254" t="s">
        <v>20547</v>
      </c>
      <c r="C1230" s="254" t="s">
        <v>4523</v>
      </c>
      <c r="D1230" s="255" t="s">
        <v>20548</v>
      </c>
      <c r="E1230" s="253" t="s">
        <v>170</v>
      </c>
    </row>
    <row r="1231" spans="1:5" ht="15">
      <c r="A1231" s="254">
        <v>34667</v>
      </c>
      <c r="B1231" s="254" t="s">
        <v>20549</v>
      </c>
      <c r="C1231" s="254" t="s">
        <v>4523</v>
      </c>
      <c r="D1231" s="256" t="s">
        <v>17977</v>
      </c>
      <c r="E1231" s="253" t="s">
        <v>170</v>
      </c>
    </row>
    <row r="1232" spans="1:5" ht="15">
      <c r="A1232" s="254">
        <v>34668</v>
      </c>
      <c r="B1232" s="254" t="s">
        <v>20550</v>
      </c>
      <c r="C1232" s="254" t="s">
        <v>4523</v>
      </c>
      <c r="D1232" s="256" t="s">
        <v>20551</v>
      </c>
      <c r="E1232" s="253" t="s">
        <v>170</v>
      </c>
    </row>
    <row r="1233" spans="1:5" ht="15">
      <c r="A1233" s="254">
        <v>34741</v>
      </c>
      <c r="B1233" s="254" t="s">
        <v>20552</v>
      </c>
      <c r="C1233" s="254" t="s">
        <v>4523</v>
      </c>
      <c r="D1233" s="256" t="s">
        <v>20506</v>
      </c>
      <c r="E1233" s="253" t="s">
        <v>170</v>
      </c>
    </row>
    <row r="1234" spans="1:5" ht="15">
      <c r="A1234" s="254">
        <v>34664</v>
      </c>
      <c r="B1234" s="254" t="s">
        <v>20553</v>
      </c>
      <c r="C1234" s="254" t="s">
        <v>4523</v>
      </c>
      <c r="D1234" s="256" t="s">
        <v>20554</v>
      </c>
      <c r="E1234" s="253" t="s">
        <v>170</v>
      </c>
    </row>
    <row r="1235" spans="1:5" ht="15">
      <c r="A1235" s="254">
        <v>34665</v>
      </c>
      <c r="B1235" s="254" t="s">
        <v>20555</v>
      </c>
      <c r="C1235" s="254" t="s">
        <v>4523</v>
      </c>
      <c r="D1235" s="256" t="s">
        <v>18880</v>
      </c>
      <c r="E1235" s="253" t="s">
        <v>170</v>
      </c>
    </row>
    <row r="1236" spans="1:5" ht="15">
      <c r="A1236" s="254">
        <v>34666</v>
      </c>
      <c r="B1236" s="254" t="s">
        <v>20556</v>
      </c>
      <c r="C1236" s="254" t="s">
        <v>4523</v>
      </c>
      <c r="D1236" s="256" t="s">
        <v>20557</v>
      </c>
      <c r="E1236" s="253" t="s">
        <v>170</v>
      </c>
    </row>
    <row r="1237" spans="1:5" ht="15">
      <c r="A1237" s="254">
        <v>34669</v>
      </c>
      <c r="B1237" s="254" t="s">
        <v>20558</v>
      </c>
      <c r="C1237" s="254" t="s">
        <v>4523</v>
      </c>
      <c r="D1237" s="256" t="s">
        <v>18446</v>
      </c>
      <c r="E1237" s="253" t="s">
        <v>170</v>
      </c>
    </row>
    <row r="1238" spans="1:5" ht="15">
      <c r="A1238" s="254">
        <v>34670</v>
      </c>
      <c r="B1238" s="254" t="s">
        <v>20559</v>
      </c>
      <c r="C1238" s="254" t="s">
        <v>4523</v>
      </c>
      <c r="D1238" s="256" t="s">
        <v>17954</v>
      </c>
      <c r="E1238" s="253" t="s">
        <v>170</v>
      </c>
    </row>
    <row r="1239" spans="1:5" ht="15">
      <c r="A1239" s="254">
        <v>34671</v>
      </c>
      <c r="B1239" s="254" t="s">
        <v>20560</v>
      </c>
      <c r="C1239" s="254" t="s">
        <v>4523</v>
      </c>
      <c r="D1239" s="256" t="s">
        <v>20561</v>
      </c>
      <c r="E1239" s="253" t="s">
        <v>170</v>
      </c>
    </row>
    <row r="1240" spans="1:5" ht="15">
      <c r="A1240" s="254">
        <v>34672</v>
      </c>
      <c r="B1240" s="254" t="s">
        <v>20562</v>
      </c>
      <c r="C1240" s="254" t="s">
        <v>4523</v>
      </c>
      <c r="D1240" s="256" t="s">
        <v>19891</v>
      </c>
      <c r="E1240" s="253" t="s">
        <v>170</v>
      </c>
    </row>
    <row r="1241" spans="1:5" ht="15">
      <c r="A1241" s="254">
        <v>34673</v>
      </c>
      <c r="B1241" s="254" t="s">
        <v>20563</v>
      </c>
      <c r="C1241" s="254" t="s">
        <v>4523</v>
      </c>
      <c r="D1241" s="256" t="s">
        <v>20564</v>
      </c>
      <c r="E1241" s="253" t="s">
        <v>170</v>
      </c>
    </row>
    <row r="1242" spans="1:5" ht="15">
      <c r="A1242" s="254">
        <v>34674</v>
      </c>
      <c r="B1242" s="254" t="s">
        <v>20565</v>
      </c>
      <c r="C1242" s="254" t="s">
        <v>4523</v>
      </c>
      <c r="D1242" s="256" t="s">
        <v>16047</v>
      </c>
      <c r="E1242" s="253" t="s">
        <v>170</v>
      </c>
    </row>
    <row r="1243" spans="1:5" ht="15">
      <c r="A1243" s="254">
        <v>34675</v>
      </c>
      <c r="B1243" s="254" t="s">
        <v>20566</v>
      </c>
      <c r="C1243" s="254" t="s">
        <v>4523</v>
      </c>
      <c r="D1243" s="256" t="s">
        <v>17470</v>
      </c>
      <c r="E1243" s="253" t="s">
        <v>170</v>
      </c>
    </row>
    <row r="1244" spans="1:5" ht="15">
      <c r="A1244" s="254">
        <v>34676</v>
      </c>
      <c r="B1244" s="254" t="s">
        <v>20567</v>
      </c>
      <c r="C1244" s="254" t="s">
        <v>4523</v>
      </c>
      <c r="D1244" s="256" t="s">
        <v>20568</v>
      </c>
      <c r="E1244" s="253" t="s">
        <v>170</v>
      </c>
    </row>
    <row r="1245" spans="1:5" ht="15">
      <c r="A1245" s="254">
        <v>34677</v>
      </c>
      <c r="B1245" s="254" t="s">
        <v>20569</v>
      </c>
      <c r="C1245" s="254" t="s">
        <v>4523</v>
      </c>
      <c r="D1245" s="256" t="s">
        <v>17074</v>
      </c>
      <c r="E1245" s="253" t="s">
        <v>170</v>
      </c>
    </row>
    <row r="1246" spans="1:5" ht="30">
      <c r="A1246" s="254">
        <v>43126</v>
      </c>
      <c r="B1246" s="254" t="s">
        <v>20570</v>
      </c>
      <c r="C1246" s="254" t="s">
        <v>4523</v>
      </c>
      <c r="D1246" s="256" t="s">
        <v>20571</v>
      </c>
      <c r="E1246" s="253" t="s">
        <v>170</v>
      </c>
    </row>
    <row r="1247" spans="1:5" ht="30">
      <c r="A1247" s="254">
        <v>43124</v>
      </c>
      <c r="B1247" s="254" t="s">
        <v>20572</v>
      </c>
      <c r="C1247" s="254" t="s">
        <v>4523</v>
      </c>
      <c r="D1247" s="255" t="s">
        <v>20573</v>
      </c>
      <c r="E1247" s="253" t="s">
        <v>170</v>
      </c>
    </row>
    <row r="1248" spans="1:5" ht="30">
      <c r="A1248" s="254">
        <v>43125</v>
      </c>
      <c r="B1248" s="254" t="s">
        <v>20574</v>
      </c>
      <c r="C1248" s="254" t="s">
        <v>4523</v>
      </c>
      <c r="D1248" s="255" t="s">
        <v>20575</v>
      </c>
      <c r="E1248" s="253" t="s">
        <v>170</v>
      </c>
    </row>
    <row r="1249" spans="1:5" ht="30">
      <c r="A1249" s="254">
        <v>40623</v>
      </c>
      <c r="B1249" s="254" t="s">
        <v>20576</v>
      </c>
      <c r="C1249" s="254" t="s">
        <v>4529</v>
      </c>
      <c r="D1249" s="255" t="s">
        <v>20577</v>
      </c>
      <c r="E1249" s="253" t="s">
        <v>170</v>
      </c>
    </row>
    <row r="1250" spans="1:5" ht="30">
      <c r="A1250" s="254">
        <v>11112</v>
      </c>
      <c r="B1250" s="254" t="s">
        <v>20578</v>
      </c>
      <c r="C1250" s="254" t="s">
        <v>4525</v>
      </c>
      <c r="D1250" s="255" t="s">
        <v>18580</v>
      </c>
      <c r="E1250" s="253" t="s">
        <v>170</v>
      </c>
    </row>
    <row r="1251" spans="1:5" ht="30">
      <c r="A1251" s="254">
        <v>11115</v>
      </c>
      <c r="B1251" s="254" t="s">
        <v>20579</v>
      </c>
      <c r="C1251" s="254" t="s">
        <v>4524</v>
      </c>
      <c r="D1251" s="255" t="s">
        <v>20580</v>
      </c>
      <c r="E1251" s="253" t="s">
        <v>170</v>
      </c>
    </row>
    <row r="1252" spans="1:5" ht="30">
      <c r="A1252" s="254">
        <v>11113</v>
      </c>
      <c r="B1252" s="254" t="s">
        <v>20581</v>
      </c>
      <c r="C1252" s="254" t="s">
        <v>4525</v>
      </c>
      <c r="D1252" s="255" t="s">
        <v>20582</v>
      </c>
      <c r="E1252" s="253" t="s">
        <v>170</v>
      </c>
    </row>
    <row r="1253" spans="1:5" ht="30">
      <c r="A1253" s="254">
        <v>11114</v>
      </c>
      <c r="B1253" s="254" t="s">
        <v>20583</v>
      </c>
      <c r="C1253" s="254" t="s">
        <v>4524</v>
      </c>
      <c r="D1253" s="255" t="s">
        <v>20584</v>
      </c>
      <c r="E1253" s="253" t="s">
        <v>170</v>
      </c>
    </row>
    <row r="1254" spans="1:5" ht="30">
      <c r="A1254" s="254">
        <v>11122</v>
      </c>
      <c r="B1254" s="254" t="s">
        <v>20585</v>
      </c>
      <c r="C1254" s="254" t="s">
        <v>4525</v>
      </c>
      <c r="D1254" s="255" t="s">
        <v>20586</v>
      </c>
      <c r="E1254" s="253" t="s">
        <v>170</v>
      </c>
    </row>
    <row r="1255" spans="1:5" ht="30">
      <c r="A1255" s="254">
        <v>11123</v>
      </c>
      <c r="B1255" s="254" t="s">
        <v>20587</v>
      </c>
      <c r="C1255" s="254" t="s">
        <v>4525</v>
      </c>
      <c r="D1255" s="255" t="s">
        <v>18580</v>
      </c>
      <c r="E1255" s="253" t="s">
        <v>170</v>
      </c>
    </row>
    <row r="1256" spans="1:5" ht="30">
      <c r="A1256" s="254">
        <v>11125</v>
      </c>
      <c r="B1256" s="254" t="s">
        <v>20588</v>
      </c>
      <c r="C1256" s="254" t="s">
        <v>4525</v>
      </c>
      <c r="D1256" s="255" t="s">
        <v>20589</v>
      </c>
      <c r="E1256" s="253" t="s">
        <v>170</v>
      </c>
    </row>
    <row r="1257" spans="1:5" ht="30">
      <c r="A1257" s="254">
        <v>12083</v>
      </c>
      <c r="B1257" s="254" t="s">
        <v>20590</v>
      </c>
      <c r="C1257" s="254" t="s">
        <v>4521</v>
      </c>
      <c r="D1257" s="255" t="s">
        <v>20591</v>
      </c>
      <c r="E1257" s="253" t="s">
        <v>170</v>
      </c>
    </row>
    <row r="1258" spans="1:5" ht="30">
      <c r="A1258" s="254">
        <v>12081</v>
      </c>
      <c r="B1258" s="254" t="s">
        <v>20592</v>
      </c>
      <c r="C1258" s="254" t="s">
        <v>4521</v>
      </c>
      <c r="D1258" s="255" t="s">
        <v>20593</v>
      </c>
      <c r="E1258" s="253" t="s">
        <v>170</v>
      </c>
    </row>
    <row r="1259" spans="1:5" ht="30">
      <c r="A1259" s="254">
        <v>12082</v>
      </c>
      <c r="B1259" s="254" t="s">
        <v>20594</v>
      </c>
      <c r="C1259" s="254" t="s">
        <v>4521</v>
      </c>
      <c r="D1259" s="255" t="s">
        <v>20595</v>
      </c>
      <c r="E1259" s="253" t="s">
        <v>170</v>
      </c>
    </row>
    <row r="1260" spans="1:5" ht="30">
      <c r="A1260" s="254">
        <v>13354</v>
      </c>
      <c r="B1260" s="254" t="s">
        <v>20596</v>
      </c>
      <c r="C1260" s="254" t="s">
        <v>4521</v>
      </c>
      <c r="D1260" s="255" t="s">
        <v>20597</v>
      </c>
      <c r="E1260" s="253" t="s">
        <v>170</v>
      </c>
    </row>
    <row r="1261" spans="1:5" ht="30">
      <c r="A1261" s="254">
        <v>14057</v>
      </c>
      <c r="B1261" s="254" t="s">
        <v>20598</v>
      </c>
      <c r="C1261" s="254" t="s">
        <v>4521</v>
      </c>
      <c r="D1261" s="255" t="s">
        <v>20599</v>
      </c>
      <c r="E1261" s="253" t="s">
        <v>170</v>
      </c>
    </row>
    <row r="1262" spans="1:5" ht="30">
      <c r="A1262" s="254">
        <v>14058</v>
      </c>
      <c r="B1262" s="254" t="s">
        <v>20600</v>
      </c>
      <c r="C1262" s="254" t="s">
        <v>4521</v>
      </c>
      <c r="D1262" s="255" t="s">
        <v>20601</v>
      </c>
      <c r="E1262" s="253" t="s">
        <v>170</v>
      </c>
    </row>
    <row r="1263" spans="1:5" ht="30">
      <c r="A1263" s="254">
        <v>20971</v>
      </c>
      <c r="B1263" s="254" t="s">
        <v>20602</v>
      </c>
      <c r="C1263" s="254" t="s">
        <v>4521</v>
      </c>
      <c r="D1263" s="255" t="s">
        <v>17919</v>
      </c>
      <c r="E1263" s="253" t="s">
        <v>170</v>
      </c>
    </row>
    <row r="1264" spans="1:5" ht="45">
      <c r="A1264" s="254">
        <v>5047</v>
      </c>
      <c r="B1264" s="254" t="s">
        <v>20603</v>
      </c>
      <c r="C1264" s="254" t="s">
        <v>4521</v>
      </c>
      <c r="D1264" s="255" t="s">
        <v>20604</v>
      </c>
      <c r="E1264" s="253" t="s">
        <v>170</v>
      </c>
    </row>
    <row r="1265" spans="1:5" ht="30">
      <c r="A1265" s="254">
        <v>13369</v>
      </c>
      <c r="B1265" s="254" t="s">
        <v>20605</v>
      </c>
      <c r="C1265" s="254" t="s">
        <v>4521</v>
      </c>
      <c r="D1265" s="255" t="s">
        <v>20606</v>
      </c>
      <c r="E1265" s="253" t="s">
        <v>170</v>
      </c>
    </row>
    <row r="1266" spans="1:5" ht="30">
      <c r="A1266" s="254">
        <v>13370</v>
      </c>
      <c r="B1266" s="254" t="s">
        <v>20607</v>
      </c>
      <c r="C1266" s="254" t="s">
        <v>4521</v>
      </c>
      <c r="D1266" s="255" t="s">
        <v>20608</v>
      </c>
      <c r="E1266" s="253" t="s">
        <v>170</v>
      </c>
    </row>
    <row r="1267" spans="1:5" ht="15">
      <c r="A1267" s="254">
        <v>13279</v>
      </c>
      <c r="B1267" s="254" t="s">
        <v>20609</v>
      </c>
      <c r="C1267" s="254" t="s">
        <v>4525</v>
      </c>
      <c r="D1267" s="255" t="s">
        <v>20610</v>
      </c>
      <c r="E1267" s="253" t="s">
        <v>170</v>
      </c>
    </row>
    <row r="1268" spans="1:5" ht="15">
      <c r="A1268" s="254">
        <v>11977</v>
      </c>
      <c r="B1268" s="254" t="s">
        <v>20611</v>
      </c>
      <c r="C1268" s="254" t="s">
        <v>4521</v>
      </c>
      <c r="D1268" s="255" t="s">
        <v>14391</v>
      </c>
      <c r="E1268" s="253" t="s">
        <v>170</v>
      </c>
    </row>
    <row r="1269" spans="1:5" ht="15">
      <c r="A1269" s="254">
        <v>11975</v>
      </c>
      <c r="B1269" s="254" t="s">
        <v>20612</v>
      </c>
      <c r="C1269" s="254" t="s">
        <v>4521</v>
      </c>
      <c r="D1269" s="255" t="s">
        <v>19236</v>
      </c>
      <c r="E1269" s="253" t="s">
        <v>170</v>
      </c>
    </row>
    <row r="1270" spans="1:5" ht="30">
      <c r="A1270" s="254">
        <v>39746</v>
      </c>
      <c r="B1270" s="254" t="s">
        <v>20613</v>
      </c>
      <c r="C1270" s="254" t="s">
        <v>4521</v>
      </c>
      <c r="D1270" s="255" t="s">
        <v>20614</v>
      </c>
      <c r="E1270" s="253" t="s">
        <v>170</v>
      </c>
    </row>
    <row r="1271" spans="1:5" ht="15">
      <c r="A1271" s="254">
        <v>11976</v>
      </c>
      <c r="B1271" s="254" t="s">
        <v>20615</v>
      </c>
      <c r="C1271" s="254" t="s">
        <v>4521</v>
      </c>
      <c r="D1271" s="255" t="s">
        <v>18522</v>
      </c>
      <c r="E1271" s="253" t="s">
        <v>170</v>
      </c>
    </row>
    <row r="1272" spans="1:5" ht="30">
      <c r="A1272" s="254">
        <v>1368</v>
      </c>
      <c r="B1272" s="254" t="s">
        <v>20616</v>
      </c>
      <c r="C1272" s="254" t="s">
        <v>4521</v>
      </c>
      <c r="D1272" s="255" t="s">
        <v>15288</v>
      </c>
      <c r="E1272" s="253" t="s">
        <v>170</v>
      </c>
    </row>
    <row r="1273" spans="1:5" ht="30">
      <c r="A1273" s="254">
        <v>1367</v>
      </c>
      <c r="B1273" s="254" t="s">
        <v>20617</v>
      </c>
      <c r="C1273" s="254" t="s">
        <v>4521</v>
      </c>
      <c r="D1273" s="255" t="s">
        <v>20618</v>
      </c>
      <c r="E1273" s="253" t="s">
        <v>170</v>
      </c>
    </row>
    <row r="1274" spans="1:5" ht="15">
      <c r="A1274" s="254">
        <v>7608</v>
      </c>
      <c r="B1274" s="254" t="s">
        <v>20619</v>
      </c>
      <c r="C1274" s="254" t="s">
        <v>4521</v>
      </c>
      <c r="D1274" s="255" t="s">
        <v>13849</v>
      </c>
      <c r="E1274" s="253" t="s">
        <v>170</v>
      </c>
    </row>
    <row r="1275" spans="1:5" ht="30">
      <c r="A1275" s="254">
        <v>41900</v>
      </c>
      <c r="B1275" s="254" t="s">
        <v>20620</v>
      </c>
      <c r="C1275" s="254" t="s">
        <v>4525</v>
      </c>
      <c r="D1275" s="255" t="s">
        <v>20621</v>
      </c>
      <c r="E1275" s="253" t="s">
        <v>170</v>
      </c>
    </row>
    <row r="1276" spans="1:5" ht="30">
      <c r="A1276" s="254">
        <v>41899</v>
      </c>
      <c r="B1276" s="254" t="s">
        <v>20622</v>
      </c>
      <c r="C1276" s="254" t="s">
        <v>4533</v>
      </c>
      <c r="D1276" s="255" t="s">
        <v>20623</v>
      </c>
      <c r="E1276" s="253" t="s">
        <v>170</v>
      </c>
    </row>
    <row r="1277" spans="1:5" ht="15">
      <c r="A1277" s="254">
        <v>1380</v>
      </c>
      <c r="B1277" s="254" t="s">
        <v>20624</v>
      </c>
      <c r="C1277" s="254" t="s">
        <v>4525</v>
      </c>
      <c r="D1277" s="255" t="s">
        <v>18443</v>
      </c>
      <c r="E1277" s="253" t="s">
        <v>170</v>
      </c>
    </row>
    <row r="1278" spans="1:5" ht="15">
      <c r="A1278" s="254">
        <v>1375</v>
      </c>
      <c r="B1278" s="254" t="s">
        <v>20625</v>
      </c>
      <c r="C1278" s="254" t="s">
        <v>4525</v>
      </c>
      <c r="D1278" s="255" t="s">
        <v>20626</v>
      </c>
      <c r="E1278" s="253" t="s">
        <v>170</v>
      </c>
    </row>
    <row r="1279" spans="1:5" ht="15">
      <c r="A1279" s="254">
        <v>1379</v>
      </c>
      <c r="B1279" s="254" t="s">
        <v>20627</v>
      </c>
      <c r="C1279" s="254" t="s">
        <v>4525</v>
      </c>
      <c r="D1279" s="255" t="s">
        <v>14065</v>
      </c>
      <c r="E1279" s="253" t="s">
        <v>170</v>
      </c>
    </row>
    <row r="1280" spans="1:5" ht="15">
      <c r="A1280" s="254">
        <v>10511</v>
      </c>
      <c r="B1280" s="254" t="s">
        <v>20628</v>
      </c>
      <c r="C1280" s="254" t="s">
        <v>4534</v>
      </c>
      <c r="D1280" s="255" t="s">
        <v>16189</v>
      </c>
      <c r="E1280" s="253" t="s">
        <v>170</v>
      </c>
    </row>
    <row r="1281" spans="1:6" ht="15">
      <c r="A1281" s="254">
        <v>13284</v>
      </c>
      <c r="B1281" s="254" t="s">
        <v>20629</v>
      </c>
      <c r="C1281" s="254" t="s">
        <v>4525</v>
      </c>
      <c r="D1281" s="255" t="s">
        <v>13987</v>
      </c>
      <c r="E1281" s="253" t="s">
        <v>170</v>
      </c>
    </row>
    <row r="1282" spans="1:6" ht="15">
      <c r="A1282" s="254">
        <v>25974</v>
      </c>
      <c r="B1282" s="254" t="s">
        <v>20630</v>
      </c>
      <c r="C1282" s="254" t="s">
        <v>4525</v>
      </c>
      <c r="D1282" s="255" t="s">
        <v>17669</v>
      </c>
      <c r="E1282" s="253" t="s">
        <v>170</v>
      </c>
    </row>
    <row r="1283" spans="1:6" ht="15">
      <c r="A1283" s="254">
        <v>1382</v>
      </c>
      <c r="B1283" s="254" t="s">
        <v>20631</v>
      </c>
      <c r="C1283" s="254" t="s">
        <v>4534</v>
      </c>
      <c r="D1283" s="255" t="s">
        <v>20632</v>
      </c>
      <c r="E1283" s="253" t="s">
        <v>170</v>
      </c>
    </row>
    <row r="1284" spans="1:6" ht="15">
      <c r="A1284" s="254">
        <v>34753</v>
      </c>
      <c r="B1284" s="254" t="s">
        <v>20633</v>
      </c>
      <c r="C1284" s="254" t="s">
        <v>4525</v>
      </c>
      <c r="D1284" s="255" t="s">
        <v>18442</v>
      </c>
      <c r="E1284" s="253" t="s">
        <v>170</v>
      </c>
    </row>
    <row r="1285" spans="1:6" ht="30">
      <c r="A1285" s="254">
        <v>420</v>
      </c>
      <c r="B1285" s="254" t="s">
        <v>20634</v>
      </c>
      <c r="C1285" s="254" t="s">
        <v>4521</v>
      </c>
      <c r="D1285" s="255" t="s">
        <v>18575</v>
      </c>
      <c r="E1285" s="253" t="s">
        <v>170</v>
      </c>
    </row>
    <row r="1286" spans="1:6" ht="30">
      <c r="A1286" s="254">
        <v>12327</v>
      </c>
      <c r="B1286" s="254" t="s">
        <v>20635</v>
      </c>
      <c r="C1286" s="254" t="s">
        <v>4521</v>
      </c>
      <c r="D1286" s="255" t="s">
        <v>20541</v>
      </c>
      <c r="E1286" s="253" t="s">
        <v>170</v>
      </c>
    </row>
    <row r="1287" spans="1:6" ht="30">
      <c r="A1287" s="254">
        <v>36148</v>
      </c>
      <c r="B1287" s="254" t="s">
        <v>20636</v>
      </c>
      <c r="C1287" s="254" t="s">
        <v>4521</v>
      </c>
      <c r="D1287" s="255" t="s">
        <v>19633</v>
      </c>
      <c r="E1287" s="253" t="s">
        <v>170</v>
      </c>
    </row>
    <row r="1288" spans="1:6" ht="15">
      <c r="A1288" s="254">
        <v>12329</v>
      </c>
      <c r="B1288" s="254" t="s">
        <v>20637</v>
      </c>
      <c r="C1288" s="254" t="s">
        <v>4525</v>
      </c>
      <c r="D1288" s="255" t="s">
        <v>13561</v>
      </c>
      <c r="E1288" s="253" t="s">
        <v>170</v>
      </c>
    </row>
    <row r="1289" spans="1:6" ht="15">
      <c r="A1289" s="254">
        <v>1339</v>
      </c>
      <c r="B1289" s="254" t="s">
        <v>20638</v>
      </c>
      <c r="C1289" s="254" t="s">
        <v>4525</v>
      </c>
      <c r="D1289" s="255" t="s">
        <v>18246</v>
      </c>
      <c r="E1289" s="253" t="s">
        <v>170</v>
      </c>
    </row>
    <row r="1290" spans="1:6" ht="15">
      <c r="A1290" s="254">
        <v>11849</v>
      </c>
      <c r="B1290" s="254" t="s">
        <v>20639</v>
      </c>
      <c r="C1290" s="254" t="s">
        <v>4526</v>
      </c>
      <c r="D1290" s="255" t="s">
        <v>15753</v>
      </c>
      <c r="E1290" s="253" t="s">
        <v>170</v>
      </c>
    </row>
    <row r="1291" spans="1:6" ht="30">
      <c r="A1291" s="254">
        <v>37418</v>
      </c>
      <c r="B1291" s="254" t="s">
        <v>20640</v>
      </c>
      <c r="C1291" s="254" t="s">
        <v>4521</v>
      </c>
      <c r="D1291" s="255" t="s">
        <v>20641</v>
      </c>
      <c r="E1291" s="253" t="s">
        <v>170</v>
      </c>
    </row>
    <row r="1292" spans="1:6" ht="30">
      <c r="A1292" s="254">
        <v>37419</v>
      </c>
      <c r="B1292" s="254" t="s">
        <v>20642</v>
      </c>
      <c r="C1292" s="254" t="s">
        <v>4521</v>
      </c>
      <c r="D1292" s="255" t="s">
        <v>20643</v>
      </c>
      <c r="E1292" s="253" t="s">
        <v>170</v>
      </c>
    </row>
    <row r="1293" spans="1:6" ht="30">
      <c r="A1293" s="254">
        <v>1427</v>
      </c>
      <c r="B1293" s="254" t="s">
        <v>20644</v>
      </c>
      <c r="C1293" s="254" t="s">
        <v>4521</v>
      </c>
      <c r="D1293" s="255" t="s">
        <v>13632</v>
      </c>
      <c r="E1293" s="253" t="s">
        <v>170</v>
      </c>
      <c r="F1293" s="351"/>
    </row>
    <row r="1294" spans="1:6" ht="30">
      <c r="A1294" s="254">
        <v>1402</v>
      </c>
      <c r="B1294" s="254" t="s">
        <v>20645</v>
      </c>
      <c r="C1294" s="254" t="s">
        <v>4521</v>
      </c>
      <c r="D1294" s="255" t="s">
        <v>14034</v>
      </c>
      <c r="E1294" s="253" t="s">
        <v>170</v>
      </c>
    </row>
    <row r="1295" spans="1:6" ht="30">
      <c r="A1295" s="254">
        <v>1420</v>
      </c>
      <c r="B1295" s="254" t="s">
        <v>20646</v>
      </c>
      <c r="C1295" s="254" t="s">
        <v>4521</v>
      </c>
      <c r="D1295" s="255" t="s">
        <v>20647</v>
      </c>
      <c r="E1295" s="253" t="s">
        <v>170</v>
      </c>
    </row>
    <row r="1296" spans="1:6" ht="30">
      <c r="A1296" s="254">
        <v>1419</v>
      </c>
      <c r="B1296" s="254" t="s">
        <v>20648</v>
      </c>
      <c r="C1296" s="254" t="s">
        <v>4521</v>
      </c>
      <c r="D1296" s="255" t="s">
        <v>13635</v>
      </c>
      <c r="E1296" s="253" t="s">
        <v>170</v>
      </c>
    </row>
    <row r="1297" spans="1:5" ht="30">
      <c r="A1297" s="254">
        <v>1414</v>
      </c>
      <c r="B1297" s="254" t="s">
        <v>20649</v>
      </c>
      <c r="C1297" s="254" t="s">
        <v>4521</v>
      </c>
      <c r="D1297" s="255" t="s">
        <v>20650</v>
      </c>
      <c r="E1297" s="253" t="s">
        <v>170</v>
      </c>
    </row>
    <row r="1298" spans="1:5" ht="30">
      <c r="A1298" s="254">
        <v>1413</v>
      </c>
      <c r="B1298" s="254" t="s">
        <v>20651</v>
      </c>
      <c r="C1298" s="254" t="s">
        <v>4521</v>
      </c>
      <c r="D1298" s="255" t="s">
        <v>17528</v>
      </c>
      <c r="E1298" s="253" t="s">
        <v>170</v>
      </c>
    </row>
    <row r="1299" spans="1:5" ht="30">
      <c r="A1299" s="254">
        <v>1412</v>
      </c>
      <c r="B1299" s="254" t="s">
        <v>20652</v>
      </c>
      <c r="C1299" s="254" t="s">
        <v>4521</v>
      </c>
      <c r="D1299" s="255" t="s">
        <v>20653</v>
      </c>
      <c r="E1299" s="253" t="s">
        <v>170</v>
      </c>
    </row>
    <row r="1300" spans="1:5" ht="30">
      <c r="A1300" s="254">
        <v>1411</v>
      </c>
      <c r="B1300" s="254" t="s">
        <v>20654</v>
      </c>
      <c r="C1300" s="254" t="s">
        <v>4521</v>
      </c>
      <c r="D1300" s="255" t="s">
        <v>17224</v>
      </c>
      <c r="E1300" s="253" t="s">
        <v>170</v>
      </c>
    </row>
    <row r="1301" spans="1:5" ht="30">
      <c r="A1301" s="254">
        <v>1406</v>
      </c>
      <c r="B1301" s="254" t="s">
        <v>20655</v>
      </c>
      <c r="C1301" s="254" t="s">
        <v>4521</v>
      </c>
      <c r="D1301" s="255" t="s">
        <v>16239</v>
      </c>
      <c r="E1301" s="253" t="s">
        <v>170</v>
      </c>
    </row>
    <row r="1302" spans="1:5" ht="30">
      <c r="A1302" s="254">
        <v>1407</v>
      </c>
      <c r="B1302" s="254" t="s">
        <v>20656</v>
      </c>
      <c r="C1302" s="254" t="s">
        <v>4521</v>
      </c>
      <c r="D1302" s="255" t="s">
        <v>20657</v>
      </c>
      <c r="E1302" s="253" t="s">
        <v>170</v>
      </c>
    </row>
    <row r="1303" spans="1:5" ht="30">
      <c r="A1303" s="254">
        <v>1404</v>
      </c>
      <c r="B1303" s="254" t="s">
        <v>20658</v>
      </c>
      <c r="C1303" s="254" t="s">
        <v>4521</v>
      </c>
      <c r="D1303" s="255" t="s">
        <v>15741</v>
      </c>
      <c r="E1303" s="253" t="s">
        <v>170</v>
      </c>
    </row>
    <row r="1304" spans="1:5" ht="60">
      <c r="A1304" s="254">
        <v>11281</v>
      </c>
      <c r="B1304" s="254" t="s">
        <v>20659</v>
      </c>
      <c r="C1304" s="254" t="s">
        <v>4521</v>
      </c>
      <c r="D1304" s="255" t="s">
        <v>20660</v>
      </c>
      <c r="E1304" s="253" t="s">
        <v>6305</v>
      </c>
    </row>
    <row r="1305" spans="1:5" ht="60">
      <c r="A1305" s="254">
        <v>1442</v>
      </c>
      <c r="B1305" s="254" t="s">
        <v>20661</v>
      </c>
      <c r="C1305" s="254" t="s">
        <v>4521</v>
      </c>
      <c r="D1305" s="255" t="s">
        <v>20662</v>
      </c>
      <c r="E1305" s="253" t="s">
        <v>6305</v>
      </c>
    </row>
    <row r="1306" spans="1:5" ht="60">
      <c r="A1306" s="254">
        <v>13457</v>
      </c>
      <c r="B1306" s="254" t="s">
        <v>20663</v>
      </c>
      <c r="C1306" s="254" t="s">
        <v>4521</v>
      </c>
      <c r="D1306" s="255" t="s">
        <v>20664</v>
      </c>
      <c r="E1306" s="253" t="s">
        <v>6305</v>
      </c>
    </row>
    <row r="1307" spans="1:5" ht="75">
      <c r="A1307" s="254">
        <v>40699</v>
      </c>
      <c r="B1307" s="254" t="s">
        <v>20665</v>
      </c>
      <c r="C1307" s="254" t="s">
        <v>4521</v>
      </c>
      <c r="D1307" s="255" t="s">
        <v>20666</v>
      </c>
      <c r="E1307" s="253" t="s">
        <v>6305</v>
      </c>
    </row>
    <row r="1308" spans="1:5" ht="75">
      <c r="A1308" s="254">
        <v>40701</v>
      </c>
      <c r="B1308" s="254" t="s">
        <v>20667</v>
      </c>
      <c r="C1308" s="254" t="s">
        <v>4521</v>
      </c>
      <c r="D1308" s="255" t="s">
        <v>20668</v>
      </c>
      <c r="E1308" s="253" t="s">
        <v>6305</v>
      </c>
    </row>
    <row r="1309" spans="1:5" ht="75">
      <c r="A1309" s="254">
        <v>40700</v>
      </c>
      <c r="B1309" s="254" t="s">
        <v>20669</v>
      </c>
      <c r="C1309" s="254" t="s">
        <v>4521</v>
      </c>
      <c r="D1309" s="255" t="s">
        <v>20670</v>
      </c>
      <c r="E1309" s="253" t="s">
        <v>6305</v>
      </c>
    </row>
    <row r="1310" spans="1:5" ht="30">
      <c r="A1310" s="254">
        <v>13458</v>
      </c>
      <c r="B1310" s="254" t="s">
        <v>20671</v>
      </c>
      <c r="C1310" s="254" t="s">
        <v>4521</v>
      </c>
      <c r="D1310" s="255" t="s">
        <v>20672</v>
      </c>
      <c r="E1310" s="253" t="s">
        <v>6305</v>
      </c>
    </row>
    <row r="1311" spans="1:5" ht="30">
      <c r="A1311" s="254">
        <v>36524</v>
      </c>
      <c r="B1311" s="254" t="s">
        <v>20673</v>
      </c>
      <c r="C1311" s="254" t="s">
        <v>4521</v>
      </c>
      <c r="D1311" s="255" t="s">
        <v>20674</v>
      </c>
      <c r="E1311" s="253" t="s">
        <v>6305</v>
      </c>
    </row>
    <row r="1312" spans="1:5" ht="30">
      <c r="A1312" s="254">
        <v>36526</v>
      </c>
      <c r="B1312" s="254" t="s">
        <v>20675</v>
      </c>
      <c r="C1312" s="254" t="s">
        <v>4521</v>
      </c>
      <c r="D1312" s="255" t="s">
        <v>20676</v>
      </c>
      <c r="E1312" s="253" t="s">
        <v>6305</v>
      </c>
    </row>
    <row r="1313" spans="1:5" ht="30">
      <c r="A1313" s="254">
        <v>36523</v>
      </c>
      <c r="B1313" s="254" t="s">
        <v>20677</v>
      </c>
      <c r="C1313" s="254" t="s">
        <v>4521</v>
      </c>
      <c r="D1313" s="255" t="s">
        <v>20678</v>
      </c>
      <c r="E1313" s="253" t="s">
        <v>6305</v>
      </c>
    </row>
    <row r="1314" spans="1:5" ht="30">
      <c r="A1314" s="254">
        <v>36527</v>
      </c>
      <c r="B1314" s="254" t="s">
        <v>20679</v>
      </c>
      <c r="C1314" s="254" t="s">
        <v>4521</v>
      </c>
      <c r="D1314" s="255" t="s">
        <v>20680</v>
      </c>
      <c r="E1314" s="253" t="s">
        <v>6305</v>
      </c>
    </row>
    <row r="1315" spans="1:5" ht="30">
      <c r="A1315" s="254">
        <v>13803</v>
      </c>
      <c r="B1315" s="254" t="s">
        <v>20681</v>
      </c>
      <c r="C1315" s="254" t="s">
        <v>4521</v>
      </c>
      <c r="D1315" s="255" t="s">
        <v>20682</v>
      </c>
      <c r="E1315" s="253" t="s">
        <v>6305</v>
      </c>
    </row>
    <row r="1316" spans="1:5" ht="30">
      <c r="A1316" s="254">
        <v>38642</v>
      </c>
      <c r="B1316" s="254" t="s">
        <v>20683</v>
      </c>
      <c r="C1316" s="254" t="s">
        <v>4521</v>
      </c>
      <c r="D1316" s="255" t="s">
        <v>20684</v>
      </c>
      <c r="E1316" s="253" t="s">
        <v>6305</v>
      </c>
    </row>
    <row r="1317" spans="1:5" ht="30">
      <c r="A1317" s="254">
        <v>36522</v>
      </c>
      <c r="B1317" s="254" t="s">
        <v>20685</v>
      </c>
      <c r="C1317" s="254" t="s">
        <v>4521</v>
      </c>
      <c r="D1317" s="255" t="s">
        <v>20686</v>
      </c>
      <c r="E1317" s="253" t="s">
        <v>6305</v>
      </c>
    </row>
    <row r="1318" spans="1:5" ht="30">
      <c r="A1318" s="254">
        <v>36525</v>
      </c>
      <c r="B1318" s="254" t="s">
        <v>20687</v>
      </c>
      <c r="C1318" s="254" t="s">
        <v>4521</v>
      </c>
      <c r="D1318" s="255" t="s">
        <v>20688</v>
      </c>
      <c r="E1318" s="253" t="s">
        <v>6305</v>
      </c>
    </row>
    <row r="1319" spans="1:5" ht="45">
      <c r="A1319" s="254">
        <v>41991</v>
      </c>
      <c r="B1319" s="254" t="s">
        <v>20689</v>
      </c>
      <c r="C1319" s="254" t="s">
        <v>4521</v>
      </c>
      <c r="D1319" s="255" t="s">
        <v>20690</v>
      </c>
      <c r="E1319" s="253" t="s">
        <v>6305</v>
      </c>
    </row>
    <row r="1320" spans="1:5" ht="30">
      <c r="A1320" s="254">
        <v>34348</v>
      </c>
      <c r="B1320" s="254" t="s">
        <v>20691</v>
      </c>
      <c r="C1320" s="254" t="s">
        <v>4524</v>
      </c>
      <c r="D1320" s="255" t="s">
        <v>18593</v>
      </c>
      <c r="E1320" s="253" t="s">
        <v>170</v>
      </c>
    </row>
    <row r="1321" spans="1:5" ht="30">
      <c r="A1321" s="254">
        <v>34347</v>
      </c>
      <c r="B1321" s="254" t="s">
        <v>20692</v>
      </c>
      <c r="C1321" s="254" t="s">
        <v>4524</v>
      </c>
      <c r="D1321" s="255" t="s">
        <v>16634</v>
      </c>
      <c r="E1321" s="253" t="s">
        <v>170</v>
      </c>
    </row>
    <row r="1322" spans="1:5" ht="30">
      <c r="A1322" s="254">
        <v>11146</v>
      </c>
      <c r="B1322" s="254" t="s">
        <v>20693</v>
      </c>
      <c r="C1322" s="254" t="s">
        <v>4522</v>
      </c>
      <c r="D1322" s="255" t="s">
        <v>20694</v>
      </c>
      <c r="E1322" s="253" t="s">
        <v>170</v>
      </c>
    </row>
    <row r="1323" spans="1:5" ht="30">
      <c r="A1323" s="254">
        <v>11147</v>
      </c>
      <c r="B1323" s="254" t="s">
        <v>20695</v>
      </c>
      <c r="C1323" s="254" t="s">
        <v>4522</v>
      </c>
      <c r="D1323" s="255" t="s">
        <v>20696</v>
      </c>
      <c r="E1323" s="253" t="s">
        <v>170</v>
      </c>
    </row>
    <row r="1324" spans="1:5" ht="30">
      <c r="A1324" s="254">
        <v>34872</v>
      </c>
      <c r="B1324" s="254" t="s">
        <v>20697</v>
      </c>
      <c r="C1324" s="254" t="s">
        <v>4522</v>
      </c>
      <c r="D1324" s="255" t="s">
        <v>20698</v>
      </c>
      <c r="E1324" s="253" t="s">
        <v>170</v>
      </c>
    </row>
    <row r="1325" spans="1:5" ht="30">
      <c r="A1325" s="254">
        <v>34491</v>
      </c>
      <c r="B1325" s="254" t="s">
        <v>20699</v>
      </c>
      <c r="C1325" s="254" t="s">
        <v>4522</v>
      </c>
      <c r="D1325" s="255" t="s">
        <v>20700</v>
      </c>
      <c r="E1325" s="253" t="s">
        <v>170</v>
      </c>
    </row>
    <row r="1326" spans="1:5" ht="30">
      <c r="A1326" s="254">
        <v>34770</v>
      </c>
      <c r="B1326" s="254" t="s">
        <v>20701</v>
      </c>
      <c r="C1326" s="254" t="s">
        <v>4533</v>
      </c>
      <c r="D1326" s="255" t="s">
        <v>20702</v>
      </c>
      <c r="E1326" s="253" t="s">
        <v>170</v>
      </c>
    </row>
    <row r="1327" spans="1:5" ht="30">
      <c r="A1327" s="254">
        <v>1518</v>
      </c>
      <c r="B1327" s="254" t="s">
        <v>20703</v>
      </c>
      <c r="C1327" s="254" t="s">
        <v>4533</v>
      </c>
      <c r="D1327" s="255" t="s">
        <v>20704</v>
      </c>
      <c r="E1327" s="253" t="s">
        <v>170</v>
      </c>
    </row>
    <row r="1328" spans="1:5" ht="30">
      <c r="A1328" s="254">
        <v>41965</v>
      </c>
      <c r="B1328" s="254" t="s">
        <v>20705</v>
      </c>
      <c r="C1328" s="254" t="s">
        <v>4533</v>
      </c>
      <c r="D1328" s="255" t="s">
        <v>20706</v>
      </c>
      <c r="E1328" s="253" t="s">
        <v>170</v>
      </c>
    </row>
    <row r="1329" spans="1:5" ht="30">
      <c r="A1329" s="254">
        <v>34492</v>
      </c>
      <c r="B1329" s="254" t="s">
        <v>20707</v>
      </c>
      <c r="C1329" s="254" t="s">
        <v>4522</v>
      </c>
      <c r="D1329" s="255" t="s">
        <v>20708</v>
      </c>
      <c r="E1329" s="253" t="s">
        <v>170</v>
      </c>
    </row>
    <row r="1330" spans="1:5" ht="30">
      <c r="A1330" s="254">
        <v>1524</v>
      </c>
      <c r="B1330" s="254" t="s">
        <v>20709</v>
      </c>
      <c r="C1330" s="254" t="s">
        <v>4522</v>
      </c>
      <c r="D1330" s="255" t="s">
        <v>20710</v>
      </c>
      <c r="E1330" s="253" t="s">
        <v>170</v>
      </c>
    </row>
    <row r="1331" spans="1:5" ht="30">
      <c r="A1331" s="254">
        <v>38404</v>
      </c>
      <c r="B1331" s="254" t="s">
        <v>20711</v>
      </c>
      <c r="C1331" s="254" t="s">
        <v>4522</v>
      </c>
      <c r="D1331" s="255" t="s">
        <v>20712</v>
      </c>
      <c r="E1331" s="253" t="s">
        <v>170</v>
      </c>
    </row>
    <row r="1332" spans="1:5" ht="30">
      <c r="A1332" s="254">
        <v>39849</v>
      </c>
      <c r="B1332" s="254" t="s">
        <v>20713</v>
      </c>
      <c r="C1332" s="254" t="s">
        <v>4522</v>
      </c>
      <c r="D1332" s="255" t="s">
        <v>20714</v>
      </c>
      <c r="E1332" s="253" t="s">
        <v>170</v>
      </c>
    </row>
    <row r="1333" spans="1:5" ht="30">
      <c r="A1333" s="254">
        <v>38464</v>
      </c>
      <c r="B1333" s="254" t="s">
        <v>20715</v>
      </c>
      <c r="C1333" s="254" t="s">
        <v>4522</v>
      </c>
      <c r="D1333" s="255" t="s">
        <v>20716</v>
      </c>
      <c r="E1333" s="253" t="s">
        <v>170</v>
      </c>
    </row>
    <row r="1334" spans="1:5" ht="30">
      <c r="A1334" s="254">
        <v>34493</v>
      </c>
      <c r="B1334" s="254" t="s">
        <v>20717</v>
      </c>
      <c r="C1334" s="254" t="s">
        <v>4522</v>
      </c>
      <c r="D1334" s="255" t="s">
        <v>20718</v>
      </c>
      <c r="E1334" s="253" t="s">
        <v>170</v>
      </c>
    </row>
    <row r="1335" spans="1:5" ht="30">
      <c r="A1335" s="254">
        <v>1527</v>
      </c>
      <c r="B1335" s="254" t="s">
        <v>20719</v>
      </c>
      <c r="C1335" s="254" t="s">
        <v>4522</v>
      </c>
      <c r="D1335" s="255" t="s">
        <v>20720</v>
      </c>
      <c r="E1335" s="253" t="s">
        <v>170</v>
      </c>
    </row>
    <row r="1336" spans="1:5" ht="30">
      <c r="A1336" s="254">
        <v>38405</v>
      </c>
      <c r="B1336" s="254" t="s">
        <v>20721</v>
      </c>
      <c r="C1336" s="254" t="s">
        <v>4522</v>
      </c>
      <c r="D1336" s="255" t="s">
        <v>20722</v>
      </c>
      <c r="E1336" s="253" t="s">
        <v>170</v>
      </c>
    </row>
    <row r="1337" spans="1:5" ht="30">
      <c r="A1337" s="254">
        <v>38408</v>
      </c>
      <c r="B1337" s="254" t="s">
        <v>20723</v>
      </c>
      <c r="C1337" s="254" t="s">
        <v>4522</v>
      </c>
      <c r="D1337" s="255" t="s">
        <v>20724</v>
      </c>
      <c r="E1337" s="253" t="s">
        <v>170</v>
      </c>
    </row>
    <row r="1338" spans="1:5" ht="30">
      <c r="A1338" s="254">
        <v>34494</v>
      </c>
      <c r="B1338" s="254" t="s">
        <v>20725</v>
      </c>
      <c r="C1338" s="254" t="s">
        <v>4522</v>
      </c>
      <c r="D1338" s="255" t="s">
        <v>20726</v>
      </c>
      <c r="E1338" s="253" t="s">
        <v>170</v>
      </c>
    </row>
    <row r="1339" spans="1:5" ht="30">
      <c r="A1339" s="254">
        <v>1525</v>
      </c>
      <c r="B1339" s="254" t="s">
        <v>20727</v>
      </c>
      <c r="C1339" s="254" t="s">
        <v>4522</v>
      </c>
      <c r="D1339" s="255" t="s">
        <v>20728</v>
      </c>
      <c r="E1339" s="253" t="s">
        <v>170</v>
      </c>
    </row>
    <row r="1340" spans="1:5" ht="30">
      <c r="A1340" s="254">
        <v>38406</v>
      </c>
      <c r="B1340" s="254" t="s">
        <v>20729</v>
      </c>
      <c r="C1340" s="254" t="s">
        <v>4522</v>
      </c>
      <c r="D1340" s="255" t="s">
        <v>20730</v>
      </c>
      <c r="E1340" s="253" t="s">
        <v>170</v>
      </c>
    </row>
    <row r="1341" spans="1:5" ht="30">
      <c r="A1341" s="254">
        <v>38409</v>
      </c>
      <c r="B1341" s="254" t="s">
        <v>20731</v>
      </c>
      <c r="C1341" s="254" t="s">
        <v>4522</v>
      </c>
      <c r="D1341" s="255" t="s">
        <v>20732</v>
      </c>
      <c r="E1341" s="253" t="s">
        <v>170</v>
      </c>
    </row>
    <row r="1342" spans="1:5" ht="30">
      <c r="A1342" s="254">
        <v>34495</v>
      </c>
      <c r="B1342" s="254" t="s">
        <v>20733</v>
      </c>
      <c r="C1342" s="254" t="s">
        <v>4522</v>
      </c>
      <c r="D1342" s="255" t="s">
        <v>20734</v>
      </c>
      <c r="E1342" s="253" t="s">
        <v>170</v>
      </c>
    </row>
    <row r="1343" spans="1:5" ht="30">
      <c r="A1343" s="254">
        <v>11145</v>
      </c>
      <c r="B1343" s="254" t="s">
        <v>20735</v>
      </c>
      <c r="C1343" s="254" t="s">
        <v>4522</v>
      </c>
      <c r="D1343" s="255" t="s">
        <v>15187</v>
      </c>
      <c r="E1343" s="253" t="s">
        <v>170</v>
      </c>
    </row>
    <row r="1344" spans="1:5" ht="30">
      <c r="A1344" s="254">
        <v>34496</v>
      </c>
      <c r="B1344" s="254" t="s">
        <v>20736</v>
      </c>
      <c r="C1344" s="254" t="s">
        <v>4522</v>
      </c>
      <c r="D1344" s="255" t="s">
        <v>20737</v>
      </c>
      <c r="E1344" s="253" t="s">
        <v>170</v>
      </c>
    </row>
    <row r="1345" spans="1:5" ht="30">
      <c r="A1345" s="254">
        <v>34479</v>
      </c>
      <c r="B1345" s="254" t="s">
        <v>20738</v>
      </c>
      <c r="C1345" s="254" t="s">
        <v>4522</v>
      </c>
      <c r="D1345" s="255" t="s">
        <v>20739</v>
      </c>
      <c r="E1345" s="253" t="s">
        <v>170</v>
      </c>
    </row>
    <row r="1346" spans="1:5" ht="30">
      <c r="A1346" s="254">
        <v>34481</v>
      </c>
      <c r="B1346" s="254" t="s">
        <v>20740</v>
      </c>
      <c r="C1346" s="254" t="s">
        <v>4522</v>
      </c>
      <c r="D1346" s="255" t="s">
        <v>20741</v>
      </c>
      <c r="E1346" s="253" t="s">
        <v>170</v>
      </c>
    </row>
    <row r="1347" spans="1:5" ht="30">
      <c r="A1347" s="254">
        <v>34483</v>
      </c>
      <c r="B1347" s="254" t="s">
        <v>20742</v>
      </c>
      <c r="C1347" s="254" t="s">
        <v>4522</v>
      </c>
      <c r="D1347" s="255" t="s">
        <v>20743</v>
      </c>
      <c r="E1347" s="253" t="s">
        <v>170</v>
      </c>
    </row>
    <row r="1348" spans="1:5" ht="30">
      <c r="A1348" s="254">
        <v>34485</v>
      </c>
      <c r="B1348" s="254" t="s">
        <v>20744</v>
      </c>
      <c r="C1348" s="254" t="s">
        <v>4522</v>
      </c>
      <c r="D1348" s="255" t="s">
        <v>20745</v>
      </c>
      <c r="E1348" s="253" t="s">
        <v>170</v>
      </c>
    </row>
    <row r="1349" spans="1:5" ht="30">
      <c r="A1349" s="254">
        <v>34497</v>
      </c>
      <c r="B1349" s="254" t="s">
        <v>20746</v>
      </c>
      <c r="C1349" s="254" t="s">
        <v>4522</v>
      </c>
      <c r="D1349" s="255" t="s">
        <v>20747</v>
      </c>
      <c r="E1349" s="253" t="s">
        <v>170</v>
      </c>
    </row>
    <row r="1350" spans="1:5" ht="30">
      <c r="A1350" s="254">
        <v>14041</v>
      </c>
      <c r="B1350" s="254" t="s">
        <v>20748</v>
      </c>
      <c r="C1350" s="254" t="s">
        <v>4522</v>
      </c>
      <c r="D1350" s="255" t="s">
        <v>20749</v>
      </c>
      <c r="E1350" s="253" t="s">
        <v>170</v>
      </c>
    </row>
    <row r="1351" spans="1:5" ht="30">
      <c r="A1351" s="254">
        <v>1523</v>
      </c>
      <c r="B1351" s="254" t="s">
        <v>20750</v>
      </c>
      <c r="C1351" s="254" t="s">
        <v>4522</v>
      </c>
      <c r="D1351" s="255" t="s">
        <v>20751</v>
      </c>
      <c r="E1351" s="253" t="s">
        <v>170</v>
      </c>
    </row>
    <row r="1352" spans="1:5" ht="30">
      <c r="A1352" s="254">
        <v>14052</v>
      </c>
      <c r="B1352" s="254" t="s">
        <v>20752</v>
      </c>
      <c r="C1352" s="254" t="s">
        <v>4521</v>
      </c>
      <c r="D1352" s="255" t="s">
        <v>15180</v>
      </c>
      <c r="E1352" s="253" t="s">
        <v>170</v>
      </c>
    </row>
    <row r="1353" spans="1:5" ht="30">
      <c r="A1353" s="254">
        <v>14054</v>
      </c>
      <c r="B1353" s="254" t="s">
        <v>20753</v>
      </c>
      <c r="C1353" s="254" t="s">
        <v>4521</v>
      </c>
      <c r="D1353" s="255" t="s">
        <v>17009</v>
      </c>
      <c r="E1353" s="253" t="s">
        <v>170</v>
      </c>
    </row>
    <row r="1354" spans="1:5" ht="30">
      <c r="A1354" s="254">
        <v>14053</v>
      </c>
      <c r="B1354" s="254" t="s">
        <v>20754</v>
      </c>
      <c r="C1354" s="254" t="s">
        <v>4521</v>
      </c>
      <c r="D1354" s="255" t="s">
        <v>16463</v>
      </c>
      <c r="E1354" s="253" t="s">
        <v>170</v>
      </c>
    </row>
    <row r="1355" spans="1:5" ht="30">
      <c r="A1355" s="254">
        <v>2558</v>
      </c>
      <c r="B1355" s="254" t="s">
        <v>20755</v>
      </c>
      <c r="C1355" s="254" t="s">
        <v>4521</v>
      </c>
      <c r="D1355" s="255" t="s">
        <v>16593</v>
      </c>
      <c r="E1355" s="253" t="s">
        <v>170</v>
      </c>
    </row>
    <row r="1356" spans="1:5" ht="30">
      <c r="A1356" s="254">
        <v>2560</v>
      </c>
      <c r="B1356" s="254" t="s">
        <v>20756</v>
      </c>
      <c r="C1356" s="254" t="s">
        <v>4521</v>
      </c>
      <c r="D1356" s="255" t="s">
        <v>17029</v>
      </c>
      <c r="E1356" s="253" t="s">
        <v>170</v>
      </c>
    </row>
    <row r="1357" spans="1:5" ht="30">
      <c r="A1357" s="254">
        <v>2559</v>
      </c>
      <c r="B1357" s="254" t="s">
        <v>20757</v>
      </c>
      <c r="C1357" s="254" t="s">
        <v>4521</v>
      </c>
      <c r="D1357" s="255" t="s">
        <v>15506</v>
      </c>
      <c r="E1357" s="253" t="s">
        <v>170</v>
      </c>
    </row>
    <row r="1358" spans="1:5" ht="30">
      <c r="A1358" s="254">
        <v>2592</v>
      </c>
      <c r="B1358" s="254" t="s">
        <v>20758</v>
      </c>
      <c r="C1358" s="254" t="s">
        <v>4521</v>
      </c>
      <c r="D1358" s="255" t="s">
        <v>20759</v>
      </c>
      <c r="E1358" s="253" t="s">
        <v>170</v>
      </c>
    </row>
    <row r="1359" spans="1:5" ht="30">
      <c r="A1359" s="254">
        <v>2566</v>
      </c>
      <c r="B1359" s="254" t="s">
        <v>20760</v>
      </c>
      <c r="C1359" s="254" t="s">
        <v>4521</v>
      </c>
      <c r="D1359" s="255" t="s">
        <v>17937</v>
      </c>
      <c r="E1359" s="253" t="s">
        <v>170</v>
      </c>
    </row>
    <row r="1360" spans="1:5" ht="30">
      <c r="A1360" s="254">
        <v>2589</v>
      </c>
      <c r="B1360" s="254" t="s">
        <v>20761</v>
      </c>
      <c r="C1360" s="254" t="s">
        <v>4521</v>
      </c>
      <c r="D1360" s="255" t="s">
        <v>20762</v>
      </c>
      <c r="E1360" s="253" t="s">
        <v>170</v>
      </c>
    </row>
    <row r="1361" spans="1:5" ht="30">
      <c r="A1361" s="254">
        <v>2591</v>
      </c>
      <c r="B1361" s="254" t="s">
        <v>20763</v>
      </c>
      <c r="C1361" s="254" t="s">
        <v>4521</v>
      </c>
      <c r="D1361" s="255" t="s">
        <v>15718</v>
      </c>
      <c r="E1361" s="253" t="s">
        <v>170</v>
      </c>
    </row>
    <row r="1362" spans="1:5" ht="30">
      <c r="A1362" s="254">
        <v>2590</v>
      </c>
      <c r="B1362" s="254" t="s">
        <v>20764</v>
      </c>
      <c r="C1362" s="254" t="s">
        <v>4521</v>
      </c>
      <c r="D1362" s="255" t="s">
        <v>16053</v>
      </c>
      <c r="E1362" s="253" t="s">
        <v>170</v>
      </c>
    </row>
    <row r="1363" spans="1:5" ht="30">
      <c r="A1363" s="254">
        <v>2567</v>
      </c>
      <c r="B1363" s="254" t="s">
        <v>20765</v>
      </c>
      <c r="C1363" s="254" t="s">
        <v>4521</v>
      </c>
      <c r="D1363" s="255" t="s">
        <v>13828</v>
      </c>
      <c r="E1363" s="253" t="s">
        <v>170</v>
      </c>
    </row>
    <row r="1364" spans="1:5" ht="30">
      <c r="A1364" s="254">
        <v>2565</v>
      </c>
      <c r="B1364" s="254" t="s">
        <v>20766</v>
      </c>
      <c r="C1364" s="254" t="s">
        <v>4521</v>
      </c>
      <c r="D1364" s="255" t="s">
        <v>16480</v>
      </c>
      <c r="E1364" s="253" t="s">
        <v>170</v>
      </c>
    </row>
    <row r="1365" spans="1:5" ht="30">
      <c r="A1365" s="254">
        <v>2568</v>
      </c>
      <c r="B1365" s="254" t="s">
        <v>20767</v>
      </c>
      <c r="C1365" s="254" t="s">
        <v>4521</v>
      </c>
      <c r="D1365" s="255" t="s">
        <v>14107</v>
      </c>
      <c r="E1365" s="253" t="s">
        <v>170</v>
      </c>
    </row>
    <row r="1366" spans="1:5" ht="30">
      <c r="A1366" s="254">
        <v>2594</v>
      </c>
      <c r="B1366" s="254" t="s">
        <v>20768</v>
      </c>
      <c r="C1366" s="254" t="s">
        <v>4521</v>
      </c>
      <c r="D1366" s="255" t="s">
        <v>20769</v>
      </c>
      <c r="E1366" s="253" t="s">
        <v>170</v>
      </c>
    </row>
    <row r="1367" spans="1:5" ht="30">
      <c r="A1367" s="254">
        <v>2587</v>
      </c>
      <c r="B1367" s="254" t="s">
        <v>20770</v>
      </c>
      <c r="C1367" s="254" t="s">
        <v>4521</v>
      </c>
      <c r="D1367" s="255" t="s">
        <v>15381</v>
      </c>
      <c r="E1367" s="253" t="s">
        <v>170</v>
      </c>
    </row>
    <row r="1368" spans="1:5" ht="30">
      <c r="A1368" s="254">
        <v>2588</v>
      </c>
      <c r="B1368" s="254" t="s">
        <v>20771</v>
      </c>
      <c r="C1368" s="254" t="s">
        <v>4521</v>
      </c>
      <c r="D1368" s="255" t="s">
        <v>20772</v>
      </c>
      <c r="E1368" s="253" t="s">
        <v>170</v>
      </c>
    </row>
    <row r="1369" spans="1:5" ht="30">
      <c r="A1369" s="254">
        <v>2569</v>
      </c>
      <c r="B1369" s="254" t="s">
        <v>20773</v>
      </c>
      <c r="C1369" s="254" t="s">
        <v>4521</v>
      </c>
      <c r="D1369" s="255" t="s">
        <v>20774</v>
      </c>
      <c r="E1369" s="253" t="s">
        <v>170</v>
      </c>
    </row>
    <row r="1370" spans="1:5" ht="30">
      <c r="A1370" s="254">
        <v>2570</v>
      </c>
      <c r="B1370" s="254" t="s">
        <v>20775</v>
      </c>
      <c r="C1370" s="254" t="s">
        <v>4521</v>
      </c>
      <c r="D1370" s="255" t="s">
        <v>14481</v>
      </c>
      <c r="E1370" s="253" t="s">
        <v>170</v>
      </c>
    </row>
    <row r="1371" spans="1:5" ht="30">
      <c r="A1371" s="254">
        <v>2571</v>
      </c>
      <c r="B1371" s="254" t="s">
        <v>20776</v>
      </c>
      <c r="C1371" s="254" t="s">
        <v>4521</v>
      </c>
      <c r="D1371" s="255" t="s">
        <v>17513</v>
      </c>
      <c r="E1371" s="253" t="s">
        <v>170</v>
      </c>
    </row>
    <row r="1372" spans="1:5" ht="30">
      <c r="A1372" s="254">
        <v>2593</v>
      </c>
      <c r="B1372" s="254" t="s">
        <v>20777</v>
      </c>
      <c r="C1372" s="254" t="s">
        <v>4521</v>
      </c>
      <c r="D1372" s="255" t="s">
        <v>18140</v>
      </c>
      <c r="E1372" s="253" t="s">
        <v>170</v>
      </c>
    </row>
    <row r="1373" spans="1:5" ht="30">
      <c r="A1373" s="254">
        <v>2572</v>
      </c>
      <c r="B1373" s="254" t="s">
        <v>20778</v>
      </c>
      <c r="C1373" s="254" t="s">
        <v>4521</v>
      </c>
      <c r="D1373" s="255" t="s">
        <v>20779</v>
      </c>
      <c r="E1373" s="253" t="s">
        <v>170</v>
      </c>
    </row>
    <row r="1374" spans="1:5" ht="30">
      <c r="A1374" s="254">
        <v>2595</v>
      </c>
      <c r="B1374" s="254" t="s">
        <v>20780</v>
      </c>
      <c r="C1374" s="254" t="s">
        <v>4521</v>
      </c>
      <c r="D1374" s="255" t="s">
        <v>20781</v>
      </c>
      <c r="E1374" s="253" t="s">
        <v>170</v>
      </c>
    </row>
    <row r="1375" spans="1:5" ht="30">
      <c r="A1375" s="254">
        <v>2576</v>
      </c>
      <c r="B1375" s="254" t="s">
        <v>20782</v>
      </c>
      <c r="C1375" s="254" t="s">
        <v>4521</v>
      </c>
      <c r="D1375" s="255" t="s">
        <v>18166</v>
      </c>
      <c r="E1375" s="253" t="s">
        <v>170</v>
      </c>
    </row>
    <row r="1376" spans="1:5" ht="30">
      <c r="A1376" s="254">
        <v>2575</v>
      </c>
      <c r="B1376" s="254" t="s">
        <v>20783</v>
      </c>
      <c r="C1376" s="254" t="s">
        <v>4521</v>
      </c>
      <c r="D1376" s="255" t="s">
        <v>14957</v>
      </c>
      <c r="E1376" s="253" t="s">
        <v>170</v>
      </c>
    </row>
    <row r="1377" spans="1:5" ht="30">
      <c r="A1377" s="254">
        <v>2573</v>
      </c>
      <c r="B1377" s="254" t="s">
        <v>20784</v>
      </c>
      <c r="C1377" s="254" t="s">
        <v>4521</v>
      </c>
      <c r="D1377" s="255" t="s">
        <v>20785</v>
      </c>
      <c r="E1377" s="253" t="s">
        <v>170</v>
      </c>
    </row>
    <row r="1378" spans="1:5" ht="30">
      <c r="A1378" s="254">
        <v>2586</v>
      </c>
      <c r="B1378" s="254" t="s">
        <v>20786</v>
      </c>
      <c r="C1378" s="254" t="s">
        <v>4521</v>
      </c>
      <c r="D1378" s="255" t="s">
        <v>15503</v>
      </c>
      <c r="E1378" s="253" t="s">
        <v>170</v>
      </c>
    </row>
    <row r="1379" spans="1:5" ht="30">
      <c r="A1379" s="254">
        <v>2577</v>
      </c>
      <c r="B1379" s="254" t="s">
        <v>20787</v>
      </c>
      <c r="C1379" s="254" t="s">
        <v>4521</v>
      </c>
      <c r="D1379" s="255" t="s">
        <v>20788</v>
      </c>
      <c r="E1379" s="253" t="s">
        <v>170</v>
      </c>
    </row>
    <row r="1380" spans="1:5" ht="30">
      <c r="A1380" s="254">
        <v>2574</v>
      </c>
      <c r="B1380" s="254" t="s">
        <v>20789</v>
      </c>
      <c r="C1380" s="254" t="s">
        <v>4521</v>
      </c>
      <c r="D1380" s="255" t="s">
        <v>16238</v>
      </c>
      <c r="E1380" s="253" t="s">
        <v>170</v>
      </c>
    </row>
    <row r="1381" spans="1:5" ht="30">
      <c r="A1381" s="254">
        <v>2578</v>
      </c>
      <c r="B1381" s="254" t="s">
        <v>20790</v>
      </c>
      <c r="C1381" s="254" t="s">
        <v>4521</v>
      </c>
      <c r="D1381" s="255" t="s">
        <v>20791</v>
      </c>
      <c r="E1381" s="253" t="s">
        <v>170</v>
      </c>
    </row>
    <row r="1382" spans="1:5" ht="30">
      <c r="A1382" s="254">
        <v>2585</v>
      </c>
      <c r="B1382" s="254" t="s">
        <v>20792</v>
      </c>
      <c r="C1382" s="254" t="s">
        <v>4521</v>
      </c>
      <c r="D1382" s="255" t="s">
        <v>20793</v>
      </c>
      <c r="E1382" s="253" t="s">
        <v>170</v>
      </c>
    </row>
    <row r="1383" spans="1:5" ht="30">
      <c r="A1383" s="254">
        <v>12008</v>
      </c>
      <c r="B1383" s="254" t="s">
        <v>20794</v>
      </c>
      <c r="C1383" s="254" t="s">
        <v>4521</v>
      </c>
      <c r="D1383" s="255" t="s">
        <v>17770</v>
      </c>
      <c r="E1383" s="253" t="s">
        <v>170</v>
      </c>
    </row>
    <row r="1384" spans="1:5" ht="30">
      <c r="A1384" s="254">
        <v>2582</v>
      </c>
      <c r="B1384" s="254" t="s">
        <v>20795</v>
      </c>
      <c r="C1384" s="254" t="s">
        <v>4521</v>
      </c>
      <c r="D1384" s="255" t="s">
        <v>20796</v>
      </c>
      <c r="E1384" s="253" t="s">
        <v>170</v>
      </c>
    </row>
    <row r="1385" spans="1:5" ht="30">
      <c r="A1385" s="254">
        <v>2597</v>
      </c>
      <c r="B1385" s="254" t="s">
        <v>20797</v>
      </c>
      <c r="C1385" s="254" t="s">
        <v>4521</v>
      </c>
      <c r="D1385" s="255" t="s">
        <v>20798</v>
      </c>
      <c r="E1385" s="253" t="s">
        <v>170</v>
      </c>
    </row>
    <row r="1386" spans="1:5" ht="30">
      <c r="A1386" s="254">
        <v>2579</v>
      </c>
      <c r="B1386" s="254" t="s">
        <v>20799</v>
      </c>
      <c r="C1386" s="254" t="s">
        <v>4521</v>
      </c>
      <c r="D1386" s="255" t="s">
        <v>16352</v>
      </c>
      <c r="E1386" s="253" t="s">
        <v>170</v>
      </c>
    </row>
    <row r="1387" spans="1:5" ht="30">
      <c r="A1387" s="254">
        <v>2581</v>
      </c>
      <c r="B1387" s="254" t="s">
        <v>20800</v>
      </c>
      <c r="C1387" s="254" t="s">
        <v>4521</v>
      </c>
      <c r="D1387" s="255" t="s">
        <v>14636</v>
      </c>
      <c r="E1387" s="253" t="s">
        <v>170</v>
      </c>
    </row>
    <row r="1388" spans="1:5" ht="30">
      <c r="A1388" s="254">
        <v>2596</v>
      </c>
      <c r="B1388" s="254" t="s">
        <v>20801</v>
      </c>
      <c r="C1388" s="254" t="s">
        <v>4521</v>
      </c>
      <c r="D1388" s="255" t="s">
        <v>16196</v>
      </c>
      <c r="E1388" s="253" t="s">
        <v>170</v>
      </c>
    </row>
    <row r="1389" spans="1:5" ht="30">
      <c r="A1389" s="254">
        <v>2580</v>
      </c>
      <c r="B1389" s="254" t="s">
        <v>20802</v>
      </c>
      <c r="C1389" s="254" t="s">
        <v>4521</v>
      </c>
      <c r="D1389" s="255" t="s">
        <v>15742</v>
      </c>
      <c r="E1389" s="253" t="s">
        <v>170</v>
      </c>
    </row>
    <row r="1390" spans="1:5" ht="30">
      <c r="A1390" s="254">
        <v>2583</v>
      </c>
      <c r="B1390" s="254" t="s">
        <v>20803</v>
      </c>
      <c r="C1390" s="254" t="s">
        <v>4521</v>
      </c>
      <c r="D1390" s="255" t="s">
        <v>20804</v>
      </c>
      <c r="E1390" s="253" t="s">
        <v>170</v>
      </c>
    </row>
    <row r="1391" spans="1:5" ht="30">
      <c r="A1391" s="254">
        <v>2584</v>
      </c>
      <c r="B1391" s="254" t="s">
        <v>20805</v>
      </c>
      <c r="C1391" s="254" t="s">
        <v>4521</v>
      </c>
      <c r="D1391" s="255" t="s">
        <v>20806</v>
      </c>
      <c r="E1391" s="253" t="s">
        <v>170</v>
      </c>
    </row>
    <row r="1392" spans="1:5" ht="15">
      <c r="A1392" s="254">
        <v>12010</v>
      </c>
      <c r="B1392" s="254" t="s">
        <v>20807</v>
      </c>
      <c r="C1392" s="254" t="s">
        <v>4521</v>
      </c>
      <c r="D1392" s="255" t="s">
        <v>15179</v>
      </c>
      <c r="E1392" s="253" t="s">
        <v>170</v>
      </c>
    </row>
    <row r="1393" spans="1:5" ht="15">
      <c r="A1393" s="254">
        <v>39329</v>
      </c>
      <c r="B1393" s="254" t="s">
        <v>20808</v>
      </c>
      <c r="C1393" s="254" t="s">
        <v>4521</v>
      </c>
      <c r="D1393" s="255" t="s">
        <v>15733</v>
      </c>
      <c r="E1393" s="253" t="s">
        <v>170</v>
      </c>
    </row>
    <row r="1394" spans="1:5" ht="15">
      <c r="A1394" s="254">
        <v>39330</v>
      </c>
      <c r="B1394" s="254" t="s">
        <v>20809</v>
      </c>
      <c r="C1394" s="254" t="s">
        <v>4521</v>
      </c>
      <c r="D1394" s="255" t="s">
        <v>16589</v>
      </c>
      <c r="E1394" s="253" t="s">
        <v>170</v>
      </c>
    </row>
    <row r="1395" spans="1:5" ht="15">
      <c r="A1395" s="254">
        <v>39332</v>
      </c>
      <c r="B1395" s="254" t="s">
        <v>20810</v>
      </c>
      <c r="C1395" s="254" t="s">
        <v>4521</v>
      </c>
      <c r="D1395" s="255" t="s">
        <v>16985</v>
      </c>
      <c r="E1395" s="253" t="s">
        <v>170</v>
      </c>
    </row>
    <row r="1396" spans="1:5" ht="15">
      <c r="A1396" s="254">
        <v>39331</v>
      </c>
      <c r="B1396" s="254" t="s">
        <v>20811</v>
      </c>
      <c r="C1396" s="254" t="s">
        <v>4521</v>
      </c>
      <c r="D1396" s="255" t="s">
        <v>15467</v>
      </c>
      <c r="E1396" s="253" t="s">
        <v>170</v>
      </c>
    </row>
    <row r="1397" spans="1:5" ht="15">
      <c r="A1397" s="254">
        <v>39333</v>
      </c>
      <c r="B1397" s="254" t="s">
        <v>20812</v>
      </c>
      <c r="C1397" s="254" t="s">
        <v>4521</v>
      </c>
      <c r="D1397" s="255" t="s">
        <v>13541</v>
      </c>
      <c r="E1397" s="253" t="s">
        <v>170</v>
      </c>
    </row>
    <row r="1398" spans="1:5" ht="15">
      <c r="A1398" s="254">
        <v>39335</v>
      </c>
      <c r="B1398" s="254" t="s">
        <v>20813</v>
      </c>
      <c r="C1398" s="254" t="s">
        <v>4521</v>
      </c>
      <c r="D1398" s="255" t="s">
        <v>15491</v>
      </c>
      <c r="E1398" s="253" t="s">
        <v>170</v>
      </c>
    </row>
    <row r="1399" spans="1:5" ht="15">
      <c r="A1399" s="254">
        <v>39334</v>
      </c>
      <c r="B1399" s="254" t="s">
        <v>20814</v>
      </c>
      <c r="C1399" s="254" t="s">
        <v>4521</v>
      </c>
      <c r="D1399" s="255" t="s">
        <v>16496</v>
      </c>
      <c r="E1399" s="253" t="s">
        <v>170</v>
      </c>
    </row>
    <row r="1400" spans="1:5" ht="15">
      <c r="A1400" s="254">
        <v>12016</v>
      </c>
      <c r="B1400" s="254" t="s">
        <v>20815</v>
      </c>
      <c r="C1400" s="254" t="s">
        <v>4521</v>
      </c>
      <c r="D1400" s="255" t="s">
        <v>15224</v>
      </c>
      <c r="E1400" s="253" t="s">
        <v>170</v>
      </c>
    </row>
    <row r="1401" spans="1:5" ht="15">
      <c r="A1401" s="254">
        <v>12015</v>
      </c>
      <c r="B1401" s="254" t="s">
        <v>20816</v>
      </c>
      <c r="C1401" s="254" t="s">
        <v>4521</v>
      </c>
      <c r="D1401" s="255" t="s">
        <v>14318</v>
      </c>
      <c r="E1401" s="253" t="s">
        <v>170</v>
      </c>
    </row>
    <row r="1402" spans="1:5" ht="15">
      <c r="A1402" s="254">
        <v>12020</v>
      </c>
      <c r="B1402" s="254" t="s">
        <v>20817</v>
      </c>
      <c r="C1402" s="254" t="s">
        <v>4521</v>
      </c>
      <c r="D1402" s="255" t="s">
        <v>15224</v>
      </c>
      <c r="E1402" s="253" t="s">
        <v>170</v>
      </c>
    </row>
    <row r="1403" spans="1:5" ht="15">
      <c r="A1403" s="254">
        <v>12019</v>
      </c>
      <c r="B1403" s="254" t="s">
        <v>20818</v>
      </c>
      <c r="C1403" s="254" t="s">
        <v>4521</v>
      </c>
      <c r="D1403" s="255" t="s">
        <v>14318</v>
      </c>
      <c r="E1403" s="253" t="s">
        <v>170</v>
      </c>
    </row>
    <row r="1404" spans="1:5" ht="15">
      <c r="A1404" s="254">
        <v>39336</v>
      </c>
      <c r="B1404" s="254" t="s">
        <v>20819</v>
      </c>
      <c r="C1404" s="254" t="s">
        <v>4521</v>
      </c>
      <c r="D1404" s="255" t="s">
        <v>16589</v>
      </c>
      <c r="E1404" s="253" t="s">
        <v>170</v>
      </c>
    </row>
    <row r="1405" spans="1:5" ht="15">
      <c r="A1405" s="254">
        <v>39338</v>
      </c>
      <c r="B1405" s="254" t="s">
        <v>20820</v>
      </c>
      <c r="C1405" s="254" t="s">
        <v>4521</v>
      </c>
      <c r="D1405" s="255" t="s">
        <v>16985</v>
      </c>
      <c r="E1405" s="253" t="s">
        <v>170</v>
      </c>
    </row>
    <row r="1406" spans="1:5" ht="15">
      <c r="A1406" s="254">
        <v>39337</v>
      </c>
      <c r="B1406" s="254" t="s">
        <v>20821</v>
      </c>
      <c r="C1406" s="254" t="s">
        <v>4521</v>
      </c>
      <c r="D1406" s="255" t="s">
        <v>15467</v>
      </c>
      <c r="E1406" s="253" t="s">
        <v>170</v>
      </c>
    </row>
    <row r="1407" spans="1:5" ht="15">
      <c r="A1407" s="254">
        <v>39341</v>
      </c>
      <c r="B1407" s="254" t="s">
        <v>20822</v>
      </c>
      <c r="C1407" s="254" t="s">
        <v>4521</v>
      </c>
      <c r="D1407" s="255" t="s">
        <v>20823</v>
      </c>
      <c r="E1407" s="253" t="s">
        <v>170</v>
      </c>
    </row>
    <row r="1408" spans="1:5" ht="15">
      <c r="A1408" s="254">
        <v>39340</v>
      </c>
      <c r="B1408" s="254" t="s">
        <v>20824</v>
      </c>
      <c r="C1408" s="254" t="s">
        <v>4521</v>
      </c>
      <c r="D1408" s="255" t="s">
        <v>14391</v>
      </c>
      <c r="E1408" s="253" t="s">
        <v>170</v>
      </c>
    </row>
    <row r="1409" spans="1:5" ht="15">
      <c r="A1409" s="254">
        <v>12025</v>
      </c>
      <c r="B1409" s="254" t="s">
        <v>20825</v>
      </c>
      <c r="C1409" s="254" t="s">
        <v>4521</v>
      </c>
      <c r="D1409" s="255" t="s">
        <v>20826</v>
      </c>
      <c r="E1409" s="253" t="s">
        <v>170</v>
      </c>
    </row>
    <row r="1410" spans="1:5" ht="15">
      <c r="A1410" s="254">
        <v>39342</v>
      </c>
      <c r="B1410" s="254" t="s">
        <v>20827</v>
      </c>
      <c r="C1410" s="254" t="s">
        <v>4521</v>
      </c>
      <c r="D1410" s="255" t="s">
        <v>20823</v>
      </c>
      <c r="E1410" s="253" t="s">
        <v>170</v>
      </c>
    </row>
    <row r="1411" spans="1:5" ht="15">
      <c r="A1411" s="254">
        <v>39343</v>
      </c>
      <c r="B1411" s="254" t="s">
        <v>20828</v>
      </c>
      <c r="C1411" s="254" t="s">
        <v>4521</v>
      </c>
      <c r="D1411" s="255" t="s">
        <v>16544</v>
      </c>
      <c r="E1411" s="253" t="s">
        <v>170</v>
      </c>
    </row>
    <row r="1412" spans="1:5" ht="15">
      <c r="A1412" s="254">
        <v>39345</v>
      </c>
      <c r="B1412" s="254" t="s">
        <v>20829</v>
      </c>
      <c r="C1412" s="254" t="s">
        <v>4521</v>
      </c>
      <c r="D1412" s="255" t="s">
        <v>13913</v>
      </c>
      <c r="E1412" s="253" t="s">
        <v>170</v>
      </c>
    </row>
    <row r="1413" spans="1:5" ht="15">
      <c r="A1413" s="254">
        <v>39344</v>
      </c>
      <c r="B1413" s="254" t="s">
        <v>20830</v>
      </c>
      <c r="C1413" s="254" t="s">
        <v>4521</v>
      </c>
      <c r="D1413" s="255" t="s">
        <v>18796</v>
      </c>
      <c r="E1413" s="253" t="s">
        <v>170</v>
      </c>
    </row>
    <row r="1414" spans="1:5" ht="30">
      <c r="A1414" s="254">
        <v>12623</v>
      </c>
      <c r="B1414" s="254" t="s">
        <v>20831</v>
      </c>
      <c r="C1414" s="254" t="s">
        <v>4524</v>
      </c>
      <c r="D1414" s="255" t="s">
        <v>16532</v>
      </c>
      <c r="E1414" s="253" t="s">
        <v>170</v>
      </c>
    </row>
    <row r="1415" spans="1:5" ht="15">
      <c r="A1415" s="254">
        <v>34498</v>
      </c>
      <c r="B1415" s="254" t="s">
        <v>20832</v>
      </c>
      <c r="C1415" s="254" t="s">
        <v>4521</v>
      </c>
      <c r="D1415" s="255" t="s">
        <v>20833</v>
      </c>
      <c r="E1415" s="253" t="s">
        <v>170</v>
      </c>
    </row>
    <row r="1416" spans="1:5" ht="15">
      <c r="A1416" s="254">
        <v>13244</v>
      </c>
      <c r="B1416" s="254" t="s">
        <v>20834</v>
      </c>
      <c r="C1416" s="254" t="s">
        <v>4521</v>
      </c>
      <c r="D1416" s="255" t="s">
        <v>14642</v>
      </c>
      <c r="E1416" s="253" t="s">
        <v>170</v>
      </c>
    </row>
    <row r="1417" spans="1:5" ht="30">
      <c r="A1417" s="254">
        <v>38998</v>
      </c>
      <c r="B1417" s="254" t="s">
        <v>20835</v>
      </c>
      <c r="C1417" s="254" t="s">
        <v>4521</v>
      </c>
      <c r="D1417" s="255" t="s">
        <v>20836</v>
      </c>
      <c r="E1417" s="253" t="s">
        <v>170</v>
      </c>
    </row>
    <row r="1418" spans="1:5" ht="30">
      <c r="A1418" s="254">
        <v>38999</v>
      </c>
      <c r="B1418" s="254" t="s">
        <v>20837</v>
      </c>
      <c r="C1418" s="254" t="s">
        <v>4521</v>
      </c>
      <c r="D1418" s="255" t="s">
        <v>20838</v>
      </c>
      <c r="E1418" s="253" t="s">
        <v>170</v>
      </c>
    </row>
    <row r="1419" spans="1:5" ht="30">
      <c r="A1419" s="254">
        <v>38996</v>
      </c>
      <c r="B1419" s="254" t="s">
        <v>20839</v>
      </c>
      <c r="C1419" s="254" t="s">
        <v>4521</v>
      </c>
      <c r="D1419" s="255" t="s">
        <v>20840</v>
      </c>
      <c r="E1419" s="253" t="s">
        <v>170</v>
      </c>
    </row>
    <row r="1420" spans="1:5" ht="30">
      <c r="A1420" s="254">
        <v>38997</v>
      </c>
      <c r="B1420" s="254" t="s">
        <v>20841</v>
      </c>
      <c r="C1420" s="254" t="s">
        <v>4521</v>
      </c>
      <c r="D1420" s="255" t="s">
        <v>20842</v>
      </c>
      <c r="E1420" s="253" t="s">
        <v>170</v>
      </c>
    </row>
    <row r="1421" spans="1:5" ht="30">
      <c r="A1421" s="254">
        <v>39862</v>
      </c>
      <c r="B1421" s="254" t="s">
        <v>20843</v>
      </c>
      <c r="C1421" s="254" t="s">
        <v>4521</v>
      </c>
      <c r="D1421" s="255" t="s">
        <v>20844</v>
      </c>
      <c r="E1421" s="253" t="s">
        <v>170</v>
      </c>
    </row>
    <row r="1422" spans="1:5" ht="30">
      <c r="A1422" s="254">
        <v>39863</v>
      </c>
      <c r="B1422" s="254" t="s">
        <v>20845</v>
      </c>
      <c r="C1422" s="254" t="s">
        <v>4521</v>
      </c>
      <c r="D1422" s="255" t="s">
        <v>20846</v>
      </c>
      <c r="E1422" s="253" t="s">
        <v>170</v>
      </c>
    </row>
    <row r="1423" spans="1:5" ht="30">
      <c r="A1423" s="254">
        <v>39864</v>
      </c>
      <c r="B1423" s="254" t="s">
        <v>20847</v>
      </c>
      <c r="C1423" s="254" t="s">
        <v>4521</v>
      </c>
      <c r="D1423" s="255" t="s">
        <v>17987</v>
      </c>
      <c r="E1423" s="253" t="s">
        <v>170</v>
      </c>
    </row>
    <row r="1424" spans="1:5" ht="30">
      <c r="A1424" s="254">
        <v>39865</v>
      </c>
      <c r="B1424" s="254" t="s">
        <v>20848</v>
      </c>
      <c r="C1424" s="254" t="s">
        <v>4521</v>
      </c>
      <c r="D1424" s="255" t="s">
        <v>15778</v>
      </c>
      <c r="E1424" s="253" t="s">
        <v>170</v>
      </c>
    </row>
    <row r="1425" spans="1:5" ht="30">
      <c r="A1425" s="254">
        <v>2517</v>
      </c>
      <c r="B1425" s="254" t="s">
        <v>20849</v>
      </c>
      <c r="C1425" s="254" t="s">
        <v>4521</v>
      </c>
      <c r="D1425" s="255" t="s">
        <v>20850</v>
      </c>
      <c r="E1425" s="253" t="s">
        <v>170</v>
      </c>
    </row>
    <row r="1426" spans="1:5" ht="30">
      <c r="A1426" s="254">
        <v>2522</v>
      </c>
      <c r="B1426" s="254" t="s">
        <v>20851</v>
      </c>
      <c r="C1426" s="254" t="s">
        <v>4521</v>
      </c>
      <c r="D1426" s="255" t="s">
        <v>18002</v>
      </c>
      <c r="E1426" s="253" t="s">
        <v>170</v>
      </c>
    </row>
    <row r="1427" spans="1:5" ht="30">
      <c r="A1427" s="254">
        <v>2548</v>
      </c>
      <c r="B1427" s="254" t="s">
        <v>20852</v>
      </c>
      <c r="C1427" s="254" t="s">
        <v>4521</v>
      </c>
      <c r="D1427" s="255" t="s">
        <v>15466</v>
      </c>
      <c r="E1427" s="253" t="s">
        <v>170</v>
      </c>
    </row>
    <row r="1428" spans="1:5" ht="30">
      <c r="A1428" s="254">
        <v>2516</v>
      </c>
      <c r="B1428" s="254" t="s">
        <v>20853</v>
      </c>
      <c r="C1428" s="254" t="s">
        <v>4521</v>
      </c>
      <c r="D1428" s="255" t="s">
        <v>14739</v>
      </c>
      <c r="E1428" s="253" t="s">
        <v>170</v>
      </c>
    </row>
    <row r="1429" spans="1:5" ht="30">
      <c r="A1429" s="254">
        <v>2518</v>
      </c>
      <c r="B1429" s="254" t="s">
        <v>20854</v>
      </c>
      <c r="C1429" s="254" t="s">
        <v>4521</v>
      </c>
      <c r="D1429" s="255" t="s">
        <v>20855</v>
      </c>
      <c r="E1429" s="253" t="s">
        <v>170</v>
      </c>
    </row>
    <row r="1430" spans="1:5" ht="30">
      <c r="A1430" s="254">
        <v>2521</v>
      </c>
      <c r="B1430" s="254" t="s">
        <v>20856</v>
      </c>
      <c r="C1430" s="254" t="s">
        <v>4521</v>
      </c>
      <c r="D1430" s="255" t="s">
        <v>20857</v>
      </c>
      <c r="E1430" s="253" t="s">
        <v>170</v>
      </c>
    </row>
    <row r="1431" spans="1:5" ht="30">
      <c r="A1431" s="254">
        <v>2515</v>
      </c>
      <c r="B1431" s="254" t="s">
        <v>20858</v>
      </c>
      <c r="C1431" s="254" t="s">
        <v>4521</v>
      </c>
      <c r="D1431" s="255" t="s">
        <v>13522</v>
      </c>
      <c r="E1431" s="253" t="s">
        <v>170</v>
      </c>
    </row>
    <row r="1432" spans="1:5" ht="30">
      <c r="A1432" s="254">
        <v>2519</v>
      </c>
      <c r="B1432" s="254" t="s">
        <v>20859</v>
      </c>
      <c r="C1432" s="254" t="s">
        <v>4521</v>
      </c>
      <c r="D1432" s="255" t="s">
        <v>20860</v>
      </c>
      <c r="E1432" s="253" t="s">
        <v>170</v>
      </c>
    </row>
    <row r="1433" spans="1:5" ht="30">
      <c r="A1433" s="254">
        <v>2520</v>
      </c>
      <c r="B1433" s="254" t="s">
        <v>20861</v>
      </c>
      <c r="C1433" s="254" t="s">
        <v>4521</v>
      </c>
      <c r="D1433" s="255" t="s">
        <v>20862</v>
      </c>
      <c r="E1433" s="253" t="s">
        <v>170</v>
      </c>
    </row>
    <row r="1434" spans="1:5" ht="30">
      <c r="A1434" s="254">
        <v>1602</v>
      </c>
      <c r="B1434" s="254" t="s">
        <v>20863</v>
      </c>
      <c r="C1434" s="254" t="s">
        <v>4521</v>
      </c>
      <c r="D1434" s="255" t="s">
        <v>20864</v>
      </c>
      <c r="E1434" s="253" t="s">
        <v>170</v>
      </c>
    </row>
    <row r="1435" spans="1:5" ht="30">
      <c r="A1435" s="254">
        <v>1601</v>
      </c>
      <c r="B1435" s="254" t="s">
        <v>20865</v>
      </c>
      <c r="C1435" s="254" t="s">
        <v>4521</v>
      </c>
      <c r="D1435" s="256" t="s">
        <v>20866</v>
      </c>
      <c r="E1435" s="253" t="s">
        <v>170</v>
      </c>
    </row>
    <row r="1436" spans="1:5" ht="30">
      <c r="A1436" s="254">
        <v>1598</v>
      </c>
      <c r="B1436" s="254" t="s">
        <v>20867</v>
      </c>
      <c r="C1436" s="254" t="s">
        <v>4521</v>
      </c>
      <c r="D1436" s="256" t="s">
        <v>16523</v>
      </c>
      <c r="E1436" s="253" t="s">
        <v>170</v>
      </c>
    </row>
    <row r="1437" spans="1:5" ht="30">
      <c r="A1437" s="254">
        <v>1600</v>
      </c>
      <c r="B1437" s="254" t="s">
        <v>20868</v>
      </c>
      <c r="C1437" s="254" t="s">
        <v>4521</v>
      </c>
      <c r="D1437" s="256" t="s">
        <v>15458</v>
      </c>
      <c r="E1437" s="253" t="s">
        <v>170</v>
      </c>
    </row>
    <row r="1438" spans="1:5" ht="30">
      <c r="A1438" s="254">
        <v>1603</v>
      </c>
      <c r="B1438" s="254" t="s">
        <v>20869</v>
      </c>
      <c r="C1438" s="254" t="s">
        <v>4521</v>
      </c>
      <c r="D1438" s="256" t="s">
        <v>20870</v>
      </c>
      <c r="E1438" s="253" t="s">
        <v>170</v>
      </c>
    </row>
    <row r="1439" spans="1:5" ht="30">
      <c r="A1439" s="254">
        <v>1599</v>
      </c>
      <c r="B1439" s="254" t="s">
        <v>20871</v>
      </c>
      <c r="C1439" s="254" t="s">
        <v>4521</v>
      </c>
      <c r="D1439" s="256" t="s">
        <v>16726</v>
      </c>
      <c r="E1439" s="253" t="s">
        <v>170</v>
      </c>
    </row>
    <row r="1440" spans="1:5" ht="30">
      <c r="A1440" s="254">
        <v>1597</v>
      </c>
      <c r="B1440" s="254" t="s">
        <v>20872</v>
      </c>
      <c r="C1440" s="254" t="s">
        <v>4521</v>
      </c>
      <c r="D1440" s="255" t="s">
        <v>14238</v>
      </c>
      <c r="E1440" s="253" t="s">
        <v>170</v>
      </c>
    </row>
    <row r="1441" spans="1:5" ht="15">
      <c r="A1441" s="254">
        <v>39600</v>
      </c>
      <c r="B1441" s="254" t="s">
        <v>20873</v>
      </c>
      <c r="C1441" s="254" t="s">
        <v>4521</v>
      </c>
      <c r="D1441" s="256" t="s">
        <v>19667</v>
      </c>
      <c r="E1441" s="253" t="s">
        <v>170</v>
      </c>
    </row>
    <row r="1442" spans="1:5" ht="15">
      <c r="A1442" s="254">
        <v>39601</v>
      </c>
      <c r="B1442" s="254" t="s">
        <v>20874</v>
      </c>
      <c r="C1442" s="254" t="s">
        <v>4521</v>
      </c>
      <c r="D1442" s="255" t="s">
        <v>16969</v>
      </c>
      <c r="E1442" s="253" t="s">
        <v>170</v>
      </c>
    </row>
    <row r="1443" spans="1:5" ht="15">
      <c r="A1443" s="254">
        <v>39602</v>
      </c>
      <c r="B1443" s="254" t="s">
        <v>20875</v>
      </c>
      <c r="C1443" s="254" t="s">
        <v>4521</v>
      </c>
      <c r="D1443" s="256" t="s">
        <v>13668</v>
      </c>
      <c r="E1443" s="253" t="s">
        <v>170</v>
      </c>
    </row>
    <row r="1444" spans="1:5" ht="15">
      <c r="A1444" s="254">
        <v>39603</v>
      </c>
      <c r="B1444" s="254" t="s">
        <v>20876</v>
      </c>
      <c r="C1444" s="254" t="s">
        <v>4521</v>
      </c>
      <c r="D1444" s="255" t="s">
        <v>17875</v>
      </c>
      <c r="E1444" s="253" t="s">
        <v>170</v>
      </c>
    </row>
    <row r="1445" spans="1:5" ht="30">
      <c r="A1445" s="254">
        <v>11821</v>
      </c>
      <c r="B1445" s="254" t="s">
        <v>20877</v>
      </c>
      <c r="C1445" s="254" t="s">
        <v>4521</v>
      </c>
      <c r="D1445" s="255" t="s">
        <v>20774</v>
      </c>
      <c r="E1445" s="253" t="s">
        <v>170</v>
      </c>
    </row>
    <row r="1446" spans="1:5" ht="30">
      <c r="A1446" s="254">
        <v>1562</v>
      </c>
      <c r="B1446" s="254" t="s">
        <v>20878</v>
      </c>
      <c r="C1446" s="254" t="s">
        <v>4521</v>
      </c>
      <c r="D1446" s="255" t="s">
        <v>19412</v>
      </c>
      <c r="E1446" s="253" t="s">
        <v>170</v>
      </c>
    </row>
    <row r="1447" spans="1:5" ht="30">
      <c r="A1447" s="254">
        <v>1563</v>
      </c>
      <c r="B1447" s="254" t="s">
        <v>20879</v>
      </c>
      <c r="C1447" s="254" t="s">
        <v>4521</v>
      </c>
      <c r="D1447" s="256" t="s">
        <v>20643</v>
      </c>
      <c r="E1447" s="253" t="s">
        <v>170</v>
      </c>
    </row>
    <row r="1448" spans="1:5" ht="30">
      <c r="A1448" s="254">
        <v>11856</v>
      </c>
      <c r="B1448" s="254" t="s">
        <v>20880</v>
      </c>
      <c r="C1448" s="254" t="s">
        <v>4521</v>
      </c>
      <c r="D1448" s="256" t="s">
        <v>17007</v>
      </c>
      <c r="E1448" s="253" t="s">
        <v>170</v>
      </c>
    </row>
    <row r="1449" spans="1:5" ht="30">
      <c r="A1449" s="254">
        <v>11857</v>
      </c>
      <c r="B1449" s="254" t="s">
        <v>20881</v>
      </c>
      <c r="C1449" s="254" t="s">
        <v>4521</v>
      </c>
      <c r="D1449" s="255" t="s">
        <v>20882</v>
      </c>
      <c r="E1449" s="253" t="s">
        <v>170</v>
      </c>
    </row>
    <row r="1450" spans="1:5" ht="30">
      <c r="A1450" s="254">
        <v>11858</v>
      </c>
      <c r="B1450" s="254" t="s">
        <v>20883</v>
      </c>
      <c r="C1450" s="254" t="s">
        <v>4521</v>
      </c>
      <c r="D1450" s="256" t="s">
        <v>14532</v>
      </c>
      <c r="E1450" s="253" t="s">
        <v>170</v>
      </c>
    </row>
    <row r="1451" spans="1:5" ht="30">
      <c r="A1451" s="254">
        <v>1539</v>
      </c>
      <c r="B1451" s="254" t="s">
        <v>20884</v>
      </c>
      <c r="C1451" s="254" t="s">
        <v>4521</v>
      </c>
      <c r="D1451" s="255" t="s">
        <v>18138</v>
      </c>
      <c r="E1451" s="253" t="s">
        <v>170</v>
      </c>
    </row>
    <row r="1452" spans="1:5" ht="30">
      <c r="A1452" s="254">
        <v>11859</v>
      </c>
      <c r="B1452" s="254" t="s">
        <v>20885</v>
      </c>
      <c r="C1452" s="254" t="s">
        <v>4521</v>
      </c>
      <c r="D1452" s="256" t="s">
        <v>14463</v>
      </c>
      <c r="E1452" s="253" t="s">
        <v>170</v>
      </c>
    </row>
    <row r="1453" spans="1:5" ht="30">
      <c r="A1453" s="254">
        <v>1550</v>
      </c>
      <c r="B1453" s="254" t="s">
        <v>20886</v>
      </c>
      <c r="C1453" s="254" t="s">
        <v>4521</v>
      </c>
      <c r="D1453" s="255" t="s">
        <v>20887</v>
      </c>
      <c r="E1453" s="253" t="s">
        <v>170</v>
      </c>
    </row>
    <row r="1454" spans="1:5" ht="30">
      <c r="A1454" s="254">
        <v>11854</v>
      </c>
      <c r="B1454" s="254" t="s">
        <v>20888</v>
      </c>
      <c r="C1454" s="254" t="s">
        <v>4521</v>
      </c>
      <c r="D1454" s="255" t="s">
        <v>20889</v>
      </c>
      <c r="E1454" s="253" t="s">
        <v>170</v>
      </c>
    </row>
    <row r="1455" spans="1:5" ht="30">
      <c r="A1455" s="254">
        <v>11862</v>
      </c>
      <c r="B1455" s="254" t="s">
        <v>20890</v>
      </c>
      <c r="C1455" s="254" t="s">
        <v>4521</v>
      </c>
      <c r="D1455" s="255" t="s">
        <v>15744</v>
      </c>
      <c r="E1455" s="253" t="s">
        <v>170</v>
      </c>
    </row>
    <row r="1456" spans="1:5" ht="30">
      <c r="A1456" s="254">
        <v>11863</v>
      </c>
      <c r="B1456" s="254" t="s">
        <v>20891</v>
      </c>
      <c r="C1456" s="254" t="s">
        <v>4521</v>
      </c>
      <c r="D1456" s="255" t="s">
        <v>13847</v>
      </c>
      <c r="E1456" s="253" t="s">
        <v>170</v>
      </c>
    </row>
    <row r="1457" spans="1:5" ht="30">
      <c r="A1457" s="254">
        <v>11855</v>
      </c>
      <c r="B1457" s="254" t="s">
        <v>20892</v>
      </c>
      <c r="C1457" s="254" t="s">
        <v>4521</v>
      </c>
      <c r="D1457" s="255" t="s">
        <v>15938</v>
      </c>
      <c r="E1457" s="253" t="s">
        <v>170</v>
      </c>
    </row>
    <row r="1458" spans="1:5" ht="30">
      <c r="A1458" s="254">
        <v>11864</v>
      </c>
      <c r="B1458" s="254" t="s">
        <v>20893</v>
      </c>
      <c r="C1458" s="254" t="s">
        <v>4521</v>
      </c>
      <c r="D1458" s="255" t="s">
        <v>18004</v>
      </c>
      <c r="E1458" s="253" t="s">
        <v>170</v>
      </c>
    </row>
    <row r="1459" spans="1:5" ht="30">
      <c r="A1459" s="254">
        <v>2527</v>
      </c>
      <c r="B1459" s="254" t="s">
        <v>20894</v>
      </c>
      <c r="C1459" s="254" t="s">
        <v>4521</v>
      </c>
      <c r="D1459" s="255" t="s">
        <v>17543</v>
      </c>
      <c r="E1459" s="253" t="s">
        <v>170</v>
      </c>
    </row>
    <row r="1460" spans="1:5" ht="30">
      <c r="A1460" s="254">
        <v>2526</v>
      </c>
      <c r="B1460" s="254" t="s">
        <v>20895</v>
      </c>
      <c r="C1460" s="254" t="s">
        <v>4521</v>
      </c>
      <c r="D1460" s="255" t="s">
        <v>14053</v>
      </c>
      <c r="E1460" s="253" t="s">
        <v>170</v>
      </c>
    </row>
    <row r="1461" spans="1:5" ht="30">
      <c r="A1461" s="254">
        <v>2487</v>
      </c>
      <c r="B1461" s="254" t="s">
        <v>20896</v>
      </c>
      <c r="C1461" s="254" t="s">
        <v>4521</v>
      </c>
      <c r="D1461" s="255" t="s">
        <v>19016</v>
      </c>
      <c r="E1461" s="253" t="s">
        <v>170</v>
      </c>
    </row>
    <row r="1462" spans="1:5" ht="30">
      <c r="A1462" s="254">
        <v>2483</v>
      </c>
      <c r="B1462" s="254" t="s">
        <v>20897</v>
      </c>
      <c r="C1462" s="254" t="s">
        <v>4521</v>
      </c>
      <c r="D1462" s="255" t="s">
        <v>14144</v>
      </c>
      <c r="E1462" s="253" t="s">
        <v>170</v>
      </c>
    </row>
    <row r="1463" spans="1:5" ht="30">
      <c r="A1463" s="254">
        <v>2528</v>
      </c>
      <c r="B1463" s="254" t="s">
        <v>20898</v>
      </c>
      <c r="C1463" s="254" t="s">
        <v>4521</v>
      </c>
      <c r="D1463" s="255" t="s">
        <v>20899</v>
      </c>
      <c r="E1463" s="253" t="s">
        <v>170</v>
      </c>
    </row>
    <row r="1464" spans="1:5" ht="30">
      <c r="A1464" s="254">
        <v>2489</v>
      </c>
      <c r="B1464" s="254" t="s">
        <v>20900</v>
      </c>
      <c r="C1464" s="254" t="s">
        <v>4521</v>
      </c>
      <c r="D1464" s="255" t="s">
        <v>20901</v>
      </c>
      <c r="E1464" s="253" t="s">
        <v>170</v>
      </c>
    </row>
    <row r="1465" spans="1:5" ht="30">
      <c r="A1465" s="254">
        <v>2488</v>
      </c>
      <c r="B1465" s="254" t="s">
        <v>20902</v>
      </c>
      <c r="C1465" s="254" t="s">
        <v>4521</v>
      </c>
      <c r="D1465" s="255" t="s">
        <v>20903</v>
      </c>
      <c r="E1465" s="253" t="s">
        <v>170</v>
      </c>
    </row>
    <row r="1466" spans="1:5" ht="30">
      <c r="A1466" s="254">
        <v>2484</v>
      </c>
      <c r="B1466" s="254" t="s">
        <v>20904</v>
      </c>
      <c r="C1466" s="254" t="s">
        <v>4521</v>
      </c>
      <c r="D1466" s="255" t="s">
        <v>15392</v>
      </c>
      <c r="E1466" s="253" t="s">
        <v>170</v>
      </c>
    </row>
    <row r="1467" spans="1:5" ht="30">
      <c r="A1467" s="254">
        <v>2485</v>
      </c>
      <c r="B1467" s="254" t="s">
        <v>20905</v>
      </c>
      <c r="C1467" s="254" t="s">
        <v>4521</v>
      </c>
      <c r="D1467" s="255" t="s">
        <v>20906</v>
      </c>
      <c r="E1467" s="253" t="s">
        <v>170</v>
      </c>
    </row>
    <row r="1468" spans="1:5" ht="15">
      <c r="A1468" s="254">
        <v>38005</v>
      </c>
      <c r="B1468" s="254" t="s">
        <v>20907</v>
      </c>
      <c r="C1468" s="254" t="s">
        <v>4521</v>
      </c>
      <c r="D1468" s="256" t="s">
        <v>20908</v>
      </c>
      <c r="E1468" s="253" t="s">
        <v>170</v>
      </c>
    </row>
    <row r="1469" spans="1:5" ht="15">
      <c r="A1469" s="254">
        <v>38006</v>
      </c>
      <c r="B1469" s="254" t="s">
        <v>20909</v>
      </c>
      <c r="C1469" s="254" t="s">
        <v>4521</v>
      </c>
      <c r="D1469" s="256" t="s">
        <v>14262</v>
      </c>
      <c r="E1469" s="253" t="s">
        <v>170</v>
      </c>
    </row>
    <row r="1470" spans="1:5" ht="15">
      <c r="A1470" s="254">
        <v>38428</v>
      </c>
      <c r="B1470" s="254" t="s">
        <v>20910</v>
      </c>
      <c r="C1470" s="254" t="s">
        <v>4521</v>
      </c>
      <c r="D1470" s="255" t="s">
        <v>20911</v>
      </c>
      <c r="E1470" s="253" t="s">
        <v>170</v>
      </c>
    </row>
    <row r="1471" spans="1:5" ht="15">
      <c r="A1471" s="254">
        <v>38007</v>
      </c>
      <c r="B1471" s="254" t="s">
        <v>20912</v>
      </c>
      <c r="C1471" s="254" t="s">
        <v>4521</v>
      </c>
      <c r="D1471" s="255" t="s">
        <v>17921</v>
      </c>
      <c r="E1471" s="253" t="s">
        <v>170</v>
      </c>
    </row>
    <row r="1472" spans="1:5" ht="15">
      <c r="A1472" s="254">
        <v>38008</v>
      </c>
      <c r="B1472" s="254" t="s">
        <v>20913</v>
      </c>
      <c r="C1472" s="254" t="s">
        <v>4521</v>
      </c>
      <c r="D1472" s="255" t="s">
        <v>20914</v>
      </c>
      <c r="E1472" s="253" t="s">
        <v>170</v>
      </c>
    </row>
    <row r="1473" spans="1:5" ht="15">
      <c r="A1473" s="254">
        <v>38009</v>
      </c>
      <c r="B1473" s="254" t="s">
        <v>20915</v>
      </c>
      <c r="C1473" s="254" t="s">
        <v>4521</v>
      </c>
      <c r="D1473" s="255" t="s">
        <v>20916</v>
      </c>
      <c r="E1473" s="253" t="s">
        <v>170</v>
      </c>
    </row>
    <row r="1474" spans="1:5" ht="30">
      <c r="A1474" s="254">
        <v>39279</v>
      </c>
      <c r="B1474" s="254" t="s">
        <v>20917</v>
      </c>
      <c r="C1474" s="254" t="s">
        <v>4521</v>
      </c>
      <c r="D1474" s="255" t="s">
        <v>14268</v>
      </c>
      <c r="E1474" s="253" t="s">
        <v>170</v>
      </c>
    </row>
    <row r="1475" spans="1:5" ht="30">
      <c r="A1475" s="254">
        <v>38845</v>
      </c>
      <c r="B1475" s="254" t="s">
        <v>20918</v>
      </c>
      <c r="C1475" s="254" t="s">
        <v>4521</v>
      </c>
      <c r="D1475" s="255" t="s">
        <v>20919</v>
      </c>
      <c r="E1475" s="253" t="s">
        <v>170</v>
      </c>
    </row>
    <row r="1476" spans="1:5" ht="30">
      <c r="A1476" s="254">
        <v>39280</v>
      </c>
      <c r="B1476" s="254" t="s">
        <v>20920</v>
      </c>
      <c r="C1476" s="254" t="s">
        <v>4521</v>
      </c>
      <c r="D1476" s="255" t="s">
        <v>17660</v>
      </c>
      <c r="E1476" s="253" t="s">
        <v>170</v>
      </c>
    </row>
    <row r="1477" spans="1:5" ht="30">
      <c r="A1477" s="254">
        <v>39281</v>
      </c>
      <c r="B1477" s="254" t="s">
        <v>20921</v>
      </c>
      <c r="C1477" s="254" t="s">
        <v>4521</v>
      </c>
      <c r="D1477" s="255" t="s">
        <v>20922</v>
      </c>
      <c r="E1477" s="253" t="s">
        <v>170</v>
      </c>
    </row>
    <row r="1478" spans="1:5" ht="30">
      <c r="A1478" s="254">
        <v>38849</v>
      </c>
      <c r="B1478" s="254" t="s">
        <v>20923</v>
      </c>
      <c r="C1478" s="254" t="s">
        <v>4521</v>
      </c>
      <c r="D1478" s="255" t="s">
        <v>20924</v>
      </c>
      <c r="E1478" s="253" t="s">
        <v>170</v>
      </c>
    </row>
    <row r="1479" spans="1:5" ht="30">
      <c r="A1479" s="254">
        <v>39282</v>
      </c>
      <c r="B1479" s="254" t="s">
        <v>20925</v>
      </c>
      <c r="C1479" s="254" t="s">
        <v>4521</v>
      </c>
      <c r="D1479" s="255" t="s">
        <v>15780</v>
      </c>
      <c r="E1479" s="253" t="s">
        <v>170</v>
      </c>
    </row>
    <row r="1480" spans="1:5" ht="30">
      <c r="A1480" s="254">
        <v>38852</v>
      </c>
      <c r="B1480" s="254" t="s">
        <v>20926</v>
      </c>
      <c r="C1480" s="254" t="s">
        <v>4521</v>
      </c>
      <c r="D1480" s="255" t="s">
        <v>18567</v>
      </c>
      <c r="E1480" s="253" t="s">
        <v>170</v>
      </c>
    </row>
    <row r="1481" spans="1:5" ht="30">
      <c r="A1481" s="254">
        <v>38844</v>
      </c>
      <c r="B1481" s="254" t="s">
        <v>20927</v>
      </c>
      <c r="C1481" s="254" t="s">
        <v>4521</v>
      </c>
      <c r="D1481" s="255" t="s">
        <v>18145</v>
      </c>
      <c r="E1481" s="253" t="s">
        <v>170</v>
      </c>
    </row>
    <row r="1482" spans="1:5" ht="30">
      <c r="A1482" s="254">
        <v>38846</v>
      </c>
      <c r="B1482" s="254" t="s">
        <v>20928</v>
      </c>
      <c r="C1482" s="254" t="s">
        <v>4521</v>
      </c>
      <c r="D1482" s="255" t="s">
        <v>20929</v>
      </c>
      <c r="E1482" s="253" t="s">
        <v>170</v>
      </c>
    </row>
    <row r="1483" spans="1:5" ht="30">
      <c r="A1483" s="254">
        <v>38847</v>
      </c>
      <c r="B1483" s="254" t="s">
        <v>20930</v>
      </c>
      <c r="C1483" s="254" t="s">
        <v>4521</v>
      </c>
      <c r="D1483" s="255" t="s">
        <v>17209</v>
      </c>
      <c r="E1483" s="253" t="s">
        <v>170</v>
      </c>
    </row>
    <row r="1484" spans="1:5" ht="30">
      <c r="A1484" s="254">
        <v>38850</v>
      </c>
      <c r="B1484" s="254" t="s">
        <v>20931</v>
      </c>
      <c r="C1484" s="254" t="s">
        <v>4521</v>
      </c>
      <c r="D1484" s="255" t="s">
        <v>19418</v>
      </c>
      <c r="E1484" s="253" t="s">
        <v>170</v>
      </c>
    </row>
    <row r="1485" spans="1:5" ht="30">
      <c r="A1485" s="254">
        <v>38848</v>
      </c>
      <c r="B1485" s="254" t="s">
        <v>20932</v>
      </c>
      <c r="C1485" s="254" t="s">
        <v>4521</v>
      </c>
      <c r="D1485" s="255" t="s">
        <v>20911</v>
      </c>
      <c r="E1485" s="253" t="s">
        <v>170</v>
      </c>
    </row>
    <row r="1486" spans="1:5" ht="30">
      <c r="A1486" s="254">
        <v>38851</v>
      </c>
      <c r="B1486" s="254" t="s">
        <v>20933</v>
      </c>
      <c r="C1486" s="254" t="s">
        <v>4521</v>
      </c>
      <c r="D1486" s="255" t="s">
        <v>16493</v>
      </c>
      <c r="E1486" s="253" t="s">
        <v>170</v>
      </c>
    </row>
    <row r="1487" spans="1:5" ht="15">
      <c r="A1487" s="254">
        <v>38860</v>
      </c>
      <c r="B1487" s="254" t="s">
        <v>20934</v>
      </c>
      <c r="C1487" s="254" t="s">
        <v>4521</v>
      </c>
      <c r="D1487" s="255" t="s">
        <v>17001</v>
      </c>
      <c r="E1487" s="253" t="s">
        <v>170</v>
      </c>
    </row>
    <row r="1488" spans="1:5" ht="15">
      <c r="A1488" s="254">
        <v>38861</v>
      </c>
      <c r="B1488" s="254" t="s">
        <v>20935</v>
      </c>
      <c r="C1488" s="254" t="s">
        <v>4521</v>
      </c>
      <c r="D1488" s="255" t="s">
        <v>13888</v>
      </c>
      <c r="E1488" s="253" t="s">
        <v>170</v>
      </c>
    </row>
    <row r="1489" spans="1:5" ht="15">
      <c r="A1489" s="254">
        <v>38862</v>
      </c>
      <c r="B1489" s="254" t="s">
        <v>20936</v>
      </c>
      <c r="C1489" s="254" t="s">
        <v>4521</v>
      </c>
      <c r="D1489" s="255" t="s">
        <v>20937</v>
      </c>
      <c r="E1489" s="253" t="s">
        <v>170</v>
      </c>
    </row>
    <row r="1490" spans="1:5" ht="15">
      <c r="A1490" s="254">
        <v>38863</v>
      </c>
      <c r="B1490" s="254" t="s">
        <v>20938</v>
      </c>
      <c r="C1490" s="254" t="s">
        <v>4521</v>
      </c>
      <c r="D1490" s="255" t="s">
        <v>15273</v>
      </c>
      <c r="E1490" s="253" t="s">
        <v>170</v>
      </c>
    </row>
    <row r="1491" spans="1:5" ht="15">
      <c r="A1491" s="254">
        <v>38865</v>
      </c>
      <c r="B1491" s="254" t="s">
        <v>20939</v>
      </c>
      <c r="C1491" s="254" t="s">
        <v>4521</v>
      </c>
      <c r="D1491" s="255" t="s">
        <v>15440</v>
      </c>
      <c r="E1491" s="253" t="s">
        <v>170</v>
      </c>
    </row>
    <row r="1492" spans="1:5" ht="15">
      <c r="A1492" s="254">
        <v>38864</v>
      </c>
      <c r="B1492" s="254" t="s">
        <v>20940</v>
      </c>
      <c r="C1492" s="254" t="s">
        <v>4521</v>
      </c>
      <c r="D1492" s="255" t="s">
        <v>16242</v>
      </c>
      <c r="E1492" s="253" t="s">
        <v>170</v>
      </c>
    </row>
    <row r="1493" spans="1:5" ht="15">
      <c r="A1493" s="254">
        <v>38866</v>
      </c>
      <c r="B1493" s="254" t="s">
        <v>20941</v>
      </c>
      <c r="C1493" s="254" t="s">
        <v>4521</v>
      </c>
      <c r="D1493" s="255" t="s">
        <v>17625</v>
      </c>
      <c r="E1493" s="253" t="s">
        <v>170</v>
      </c>
    </row>
    <row r="1494" spans="1:5" ht="15">
      <c r="A1494" s="254">
        <v>38868</v>
      </c>
      <c r="B1494" s="254" t="s">
        <v>20942</v>
      </c>
      <c r="C1494" s="254" t="s">
        <v>4521</v>
      </c>
      <c r="D1494" s="255" t="s">
        <v>20943</v>
      </c>
      <c r="E1494" s="253" t="s">
        <v>170</v>
      </c>
    </row>
    <row r="1495" spans="1:5" ht="30">
      <c r="A1495" s="254">
        <v>38853</v>
      </c>
      <c r="B1495" s="254" t="s">
        <v>20944</v>
      </c>
      <c r="C1495" s="254" t="s">
        <v>4521</v>
      </c>
      <c r="D1495" s="255" t="s">
        <v>17671</v>
      </c>
      <c r="E1495" s="253" t="s">
        <v>170</v>
      </c>
    </row>
    <row r="1496" spans="1:5" ht="30">
      <c r="A1496" s="254">
        <v>38854</v>
      </c>
      <c r="B1496" s="254" t="s">
        <v>20945</v>
      </c>
      <c r="C1496" s="254" t="s">
        <v>4521</v>
      </c>
      <c r="D1496" s="255" t="s">
        <v>20946</v>
      </c>
      <c r="E1496" s="253" t="s">
        <v>170</v>
      </c>
    </row>
    <row r="1497" spans="1:5" ht="30">
      <c r="A1497" s="254">
        <v>38855</v>
      </c>
      <c r="B1497" s="254" t="s">
        <v>20947</v>
      </c>
      <c r="C1497" s="254" t="s">
        <v>4521</v>
      </c>
      <c r="D1497" s="255" t="s">
        <v>16429</v>
      </c>
      <c r="E1497" s="253" t="s">
        <v>170</v>
      </c>
    </row>
    <row r="1498" spans="1:5" ht="30">
      <c r="A1498" s="254">
        <v>38856</v>
      </c>
      <c r="B1498" s="254" t="s">
        <v>20948</v>
      </c>
      <c r="C1498" s="254" t="s">
        <v>4521</v>
      </c>
      <c r="D1498" s="255" t="s">
        <v>16658</v>
      </c>
      <c r="E1498" s="253" t="s">
        <v>170</v>
      </c>
    </row>
    <row r="1499" spans="1:5" ht="30">
      <c r="A1499" s="254">
        <v>38857</v>
      </c>
      <c r="B1499" s="254" t="s">
        <v>20949</v>
      </c>
      <c r="C1499" s="254" t="s">
        <v>4521</v>
      </c>
      <c r="D1499" s="255" t="s">
        <v>15746</v>
      </c>
      <c r="E1499" s="253" t="s">
        <v>170</v>
      </c>
    </row>
    <row r="1500" spans="1:5" ht="30">
      <c r="A1500" s="254">
        <v>38858</v>
      </c>
      <c r="B1500" s="254" t="s">
        <v>20950</v>
      </c>
      <c r="C1500" s="254" t="s">
        <v>4521</v>
      </c>
      <c r="D1500" s="255" t="s">
        <v>15788</v>
      </c>
      <c r="E1500" s="253" t="s">
        <v>170</v>
      </c>
    </row>
    <row r="1501" spans="1:5" ht="30">
      <c r="A1501" s="254">
        <v>38859</v>
      </c>
      <c r="B1501" s="254" t="s">
        <v>20951</v>
      </c>
      <c r="C1501" s="254" t="s">
        <v>4521</v>
      </c>
      <c r="D1501" s="255" t="s">
        <v>16885</v>
      </c>
      <c r="E1501" s="253" t="s">
        <v>170</v>
      </c>
    </row>
    <row r="1502" spans="1:5" ht="30">
      <c r="A1502" s="254">
        <v>1607</v>
      </c>
      <c r="B1502" s="254" t="s">
        <v>20952</v>
      </c>
      <c r="C1502" s="254" t="s">
        <v>4535</v>
      </c>
      <c r="D1502" s="255" t="s">
        <v>14279</v>
      </c>
      <c r="E1502" s="253" t="s">
        <v>170</v>
      </c>
    </row>
    <row r="1503" spans="1:5" ht="30">
      <c r="A1503" s="254">
        <v>11467</v>
      </c>
      <c r="B1503" s="254" t="s">
        <v>20953</v>
      </c>
      <c r="C1503" s="254" t="s">
        <v>4521</v>
      </c>
      <c r="D1503" s="255" t="s">
        <v>20954</v>
      </c>
      <c r="E1503" s="253" t="s">
        <v>170</v>
      </c>
    </row>
    <row r="1504" spans="1:5" ht="30">
      <c r="A1504" s="254">
        <v>38169</v>
      </c>
      <c r="B1504" s="254" t="s">
        <v>20955</v>
      </c>
      <c r="C1504" s="254" t="s">
        <v>4535</v>
      </c>
      <c r="D1504" s="255" t="s">
        <v>20956</v>
      </c>
      <c r="E1504" s="253" t="s">
        <v>170</v>
      </c>
    </row>
    <row r="1505" spans="1:5" ht="30">
      <c r="A1505" s="254">
        <v>6142</v>
      </c>
      <c r="B1505" s="254" t="s">
        <v>20957</v>
      </c>
      <c r="C1505" s="254" t="s">
        <v>4521</v>
      </c>
      <c r="D1505" s="255" t="s">
        <v>16593</v>
      </c>
      <c r="E1505" s="253" t="s">
        <v>170</v>
      </c>
    </row>
    <row r="1506" spans="1:5" ht="30">
      <c r="A1506" s="254">
        <v>11686</v>
      </c>
      <c r="B1506" s="254" t="s">
        <v>20958</v>
      </c>
      <c r="C1506" s="254" t="s">
        <v>4521</v>
      </c>
      <c r="D1506" s="255" t="s">
        <v>16054</v>
      </c>
      <c r="E1506" s="253" t="s">
        <v>170</v>
      </c>
    </row>
    <row r="1507" spans="1:5" ht="30">
      <c r="A1507" s="254">
        <v>37598</v>
      </c>
      <c r="B1507" s="254" t="s">
        <v>20959</v>
      </c>
      <c r="C1507" s="254" t="s">
        <v>4521</v>
      </c>
      <c r="D1507" s="255" t="s">
        <v>15978</v>
      </c>
      <c r="E1507" s="253" t="s">
        <v>170</v>
      </c>
    </row>
    <row r="1508" spans="1:5" ht="45">
      <c r="A1508" s="254">
        <v>25398</v>
      </c>
      <c r="B1508" s="254" t="s">
        <v>20960</v>
      </c>
      <c r="C1508" s="254" t="s">
        <v>4521</v>
      </c>
      <c r="D1508" s="255" t="s">
        <v>20961</v>
      </c>
      <c r="E1508" s="253" t="s">
        <v>170</v>
      </c>
    </row>
    <row r="1509" spans="1:5" ht="45">
      <c r="A1509" s="254">
        <v>25399</v>
      </c>
      <c r="B1509" s="254" t="s">
        <v>20962</v>
      </c>
      <c r="C1509" s="254" t="s">
        <v>4521</v>
      </c>
      <c r="D1509" s="255" t="s">
        <v>20963</v>
      </c>
      <c r="E1509" s="253" t="s">
        <v>170</v>
      </c>
    </row>
    <row r="1510" spans="1:5" ht="45">
      <c r="A1510" s="254">
        <v>10667</v>
      </c>
      <c r="B1510" s="254" t="s">
        <v>20964</v>
      </c>
      <c r="C1510" s="254" t="s">
        <v>4521</v>
      </c>
      <c r="D1510" s="255" t="s">
        <v>20965</v>
      </c>
      <c r="E1510" s="253" t="s">
        <v>170</v>
      </c>
    </row>
    <row r="1511" spans="1:5" ht="30">
      <c r="A1511" s="254">
        <v>1613</v>
      </c>
      <c r="B1511" s="254" t="s">
        <v>20966</v>
      </c>
      <c r="C1511" s="254" t="s">
        <v>4521</v>
      </c>
      <c r="D1511" s="255" t="s">
        <v>20967</v>
      </c>
      <c r="E1511" s="253" t="s">
        <v>170</v>
      </c>
    </row>
    <row r="1512" spans="1:5" ht="30">
      <c r="A1512" s="254">
        <v>1626</v>
      </c>
      <c r="B1512" s="254" t="s">
        <v>20968</v>
      </c>
      <c r="C1512" s="254" t="s">
        <v>4521</v>
      </c>
      <c r="D1512" s="255" t="s">
        <v>20969</v>
      </c>
      <c r="E1512" s="253" t="s">
        <v>170</v>
      </c>
    </row>
    <row r="1513" spans="1:5" ht="30">
      <c r="A1513" s="254">
        <v>1625</v>
      </c>
      <c r="B1513" s="254" t="s">
        <v>20970</v>
      </c>
      <c r="C1513" s="254" t="s">
        <v>4521</v>
      </c>
      <c r="D1513" s="255" t="s">
        <v>16975</v>
      </c>
      <c r="E1513" s="253" t="s">
        <v>170</v>
      </c>
    </row>
    <row r="1514" spans="1:5" ht="30">
      <c r="A1514" s="254">
        <v>1622</v>
      </c>
      <c r="B1514" s="254" t="s">
        <v>20971</v>
      </c>
      <c r="C1514" s="254" t="s">
        <v>4521</v>
      </c>
      <c r="D1514" s="255" t="s">
        <v>20972</v>
      </c>
      <c r="E1514" s="253" t="s">
        <v>170</v>
      </c>
    </row>
    <row r="1515" spans="1:5" ht="30">
      <c r="A1515" s="254">
        <v>1620</v>
      </c>
      <c r="B1515" s="254" t="s">
        <v>20973</v>
      </c>
      <c r="C1515" s="254" t="s">
        <v>4521</v>
      </c>
      <c r="D1515" s="255" t="s">
        <v>20974</v>
      </c>
      <c r="E1515" s="253" t="s">
        <v>170</v>
      </c>
    </row>
    <row r="1516" spans="1:5" ht="30">
      <c r="A1516" s="254">
        <v>1629</v>
      </c>
      <c r="B1516" s="254" t="s">
        <v>20975</v>
      </c>
      <c r="C1516" s="254" t="s">
        <v>4521</v>
      </c>
      <c r="D1516" s="255" t="s">
        <v>20976</v>
      </c>
      <c r="E1516" s="253" t="s">
        <v>170</v>
      </c>
    </row>
    <row r="1517" spans="1:5" ht="30">
      <c r="A1517" s="254">
        <v>1627</v>
      </c>
      <c r="B1517" s="254" t="s">
        <v>20977</v>
      </c>
      <c r="C1517" s="254" t="s">
        <v>4521</v>
      </c>
      <c r="D1517" s="255" t="s">
        <v>20978</v>
      </c>
      <c r="E1517" s="253" t="s">
        <v>170</v>
      </c>
    </row>
    <row r="1518" spans="1:5" ht="30">
      <c r="A1518" s="254">
        <v>1623</v>
      </c>
      <c r="B1518" s="254" t="s">
        <v>20979</v>
      </c>
      <c r="C1518" s="254" t="s">
        <v>4521</v>
      </c>
      <c r="D1518" s="255" t="s">
        <v>20980</v>
      </c>
      <c r="E1518" s="253" t="s">
        <v>170</v>
      </c>
    </row>
    <row r="1519" spans="1:5" ht="30">
      <c r="A1519" s="254">
        <v>1619</v>
      </c>
      <c r="B1519" s="254" t="s">
        <v>20981</v>
      </c>
      <c r="C1519" s="254" t="s">
        <v>4521</v>
      </c>
      <c r="D1519" s="255" t="s">
        <v>20982</v>
      </c>
      <c r="E1519" s="253" t="s">
        <v>170</v>
      </c>
    </row>
    <row r="1520" spans="1:5" ht="30">
      <c r="A1520" s="254">
        <v>1630</v>
      </c>
      <c r="B1520" s="254" t="s">
        <v>20983</v>
      </c>
      <c r="C1520" s="254" t="s">
        <v>4521</v>
      </c>
      <c r="D1520" s="255" t="s">
        <v>20984</v>
      </c>
      <c r="E1520" s="253" t="s">
        <v>170</v>
      </c>
    </row>
    <row r="1521" spans="1:5" ht="30">
      <c r="A1521" s="254">
        <v>1616</v>
      </c>
      <c r="B1521" s="254" t="s">
        <v>20985</v>
      </c>
      <c r="C1521" s="254" t="s">
        <v>4521</v>
      </c>
      <c r="D1521" s="255" t="s">
        <v>20986</v>
      </c>
      <c r="E1521" s="253" t="s">
        <v>170</v>
      </c>
    </row>
    <row r="1522" spans="1:5" ht="30">
      <c r="A1522" s="254">
        <v>1614</v>
      </c>
      <c r="B1522" s="254" t="s">
        <v>20987</v>
      </c>
      <c r="C1522" s="254" t="s">
        <v>4521</v>
      </c>
      <c r="D1522" s="255" t="s">
        <v>20988</v>
      </c>
      <c r="E1522" s="253" t="s">
        <v>170</v>
      </c>
    </row>
    <row r="1523" spans="1:5" ht="30">
      <c r="A1523" s="254">
        <v>1617</v>
      </c>
      <c r="B1523" s="254" t="s">
        <v>20989</v>
      </c>
      <c r="C1523" s="254" t="s">
        <v>4521</v>
      </c>
      <c r="D1523" s="255" t="s">
        <v>20990</v>
      </c>
      <c r="E1523" s="253" t="s">
        <v>170</v>
      </c>
    </row>
    <row r="1524" spans="1:5" ht="30">
      <c r="A1524" s="254">
        <v>1621</v>
      </c>
      <c r="B1524" s="254" t="s">
        <v>20991</v>
      </c>
      <c r="C1524" s="254" t="s">
        <v>4521</v>
      </c>
      <c r="D1524" s="255" t="s">
        <v>20992</v>
      </c>
      <c r="E1524" s="253" t="s">
        <v>170</v>
      </c>
    </row>
    <row r="1525" spans="1:5" ht="30">
      <c r="A1525" s="254">
        <v>1624</v>
      </c>
      <c r="B1525" s="254" t="s">
        <v>20993</v>
      </c>
      <c r="C1525" s="254" t="s">
        <v>4521</v>
      </c>
      <c r="D1525" s="256" t="s">
        <v>20994</v>
      </c>
      <c r="E1525" s="253" t="s">
        <v>170</v>
      </c>
    </row>
    <row r="1526" spans="1:5" ht="30">
      <c r="A1526" s="254">
        <v>1615</v>
      </c>
      <c r="B1526" s="254" t="s">
        <v>20995</v>
      </c>
      <c r="C1526" s="254" t="s">
        <v>4521</v>
      </c>
      <c r="D1526" s="255" t="s">
        <v>20996</v>
      </c>
      <c r="E1526" s="253" t="s">
        <v>170</v>
      </c>
    </row>
    <row r="1527" spans="1:5" ht="30">
      <c r="A1527" s="254">
        <v>1612</v>
      </c>
      <c r="B1527" s="254" t="s">
        <v>20997</v>
      </c>
      <c r="C1527" s="254" t="s">
        <v>4521</v>
      </c>
      <c r="D1527" s="255" t="s">
        <v>20998</v>
      </c>
      <c r="E1527" s="253" t="s">
        <v>170</v>
      </c>
    </row>
    <row r="1528" spans="1:5" ht="30">
      <c r="A1528" s="254">
        <v>1618</v>
      </c>
      <c r="B1528" s="254" t="s">
        <v>20999</v>
      </c>
      <c r="C1528" s="254" t="s">
        <v>4521</v>
      </c>
      <c r="D1528" s="255" t="s">
        <v>21000</v>
      </c>
      <c r="E1528" s="253" t="s">
        <v>170</v>
      </c>
    </row>
    <row r="1529" spans="1:5" ht="15">
      <c r="A1529" s="254">
        <v>14211</v>
      </c>
      <c r="B1529" s="254" t="s">
        <v>21001</v>
      </c>
      <c r="C1529" s="254" t="s">
        <v>4521</v>
      </c>
      <c r="D1529" s="255" t="s">
        <v>19926</v>
      </c>
      <c r="E1529" s="253" t="s">
        <v>170</v>
      </c>
    </row>
    <row r="1530" spans="1:5" ht="15">
      <c r="A1530" s="254">
        <v>34500</v>
      </c>
      <c r="B1530" s="254" t="s">
        <v>21002</v>
      </c>
      <c r="C1530" s="254" t="s">
        <v>4520</v>
      </c>
      <c r="D1530" s="255" t="s">
        <v>21003</v>
      </c>
      <c r="E1530" s="253" t="s">
        <v>8722</v>
      </c>
    </row>
    <row r="1531" spans="1:5" ht="15">
      <c r="A1531" s="254">
        <v>40934</v>
      </c>
      <c r="B1531" s="254" t="s">
        <v>21004</v>
      </c>
      <c r="C1531" s="254" t="s">
        <v>4528</v>
      </c>
      <c r="D1531" s="255" t="s">
        <v>21005</v>
      </c>
      <c r="E1531" s="253" t="s">
        <v>8722</v>
      </c>
    </row>
    <row r="1532" spans="1:5" ht="15">
      <c r="A1532" s="254">
        <v>5328</v>
      </c>
      <c r="B1532" s="254" t="s">
        <v>21006</v>
      </c>
      <c r="C1532" s="254" t="s">
        <v>4521</v>
      </c>
      <c r="D1532" s="255" t="s">
        <v>21007</v>
      </c>
      <c r="E1532" s="253" t="s">
        <v>170</v>
      </c>
    </row>
    <row r="1533" spans="1:5" ht="15">
      <c r="A1533" s="254">
        <v>38200</v>
      </c>
      <c r="B1533" s="254" t="s">
        <v>21008</v>
      </c>
      <c r="C1533" s="254" t="s">
        <v>4536</v>
      </c>
      <c r="D1533" s="255" t="s">
        <v>21009</v>
      </c>
      <c r="E1533" s="253" t="s">
        <v>170</v>
      </c>
    </row>
    <row r="1534" spans="1:5" ht="30">
      <c r="A1534" s="254">
        <v>39269</v>
      </c>
      <c r="B1534" s="254" t="s">
        <v>21010</v>
      </c>
      <c r="C1534" s="254" t="s">
        <v>4524</v>
      </c>
      <c r="D1534" s="255" t="s">
        <v>17874</v>
      </c>
      <c r="E1534" s="253" t="s">
        <v>170</v>
      </c>
    </row>
    <row r="1535" spans="1:5" ht="30">
      <c r="A1535" s="254">
        <v>11889</v>
      </c>
      <c r="B1535" s="254" t="s">
        <v>21011</v>
      </c>
      <c r="C1535" s="254" t="s">
        <v>4524</v>
      </c>
      <c r="D1535" s="255" t="s">
        <v>13669</v>
      </c>
      <c r="E1535" s="253" t="s">
        <v>170</v>
      </c>
    </row>
    <row r="1536" spans="1:5" ht="30">
      <c r="A1536" s="254">
        <v>39270</v>
      </c>
      <c r="B1536" s="254" t="s">
        <v>21012</v>
      </c>
      <c r="C1536" s="254" t="s">
        <v>4524</v>
      </c>
      <c r="D1536" s="255" t="s">
        <v>14482</v>
      </c>
      <c r="E1536" s="253" t="s">
        <v>170</v>
      </c>
    </row>
    <row r="1537" spans="1:5" ht="30">
      <c r="A1537" s="254">
        <v>11890</v>
      </c>
      <c r="B1537" s="254" t="s">
        <v>21013</v>
      </c>
      <c r="C1537" s="254" t="s">
        <v>4524</v>
      </c>
      <c r="D1537" s="255" t="s">
        <v>14376</v>
      </c>
      <c r="E1537" s="253" t="s">
        <v>170</v>
      </c>
    </row>
    <row r="1538" spans="1:5" ht="30">
      <c r="A1538" s="254">
        <v>11891</v>
      </c>
      <c r="B1538" s="254" t="s">
        <v>21014</v>
      </c>
      <c r="C1538" s="254" t="s">
        <v>4524</v>
      </c>
      <c r="D1538" s="255" t="s">
        <v>14331</v>
      </c>
      <c r="E1538" s="253" t="s">
        <v>170</v>
      </c>
    </row>
    <row r="1539" spans="1:5" ht="30">
      <c r="A1539" s="254">
        <v>11892</v>
      </c>
      <c r="B1539" s="254" t="s">
        <v>21015</v>
      </c>
      <c r="C1539" s="254" t="s">
        <v>4524</v>
      </c>
      <c r="D1539" s="255" t="s">
        <v>15727</v>
      </c>
      <c r="E1539" s="253" t="s">
        <v>170</v>
      </c>
    </row>
    <row r="1540" spans="1:5" ht="15">
      <c r="A1540" s="254">
        <v>37601</v>
      </c>
      <c r="B1540" s="254" t="s">
        <v>21016</v>
      </c>
      <c r="C1540" s="254" t="s">
        <v>4524</v>
      </c>
      <c r="D1540" s="255" t="s">
        <v>21017</v>
      </c>
      <c r="E1540" s="253" t="s">
        <v>170</v>
      </c>
    </row>
    <row r="1541" spans="1:5" ht="15">
      <c r="A1541" s="254">
        <v>1634</v>
      </c>
      <c r="B1541" s="254" t="s">
        <v>21018</v>
      </c>
      <c r="C1541" s="254" t="s">
        <v>4524</v>
      </c>
      <c r="D1541" s="255" t="s">
        <v>21019</v>
      </c>
      <c r="E1541" s="253" t="s">
        <v>170</v>
      </c>
    </row>
    <row r="1542" spans="1:5" ht="30">
      <c r="A1542" s="254">
        <v>5086</v>
      </c>
      <c r="B1542" s="254" t="s">
        <v>21020</v>
      </c>
      <c r="C1542" s="254" t="s">
        <v>4525</v>
      </c>
      <c r="D1542" s="255" t="s">
        <v>17122</v>
      </c>
      <c r="E1542" s="253" t="s">
        <v>170</v>
      </c>
    </row>
    <row r="1543" spans="1:5" ht="30">
      <c r="A1543" s="254">
        <v>11280</v>
      </c>
      <c r="B1543" s="254" t="s">
        <v>21021</v>
      </c>
      <c r="C1543" s="254" t="s">
        <v>4521</v>
      </c>
      <c r="D1543" s="255" t="s">
        <v>21022</v>
      </c>
      <c r="E1543" s="253" t="s">
        <v>170</v>
      </c>
    </row>
    <row r="1544" spans="1:5" ht="30">
      <c r="A1544" s="254">
        <v>40519</v>
      </c>
      <c r="B1544" s="254" t="s">
        <v>21023</v>
      </c>
      <c r="C1544" s="254" t="s">
        <v>4521</v>
      </c>
      <c r="D1544" s="255" t="s">
        <v>21024</v>
      </c>
      <c r="E1544" s="253" t="s">
        <v>170</v>
      </c>
    </row>
    <row r="1545" spans="1:5" ht="30">
      <c r="A1545" s="254">
        <v>39869</v>
      </c>
      <c r="B1545" s="254" t="s">
        <v>21025</v>
      </c>
      <c r="C1545" s="254" t="s">
        <v>4521</v>
      </c>
      <c r="D1545" s="255" t="s">
        <v>16452</v>
      </c>
      <c r="E1545" s="253" t="s">
        <v>170</v>
      </c>
    </row>
    <row r="1546" spans="1:5" ht="30">
      <c r="A1546" s="254">
        <v>39870</v>
      </c>
      <c r="B1546" s="254" t="s">
        <v>21026</v>
      </c>
      <c r="C1546" s="254" t="s">
        <v>4521</v>
      </c>
      <c r="D1546" s="255" t="s">
        <v>21027</v>
      </c>
      <c r="E1546" s="253" t="s">
        <v>170</v>
      </c>
    </row>
    <row r="1547" spans="1:5" ht="30">
      <c r="A1547" s="254">
        <v>39871</v>
      </c>
      <c r="B1547" s="254" t="s">
        <v>21028</v>
      </c>
      <c r="C1547" s="254" t="s">
        <v>4521</v>
      </c>
      <c r="D1547" s="255" t="s">
        <v>16570</v>
      </c>
      <c r="E1547" s="253" t="s">
        <v>170</v>
      </c>
    </row>
    <row r="1548" spans="1:5" ht="30">
      <c r="A1548" s="254">
        <v>12722</v>
      </c>
      <c r="B1548" s="254" t="s">
        <v>21029</v>
      </c>
      <c r="C1548" s="254" t="s">
        <v>4521</v>
      </c>
      <c r="D1548" s="255" t="s">
        <v>21030</v>
      </c>
      <c r="E1548" s="253" t="s">
        <v>170</v>
      </c>
    </row>
    <row r="1549" spans="1:5" ht="30">
      <c r="A1549" s="254">
        <v>12714</v>
      </c>
      <c r="B1549" s="254" t="s">
        <v>21031</v>
      </c>
      <c r="C1549" s="254" t="s">
        <v>4521</v>
      </c>
      <c r="D1549" s="255" t="s">
        <v>14372</v>
      </c>
      <c r="E1549" s="253" t="s">
        <v>170</v>
      </c>
    </row>
    <row r="1550" spans="1:5" ht="30">
      <c r="A1550" s="254">
        <v>12715</v>
      </c>
      <c r="B1550" s="254" t="s">
        <v>21032</v>
      </c>
      <c r="C1550" s="254" t="s">
        <v>4521</v>
      </c>
      <c r="D1550" s="255" t="s">
        <v>15478</v>
      </c>
      <c r="E1550" s="253" t="s">
        <v>170</v>
      </c>
    </row>
    <row r="1551" spans="1:5" ht="30">
      <c r="A1551" s="254">
        <v>12716</v>
      </c>
      <c r="B1551" s="254" t="s">
        <v>21033</v>
      </c>
      <c r="C1551" s="254" t="s">
        <v>4521</v>
      </c>
      <c r="D1551" s="255" t="s">
        <v>18482</v>
      </c>
      <c r="E1551" s="253" t="s">
        <v>170</v>
      </c>
    </row>
    <row r="1552" spans="1:5" ht="30">
      <c r="A1552" s="254">
        <v>12717</v>
      </c>
      <c r="B1552" s="254" t="s">
        <v>21034</v>
      </c>
      <c r="C1552" s="254" t="s">
        <v>4521</v>
      </c>
      <c r="D1552" s="255" t="s">
        <v>16669</v>
      </c>
      <c r="E1552" s="253" t="s">
        <v>170</v>
      </c>
    </row>
    <row r="1553" spans="1:5" ht="30">
      <c r="A1553" s="254">
        <v>12718</v>
      </c>
      <c r="B1553" s="254" t="s">
        <v>21035</v>
      </c>
      <c r="C1553" s="254" t="s">
        <v>4521</v>
      </c>
      <c r="D1553" s="255" t="s">
        <v>16509</v>
      </c>
      <c r="E1553" s="253" t="s">
        <v>170</v>
      </c>
    </row>
    <row r="1554" spans="1:5" ht="30">
      <c r="A1554" s="254">
        <v>12719</v>
      </c>
      <c r="B1554" s="254" t="s">
        <v>21036</v>
      </c>
      <c r="C1554" s="254" t="s">
        <v>4521</v>
      </c>
      <c r="D1554" s="255" t="s">
        <v>21037</v>
      </c>
      <c r="E1554" s="253" t="s">
        <v>170</v>
      </c>
    </row>
    <row r="1555" spans="1:5" ht="30">
      <c r="A1555" s="254">
        <v>12720</v>
      </c>
      <c r="B1555" s="254" t="s">
        <v>21038</v>
      </c>
      <c r="C1555" s="254" t="s">
        <v>4521</v>
      </c>
      <c r="D1555" s="255" t="s">
        <v>21039</v>
      </c>
      <c r="E1555" s="253" t="s">
        <v>170</v>
      </c>
    </row>
    <row r="1556" spans="1:5" ht="30">
      <c r="A1556" s="254">
        <v>12721</v>
      </c>
      <c r="B1556" s="254" t="s">
        <v>21040</v>
      </c>
      <c r="C1556" s="254" t="s">
        <v>4521</v>
      </c>
      <c r="D1556" s="255" t="s">
        <v>21041</v>
      </c>
      <c r="E1556" s="253" t="s">
        <v>170</v>
      </c>
    </row>
    <row r="1557" spans="1:5" ht="30">
      <c r="A1557" s="254">
        <v>3468</v>
      </c>
      <c r="B1557" s="254" t="s">
        <v>21042</v>
      </c>
      <c r="C1557" s="254" t="s">
        <v>4521</v>
      </c>
      <c r="D1557" s="255" t="s">
        <v>21043</v>
      </c>
      <c r="E1557" s="253" t="s">
        <v>170</v>
      </c>
    </row>
    <row r="1558" spans="1:5" ht="30">
      <c r="A1558" s="254">
        <v>3465</v>
      </c>
      <c r="B1558" s="254" t="s">
        <v>21044</v>
      </c>
      <c r="C1558" s="254" t="s">
        <v>4521</v>
      </c>
      <c r="D1558" s="255" t="s">
        <v>21045</v>
      </c>
      <c r="E1558" s="253" t="s">
        <v>170</v>
      </c>
    </row>
    <row r="1559" spans="1:5" ht="30">
      <c r="A1559" s="254">
        <v>12403</v>
      </c>
      <c r="B1559" s="254" t="s">
        <v>21046</v>
      </c>
      <c r="C1559" s="254" t="s">
        <v>4521</v>
      </c>
      <c r="D1559" s="255" t="s">
        <v>21047</v>
      </c>
      <c r="E1559" s="253" t="s">
        <v>170</v>
      </c>
    </row>
    <row r="1560" spans="1:5" ht="30">
      <c r="A1560" s="254">
        <v>3463</v>
      </c>
      <c r="B1560" s="254" t="s">
        <v>21048</v>
      </c>
      <c r="C1560" s="254" t="s">
        <v>4521</v>
      </c>
      <c r="D1560" s="255" t="s">
        <v>16532</v>
      </c>
      <c r="E1560" s="253" t="s">
        <v>170</v>
      </c>
    </row>
    <row r="1561" spans="1:5" ht="30">
      <c r="A1561" s="254">
        <v>3464</v>
      </c>
      <c r="B1561" s="254" t="s">
        <v>21049</v>
      </c>
      <c r="C1561" s="254" t="s">
        <v>4521</v>
      </c>
      <c r="D1561" s="255" t="s">
        <v>16532</v>
      </c>
      <c r="E1561" s="253" t="s">
        <v>170</v>
      </c>
    </row>
    <row r="1562" spans="1:5" ht="30">
      <c r="A1562" s="254">
        <v>3466</v>
      </c>
      <c r="B1562" s="254" t="s">
        <v>21050</v>
      </c>
      <c r="C1562" s="254" t="s">
        <v>4521</v>
      </c>
      <c r="D1562" s="255" t="s">
        <v>17459</v>
      </c>
      <c r="E1562" s="253" t="s">
        <v>170</v>
      </c>
    </row>
    <row r="1563" spans="1:5" ht="30">
      <c r="A1563" s="254">
        <v>3467</v>
      </c>
      <c r="B1563" s="254" t="s">
        <v>21051</v>
      </c>
      <c r="C1563" s="254" t="s">
        <v>4521</v>
      </c>
      <c r="D1563" s="255" t="s">
        <v>21052</v>
      </c>
      <c r="E1563" s="253" t="s">
        <v>170</v>
      </c>
    </row>
    <row r="1564" spans="1:5" ht="30">
      <c r="A1564" s="254">
        <v>3462</v>
      </c>
      <c r="B1564" s="254" t="s">
        <v>21053</v>
      </c>
      <c r="C1564" s="254" t="s">
        <v>4521</v>
      </c>
      <c r="D1564" s="255" t="s">
        <v>13633</v>
      </c>
      <c r="E1564" s="253" t="s">
        <v>170</v>
      </c>
    </row>
    <row r="1565" spans="1:5" ht="15">
      <c r="A1565" s="254">
        <v>3446</v>
      </c>
      <c r="B1565" s="254" t="s">
        <v>21054</v>
      </c>
      <c r="C1565" s="254" t="s">
        <v>4521</v>
      </c>
      <c r="D1565" s="255" t="s">
        <v>14535</v>
      </c>
      <c r="E1565" s="253" t="s">
        <v>170</v>
      </c>
    </row>
    <row r="1566" spans="1:5" ht="15">
      <c r="A1566" s="254">
        <v>3445</v>
      </c>
      <c r="B1566" s="254" t="s">
        <v>21055</v>
      </c>
      <c r="C1566" s="254" t="s">
        <v>4521</v>
      </c>
      <c r="D1566" s="255" t="s">
        <v>21056</v>
      </c>
      <c r="E1566" s="253" t="s">
        <v>170</v>
      </c>
    </row>
    <row r="1567" spans="1:5" ht="15">
      <c r="A1567" s="254">
        <v>3441</v>
      </c>
      <c r="B1567" s="254" t="s">
        <v>21057</v>
      </c>
      <c r="C1567" s="254" t="s">
        <v>4521</v>
      </c>
      <c r="D1567" s="255" t="s">
        <v>14054</v>
      </c>
      <c r="E1567" s="253" t="s">
        <v>170</v>
      </c>
    </row>
    <row r="1568" spans="1:5" ht="15">
      <c r="A1568" s="254">
        <v>3444</v>
      </c>
      <c r="B1568" s="254" t="s">
        <v>21058</v>
      </c>
      <c r="C1568" s="254" t="s">
        <v>4521</v>
      </c>
      <c r="D1568" s="255" t="s">
        <v>14268</v>
      </c>
      <c r="E1568" s="253" t="s">
        <v>170</v>
      </c>
    </row>
    <row r="1569" spans="1:5" ht="15">
      <c r="A1569" s="254">
        <v>12402</v>
      </c>
      <c r="B1569" s="254" t="s">
        <v>21059</v>
      </c>
      <c r="C1569" s="254" t="s">
        <v>4521</v>
      </c>
      <c r="D1569" s="255" t="s">
        <v>21060</v>
      </c>
      <c r="E1569" s="253" t="s">
        <v>170</v>
      </c>
    </row>
    <row r="1570" spans="1:5" ht="15">
      <c r="A1570" s="254">
        <v>3447</v>
      </c>
      <c r="B1570" s="254" t="s">
        <v>21061</v>
      </c>
      <c r="C1570" s="254" t="s">
        <v>4521</v>
      </c>
      <c r="D1570" s="255" t="s">
        <v>21062</v>
      </c>
      <c r="E1570" s="253" t="s">
        <v>170</v>
      </c>
    </row>
    <row r="1571" spans="1:5" ht="15">
      <c r="A1571" s="254">
        <v>3442</v>
      </c>
      <c r="B1571" s="254" t="s">
        <v>21063</v>
      </c>
      <c r="C1571" s="254" t="s">
        <v>4521</v>
      </c>
      <c r="D1571" s="255" t="s">
        <v>17653</v>
      </c>
      <c r="E1571" s="253" t="s">
        <v>170</v>
      </c>
    </row>
    <row r="1572" spans="1:5" ht="15">
      <c r="A1572" s="254">
        <v>3448</v>
      </c>
      <c r="B1572" s="254" t="s">
        <v>21064</v>
      </c>
      <c r="C1572" s="254" t="s">
        <v>4521</v>
      </c>
      <c r="D1572" s="255" t="s">
        <v>21065</v>
      </c>
      <c r="E1572" s="253" t="s">
        <v>170</v>
      </c>
    </row>
    <row r="1573" spans="1:5" ht="15">
      <c r="A1573" s="254">
        <v>3449</v>
      </c>
      <c r="B1573" s="254" t="s">
        <v>21066</v>
      </c>
      <c r="C1573" s="254" t="s">
        <v>4521</v>
      </c>
      <c r="D1573" s="255" t="s">
        <v>21067</v>
      </c>
      <c r="E1573" s="253" t="s">
        <v>170</v>
      </c>
    </row>
    <row r="1574" spans="1:5" ht="15">
      <c r="A1574" s="254">
        <v>37438</v>
      </c>
      <c r="B1574" s="254" t="s">
        <v>21068</v>
      </c>
      <c r="C1574" s="254" t="s">
        <v>4521</v>
      </c>
      <c r="D1574" s="255" t="s">
        <v>21069</v>
      </c>
      <c r="E1574" s="253" t="s">
        <v>170</v>
      </c>
    </row>
    <row r="1575" spans="1:5" ht="15">
      <c r="A1575" s="254">
        <v>37439</v>
      </c>
      <c r="B1575" s="254" t="s">
        <v>21070</v>
      </c>
      <c r="C1575" s="254" t="s">
        <v>4521</v>
      </c>
      <c r="D1575" s="255" t="s">
        <v>21071</v>
      </c>
      <c r="E1575" s="253" t="s">
        <v>170</v>
      </c>
    </row>
    <row r="1576" spans="1:5" ht="15">
      <c r="A1576" s="254">
        <v>37435</v>
      </c>
      <c r="B1576" s="254" t="s">
        <v>21072</v>
      </c>
      <c r="C1576" s="254" t="s">
        <v>4521</v>
      </c>
      <c r="D1576" s="255" t="s">
        <v>13657</v>
      </c>
      <c r="E1576" s="253" t="s">
        <v>170</v>
      </c>
    </row>
    <row r="1577" spans="1:5" ht="15">
      <c r="A1577" s="254">
        <v>37436</v>
      </c>
      <c r="B1577" s="254" t="s">
        <v>21073</v>
      </c>
      <c r="C1577" s="254" t="s">
        <v>4521</v>
      </c>
      <c r="D1577" s="255" t="s">
        <v>15941</v>
      </c>
      <c r="E1577" s="253" t="s">
        <v>170</v>
      </c>
    </row>
    <row r="1578" spans="1:5" ht="15">
      <c r="A1578" s="254">
        <v>37437</v>
      </c>
      <c r="B1578" s="254" t="s">
        <v>21074</v>
      </c>
      <c r="C1578" s="254" t="s">
        <v>4521</v>
      </c>
      <c r="D1578" s="255" t="s">
        <v>21075</v>
      </c>
      <c r="E1578" s="253" t="s">
        <v>170</v>
      </c>
    </row>
    <row r="1579" spans="1:5" ht="30">
      <c r="A1579" s="254">
        <v>3473</v>
      </c>
      <c r="B1579" s="254" t="s">
        <v>21076</v>
      </c>
      <c r="C1579" s="254" t="s">
        <v>4521</v>
      </c>
      <c r="D1579" s="255" t="s">
        <v>20371</v>
      </c>
      <c r="E1579" s="253" t="s">
        <v>170</v>
      </c>
    </row>
    <row r="1580" spans="1:5" ht="30">
      <c r="A1580" s="254">
        <v>3474</v>
      </c>
      <c r="B1580" s="254" t="s">
        <v>21077</v>
      </c>
      <c r="C1580" s="254" t="s">
        <v>4521</v>
      </c>
      <c r="D1580" s="255" t="s">
        <v>18027</v>
      </c>
      <c r="E1580" s="253" t="s">
        <v>170</v>
      </c>
    </row>
    <row r="1581" spans="1:5" ht="30">
      <c r="A1581" s="254">
        <v>3450</v>
      </c>
      <c r="B1581" s="254" t="s">
        <v>21078</v>
      </c>
      <c r="C1581" s="254" t="s">
        <v>4521</v>
      </c>
      <c r="D1581" s="255" t="s">
        <v>17630</v>
      </c>
      <c r="E1581" s="253" t="s">
        <v>170</v>
      </c>
    </row>
    <row r="1582" spans="1:5" ht="30">
      <c r="A1582" s="254">
        <v>3443</v>
      </c>
      <c r="B1582" s="254" t="s">
        <v>21079</v>
      </c>
      <c r="C1582" s="254" t="s">
        <v>4521</v>
      </c>
      <c r="D1582" s="255" t="s">
        <v>21080</v>
      </c>
      <c r="E1582" s="253" t="s">
        <v>170</v>
      </c>
    </row>
    <row r="1583" spans="1:5" ht="30">
      <c r="A1583" s="254">
        <v>3453</v>
      </c>
      <c r="B1583" s="254" t="s">
        <v>21081</v>
      </c>
      <c r="C1583" s="254" t="s">
        <v>4521</v>
      </c>
      <c r="D1583" s="255" t="s">
        <v>21082</v>
      </c>
      <c r="E1583" s="253" t="s">
        <v>170</v>
      </c>
    </row>
    <row r="1584" spans="1:5" ht="30">
      <c r="A1584" s="254">
        <v>3452</v>
      </c>
      <c r="B1584" s="254" t="s">
        <v>21083</v>
      </c>
      <c r="C1584" s="254" t="s">
        <v>4521</v>
      </c>
      <c r="D1584" s="255" t="s">
        <v>14073</v>
      </c>
      <c r="E1584" s="253" t="s">
        <v>170</v>
      </c>
    </row>
    <row r="1585" spans="1:5" ht="30">
      <c r="A1585" s="254">
        <v>3451</v>
      </c>
      <c r="B1585" s="254" t="s">
        <v>21084</v>
      </c>
      <c r="C1585" s="254" t="s">
        <v>4521</v>
      </c>
      <c r="D1585" s="255" t="s">
        <v>15718</v>
      </c>
      <c r="E1585" s="253" t="s">
        <v>170</v>
      </c>
    </row>
    <row r="1586" spans="1:5" ht="30">
      <c r="A1586" s="254">
        <v>3454</v>
      </c>
      <c r="B1586" s="254" t="s">
        <v>21085</v>
      </c>
      <c r="C1586" s="254" t="s">
        <v>4521</v>
      </c>
      <c r="D1586" s="255" t="s">
        <v>21086</v>
      </c>
      <c r="E1586" s="253" t="s">
        <v>170</v>
      </c>
    </row>
    <row r="1587" spans="1:5" ht="15">
      <c r="A1587" s="254">
        <v>3458</v>
      </c>
      <c r="B1587" s="254" t="s">
        <v>21087</v>
      </c>
      <c r="C1587" s="254" t="s">
        <v>4521</v>
      </c>
      <c r="D1587" s="255" t="s">
        <v>17526</v>
      </c>
      <c r="E1587" s="253" t="s">
        <v>170</v>
      </c>
    </row>
    <row r="1588" spans="1:5" ht="15">
      <c r="A1588" s="254">
        <v>3457</v>
      </c>
      <c r="B1588" s="254" t="s">
        <v>21088</v>
      </c>
      <c r="C1588" s="254" t="s">
        <v>4521</v>
      </c>
      <c r="D1588" s="255" t="s">
        <v>17657</v>
      </c>
      <c r="E1588" s="253" t="s">
        <v>170</v>
      </c>
    </row>
    <row r="1589" spans="1:5" ht="15">
      <c r="A1589" s="254">
        <v>3455</v>
      </c>
      <c r="B1589" s="254" t="s">
        <v>21089</v>
      </c>
      <c r="C1589" s="254" t="s">
        <v>4521</v>
      </c>
      <c r="D1589" s="255" t="s">
        <v>16185</v>
      </c>
      <c r="E1589" s="253" t="s">
        <v>170</v>
      </c>
    </row>
    <row r="1590" spans="1:5" ht="15">
      <c r="A1590" s="254">
        <v>3472</v>
      </c>
      <c r="B1590" s="254" t="s">
        <v>21090</v>
      </c>
      <c r="C1590" s="254" t="s">
        <v>4521</v>
      </c>
      <c r="D1590" s="255" t="s">
        <v>15777</v>
      </c>
      <c r="E1590" s="253" t="s">
        <v>170</v>
      </c>
    </row>
    <row r="1591" spans="1:5" ht="15">
      <c r="A1591" s="254">
        <v>3470</v>
      </c>
      <c r="B1591" s="254" t="s">
        <v>21091</v>
      </c>
      <c r="C1591" s="254" t="s">
        <v>4521</v>
      </c>
      <c r="D1591" s="255" t="s">
        <v>21092</v>
      </c>
      <c r="E1591" s="253" t="s">
        <v>170</v>
      </c>
    </row>
    <row r="1592" spans="1:5" ht="15">
      <c r="A1592" s="254">
        <v>3471</v>
      </c>
      <c r="B1592" s="254" t="s">
        <v>21093</v>
      </c>
      <c r="C1592" s="254" t="s">
        <v>4521</v>
      </c>
      <c r="D1592" s="255" t="s">
        <v>14388</v>
      </c>
      <c r="E1592" s="253" t="s">
        <v>170</v>
      </c>
    </row>
    <row r="1593" spans="1:5" ht="15">
      <c r="A1593" s="254">
        <v>3456</v>
      </c>
      <c r="B1593" s="254" t="s">
        <v>21094</v>
      </c>
      <c r="C1593" s="254" t="s">
        <v>4521</v>
      </c>
      <c r="D1593" s="255" t="s">
        <v>14423</v>
      </c>
      <c r="E1593" s="253" t="s">
        <v>170</v>
      </c>
    </row>
    <row r="1594" spans="1:5" ht="15">
      <c r="A1594" s="254">
        <v>3459</v>
      </c>
      <c r="B1594" s="254" t="s">
        <v>21095</v>
      </c>
      <c r="C1594" s="254" t="s">
        <v>4521</v>
      </c>
      <c r="D1594" s="255" t="s">
        <v>21096</v>
      </c>
      <c r="E1594" s="253" t="s">
        <v>170</v>
      </c>
    </row>
    <row r="1595" spans="1:5" ht="15">
      <c r="A1595" s="254">
        <v>3469</v>
      </c>
      <c r="B1595" s="254" t="s">
        <v>21097</v>
      </c>
      <c r="C1595" s="254" t="s">
        <v>4521</v>
      </c>
      <c r="D1595" s="255" t="s">
        <v>21098</v>
      </c>
      <c r="E1595" s="253" t="s">
        <v>170</v>
      </c>
    </row>
    <row r="1596" spans="1:5" ht="15">
      <c r="A1596" s="254">
        <v>3460</v>
      </c>
      <c r="B1596" s="254" t="s">
        <v>21099</v>
      </c>
      <c r="C1596" s="254" t="s">
        <v>4521</v>
      </c>
      <c r="D1596" s="255" t="s">
        <v>21100</v>
      </c>
      <c r="E1596" s="253" t="s">
        <v>170</v>
      </c>
    </row>
    <row r="1597" spans="1:5" ht="15">
      <c r="A1597" s="254">
        <v>3461</v>
      </c>
      <c r="B1597" s="254" t="s">
        <v>21101</v>
      </c>
      <c r="C1597" s="254" t="s">
        <v>4521</v>
      </c>
      <c r="D1597" s="255" t="s">
        <v>21102</v>
      </c>
      <c r="E1597" s="253" t="s">
        <v>170</v>
      </c>
    </row>
    <row r="1598" spans="1:5" ht="15">
      <c r="A1598" s="254">
        <v>37433</v>
      </c>
      <c r="B1598" s="254" t="s">
        <v>21103</v>
      </c>
      <c r="C1598" s="254" t="s">
        <v>4521</v>
      </c>
      <c r="D1598" s="255" t="s">
        <v>21069</v>
      </c>
      <c r="E1598" s="253" t="s">
        <v>170</v>
      </c>
    </row>
    <row r="1599" spans="1:5" ht="15">
      <c r="A1599" s="254">
        <v>37430</v>
      </c>
      <c r="B1599" s="254" t="s">
        <v>21104</v>
      </c>
      <c r="C1599" s="254" t="s">
        <v>4521</v>
      </c>
      <c r="D1599" s="255" t="s">
        <v>14536</v>
      </c>
      <c r="E1599" s="253" t="s">
        <v>170</v>
      </c>
    </row>
    <row r="1600" spans="1:5" ht="15">
      <c r="A1600" s="254">
        <v>37434</v>
      </c>
      <c r="B1600" s="254" t="s">
        <v>21105</v>
      </c>
      <c r="C1600" s="254" t="s">
        <v>4521</v>
      </c>
      <c r="D1600" s="255" t="s">
        <v>21106</v>
      </c>
      <c r="E1600" s="253" t="s">
        <v>170</v>
      </c>
    </row>
    <row r="1601" spans="1:5" ht="15">
      <c r="A1601" s="254">
        <v>37431</v>
      </c>
      <c r="B1601" s="254" t="s">
        <v>21107</v>
      </c>
      <c r="C1601" s="254" t="s">
        <v>4521</v>
      </c>
      <c r="D1601" s="255" t="s">
        <v>21108</v>
      </c>
      <c r="E1601" s="253" t="s">
        <v>170</v>
      </c>
    </row>
    <row r="1602" spans="1:5" ht="15">
      <c r="A1602" s="254">
        <v>37432</v>
      </c>
      <c r="B1602" s="254" t="s">
        <v>21109</v>
      </c>
      <c r="C1602" s="254" t="s">
        <v>4521</v>
      </c>
      <c r="D1602" s="255" t="s">
        <v>14207</v>
      </c>
      <c r="E1602" s="253" t="s">
        <v>170</v>
      </c>
    </row>
    <row r="1603" spans="1:5" ht="30">
      <c r="A1603" s="254">
        <v>37413</v>
      </c>
      <c r="B1603" s="254" t="s">
        <v>21110</v>
      </c>
      <c r="C1603" s="254" t="s">
        <v>4521</v>
      </c>
      <c r="D1603" s="255" t="s">
        <v>14128</v>
      </c>
      <c r="E1603" s="253" t="s">
        <v>170</v>
      </c>
    </row>
    <row r="1604" spans="1:5" ht="30">
      <c r="A1604" s="254">
        <v>37414</v>
      </c>
      <c r="B1604" s="254" t="s">
        <v>21111</v>
      </c>
      <c r="C1604" s="254" t="s">
        <v>4521</v>
      </c>
      <c r="D1604" s="255" t="s">
        <v>21112</v>
      </c>
      <c r="E1604" s="253" t="s">
        <v>170</v>
      </c>
    </row>
    <row r="1605" spans="1:5" ht="30">
      <c r="A1605" s="254">
        <v>37415</v>
      </c>
      <c r="B1605" s="254" t="s">
        <v>21113</v>
      </c>
      <c r="C1605" s="254" t="s">
        <v>4521</v>
      </c>
      <c r="D1605" s="255" t="s">
        <v>16875</v>
      </c>
      <c r="E1605" s="253" t="s">
        <v>170</v>
      </c>
    </row>
    <row r="1606" spans="1:5" ht="30">
      <c r="A1606" s="254">
        <v>37416</v>
      </c>
      <c r="B1606" s="254" t="s">
        <v>21114</v>
      </c>
      <c r="C1606" s="254" t="s">
        <v>4521</v>
      </c>
      <c r="D1606" s="255" t="s">
        <v>18463</v>
      </c>
      <c r="E1606" s="253" t="s">
        <v>170</v>
      </c>
    </row>
    <row r="1607" spans="1:5" ht="30">
      <c r="A1607" s="254">
        <v>37417</v>
      </c>
      <c r="B1607" s="254" t="s">
        <v>21115</v>
      </c>
      <c r="C1607" s="254" t="s">
        <v>4521</v>
      </c>
      <c r="D1607" s="255" t="s">
        <v>19718</v>
      </c>
      <c r="E1607" s="253" t="s">
        <v>170</v>
      </c>
    </row>
    <row r="1608" spans="1:5" ht="30">
      <c r="A1608" s="254">
        <v>3112</v>
      </c>
      <c r="B1608" s="254" t="s">
        <v>21116</v>
      </c>
      <c r="C1608" s="254" t="s">
        <v>4535</v>
      </c>
      <c r="D1608" s="255" t="s">
        <v>21117</v>
      </c>
      <c r="E1608" s="253" t="s">
        <v>170</v>
      </c>
    </row>
    <row r="1609" spans="1:5" ht="30">
      <c r="A1609" s="254">
        <v>3113</v>
      </c>
      <c r="B1609" s="254" t="s">
        <v>21118</v>
      </c>
      <c r="C1609" s="254" t="s">
        <v>4535</v>
      </c>
      <c r="D1609" s="255" t="s">
        <v>21119</v>
      </c>
      <c r="E1609" s="253" t="s">
        <v>170</v>
      </c>
    </row>
    <row r="1610" spans="1:5" ht="30">
      <c r="A1610" s="254">
        <v>3114</v>
      </c>
      <c r="B1610" s="254" t="s">
        <v>21120</v>
      </c>
      <c r="C1610" s="254" t="s">
        <v>4521</v>
      </c>
      <c r="D1610" s="255" t="s">
        <v>16505</v>
      </c>
      <c r="E1610" s="253" t="s">
        <v>170</v>
      </c>
    </row>
    <row r="1611" spans="1:5" ht="15">
      <c r="A1611" s="254">
        <v>34519</v>
      </c>
      <c r="B1611" s="254" t="s">
        <v>21121</v>
      </c>
      <c r="C1611" s="254" t="s">
        <v>4521</v>
      </c>
      <c r="D1611" s="255" t="s">
        <v>15925</v>
      </c>
      <c r="E1611" s="253" t="s">
        <v>170</v>
      </c>
    </row>
    <row r="1612" spans="1:5" ht="30">
      <c r="A1612" s="254">
        <v>10510</v>
      </c>
      <c r="B1612" s="254" t="s">
        <v>21122</v>
      </c>
      <c r="C1612" s="254" t="s">
        <v>4521</v>
      </c>
      <c r="D1612" s="255" t="s">
        <v>21123</v>
      </c>
      <c r="E1612" s="253" t="s">
        <v>170</v>
      </c>
    </row>
    <row r="1613" spans="1:5" ht="15">
      <c r="A1613" s="254">
        <v>1649</v>
      </c>
      <c r="B1613" s="254" t="s">
        <v>21124</v>
      </c>
      <c r="C1613" s="254" t="s">
        <v>4521</v>
      </c>
      <c r="D1613" s="256" t="s">
        <v>14102</v>
      </c>
      <c r="E1613" s="253" t="s">
        <v>170</v>
      </c>
    </row>
    <row r="1614" spans="1:5" ht="15">
      <c r="A1614" s="254">
        <v>1653</v>
      </c>
      <c r="B1614" s="254" t="s">
        <v>21125</v>
      </c>
      <c r="C1614" s="254" t="s">
        <v>4521</v>
      </c>
      <c r="D1614" s="256" t="s">
        <v>15306</v>
      </c>
      <c r="E1614" s="253" t="s">
        <v>170</v>
      </c>
    </row>
    <row r="1615" spans="1:5" ht="15">
      <c r="A1615" s="254">
        <v>1647</v>
      </c>
      <c r="B1615" s="254" t="s">
        <v>21126</v>
      </c>
      <c r="C1615" s="254" t="s">
        <v>4521</v>
      </c>
      <c r="D1615" s="255" t="s">
        <v>18482</v>
      </c>
      <c r="E1615" s="253" t="s">
        <v>170</v>
      </c>
    </row>
    <row r="1616" spans="1:5" ht="15">
      <c r="A1616" s="254">
        <v>1648</v>
      </c>
      <c r="B1616" s="254" t="s">
        <v>21127</v>
      </c>
      <c r="C1616" s="254" t="s">
        <v>4521</v>
      </c>
      <c r="D1616" s="255" t="s">
        <v>14251</v>
      </c>
      <c r="E1616" s="253" t="s">
        <v>170</v>
      </c>
    </row>
    <row r="1617" spans="1:5" ht="15">
      <c r="A1617" s="254">
        <v>1651</v>
      </c>
      <c r="B1617" s="254" t="s">
        <v>21128</v>
      </c>
      <c r="C1617" s="254" t="s">
        <v>4521</v>
      </c>
      <c r="D1617" s="255" t="s">
        <v>21129</v>
      </c>
      <c r="E1617" s="253" t="s">
        <v>170</v>
      </c>
    </row>
    <row r="1618" spans="1:5" ht="15">
      <c r="A1618" s="254">
        <v>1650</v>
      </c>
      <c r="B1618" s="254" t="s">
        <v>21130</v>
      </c>
      <c r="C1618" s="254" t="s">
        <v>4521</v>
      </c>
      <c r="D1618" s="255" t="s">
        <v>21131</v>
      </c>
      <c r="E1618" s="253" t="s">
        <v>170</v>
      </c>
    </row>
    <row r="1619" spans="1:5" ht="15">
      <c r="A1619" s="254">
        <v>1654</v>
      </c>
      <c r="B1619" s="254" t="s">
        <v>21132</v>
      </c>
      <c r="C1619" s="254" t="s">
        <v>4521</v>
      </c>
      <c r="D1619" s="255" t="s">
        <v>18504</v>
      </c>
      <c r="E1619" s="253" t="s">
        <v>170</v>
      </c>
    </row>
    <row r="1620" spans="1:5" ht="15">
      <c r="A1620" s="254">
        <v>1652</v>
      </c>
      <c r="B1620" s="254" t="s">
        <v>21133</v>
      </c>
      <c r="C1620" s="254" t="s">
        <v>4521</v>
      </c>
      <c r="D1620" s="255" t="s">
        <v>21134</v>
      </c>
      <c r="E1620" s="253" t="s">
        <v>170</v>
      </c>
    </row>
    <row r="1621" spans="1:5" ht="15">
      <c r="A1621" s="254">
        <v>1747</v>
      </c>
      <c r="B1621" s="254" t="s">
        <v>21135</v>
      </c>
      <c r="C1621" s="254" t="s">
        <v>4521</v>
      </c>
      <c r="D1621" s="255" t="s">
        <v>21136</v>
      </c>
      <c r="E1621" s="253" t="s">
        <v>170</v>
      </c>
    </row>
    <row r="1622" spans="1:5" ht="15">
      <c r="A1622" s="254">
        <v>1744</v>
      </c>
      <c r="B1622" s="254" t="s">
        <v>21137</v>
      </c>
      <c r="C1622" s="254" t="s">
        <v>4521</v>
      </c>
      <c r="D1622" s="255" t="s">
        <v>21138</v>
      </c>
      <c r="E1622" s="253" t="s">
        <v>170</v>
      </c>
    </row>
    <row r="1623" spans="1:5" ht="15">
      <c r="A1623" s="254">
        <v>1743</v>
      </c>
      <c r="B1623" s="254" t="s">
        <v>21139</v>
      </c>
      <c r="C1623" s="254" t="s">
        <v>4521</v>
      </c>
      <c r="D1623" s="255" t="s">
        <v>21140</v>
      </c>
      <c r="E1623" s="253" t="s">
        <v>170</v>
      </c>
    </row>
    <row r="1624" spans="1:5" ht="30">
      <c r="A1624" s="254">
        <v>39640</v>
      </c>
      <c r="B1624" s="254" t="s">
        <v>21141</v>
      </c>
      <c r="C1624" s="254" t="s">
        <v>4521</v>
      </c>
      <c r="D1624" s="255" t="s">
        <v>16661</v>
      </c>
      <c r="E1624" s="253" t="s">
        <v>170</v>
      </c>
    </row>
    <row r="1625" spans="1:5" ht="30">
      <c r="A1625" s="254">
        <v>11013</v>
      </c>
      <c r="B1625" s="254" t="s">
        <v>21142</v>
      </c>
      <c r="C1625" s="254" t="s">
        <v>4521</v>
      </c>
      <c r="D1625" s="255" t="s">
        <v>19812</v>
      </c>
      <c r="E1625" s="253" t="s">
        <v>170</v>
      </c>
    </row>
    <row r="1626" spans="1:5" ht="30">
      <c r="A1626" s="254">
        <v>11017</v>
      </c>
      <c r="B1626" s="254" t="s">
        <v>21143</v>
      </c>
      <c r="C1626" s="254" t="s">
        <v>4521</v>
      </c>
      <c r="D1626" s="255" t="s">
        <v>21144</v>
      </c>
      <c r="E1626" s="253" t="s">
        <v>170</v>
      </c>
    </row>
    <row r="1627" spans="1:5" ht="30">
      <c r="A1627" s="254">
        <v>20236</v>
      </c>
      <c r="B1627" s="254" t="s">
        <v>21145</v>
      </c>
      <c r="C1627" s="254" t="s">
        <v>4521</v>
      </c>
      <c r="D1627" s="255" t="s">
        <v>14043</v>
      </c>
      <c r="E1627" s="253" t="s">
        <v>170</v>
      </c>
    </row>
    <row r="1628" spans="1:5" ht="30">
      <c r="A1628" s="254">
        <v>7215</v>
      </c>
      <c r="B1628" s="254" t="s">
        <v>21146</v>
      </c>
      <c r="C1628" s="254" t="s">
        <v>4521</v>
      </c>
      <c r="D1628" s="255" t="s">
        <v>17961</v>
      </c>
      <c r="E1628" s="253" t="s">
        <v>170</v>
      </c>
    </row>
    <row r="1629" spans="1:5" ht="30">
      <c r="A1629" s="254">
        <v>7216</v>
      </c>
      <c r="B1629" s="254" t="s">
        <v>21147</v>
      </c>
      <c r="C1629" s="254" t="s">
        <v>4521</v>
      </c>
      <c r="D1629" s="255" t="s">
        <v>21148</v>
      </c>
      <c r="E1629" s="253" t="s">
        <v>170</v>
      </c>
    </row>
    <row r="1630" spans="1:5" ht="30">
      <c r="A1630" s="254">
        <v>20235</v>
      </c>
      <c r="B1630" s="254" t="s">
        <v>21149</v>
      </c>
      <c r="C1630" s="254" t="s">
        <v>4521</v>
      </c>
      <c r="D1630" s="255" t="s">
        <v>21150</v>
      </c>
      <c r="E1630" s="253" t="s">
        <v>170</v>
      </c>
    </row>
    <row r="1631" spans="1:5" ht="30">
      <c r="A1631" s="254">
        <v>7181</v>
      </c>
      <c r="B1631" s="254" t="s">
        <v>21151</v>
      </c>
      <c r="C1631" s="254" t="s">
        <v>4521</v>
      </c>
      <c r="D1631" s="255" t="s">
        <v>18505</v>
      </c>
      <c r="E1631" s="253" t="s">
        <v>170</v>
      </c>
    </row>
    <row r="1632" spans="1:5" ht="30">
      <c r="A1632" s="254">
        <v>40866</v>
      </c>
      <c r="B1632" s="254" t="s">
        <v>21152</v>
      </c>
      <c r="C1632" s="254" t="s">
        <v>4521</v>
      </c>
      <c r="D1632" s="255" t="s">
        <v>21153</v>
      </c>
      <c r="E1632" s="253" t="s">
        <v>170</v>
      </c>
    </row>
    <row r="1633" spans="1:5" ht="30">
      <c r="A1633" s="254">
        <v>7214</v>
      </c>
      <c r="B1633" s="254" t="s">
        <v>21154</v>
      </c>
      <c r="C1633" s="254" t="s">
        <v>4521</v>
      </c>
      <c r="D1633" s="255" t="s">
        <v>16683</v>
      </c>
      <c r="E1633" s="253" t="s">
        <v>170</v>
      </c>
    </row>
    <row r="1634" spans="1:5" ht="30">
      <c r="A1634" s="254">
        <v>7219</v>
      </c>
      <c r="B1634" s="254" t="s">
        <v>21155</v>
      </c>
      <c r="C1634" s="254" t="s">
        <v>4521</v>
      </c>
      <c r="D1634" s="255" t="s">
        <v>21156</v>
      </c>
      <c r="E1634" s="253" t="s">
        <v>170</v>
      </c>
    </row>
    <row r="1635" spans="1:5" ht="15">
      <c r="A1635" s="254">
        <v>37972</v>
      </c>
      <c r="B1635" s="254" t="s">
        <v>21157</v>
      </c>
      <c r="C1635" s="254" t="s">
        <v>4521</v>
      </c>
      <c r="D1635" s="255" t="s">
        <v>13614</v>
      </c>
      <c r="E1635" s="253" t="s">
        <v>170</v>
      </c>
    </row>
    <row r="1636" spans="1:5" ht="15">
      <c r="A1636" s="254">
        <v>37973</v>
      </c>
      <c r="B1636" s="254" t="s">
        <v>21158</v>
      </c>
      <c r="C1636" s="254" t="s">
        <v>4521</v>
      </c>
      <c r="D1636" s="255" t="s">
        <v>16471</v>
      </c>
      <c r="E1636" s="253" t="s">
        <v>170</v>
      </c>
    </row>
    <row r="1637" spans="1:5" ht="15">
      <c r="A1637" s="254">
        <v>37971</v>
      </c>
      <c r="B1637" s="254" t="s">
        <v>21159</v>
      </c>
      <c r="C1637" s="254" t="s">
        <v>4521</v>
      </c>
      <c r="D1637" s="255" t="s">
        <v>13611</v>
      </c>
      <c r="E1637" s="253" t="s">
        <v>170</v>
      </c>
    </row>
    <row r="1638" spans="1:5" ht="30">
      <c r="A1638" s="254">
        <v>20094</v>
      </c>
      <c r="B1638" s="254" t="s">
        <v>21160</v>
      </c>
      <c r="C1638" s="254" t="s">
        <v>4521</v>
      </c>
      <c r="D1638" s="255" t="s">
        <v>20919</v>
      </c>
      <c r="E1638" s="253" t="s">
        <v>170</v>
      </c>
    </row>
    <row r="1639" spans="1:5" ht="30">
      <c r="A1639" s="254">
        <v>20095</v>
      </c>
      <c r="B1639" s="254" t="s">
        <v>21161</v>
      </c>
      <c r="C1639" s="254" t="s">
        <v>4521</v>
      </c>
      <c r="D1639" s="255" t="s">
        <v>21162</v>
      </c>
      <c r="E1639" s="253" t="s">
        <v>170</v>
      </c>
    </row>
    <row r="1640" spans="1:5" ht="15">
      <c r="A1640" s="254">
        <v>1954</v>
      </c>
      <c r="B1640" s="254" t="s">
        <v>21163</v>
      </c>
      <c r="C1640" s="254" t="s">
        <v>4521</v>
      </c>
      <c r="D1640" s="255" t="s">
        <v>21164</v>
      </c>
      <c r="E1640" s="253" t="s">
        <v>170</v>
      </c>
    </row>
    <row r="1641" spans="1:5" ht="15">
      <c r="A1641" s="254">
        <v>1926</v>
      </c>
      <c r="B1641" s="254" t="s">
        <v>21165</v>
      </c>
      <c r="C1641" s="254" t="s">
        <v>4521</v>
      </c>
      <c r="D1641" s="255" t="s">
        <v>17690</v>
      </c>
      <c r="E1641" s="253" t="s">
        <v>170</v>
      </c>
    </row>
    <row r="1642" spans="1:5" ht="15">
      <c r="A1642" s="254">
        <v>1927</v>
      </c>
      <c r="B1642" s="254" t="s">
        <v>21166</v>
      </c>
      <c r="C1642" s="254" t="s">
        <v>4521</v>
      </c>
      <c r="D1642" s="255" t="s">
        <v>17872</v>
      </c>
      <c r="E1642" s="253" t="s">
        <v>170</v>
      </c>
    </row>
    <row r="1643" spans="1:5" ht="15">
      <c r="A1643" s="254">
        <v>1923</v>
      </c>
      <c r="B1643" s="254" t="s">
        <v>21167</v>
      </c>
      <c r="C1643" s="254" t="s">
        <v>4521</v>
      </c>
      <c r="D1643" s="255" t="s">
        <v>14412</v>
      </c>
      <c r="E1643" s="253" t="s">
        <v>170</v>
      </c>
    </row>
    <row r="1644" spans="1:5" ht="15">
      <c r="A1644" s="254">
        <v>1929</v>
      </c>
      <c r="B1644" s="254" t="s">
        <v>21168</v>
      </c>
      <c r="C1644" s="254" t="s">
        <v>4521</v>
      </c>
      <c r="D1644" s="255" t="s">
        <v>21169</v>
      </c>
      <c r="E1644" s="253" t="s">
        <v>170</v>
      </c>
    </row>
    <row r="1645" spans="1:5" ht="15">
      <c r="A1645" s="254">
        <v>1930</v>
      </c>
      <c r="B1645" s="254" t="s">
        <v>21170</v>
      </c>
      <c r="C1645" s="254" t="s">
        <v>4521</v>
      </c>
      <c r="D1645" s="255" t="s">
        <v>14479</v>
      </c>
      <c r="E1645" s="253" t="s">
        <v>170</v>
      </c>
    </row>
    <row r="1646" spans="1:5" ht="15">
      <c r="A1646" s="254">
        <v>1924</v>
      </c>
      <c r="B1646" s="254" t="s">
        <v>21171</v>
      </c>
      <c r="C1646" s="254" t="s">
        <v>4521</v>
      </c>
      <c r="D1646" s="255" t="s">
        <v>15498</v>
      </c>
      <c r="E1646" s="253" t="s">
        <v>170</v>
      </c>
    </row>
    <row r="1647" spans="1:5" ht="15">
      <c r="A1647" s="254">
        <v>1922</v>
      </c>
      <c r="B1647" s="254" t="s">
        <v>21172</v>
      </c>
      <c r="C1647" s="254" t="s">
        <v>4521</v>
      </c>
      <c r="D1647" s="255" t="s">
        <v>21173</v>
      </c>
      <c r="E1647" s="253" t="s">
        <v>170</v>
      </c>
    </row>
    <row r="1648" spans="1:5" ht="15">
      <c r="A1648" s="254">
        <v>1953</v>
      </c>
      <c r="B1648" s="254" t="s">
        <v>21174</v>
      </c>
      <c r="C1648" s="254" t="s">
        <v>4521</v>
      </c>
      <c r="D1648" s="255" t="s">
        <v>21175</v>
      </c>
      <c r="E1648" s="253" t="s">
        <v>170</v>
      </c>
    </row>
    <row r="1649" spans="1:5" ht="15">
      <c r="A1649" s="254">
        <v>1962</v>
      </c>
      <c r="B1649" s="254" t="s">
        <v>21176</v>
      </c>
      <c r="C1649" s="254" t="s">
        <v>4521</v>
      </c>
      <c r="D1649" s="255" t="s">
        <v>18496</v>
      </c>
      <c r="E1649" s="253" t="s">
        <v>170</v>
      </c>
    </row>
    <row r="1650" spans="1:5" ht="15">
      <c r="A1650" s="254">
        <v>1955</v>
      </c>
      <c r="B1650" s="254" t="s">
        <v>21177</v>
      </c>
      <c r="C1650" s="254" t="s">
        <v>4521</v>
      </c>
      <c r="D1650" s="255" t="s">
        <v>17864</v>
      </c>
      <c r="E1650" s="253" t="s">
        <v>170</v>
      </c>
    </row>
    <row r="1651" spans="1:5" ht="15">
      <c r="A1651" s="254">
        <v>1956</v>
      </c>
      <c r="B1651" s="254" t="s">
        <v>21178</v>
      </c>
      <c r="C1651" s="254" t="s">
        <v>4521</v>
      </c>
      <c r="D1651" s="255" t="s">
        <v>13926</v>
      </c>
      <c r="E1651" s="253" t="s">
        <v>170</v>
      </c>
    </row>
    <row r="1652" spans="1:5" ht="15">
      <c r="A1652" s="254">
        <v>1957</v>
      </c>
      <c r="B1652" s="254" t="s">
        <v>21179</v>
      </c>
      <c r="C1652" s="254" t="s">
        <v>4521</v>
      </c>
      <c r="D1652" s="255" t="s">
        <v>21180</v>
      </c>
      <c r="E1652" s="253" t="s">
        <v>170</v>
      </c>
    </row>
    <row r="1653" spans="1:5" ht="15">
      <c r="A1653" s="254">
        <v>1958</v>
      </c>
      <c r="B1653" s="254" t="s">
        <v>21181</v>
      </c>
      <c r="C1653" s="254" t="s">
        <v>4521</v>
      </c>
      <c r="D1653" s="255" t="s">
        <v>16592</v>
      </c>
      <c r="E1653" s="253" t="s">
        <v>170</v>
      </c>
    </row>
    <row r="1654" spans="1:5" ht="15">
      <c r="A1654" s="254">
        <v>1959</v>
      </c>
      <c r="B1654" s="254" t="s">
        <v>21182</v>
      </c>
      <c r="C1654" s="254" t="s">
        <v>4521</v>
      </c>
      <c r="D1654" s="255" t="s">
        <v>21183</v>
      </c>
      <c r="E1654" s="253" t="s">
        <v>170</v>
      </c>
    </row>
    <row r="1655" spans="1:5" ht="15">
      <c r="A1655" s="254">
        <v>1925</v>
      </c>
      <c r="B1655" s="254" t="s">
        <v>21184</v>
      </c>
      <c r="C1655" s="254" t="s">
        <v>4521</v>
      </c>
      <c r="D1655" s="255" t="s">
        <v>21185</v>
      </c>
      <c r="E1655" s="253" t="s">
        <v>170</v>
      </c>
    </row>
    <row r="1656" spans="1:5" ht="15">
      <c r="A1656" s="254">
        <v>1960</v>
      </c>
      <c r="B1656" s="254" t="s">
        <v>21186</v>
      </c>
      <c r="C1656" s="254" t="s">
        <v>4521</v>
      </c>
      <c r="D1656" s="255" t="s">
        <v>21187</v>
      </c>
      <c r="E1656" s="253" t="s">
        <v>170</v>
      </c>
    </row>
    <row r="1657" spans="1:5" ht="15">
      <c r="A1657" s="254">
        <v>1961</v>
      </c>
      <c r="B1657" s="254" t="s">
        <v>21188</v>
      </c>
      <c r="C1657" s="254" t="s">
        <v>4521</v>
      </c>
      <c r="D1657" s="255" t="s">
        <v>21189</v>
      </c>
      <c r="E1657" s="253" t="s">
        <v>170</v>
      </c>
    </row>
    <row r="1658" spans="1:5" ht="15">
      <c r="A1658" s="254">
        <v>38426</v>
      </c>
      <c r="B1658" s="254" t="s">
        <v>21190</v>
      </c>
      <c r="C1658" s="254" t="s">
        <v>4521</v>
      </c>
      <c r="D1658" s="255" t="s">
        <v>17074</v>
      </c>
      <c r="E1658" s="253" t="s">
        <v>170</v>
      </c>
    </row>
    <row r="1659" spans="1:5" ht="15">
      <c r="A1659" s="254">
        <v>38423</v>
      </c>
      <c r="B1659" s="254" t="s">
        <v>21191</v>
      </c>
      <c r="C1659" s="254" t="s">
        <v>4521</v>
      </c>
      <c r="D1659" s="255" t="s">
        <v>21192</v>
      </c>
      <c r="E1659" s="253" t="s">
        <v>170</v>
      </c>
    </row>
    <row r="1660" spans="1:5" ht="15">
      <c r="A1660" s="254">
        <v>38421</v>
      </c>
      <c r="B1660" s="254" t="s">
        <v>21193</v>
      </c>
      <c r="C1660" s="254" t="s">
        <v>4521</v>
      </c>
      <c r="D1660" s="255" t="s">
        <v>18574</v>
      </c>
      <c r="E1660" s="253" t="s">
        <v>170</v>
      </c>
    </row>
    <row r="1661" spans="1:5" ht="15">
      <c r="A1661" s="254">
        <v>38422</v>
      </c>
      <c r="B1661" s="254" t="s">
        <v>21194</v>
      </c>
      <c r="C1661" s="254" t="s">
        <v>4521</v>
      </c>
      <c r="D1661" s="255" t="s">
        <v>21195</v>
      </c>
      <c r="E1661" s="253" t="s">
        <v>170</v>
      </c>
    </row>
    <row r="1662" spans="1:5" ht="30">
      <c r="A1662" s="254">
        <v>39866</v>
      </c>
      <c r="B1662" s="254" t="s">
        <v>21196</v>
      </c>
      <c r="C1662" s="254" t="s">
        <v>4521</v>
      </c>
      <c r="D1662" s="255" t="s">
        <v>15818</v>
      </c>
      <c r="E1662" s="253" t="s">
        <v>170</v>
      </c>
    </row>
    <row r="1663" spans="1:5" ht="30">
      <c r="A1663" s="254">
        <v>39867</v>
      </c>
      <c r="B1663" s="254" t="s">
        <v>21197</v>
      </c>
      <c r="C1663" s="254" t="s">
        <v>4521</v>
      </c>
      <c r="D1663" s="255" t="s">
        <v>21198</v>
      </c>
      <c r="E1663" s="253" t="s">
        <v>170</v>
      </c>
    </row>
    <row r="1664" spans="1:5" ht="30">
      <c r="A1664" s="254">
        <v>39868</v>
      </c>
      <c r="B1664" s="254" t="s">
        <v>21199</v>
      </c>
      <c r="C1664" s="254" t="s">
        <v>4521</v>
      </c>
      <c r="D1664" s="255" t="s">
        <v>21200</v>
      </c>
      <c r="E1664" s="253" t="s">
        <v>170</v>
      </c>
    </row>
    <row r="1665" spans="1:5" ht="15">
      <c r="A1665" s="254">
        <v>37999</v>
      </c>
      <c r="B1665" s="254" t="s">
        <v>21201</v>
      </c>
      <c r="C1665" s="254" t="s">
        <v>4521</v>
      </c>
      <c r="D1665" s="255" t="s">
        <v>21202</v>
      </c>
      <c r="E1665" s="253" t="s">
        <v>170</v>
      </c>
    </row>
    <row r="1666" spans="1:5" ht="15">
      <c r="A1666" s="254">
        <v>38000</v>
      </c>
      <c r="B1666" s="254" t="s">
        <v>21203</v>
      </c>
      <c r="C1666" s="254" t="s">
        <v>4521</v>
      </c>
      <c r="D1666" s="255" t="s">
        <v>16201</v>
      </c>
      <c r="E1666" s="253" t="s">
        <v>170</v>
      </c>
    </row>
    <row r="1667" spans="1:5" ht="15">
      <c r="A1667" s="254">
        <v>38129</v>
      </c>
      <c r="B1667" s="254" t="s">
        <v>21204</v>
      </c>
      <c r="C1667" s="254" t="s">
        <v>4521</v>
      </c>
      <c r="D1667" s="255" t="s">
        <v>14201</v>
      </c>
      <c r="E1667" s="253" t="s">
        <v>170</v>
      </c>
    </row>
    <row r="1668" spans="1:5" ht="15">
      <c r="A1668" s="254">
        <v>38025</v>
      </c>
      <c r="B1668" s="254" t="s">
        <v>21205</v>
      </c>
      <c r="C1668" s="254" t="s">
        <v>4521</v>
      </c>
      <c r="D1668" s="255" t="s">
        <v>18778</v>
      </c>
      <c r="E1668" s="253" t="s">
        <v>170</v>
      </c>
    </row>
    <row r="1669" spans="1:5" ht="15">
      <c r="A1669" s="254">
        <v>38026</v>
      </c>
      <c r="B1669" s="254" t="s">
        <v>21206</v>
      </c>
      <c r="C1669" s="254" t="s">
        <v>4521</v>
      </c>
      <c r="D1669" s="255" t="s">
        <v>13547</v>
      </c>
      <c r="E1669" s="253" t="s">
        <v>170</v>
      </c>
    </row>
    <row r="1670" spans="1:5" ht="30">
      <c r="A1670" s="254">
        <v>1858</v>
      </c>
      <c r="B1670" s="254" t="s">
        <v>21207</v>
      </c>
      <c r="C1670" s="254" t="s">
        <v>4521</v>
      </c>
      <c r="D1670" s="255" t="s">
        <v>13928</v>
      </c>
      <c r="E1670" s="253" t="s">
        <v>170</v>
      </c>
    </row>
    <row r="1671" spans="1:5" ht="30">
      <c r="A1671" s="254">
        <v>1844</v>
      </c>
      <c r="B1671" s="254" t="s">
        <v>21208</v>
      </c>
      <c r="C1671" s="254" t="s">
        <v>4521</v>
      </c>
      <c r="D1671" s="255" t="s">
        <v>21209</v>
      </c>
      <c r="E1671" s="253" t="s">
        <v>170</v>
      </c>
    </row>
    <row r="1672" spans="1:5" ht="30">
      <c r="A1672" s="254">
        <v>1863</v>
      </c>
      <c r="B1672" s="254" t="s">
        <v>21210</v>
      </c>
      <c r="C1672" s="254" t="s">
        <v>4521</v>
      </c>
      <c r="D1672" s="255" t="s">
        <v>18971</v>
      </c>
      <c r="E1672" s="253" t="s">
        <v>170</v>
      </c>
    </row>
    <row r="1673" spans="1:5" ht="30">
      <c r="A1673" s="254">
        <v>1865</v>
      </c>
      <c r="B1673" s="254" t="s">
        <v>21211</v>
      </c>
      <c r="C1673" s="254" t="s">
        <v>4521</v>
      </c>
      <c r="D1673" s="255" t="s">
        <v>21212</v>
      </c>
      <c r="E1673" s="253" t="s">
        <v>170</v>
      </c>
    </row>
    <row r="1674" spans="1:5" ht="15">
      <c r="A1674" s="254">
        <v>36355</v>
      </c>
      <c r="B1674" s="254" t="s">
        <v>21213</v>
      </c>
      <c r="C1674" s="254" t="s">
        <v>4521</v>
      </c>
      <c r="D1674" s="255" t="s">
        <v>21214</v>
      </c>
      <c r="E1674" s="253" t="s">
        <v>170</v>
      </c>
    </row>
    <row r="1675" spans="1:5" ht="15">
      <c r="A1675" s="254">
        <v>36356</v>
      </c>
      <c r="B1675" s="254" t="s">
        <v>21215</v>
      </c>
      <c r="C1675" s="254" t="s">
        <v>4521</v>
      </c>
      <c r="D1675" s="255" t="s">
        <v>16621</v>
      </c>
      <c r="E1675" s="253" t="s">
        <v>170</v>
      </c>
    </row>
    <row r="1676" spans="1:5" ht="15">
      <c r="A1676" s="254">
        <v>1932</v>
      </c>
      <c r="B1676" s="254" t="s">
        <v>21216</v>
      </c>
      <c r="C1676" s="254" t="s">
        <v>4521</v>
      </c>
      <c r="D1676" s="255" t="s">
        <v>15760</v>
      </c>
      <c r="E1676" s="253" t="s">
        <v>170</v>
      </c>
    </row>
    <row r="1677" spans="1:5" ht="15">
      <c r="A1677" s="254">
        <v>1933</v>
      </c>
      <c r="B1677" s="254" t="s">
        <v>21217</v>
      </c>
      <c r="C1677" s="254" t="s">
        <v>4521</v>
      </c>
      <c r="D1677" s="255" t="s">
        <v>15810</v>
      </c>
      <c r="E1677" s="253" t="s">
        <v>170</v>
      </c>
    </row>
    <row r="1678" spans="1:5" ht="15">
      <c r="A1678" s="254">
        <v>1951</v>
      </c>
      <c r="B1678" s="254" t="s">
        <v>21218</v>
      </c>
      <c r="C1678" s="254" t="s">
        <v>4521</v>
      </c>
      <c r="D1678" s="255" t="s">
        <v>15763</v>
      </c>
      <c r="E1678" s="253" t="s">
        <v>170</v>
      </c>
    </row>
    <row r="1679" spans="1:5" ht="15">
      <c r="A1679" s="254">
        <v>1966</v>
      </c>
      <c r="B1679" s="254" t="s">
        <v>21219</v>
      </c>
      <c r="C1679" s="254" t="s">
        <v>4521</v>
      </c>
      <c r="D1679" s="255" t="s">
        <v>18843</v>
      </c>
      <c r="E1679" s="253" t="s">
        <v>170</v>
      </c>
    </row>
    <row r="1680" spans="1:5" ht="15">
      <c r="A1680" s="254">
        <v>1952</v>
      </c>
      <c r="B1680" s="254" t="s">
        <v>21220</v>
      </c>
      <c r="C1680" s="254" t="s">
        <v>4521</v>
      </c>
      <c r="D1680" s="255" t="s">
        <v>21221</v>
      </c>
      <c r="E1680" s="253" t="s">
        <v>170</v>
      </c>
    </row>
    <row r="1681" spans="1:5" ht="15">
      <c r="A1681" s="254">
        <v>20104</v>
      </c>
      <c r="B1681" s="254" t="s">
        <v>21222</v>
      </c>
      <c r="C1681" s="254" t="s">
        <v>4521</v>
      </c>
      <c r="D1681" s="255" t="s">
        <v>21223</v>
      </c>
      <c r="E1681" s="253" t="s">
        <v>170</v>
      </c>
    </row>
    <row r="1682" spans="1:5" ht="15">
      <c r="A1682" s="254">
        <v>20105</v>
      </c>
      <c r="B1682" s="254" t="s">
        <v>21224</v>
      </c>
      <c r="C1682" s="254" t="s">
        <v>4521</v>
      </c>
      <c r="D1682" s="255" t="s">
        <v>21225</v>
      </c>
      <c r="E1682" s="253" t="s">
        <v>170</v>
      </c>
    </row>
    <row r="1683" spans="1:5" ht="15">
      <c r="A1683" s="254">
        <v>1965</v>
      </c>
      <c r="B1683" s="254" t="s">
        <v>21226</v>
      </c>
      <c r="C1683" s="254" t="s">
        <v>4521</v>
      </c>
      <c r="D1683" s="255" t="s">
        <v>16355</v>
      </c>
      <c r="E1683" s="253" t="s">
        <v>170</v>
      </c>
    </row>
    <row r="1684" spans="1:5" ht="15">
      <c r="A1684" s="254">
        <v>10765</v>
      </c>
      <c r="B1684" s="254" t="s">
        <v>21227</v>
      </c>
      <c r="C1684" s="254" t="s">
        <v>4521</v>
      </c>
      <c r="D1684" s="255" t="s">
        <v>15454</v>
      </c>
      <c r="E1684" s="253" t="s">
        <v>170</v>
      </c>
    </row>
    <row r="1685" spans="1:5" ht="15">
      <c r="A1685" s="254">
        <v>10767</v>
      </c>
      <c r="B1685" s="254" t="s">
        <v>21228</v>
      </c>
      <c r="C1685" s="254" t="s">
        <v>4521</v>
      </c>
      <c r="D1685" s="255" t="s">
        <v>18594</v>
      </c>
      <c r="E1685" s="253" t="s">
        <v>170</v>
      </c>
    </row>
    <row r="1686" spans="1:5" ht="15">
      <c r="A1686" s="254">
        <v>1970</v>
      </c>
      <c r="B1686" s="254" t="s">
        <v>21229</v>
      </c>
      <c r="C1686" s="254" t="s">
        <v>4521</v>
      </c>
      <c r="D1686" s="255" t="s">
        <v>21230</v>
      </c>
      <c r="E1686" s="253" t="s">
        <v>170</v>
      </c>
    </row>
    <row r="1687" spans="1:5" ht="15">
      <c r="A1687" s="254">
        <v>1967</v>
      </c>
      <c r="B1687" s="254" t="s">
        <v>21231</v>
      </c>
      <c r="C1687" s="254" t="s">
        <v>4521</v>
      </c>
      <c r="D1687" s="255" t="s">
        <v>13614</v>
      </c>
      <c r="E1687" s="253" t="s">
        <v>170</v>
      </c>
    </row>
    <row r="1688" spans="1:5" ht="15">
      <c r="A1688" s="254">
        <v>1968</v>
      </c>
      <c r="B1688" s="254" t="s">
        <v>21232</v>
      </c>
      <c r="C1688" s="254" t="s">
        <v>4521</v>
      </c>
      <c r="D1688" s="255" t="s">
        <v>21233</v>
      </c>
      <c r="E1688" s="253" t="s">
        <v>170</v>
      </c>
    </row>
    <row r="1689" spans="1:5" ht="15">
      <c r="A1689" s="254">
        <v>1969</v>
      </c>
      <c r="B1689" s="254" t="s">
        <v>21234</v>
      </c>
      <c r="C1689" s="254" t="s">
        <v>4521</v>
      </c>
      <c r="D1689" s="255" t="s">
        <v>16650</v>
      </c>
      <c r="E1689" s="253" t="s">
        <v>170</v>
      </c>
    </row>
    <row r="1690" spans="1:5" ht="30">
      <c r="A1690" s="254">
        <v>1839</v>
      </c>
      <c r="B1690" s="254" t="s">
        <v>21235</v>
      </c>
      <c r="C1690" s="254" t="s">
        <v>4521</v>
      </c>
      <c r="D1690" s="255" t="s">
        <v>21236</v>
      </c>
      <c r="E1690" s="253" t="s">
        <v>170</v>
      </c>
    </row>
    <row r="1691" spans="1:5" ht="15">
      <c r="A1691" s="254">
        <v>1835</v>
      </c>
      <c r="B1691" s="254" t="s">
        <v>21237</v>
      </c>
      <c r="C1691" s="254" t="s">
        <v>4521</v>
      </c>
      <c r="D1691" s="255" t="s">
        <v>21238</v>
      </c>
      <c r="E1691" s="253" t="s">
        <v>170</v>
      </c>
    </row>
    <row r="1692" spans="1:5" ht="15">
      <c r="A1692" s="254">
        <v>1823</v>
      </c>
      <c r="B1692" s="254" t="s">
        <v>21239</v>
      </c>
      <c r="C1692" s="254" t="s">
        <v>4521</v>
      </c>
      <c r="D1692" s="255" t="s">
        <v>21240</v>
      </c>
      <c r="E1692" s="253" t="s">
        <v>170</v>
      </c>
    </row>
    <row r="1693" spans="1:5" ht="30">
      <c r="A1693" s="254">
        <v>1827</v>
      </c>
      <c r="B1693" s="254" t="s">
        <v>21241</v>
      </c>
      <c r="C1693" s="254" t="s">
        <v>4521</v>
      </c>
      <c r="D1693" s="255" t="s">
        <v>21242</v>
      </c>
      <c r="E1693" s="253" t="s">
        <v>170</v>
      </c>
    </row>
    <row r="1694" spans="1:5" ht="15">
      <c r="A1694" s="254">
        <v>1831</v>
      </c>
      <c r="B1694" s="254" t="s">
        <v>21243</v>
      </c>
      <c r="C1694" s="254" t="s">
        <v>4521</v>
      </c>
      <c r="D1694" s="255" t="s">
        <v>16682</v>
      </c>
      <c r="E1694" s="253" t="s">
        <v>170</v>
      </c>
    </row>
    <row r="1695" spans="1:5" ht="15">
      <c r="A1695" s="254">
        <v>1825</v>
      </c>
      <c r="B1695" s="254" t="s">
        <v>21244</v>
      </c>
      <c r="C1695" s="254" t="s">
        <v>4521</v>
      </c>
      <c r="D1695" s="255" t="s">
        <v>18582</v>
      </c>
      <c r="E1695" s="253" t="s">
        <v>170</v>
      </c>
    </row>
    <row r="1696" spans="1:5" ht="30">
      <c r="A1696" s="254">
        <v>1828</v>
      </c>
      <c r="B1696" s="254" t="s">
        <v>21245</v>
      </c>
      <c r="C1696" s="254" t="s">
        <v>4521</v>
      </c>
      <c r="D1696" s="255" t="s">
        <v>17436</v>
      </c>
      <c r="E1696" s="253" t="s">
        <v>170</v>
      </c>
    </row>
    <row r="1697" spans="1:5" ht="15">
      <c r="A1697" s="254">
        <v>1845</v>
      </c>
      <c r="B1697" s="254" t="s">
        <v>21246</v>
      </c>
      <c r="C1697" s="254" t="s">
        <v>4521</v>
      </c>
      <c r="D1697" s="255" t="s">
        <v>16646</v>
      </c>
      <c r="E1697" s="253" t="s">
        <v>170</v>
      </c>
    </row>
    <row r="1698" spans="1:5" ht="15">
      <c r="A1698" s="254">
        <v>1824</v>
      </c>
      <c r="B1698" s="254" t="s">
        <v>21247</v>
      </c>
      <c r="C1698" s="254" t="s">
        <v>4521</v>
      </c>
      <c r="D1698" s="255" t="s">
        <v>21248</v>
      </c>
      <c r="E1698" s="253" t="s">
        <v>170</v>
      </c>
    </row>
    <row r="1699" spans="1:5" ht="15">
      <c r="A1699" s="254">
        <v>1941</v>
      </c>
      <c r="B1699" s="254" t="s">
        <v>21249</v>
      </c>
      <c r="C1699" s="254" t="s">
        <v>4521</v>
      </c>
      <c r="D1699" s="255" t="s">
        <v>21250</v>
      </c>
      <c r="E1699" s="253" t="s">
        <v>170</v>
      </c>
    </row>
    <row r="1700" spans="1:5" ht="15">
      <c r="A1700" s="254">
        <v>1940</v>
      </c>
      <c r="B1700" s="254" t="s">
        <v>21251</v>
      </c>
      <c r="C1700" s="254" t="s">
        <v>4521</v>
      </c>
      <c r="D1700" s="255" t="s">
        <v>21252</v>
      </c>
      <c r="E1700" s="253" t="s">
        <v>170</v>
      </c>
    </row>
    <row r="1701" spans="1:5" ht="15">
      <c r="A1701" s="254">
        <v>1937</v>
      </c>
      <c r="B1701" s="254" t="s">
        <v>21253</v>
      </c>
      <c r="C1701" s="254" t="s">
        <v>4521</v>
      </c>
      <c r="D1701" s="255" t="s">
        <v>14053</v>
      </c>
      <c r="E1701" s="253" t="s">
        <v>170</v>
      </c>
    </row>
    <row r="1702" spans="1:5" ht="15">
      <c r="A1702" s="254">
        <v>1939</v>
      </c>
      <c r="B1702" s="254" t="s">
        <v>21254</v>
      </c>
      <c r="C1702" s="254" t="s">
        <v>4521</v>
      </c>
      <c r="D1702" s="255" t="s">
        <v>21255</v>
      </c>
      <c r="E1702" s="253" t="s">
        <v>170</v>
      </c>
    </row>
    <row r="1703" spans="1:5" ht="15">
      <c r="A1703" s="254">
        <v>1942</v>
      </c>
      <c r="B1703" s="254" t="s">
        <v>21256</v>
      </c>
      <c r="C1703" s="254" t="s">
        <v>4521</v>
      </c>
      <c r="D1703" s="255" t="s">
        <v>21257</v>
      </c>
      <c r="E1703" s="253" t="s">
        <v>170</v>
      </c>
    </row>
    <row r="1704" spans="1:5" ht="15">
      <c r="A1704" s="254">
        <v>1938</v>
      </c>
      <c r="B1704" s="254" t="s">
        <v>21258</v>
      </c>
      <c r="C1704" s="254" t="s">
        <v>4521</v>
      </c>
      <c r="D1704" s="255" t="s">
        <v>19718</v>
      </c>
      <c r="E1704" s="253" t="s">
        <v>170</v>
      </c>
    </row>
    <row r="1705" spans="1:5" ht="30">
      <c r="A1705" s="254">
        <v>42692</v>
      </c>
      <c r="B1705" s="254" t="s">
        <v>21259</v>
      </c>
      <c r="C1705" s="254" t="s">
        <v>4521</v>
      </c>
      <c r="D1705" s="255" t="s">
        <v>21260</v>
      </c>
      <c r="E1705" s="253" t="s">
        <v>170</v>
      </c>
    </row>
    <row r="1706" spans="1:5" ht="30">
      <c r="A1706" s="254">
        <v>42693</v>
      </c>
      <c r="B1706" s="254" t="s">
        <v>21261</v>
      </c>
      <c r="C1706" s="254" t="s">
        <v>4521</v>
      </c>
      <c r="D1706" s="255" t="s">
        <v>21262</v>
      </c>
      <c r="E1706" s="253" t="s">
        <v>170</v>
      </c>
    </row>
    <row r="1707" spans="1:5" ht="30">
      <c r="A1707" s="254">
        <v>42695</v>
      </c>
      <c r="B1707" s="254" t="s">
        <v>21263</v>
      </c>
      <c r="C1707" s="254" t="s">
        <v>4521</v>
      </c>
      <c r="D1707" s="255" t="s">
        <v>21264</v>
      </c>
      <c r="E1707" s="253" t="s">
        <v>170</v>
      </c>
    </row>
    <row r="1708" spans="1:5" ht="30">
      <c r="A1708" s="254">
        <v>42694</v>
      </c>
      <c r="B1708" s="254" t="s">
        <v>21265</v>
      </c>
      <c r="C1708" s="254" t="s">
        <v>4521</v>
      </c>
      <c r="D1708" s="255" t="s">
        <v>21266</v>
      </c>
      <c r="E1708" s="253" t="s">
        <v>170</v>
      </c>
    </row>
    <row r="1709" spans="1:5" ht="30">
      <c r="A1709" s="254">
        <v>20097</v>
      </c>
      <c r="B1709" s="254" t="s">
        <v>21267</v>
      </c>
      <c r="C1709" s="254" t="s">
        <v>4521</v>
      </c>
      <c r="D1709" s="255" t="s">
        <v>21268</v>
      </c>
      <c r="E1709" s="253" t="s">
        <v>170</v>
      </c>
    </row>
    <row r="1710" spans="1:5" ht="30">
      <c r="A1710" s="254">
        <v>20098</v>
      </c>
      <c r="B1710" s="254" t="s">
        <v>21269</v>
      </c>
      <c r="C1710" s="254" t="s">
        <v>4521</v>
      </c>
      <c r="D1710" s="255" t="s">
        <v>17838</v>
      </c>
      <c r="E1710" s="253" t="s">
        <v>170</v>
      </c>
    </row>
    <row r="1711" spans="1:5" ht="30">
      <c r="A1711" s="254">
        <v>20096</v>
      </c>
      <c r="B1711" s="254" t="s">
        <v>21270</v>
      </c>
      <c r="C1711" s="254" t="s">
        <v>4521</v>
      </c>
      <c r="D1711" s="255" t="s">
        <v>19992</v>
      </c>
      <c r="E1711" s="253" t="s">
        <v>170</v>
      </c>
    </row>
    <row r="1712" spans="1:5" ht="15">
      <c r="A1712" s="254">
        <v>1964</v>
      </c>
      <c r="B1712" s="254" t="s">
        <v>21271</v>
      </c>
      <c r="C1712" s="254" t="s">
        <v>4521</v>
      </c>
      <c r="D1712" s="255" t="s">
        <v>13689</v>
      </c>
      <c r="E1712" s="253" t="s">
        <v>170</v>
      </c>
    </row>
    <row r="1713" spans="1:5" ht="15">
      <c r="A1713" s="254">
        <v>1880</v>
      </c>
      <c r="B1713" s="254" t="s">
        <v>21272</v>
      </c>
      <c r="C1713" s="254" t="s">
        <v>4521</v>
      </c>
      <c r="D1713" s="255" t="s">
        <v>18519</v>
      </c>
      <c r="E1713" s="253" t="s">
        <v>170</v>
      </c>
    </row>
    <row r="1714" spans="1:5" ht="15">
      <c r="A1714" s="254">
        <v>39274</v>
      </c>
      <c r="B1714" s="254" t="s">
        <v>21273</v>
      </c>
      <c r="C1714" s="254" t="s">
        <v>4521</v>
      </c>
      <c r="D1714" s="255" t="s">
        <v>14455</v>
      </c>
      <c r="E1714" s="253" t="s">
        <v>170</v>
      </c>
    </row>
    <row r="1715" spans="1:5" ht="30">
      <c r="A1715" s="254">
        <v>2628</v>
      </c>
      <c r="B1715" s="254" t="s">
        <v>21274</v>
      </c>
      <c r="C1715" s="254" t="s">
        <v>4521</v>
      </c>
      <c r="D1715" s="255" t="s">
        <v>21275</v>
      </c>
      <c r="E1715" s="253" t="s">
        <v>170</v>
      </c>
    </row>
    <row r="1716" spans="1:5" ht="30">
      <c r="A1716" s="254">
        <v>2622</v>
      </c>
      <c r="B1716" s="254" t="s">
        <v>21276</v>
      </c>
      <c r="C1716" s="254" t="s">
        <v>4521</v>
      </c>
      <c r="D1716" s="255" t="s">
        <v>14340</v>
      </c>
      <c r="E1716" s="253" t="s">
        <v>170</v>
      </c>
    </row>
    <row r="1717" spans="1:5" ht="30">
      <c r="A1717" s="254">
        <v>2623</v>
      </c>
      <c r="B1717" s="254" t="s">
        <v>21277</v>
      </c>
      <c r="C1717" s="254" t="s">
        <v>4521</v>
      </c>
      <c r="D1717" s="255" t="s">
        <v>21278</v>
      </c>
      <c r="E1717" s="253" t="s">
        <v>170</v>
      </c>
    </row>
    <row r="1718" spans="1:5" ht="30">
      <c r="A1718" s="254">
        <v>2624</v>
      </c>
      <c r="B1718" s="254" t="s">
        <v>21279</v>
      </c>
      <c r="C1718" s="254" t="s">
        <v>4521</v>
      </c>
      <c r="D1718" s="255" t="s">
        <v>15721</v>
      </c>
      <c r="E1718" s="253" t="s">
        <v>170</v>
      </c>
    </row>
    <row r="1719" spans="1:5" ht="30">
      <c r="A1719" s="254">
        <v>2625</v>
      </c>
      <c r="B1719" s="254" t="s">
        <v>21280</v>
      </c>
      <c r="C1719" s="254" t="s">
        <v>4521</v>
      </c>
      <c r="D1719" s="255" t="s">
        <v>14278</v>
      </c>
      <c r="E1719" s="253" t="s">
        <v>170</v>
      </c>
    </row>
    <row r="1720" spans="1:5" ht="30">
      <c r="A1720" s="254">
        <v>2626</v>
      </c>
      <c r="B1720" s="254" t="s">
        <v>21281</v>
      </c>
      <c r="C1720" s="254" t="s">
        <v>4521</v>
      </c>
      <c r="D1720" s="255" t="s">
        <v>21282</v>
      </c>
      <c r="E1720" s="253" t="s">
        <v>170</v>
      </c>
    </row>
    <row r="1721" spans="1:5" ht="30">
      <c r="A1721" s="254">
        <v>2630</v>
      </c>
      <c r="B1721" s="254" t="s">
        <v>21283</v>
      </c>
      <c r="C1721" s="254" t="s">
        <v>4521</v>
      </c>
      <c r="D1721" s="255" t="s">
        <v>21284</v>
      </c>
      <c r="E1721" s="253" t="s">
        <v>170</v>
      </c>
    </row>
    <row r="1722" spans="1:5" ht="30">
      <c r="A1722" s="254">
        <v>2627</v>
      </c>
      <c r="B1722" s="254" t="s">
        <v>21285</v>
      </c>
      <c r="C1722" s="254" t="s">
        <v>4521</v>
      </c>
      <c r="D1722" s="255" t="s">
        <v>21286</v>
      </c>
      <c r="E1722" s="253" t="s">
        <v>170</v>
      </c>
    </row>
    <row r="1723" spans="1:5" ht="30">
      <c r="A1723" s="254">
        <v>2629</v>
      </c>
      <c r="B1723" s="254" t="s">
        <v>21287</v>
      </c>
      <c r="C1723" s="254" t="s">
        <v>4521</v>
      </c>
      <c r="D1723" s="255" t="s">
        <v>21288</v>
      </c>
      <c r="E1723" s="253" t="s">
        <v>170</v>
      </c>
    </row>
    <row r="1724" spans="1:5" ht="15">
      <c r="A1724" s="254">
        <v>12033</v>
      </c>
      <c r="B1724" s="254" t="s">
        <v>21289</v>
      </c>
      <c r="C1724" s="254" t="s">
        <v>4521</v>
      </c>
      <c r="D1724" s="255" t="s">
        <v>15730</v>
      </c>
      <c r="E1724" s="253" t="s">
        <v>170</v>
      </c>
    </row>
    <row r="1725" spans="1:5" ht="15">
      <c r="A1725" s="254">
        <v>40408</v>
      </c>
      <c r="B1725" s="254" t="s">
        <v>21290</v>
      </c>
      <c r="C1725" s="254" t="s">
        <v>4521</v>
      </c>
      <c r="D1725" s="255" t="s">
        <v>16470</v>
      </c>
      <c r="E1725" s="253" t="s">
        <v>170</v>
      </c>
    </row>
    <row r="1726" spans="1:5" ht="15">
      <c r="A1726" s="254">
        <v>40409</v>
      </c>
      <c r="B1726" s="254" t="s">
        <v>21291</v>
      </c>
      <c r="C1726" s="254" t="s">
        <v>4521</v>
      </c>
      <c r="D1726" s="255" t="s">
        <v>21292</v>
      </c>
      <c r="E1726" s="253" t="s">
        <v>170</v>
      </c>
    </row>
    <row r="1727" spans="1:5" ht="15">
      <c r="A1727" s="254">
        <v>39276</v>
      </c>
      <c r="B1727" s="254" t="s">
        <v>21293</v>
      </c>
      <c r="C1727" s="254" t="s">
        <v>4521</v>
      </c>
      <c r="D1727" s="255" t="s">
        <v>17007</v>
      </c>
      <c r="E1727" s="253" t="s">
        <v>170</v>
      </c>
    </row>
    <row r="1728" spans="1:5" ht="15">
      <c r="A1728" s="254">
        <v>39277</v>
      </c>
      <c r="B1728" s="254" t="s">
        <v>21294</v>
      </c>
      <c r="C1728" s="254" t="s">
        <v>4521</v>
      </c>
      <c r="D1728" s="255" t="s">
        <v>15504</v>
      </c>
      <c r="E1728" s="253" t="s">
        <v>170</v>
      </c>
    </row>
    <row r="1729" spans="1:5" ht="15">
      <c r="A1729" s="254">
        <v>12034</v>
      </c>
      <c r="B1729" s="254" t="s">
        <v>21295</v>
      </c>
      <c r="C1729" s="254" t="s">
        <v>4521</v>
      </c>
      <c r="D1729" s="255" t="s">
        <v>14194</v>
      </c>
      <c r="E1729" s="253" t="s">
        <v>170</v>
      </c>
    </row>
    <row r="1730" spans="1:5" ht="15">
      <c r="A1730" s="254">
        <v>39879</v>
      </c>
      <c r="B1730" s="254" t="s">
        <v>21296</v>
      </c>
      <c r="C1730" s="254" t="s">
        <v>4521</v>
      </c>
      <c r="D1730" s="255" t="s">
        <v>14128</v>
      </c>
      <c r="E1730" s="253" t="s">
        <v>170</v>
      </c>
    </row>
    <row r="1731" spans="1:5" ht="15">
      <c r="A1731" s="254">
        <v>39880</v>
      </c>
      <c r="B1731" s="254" t="s">
        <v>21297</v>
      </c>
      <c r="C1731" s="254" t="s">
        <v>4521</v>
      </c>
      <c r="D1731" s="255" t="s">
        <v>21298</v>
      </c>
      <c r="E1731" s="253" t="s">
        <v>170</v>
      </c>
    </row>
    <row r="1732" spans="1:5" ht="15">
      <c r="A1732" s="254">
        <v>39881</v>
      </c>
      <c r="B1732" s="254" t="s">
        <v>21299</v>
      </c>
      <c r="C1732" s="254" t="s">
        <v>4521</v>
      </c>
      <c r="D1732" s="255" t="s">
        <v>15781</v>
      </c>
      <c r="E1732" s="253" t="s">
        <v>170</v>
      </c>
    </row>
    <row r="1733" spans="1:5" ht="15">
      <c r="A1733" s="254">
        <v>39882</v>
      </c>
      <c r="B1733" s="254" t="s">
        <v>21300</v>
      </c>
      <c r="C1733" s="254" t="s">
        <v>4521</v>
      </c>
      <c r="D1733" s="255" t="s">
        <v>15598</v>
      </c>
      <c r="E1733" s="253" t="s">
        <v>170</v>
      </c>
    </row>
    <row r="1734" spans="1:5" ht="15">
      <c r="A1734" s="254">
        <v>39883</v>
      </c>
      <c r="B1734" s="254" t="s">
        <v>21301</v>
      </c>
      <c r="C1734" s="254" t="s">
        <v>4521</v>
      </c>
      <c r="D1734" s="255" t="s">
        <v>21302</v>
      </c>
      <c r="E1734" s="253" t="s">
        <v>170</v>
      </c>
    </row>
    <row r="1735" spans="1:5" ht="15">
      <c r="A1735" s="254">
        <v>39884</v>
      </c>
      <c r="B1735" s="254" t="s">
        <v>21303</v>
      </c>
      <c r="C1735" s="254" t="s">
        <v>4521</v>
      </c>
      <c r="D1735" s="255" t="s">
        <v>21304</v>
      </c>
      <c r="E1735" s="253" t="s">
        <v>170</v>
      </c>
    </row>
    <row r="1736" spans="1:5" ht="15">
      <c r="A1736" s="254">
        <v>39885</v>
      </c>
      <c r="B1736" s="254" t="s">
        <v>21305</v>
      </c>
      <c r="C1736" s="254" t="s">
        <v>4521</v>
      </c>
      <c r="D1736" s="255" t="s">
        <v>21306</v>
      </c>
      <c r="E1736" s="253" t="s">
        <v>170</v>
      </c>
    </row>
    <row r="1737" spans="1:5" ht="15">
      <c r="A1737" s="254">
        <v>1777</v>
      </c>
      <c r="B1737" s="254" t="s">
        <v>21307</v>
      </c>
      <c r="C1737" s="254" t="s">
        <v>4521</v>
      </c>
      <c r="D1737" s="255" t="s">
        <v>18479</v>
      </c>
      <c r="E1737" s="253" t="s">
        <v>170</v>
      </c>
    </row>
    <row r="1738" spans="1:5" ht="15">
      <c r="A1738" s="254">
        <v>1819</v>
      </c>
      <c r="B1738" s="254" t="s">
        <v>21308</v>
      </c>
      <c r="C1738" s="254" t="s">
        <v>4521</v>
      </c>
      <c r="D1738" s="255" t="s">
        <v>16832</v>
      </c>
      <c r="E1738" s="253" t="s">
        <v>170</v>
      </c>
    </row>
    <row r="1739" spans="1:5" ht="15">
      <c r="A1739" s="254">
        <v>1775</v>
      </c>
      <c r="B1739" s="254" t="s">
        <v>21309</v>
      </c>
      <c r="C1739" s="254" t="s">
        <v>4521</v>
      </c>
      <c r="D1739" s="255" t="s">
        <v>16922</v>
      </c>
      <c r="E1739" s="253" t="s">
        <v>170</v>
      </c>
    </row>
    <row r="1740" spans="1:5" ht="15">
      <c r="A1740" s="254">
        <v>1776</v>
      </c>
      <c r="B1740" s="254" t="s">
        <v>21310</v>
      </c>
      <c r="C1740" s="254" t="s">
        <v>4521</v>
      </c>
      <c r="D1740" s="255" t="s">
        <v>20104</v>
      </c>
      <c r="E1740" s="253" t="s">
        <v>170</v>
      </c>
    </row>
    <row r="1741" spans="1:5" ht="15">
      <c r="A1741" s="254">
        <v>1778</v>
      </c>
      <c r="B1741" s="254" t="s">
        <v>21311</v>
      </c>
      <c r="C1741" s="254" t="s">
        <v>4521</v>
      </c>
      <c r="D1741" s="255" t="s">
        <v>21312</v>
      </c>
      <c r="E1741" s="253" t="s">
        <v>170</v>
      </c>
    </row>
    <row r="1742" spans="1:5" ht="15">
      <c r="A1742" s="254">
        <v>1818</v>
      </c>
      <c r="B1742" s="254" t="s">
        <v>21313</v>
      </c>
      <c r="C1742" s="254" t="s">
        <v>4521</v>
      </c>
      <c r="D1742" s="255" t="s">
        <v>21314</v>
      </c>
      <c r="E1742" s="253" t="s">
        <v>170</v>
      </c>
    </row>
    <row r="1743" spans="1:5" ht="15">
      <c r="A1743" s="254">
        <v>1820</v>
      </c>
      <c r="B1743" s="254" t="s">
        <v>21315</v>
      </c>
      <c r="C1743" s="254" t="s">
        <v>4521</v>
      </c>
      <c r="D1743" s="255" t="s">
        <v>16891</v>
      </c>
      <c r="E1743" s="253" t="s">
        <v>170</v>
      </c>
    </row>
    <row r="1744" spans="1:5" ht="15">
      <c r="A1744" s="254">
        <v>1779</v>
      </c>
      <c r="B1744" s="254" t="s">
        <v>21316</v>
      </c>
      <c r="C1744" s="254" t="s">
        <v>4521</v>
      </c>
      <c r="D1744" s="255" t="s">
        <v>21306</v>
      </c>
      <c r="E1744" s="253" t="s">
        <v>170</v>
      </c>
    </row>
    <row r="1745" spans="1:5" ht="15">
      <c r="A1745" s="254">
        <v>1780</v>
      </c>
      <c r="B1745" s="254" t="s">
        <v>21317</v>
      </c>
      <c r="C1745" s="254" t="s">
        <v>4521</v>
      </c>
      <c r="D1745" s="255" t="s">
        <v>21318</v>
      </c>
      <c r="E1745" s="253" t="s">
        <v>170</v>
      </c>
    </row>
    <row r="1746" spans="1:5" ht="30">
      <c r="A1746" s="254">
        <v>1783</v>
      </c>
      <c r="B1746" s="254" t="s">
        <v>21319</v>
      </c>
      <c r="C1746" s="254" t="s">
        <v>4521</v>
      </c>
      <c r="D1746" s="255" t="s">
        <v>18474</v>
      </c>
      <c r="E1746" s="253" t="s">
        <v>170</v>
      </c>
    </row>
    <row r="1747" spans="1:5" ht="30">
      <c r="A1747" s="254">
        <v>1782</v>
      </c>
      <c r="B1747" s="254" t="s">
        <v>21320</v>
      </c>
      <c r="C1747" s="254" t="s">
        <v>4521</v>
      </c>
      <c r="D1747" s="255" t="s">
        <v>14038</v>
      </c>
      <c r="E1747" s="253" t="s">
        <v>170</v>
      </c>
    </row>
    <row r="1748" spans="1:5" ht="15">
      <c r="A1748" s="254">
        <v>1817</v>
      </c>
      <c r="B1748" s="254" t="s">
        <v>21321</v>
      </c>
      <c r="C1748" s="254" t="s">
        <v>4521</v>
      </c>
      <c r="D1748" s="255" t="s">
        <v>13838</v>
      </c>
      <c r="E1748" s="253" t="s">
        <v>170</v>
      </c>
    </row>
    <row r="1749" spans="1:5" ht="15">
      <c r="A1749" s="254">
        <v>1781</v>
      </c>
      <c r="B1749" s="254" t="s">
        <v>21322</v>
      </c>
      <c r="C1749" s="254" t="s">
        <v>4521</v>
      </c>
      <c r="D1749" s="255" t="s">
        <v>21323</v>
      </c>
      <c r="E1749" s="253" t="s">
        <v>170</v>
      </c>
    </row>
    <row r="1750" spans="1:5" ht="30">
      <c r="A1750" s="254">
        <v>1784</v>
      </c>
      <c r="B1750" s="254" t="s">
        <v>21324</v>
      </c>
      <c r="C1750" s="254" t="s">
        <v>4521</v>
      </c>
      <c r="D1750" s="255" t="s">
        <v>21325</v>
      </c>
      <c r="E1750" s="253" t="s">
        <v>170</v>
      </c>
    </row>
    <row r="1751" spans="1:5" ht="15">
      <c r="A1751" s="254">
        <v>1810</v>
      </c>
      <c r="B1751" s="254" t="s">
        <v>21326</v>
      </c>
      <c r="C1751" s="254" t="s">
        <v>4521</v>
      </c>
      <c r="D1751" s="255" t="s">
        <v>21327</v>
      </c>
      <c r="E1751" s="253" t="s">
        <v>170</v>
      </c>
    </row>
    <row r="1752" spans="1:5" ht="15">
      <c r="A1752" s="254">
        <v>1811</v>
      </c>
      <c r="B1752" s="254" t="s">
        <v>21328</v>
      </c>
      <c r="C1752" s="254" t="s">
        <v>4521</v>
      </c>
      <c r="D1752" s="255" t="s">
        <v>21329</v>
      </c>
      <c r="E1752" s="253" t="s">
        <v>170</v>
      </c>
    </row>
    <row r="1753" spans="1:5" ht="15">
      <c r="A1753" s="254">
        <v>1812</v>
      </c>
      <c r="B1753" s="254" t="s">
        <v>21330</v>
      </c>
      <c r="C1753" s="254" t="s">
        <v>4521</v>
      </c>
      <c r="D1753" s="255" t="s">
        <v>21331</v>
      </c>
      <c r="E1753" s="253" t="s">
        <v>170</v>
      </c>
    </row>
    <row r="1754" spans="1:5" ht="15">
      <c r="A1754" s="254">
        <v>40386</v>
      </c>
      <c r="B1754" s="254" t="s">
        <v>21332</v>
      </c>
      <c r="C1754" s="254" t="s">
        <v>4521</v>
      </c>
      <c r="D1754" s="255" t="s">
        <v>21333</v>
      </c>
      <c r="E1754" s="253" t="s">
        <v>170</v>
      </c>
    </row>
    <row r="1755" spans="1:5" ht="15">
      <c r="A1755" s="254">
        <v>40384</v>
      </c>
      <c r="B1755" s="254" t="s">
        <v>21334</v>
      </c>
      <c r="C1755" s="254" t="s">
        <v>4521</v>
      </c>
      <c r="D1755" s="255" t="s">
        <v>21335</v>
      </c>
      <c r="E1755" s="253" t="s">
        <v>170</v>
      </c>
    </row>
    <row r="1756" spans="1:5" ht="15">
      <c r="A1756" s="254">
        <v>40379</v>
      </c>
      <c r="B1756" s="254" t="s">
        <v>21336</v>
      </c>
      <c r="C1756" s="254" t="s">
        <v>4521</v>
      </c>
      <c r="D1756" s="255" t="s">
        <v>16711</v>
      </c>
      <c r="E1756" s="253" t="s">
        <v>170</v>
      </c>
    </row>
    <row r="1757" spans="1:5" ht="15">
      <c r="A1757" s="254">
        <v>40423</v>
      </c>
      <c r="B1757" s="254" t="s">
        <v>21337</v>
      </c>
      <c r="C1757" s="254" t="s">
        <v>4521</v>
      </c>
      <c r="D1757" s="255" t="s">
        <v>21338</v>
      </c>
      <c r="E1757" s="253" t="s">
        <v>170</v>
      </c>
    </row>
    <row r="1758" spans="1:5" ht="15">
      <c r="A1758" s="254">
        <v>40389</v>
      </c>
      <c r="B1758" s="254" t="s">
        <v>21339</v>
      </c>
      <c r="C1758" s="254" t="s">
        <v>4521</v>
      </c>
      <c r="D1758" s="255" t="s">
        <v>21340</v>
      </c>
      <c r="E1758" s="253" t="s">
        <v>170</v>
      </c>
    </row>
    <row r="1759" spans="1:5" ht="15">
      <c r="A1759" s="254">
        <v>40388</v>
      </c>
      <c r="B1759" s="254" t="s">
        <v>21341</v>
      </c>
      <c r="C1759" s="254" t="s">
        <v>4521</v>
      </c>
      <c r="D1759" s="255" t="s">
        <v>21342</v>
      </c>
      <c r="E1759" s="253" t="s">
        <v>170</v>
      </c>
    </row>
    <row r="1760" spans="1:5" ht="15">
      <c r="A1760" s="254">
        <v>40381</v>
      </c>
      <c r="B1760" s="254" t="s">
        <v>21343</v>
      </c>
      <c r="C1760" s="254" t="s">
        <v>4521</v>
      </c>
      <c r="D1760" s="255" t="s">
        <v>21344</v>
      </c>
      <c r="E1760" s="253" t="s">
        <v>170</v>
      </c>
    </row>
    <row r="1761" spans="1:5" ht="15">
      <c r="A1761" s="254">
        <v>40391</v>
      </c>
      <c r="B1761" s="254" t="s">
        <v>21345</v>
      </c>
      <c r="C1761" s="254" t="s">
        <v>4521</v>
      </c>
      <c r="D1761" s="255" t="s">
        <v>21346</v>
      </c>
      <c r="E1761" s="253" t="s">
        <v>170</v>
      </c>
    </row>
    <row r="1762" spans="1:5" ht="15">
      <c r="A1762" s="254">
        <v>40414</v>
      </c>
      <c r="B1762" s="254" t="s">
        <v>21347</v>
      </c>
      <c r="C1762" s="254" t="s">
        <v>4521</v>
      </c>
      <c r="D1762" s="255" t="s">
        <v>21348</v>
      </c>
      <c r="E1762" s="253" t="s">
        <v>170</v>
      </c>
    </row>
    <row r="1763" spans="1:5" ht="15">
      <c r="A1763" s="254">
        <v>40416</v>
      </c>
      <c r="B1763" s="254" t="s">
        <v>21349</v>
      </c>
      <c r="C1763" s="254" t="s">
        <v>4521</v>
      </c>
      <c r="D1763" s="255" t="s">
        <v>21350</v>
      </c>
      <c r="E1763" s="253" t="s">
        <v>170</v>
      </c>
    </row>
    <row r="1764" spans="1:5" ht="15">
      <c r="A1764" s="254">
        <v>40418</v>
      </c>
      <c r="B1764" s="254" t="s">
        <v>21351</v>
      </c>
      <c r="C1764" s="254" t="s">
        <v>4521</v>
      </c>
      <c r="D1764" s="255" t="s">
        <v>17929</v>
      </c>
      <c r="E1764" s="253" t="s">
        <v>170</v>
      </c>
    </row>
    <row r="1765" spans="1:5" ht="30">
      <c r="A1765" s="254">
        <v>2609</v>
      </c>
      <c r="B1765" s="254" t="s">
        <v>21352</v>
      </c>
      <c r="C1765" s="254" t="s">
        <v>4521</v>
      </c>
      <c r="D1765" s="255" t="s">
        <v>21353</v>
      </c>
      <c r="E1765" s="253" t="s">
        <v>170</v>
      </c>
    </row>
    <row r="1766" spans="1:5" ht="30">
      <c r="A1766" s="254">
        <v>2634</v>
      </c>
      <c r="B1766" s="254" t="s">
        <v>21354</v>
      </c>
      <c r="C1766" s="254" t="s">
        <v>4521</v>
      </c>
      <c r="D1766" s="255" t="s">
        <v>16360</v>
      </c>
      <c r="E1766" s="253" t="s">
        <v>170</v>
      </c>
    </row>
    <row r="1767" spans="1:5" ht="30">
      <c r="A1767" s="254">
        <v>2611</v>
      </c>
      <c r="B1767" s="254" t="s">
        <v>21355</v>
      </c>
      <c r="C1767" s="254" t="s">
        <v>4521</v>
      </c>
      <c r="D1767" s="255" t="s">
        <v>21356</v>
      </c>
      <c r="E1767" s="253" t="s">
        <v>170</v>
      </c>
    </row>
    <row r="1768" spans="1:5" ht="15">
      <c r="A1768" s="254">
        <v>34359</v>
      </c>
      <c r="B1768" s="254" t="s">
        <v>21357</v>
      </c>
      <c r="C1768" s="254" t="s">
        <v>4521</v>
      </c>
      <c r="D1768" s="255" t="s">
        <v>18145</v>
      </c>
      <c r="E1768" s="253" t="s">
        <v>170</v>
      </c>
    </row>
    <row r="1769" spans="1:5" ht="15">
      <c r="A1769" s="254">
        <v>1789</v>
      </c>
      <c r="B1769" s="254" t="s">
        <v>21358</v>
      </c>
      <c r="C1769" s="254" t="s">
        <v>4521</v>
      </c>
      <c r="D1769" s="255" t="s">
        <v>21359</v>
      </c>
      <c r="E1769" s="253" t="s">
        <v>170</v>
      </c>
    </row>
    <row r="1770" spans="1:5" ht="15">
      <c r="A1770" s="254">
        <v>1788</v>
      </c>
      <c r="B1770" s="254" t="s">
        <v>21360</v>
      </c>
      <c r="C1770" s="254" t="s">
        <v>4521</v>
      </c>
      <c r="D1770" s="255" t="s">
        <v>21361</v>
      </c>
      <c r="E1770" s="253" t="s">
        <v>170</v>
      </c>
    </row>
    <row r="1771" spans="1:5" ht="15">
      <c r="A1771" s="254">
        <v>1786</v>
      </c>
      <c r="B1771" s="254" t="s">
        <v>21362</v>
      </c>
      <c r="C1771" s="254" t="s">
        <v>4521</v>
      </c>
      <c r="D1771" s="255" t="s">
        <v>18461</v>
      </c>
      <c r="E1771" s="253" t="s">
        <v>170</v>
      </c>
    </row>
    <row r="1772" spans="1:5" ht="15">
      <c r="A1772" s="254">
        <v>1787</v>
      </c>
      <c r="B1772" s="254" t="s">
        <v>21363</v>
      </c>
      <c r="C1772" s="254" t="s">
        <v>4521</v>
      </c>
      <c r="D1772" s="255" t="s">
        <v>21364</v>
      </c>
      <c r="E1772" s="253" t="s">
        <v>170</v>
      </c>
    </row>
    <row r="1773" spans="1:5" ht="15">
      <c r="A1773" s="254">
        <v>1791</v>
      </c>
      <c r="B1773" s="254" t="s">
        <v>21365</v>
      </c>
      <c r="C1773" s="254" t="s">
        <v>4521</v>
      </c>
      <c r="D1773" s="255" t="s">
        <v>21366</v>
      </c>
      <c r="E1773" s="253" t="s">
        <v>170</v>
      </c>
    </row>
    <row r="1774" spans="1:5" ht="15">
      <c r="A1774" s="254">
        <v>1790</v>
      </c>
      <c r="B1774" s="254" t="s">
        <v>21367</v>
      </c>
      <c r="C1774" s="254" t="s">
        <v>4521</v>
      </c>
      <c r="D1774" s="255" t="s">
        <v>21368</v>
      </c>
      <c r="E1774" s="253" t="s">
        <v>170</v>
      </c>
    </row>
    <row r="1775" spans="1:5" ht="15">
      <c r="A1775" s="254">
        <v>1813</v>
      </c>
      <c r="B1775" s="254" t="s">
        <v>21369</v>
      </c>
      <c r="C1775" s="254" t="s">
        <v>4521</v>
      </c>
      <c r="D1775" s="255" t="s">
        <v>21370</v>
      </c>
      <c r="E1775" s="253" t="s">
        <v>170</v>
      </c>
    </row>
    <row r="1776" spans="1:5" ht="15">
      <c r="A1776" s="254">
        <v>1792</v>
      </c>
      <c r="B1776" s="254" t="s">
        <v>21371</v>
      </c>
      <c r="C1776" s="254" t="s">
        <v>4521</v>
      </c>
      <c r="D1776" s="255" t="s">
        <v>21372</v>
      </c>
      <c r="E1776" s="253" t="s">
        <v>170</v>
      </c>
    </row>
    <row r="1777" spans="1:5" ht="15">
      <c r="A1777" s="254">
        <v>1793</v>
      </c>
      <c r="B1777" s="254" t="s">
        <v>21373</v>
      </c>
      <c r="C1777" s="254" t="s">
        <v>4521</v>
      </c>
      <c r="D1777" s="255" t="s">
        <v>21374</v>
      </c>
      <c r="E1777" s="253" t="s">
        <v>170</v>
      </c>
    </row>
    <row r="1778" spans="1:5" ht="30">
      <c r="A1778" s="254">
        <v>1809</v>
      </c>
      <c r="B1778" s="254" t="s">
        <v>21375</v>
      </c>
      <c r="C1778" s="254" t="s">
        <v>4521</v>
      </c>
      <c r="D1778" s="255" t="s">
        <v>21376</v>
      </c>
      <c r="E1778" s="253" t="s">
        <v>170</v>
      </c>
    </row>
    <row r="1779" spans="1:5" ht="30">
      <c r="A1779" s="254">
        <v>1814</v>
      </c>
      <c r="B1779" s="254" t="s">
        <v>21377</v>
      </c>
      <c r="C1779" s="254" t="s">
        <v>4521</v>
      </c>
      <c r="D1779" s="255" t="s">
        <v>21378</v>
      </c>
      <c r="E1779" s="253" t="s">
        <v>170</v>
      </c>
    </row>
    <row r="1780" spans="1:5" ht="15">
      <c r="A1780" s="254">
        <v>1803</v>
      </c>
      <c r="B1780" s="254" t="s">
        <v>21379</v>
      </c>
      <c r="C1780" s="254" t="s">
        <v>4521</v>
      </c>
      <c r="D1780" s="255" t="s">
        <v>14736</v>
      </c>
      <c r="E1780" s="253" t="s">
        <v>170</v>
      </c>
    </row>
    <row r="1781" spans="1:5" ht="15">
      <c r="A1781" s="254">
        <v>1805</v>
      </c>
      <c r="B1781" s="254" t="s">
        <v>21380</v>
      </c>
      <c r="C1781" s="254" t="s">
        <v>4521</v>
      </c>
      <c r="D1781" s="255" t="s">
        <v>16807</v>
      </c>
      <c r="E1781" s="253" t="s">
        <v>170</v>
      </c>
    </row>
    <row r="1782" spans="1:5" ht="30">
      <c r="A1782" s="254">
        <v>1821</v>
      </c>
      <c r="B1782" s="254" t="s">
        <v>21381</v>
      </c>
      <c r="C1782" s="254" t="s">
        <v>4521</v>
      </c>
      <c r="D1782" s="255" t="s">
        <v>21382</v>
      </c>
      <c r="E1782" s="253" t="s">
        <v>170</v>
      </c>
    </row>
    <row r="1783" spans="1:5" ht="15">
      <c r="A1783" s="254">
        <v>1806</v>
      </c>
      <c r="B1783" s="254" t="s">
        <v>21383</v>
      </c>
      <c r="C1783" s="254" t="s">
        <v>4521</v>
      </c>
      <c r="D1783" s="255" t="s">
        <v>14914</v>
      </c>
      <c r="E1783" s="253" t="s">
        <v>170</v>
      </c>
    </row>
    <row r="1784" spans="1:5" ht="15">
      <c r="A1784" s="254">
        <v>1804</v>
      </c>
      <c r="B1784" s="254" t="s">
        <v>21384</v>
      </c>
      <c r="C1784" s="254" t="s">
        <v>4521</v>
      </c>
      <c r="D1784" s="255" t="s">
        <v>19833</v>
      </c>
      <c r="E1784" s="253" t="s">
        <v>170</v>
      </c>
    </row>
    <row r="1785" spans="1:5" ht="15">
      <c r="A1785" s="254">
        <v>1807</v>
      </c>
      <c r="B1785" s="254" t="s">
        <v>21385</v>
      </c>
      <c r="C1785" s="254" t="s">
        <v>4521</v>
      </c>
      <c r="D1785" s="255" t="s">
        <v>21386</v>
      </c>
      <c r="E1785" s="253" t="s">
        <v>170</v>
      </c>
    </row>
    <row r="1786" spans="1:5" ht="15">
      <c r="A1786" s="254">
        <v>1808</v>
      </c>
      <c r="B1786" s="254" t="s">
        <v>21387</v>
      </c>
      <c r="C1786" s="254" t="s">
        <v>4521</v>
      </c>
      <c r="D1786" s="255" t="s">
        <v>21388</v>
      </c>
      <c r="E1786" s="253" t="s">
        <v>170</v>
      </c>
    </row>
    <row r="1787" spans="1:5" ht="15">
      <c r="A1787" s="254">
        <v>1797</v>
      </c>
      <c r="B1787" s="254" t="s">
        <v>21389</v>
      </c>
      <c r="C1787" s="254" t="s">
        <v>4521</v>
      </c>
      <c r="D1787" s="256" t="s">
        <v>21390</v>
      </c>
      <c r="E1787" s="253" t="s">
        <v>170</v>
      </c>
    </row>
    <row r="1788" spans="1:5" ht="15">
      <c r="A1788" s="254">
        <v>1796</v>
      </c>
      <c r="B1788" s="254" t="s">
        <v>21391</v>
      </c>
      <c r="C1788" s="254" t="s">
        <v>4521</v>
      </c>
      <c r="D1788" s="256" t="s">
        <v>21392</v>
      </c>
      <c r="E1788" s="253" t="s">
        <v>170</v>
      </c>
    </row>
    <row r="1789" spans="1:5" ht="15">
      <c r="A1789" s="254">
        <v>1794</v>
      </c>
      <c r="B1789" s="254" t="s">
        <v>21393</v>
      </c>
      <c r="C1789" s="254" t="s">
        <v>4521</v>
      </c>
      <c r="D1789" s="256" t="s">
        <v>21394</v>
      </c>
      <c r="E1789" s="253" t="s">
        <v>170</v>
      </c>
    </row>
    <row r="1790" spans="1:5" ht="15">
      <c r="A1790" s="254">
        <v>1816</v>
      </c>
      <c r="B1790" s="254" t="s">
        <v>21395</v>
      </c>
      <c r="C1790" s="254" t="s">
        <v>4521</v>
      </c>
      <c r="D1790" s="256" t="s">
        <v>16955</v>
      </c>
      <c r="E1790" s="253" t="s">
        <v>170</v>
      </c>
    </row>
    <row r="1791" spans="1:5" ht="15">
      <c r="A1791" s="254">
        <v>1815</v>
      </c>
      <c r="B1791" s="254" t="s">
        <v>21396</v>
      </c>
      <c r="C1791" s="254" t="s">
        <v>4521</v>
      </c>
      <c r="D1791" s="255" t="s">
        <v>21397</v>
      </c>
      <c r="E1791" s="253" t="s">
        <v>170</v>
      </c>
    </row>
    <row r="1792" spans="1:5" ht="15">
      <c r="A1792" s="254">
        <v>1798</v>
      </c>
      <c r="B1792" s="254" t="s">
        <v>21398</v>
      </c>
      <c r="C1792" s="254" t="s">
        <v>4521</v>
      </c>
      <c r="D1792" s="255" t="s">
        <v>21399</v>
      </c>
      <c r="E1792" s="253" t="s">
        <v>170</v>
      </c>
    </row>
    <row r="1793" spans="1:5" ht="15">
      <c r="A1793" s="254">
        <v>1795</v>
      </c>
      <c r="B1793" s="254" t="s">
        <v>21400</v>
      </c>
      <c r="C1793" s="254" t="s">
        <v>4521</v>
      </c>
      <c r="D1793" s="255" t="s">
        <v>16557</v>
      </c>
      <c r="E1793" s="253" t="s">
        <v>170</v>
      </c>
    </row>
    <row r="1794" spans="1:5" ht="15">
      <c r="A1794" s="254">
        <v>1799</v>
      </c>
      <c r="B1794" s="254" t="s">
        <v>21401</v>
      </c>
      <c r="C1794" s="254" t="s">
        <v>4521</v>
      </c>
      <c r="D1794" s="255" t="s">
        <v>21402</v>
      </c>
      <c r="E1794" s="253" t="s">
        <v>170</v>
      </c>
    </row>
    <row r="1795" spans="1:5" ht="15">
      <c r="A1795" s="254">
        <v>1800</v>
      </c>
      <c r="B1795" s="254" t="s">
        <v>21403</v>
      </c>
      <c r="C1795" s="254" t="s">
        <v>4521</v>
      </c>
      <c r="D1795" s="255" t="s">
        <v>21404</v>
      </c>
      <c r="E1795" s="253" t="s">
        <v>170</v>
      </c>
    </row>
    <row r="1796" spans="1:5" ht="15">
      <c r="A1796" s="254">
        <v>1802</v>
      </c>
      <c r="B1796" s="254" t="s">
        <v>21405</v>
      </c>
      <c r="C1796" s="254" t="s">
        <v>4521</v>
      </c>
      <c r="D1796" s="256" t="s">
        <v>21406</v>
      </c>
      <c r="E1796" s="253" t="s">
        <v>170</v>
      </c>
    </row>
    <row r="1797" spans="1:5" ht="30">
      <c r="A1797" s="254">
        <v>40385</v>
      </c>
      <c r="B1797" s="254" t="s">
        <v>21407</v>
      </c>
      <c r="C1797" s="254" t="s">
        <v>4521</v>
      </c>
      <c r="D1797" s="256" t="s">
        <v>21333</v>
      </c>
      <c r="E1797" s="253" t="s">
        <v>170</v>
      </c>
    </row>
    <row r="1798" spans="1:5" ht="30">
      <c r="A1798" s="254">
        <v>40383</v>
      </c>
      <c r="B1798" s="254" t="s">
        <v>21408</v>
      </c>
      <c r="C1798" s="254" t="s">
        <v>4521</v>
      </c>
      <c r="D1798" s="256" t="s">
        <v>21335</v>
      </c>
      <c r="E1798" s="253" t="s">
        <v>170</v>
      </c>
    </row>
    <row r="1799" spans="1:5" ht="30">
      <c r="A1799" s="254">
        <v>40378</v>
      </c>
      <c r="B1799" s="254" t="s">
        <v>21409</v>
      </c>
      <c r="C1799" s="254" t="s">
        <v>4521</v>
      </c>
      <c r="D1799" s="256" t="s">
        <v>16711</v>
      </c>
      <c r="E1799" s="253" t="s">
        <v>170</v>
      </c>
    </row>
    <row r="1800" spans="1:5" ht="30">
      <c r="A1800" s="254">
        <v>40382</v>
      </c>
      <c r="B1800" s="254" t="s">
        <v>21410</v>
      </c>
      <c r="C1800" s="254" t="s">
        <v>4521</v>
      </c>
      <c r="D1800" s="256" t="s">
        <v>21338</v>
      </c>
      <c r="E1800" s="253" t="s">
        <v>170</v>
      </c>
    </row>
    <row r="1801" spans="1:5" ht="30">
      <c r="A1801" s="254">
        <v>40422</v>
      </c>
      <c r="B1801" s="254" t="s">
        <v>21411</v>
      </c>
      <c r="C1801" s="254" t="s">
        <v>4521</v>
      </c>
      <c r="D1801" s="255" t="s">
        <v>21412</v>
      </c>
      <c r="E1801" s="253" t="s">
        <v>170</v>
      </c>
    </row>
    <row r="1802" spans="1:5" ht="30">
      <c r="A1802" s="254">
        <v>40387</v>
      </c>
      <c r="B1802" s="254" t="s">
        <v>21413</v>
      </c>
      <c r="C1802" s="254" t="s">
        <v>4521</v>
      </c>
      <c r="D1802" s="255" t="s">
        <v>18206</v>
      </c>
      <c r="E1802" s="253" t="s">
        <v>170</v>
      </c>
    </row>
    <row r="1803" spans="1:5" ht="30">
      <c r="A1803" s="254">
        <v>40380</v>
      </c>
      <c r="B1803" s="254" t="s">
        <v>21414</v>
      </c>
      <c r="C1803" s="254" t="s">
        <v>4521</v>
      </c>
      <c r="D1803" s="255" t="s">
        <v>21344</v>
      </c>
      <c r="E1803" s="253" t="s">
        <v>170</v>
      </c>
    </row>
    <row r="1804" spans="1:5" ht="30">
      <c r="A1804" s="254">
        <v>40390</v>
      </c>
      <c r="B1804" s="254" t="s">
        <v>21415</v>
      </c>
      <c r="C1804" s="254" t="s">
        <v>4521</v>
      </c>
      <c r="D1804" s="255" t="s">
        <v>21416</v>
      </c>
      <c r="E1804" s="253" t="s">
        <v>170</v>
      </c>
    </row>
    <row r="1805" spans="1:5" ht="15">
      <c r="A1805" s="254">
        <v>40413</v>
      </c>
      <c r="B1805" s="254" t="s">
        <v>21417</v>
      </c>
      <c r="C1805" s="254" t="s">
        <v>4521</v>
      </c>
      <c r="D1805" s="255" t="s">
        <v>16584</v>
      </c>
      <c r="E1805" s="253" t="s">
        <v>170</v>
      </c>
    </row>
    <row r="1806" spans="1:5" ht="15">
      <c r="A1806" s="254">
        <v>40415</v>
      </c>
      <c r="B1806" s="254" t="s">
        <v>21418</v>
      </c>
      <c r="C1806" s="254" t="s">
        <v>4521</v>
      </c>
      <c r="D1806" s="255" t="s">
        <v>18506</v>
      </c>
      <c r="E1806" s="253" t="s">
        <v>170</v>
      </c>
    </row>
    <row r="1807" spans="1:5" ht="15">
      <c r="A1807" s="254">
        <v>40417</v>
      </c>
      <c r="B1807" s="254" t="s">
        <v>21419</v>
      </c>
      <c r="C1807" s="254" t="s">
        <v>4521</v>
      </c>
      <c r="D1807" s="255" t="s">
        <v>13551</v>
      </c>
      <c r="E1807" s="253" t="s">
        <v>170</v>
      </c>
    </row>
    <row r="1808" spans="1:5" ht="15">
      <c r="A1808" s="254">
        <v>39271</v>
      </c>
      <c r="B1808" s="254" t="s">
        <v>21420</v>
      </c>
      <c r="C1808" s="254" t="s">
        <v>4521</v>
      </c>
      <c r="D1808" s="255" t="s">
        <v>17690</v>
      </c>
      <c r="E1808" s="253" t="s">
        <v>170</v>
      </c>
    </row>
    <row r="1809" spans="1:5" ht="15">
      <c r="A1809" s="254">
        <v>39273</v>
      </c>
      <c r="B1809" s="254" t="s">
        <v>21421</v>
      </c>
      <c r="C1809" s="254" t="s">
        <v>4521</v>
      </c>
      <c r="D1809" s="255" t="s">
        <v>21422</v>
      </c>
      <c r="E1809" s="253" t="s">
        <v>170</v>
      </c>
    </row>
    <row r="1810" spans="1:5" ht="15">
      <c r="A1810" s="254">
        <v>39272</v>
      </c>
      <c r="B1810" s="254" t="s">
        <v>21423</v>
      </c>
      <c r="C1810" s="254" t="s">
        <v>4521</v>
      </c>
      <c r="D1810" s="255" t="s">
        <v>14274</v>
      </c>
      <c r="E1810" s="253" t="s">
        <v>170</v>
      </c>
    </row>
    <row r="1811" spans="1:5" ht="15">
      <c r="A1811" s="254">
        <v>1875</v>
      </c>
      <c r="B1811" s="254" t="s">
        <v>21424</v>
      </c>
      <c r="C1811" s="254" t="s">
        <v>4521</v>
      </c>
      <c r="D1811" s="255" t="s">
        <v>18520</v>
      </c>
      <c r="E1811" s="253" t="s">
        <v>170</v>
      </c>
    </row>
    <row r="1812" spans="1:5" ht="15">
      <c r="A1812" s="254">
        <v>1874</v>
      </c>
      <c r="B1812" s="254" t="s">
        <v>21425</v>
      </c>
      <c r="C1812" s="254" t="s">
        <v>4521</v>
      </c>
      <c r="D1812" s="255" t="s">
        <v>17532</v>
      </c>
      <c r="E1812" s="253" t="s">
        <v>170</v>
      </c>
    </row>
    <row r="1813" spans="1:5" ht="15">
      <c r="A1813" s="254">
        <v>1870</v>
      </c>
      <c r="B1813" s="254" t="s">
        <v>21426</v>
      </c>
      <c r="C1813" s="254" t="s">
        <v>4521</v>
      </c>
      <c r="D1813" s="255" t="s">
        <v>21427</v>
      </c>
      <c r="E1813" s="253" t="s">
        <v>170</v>
      </c>
    </row>
    <row r="1814" spans="1:5" ht="15">
      <c r="A1814" s="254">
        <v>1884</v>
      </c>
      <c r="B1814" s="254" t="s">
        <v>21428</v>
      </c>
      <c r="C1814" s="254" t="s">
        <v>4521</v>
      </c>
      <c r="D1814" s="255" t="s">
        <v>13850</v>
      </c>
      <c r="E1814" s="253" t="s">
        <v>170</v>
      </c>
    </row>
    <row r="1815" spans="1:5" ht="15">
      <c r="A1815" s="254">
        <v>1887</v>
      </c>
      <c r="B1815" s="254" t="s">
        <v>21429</v>
      </c>
      <c r="C1815" s="254" t="s">
        <v>4521</v>
      </c>
      <c r="D1815" s="255" t="s">
        <v>16951</v>
      </c>
      <c r="E1815" s="253" t="s">
        <v>170</v>
      </c>
    </row>
    <row r="1816" spans="1:5" ht="15">
      <c r="A1816" s="254">
        <v>1876</v>
      </c>
      <c r="B1816" s="254" t="s">
        <v>21430</v>
      </c>
      <c r="C1816" s="254" t="s">
        <v>4521</v>
      </c>
      <c r="D1816" s="255" t="s">
        <v>14196</v>
      </c>
      <c r="E1816" s="253" t="s">
        <v>170</v>
      </c>
    </row>
    <row r="1817" spans="1:5" ht="15">
      <c r="A1817" s="254">
        <v>1879</v>
      </c>
      <c r="B1817" s="254" t="s">
        <v>21431</v>
      </c>
      <c r="C1817" s="254" t="s">
        <v>4521</v>
      </c>
      <c r="D1817" s="255" t="s">
        <v>21432</v>
      </c>
      <c r="E1817" s="253" t="s">
        <v>170</v>
      </c>
    </row>
    <row r="1818" spans="1:5" ht="15">
      <c r="A1818" s="254">
        <v>1877</v>
      </c>
      <c r="B1818" s="254" t="s">
        <v>21433</v>
      </c>
      <c r="C1818" s="254" t="s">
        <v>4521</v>
      </c>
      <c r="D1818" s="255" t="s">
        <v>21434</v>
      </c>
      <c r="E1818" s="253" t="s">
        <v>170</v>
      </c>
    </row>
    <row r="1819" spans="1:5" ht="15">
      <c r="A1819" s="254">
        <v>1878</v>
      </c>
      <c r="B1819" s="254" t="s">
        <v>21435</v>
      </c>
      <c r="C1819" s="254" t="s">
        <v>4521</v>
      </c>
      <c r="D1819" s="255" t="s">
        <v>14136</v>
      </c>
      <c r="E1819" s="253" t="s">
        <v>170</v>
      </c>
    </row>
    <row r="1820" spans="1:5" ht="30">
      <c r="A1820" s="254">
        <v>2621</v>
      </c>
      <c r="B1820" s="254" t="s">
        <v>21436</v>
      </c>
      <c r="C1820" s="254" t="s">
        <v>4521</v>
      </c>
      <c r="D1820" s="255" t="s">
        <v>16113</v>
      </c>
      <c r="E1820" s="253" t="s">
        <v>170</v>
      </c>
    </row>
    <row r="1821" spans="1:5" ht="30">
      <c r="A1821" s="254">
        <v>2616</v>
      </c>
      <c r="B1821" s="254" t="s">
        <v>21437</v>
      </c>
      <c r="C1821" s="254" t="s">
        <v>4521</v>
      </c>
      <c r="D1821" s="255" t="s">
        <v>17007</v>
      </c>
      <c r="E1821" s="253" t="s">
        <v>170</v>
      </c>
    </row>
    <row r="1822" spans="1:5" ht="30">
      <c r="A1822" s="254">
        <v>2633</v>
      </c>
      <c r="B1822" s="254" t="s">
        <v>21438</v>
      </c>
      <c r="C1822" s="254" t="s">
        <v>4521</v>
      </c>
      <c r="D1822" s="255" t="s">
        <v>21439</v>
      </c>
      <c r="E1822" s="253" t="s">
        <v>170</v>
      </c>
    </row>
    <row r="1823" spans="1:5" ht="30">
      <c r="A1823" s="254">
        <v>2617</v>
      </c>
      <c r="B1823" s="254" t="s">
        <v>21440</v>
      </c>
      <c r="C1823" s="254" t="s">
        <v>4521</v>
      </c>
      <c r="D1823" s="255" t="s">
        <v>13991</v>
      </c>
      <c r="E1823" s="253" t="s">
        <v>170</v>
      </c>
    </row>
    <row r="1824" spans="1:5" ht="30">
      <c r="A1824" s="254">
        <v>2618</v>
      </c>
      <c r="B1824" s="254" t="s">
        <v>21441</v>
      </c>
      <c r="C1824" s="254" t="s">
        <v>4521</v>
      </c>
      <c r="D1824" s="255" t="s">
        <v>15259</v>
      </c>
      <c r="E1824" s="253" t="s">
        <v>170</v>
      </c>
    </row>
    <row r="1825" spans="1:5" ht="30">
      <c r="A1825" s="254">
        <v>2632</v>
      </c>
      <c r="B1825" s="254" t="s">
        <v>21442</v>
      </c>
      <c r="C1825" s="254" t="s">
        <v>4521</v>
      </c>
      <c r="D1825" s="255" t="s">
        <v>21443</v>
      </c>
      <c r="E1825" s="253" t="s">
        <v>170</v>
      </c>
    </row>
    <row r="1826" spans="1:5" ht="30">
      <c r="A1826" s="254">
        <v>2631</v>
      </c>
      <c r="B1826" s="254" t="s">
        <v>21444</v>
      </c>
      <c r="C1826" s="254" t="s">
        <v>4521</v>
      </c>
      <c r="D1826" s="255" t="s">
        <v>21445</v>
      </c>
      <c r="E1826" s="253" t="s">
        <v>170</v>
      </c>
    </row>
    <row r="1827" spans="1:5" ht="30">
      <c r="A1827" s="254">
        <v>2619</v>
      </c>
      <c r="B1827" s="254" t="s">
        <v>21446</v>
      </c>
      <c r="C1827" s="254" t="s">
        <v>4521</v>
      </c>
      <c r="D1827" s="255" t="s">
        <v>21447</v>
      </c>
      <c r="E1827" s="253" t="s">
        <v>170</v>
      </c>
    </row>
    <row r="1828" spans="1:5" ht="30">
      <c r="A1828" s="254">
        <v>2620</v>
      </c>
      <c r="B1828" s="254" t="s">
        <v>21448</v>
      </c>
      <c r="C1828" s="254" t="s">
        <v>4521</v>
      </c>
      <c r="D1828" s="255" t="s">
        <v>21449</v>
      </c>
      <c r="E1828" s="253" t="s">
        <v>170</v>
      </c>
    </row>
    <row r="1829" spans="1:5" ht="15">
      <c r="A1829" s="254">
        <v>25968</v>
      </c>
      <c r="B1829" s="254" t="s">
        <v>21450</v>
      </c>
      <c r="C1829" s="254" t="s">
        <v>4521</v>
      </c>
      <c r="D1829" s="255" t="s">
        <v>19754</v>
      </c>
      <c r="E1829" s="253" t="s">
        <v>170</v>
      </c>
    </row>
    <row r="1830" spans="1:5" ht="30">
      <c r="A1830" s="254">
        <v>38369</v>
      </c>
      <c r="B1830" s="254" t="s">
        <v>21451</v>
      </c>
      <c r="C1830" s="254" t="s">
        <v>4521</v>
      </c>
      <c r="D1830" s="255" t="s">
        <v>21452</v>
      </c>
      <c r="E1830" s="253" t="s">
        <v>170</v>
      </c>
    </row>
    <row r="1831" spans="1:5" ht="15">
      <c r="A1831" s="254">
        <v>38370</v>
      </c>
      <c r="B1831" s="254" t="s">
        <v>21453</v>
      </c>
      <c r="C1831" s="254" t="s">
        <v>4521</v>
      </c>
      <c r="D1831" s="255" t="s">
        <v>21452</v>
      </c>
      <c r="E1831" s="253" t="s">
        <v>170</v>
      </c>
    </row>
    <row r="1832" spans="1:5" ht="15">
      <c r="A1832" s="254">
        <v>38372</v>
      </c>
      <c r="B1832" s="254" t="s">
        <v>21454</v>
      </c>
      <c r="C1832" s="254" t="s">
        <v>4521</v>
      </c>
      <c r="D1832" s="255" t="s">
        <v>18504</v>
      </c>
      <c r="E1832" s="253" t="s">
        <v>170</v>
      </c>
    </row>
    <row r="1833" spans="1:5" ht="15">
      <c r="A1833" s="254">
        <v>2357</v>
      </c>
      <c r="B1833" s="254" t="s">
        <v>21455</v>
      </c>
      <c r="C1833" s="254" t="s">
        <v>4520</v>
      </c>
      <c r="D1833" s="255" t="s">
        <v>16202</v>
      </c>
      <c r="E1833" s="253" t="s">
        <v>8722</v>
      </c>
    </row>
    <row r="1834" spans="1:5" ht="15">
      <c r="A1834" s="254">
        <v>40806</v>
      </c>
      <c r="B1834" s="254" t="s">
        <v>21456</v>
      </c>
      <c r="C1834" s="254" t="s">
        <v>4528</v>
      </c>
      <c r="D1834" s="255" t="s">
        <v>21457</v>
      </c>
      <c r="E1834" s="253" t="s">
        <v>8722</v>
      </c>
    </row>
    <row r="1835" spans="1:5" ht="15">
      <c r="A1835" s="254">
        <v>2355</v>
      </c>
      <c r="B1835" s="254" t="s">
        <v>21458</v>
      </c>
      <c r="C1835" s="254" t="s">
        <v>4520</v>
      </c>
      <c r="D1835" s="255" t="s">
        <v>16205</v>
      </c>
      <c r="E1835" s="253" t="s">
        <v>8722</v>
      </c>
    </row>
    <row r="1836" spans="1:5" ht="15">
      <c r="A1836" s="254">
        <v>40805</v>
      </c>
      <c r="B1836" s="254" t="s">
        <v>21459</v>
      </c>
      <c r="C1836" s="254" t="s">
        <v>4528</v>
      </c>
      <c r="D1836" s="255" t="s">
        <v>21460</v>
      </c>
      <c r="E1836" s="253" t="s">
        <v>8722</v>
      </c>
    </row>
    <row r="1837" spans="1:5" ht="15">
      <c r="A1837" s="254">
        <v>2358</v>
      </c>
      <c r="B1837" s="254" t="s">
        <v>21461</v>
      </c>
      <c r="C1837" s="254" t="s">
        <v>4520</v>
      </c>
      <c r="D1837" s="255" t="s">
        <v>17662</v>
      </c>
      <c r="E1837" s="253" t="s">
        <v>8722</v>
      </c>
    </row>
    <row r="1838" spans="1:5" ht="15">
      <c r="A1838" s="254">
        <v>40807</v>
      </c>
      <c r="B1838" s="254" t="s">
        <v>21462</v>
      </c>
      <c r="C1838" s="254" t="s">
        <v>4528</v>
      </c>
      <c r="D1838" s="255" t="s">
        <v>21463</v>
      </c>
      <c r="E1838" s="253" t="s">
        <v>8722</v>
      </c>
    </row>
    <row r="1839" spans="1:5" ht="15">
      <c r="A1839" s="254">
        <v>2359</v>
      </c>
      <c r="B1839" s="254" t="s">
        <v>21464</v>
      </c>
      <c r="C1839" s="254" t="s">
        <v>4520</v>
      </c>
      <c r="D1839" s="255" t="s">
        <v>21465</v>
      </c>
      <c r="E1839" s="253" t="s">
        <v>8722</v>
      </c>
    </row>
    <row r="1840" spans="1:5" ht="15">
      <c r="A1840" s="254">
        <v>40808</v>
      </c>
      <c r="B1840" s="254" t="s">
        <v>21466</v>
      </c>
      <c r="C1840" s="254" t="s">
        <v>4528</v>
      </c>
      <c r="D1840" s="255" t="s">
        <v>21467</v>
      </c>
      <c r="E1840" s="253" t="s">
        <v>8722</v>
      </c>
    </row>
    <row r="1841" spans="1:5" ht="15">
      <c r="A1841" s="254">
        <v>43144</v>
      </c>
      <c r="B1841" s="254" t="s">
        <v>21468</v>
      </c>
      <c r="C1841" s="254" t="s">
        <v>4525</v>
      </c>
      <c r="D1841" s="255" t="s">
        <v>18829</v>
      </c>
      <c r="E1841" s="253" t="s">
        <v>170</v>
      </c>
    </row>
    <row r="1842" spans="1:5" ht="15">
      <c r="A1842" s="254">
        <v>39397</v>
      </c>
      <c r="B1842" s="254" t="s">
        <v>21469</v>
      </c>
      <c r="C1842" s="254" t="s">
        <v>4526</v>
      </c>
      <c r="D1842" s="255" t="s">
        <v>18135</v>
      </c>
      <c r="E1842" s="253" t="s">
        <v>170</v>
      </c>
    </row>
    <row r="1843" spans="1:5" ht="30">
      <c r="A1843" s="254">
        <v>2692</v>
      </c>
      <c r="B1843" s="254" t="s">
        <v>21470</v>
      </c>
      <c r="C1843" s="254" t="s">
        <v>4526</v>
      </c>
      <c r="D1843" s="255" t="s">
        <v>21471</v>
      </c>
      <c r="E1843" s="253" t="s">
        <v>170</v>
      </c>
    </row>
    <row r="1844" spans="1:5" ht="15">
      <c r="A1844" s="254">
        <v>6</v>
      </c>
      <c r="B1844" s="254" t="s">
        <v>21472</v>
      </c>
      <c r="C1844" s="254" t="s">
        <v>4526</v>
      </c>
      <c r="D1844" s="255" t="s">
        <v>14300</v>
      </c>
      <c r="E1844" s="253" t="s">
        <v>170</v>
      </c>
    </row>
    <row r="1845" spans="1:5" ht="15">
      <c r="A1845" s="254">
        <v>5330</v>
      </c>
      <c r="B1845" s="254" t="s">
        <v>21473</v>
      </c>
      <c r="C1845" s="254" t="s">
        <v>4526</v>
      </c>
      <c r="D1845" s="255" t="s">
        <v>16275</v>
      </c>
      <c r="E1845" s="253" t="s">
        <v>170</v>
      </c>
    </row>
    <row r="1846" spans="1:5" ht="15">
      <c r="A1846" s="254">
        <v>26017</v>
      </c>
      <c r="B1846" s="254" t="s">
        <v>21474</v>
      </c>
      <c r="C1846" s="254" t="s">
        <v>4521</v>
      </c>
      <c r="D1846" s="255" t="s">
        <v>21475</v>
      </c>
      <c r="E1846" s="253" t="s">
        <v>170</v>
      </c>
    </row>
    <row r="1847" spans="1:5" ht="30">
      <c r="A1847" s="254">
        <v>25931</v>
      </c>
      <c r="B1847" s="254" t="s">
        <v>21476</v>
      </c>
      <c r="C1847" s="254" t="s">
        <v>4521</v>
      </c>
      <c r="D1847" s="255" t="s">
        <v>21477</v>
      </c>
      <c r="E1847" s="253" t="s">
        <v>170</v>
      </c>
    </row>
    <row r="1848" spans="1:5" ht="30">
      <c r="A1848" s="254">
        <v>38140</v>
      </c>
      <c r="B1848" s="254" t="s">
        <v>21478</v>
      </c>
      <c r="C1848" s="254" t="s">
        <v>4521</v>
      </c>
      <c r="D1848" s="255" t="s">
        <v>21479</v>
      </c>
      <c r="E1848" s="253" t="s">
        <v>170</v>
      </c>
    </row>
    <row r="1849" spans="1:5" ht="30">
      <c r="A1849" s="254">
        <v>13887</v>
      </c>
      <c r="B1849" s="254" t="s">
        <v>21480</v>
      </c>
      <c r="C1849" s="254" t="s">
        <v>4521</v>
      </c>
      <c r="D1849" s="255" t="s">
        <v>21481</v>
      </c>
      <c r="E1849" s="253" t="s">
        <v>170</v>
      </c>
    </row>
    <row r="1850" spans="1:5" ht="15">
      <c r="A1850" s="254">
        <v>26018</v>
      </c>
      <c r="B1850" s="254" t="s">
        <v>21482</v>
      </c>
      <c r="C1850" s="254" t="s">
        <v>4521</v>
      </c>
      <c r="D1850" s="255" t="s">
        <v>21483</v>
      </c>
      <c r="E1850" s="253" t="s">
        <v>170</v>
      </c>
    </row>
    <row r="1851" spans="1:5" ht="30">
      <c r="A1851" s="254">
        <v>26019</v>
      </c>
      <c r="B1851" s="254" t="s">
        <v>21484</v>
      </c>
      <c r="C1851" s="254" t="s">
        <v>4521</v>
      </c>
      <c r="D1851" s="256" t="s">
        <v>15792</v>
      </c>
      <c r="E1851" s="253" t="s">
        <v>170</v>
      </c>
    </row>
    <row r="1852" spans="1:5" ht="15">
      <c r="A1852" s="254">
        <v>26020</v>
      </c>
      <c r="B1852" s="254" t="s">
        <v>21485</v>
      </c>
      <c r="C1852" s="254" t="s">
        <v>4521</v>
      </c>
      <c r="D1852" s="256" t="s">
        <v>21486</v>
      </c>
      <c r="E1852" s="253" t="s">
        <v>170</v>
      </c>
    </row>
    <row r="1853" spans="1:5" ht="15">
      <c r="A1853" s="254">
        <v>34544</v>
      </c>
      <c r="B1853" s="254" t="s">
        <v>21487</v>
      </c>
      <c r="C1853" s="254" t="s">
        <v>4521</v>
      </c>
      <c r="D1853" s="255" t="s">
        <v>21488</v>
      </c>
      <c r="E1853" s="253" t="s">
        <v>170</v>
      </c>
    </row>
    <row r="1854" spans="1:5" ht="30">
      <c r="A1854" s="254">
        <v>34729</v>
      </c>
      <c r="B1854" s="254" t="s">
        <v>21489</v>
      </c>
      <c r="C1854" s="254" t="s">
        <v>4521</v>
      </c>
      <c r="D1854" s="255" t="s">
        <v>21490</v>
      </c>
      <c r="E1854" s="253" t="s">
        <v>170</v>
      </c>
    </row>
    <row r="1855" spans="1:5" ht="30">
      <c r="A1855" s="254">
        <v>34734</v>
      </c>
      <c r="B1855" s="254" t="s">
        <v>21491</v>
      </c>
      <c r="C1855" s="254" t="s">
        <v>4521</v>
      </c>
      <c r="D1855" s="255" t="s">
        <v>21492</v>
      </c>
      <c r="E1855" s="253" t="s">
        <v>170</v>
      </c>
    </row>
    <row r="1856" spans="1:5" ht="30">
      <c r="A1856" s="254">
        <v>34738</v>
      </c>
      <c r="B1856" s="254" t="s">
        <v>21493</v>
      </c>
      <c r="C1856" s="254" t="s">
        <v>4521</v>
      </c>
      <c r="D1856" s="255" t="s">
        <v>21494</v>
      </c>
      <c r="E1856" s="253" t="s">
        <v>170</v>
      </c>
    </row>
    <row r="1857" spans="1:5" ht="15">
      <c r="A1857" s="254">
        <v>2391</v>
      </c>
      <c r="B1857" s="254" t="s">
        <v>21495</v>
      </c>
      <c r="C1857" s="254" t="s">
        <v>4521</v>
      </c>
      <c r="D1857" s="255" t="s">
        <v>21496</v>
      </c>
      <c r="E1857" s="253" t="s">
        <v>170</v>
      </c>
    </row>
    <row r="1858" spans="1:5" ht="15">
      <c r="A1858" s="254">
        <v>2374</v>
      </c>
      <c r="B1858" s="254" t="s">
        <v>21497</v>
      </c>
      <c r="C1858" s="254" t="s">
        <v>4521</v>
      </c>
      <c r="D1858" s="255" t="s">
        <v>21498</v>
      </c>
      <c r="E1858" s="253" t="s">
        <v>170</v>
      </c>
    </row>
    <row r="1859" spans="1:5" ht="15">
      <c r="A1859" s="254">
        <v>2377</v>
      </c>
      <c r="B1859" s="254" t="s">
        <v>21499</v>
      </c>
      <c r="C1859" s="254" t="s">
        <v>4521</v>
      </c>
      <c r="D1859" s="255" t="s">
        <v>21500</v>
      </c>
      <c r="E1859" s="253" t="s">
        <v>170</v>
      </c>
    </row>
    <row r="1860" spans="1:5" ht="15">
      <c r="A1860" s="254">
        <v>2393</v>
      </c>
      <c r="B1860" s="254" t="s">
        <v>21501</v>
      </c>
      <c r="C1860" s="254" t="s">
        <v>4521</v>
      </c>
      <c r="D1860" s="255" t="s">
        <v>21502</v>
      </c>
      <c r="E1860" s="253" t="s">
        <v>170</v>
      </c>
    </row>
    <row r="1861" spans="1:5" ht="15">
      <c r="A1861" s="254">
        <v>34705</v>
      </c>
      <c r="B1861" s="254" t="s">
        <v>21503</v>
      </c>
      <c r="C1861" s="254" t="s">
        <v>4521</v>
      </c>
      <c r="D1861" s="255" t="s">
        <v>21504</v>
      </c>
      <c r="E1861" s="253" t="s">
        <v>170</v>
      </c>
    </row>
    <row r="1862" spans="1:5" ht="15">
      <c r="A1862" s="254">
        <v>34707</v>
      </c>
      <c r="B1862" s="254" t="s">
        <v>21505</v>
      </c>
      <c r="C1862" s="254" t="s">
        <v>4521</v>
      </c>
      <c r="D1862" s="255" t="s">
        <v>21506</v>
      </c>
      <c r="E1862" s="253" t="s">
        <v>170</v>
      </c>
    </row>
    <row r="1863" spans="1:5" ht="15">
      <c r="A1863" s="254">
        <v>2378</v>
      </c>
      <c r="B1863" s="254" t="s">
        <v>21507</v>
      </c>
      <c r="C1863" s="254" t="s">
        <v>4521</v>
      </c>
      <c r="D1863" s="255" t="s">
        <v>21508</v>
      </c>
      <c r="E1863" s="253" t="s">
        <v>170</v>
      </c>
    </row>
    <row r="1864" spans="1:5" ht="15">
      <c r="A1864" s="254">
        <v>2379</v>
      </c>
      <c r="B1864" s="254" t="s">
        <v>21509</v>
      </c>
      <c r="C1864" s="254" t="s">
        <v>4521</v>
      </c>
      <c r="D1864" s="255" t="s">
        <v>21508</v>
      </c>
      <c r="E1864" s="253" t="s">
        <v>170</v>
      </c>
    </row>
    <row r="1865" spans="1:5" ht="15">
      <c r="A1865" s="254">
        <v>2376</v>
      </c>
      <c r="B1865" s="254" t="s">
        <v>21510</v>
      </c>
      <c r="C1865" s="254" t="s">
        <v>4521</v>
      </c>
      <c r="D1865" s="255" t="s">
        <v>21511</v>
      </c>
      <c r="E1865" s="253" t="s">
        <v>170</v>
      </c>
    </row>
    <row r="1866" spans="1:5" ht="15">
      <c r="A1866" s="254">
        <v>2394</v>
      </c>
      <c r="B1866" s="254" t="s">
        <v>21512</v>
      </c>
      <c r="C1866" s="254" t="s">
        <v>4521</v>
      </c>
      <c r="D1866" s="255" t="s">
        <v>21513</v>
      </c>
      <c r="E1866" s="253" t="s">
        <v>170</v>
      </c>
    </row>
    <row r="1867" spans="1:5" ht="15">
      <c r="A1867" s="254">
        <v>34686</v>
      </c>
      <c r="B1867" s="254" t="s">
        <v>21514</v>
      </c>
      <c r="C1867" s="254" t="s">
        <v>4521</v>
      </c>
      <c r="D1867" s="255" t="s">
        <v>14215</v>
      </c>
      <c r="E1867" s="253" t="s">
        <v>170</v>
      </c>
    </row>
    <row r="1868" spans="1:5" ht="15">
      <c r="A1868" s="254">
        <v>34616</v>
      </c>
      <c r="B1868" s="254" t="s">
        <v>21515</v>
      </c>
      <c r="C1868" s="254" t="s">
        <v>4521</v>
      </c>
      <c r="D1868" s="255" t="s">
        <v>21516</v>
      </c>
      <c r="E1868" s="253" t="s">
        <v>170</v>
      </c>
    </row>
    <row r="1869" spans="1:5" ht="15">
      <c r="A1869" s="254">
        <v>34623</v>
      </c>
      <c r="B1869" s="254" t="s">
        <v>21517</v>
      </c>
      <c r="C1869" s="254" t="s">
        <v>4521</v>
      </c>
      <c r="D1869" s="255" t="s">
        <v>15375</v>
      </c>
      <c r="E1869" s="253" t="s">
        <v>170</v>
      </c>
    </row>
    <row r="1870" spans="1:5" ht="15">
      <c r="A1870" s="254">
        <v>34628</v>
      </c>
      <c r="B1870" s="254" t="s">
        <v>21518</v>
      </c>
      <c r="C1870" s="254" t="s">
        <v>4521</v>
      </c>
      <c r="D1870" s="255" t="s">
        <v>21519</v>
      </c>
      <c r="E1870" s="253" t="s">
        <v>170</v>
      </c>
    </row>
    <row r="1871" spans="1:5" ht="15">
      <c r="A1871" s="254">
        <v>34653</v>
      </c>
      <c r="B1871" s="254" t="s">
        <v>21520</v>
      </c>
      <c r="C1871" s="254" t="s">
        <v>4521</v>
      </c>
      <c r="D1871" s="255" t="s">
        <v>18796</v>
      </c>
      <c r="E1871" s="253" t="s">
        <v>170</v>
      </c>
    </row>
    <row r="1872" spans="1:5" ht="15">
      <c r="A1872" s="254">
        <v>34688</v>
      </c>
      <c r="B1872" s="254" t="s">
        <v>21521</v>
      </c>
      <c r="C1872" s="254" t="s">
        <v>4521</v>
      </c>
      <c r="D1872" s="255" t="s">
        <v>18437</v>
      </c>
      <c r="E1872" s="253" t="s">
        <v>170</v>
      </c>
    </row>
    <row r="1873" spans="1:5" ht="15">
      <c r="A1873" s="254">
        <v>34709</v>
      </c>
      <c r="B1873" s="254" t="s">
        <v>21522</v>
      </c>
      <c r="C1873" s="254" t="s">
        <v>4521</v>
      </c>
      <c r="D1873" s="255" t="s">
        <v>13596</v>
      </c>
      <c r="E1873" s="253" t="s">
        <v>170</v>
      </c>
    </row>
    <row r="1874" spans="1:5" ht="15">
      <c r="A1874" s="254">
        <v>34714</v>
      </c>
      <c r="B1874" s="254" t="s">
        <v>21523</v>
      </c>
      <c r="C1874" s="254" t="s">
        <v>4521</v>
      </c>
      <c r="D1874" s="255" t="s">
        <v>21524</v>
      </c>
      <c r="E1874" s="253" t="s">
        <v>170</v>
      </c>
    </row>
    <row r="1875" spans="1:5" ht="15">
      <c r="A1875" s="254">
        <v>2388</v>
      </c>
      <c r="B1875" s="254" t="s">
        <v>21525</v>
      </c>
      <c r="C1875" s="254" t="s">
        <v>4521</v>
      </c>
      <c r="D1875" s="255" t="s">
        <v>21526</v>
      </c>
      <c r="E1875" s="253" t="s">
        <v>170</v>
      </c>
    </row>
    <row r="1876" spans="1:5" ht="15">
      <c r="A1876" s="254">
        <v>34606</v>
      </c>
      <c r="B1876" s="254" t="s">
        <v>21527</v>
      </c>
      <c r="C1876" s="254" t="s">
        <v>4521</v>
      </c>
      <c r="D1876" s="255" t="s">
        <v>17461</v>
      </c>
      <c r="E1876" s="253" t="s">
        <v>170</v>
      </c>
    </row>
    <row r="1877" spans="1:5" ht="15">
      <c r="A1877" s="254">
        <v>34689</v>
      </c>
      <c r="B1877" s="254" t="s">
        <v>21528</v>
      </c>
      <c r="C1877" s="254" t="s">
        <v>4521</v>
      </c>
      <c r="D1877" s="255" t="s">
        <v>21529</v>
      </c>
      <c r="E1877" s="253" t="s">
        <v>170</v>
      </c>
    </row>
    <row r="1878" spans="1:5" ht="15">
      <c r="A1878" s="254">
        <v>2370</v>
      </c>
      <c r="B1878" s="254" t="s">
        <v>21530</v>
      </c>
      <c r="C1878" s="254" t="s">
        <v>4521</v>
      </c>
      <c r="D1878" s="255" t="s">
        <v>21531</v>
      </c>
      <c r="E1878" s="253" t="s">
        <v>170</v>
      </c>
    </row>
    <row r="1879" spans="1:5" ht="15">
      <c r="A1879" s="254">
        <v>2386</v>
      </c>
      <c r="B1879" s="254" t="s">
        <v>21532</v>
      </c>
      <c r="C1879" s="254" t="s">
        <v>4521</v>
      </c>
      <c r="D1879" s="255" t="s">
        <v>21533</v>
      </c>
      <c r="E1879" s="253" t="s">
        <v>170</v>
      </c>
    </row>
    <row r="1880" spans="1:5" ht="15">
      <c r="A1880" s="254">
        <v>2392</v>
      </c>
      <c r="B1880" s="254" t="s">
        <v>21534</v>
      </c>
      <c r="C1880" s="254" t="s">
        <v>4521</v>
      </c>
      <c r="D1880" s="255" t="s">
        <v>21535</v>
      </c>
      <c r="E1880" s="253" t="s">
        <v>170</v>
      </c>
    </row>
    <row r="1881" spans="1:5" ht="15">
      <c r="A1881" s="254">
        <v>2373</v>
      </c>
      <c r="B1881" s="254" t="s">
        <v>21536</v>
      </c>
      <c r="C1881" s="254" t="s">
        <v>4521</v>
      </c>
      <c r="D1881" s="255" t="s">
        <v>21537</v>
      </c>
      <c r="E1881" s="253" t="s">
        <v>170</v>
      </c>
    </row>
    <row r="1882" spans="1:5" ht="30">
      <c r="A1882" s="254">
        <v>39465</v>
      </c>
      <c r="B1882" s="254" t="s">
        <v>21538</v>
      </c>
      <c r="C1882" s="254" t="s">
        <v>4521</v>
      </c>
      <c r="D1882" s="255" t="s">
        <v>15337</v>
      </c>
      <c r="E1882" s="253" t="s">
        <v>170</v>
      </c>
    </row>
    <row r="1883" spans="1:5" ht="30">
      <c r="A1883" s="254">
        <v>39466</v>
      </c>
      <c r="B1883" s="254" t="s">
        <v>21539</v>
      </c>
      <c r="C1883" s="254" t="s">
        <v>4521</v>
      </c>
      <c r="D1883" s="256" t="s">
        <v>21540</v>
      </c>
      <c r="E1883" s="253" t="s">
        <v>170</v>
      </c>
    </row>
    <row r="1884" spans="1:5" ht="30">
      <c r="A1884" s="254">
        <v>39467</v>
      </c>
      <c r="B1884" s="254" t="s">
        <v>21541</v>
      </c>
      <c r="C1884" s="254" t="s">
        <v>4521</v>
      </c>
      <c r="D1884" s="255" t="s">
        <v>21542</v>
      </c>
      <c r="E1884" s="253" t="s">
        <v>170</v>
      </c>
    </row>
    <row r="1885" spans="1:5" ht="30">
      <c r="A1885" s="254">
        <v>39468</v>
      </c>
      <c r="B1885" s="254" t="s">
        <v>21543</v>
      </c>
      <c r="C1885" s="254" t="s">
        <v>4521</v>
      </c>
      <c r="D1885" s="255" t="s">
        <v>21544</v>
      </c>
      <c r="E1885" s="253" t="s">
        <v>170</v>
      </c>
    </row>
    <row r="1886" spans="1:5" ht="30">
      <c r="A1886" s="254">
        <v>39469</v>
      </c>
      <c r="B1886" s="254" t="s">
        <v>21545</v>
      </c>
      <c r="C1886" s="254" t="s">
        <v>4521</v>
      </c>
      <c r="D1886" s="255" t="s">
        <v>21546</v>
      </c>
      <c r="E1886" s="253" t="s">
        <v>170</v>
      </c>
    </row>
    <row r="1887" spans="1:5" ht="30">
      <c r="A1887" s="254">
        <v>39470</v>
      </c>
      <c r="B1887" s="254" t="s">
        <v>21547</v>
      </c>
      <c r="C1887" s="254" t="s">
        <v>4521</v>
      </c>
      <c r="D1887" s="255" t="s">
        <v>21548</v>
      </c>
      <c r="E1887" s="253" t="s">
        <v>170</v>
      </c>
    </row>
    <row r="1888" spans="1:5" ht="30">
      <c r="A1888" s="254">
        <v>39471</v>
      </c>
      <c r="B1888" s="254" t="s">
        <v>21549</v>
      </c>
      <c r="C1888" s="254" t="s">
        <v>4521</v>
      </c>
      <c r="D1888" s="255" t="s">
        <v>21550</v>
      </c>
      <c r="E1888" s="253" t="s">
        <v>170</v>
      </c>
    </row>
    <row r="1889" spans="1:5" ht="30">
      <c r="A1889" s="254">
        <v>39472</v>
      </c>
      <c r="B1889" s="254" t="s">
        <v>21551</v>
      </c>
      <c r="C1889" s="254" t="s">
        <v>4521</v>
      </c>
      <c r="D1889" s="255" t="s">
        <v>21552</v>
      </c>
      <c r="E1889" s="253" t="s">
        <v>170</v>
      </c>
    </row>
    <row r="1890" spans="1:5" ht="30">
      <c r="A1890" s="254">
        <v>39473</v>
      </c>
      <c r="B1890" s="254" t="s">
        <v>21553</v>
      </c>
      <c r="C1890" s="254" t="s">
        <v>4521</v>
      </c>
      <c r="D1890" s="255" t="s">
        <v>21554</v>
      </c>
      <c r="E1890" s="253" t="s">
        <v>170</v>
      </c>
    </row>
    <row r="1891" spans="1:5" ht="30">
      <c r="A1891" s="254">
        <v>39474</v>
      </c>
      <c r="B1891" s="254" t="s">
        <v>21555</v>
      </c>
      <c r="C1891" s="254" t="s">
        <v>4521</v>
      </c>
      <c r="D1891" s="255" t="s">
        <v>21556</v>
      </c>
      <c r="E1891" s="253" t="s">
        <v>170</v>
      </c>
    </row>
    <row r="1892" spans="1:5" ht="30">
      <c r="A1892" s="254">
        <v>39475</v>
      </c>
      <c r="B1892" s="254" t="s">
        <v>21557</v>
      </c>
      <c r="C1892" s="254" t="s">
        <v>4521</v>
      </c>
      <c r="D1892" s="255" t="s">
        <v>21558</v>
      </c>
      <c r="E1892" s="253" t="s">
        <v>170</v>
      </c>
    </row>
    <row r="1893" spans="1:5" ht="30">
      <c r="A1893" s="254">
        <v>39476</v>
      </c>
      <c r="B1893" s="254" t="s">
        <v>21559</v>
      </c>
      <c r="C1893" s="254" t="s">
        <v>4521</v>
      </c>
      <c r="D1893" s="255" t="s">
        <v>21560</v>
      </c>
      <c r="E1893" s="253" t="s">
        <v>170</v>
      </c>
    </row>
    <row r="1894" spans="1:5" ht="30">
      <c r="A1894" s="254">
        <v>39477</v>
      </c>
      <c r="B1894" s="254" t="s">
        <v>21561</v>
      </c>
      <c r="C1894" s="254" t="s">
        <v>4521</v>
      </c>
      <c r="D1894" s="255" t="s">
        <v>21562</v>
      </c>
      <c r="E1894" s="253" t="s">
        <v>170</v>
      </c>
    </row>
    <row r="1895" spans="1:5" ht="30">
      <c r="A1895" s="254">
        <v>39478</v>
      </c>
      <c r="B1895" s="254" t="s">
        <v>21563</v>
      </c>
      <c r="C1895" s="254" t="s">
        <v>4521</v>
      </c>
      <c r="D1895" s="255" t="s">
        <v>21564</v>
      </c>
      <c r="E1895" s="253" t="s">
        <v>170</v>
      </c>
    </row>
    <row r="1896" spans="1:5" ht="30">
      <c r="A1896" s="254">
        <v>39479</v>
      </c>
      <c r="B1896" s="254" t="s">
        <v>21565</v>
      </c>
      <c r="C1896" s="254" t="s">
        <v>4521</v>
      </c>
      <c r="D1896" s="255" t="s">
        <v>21566</v>
      </c>
      <c r="E1896" s="253" t="s">
        <v>170</v>
      </c>
    </row>
    <row r="1897" spans="1:5" ht="30">
      <c r="A1897" s="254">
        <v>39480</v>
      </c>
      <c r="B1897" s="254" t="s">
        <v>21567</v>
      </c>
      <c r="C1897" s="254" t="s">
        <v>4521</v>
      </c>
      <c r="D1897" s="255" t="s">
        <v>21568</v>
      </c>
      <c r="E1897" s="253" t="s">
        <v>170</v>
      </c>
    </row>
    <row r="1898" spans="1:5" ht="15">
      <c r="A1898" s="254">
        <v>39459</v>
      </c>
      <c r="B1898" s="254" t="s">
        <v>21569</v>
      </c>
      <c r="C1898" s="254" t="s">
        <v>4521</v>
      </c>
      <c r="D1898" s="256" t="s">
        <v>21570</v>
      </c>
      <c r="E1898" s="253" t="s">
        <v>170</v>
      </c>
    </row>
    <row r="1899" spans="1:5" ht="15">
      <c r="A1899" s="254">
        <v>39445</v>
      </c>
      <c r="B1899" s="254" t="s">
        <v>21571</v>
      </c>
      <c r="C1899" s="254" t="s">
        <v>4521</v>
      </c>
      <c r="D1899" s="255" t="s">
        <v>21572</v>
      </c>
      <c r="E1899" s="253" t="s">
        <v>170</v>
      </c>
    </row>
    <row r="1900" spans="1:5" ht="15">
      <c r="A1900" s="254">
        <v>39446</v>
      </c>
      <c r="B1900" s="254" t="s">
        <v>21573</v>
      </c>
      <c r="C1900" s="254" t="s">
        <v>4521</v>
      </c>
      <c r="D1900" s="255" t="s">
        <v>21574</v>
      </c>
      <c r="E1900" s="253" t="s">
        <v>170</v>
      </c>
    </row>
    <row r="1901" spans="1:5" ht="15">
      <c r="A1901" s="254">
        <v>39447</v>
      </c>
      <c r="B1901" s="254" t="s">
        <v>21575</v>
      </c>
      <c r="C1901" s="254" t="s">
        <v>4521</v>
      </c>
      <c r="D1901" s="255" t="s">
        <v>21576</v>
      </c>
      <c r="E1901" s="253" t="s">
        <v>170</v>
      </c>
    </row>
    <row r="1902" spans="1:5" ht="15">
      <c r="A1902" s="254">
        <v>39448</v>
      </c>
      <c r="B1902" s="254" t="s">
        <v>21577</v>
      </c>
      <c r="C1902" s="254" t="s">
        <v>4521</v>
      </c>
      <c r="D1902" s="255" t="s">
        <v>21578</v>
      </c>
      <c r="E1902" s="253" t="s">
        <v>170</v>
      </c>
    </row>
    <row r="1903" spans="1:5" ht="15">
      <c r="A1903" s="254">
        <v>39450</v>
      </c>
      <c r="B1903" s="254" t="s">
        <v>21579</v>
      </c>
      <c r="C1903" s="254" t="s">
        <v>4521</v>
      </c>
      <c r="D1903" s="255" t="s">
        <v>21580</v>
      </c>
      <c r="E1903" s="253" t="s">
        <v>170</v>
      </c>
    </row>
    <row r="1904" spans="1:5" ht="15">
      <c r="A1904" s="254">
        <v>39451</v>
      </c>
      <c r="B1904" s="254" t="s">
        <v>21581</v>
      </c>
      <c r="C1904" s="254" t="s">
        <v>4521</v>
      </c>
      <c r="D1904" s="255" t="s">
        <v>21582</v>
      </c>
      <c r="E1904" s="253" t="s">
        <v>170</v>
      </c>
    </row>
    <row r="1905" spans="1:5" ht="15">
      <c r="A1905" s="254">
        <v>39452</v>
      </c>
      <c r="B1905" s="254" t="s">
        <v>21583</v>
      </c>
      <c r="C1905" s="254" t="s">
        <v>4521</v>
      </c>
      <c r="D1905" s="255" t="s">
        <v>21584</v>
      </c>
      <c r="E1905" s="253" t="s">
        <v>170</v>
      </c>
    </row>
    <row r="1906" spans="1:5" ht="15">
      <c r="A1906" s="254">
        <v>39523</v>
      </c>
      <c r="B1906" s="254" t="s">
        <v>21585</v>
      </c>
      <c r="C1906" s="254" t="s">
        <v>4521</v>
      </c>
      <c r="D1906" s="255" t="s">
        <v>21586</v>
      </c>
      <c r="E1906" s="253" t="s">
        <v>170</v>
      </c>
    </row>
    <row r="1907" spans="1:5" ht="15">
      <c r="A1907" s="254">
        <v>39449</v>
      </c>
      <c r="B1907" s="254" t="s">
        <v>21587</v>
      </c>
      <c r="C1907" s="254" t="s">
        <v>4521</v>
      </c>
      <c r="D1907" s="255" t="s">
        <v>21588</v>
      </c>
      <c r="E1907" s="253" t="s">
        <v>170</v>
      </c>
    </row>
    <row r="1908" spans="1:5" ht="15">
      <c r="A1908" s="254">
        <v>39455</v>
      </c>
      <c r="B1908" s="254" t="s">
        <v>21589</v>
      </c>
      <c r="C1908" s="254" t="s">
        <v>4521</v>
      </c>
      <c r="D1908" s="255" t="s">
        <v>21590</v>
      </c>
      <c r="E1908" s="253" t="s">
        <v>170</v>
      </c>
    </row>
    <row r="1909" spans="1:5" ht="15">
      <c r="A1909" s="254">
        <v>39456</v>
      </c>
      <c r="B1909" s="254" t="s">
        <v>21591</v>
      </c>
      <c r="C1909" s="254" t="s">
        <v>4521</v>
      </c>
      <c r="D1909" s="255" t="s">
        <v>21592</v>
      </c>
      <c r="E1909" s="253" t="s">
        <v>170</v>
      </c>
    </row>
    <row r="1910" spans="1:5" ht="15">
      <c r="A1910" s="254">
        <v>39457</v>
      </c>
      <c r="B1910" s="254" t="s">
        <v>21593</v>
      </c>
      <c r="C1910" s="254" t="s">
        <v>4521</v>
      </c>
      <c r="D1910" s="255" t="s">
        <v>21544</v>
      </c>
      <c r="E1910" s="253" t="s">
        <v>170</v>
      </c>
    </row>
    <row r="1911" spans="1:5" ht="15">
      <c r="A1911" s="254">
        <v>39458</v>
      </c>
      <c r="B1911" s="254" t="s">
        <v>21594</v>
      </c>
      <c r="C1911" s="254" t="s">
        <v>4521</v>
      </c>
      <c r="D1911" s="255" t="s">
        <v>21595</v>
      </c>
      <c r="E1911" s="253" t="s">
        <v>170</v>
      </c>
    </row>
    <row r="1912" spans="1:5" ht="15">
      <c r="A1912" s="254">
        <v>39464</v>
      </c>
      <c r="B1912" s="254" t="s">
        <v>21596</v>
      </c>
      <c r="C1912" s="254" t="s">
        <v>4521</v>
      </c>
      <c r="D1912" s="255" t="s">
        <v>21597</v>
      </c>
      <c r="E1912" s="253" t="s">
        <v>170</v>
      </c>
    </row>
    <row r="1913" spans="1:5" ht="15">
      <c r="A1913" s="254">
        <v>39460</v>
      </c>
      <c r="B1913" s="254" t="s">
        <v>21598</v>
      </c>
      <c r="C1913" s="254" t="s">
        <v>4521</v>
      </c>
      <c r="D1913" s="255" t="s">
        <v>21599</v>
      </c>
      <c r="E1913" s="253" t="s">
        <v>170</v>
      </c>
    </row>
    <row r="1914" spans="1:5" ht="15">
      <c r="A1914" s="254">
        <v>39461</v>
      </c>
      <c r="B1914" s="254" t="s">
        <v>21600</v>
      </c>
      <c r="C1914" s="254" t="s">
        <v>4521</v>
      </c>
      <c r="D1914" s="255" t="s">
        <v>21601</v>
      </c>
      <c r="E1914" s="253" t="s">
        <v>170</v>
      </c>
    </row>
    <row r="1915" spans="1:5" ht="15">
      <c r="A1915" s="254">
        <v>39462</v>
      </c>
      <c r="B1915" s="254" t="s">
        <v>21602</v>
      </c>
      <c r="C1915" s="254" t="s">
        <v>4521</v>
      </c>
      <c r="D1915" s="255" t="s">
        <v>21603</v>
      </c>
      <c r="E1915" s="253" t="s">
        <v>170</v>
      </c>
    </row>
    <row r="1916" spans="1:5" ht="15">
      <c r="A1916" s="254">
        <v>39463</v>
      </c>
      <c r="B1916" s="254" t="s">
        <v>21604</v>
      </c>
      <c r="C1916" s="254" t="s">
        <v>4521</v>
      </c>
      <c r="D1916" s="255" t="s">
        <v>21605</v>
      </c>
      <c r="E1916" s="253" t="s">
        <v>170</v>
      </c>
    </row>
    <row r="1917" spans="1:5" ht="15">
      <c r="A1917" s="254">
        <v>26039</v>
      </c>
      <c r="B1917" s="254" t="s">
        <v>21606</v>
      </c>
      <c r="C1917" s="254" t="s">
        <v>4521</v>
      </c>
      <c r="D1917" s="255" t="s">
        <v>21607</v>
      </c>
      <c r="E1917" s="253" t="s">
        <v>170</v>
      </c>
    </row>
    <row r="1918" spans="1:5" ht="30">
      <c r="A1918" s="254">
        <v>2401</v>
      </c>
      <c r="B1918" s="254" t="s">
        <v>21608</v>
      </c>
      <c r="C1918" s="254" t="s">
        <v>4521</v>
      </c>
      <c r="D1918" s="255" t="s">
        <v>21609</v>
      </c>
      <c r="E1918" s="253" t="s">
        <v>170</v>
      </c>
    </row>
    <row r="1919" spans="1:5" ht="30">
      <c r="A1919" s="254">
        <v>38870</v>
      </c>
      <c r="B1919" s="254" t="s">
        <v>21610</v>
      </c>
      <c r="C1919" s="254" t="s">
        <v>4521</v>
      </c>
      <c r="D1919" s="255" t="s">
        <v>20494</v>
      </c>
      <c r="E1919" s="253" t="s">
        <v>170</v>
      </c>
    </row>
    <row r="1920" spans="1:5" ht="30">
      <c r="A1920" s="254">
        <v>38869</v>
      </c>
      <c r="B1920" s="254" t="s">
        <v>21611</v>
      </c>
      <c r="C1920" s="254" t="s">
        <v>4521</v>
      </c>
      <c r="D1920" s="255" t="s">
        <v>21612</v>
      </c>
      <c r="E1920" s="253" t="s">
        <v>170</v>
      </c>
    </row>
    <row r="1921" spans="1:5" ht="30">
      <c r="A1921" s="254">
        <v>38872</v>
      </c>
      <c r="B1921" s="254" t="s">
        <v>21613</v>
      </c>
      <c r="C1921" s="254" t="s">
        <v>4521</v>
      </c>
      <c r="D1921" s="255" t="s">
        <v>21614</v>
      </c>
      <c r="E1921" s="253" t="s">
        <v>170</v>
      </c>
    </row>
    <row r="1922" spans="1:5" ht="30">
      <c r="A1922" s="254">
        <v>38871</v>
      </c>
      <c r="B1922" s="254" t="s">
        <v>21615</v>
      </c>
      <c r="C1922" s="254" t="s">
        <v>4521</v>
      </c>
      <c r="D1922" s="255" t="s">
        <v>21616</v>
      </c>
      <c r="E1922" s="253" t="s">
        <v>170</v>
      </c>
    </row>
    <row r="1923" spans="1:5" ht="30">
      <c r="A1923" s="254">
        <v>39283</v>
      </c>
      <c r="B1923" s="254" t="s">
        <v>21617</v>
      </c>
      <c r="C1923" s="254" t="s">
        <v>4521</v>
      </c>
      <c r="D1923" s="255" t="s">
        <v>21618</v>
      </c>
      <c r="E1923" s="253" t="s">
        <v>170</v>
      </c>
    </row>
    <row r="1924" spans="1:5" ht="30">
      <c r="A1924" s="254">
        <v>39284</v>
      </c>
      <c r="B1924" s="254" t="s">
        <v>21619</v>
      </c>
      <c r="C1924" s="254" t="s">
        <v>4521</v>
      </c>
      <c r="D1924" s="255" t="s">
        <v>21620</v>
      </c>
      <c r="E1924" s="253" t="s">
        <v>170</v>
      </c>
    </row>
    <row r="1925" spans="1:5" ht="30">
      <c r="A1925" s="254">
        <v>39285</v>
      </c>
      <c r="B1925" s="254" t="s">
        <v>21621</v>
      </c>
      <c r="C1925" s="254" t="s">
        <v>4521</v>
      </c>
      <c r="D1925" s="255" t="s">
        <v>21622</v>
      </c>
      <c r="E1925" s="253" t="s">
        <v>170</v>
      </c>
    </row>
    <row r="1926" spans="1:5" ht="30">
      <c r="A1926" s="254">
        <v>39286</v>
      </c>
      <c r="B1926" s="254" t="s">
        <v>21623</v>
      </c>
      <c r="C1926" s="254" t="s">
        <v>4521</v>
      </c>
      <c r="D1926" s="255" t="s">
        <v>16163</v>
      </c>
      <c r="E1926" s="253" t="s">
        <v>170</v>
      </c>
    </row>
    <row r="1927" spans="1:5" ht="30">
      <c r="A1927" s="254">
        <v>39287</v>
      </c>
      <c r="B1927" s="254" t="s">
        <v>21624</v>
      </c>
      <c r="C1927" s="254" t="s">
        <v>4521</v>
      </c>
      <c r="D1927" s="255" t="s">
        <v>21625</v>
      </c>
      <c r="E1927" s="253" t="s">
        <v>170</v>
      </c>
    </row>
    <row r="1928" spans="1:5" ht="30">
      <c r="A1928" s="254">
        <v>39288</v>
      </c>
      <c r="B1928" s="254" t="s">
        <v>21626</v>
      </c>
      <c r="C1928" s="254" t="s">
        <v>4521</v>
      </c>
      <c r="D1928" s="255" t="s">
        <v>21627</v>
      </c>
      <c r="E1928" s="253" t="s">
        <v>170</v>
      </c>
    </row>
    <row r="1929" spans="1:5" ht="30">
      <c r="A1929" s="254">
        <v>2414</v>
      </c>
      <c r="B1929" s="254" t="s">
        <v>21628</v>
      </c>
      <c r="C1929" s="254" t="s">
        <v>4523</v>
      </c>
      <c r="D1929" s="255" t="s">
        <v>21629</v>
      </c>
      <c r="E1929" s="253" t="s">
        <v>170</v>
      </c>
    </row>
    <row r="1930" spans="1:5" ht="30">
      <c r="A1930" s="254">
        <v>2413</v>
      </c>
      <c r="B1930" s="254" t="s">
        <v>21630</v>
      </c>
      <c r="C1930" s="254" t="s">
        <v>4523</v>
      </c>
      <c r="D1930" s="255" t="s">
        <v>21631</v>
      </c>
      <c r="E1930" s="253" t="s">
        <v>170</v>
      </c>
    </row>
    <row r="1931" spans="1:5" ht="30">
      <c r="A1931" s="254">
        <v>2405</v>
      </c>
      <c r="B1931" s="254" t="s">
        <v>21632</v>
      </c>
      <c r="C1931" s="254" t="s">
        <v>4523</v>
      </c>
      <c r="D1931" s="255" t="s">
        <v>21633</v>
      </c>
      <c r="E1931" s="253" t="s">
        <v>170</v>
      </c>
    </row>
    <row r="1932" spans="1:5" ht="30">
      <c r="A1932" s="254">
        <v>13361</v>
      </c>
      <c r="B1932" s="254" t="s">
        <v>21634</v>
      </c>
      <c r="C1932" s="254" t="s">
        <v>4523</v>
      </c>
      <c r="D1932" s="255" t="s">
        <v>16390</v>
      </c>
      <c r="E1932" s="253" t="s">
        <v>170</v>
      </c>
    </row>
    <row r="1933" spans="1:5" ht="30">
      <c r="A1933" s="254">
        <v>11987</v>
      </c>
      <c r="B1933" s="254" t="s">
        <v>21635</v>
      </c>
      <c r="C1933" s="254" t="s">
        <v>4523</v>
      </c>
      <c r="D1933" s="255" t="s">
        <v>21636</v>
      </c>
      <c r="E1933" s="253" t="s">
        <v>170</v>
      </c>
    </row>
    <row r="1934" spans="1:5" ht="30">
      <c r="A1934" s="254">
        <v>2416</v>
      </c>
      <c r="B1934" s="254" t="s">
        <v>21637</v>
      </c>
      <c r="C1934" s="254" t="s">
        <v>4523</v>
      </c>
      <c r="D1934" s="255" t="s">
        <v>21638</v>
      </c>
      <c r="E1934" s="253" t="s">
        <v>170</v>
      </c>
    </row>
    <row r="1935" spans="1:5" ht="30">
      <c r="A1935" s="254">
        <v>2412</v>
      </c>
      <c r="B1935" s="254" t="s">
        <v>21639</v>
      </c>
      <c r="C1935" s="254" t="s">
        <v>4523</v>
      </c>
      <c r="D1935" s="255" t="s">
        <v>14434</v>
      </c>
      <c r="E1935" s="253" t="s">
        <v>170</v>
      </c>
    </row>
    <row r="1936" spans="1:5" ht="30">
      <c r="A1936" s="254">
        <v>2411</v>
      </c>
      <c r="B1936" s="254" t="s">
        <v>21640</v>
      </c>
      <c r="C1936" s="254" t="s">
        <v>4523</v>
      </c>
      <c r="D1936" s="255" t="s">
        <v>16390</v>
      </c>
      <c r="E1936" s="253" t="s">
        <v>170</v>
      </c>
    </row>
    <row r="1937" spans="1:5" ht="30">
      <c r="A1937" s="254">
        <v>2406</v>
      </c>
      <c r="B1937" s="254" t="s">
        <v>21641</v>
      </c>
      <c r="C1937" s="254" t="s">
        <v>4523</v>
      </c>
      <c r="D1937" s="255" t="s">
        <v>21642</v>
      </c>
      <c r="E1937" s="253" t="s">
        <v>170</v>
      </c>
    </row>
    <row r="1938" spans="1:5" ht="30">
      <c r="A1938" s="254">
        <v>10571</v>
      </c>
      <c r="B1938" s="254" t="s">
        <v>21643</v>
      </c>
      <c r="C1938" s="254" t="s">
        <v>4523</v>
      </c>
      <c r="D1938" s="255" t="s">
        <v>21644</v>
      </c>
      <c r="E1938" s="253" t="s">
        <v>170</v>
      </c>
    </row>
    <row r="1939" spans="1:5" ht="30">
      <c r="A1939" s="254">
        <v>11985</v>
      </c>
      <c r="B1939" s="254" t="s">
        <v>21645</v>
      </c>
      <c r="C1939" s="254" t="s">
        <v>4523</v>
      </c>
      <c r="D1939" s="255" t="s">
        <v>21646</v>
      </c>
      <c r="E1939" s="253" t="s">
        <v>170</v>
      </c>
    </row>
    <row r="1940" spans="1:5" ht="30">
      <c r="A1940" s="254">
        <v>2410</v>
      </c>
      <c r="B1940" s="254" t="s">
        <v>21647</v>
      </c>
      <c r="C1940" s="254" t="s">
        <v>4523</v>
      </c>
      <c r="D1940" s="255" t="s">
        <v>21648</v>
      </c>
      <c r="E1940" s="253" t="s">
        <v>170</v>
      </c>
    </row>
    <row r="1941" spans="1:5" ht="30">
      <c r="A1941" s="254">
        <v>2417</v>
      </c>
      <c r="B1941" s="254" t="s">
        <v>21649</v>
      </c>
      <c r="C1941" s="254" t="s">
        <v>4523</v>
      </c>
      <c r="D1941" s="255" t="s">
        <v>21650</v>
      </c>
      <c r="E1941" s="253" t="s">
        <v>170</v>
      </c>
    </row>
    <row r="1942" spans="1:5" ht="30">
      <c r="A1942" s="254">
        <v>2415</v>
      </c>
      <c r="B1942" s="254" t="s">
        <v>21651</v>
      </c>
      <c r="C1942" s="254" t="s">
        <v>4523</v>
      </c>
      <c r="D1942" s="255" t="s">
        <v>21652</v>
      </c>
      <c r="E1942" s="253" t="s">
        <v>170</v>
      </c>
    </row>
    <row r="1943" spans="1:5" ht="30">
      <c r="A1943" s="254">
        <v>13360</v>
      </c>
      <c r="B1943" s="254" t="s">
        <v>21653</v>
      </c>
      <c r="C1943" s="254" t="s">
        <v>4523</v>
      </c>
      <c r="D1943" s="255" t="s">
        <v>21652</v>
      </c>
      <c r="E1943" s="253" t="s">
        <v>170</v>
      </c>
    </row>
    <row r="1944" spans="1:5" ht="30">
      <c r="A1944" s="254">
        <v>11983</v>
      </c>
      <c r="B1944" s="254" t="s">
        <v>21654</v>
      </c>
      <c r="C1944" s="254" t="s">
        <v>4523</v>
      </c>
      <c r="D1944" s="255" t="s">
        <v>21655</v>
      </c>
      <c r="E1944" s="253" t="s">
        <v>170</v>
      </c>
    </row>
    <row r="1945" spans="1:5" ht="30">
      <c r="A1945" s="254">
        <v>11986</v>
      </c>
      <c r="B1945" s="254" t="s">
        <v>21656</v>
      </c>
      <c r="C1945" s="254" t="s">
        <v>4523</v>
      </c>
      <c r="D1945" s="255" t="s">
        <v>21657</v>
      </c>
      <c r="E1945" s="253" t="s">
        <v>170</v>
      </c>
    </row>
    <row r="1946" spans="1:5" ht="30">
      <c r="A1946" s="254">
        <v>25976</v>
      </c>
      <c r="B1946" s="254" t="s">
        <v>21658</v>
      </c>
      <c r="C1946" s="254" t="s">
        <v>4523</v>
      </c>
      <c r="D1946" s="255" t="s">
        <v>21659</v>
      </c>
      <c r="E1946" s="253" t="s">
        <v>170</v>
      </c>
    </row>
    <row r="1947" spans="1:5" ht="15">
      <c r="A1947" s="254">
        <v>10629</v>
      </c>
      <c r="B1947" s="254" t="s">
        <v>21660</v>
      </c>
      <c r="C1947" s="254" t="s">
        <v>4523</v>
      </c>
      <c r="D1947" s="255" t="s">
        <v>21661</v>
      </c>
      <c r="E1947" s="253" t="s">
        <v>170</v>
      </c>
    </row>
    <row r="1948" spans="1:5" ht="30">
      <c r="A1948" s="254">
        <v>10698</v>
      </c>
      <c r="B1948" s="254" t="s">
        <v>21662</v>
      </c>
      <c r="C1948" s="254" t="s">
        <v>4523</v>
      </c>
      <c r="D1948" s="255" t="s">
        <v>21663</v>
      </c>
      <c r="E1948" s="253" t="s">
        <v>170</v>
      </c>
    </row>
    <row r="1949" spans="1:5" ht="30">
      <c r="A1949" s="254">
        <v>40521</v>
      </c>
      <c r="B1949" s="254" t="s">
        <v>21664</v>
      </c>
      <c r="C1949" s="254" t="s">
        <v>4521</v>
      </c>
      <c r="D1949" s="255" t="s">
        <v>21665</v>
      </c>
      <c r="E1949" s="253" t="s">
        <v>170</v>
      </c>
    </row>
    <row r="1950" spans="1:5" ht="30">
      <c r="A1950" s="254">
        <v>2432</v>
      </c>
      <c r="B1950" s="254" t="s">
        <v>21666</v>
      </c>
      <c r="C1950" s="254" t="s">
        <v>4521</v>
      </c>
      <c r="D1950" s="255" t="s">
        <v>16346</v>
      </c>
      <c r="E1950" s="253" t="s">
        <v>170</v>
      </c>
    </row>
    <row r="1951" spans="1:5" ht="30">
      <c r="A1951" s="254">
        <v>2418</v>
      </c>
      <c r="B1951" s="254" t="s">
        <v>21667</v>
      </c>
      <c r="C1951" s="254" t="s">
        <v>4521</v>
      </c>
      <c r="D1951" s="255" t="s">
        <v>15720</v>
      </c>
      <c r="E1951" s="253" t="s">
        <v>170</v>
      </c>
    </row>
    <row r="1952" spans="1:5" ht="30">
      <c r="A1952" s="254">
        <v>2433</v>
      </c>
      <c r="B1952" s="254" t="s">
        <v>21668</v>
      </c>
      <c r="C1952" s="254" t="s">
        <v>4521</v>
      </c>
      <c r="D1952" s="255" t="s">
        <v>17000</v>
      </c>
      <c r="E1952" s="253" t="s">
        <v>170</v>
      </c>
    </row>
    <row r="1953" spans="1:5" ht="30">
      <c r="A1953" s="254">
        <v>2420</v>
      </c>
      <c r="B1953" s="254" t="s">
        <v>21669</v>
      </c>
      <c r="C1953" s="254" t="s">
        <v>4521</v>
      </c>
      <c r="D1953" s="255" t="s">
        <v>15494</v>
      </c>
      <c r="E1953" s="253" t="s">
        <v>170</v>
      </c>
    </row>
    <row r="1954" spans="1:5" ht="30">
      <c r="A1954" s="254">
        <v>2421</v>
      </c>
      <c r="B1954" s="254" t="s">
        <v>21670</v>
      </c>
      <c r="C1954" s="254" t="s">
        <v>4521</v>
      </c>
      <c r="D1954" s="255" t="s">
        <v>21671</v>
      </c>
      <c r="E1954" s="253" t="s">
        <v>170</v>
      </c>
    </row>
    <row r="1955" spans="1:5" ht="30">
      <c r="A1955" s="254">
        <v>11447</v>
      </c>
      <c r="B1955" s="254" t="s">
        <v>21672</v>
      </c>
      <c r="C1955" s="254" t="s">
        <v>4521</v>
      </c>
      <c r="D1955" s="255" t="s">
        <v>14567</v>
      </c>
      <c r="E1955" s="253" t="s">
        <v>170</v>
      </c>
    </row>
    <row r="1956" spans="1:5" ht="30">
      <c r="A1956" s="254">
        <v>2429</v>
      </c>
      <c r="B1956" s="254" t="s">
        <v>21673</v>
      </c>
      <c r="C1956" s="254" t="s">
        <v>4521</v>
      </c>
      <c r="D1956" s="255" t="s">
        <v>21674</v>
      </c>
      <c r="E1956" s="253" t="s">
        <v>170</v>
      </c>
    </row>
    <row r="1957" spans="1:5" ht="15">
      <c r="A1957" s="254">
        <v>11449</v>
      </c>
      <c r="B1957" s="254" t="s">
        <v>21675</v>
      </c>
      <c r="C1957" s="254" t="s">
        <v>4521</v>
      </c>
      <c r="D1957" s="255" t="s">
        <v>16537</v>
      </c>
      <c r="E1957" s="253" t="s">
        <v>170</v>
      </c>
    </row>
    <row r="1958" spans="1:5" ht="30">
      <c r="A1958" s="254">
        <v>11451</v>
      </c>
      <c r="B1958" s="254" t="s">
        <v>21676</v>
      </c>
      <c r="C1958" s="254" t="s">
        <v>4521</v>
      </c>
      <c r="D1958" s="255" t="s">
        <v>13994</v>
      </c>
      <c r="E1958" s="253" t="s">
        <v>170</v>
      </c>
    </row>
    <row r="1959" spans="1:5" ht="15">
      <c r="A1959" s="254">
        <v>11116</v>
      </c>
      <c r="B1959" s="254" t="s">
        <v>21677</v>
      </c>
      <c r="C1959" s="254" t="s">
        <v>4521</v>
      </c>
      <c r="D1959" s="255" t="s">
        <v>21678</v>
      </c>
      <c r="E1959" s="253" t="s">
        <v>170</v>
      </c>
    </row>
    <row r="1960" spans="1:5" ht="15">
      <c r="A1960" s="254">
        <v>38411</v>
      </c>
      <c r="B1960" s="254" t="s">
        <v>21679</v>
      </c>
      <c r="C1960" s="254" t="s">
        <v>4521</v>
      </c>
      <c r="D1960" s="255" t="s">
        <v>21680</v>
      </c>
      <c r="E1960" s="253" t="s">
        <v>170</v>
      </c>
    </row>
    <row r="1961" spans="1:5" ht="15">
      <c r="A1961" s="254">
        <v>1370</v>
      </c>
      <c r="B1961" s="254" t="s">
        <v>21681</v>
      </c>
      <c r="C1961" s="254" t="s">
        <v>4521</v>
      </c>
      <c r="D1961" s="255" t="s">
        <v>16021</v>
      </c>
      <c r="E1961" s="253" t="s">
        <v>170</v>
      </c>
    </row>
    <row r="1962" spans="1:5" ht="15">
      <c r="A1962" s="254">
        <v>38189</v>
      </c>
      <c r="B1962" s="254" t="s">
        <v>21682</v>
      </c>
      <c r="C1962" s="254" t="s">
        <v>4521</v>
      </c>
      <c r="D1962" s="255" t="s">
        <v>21683</v>
      </c>
      <c r="E1962" s="253" t="s">
        <v>170</v>
      </c>
    </row>
    <row r="1963" spans="1:5" ht="15">
      <c r="A1963" s="254">
        <v>38190</v>
      </c>
      <c r="B1963" s="254" t="s">
        <v>21684</v>
      </c>
      <c r="C1963" s="254" t="s">
        <v>4521</v>
      </c>
      <c r="D1963" s="255" t="s">
        <v>21685</v>
      </c>
      <c r="E1963" s="253" t="s">
        <v>170</v>
      </c>
    </row>
    <row r="1964" spans="1:5" ht="30">
      <c r="A1964" s="254">
        <v>36516</v>
      </c>
      <c r="B1964" s="254" t="s">
        <v>21686</v>
      </c>
      <c r="C1964" s="254" t="s">
        <v>4521</v>
      </c>
      <c r="D1964" s="255" t="s">
        <v>21687</v>
      </c>
      <c r="E1964" s="253" t="s">
        <v>170</v>
      </c>
    </row>
    <row r="1965" spans="1:5" ht="15">
      <c r="A1965" s="254">
        <v>34777</v>
      </c>
      <c r="B1965" s="254" t="s">
        <v>21688</v>
      </c>
      <c r="C1965" s="254" t="s">
        <v>4521</v>
      </c>
      <c r="D1965" s="255" t="s">
        <v>17669</v>
      </c>
      <c r="E1965" s="253" t="s">
        <v>170</v>
      </c>
    </row>
    <row r="1966" spans="1:5" ht="15">
      <c r="A1966" s="254">
        <v>7273</v>
      </c>
      <c r="B1966" s="254" t="s">
        <v>21689</v>
      </c>
      <c r="C1966" s="254" t="s">
        <v>4521</v>
      </c>
      <c r="D1966" s="255" t="s">
        <v>14245</v>
      </c>
      <c r="E1966" s="253" t="s">
        <v>170</v>
      </c>
    </row>
    <row r="1967" spans="1:5" ht="15">
      <c r="A1967" s="254">
        <v>7272</v>
      </c>
      <c r="B1967" s="254" t="s">
        <v>21690</v>
      </c>
      <c r="C1967" s="254" t="s">
        <v>4521</v>
      </c>
      <c r="D1967" s="255" t="s">
        <v>17529</v>
      </c>
      <c r="E1967" s="253" t="s">
        <v>170</v>
      </c>
    </row>
    <row r="1968" spans="1:5" ht="15">
      <c r="A1968" s="254">
        <v>10605</v>
      </c>
      <c r="B1968" s="254" t="s">
        <v>21691</v>
      </c>
      <c r="C1968" s="254" t="s">
        <v>4521</v>
      </c>
      <c r="D1968" s="255" t="s">
        <v>14376</v>
      </c>
      <c r="E1968" s="253" t="s">
        <v>170</v>
      </c>
    </row>
    <row r="1969" spans="1:5" ht="15">
      <c r="A1969" s="254">
        <v>10604</v>
      </c>
      <c r="B1969" s="254" t="s">
        <v>21692</v>
      </c>
      <c r="C1969" s="254" t="s">
        <v>4521</v>
      </c>
      <c r="D1969" s="255" t="s">
        <v>14289</v>
      </c>
      <c r="E1969" s="253" t="s">
        <v>170</v>
      </c>
    </row>
    <row r="1970" spans="1:5" ht="15">
      <c r="A1970" s="254">
        <v>672</v>
      </c>
      <c r="B1970" s="254" t="s">
        <v>21693</v>
      </c>
      <c r="C1970" s="254" t="s">
        <v>4521</v>
      </c>
      <c r="D1970" s="255" t="s">
        <v>17597</v>
      </c>
      <c r="E1970" s="253" t="s">
        <v>170</v>
      </c>
    </row>
    <row r="1971" spans="1:5" ht="15">
      <c r="A1971" s="254">
        <v>668</v>
      </c>
      <c r="B1971" s="254" t="s">
        <v>21694</v>
      </c>
      <c r="C1971" s="254" t="s">
        <v>4521</v>
      </c>
      <c r="D1971" s="255" t="s">
        <v>18807</v>
      </c>
      <c r="E1971" s="253" t="s">
        <v>170</v>
      </c>
    </row>
    <row r="1972" spans="1:5" ht="15">
      <c r="A1972" s="254">
        <v>10578</v>
      </c>
      <c r="B1972" s="254" t="s">
        <v>21695</v>
      </c>
      <c r="C1972" s="254" t="s">
        <v>4521</v>
      </c>
      <c r="D1972" s="255" t="s">
        <v>21696</v>
      </c>
      <c r="E1972" s="253" t="s">
        <v>170</v>
      </c>
    </row>
    <row r="1973" spans="1:5" ht="15">
      <c r="A1973" s="254">
        <v>666</v>
      </c>
      <c r="B1973" s="254" t="s">
        <v>21697</v>
      </c>
      <c r="C1973" s="254" t="s">
        <v>4521</v>
      </c>
      <c r="D1973" s="256" t="s">
        <v>16665</v>
      </c>
      <c r="E1973" s="253" t="s">
        <v>170</v>
      </c>
    </row>
    <row r="1974" spans="1:5" ht="15">
      <c r="A1974" s="254">
        <v>665</v>
      </c>
      <c r="B1974" s="254" t="s">
        <v>21698</v>
      </c>
      <c r="C1974" s="254" t="s">
        <v>4521</v>
      </c>
      <c r="D1974" s="256" t="s">
        <v>21699</v>
      </c>
      <c r="E1974" s="253" t="s">
        <v>170</v>
      </c>
    </row>
    <row r="1975" spans="1:5" ht="15">
      <c r="A1975" s="254">
        <v>10577</v>
      </c>
      <c r="B1975" s="254" t="s">
        <v>21700</v>
      </c>
      <c r="C1975" s="254" t="s">
        <v>4521</v>
      </c>
      <c r="D1975" s="255" t="s">
        <v>14352</v>
      </c>
      <c r="E1975" s="253" t="s">
        <v>170</v>
      </c>
    </row>
    <row r="1976" spans="1:5" ht="15">
      <c r="A1976" s="254">
        <v>10583</v>
      </c>
      <c r="B1976" s="254" t="s">
        <v>21701</v>
      </c>
      <c r="C1976" s="254" t="s">
        <v>4521</v>
      </c>
      <c r="D1976" s="256" t="s">
        <v>15495</v>
      </c>
      <c r="E1976" s="253" t="s">
        <v>170</v>
      </c>
    </row>
    <row r="1977" spans="1:5" ht="15">
      <c r="A1977" s="254">
        <v>10579</v>
      </c>
      <c r="B1977" s="254" t="s">
        <v>21702</v>
      </c>
      <c r="C1977" s="254" t="s">
        <v>4521</v>
      </c>
      <c r="D1977" s="256" t="s">
        <v>16804</v>
      </c>
      <c r="E1977" s="253" t="s">
        <v>170</v>
      </c>
    </row>
    <row r="1978" spans="1:5" ht="15">
      <c r="A1978" s="254">
        <v>10582</v>
      </c>
      <c r="B1978" s="254" t="s">
        <v>21703</v>
      </c>
      <c r="C1978" s="254" t="s">
        <v>4521</v>
      </c>
      <c r="D1978" s="256" t="s">
        <v>16661</v>
      </c>
      <c r="E1978" s="253" t="s">
        <v>170</v>
      </c>
    </row>
    <row r="1979" spans="1:5" ht="15">
      <c r="A1979" s="254">
        <v>2436</v>
      </c>
      <c r="B1979" s="254" t="s">
        <v>21704</v>
      </c>
      <c r="C1979" s="254" t="s">
        <v>4520</v>
      </c>
      <c r="D1979" s="256" t="s">
        <v>19250</v>
      </c>
      <c r="E1979" s="253" t="s">
        <v>8722</v>
      </c>
    </row>
    <row r="1980" spans="1:5" ht="15">
      <c r="A1980" s="254">
        <v>40918</v>
      </c>
      <c r="B1980" s="254" t="s">
        <v>21705</v>
      </c>
      <c r="C1980" s="254" t="s">
        <v>4528</v>
      </c>
      <c r="D1980" s="256" t="s">
        <v>19252</v>
      </c>
      <c r="E1980" s="253" t="s">
        <v>8722</v>
      </c>
    </row>
    <row r="1981" spans="1:5" ht="15">
      <c r="A1981" s="254">
        <v>2439</v>
      </c>
      <c r="B1981" s="254" t="s">
        <v>21706</v>
      </c>
      <c r="C1981" s="254" t="s">
        <v>4520</v>
      </c>
      <c r="D1981" s="255" t="s">
        <v>19250</v>
      </c>
      <c r="E1981" s="253" t="s">
        <v>8722</v>
      </c>
    </row>
    <row r="1982" spans="1:5" ht="15">
      <c r="A1982" s="254">
        <v>40923</v>
      </c>
      <c r="B1982" s="254" t="s">
        <v>21707</v>
      </c>
      <c r="C1982" s="254" t="s">
        <v>4528</v>
      </c>
      <c r="D1982" s="256" t="s">
        <v>21708</v>
      </c>
      <c r="E1982" s="253" t="s">
        <v>8722</v>
      </c>
    </row>
    <row r="1983" spans="1:5" ht="15">
      <c r="A1983" s="254">
        <v>10998</v>
      </c>
      <c r="B1983" s="254" t="s">
        <v>21709</v>
      </c>
      <c r="C1983" s="254" t="s">
        <v>4525</v>
      </c>
      <c r="D1983" s="255" t="s">
        <v>16775</v>
      </c>
      <c r="E1983" s="253" t="s">
        <v>170</v>
      </c>
    </row>
    <row r="1984" spans="1:5" ht="15">
      <c r="A1984" s="254">
        <v>11002</v>
      </c>
      <c r="B1984" s="254" t="s">
        <v>21710</v>
      </c>
      <c r="C1984" s="254" t="s">
        <v>4525</v>
      </c>
      <c r="D1984" s="255" t="s">
        <v>16329</v>
      </c>
      <c r="E1984" s="253" t="s">
        <v>170</v>
      </c>
    </row>
    <row r="1985" spans="1:5" ht="15">
      <c r="A1985" s="254">
        <v>10999</v>
      </c>
      <c r="B1985" s="254" t="s">
        <v>21711</v>
      </c>
      <c r="C1985" s="254" t="s">
        <v>4525</v>
      </c>
      <c r="D1985" s="255" t="s">
        <v>14173</v>
      </c>
      <c r="E1985" s="253" t="s">
        <v>170</v>
      </c>
    </row>
    <row r="1986" spans="1:5" ht="15">
      <c r="A1986" s="254">
        <v>10997</v>
      </c>
      <c r="B1986" s="254" t="s">
        <v>21712</v>
      </c>
      <c r="C1986" s="254" t="s">
        <v>4525</v>
      </c>
      <c r="D1986" s="255" t="s">
        <v>18067</v>
      </c>
      <c r="E1986" s="253" t="s">
        <v>170</v>
      </c>
    </row>
    <row r="1987" spans="1:5" ht="15">
      <c r="A1987" s="254">
        <v>2685</v>
      </c>
      <c r="B1987" s="254" t="s">
        <v>21713</v>
      </c>
      <c r="C1987" s="254" t="s">
        <v>4524</v>
      </c>
      <c r="D1987" s="255" t="s">
        <v>21214</v>
      </c>
      <c r="E1987" s="253" t="s">
        <v>170</v>
      </c>
    </row>
    <row r="1988" spans="1:5" ht="15">
      <c r="A1988" s="254">
        <v>2680</v>
      </c>
      <c r="B1988" s="254" t="s">
        <v>21714</v>
      </c>
      <c r="C1988" s="254" t="s">
        <v>4524</v>
      </c>
      <c r="D1988" s="255" t="s">
        <v>15730</v>
      </c>
      <c r="E1988" s="253" t="s">
        <v>170</v>
      </c>
    </row>
    <row r="1989" spans="1:5" ht="15">
      <c r="A1989" s="254">
        <v>2684</v>
      </c>
      <c r="B1989" s="254" t="s">
        <v>21715</v>
      </c>
      <c r="C1989" s="254" t="s">
        <v>4524</v>
      </c>
      <c r="D1989" s="255" t="s">
        <v>18807</v>
      </c>
      <c r="E1989" s="253" t="s">
        <v>170</v>
      </c>
    </row>
    <row r="1990" spans="1:5" ht="15">
      <c r="A1990" s="254">
        <v>2673</v>
      </c>
      <c r="B1990" s="254" t="s">
        <v>21716</v>
      </c>
      <c r="C1990" s="254" t="s">
        <v>4524</v>
      </c>
      <c r="D1990" s="255" t="s">
        <v>18719</v>
      </c>
      <c r="E1990" s="253" t="s">
        <v>170</v>
      </c>
    </row>
    <row r="1991" spans="1:5" ht="15">
      <c r="A1991" s="254">
        <v>2681</v>
      </c>
      <c r="B1991" s="254" t="s">
        <v>21717</v>
      </c>
      <c r="C1991" s="254" t="s">
        <v>4524</v>
      </c>
      <c r="D1991" s="255" t="s">
        <v>15870</v>
      </c>
      <c r="E1991" s="253" t="s">
        <v>170</v>
      </c>
    </row>
    <row r="1992" spans="1:5" ht="15">
      <c r="A1992" s="254">
        <v>2682</v>
      </c>
      <c r="B1992" s="254" t="s">
        <v>21718</v>
      </c>
      <c r="C1992" s="254" t="s">
        <v>4524</v>
      </c>
      <c r="D1992" s="255" t="s">
        <v>17169</v>
      </c>
      <c r="E1992" s="253" t="s">
        <v>170</v>
      </c>
    </row>
    <row r="1993" spans="1:5" ht="15">
      <c r="A1993" s="254">
        <v>2686</v>
      </c>
      <c r="B1993" s="254" t="s">
        <v>21719</v>
      </c>
      <c r="C1993" s="254" t="s">
        <v>4524</v>
      </c>
      <c r="D1993" s="255" t="s">
        <v>16241</v>
      </c>
      <c r="E1993" s="253" t="s">
        <v>170</v>
      </c>
    </row>
    <row r="1994" spans="1:5" ht="15">
      <c r="A1994" s="254">
        <v>2674</v>
      </c>
      <c r="B1994" s="254" t="s">
        <v>21720</v>
      </c>
      <c r="C1994" s="254" t="s">
        <v>4524</v>
      </c>
      <c r="D1994" s="255" t="s">
        <v>14490</v>
      </c>
      <c r="E1994" s="253" t="s">
        <v>170</v>
      </c>
    </row>
    <row r="1995" spans="1:5" ht="15">
      <c r="A1995" s="254">
        <v>2683</v>
      </c>
      <c r="B1995" s="254" t="s">
        <v>21721</v>
      </c>
      <c r="C1995" s="254" t="s">
        <v>4524</v>
      </c>
      <c r="D1995" s="255" t="s">
        <v>19897</v>
      </c>
      <c r="E1995" s="253" t="s">
        <v>170</v>
      </c>
    </row>
    <row r="1996" spans="1:5" ht="15">
      <c r="A1996" s="254">
        <v>2676</v>
      </c>
      <c r="B1996" s="254" t="s">
        <v>21722</v>
      </c>
      <c r="C1996" s="254" t="s">
        <v>4524</v>
      </c>
      <c r="D1996" s="255" t="s">
        <v>18619</v>
      </c>
      <c r="E1996" s="253" t="s">
        <v>170</v>
      </c>
    </row>
    <row r="1997" spans="1:5" ht="15">
      <c r="A1997" s="254">
        <v>2678</v>
      </c>
      <c r="B1997" s="254" t="s">
        <v>21723</v>
      </c>
      <c r="C1997" s="254" t="s">
        <v>4524</v>
      </c>
      <c r="D1997" s="255" t="s">
        <v>16223</v>
      </c>
      <c r="E1997" s="253" t="s">
        <v>170</v>
      </c>
    </row>
    <row r="1998" spans="1:5" ht="15">
      <c r="A1998" s="254">
        <v>2679</v>
      </c>
      <c r="B1998" s="254" t="s">
        <v>21724</v>
      </c>
      <c r="C1998" s="254" t="s">
        <v>4524</v>
      </c>
      <c r="D1998" s="255" t="s">
        <v>18448</v>
      </c>
      <c r="E1998" s="253" t="s">
        <v>170</v>
      </c>
    </row>
    <row r="1999" spans="1:5" ht="15">
      <c r="A1999" s="254">
        <v>12070</v>
      </c>
      <c r="B1999" s="254" t="s">
        <v>21725</v>
      </c>
      <c r="C1999" s="254" t="s">
        <v>4524</v>
      </c>
      <c r="D1999" s="256" t="s">
        <v>13860</v>
      </c>
      <c r="E1999" s="253" t="s">
        <v>170</v>
      </c>
    </row>
    <row r="2000" spans="1:5" ht="15">
      <c r="A2000" s="254">
        <v>2675</v>
      </c>
      <c r="B2000" s="254" t="s">
        <v>21726</v>
      </c>
      <c r="C2000" s="254" t="s">
        <v>4524</v>
      </c>
      <c r="D2000" s="256" t="s">
        <v>13815</v>
      </c>
      <c r="E2000" s="253" t="s">
        <v>170</v>
      </c>
    </row>
    <row r="2001" spans="1:5" ht="15">
      <c r="A2001" s="254">
        <v>12067</v>
      </c>
      <c r="B2001" s="254" t="s">
        <v>21727</v>
      </c>
      <c r="C2001" s="254" t="s">
        <v>4524</v>
      </c>
      <c r="D2001" s="256" t="s">
        <v>14098</v>
      </c>
      <c r="E2001" s="253" t="s">
        <v>170</v>
      </c>
    </row>
    <row r="2002" spans="1:5" ht="15">
      <c r="A2002" s="254">
        <v>40401</v>
      </c>
      <c r="B2002" s="254" t="s">
        <v>21728</v>
      </c>
      <c r="C2002" s="254" t="s">
        <v>4524</v>
      </c>
      <c r="D2002" s="255" t="s">
        <v>19524</v>
      </c>
      <c r="E2002" s="253" t="s">
        <v>170</v>
      </c>
    </row>
    <row r="2003" spans="1:5" ht="15">
      <c r="A2003" s="254">
        <v>40402</v>
      </c>
      <c r="B2003" s="254" t="s">
        <v>21729</v>
      </c>
      <c r="C2003" s="254" t="s">
        <v>4524</v>
      </c>
      <c r="D2003" s="255" t="s">
        <v>17598</v>
      </c>
      <c r="E2003" s="253" t="s">
        <v>170</v>
      </c>
    </row>
    <row r="2004" spans="1:5" ht="15">
      <c r="A2004" s="254">
        <v>40400</v>
      </c>
      <c r="B2004" s="254" t="s">
        <v>21730</v>
      </c>
      <c r="C2004" s="254" t="s">
        <v>4524</v>
      </c>
      <c r="D2004" s="256" t="s">
        <v>14295</v>
      </c>
      <c r="E2004" s="253" t="s">
        <v>170</v>
      </c>
    </row>
    <row r="2005" spans="1:5" ht="30">
      <c r="A2005" s="254">
        <v>2504</v>
      </c>
      <c r="B2005" s="254" t="s">
        <v>21731</v>
      </c>
      <c r="C2005" s="254" t="s">
        <v>4524</v>
      </c>
      <c r="D2005" s="256" t="s">
        <v>15771</v>
      </c>
      <c r="E2005" s="253" t="s">
        <v>170</v>
      </c>
    </row>
    <row r="2006" spans="1:5" ht="30">
      <c r="A2006" s="254">
        <v>2501</v>
      </c>
      <c r="B2006" s="254" t="s">
        <v>21732</v>
      </c>
      <c r="C2006" s="254" t="s">
        <v>4524</v>
      </c>
      <c r="D2006" s="256" t="s">
        <v>17936</v>
      </c>
      <c r="E2006" s="253" t="s">
        <v>170</v>
      </c>
    </row>
    <row r="2007" spans="1:5" ht="30">
      <c r="A2007" s="254">
        <v>2502</v>
      </c>
      <c r="B2007" s="254" t="s">
        <v>21733</v>
      </c>
      <c r="C2007" s="254" t="s">
        <v>4524</v>
      </c>
      <c r="D2007" s="256" t="s">
        <v>17066</v>
      </c>
      <c r="E2007" s="253" t="s">
        <v>170</v>
      </c>
    </row>
    <row r="2008" spans="1:5" ht="30">
      <c r="A2008" s="254">
        <v>2503</v>
      </c>
      <c r="B2008" s="254" t="s">
        <v>21734</v>
      </c>
      <c r="C2008" s="254" t="s">
        <v>4524</v>
      </c>
      <c r="D2008" s="256" t="s">
        <v>14489</v>
      </c>
      <c r="E2008" s="253" t="s">
        <v>170</v>
      </c>
    </row>
    <row r="2009" spans="1:5" ht="30">
      <c r="A2009" s="254">
        <v>2500</v>
      </c>
      <c r="B2009" s="254" t="s">
        <v>21735</v>
      </c>
      <c r="C2009" s="254" t="s">
        <v>4524</v>
      </c>
      <c r="D2009" s="256" t="s">
        <v>21736</v>
      </c>
      <c r="E2009" s="253" t="s">
        <v>170</v>
      </c>
    </row>
    <row r="2010" spans="1:5" ht="30">
      <c r="A2010" s="254">
        <v>2505</v>
      </c>
      <c r="B2010" s="254" t="s">
        <v>21737</v>
      </c>
      <c r="C2010" s="254" t="s">
        <v>4524</v>
      </c>
      <c r="D2010" s="256" t="s">
        <v>21738</v>
      </c>
      <c r="E2010" s="253" t="s">
        <v>170</v>
      </c>
    </row>
    <row r="2011" spans="1:5" ht="15">
      <c r="A2011" s="254">
        <v>12056</v>
      </c>
      <c r="B2011" s="254" t="s">
        <v>21739</v>
      </c>
      <c r="C2011" s="254" t="s">
        <v>4524</v>
      </c>
      <c r="D2011" s="256" t="s">
        <v>21740</v>
      </c>
      <c r="E2011" s="253" t="s">
        <v>170</v>
      </c>
    </row>
    <row r="2012" spans="1:5" ht="15">
      <c r="A2012" s="254">
        <v>12057</v>
      </c>
      <c r="B2012" s="254" t="s">
        <v>21741</v>
      </c>
      <c r="C2012" s="254" t="s">
        <v>4524</v>
      </c>
      <c r="D2012" s="256" t="s">
        <v>21742</v>
      </c>
      <c r="E2012" s="253" t="s">
        <v>170</v>
      </c>
    </row>
    <row r="2013" spans="1:5" ht="15">
      <c r="A2013" s="254">
        <v>12059</v>
      </c>
      <c r="B2013" s="254" t="s">
        <v>21743</v>
      </c>
      <c r="C2013" s="254" t="s">
        <v>4524</v>
      </c>
      <c r="D2013" s="255" t="s">
        <v>17601</v>
      </c>
      <c r="E2013" s="253" t="s">
        <v>170</v>
      </c>
    </row>
    <row r="2014" spans="1:5" ht="15">
      <c r="A2014" s="254">
        <v>12058</v>
      </c>
      <c r="B2014" s="254" t="s">
        <v>21744</v>
      </c>
      <c r="C2014" s="254" t="s">
        <v>4524</v>
      </c>
      <c r="D2014" s="255" t="s">
        <v>13546</v>
      </c>
      <c r="E2014" s="253" t="s">
        <v>170</v>
      </c>
    </row>
    <row r="2015" spans="1:5" ht="15">
      <c r="A2015" s="254">
        <v>12060</v>
      </c>
      <c r="B2015" s="254" t="s">
        <v>21745</v>
      </c>
      <c r="C2015" s="254" t="s">
        <v>4524</v>
      </c>
      <c r="D2015" s="255" t="s">
        <v>21746</v>
      </c>
      <c r="E2015" s="253" t="s">
        <v>170</v>
      </c>
    </row>
    <row r="2016" spans="1:5" ht="15">
      <c r="A2016" s="254">
        <v>12061</v>
      </c>
      <c r="B2016" s="254" t="s">
        <v>21747</v>
      </c>
      <c r="C2016" s="254" t="s">
        <v>4524</v>
      </c>
      <c r="D2016" s="255" t="s">
        <v>21748</v>
      </c>
      <c r="E2016" s="253" t="s">
        <v>170</v>
      </c>
    </row>
    <row r="2017" spans="1:5" ht="15">
      <c r="A2017" s="254">
        <v>12062</v>
      </c>
      <c r="B2017" s="254" t="s">
        <v>21749</v>
      </c>
      <c r="C2017" s="254" t="s">
        <v>4524</v>
      </c>
      <c r="D2017" s="255" t="s">
        <v>21750</v>
      </c>
      <c r="E2017" s="253" t="s">
        <v>170</v>
      </c>
    </row>
    <row r="2018" spans="1:5" ht="30">
      <c r="A2018" s="254">
        <v>21137</v>
      </c>
      <c r="B2018" s="254" t="s">
        <v>21751</v>
      </c>
      <c r="C2018" s="254" t="s">
        <v>4524</v>
      </c>
      <c r="D2018" s="255" t="s">
        <v>15734</v>
      </c>
      <c r="E2018" s="253" t="s">
        <v>170</v>
      </c>
    </row>
    <row r="2019" spans="1:5" ht="15">
      <c r="A2019" s="254">
        <v>2687</v>
      </c>
      <c r="B2019" s="254" t="s">
        <v>21752</v>
      </c>
      <c r="C2019" s="254" t="s">
        <v>4524</v>
      </c>
      <c r="D2019" s="255" t="s">
        <v>14326</v>
      </c>
      <c r="E2019" s="253" t="s">
        <v>170</v>
      </c>
    </row>
    <row r="2020" spans="1:5" ht="15">
      <c r="A2020" s="254">
        <v>2689</v>
      </c>
      <c r="B2020" s="254" t="s">
        <v>21753</v>
      </c>
      <c r="C2020" s="254" t="s">
        <v>4524</v>
      </c>
      <c r="D2020" s="255" t="s">
        <v>14285</v>
      </c>
      <c r="E2020" s="253" t="s">
        <v>170</v>
      </c>
    </row>
    <row r="2021" spans="1:5" ht="15">
      <c r="A2021" s="254">
        <v>2688</v>
      </c>
      <c r="B2021" s="254" t="s">
        <v>21754</v>
      </c>
      <c r="C2021" s="254" t="s">
        <v>4524</v>
      </c>
      <c r="D2021" s="255" t="s">
        <v>13664</v>
      </c>
      <c r="E2021" s="253" t="s">
        <v>170</v>
      </c>
    </row>
    <row r="2022" spans="1:5" ht="15">
      <c r="A2022" s="254">
        <v>2690</v>
      </c>
      <c r="B2022" s="254" t="s">
        <v>21755</v>
      </c>
      <c r="C2022" s="254" t="s">
        <v>4524</v>
      </c>
      <c r="D2022" s="255" t="s">
        <v>18448</v>
      </c>
      <c r="E2022" s="253" t="s">
        <v>170</v>
      </c>
    </row>
    <row r="2023" spans="1:5" ht="30">
      <c r="A2023" s="254">
        <v>39243</v>
      </c>
      <c r="B2023" s="254" t="s">
        <v>21756</v>
      </c>
      <c r="C2023" s="254" t="s">
        <v>4524</v>
      </c>
      <c r="D2023" s="255" t="s">
        <v>14212</v>
      </c>
      <c r="E2023" s="253" t="s">
        <v>170</v>
      </c>
    </row>
    <row r="2024" spans="1:5" ht="30">
      <c r="A2024" s="254">
        <v>39244</v>
      </c>
      <c r="B2024" s="254" t="s">
        <v>21757</v>
      </c>
      <c r="C2024" s="254" t="s">
        <v>4524</v>
      </c>
      <c r="D2024" s="255" t="s">
        <v>14344</v>
      </c>
      <c r="E2024" s="253" t="s">
        <v>170</v>
      </c>
    </row>
    <row r="2025" spans="1:5" ht="30">
      <c r="A2025" s="254">
        <v>39245</v>
      </c>
      <c r="B2025" s="254" t="s">
        <v>21758</v>
      </c>
      <c r="C2025" s="254" t="s">
        <v>4524</v>
      </c>
      <c r="D2025" s="255" t="s">
        <v>18139</v>
      </c>
      <c r="E2025" s="253" t="s">
        <v>170</v>
      </c>
    </row>
    <row r="2026" spans="1:5" ht="30">
      <c r="A2026" s="254">
        <v>39254</v>
      </c>
      <c r="B2026" s="254" t="s">
        <v>21759</v>
      </c>
      <c r="C2026" s="254" t="s">
        <v>4524</v>
      </c>
      <c r="D2026" s="255" t="s">
        <v>17661</v>
      </c>
      <c r="E2026" s="253" t="s">
        <v>170</v>
      </c>
    </row>
    <row r="2027" spans="1:5" ht="30">
      <c r="A2027" s="254">
        <v>39255</v>
      </c>
      <c r="B2027" s="254" t="s">
        <v>21760</v>
      </c>
      <c r="C2027" s="254" t="s">
        <v>4524</v>
      </c>
      <c r="D2027" s="255" t="s">
        <v>16455</v>
      </c>
      <c r="E2027" s="253" t="s">
        <v>170</v>
      </c>
    </row>
    <row r="2028" spans="1:5" ht="30">
      <c r="A2028" s="254">
        <v>39253</v>
      </c>
      <c r="B2028" s="254" t="s">
        <v>21761</v>
      </c>
      <c r="C2028" s="254" t="s">
        <v>4524</v>
      </c>
      <c r="D2028" s="255" t="s">
        <v>16473</v>
      </c>
      <c r="E2028" s="253" t="s">
        <v>170</v>
      </c>
    </row>
    <row r="2029" spans="1:5" ht="30">
      <c r="A2029" s="254">
        <v>2446</v>
      </c>
      <c r="B2029" s="254" t="s">
        <v>21762</v>
      </c>
      <c r="C2029" s="254" t="s">
        <v>4524</v>
      </c>
      <c r="D2029" s="255" t="s">
        <v>14012</v>
      </c>
      <c r="E2029" s="253" t="s">
        <v>170</v>
      </c>
    </row>
    <row r="2030" spans="1:5" ht="30">
      <c r="A2030" s="254">
        <v>2442</v>
      </c>
      <c r="B2030" s="254" t="s">
        <v>21763</v>
      </c>
      <c r="C2030" s="254" t="s">
        <v>4524</v>
      </c>
      <c r="D2030" s="255" t="s">
        <v>15456</v>
      </c>
      <c r="E2030" s="253" t="s">
        <v>170</v>
      </c>
    </row>
    <row r="2031" spans="1:5" ht="30">
      <c r="A2031" s="254">
        <v>39246</v>
      </c>
      <c r="B2031" s="254" t="s">
        <v>21764</v>
      </c>
      <c r="C2031" s="254" t="s">
        <v>4524</v>
      </c>
      <c r="D2031" s="256" t="s">
        <v>21765</v>
      </c>
      <c r="E2031" s="253" t="s">
        <v>170</v>
      </c>
    </row>
    <row r="2032" spans="1:5" ht="30">
      <c r="A2032" s="254">
        <v>39247</v>
      </c>
      <c r="B2032" s="254" t="s">
        <v>21766</v>
      </c>
      <c r="C2032" s="254" t="s">
        <v>4524</v>
      </c>
      <c r="D2032" s="256" t="s">
        <v>14397</v>
      </c>
      <c r="E2032" s="253" t="s">
        <v>170</v>
      </c>
    </row>
    <row r="2033" spans="1:5" ht="30">
      <c r="A2033" s="254">
        <v>39248</v>
      </c>
      <c r="B2033" s="254" t="s">
        <v>21767</v>
      </c>
      <c r="C2033" s="254" t="s">
        <v>4524</v>
      </c>
      <c r="D2033" s="255" t="s">
        <v>20823</v>
      </c>
      <c r="E2033" s="253" t="s">
        <v>170</v>
      </c>
    </row>
    <row r="2034" spans="1:5" ht="15">
      <c r="A2034" s="254">
        <v>2438</v>
      </c>
      <c r="B2034" s="254" t="s">
        <v>21768</v>
      </c>
      <c r="C2034" s="254" t="s">
        <v>4520</v>
      </c>
      <c r="D2034" s="255" t="s">
        <v>16805</v>
      </c>
      <c r="E2034" s="253" t="s">
        <v>8722</v>
      </c>
    </row>
    <row r="2035" spans="1:5" ht="15">
      <c r="A2035" s="254">
        <v>40922</v>
      </c>
      <c r="B2035" s="254" t="s">
        <v>21769</v>
      </c>
      <c r="C2035" s="254" t="s">
        <v>4528</v>
      </c>
      <c r="D2035" s="255" t="s">
        <v>21770</v>
      </c>
      <c r="E2035" s="253" t="s">
        <v>8722</v>
      </c>
    </row>
    <row r="2036" spans="1:5" ht="45">
      <c r="A2036" s="254">
        <v>36486</v>
      </c>
      <c r="B2036" s="254" t="s">
        <v>21771</v>
      </c>
      <c r="C2036" s="254" t="s">
        <v>4521</v>
      </c>
      <c r="D2036" s="255" t="s">
        <v>21772</v>
      </c>
      <c r="E2036" s="253" t="s">
        <v>6305</v>
      </c>
    </row>
    <row r="2037" spans="1:5" ht="45">
      <c r="A2037" s="254">
        <v>37777</v>
      </c>
      <c r="B2037" s="254" t="s">
        <v>21773</v>
      </c>
      <c r="C2037" s="254" t="s">
        <v>4521</v>
      </c>
      <c r="D2037" s="255" t="s">
        <v>21774</v>
      </c>
      <c r="E2037" s="253" t="s">
        <v>6305</v>
      </c>
    </row>
    <row r="2038" spans="1:5" ht="30">
      <c r="A2038" s="254">
        <v>12624</v>
      </c>
      <c r="B2038" s="254" t="s">
        <v>21775</v>
      </c>
      <c r="C2038" s="254" t="s">
        <v>4521</v>
      </c>
      <c r="D2038" s="255" t="s">
        <v>21776</v>
      </c>
      <c r="E2038" s="253" t="s">
        <v>6305</v>
      </c>
    </row>
    <row r="2039" spans="1:5" ht="45">
      <c r="A2039" s="254">
        <v>10638</v>
      </c>
      <c r="B2039" s="254" t="s">
        <v>21777</v>
      </c>
      <c r="C2039" s="254" t="s">
        <v>4521</v>
      </c>
      <c r="D2039" s="255" t="s">
        <v>21778</v>
      </c>
      <c r="E2039" s="253" t="s">
        <v>6305</v>
      </c>
    </row>
    <row r="2040" spans="1:5" ht="45">
      <c r="A2040" s="254">
        <v>10635</v>
      </c>
      <c r="B2040" s="254" t="s">
        <v>21779</v>
      </c>
      <c r="C2040" s="254" t="s">
        <v>4521</v>
      </c>
      <c r="D2040" s="255" t="s">
        <v>21780</v>
      </c>
      <c r="E2040" s="253" t="s">
        <v>6305</v>
      </c>
    </row>
    <row r="2041" spans="1:5" ht="45">
      <c r="A2041" s="254">
        <v>10634</v>
      </c>
      <c r="B2041" s="254" t="s">
        <v>21781</v>
      </c>
      <c r="C2041" s="254" t="s">
        <v>4521</v>
      </c>
      <c r="D2041" s="255" t="s">
        <v>21782</v>
      </c>
      <c r="E2041" s="253" t="s">
        <v>6305</v>
      </c>
    </row>
    <row r="2042" spans="1:5" ht="45">
      <c r="A2042" s="254">
        <v>10636</v>
      </c>
      <c r="B2042" s="254" t="s">
        <v>21783</v>
      </c>
      <c r="C2042" s="254" t="s">
        <v>4521</v>
      </c>
      <c r="D2042" s="255" t="s">
        <v>21784</v>
      </c>
      <c r="E2042" s="253" t="s">
        <v>6305</v>
      </c>
    </row>
    <row r="2043" spans="1:5" ht="45">
      <c r="A2043" s="254">
        <v>10637</v>
      </c>
      <c r="B2043" s="254" t="s">
        <v>21785</v>
      </c>
      <c r="C2043" s="254" t="s">
        <v>4521</v>
      </c>
      <c r="D2043" s="255" t="s">
        <v>21786</v>
      </c>
      <c r="E2043" s="253" t="s">
        <v>6305</v>
      </c>
    </row>
    <row r="2044" spans="1:5" ht="15">
      <c r="A2044" s="254">
        <v>517</v>
      </c>
      <c r="B2044" s="254" t="s">
        <v>21787</v>
      </c>
      <c r="C2044" s="254" t="s">
        <v>4526</v>
      </c>
      <c r="D2044" s="255" t="s">
        <v>21788</v>
      </c>
      <c r="E2044" s="253" t="s">
        <v>170</v>
      </c>
    </row>
    <row r="2045" spans="1:5" ht="30">
      <c r="A2045" s="254">
        <v>41904</v>
      </c>
      <c r="B2045" s="254" t="s">
        <v>21789</v>
      </c>
      <c r="C2045" s="254" t="s">
        <v>4533</v>
      </c>
      <c r="D2045" s="255" t="s">
        <v>21790</v>
      </c>
      <c r="E2045" s="253" t="s">
        <v>170</v>
      </c>
    </row>
    <row r="2046" spans="1:5" ht="30">
      <c r="A2046" s="254">
        <v>41905</v>
      </c>
      <c r="B2046" s="254" t="s">
        <v>21791</v>
      </c>
      <c r="C2046" s="254" t="s">
        <v>4525</v>
      </c>
      <c r="D2046" s="255" t="s">
        <v>18505</v>
      </c>
      <c r="E2046" s="253" t="s">
        <v>170</v>
      </c>
    </row>
    <row r="2047" spans="1:5" ht="30">
      <c r="A2047" s="254">
        <v>41903</v>
      </c>
      <c r="B2047" s="254" t="s">
        <v>21792</v>
      </c>
      <c r="C2047" s="254" t="s">
        <v>4525</v>
      </c>
      <c r="D2047" s="255" t="s">
        <v>14368</v>
      </c>
      <c r="E2047" s="253" t="s">
        <v>170</v>
      </c>
    </row>
    <row r="2048" spans="1:5" ht="30">
      <c r="A2048" s="254">
        <v>37534</v>
      </c>
      <c r="B2048" s="254" t="s">
        <v>21793</v>
      </c>
      <c r="C2048" s="254" t="s">
        <v>4525</v>
      </c>
      <c r="D2048" s="255" t="s">
        <v>21794</v>
      </c>
      <c r="E2048" s="253" t="s">
        <v>170</v>
      </c>
    </row>
    <row r="2049" spans="1:5" ht="30">
      <c r="A2049" s="254">
        <v>37535</v>
      </c>
      <c r="B2049" s="254" t="s">
        <v>21795</v>
      </c>
      <c r="C2049" s="254" t="s">
        <v>4525</v>
      </c>
      <c r="D2049" s="255" t="s">
        <v>21794</v>
      </c>
      <c r="E2049" s="253" t="s">
        <v>170</v>
      </c>
    </row>
    <row r="2050" spans="1:5" ht="30">
      <c r="A2050" s="254">
        <v>37533</v>
      </c>
      <c r="B2050" s="254" t="s">
        <v>21796</v>
      </c>
      <c r="C2050" s="254" t="s">
        <v>4525</v>
      </c>
      <c r="D2050" s="255" t="s">
        <v>21794</v>
      </c>
      <c r="E2050" s="253" t="s">
        <v>170</v>
      </c>
    </row>
    <row r="2051" spans="1:5" ht="30">
      <c r="A2051" s="254">
        <v>37537</v>
      </c>
      <c r="B2051" s="254" t="s">
        <v>21797</v>
      </c>
      <c r="C2051" s="254" t="s">
        <v>4525</v>
      </c>
      <c r="D2051" s="255" t="s">
        <v>21798</v>
      </c>
      <c r="E2051" s="253" t="s">
        <v>170</v>
      </c>
    </row>
    <row r="2052" spans="1:5" ht="30">
      <c r="A2052" s="254">
        <v>37536</v>
      </c>
      <c r="B2052" s="254" t="s">
        <v>21799</v>
      </c>
      <c r="C2052" s="254" t="s">
        <v>4525</v>
      </c>
      <c r="D2052" s="255" t="s">
        <v>21798</v>
      </c>
      <c r="E2052" s="253" t="s">
        <v>170</v>
      </c>
    </row>
    <row r="2053" spans="1:5" ht="30">
      <c r="A2053" s="254">
        <v>37532</v>
      </c>
      <c r="B2053" s="254" t="s">
        <v>21800</v>
      </c>
      <c r="C2053" s="254" t="s">
        <v>4525</v>
      </c>
      <c r="D2053" s="255" t="s">
        <v>21798</v>
      </c>
      <c r="E2053" s="253" t="s">
        <v>170</v>
      </c>
    </row>
    <row r="2054" spans="1:5" ht="15">
      <c r="A2054" s="254">
        <v>2696</v>
      </c>
      <c r="B2054" s="254" t="s">
        <v>21801</v>
      </c>
      <c r="C2054" s="254" t="s">
        <v>4520</v>
      </c>
      <c r="D2054" s="255" t="s">
        <v>19250</v>
      </c>
      <c r="E2054" s="253" t="s">
        <v>8722</v>
      </c>
    </row>
    <row r="2055" spans="1:5" ht="15">
      <c r="A2055" s="254">
        <v>40928</v>
      </c>
      <c r="B2055" s="254" t="s">
        <v>21802</v>
      </c>
      <c r="C2055" s="254" t="s">
        <v>4528</v>
      </c>
      <c r="D2055" s="255" t="s">
        <v>19252</v>
      </c>
      <c r="E2055" s="253" t="s">
        <v>8722</v>
      </c>
    </row>
    <row r="2056" spans="1:5" ht="15">
      <c r="A2056" s="254">
        <v>4083</v>
      </c>
      <c r="B2056" s="254" t="s">
        <v>21803</v>
      </c>
      <c r="C2056" s="254" t="s">
        <v>4520</v>
      </c>
      <c r="D2056" s="255" t="s">
        <v>19250</v>
      </c>
      <c r="E2056" s="253" t="s">
        <v>8722</v>
      </c>
    </row>
    <row r="2057" spans="1:5" ht="15">
      <c r="A2057" s="254">
        <v>40818</v>
      </c>
      <c r="B2057" s="254" t="s">
        <v>21804</v>
      </c>
      <c r="C2057" s="254" t="s">
        <v>4528</v>
      </c>
      <c r="D2057" s="255" t="s">
        <v>19252</v>
      </c>
      <c r="E2057" s="253" t="s">
        <v>8722</v>
      </c>
    </row>
    <row r="2058" spans="1:5" ht="15">
      <c r="A2058" s="254">
        <v>43146</v>
      </c>
      <c r="B2058" s="254" t="s">
        <v>21805</v>
      </c>
      <c r="C2058" s="254" t="s">
        <v>4525</v>
      </c>
      <c r="D2058" s="255" t="s">
        <v>16197</v>
      </c>
      <c r="E2058" s="253" t="s">
        <v>170</v>
      </c>
    </row>
    <row r="2059" spans="1:5" ht="15">
      <c r="A2059" s="254">
        <v>2705</v>
      </c>
      <c r="B2059" s="254" t="s">
        <v>21806</v>
      </c>
      <c r="C2059" s="254" t="s">
        <v>4537</v>
      </c>
      <c r="D2059" s="255" t="s">
        <v>14026</v>
      </c>
      <c r="E2059" s="253" t="s">
        <v>170</v>
      </c>
    </row>
    <row r="2060" spans="1:5" ht="30">
      <c r="A2060" s="254">
        <v>14250</v>
      </c>
      <c r="B2060" s="254" t="s">
        <v>21807</v>
      </c>
      <c r="C2060" s="254" t="s">
        <v>4537</v>
      </c>
      <c r="D2060" s="255" t="s">
        <v>14408</v>
      </c>
      <c r="E2060" s="253" t="s">
        <v>170</v>
      </c>
    </row>
    <row r="2061" spans="1:5" ht="15">
      <c r="A2061" s="254">
        <v>11683</v>
      </c>
      <c r="B2061" s="254" t="s">
        <v>21808</v>
      </c>
      <c r="C2061" s="254" t="s">
        <v>4521</v>
      </c>
      <c r="D2061" s="255" t="s">
        <v>16839</v>
      </c>
      <c r="E2061" s="253" t="s">
        <v>170</v>
      </c>
    </row>
    <row r="2062" spans="1:5" ht="15">
      <c r="A2062" s="254">
        <v>11684</v>
      </c>
      <c r="B2062" s="254" t="s">
        <v>21809</v>
      </c>
      <c r="C2062" s="254" t="s">
        <v>4521</v>
      </c>
      <c r="D2062" s="255" t="s">
        <v>21810</v>
      </c>
      <c r="E2062" s="253" t="s">
        <v>170</v>
      </c>
    </row>
    <row r="2063" spans="1:5" ht="15">
      <c r="A2063" s="254">
        <v>6141</v>
      </c>
      <c r="B2063" s="254" t="s">
        <v>21811</v>
      </c>
      <c r="C2063" s="254" t="s">
        <v>4521</v>
      </c>
      <c r="D2063" s="255" t="s">
        <v>14300</v>
      </c>
      <c r="E2063" s="253" t="s">
        <v>170</v>
      </c>
    </row>
    <row r="2064" spans="1:5" ht="15">
      <c r="A2064" s="254">
        <v>11681</v>
      </c>
      <c r="B2064" s="254" t="s">
        <v>21812</v>
      </c>
      <c r="C2064" s="254" t="s">
        <v>4521</v>
      </c>
      <c r="D2064" s="255" t="s">
        <v>13539</v>
      </c>
      <c r="E2064" s="253" t="s">
        <v>170</v>
      </c>
    </row>
    <row r="2065" spans="1:5" ht="15">
      <c r="A2065" s="254">
        <v>2706</v>
      </c>
      <c r="B2065" s="254" t="s">
        <v>21813</v>
      </c>
      <c r="C2065" s="254" t="s">
        <v>4520</v>
      </c>
      <c r="D2065" s="255" t="s">
        <v>21814</v>
      </c>
      <c r="E2065" s="253" t="s">
        <v>8722</v>
      </c>
    </row>
    <row r="2066" spans="1:5" ht="15">
      <c r="A2066" s="254">
        <v>40811</v>
      </c>
      <c r="B2066" s="254" t="s">
        <v>21815</v>
      </c>
      <c r="C2066" s="254" t="s">
        <v>4528</v>
      </c>
      <c r="D2066" s="255" t="s">
        <v>21816</v>
      </c>
      <c r="E2066" s="253" t="s">
        <v>8722</v>
      </c>
    </row>
    <row r="2067" spans="1:5" ht="15">
      <c r="A2067" s="254">
        <v>2707</v>
      </c>
      <c r="B2067" s="254" t="s">
        <v>21817</v>
      </c>
      <c r="C2067" s="254" t="s">
        <v>4520</v>
      </c>
      <c r="D2067" s="255" t="s">
        <v>18079</v>
      </c>
      <c r="E2067" s="253" t="s">
        <v>8722</v>
      </c>
    </row>
    <row r="2068" spans="1:5" ht="15">
      <c r="A2068" s="254">
        <v>40813</v>
      </c>
      <c r="B2068" s="254" t="s">
        <v>21818</v>
      </c>
      <c r="C2068" s="254" t="s">
        <v>4528</v>
      </c>
      <c r="D2068" s="255" t="s">
        <v>21819</v>
      </c>
      <c r="E2068" s="253" t="s">
        <v>8722</v>
      </c>
    </row>
    <row r="2069" spans="1:5" ht="15">
      <c r="A2069" s="254">
        <v>2708</v>
      </c>
      <c r="B2069" s="254" t="s">
        <v>21820</v>
      </c>
      <c r="C2069" s="254" t="s">
        <v>4520</v>
      </c>
      <c r="D2069" s="255" t="s">
        <v>21821</v>
      </c>
      <c r="E2069" s="253" t="s">
        <v>8722</v>
      </c>
    </row>
    <row r="2070" spans="1:5" ht="15">
      <c r="A2070" s="254">
        <v>40814</v>
      </c>
      <c r="B2070" s="254" t="s">
        <v>21822</v>
      </c>
      <c r="C2070" s="254" t="s">
        <v>4528</v>
      </c>
      <c r="D2070" s="255" t="s">
        <v>21823</v>
      </c>
      <c r="E2070" s="253" t="s">
        <v>8722</v>
      </c>
    </row>
    <row r="2071" spans="1:5" ht="15">
      <c r="A2071" s="254">
        <v>34779</v>
      </c>
      <c r="B2071" s="254" t="s">
        <v>21824</v>
      </c>
      <c r="C2071" s="254" t="s">
        <v>4520</v>
      </c>
      <c r="D2071" s="255" t="s">
        <v>21825</v>
      </c>
      <c r="E2071" s="253" t="s">
        <v>8722</v>
      </c>
    </row>
    <row r="2072" spans="1:5" ht="15">
      <c r="A2072" s="254">
        <v>40936</v>
      </c>
      <c r="B2072" s="254" t="s">
        <v>21826</v>
      </c>
      <c r="C2072" s="254" t="s">
        <v>4528</v>
      </c>
      <c r="D2072" s="255" t="s">
        <v>21827</v>
      </c>
      <c r="E2072" s="253" t="s">
        <v>8722</v>
      </c>
    </row>
    <row r="2073" spans="1:5" ht="15">
      <c r="A2073" s="254">
        <v>34780</v>
      </c>
      <c r="B2073" s="254" t="s">
        <v>21828</v>
      </c>
      <c r="C2073" s="254" t="s">
        <v>4520</v>
      </c>
      <c r="D2073" s="255" t="s">
        <v>21829</v>
      </c>
      <c r="E2073" s="253" t="s">
        <v>8722</v>
      </c>
    </row>
    <row r="2074" spans="1:5" ht="15">
      <c r="A2074" s="254">
        <v>40937</v>
      </c>
      <c r="B2074" s="254" t="s">
        <v>21830</v>
      </c>
      <c r="C2074" s="254" t="s">
        <v>4528</v>
      </c>
      <c r="D2074" s="255" t="s">
        <v>21831</v>
      </c>
      <c r="E2074" s="253" t="s">
        <v>8722</v>
      </c>
    </row>
    <row r="2075" spans="1:5" ht="15">
      <c r="A2075" s="254">
        <v>34782</v>
      </c>
      <c r="B2075" s="254" t="s">
        <v>21832</v>
      </c>
      <c r="C2075" s="254" t="s">
        <v>4520</v>
      </c>
      <c r="D2075" s="255" t="s">
        <v>21833</v>
      </c>
      <c r="E2075" s="253" t="s">
        <v>8722</v>
      </c>
    </row>
    <row r="2076" spans="1:5" ht="15">
      <c r="A2076" s="254">
        <v>40938</v>
      </c>
      <c r="B2076" s="254" t="s">
        <v>21834</v>
      </c>
      <c r="C2076" s="254" t="s">
        <v>4528</v>
      </c>
      <c r="D2076" s="255" t="s">
        <v>21835</v>
      </c>
      <c r="E2076" s="253" t="s">
        <v>8722</v>
      </c>
    </row>
    <row r="2077" spans="1:5" ht="15">
      <c r="A2077" s="254">
        <v>34783</v>
      </c>
      <c r="B2077" s="254" t="s">
        <v>21836</v>
      </c>
      <c r="C2077" s="254" t="s">
        <v>4520</v>
      </c>
      <c r="D2077" s="255" t="s">
        <v>21837</v>
      </c>
      <c r="E2077" s="253" t="s">
        <v>8722</v>
      </c>
    </row>
    <row r="2078" spans="1:5" ht="15">
      <c r="A2078" s="254">
        <v>40939</v>
      </c>
      <c r="B2078" s="254" t="s">
        <v>21838</v>
      </c>
      <c r="C2078" s="254" t="s">
        <v>4528</v>
      </c>
      <c r="D2078" s="255" t="s">
        <v>21839</v>
      </c>
      <c r="E2078" s="253" t="s">
        <v>8722</v>
      </c>
    </row>
    <row r="2079" spans="1:5" ht="15">
      <c r="A2079" s="254">
        <v>34785</v>
      </c>
      <c r="B2079" s="254" t="s">
        <v>21840</v>
      </c>
      <c r="C2079" s="254" t="s">
        <v>4520</v>
      </c>
      <c r="D2079" s="255" t="s">
        <v>21841</v>
      </c>
      <c r="E2079" s="253" t="s">
        <v>8722</v>
      </c>
    </row>
    <row r="2080" spans="1:5" ht="15">
      <c r="A2080" s="254">
        <v>40940</v>
      </c>
      <c r="B2080" s="254" t="s">
        <v>21842</v>
      </c>
      <c r="C2080" s="254" t="s">
        <v>4528</v>
      </c>
      <c r="D2080" s="255" t="s">
        <v>21843</v>
      </c>
      <c r="E2080" s="253" t="s">
        <v>8722</v>
      </c>
    </row>
    <row r="2081" spans="1:5" ht="15">
      <c r="A2081" s="254">
        <v>38403</v>
      </c>
      <c r="B2081" s="254" t="s">
        <v>21844</v>
      </c>
      <c r="C2081" s="254" t="s">
        <v>4521</v>
      </c>
      <c r="D2081" s="255" t="s">
        <v>21845</v>
      </c>
      <c r="E2081" s="253" t="s">
        <v>170</v>
      </c>
    </row>
    <row r="2082" spans="1:5" ht="30">
      <c r="A2082" s="254">
        <v>43482</v>
      </c>
      <c r="B2082" s="254" t="s">
        <v>21846</v>
      </c>
      <c r="C2082" s="254" t="s">
        <v>4520</v>
      </c>
      <c r="D2082" s="255" t="s">
        <v>14349</v>
      </c>
      <c r="E2082" s="253" t="s">
        <v>170</v>
      </c>
    </row>
    <row r="2083" spans="1:5" ht="30">
      <c r="A2083" s="254">
        <v>43494</v>
      </c>
      <c r="B2083" s="254" t="s">
        <v>21847</v>
      </c>
      <c r="C2083" s="254" t="s">
        <v>4528</v>
      </c>
      <c r="D2083" s="255" t="s">
        <v>21848</v>
      </c>
      <c r="E2083" s="253" t="s">
        <v>170</v>
      </c>
    </row>
    <row r="2084" spans="1:5" ht="30">
      <c r="A2084" s="254">
        <v>43483</v>
      </c>
      <c r="B2084" s="254" t="s">
        <v>21849</v>
      </c>
      <c r="C2084" s="254" t="s">
        <v>4520</v>
      </c>
      <c r="D2084" s="255" t="s">
        <v>19224</v>
      </c>
      <c r="E2084" s="253" t="s">
        <v>170</v>
      </c>
    </row>
    <row r="2085" spans="1:5" ht="30">
      <c r="A2085" s="254">
        <v>43495</v>
      </c>
      <c r="B2085" s="254" t="s">
        <v>21850</v>
      </c>
      <c r="C2085" s="254" t="s">
        <v>4528</v>
      </c>
      <c r="D2085" s="255" t="s">
        <v>21851</v>
      </c>
      <c r="E2085" s="253" t="s">
        <v>170</v>
      </c>
    </row>
    <row r="2086" spans="1:5" ht="30">
      <c r="A2086" s="254">
        <v>43484</v>
      </c>
      <c r="B2086" s="254" t="s">
        <v>21852</v>
      </c>
      <c r="C2086" s="254" t="s">
        <v>4520</v>
      </c>
      <c r="D2086" s="255" t="s">
        <v>14163</v>
      </c>
      <c r="E2086" s="253" t="s">
        <v>170</v>
      </c>
    </row>
    <row r="2087" spans="1:5" ht="30">
      <c r="A2087" s="254">
        <v>43496</v>
      </c>
      <c r="B2087" s="254" t="s">
        <v>21853</v>
      </c>
      <c r="C2087" s="254" t="s">
        <v>4528</v>
      </c>
      <c r="D2087" s="255" t="s">
        <v>21854</v>
      </c>
      <c r="E2087" s="253" t="s">
        <v>170</v>
      </c>
    </row>
    <row r="2088" spans="1:5" ht="30">
      <c r="A2088" s="254">
        <v>43485</v>
      </c>
      <c r="B2088" s="254" t="s">
        <v>21855</v>
      </c>
      <c r="C2088" s="254" t="s">
        <v>4520</v>
      </c>
      <c r="D2088" s="255" t="s">
        <v>18522</v>
      </c>
      <c r="E2088" s="253" t="s">
        <v>170</v>
      </c>
    </row>
    <row r="2089" spans="1:5" ht="30">
      <c r="A2089" s="254">
        <v>43497</v>
      </c>
      <c r="B2089" s="254" t="s">
        <v>21856</v>
      </c>
      <c r="C2089" s="254" t="s">
        <v>4528</v>
      </c>
      <c r="D2089" s="255" t="s">
        <v>21857</v>
      </c>
      <c r="E2089" s="253" t="s">
        <v>170</v>
      </c>
    </row>
    <row r="2090" spans="1:5" ht="30">
      <c r="A2090" s="254">
        <v>43487</v>
      </c>
      <c r="B2090" s="254" t="s">
        <v>21858</v>
      </c>
      <c r="C2090" s="254" t="s">
        <v>4520</v>
      </c>
      <c r="D2090" s="255" t="s">
        <v>18452</v>
      </c>
      <c r="E2090" s="253" t="s">
        <v>170</v>
      </c>
    </row>
    <row r="2091" spans="1:5" ht="30">
      <c r="A2091" s="254">
        <v>43499</v>
      </c>
      <c r="B2091" s="254" t="s">
        <v>21859</v>
      </c>
      <c r="C2091" s="254" t="s">
        <v>4528</v>
      </c>
      <c r="D2091" s="255" t="s">
        <v>21860</v>
      </c>
      <c r="E2091" s="253" t="s">
        <v>170</v>
      </c>
    </row>
    <row r="2092" spans="1:5" ht="30">
      <c r="A2092" s="254">
        <v>43486</v>
      </c>
      <c r="B2092" s="254" t="s">
        <v>21861</v>
      </c>
      <c r="C2092" s="254" t="s">
        <v>4520</v>
      </c>
      <c r="D2092" s="255" t="s">
        <v>14350</v>
      </c>
      <c r="E2092" s="253" t="s">
        <v>170</v>
      </c>
    </row>
    <row r="2093" spans="1:5" ht="30">
      <c r="A2093" s="254">
        <v>43498</v>
      </c>
      <c r="B2093" s="254" t="s">
        <v>21862</v>
      </c>
      <c r="C2093" s="254" t="s">
        <v>4528</v>
      </c>
      <c r="D2093" s="255" t="s">
        <v>21863</v>
      </c>
      <c r="E2093" s="253" t="s">
        <v>170</v>
      </c>
    </row>
    <row r="2094" spans="1:5" ht="30">
      <c r="A2094" s="254">
        <v>43488</v>
      </c>
      <c r="B2094" s="254" t="s">
        <v>21864</v>
      </c>
      <c r="C2094" s="254" t="s">
        <v>4520</v>
      </c>
      <c r="D2094" s="255" t="s">
        <v>14063</v>
      </c>
      <c r="E2094" s="253" t="s">
        <v>170</v>
      </c>
    </row>
    <row r="2095" spans="1:5" ht="30">
      <c r="A2095" s="254">
        <v>43500</v>
      </c>
      <c r="B2095" s="254" t="s">
        <v>21865</v>
      </c>
      <c r="C2095" s="254" t="s">
        <v>4528</v>
      </c>
      <c r="D2095" s="255" t="s">
        <v>21866</v>
      </c>
      <c r="E2095" s="253" t="s">
        <v>170</v>
      </c>
    </row>
    <row r="2096" spans="1:5" ht="30">
      <c r="A2096" s="254">
        <v>43489</v>
      </c>
      <c r="B2096" s="254" t="s">
        <v>21867</v>
      </c>
      <c r="C2096" s="254" t="s">
        <v>4520</v>
      </c>
      <c r="D2096" s="255" t="s">
        <v>13668</v>
      </c>
      <c r="E2096" s="253" t="s">
        <v>170</v>
      </c>
    </row>
    <row r="2097" spans="1:5" ht="30">
      <c r="A2097" s="254">
        <v>43501</v>
      </c>
      <c r="B2097" s="254" t="s">
        <v>21868</v>
      </c>
      <c r="C2097" s="254" t="s">
        <v>4528</v>
      </c>
      <c r="D2097" s="255" t="s">
        <v>21869</v>
      </c>
      <c r="E2097" s="253" t="s">
        <v>170</v>
      </c>
    </row>
    <row r="2098" spans="1:5" ht="15">
      <c r="A2098" s="254">
        <v>43490</v>
      </c>
      <c r="B2098" s="254" t="s">
        <v>21870</v>
      </c>
      <c r="C2098" s="254" t="s">
        <v>4520</v>
      </c>
      <c r="D2098" s="255" t="s">
        <v>17669</v>
      </c>
      <c r="E2098" s="253" t="s">
        <v>170</v>
      </c>
    </row>
    <row r="2099" spans="1:5" ht="30">
      <c r="A2099" s="254">
        <v>43502</v>
      </c>
      <c r="B2099" s="254" t="s">
        <v>21871</v>
      </c>
      <c r="C2099" s="254" t="s">
        <v>4528</v>
      </c>
      <c r="D2099" s="255" t="s">
        <v>21872</v>
      </c>
      <c r="E2099" s="253" t="s">
        <v>170</v>
      </c>
    </row>
    <row r="2100" spans="1:5" ht="30">
      <c r="A2100" s="254">
        <v>43491</v>
      </c>
      <c r="B2100" s="254" t="s">
        <v>21873</v>
      </c>
      <c r="C2100" s="254" t="s">
        <v>4520</v>
      </c>
      <c r="D2100" s="255" t="s">
        <v>18699</v>
      </c>
      <c r="E2100" s="253" t="s">
        <v>170</v>
      </c>
    </row>
    <row r="2101" spans="1:5" ht="30">
      <c r="A2101" s="254">
        <v>43503</v>
      </c>
      <c r="B2101" s="254" t="s">
        <v>21874</v>
      </c>
      <c r="C2101" s="254" t="s">
        <v>4528</v>
      </c>
      <c r="D2101" s="255" t="s">
        <v>21875</v>
      </c>
      <c r="E2101" s="253" t="s">
        <v>170</v>
      </c>
    </row>
    <row r="2102" spans="1:5" ht="30">
      <c r="A2102" s="254">
        <v>43492</v>
      </c>
      <c r="B2102" s="254" t="s">
        <v>21876</v>
      </c>
      <c r="C2102" s="254" t="s">
        <v>4520</v>
      </c>
      <c r="D2102" s="255" t="s">
        <v>14006</v>
      </c>
      <c r="E2102" s="253" t="s">
        <v>170</v>
      </c>
    </row>
    <row r="2103" spans="1:5" ht="30">
      <c r="A2103" s="254">
        <v>43504</v>
      </c>
      <c r="B2103" s="254" t="s">
        <v>21877</v>
      </c>
      <c r="C2103" s="254" t="s">
        <v>4528</v>
      </c>
      <c r="D2103" s="255" t="s">
        <v>21878</v>
      </c>
      <c r="E2103" s="253" t="s">
        <v>170</v>
      </c>
    </row>
    <row r="2104" spans="1:5" ht="30">
      <c r="A2104" s="254">
        <v>43493</v>
      </c>
      <c r="B2104" s="254" t="s">
        <v>21879</v>
      </c>
      <c r="C2104" s="254" t="s">
        <v>4520</v>
      </c>
      <c r="D2104" s="255" t="s">
        <v>15247</v>
      </c>
      <c r="E2104" s="253" t="s">
        <v>170</v>
      </c>
    </row>
    <row r="2105" spans="1:5" ht="30">
      <c r="A2105" s="254">
        <v>43505</v>
      </c>
      <c r="B2105" s="254" t="s">
        <v>21880</v>
      </c>
      <c r="C2105" s="254" t="s">
        <v>4528</v>
      </c>
      <c r="D2105" s="255" t="s">
        <v>21881</v>
      </c>
      <c r="E2105" s="253" t="s">
        <v>170</v>
      </c>
    </row>
    <row r="2106" spans="1:5" ht="45">
      <c r="A2106" s="254">
        <v>37774</v>
      </c>
      <c r="B2106" s="254" t="s">
        <v>21882</v>
      </c>
      <c r="C2106" s="254" t="s">
        <v>4521</v>
      </c>
      <c r="D2106" s="255" t="s">
        <v>21883</v>
      </c>
      <c r="E2106" s="253" t="s">
        <v>6305</v>
      </c>
    </row>
    <row r="2107" spans="1:5" ht="45">
      <c r="A2107" s="254">
        <v>38630</v>
      </c>
      <c r="B2107" s="254" t="s">
        <v>21884</v>
      </c>
      <c r="C2107" s="254" t="s">
        <v>4521</v>
      </c>
      <c r="D2107" s="255" t="s">
        <v>21885</v>
      </c>
      <c r="E2107" s="253" t="s">
        <v>6305</v>
      </c>
    </row>
    <row r="2108" spans="1:5" ht="60">
      <c r="A2108" s="254">
        <v>38629</v>
      </c>
      <c r="B2108" s="254" t="s">
        <v>21886</v>
      </c>
      <c r="C2108" s="254" t="s">
        <v>4521</v>
      </c>
      <c r="D2108" s="255" t="s">
        <v>21887</v>
      </c>
      <c r="E2108" s="253" t="s">
        <v>6305</v>
      </c>
    </row>
    <row r="2109" spans="1:5" ht="15">
      <c r="A2109" s="254">
        <v>38476</v>
      </c>
      <c r="B2109" s="254" t="s">
        <v>21888</v>
      </c>
      <c r="C2109" s="254" t="s">
        <v>4521</v>
      </c>
      <c r="D2109" s="255" t="s">
        <v>21889</v>
      </c>
      <c r="E2109" s="253" t="s">
        <v>170</v>
      </c>
    </row>
    <row r="2110" spans="1:5" ht="15">
      <c r="A2110" s="254">
        <v>38477</v>
      </c>
      <c r="B2110" s="254" t="s">
        <v>21890</v>
      </c>
      <c r="C2110" s="254" t="s">
        <v>4521</v>
      </c>
      <c r="D2110" s="255" t="s">
        <v>21891</v>
      </c>
      <c r="E2110" s="253" t="s">
        <v>170</v>
      </c>
    </row>
    <row r="2111" spans="1:5" ht="30">
      <c r="A2111" s="254">
        <v>40635</v>
      </c>
      <c r="B2111" s="254" t="s">
        <v>21892</v>
      </c>
      <c r="C2111" s="254" t="s">
        <v>4521</v>
      </c>
      <c r="D2111" s="255" t="s">
        <v>21893</v>
      </c>
      <c r="E2111" s="253" t="s">
        <v>6305</v>
      </c>
    </row>
    <row r="2112" spans="1:5" ht="30">
      <c r="A2112" s="254">
        <v>36483</v>
      </c>
      <c r="B2112" s="254" t="s">
        <v>21894</v>
      </c>
      <c r="C2112" s="254" t="s">
        <v>4521</v>
      </c>
      <c r="D2112" s="255" t="s">
        <v>21895</v>
      </c>
      <c r="E2112" s="253" t="s">
        <v>6305</v>
      </c>
    </row>
    <row r="2113" spans="1:5" ht="30">
      <c r="A2113" s="254">
        <v>14525</v>
      </c>
      <c r="B2113" s="254" t="s">
        <v>21896</v>
      </c>
      <c r="C2113" s="254" t="s">
        <v>4521</v>
      </c>
      <c r="D2113" s="255" t="s">
        <v>21897</v>
      </c>
      <c r="E2113" s="253" t="s">
        <v>6305</v>
      </c>
    </row>
    <row r="2114" spans="1:5" ht="30">
      <c r="A2114" s="254">
        <v>36482</v>
      </c>
      <c r="B2114" s="254" t="s">
        <v>21898</v>
      </c>
      <c r="C2114" s="254" t="s">
        <v>4521</v>
      </c>
      <c r="D2114" s="255" t="s">
        <v>21899</v>
      </c>
      <c r="E2114" s="253" t="s">
        <v>6305</v>
      </c>
    </row>
    <row r="2115" spans="1:5" ht="30">
      <c r="A2115" s="254">
        <v>36408</v>
      </c>
      <c r="B2115" s="254" t="s">
        <v>21900</v>
      </c>
      <c r="C2115" s="254" t="s">
        <v>4521</v>
      </c>
      <c r="D2115" s="255" t="s">
        <v>21901</v>
      </c>
      <c r="E2115" s="253" t="s">
        <v>6305</v>
      </c>
    </row>
    <row r="2116" spans="1:5" ht="30">
      <c r="A2116" s="254">
        <v>2723</v>
      </c>
      <c r="B2116" s="254" t="s">
        <v>21902</v>
      </c>
      <c r="C2116" s="254" t="s">
        <v>4521</v>
      </c>
      <c r="D2116" s="255" t="s">
        <v>21903</v>
      </c>
      <c r="E2116" s="253" t="s">
        <v>6305</v>
      </c>
    </row>
    <row r="2117" spans="1:5" ht="30">
      <c r="A2117" s="254">
        <v>36481</v>
      </c>
      <c r="B2117" s="254" t="s">
        <v>21904</v>
      </c>
      <c r="C2117" s="254" t="s">
        <v>4521</v>
      </c>
      <c r="D2117" s="255" t="s">
        <v>21905</v>
      </c>
      <c r="E2117" s="253" t="s">
        <v>6305</v>
      </c>
    </row>
    <row r="2118" spans="1:5" ht="30">
      <c r="A2118" s="254">
        <v>10685</v>
      </c>
      <c r="B2118" s="254" t="s">
        <v>21906</v>
      </c>
      <c r="C2118" s="254" t="s">
        <v>4521</v>
      </c>
      <c r="D2118" s="255" t="s">
        <v>21907</v>
      </c>
      <c r="E2118" s="253" t="s">
        <v>6305</v>
      </c>
    </row>
    <row r="2119" spans="1:5" ht="45">
      <c r="A2119" s="254">
        <v>40636</v>
      </c>
      <c r="B2119" s="254" t="s">
        <v>21908</v>
      </c>
      <c r="C2119" s="254" t="s">
        <v>4521</v>
      </c>
      <c r="D2119" s="255" t="s">
        <v>21909</v>
      </c>
      <c r="E2119" s="253" t="s">
        <v>6305</v>
      </c>
    </row>
    <row r="2120" spans="1:5" ht="15">
      <c r="A2120" s="254">
        <v>4111</v>
      </c>
      <c r="B2120" s="254" t="s">
        <v>21910</v>
      </c>
      <c r="C2120" s="254" t="s">
        <v>4521</v>
      </c>
      <c r="D2120" s="255" t="s">
        <v>15793</v>
      </c>
      <c r="E2120" s="253" t="s">
        <v>170</v>
      </c>
    </row>
    <row r="2121" spans="1:5" ht="30">
      <c r="A2121" s="254">
        <v>26021</v>
      </c>
      <c r="B2121" s="254" t="s">
        <v>21911</v>
      </c>
      <c r="C2121" s="254" t="s">
        <v>4521</v>
      </c>
      <c r="D2121" s="255" t="s">
        <v>21912</v>
      </c>
      <c r="E2121" s="253" t="s">
        <v>170</v>
      </c>
    </row>
    <row r="2122" spans="1:5" ht="15">
      <c r="A2122" s="254">
        <v>12</v>
      </c>
      <c r="B2122" s="254" t="s">
        <v>21913</v>
      </c>
      <c r="C2122" s="254" t="s">
        <v>4521</v>
      </c>
      <c r="D2122" s="255" t="s">
        <v>16923</v>
      </c>
      <c r="E2122" s="253" t="s">
        <v>170</v>
      </c>
    </row>
    <row r="2123" spans="1:5" ht="30">
      <c r="A2123" s="254">
        <v>37554</v>
      </c>
      <c r="B2123" s="254" t="s">
        <v>21914</v>
      </c>
      <c r="C2123" s="254" t="s">
        <v>4521</v>
      </c>
      <c r="D2123" s="255" t="s">
        <v>18959</v>
      </c>
      <c r="E2123" s="253" t="s">
        <v>170</v>
      </c>
    </row>
    <row r="2124" spans="1:5" ht="30">
      <c r="A2124" s="254">
        <v>37555</v>
      </c>
      <c r="B2124" s="254" t="s">
        <v>21915</v>
      </c>
      <c r="C2124" s="254" t="s">
        <v>4521</v>
      </c>
      <c r="D2124" s="255" t="s">
        <v>21916</v>
      </c>
      <c r="E2124" s="253" t="s">
        <v>170</v>
      </c>
    </row>
    <row r="2125" spans="1:5" ht="30">
      <c r="A2125" s="254">
        <v>10902</v>
      </c>
      <c r="B2125" s="254" t="s">
        <v>21917</v>
      </c>
      <c r="C2125" s="254" t="s">
        <v>4521</v>
      </c>
      <c r="D2125" s="255" t="s">
        <v>16365</v>
      </c>
      <c r="E2125" s="253" t="s">
        <v>170</v>
      </c>
    </row>
    <row r="2126" spans="1:5" ht="30">
      <c r="A2126" s="254">
        <v>20965</v>
      </c>
      <c r="B2126" s="254" t="s">
        <v>21918</v>
      </c>
      <c r="C2126" s="254" t="s">
        <v>4521</v>
      </c>
      <c r="D2126" s="255" t="s">
        <v>21919</v>
      </c>
      <c r="E2126" s="253" t="s">
        <v>170</v>
      </c>
    </row>
    <row r="2127" spans="1:5" ht="30">
      <c r="A2127" s="254">
        <v>20966</v>
      </c>
      <c r="B2127" s="254" t="s">
        <v>21920</v>
      </c>
      <c r="C2127" s="254" t="s">
        <v>4521</v>
      </c>
      <c r="D2127" s="255" t="s">
        <v>21921</v>
      </c>
      <c r="E2127" s="253" t="s">
        <v>170</v>
      </c>
    </row>
    <row r="2128" spans="1:5" ht="30">
      <c r="A2128" s="254">
        <v>10903</v>
      </c>
      <c r="B2128" s="254" t="s">
        <v>21922</v>
      </c>
      <c r="C2128" s="254" t="s">
        <v>4521</v>
      </c>
      <c r="D2128" s="255" t="s">
        <v>21923</v>
      </c>
      <c r="E2128" s="253" t="s">
        <v>170</v>
      </c>
    </row>
    <row r="2129" spans="1:5" ht="30">
      <c r="A2129" s="254">
        <v>20967</v>
      </c>
      <c r="B2129" s="254" t="s">
        <v>21924</v>
      </c>
      <c r="C2129" s="254" t="s">
        <v>4521</v>
      </c>
      <c r="D2129" s="255" t="s">
        <v>21923</v>
      </c>
      <c r="E2129" s="253" t="s">
        <v>170</v>
      </c>
    </row>
    <row r="2130" spans="1:5" ht="30">
      <c r="A2130" s="254">
        <v>20968</v>
      </c>
      <c r="B2130" s="254" t="s">
        <v>21925</v>
      </c>
      <c r="C2130" s="254" t="s">
        <v>4521</v>
      </c>
      <c r="D2130" s="255" t="s">
        <v>21926</v>
      </c>
      <c r="E2130" s="253" t="s">
        <v>170</v>
      </c>
    </row>
    <row r="2131" spans="1:5" ht="30">
      <c r="A2131" s="254">
        <v>11359</v>
      </c>
      <c r="B2131" s="254" t="s">
        <v>21927</v>
      </c>
      <c r="C2131" s="254" t="s">
        <v>4521</v>
      </c>
      <c r="D2131" s="255" t="s">
        <v>21928</v>
      </c>
      <c r="E2131" s="253" t="s">
        <v>170</v>
      </c>
    </row>
    <row r="2132" spans="1:5" ht="30">
      <c r="A2132" s="254">
        <v>39017</v>
      </c>
      <c r="B2132" s="254" t="s">
        <v>21929</v>
      </c>
      <c r="C2132" s="254" t="s">
        <v>4521</v>
      </c>
      <c r="D2132" s="255" t="s">
        <v>14279</v>
      </c>
      <c r="E2132" s="253" t="s">
        <v>170</v>
      </c>
    </row>
    <row r="2133" spans="1:5" ht="30">
      <c r="A2133" s="254">
        <v>39315</v>
      </c>
      <c r="B2133" s="254" t="s">
        <v>21930</v>
      </c>
      <c r="C2133" s="254" t="s">
        <v>4521</v>
      </c>
      <c r="D2133" s="256" t="s">
        <v>14052</v>
      </c>
      <c r="E2133" s="253" t="s">
        <v>170</v>
      </c>
    </row>
    <row r="2134" spans="1:5" ht="30">
      <c r="A2134" s="254">
        <v>39016</v>
      </c>
      <c r="B2134" s="254" t="s">
        <v>21931</v>
      </c>
      <c r="C2134" s="254" t="s">
        <v>4521</v>
      </c>
      <c r="D2134" s="256" t="s">
        <v>14052</v>
      </c>
      <c r="E2134" s="253" t="s">
        <v>170</v>
      </c>
    </row>
    <row r="2135" spans="1:5" ht="30">
      <c r="A2135" s="254">
        <v>40432</v>
      </c>
      <c r="B2135" s="254" t="s">
        <v>21932</v>
      </c>
      <c r="C2135" s="254" t="s">
        <v>4521</v>
      </c>
      <c r="D2135" s="255" t="s">
        <v>21933</v>
      </c>
      <c r="E2135" s="253" t="s">
        <v>170</v>
      </c>
    </row>
    <row r="2136" spans="1:5" ht="30">
      <c r="A2136" s="254">
        <v>39481</v>
      </c>
      <c r="B2136" s="254" t="s">
        <v>21934</v>
      </c>
      <c r="C2136" s="254" t="s">
        <v>4521</v>
      </c>
      <c r="D2136" s="255" t="s">
        <v>14280</v>
      </c>
      <c r="E2136" s="253" t="s">
        <v>170</v>
      </c>
    </row>
    <row r="2137" spans="1:5" ht="30">
      <c r="A2137" s="254">
        <v>40433</v>
      </c>
      <c r="B2137" s="254" t="s">
        <v>21935</v>
      </c>
      <c r="C2137" s="254" t="s">
        <v>4521</v>
      </c>
      <c r="D2137" s="255" t="s">
        <v>14362</v>
      </c>
      <c r="E2137" s="253" t="s">
        <v>170</v>
      </c>
    </row>
    <row r="2138" spans="1:5" ht="30">
      <c r="A2138" s="254">
        <v>20219</v>
      </c>
      <c r="B2138" s="254" t="s">
        <v>21936</v>
      </c>
      <c r="C2138" s="254" t="s">
        <v>4521</v>
      </c>
      <c r="D2138" s="255" t="s">
        <v>21937</v>
      </c>
      <c r="E2138" s="253" t="s">
        <v>170</v>
      </c>
    </row>
    <row r="2139" spans="1:5" ht="45">
      <c r="A2139" s="254">
        <v>36484</v>
      </c>
      <c r="B2139" s="254" t="s">
        <v>21938</v>
      </c>
      <c r="C2139" s="254" t="s">
        <v>4521</v>
      </c>
      <c r="D2139" s="255" t="s">
        <v>21939</v>
      </c>
      <c r="E2139" s="253" t="s">
        <v>170</v>
      </c>
    </row>
    <row r="2140" spans="1:5" ht="15">
      <c r="A2140" s="254">
        <v>38367</v>
      </c>
      <c r="B2140" s="254" t="s">
        <v>21940</v>
      </c>
      <c r="C2140" s="254" t="s">
        <v>4521</v>
      </c>
      <c r="D2140" s="255" t="s">
        <v>21452</v>
      </c>
      <c r="E2140" s="253" t="s">
        <v>170</v>
      </c>
    </row>
    <row r="2141" spans="1:5" ht="15">
      <c r="A2141" s="254">
        <v>38368</v>
      </c>
      <c r="B2141" s="254" t="s">
        <v>21941</v>
      </c>
      <c r="C2141" s="254" t="s">
        <v>4521</v>
      </c>
      <c r="D2141" s="255" t="s">
        <v>14305</v>
      </c>
      <c r="E2141" s="253" t="s">
        <v>170</v>
      </c>
    </row>
    <row r="2142" spans="1:5" ht="15">
      <c r="A2142" s="254">
        <v>38091</v>
      </c>
      <c r="B2142" s="254" t="s">
        <v>21942</v>
      </c>
      <c r="C2142" s="254" t="s">
        <v>4521</v>
      </c>
      <c r="D2142" s="255" t="s">
        <v>13958</v>
      </c>
      <c r="E2142" s="253" t="s">
        <v>170</v>
      </c>
    </row>
    <row r="2143" spans="1:5" ht="15">
      <c r="A2143" s="254">
        <v>38095</v>
      </c>
      <c r="B2143" s="254" t="s">
        <v>21943</v>
      </c>
      <c r="C2143" s="254" t="s">
        <v>4521</v>
      </c>
      <c r="D2143" s="255" t="s">
        <v>21944</v>
      </c>
      <c r="E2143" s="253" t="s">
        <v>170</v>
      </c>
    </row>
    <row r="2144" spans="1:5" ht="30">
      <c r="A2144" s="254">
        <v>38092</v>
      </c>
      <c r="B2144" s="254" t="s">
        <v>21945</v>
      </c>
      <c r="C2144" s="254" t="s">
        <v>4521</v>
      </c>
      <c r="D2144" s="255" t="s">
        <v>21946</v>
      </c>
      <c r="E2144" s="253" t="s">
        <v>170</v>
      </c>
    </row>
    <row r="2145" spans="1:5" ht="30">
      <c r="A2145" s="254">
        <v>38093</v>
      </c>
      <c r="B2145" s="254" t="s">
        <v>21947</v>
      </c>
      <c r="C2145" s="254" t="s">
        <v>4521</v>
      </c>
      <c r="D2145" s="255" t="s">
        <v>14144</v>
      </c>
      <c r="E2145" s="253" t="s">
        <v>170</v>
      </c>
    </row>
    <row r="2146" spans="1:5" ht="30">
      <c r="A2146" s="254">
        <v>38096</v>
      </c>
      <c r="B2146" s="254" t="s">
        <v>21948</v>
      </c>
      <c r="C2146" s="254" t="s">
        <v>4521</v>
      </c>
      <c r="D2146" s="255" t="s">
        <v>18144</v>
      </c>
      <c r="E2146" s="253" t="s">
        <v>170</v>
      </c>
    </row>
    <row r="2147" spans="1:5" ht="30">
      <c r="A2147" s="254">
        <v>38094</v>
      </c>
      <c r="B2147" s="254" t="s">
        <v>21949</v>
      </c>
      <c r="C2147" s="254" t="s">
        <v>4521</v>
      </c>
      <c r="D2147" s="255" t="s">
        <v>18491</v>
      </c>
      <c r="E2147" s="253" t="s">
        <v>170</v>
      </c>
    </row>
    <row r="2148" spans="1:5" ht="30">
      <c r="A2148" s="254">
        <v>38097</v>
      </c>
      <c r="B2148" s="254" t="s">
        <v>21950</v>
      </c>
      <c r="C2148" s="254" t="s">
        <v>4521</v>
      </c>
      <c r="D2148" s="255" t="s">
        <v>21951</v>
      </c>
      <c r="E2148" s="253" t="s">
        <v>170</v>
      </c>
    </row>
    <row r="2149" spans="1:5" ht="30">
      <c r="A2149" s="254">
        <v>38098</v>
      </c>
      <c r="B2149" s="254" t="s">
        <v>21952</v>
      </c>
      <c r="C2149" s="254" t="s">
        <v>4521</v>
      </c>
      <c r="D2149" s="255" t="s">
        <v>21951</v>
      </c>
      <c r="E2149" s="253" t="s">
        <v>170</v>
      </c>
    </row>
    <row r="2150" spans="1:5" ht="15">
      <c r="A2150" s="254">
        <v>11186</v>
      </c>
      <c r="B2150" s="254" t="s">
        <v>21953</v>
      </c>
      <c r="C2150" s="254" t="s">
        <v>4523</v>
      </c>
      <c r="D2150" s="255" t="s">
        <v>21954</v>
      </c>
      <c r="E2150" s="253" t="s">
        <v>170</v>
      </c>
    </row>
    <row r="2151" spans="1:5" ht="30">
      <c r="A2151" s="254">
        <v>11558</v>
      </c>
      <c r="B2151" s="254" t="s">
        <v>21955</v>
      </c>
      <c r="C2151" s="254" t="s">
        <v>4529</v>
      </c>
      <c r="D2151" s="255" t="s">
        <v>16664</v>
      </c>
      <c r="E2151" s="253" t="s">
        <v>170</v>
      </c>
    </row>
    <row r="2152" spans="1:5" ht="30">
      <c r="A2152" s="254">
        <v>11557</v>
      </c>
      <c r="B2152" s="254" t="s">
        <v>21956</v>
      </c>
      <c r="C2152" s="254" t="s">
        <v>4529</v>
      </c>
      <c r="D2152" s="255" t="s">
        <v>21957</v>
      </c>
      <c r="E2152" s="253" t="s">
        <v>170</v>
      </c>
    </row>
    <row r="2153" spans="1:5" ht="15">
      <c r="A2153" s="254">
        <v>2759</v>
      </c>
      <c r="B2153" s="254" t="s">
        <v>21958</v>
      </c>
      <c r="C2153" s="254" t="s">
        <v>4521</v>
      </c>
      <c r="D2153" s="255" t="s">
        <v>15435</v>
      </c>
      <c r="E2153" s="253" t="s">
        <v>170</v>
      </c>
    </row>
    <row r="2154" spans="1:5" ht="15">
      <c r="A2154" s="254">
        <v>38124</v>
      </c>
      <c r="B2154" s="254" t="s">
        <v>21959</v>
      </c>
      <c r="C2154" s="254" t="s">
        <v>4521</v>
      </c>
      <c r="D2154" s="255" t="s">
        <v>21960</v>
      </c>
      <c r="E2154" s="253" t="s">
        <v>170</v>
      </c>
    </row>
    <row r="2155" spans="1:5" ht="15">
      <c r="A2155" s="254">
        <v>38380</v>
      </c>
      <c r="B2155" s="254" t="s">
        <v>21961</v>
      </c>
      <c r="C2155" s="254" t="s">
        <v>4521</v>
      </c>
      <c r="D2155" s="255" t="s">
        <v>20219</v>
      </c>
      <c r="E2155" s="253" t="s">
        <v>170</v>
      </c>
    </row>
    <row r="2156" spans="1:5" ht="30">
      <c r="A2156" s="254">
        <v>20059</v>
      </c>
      <c r="B2156" s="254" t="s">
        <v>21962</v>
      </c>
      <c r="C2156" s="254" t="s">
        <v>4521</v>
      </c>
      <c r="D2156" s="255" t="s">
        <v>14473</v>
      </c>
      <c r="E2156" s="253" t="s">
        <v>170</v>
      </c>
    </row>
    <row r="2157" spans="1:5" ht="45">
      <c r="A2157" s="254">
        <v>42429</v>
      </c>
      <c r="B2157" s="254" t="s">
        <v>21963</v>
      </c>
      <c r="C2157" s="254" t="s">
        <v>4521</v>
      </c>
      <c r="D2157" s="255" t="s">
        <v>21964</v>
      </c>
      <c r="E2157" s="253" t="s">
        <v>170</v>
      </c>
    </row>
    <row r="2158" spans="1:5" ht="45">
      <c r="A2158" s="254">
        <v>38538</v>
      </c>
      <c r="B2158" s="254" t="s">
        <v>21965</v>
      </c>
      <c r="C2158" s="254" t="s">
        <v>4524</v>
      </c>
      <c r="D2158" s="255" t="s">
        <v>18757</v>
      </c>
      <c r="E2158" s="253" t="s">
        <v>170</v>
      </c>
    </row>
    <row r="2159" spans="1:5" ht="45">
      <c r="A2159" s="254">
        <v>38539</v>
      </c>
      <c r="B2159" s="254" t="s">
        <v>21966</v>
      </c>
      <c r="C2159" s="254" t="s">
        <v>4524</v>
      </c>
      <c r="D2159" s="255" t="s">
        <v>21967</v>
      </c>
      <c r="E2159" s="253" t="s">
        <v>170</v>
      </c>
    </row>
    <row r="2160" spans="1:5" ht="45">
      <c r="A2160" s="254">
        <v>38540</v>
      </c>
      <c r="B2160" s="254" t="s">
        <v>21968</v>
      </c>
      <c r="C2160" s="254" t="s">
        <v>4524</v>
      </c>
      <c r="D2160" s="255" t="s">
        <v>21969</v>
      </c>
      <c r="E2160" s="253" t="s">
        <v>170</v>
      </c>
    </row>
    <row r="2161" spans="1:5" ht="15">
      <c r="A2161" s="254">
        <v>38384</v>
      </c>
      <c r="B2161" s="254" t="s">
        <v>21970</v>
      </c>
      <c r="C2161" s="254" t="s">
        <v>4521</v>
      </c>
      <c r="D2161" s="255" t="s">
        <v>16675</v>
      </c>
      <c r="E2161" s="253" t="s">
        <v>170</v>
      </c>
    </row>
    <row r="2162" spans="1:5" ht="15">
      <c r="A2162" s="254">
        <v>13</v>
      </c>
      <c r="B2162" s="254" t="s">
        <v>21971</v>
      </c>
      <c r="C2162" s="254" t="s">
        <v>4525</v>
      </c>
      <c r="D2162" s="255" t="s">
        <v>21344</v>
      </c>
      <c r="E2162" s="253" t="s">
        <v>170</v>
      </c>
    </row>
    <row r="2163" spans="1:5" ht="15">
      <c r="A2163" s="254">
        <v>2762</v>
      </c>
      <c r="B2163" s="254" t="s">
        <v>21972</v>
      </c>
      <c r="C2163" s="254" t="s">
        <v>4524</v>
      </c>
      <c r="D2163" s="255" t="s">
        <v>15719</v>
      </c>
      <c r="E2163" s="253" t="s">
        <v>170</v>
      </c>
    </row>
    <row r="2164" spans="1:5" ht="30">
      <c r="A2164" s="254">
        <v>21142</v>
      </c>
      <c r="B2164" s="254" t="s">
        <v>21973</v>
      </c>
      <c r="C2164" s="254" t="s">
        <v>4521</v>
      </c>
      <c r="D2164" s="255" t="s">
        <v>16729</v>
      </c>
      <c r="E2164" s="253" t="s">
        <v>170</v>
      </c>
    </row>
    <row r="2165" spans="1:5" ht="15">
      <c r="A2165" s="254">
        <v>12865</v>
      </c>
      <c r="B2165" s="254" t="s">
        <v>21974</v>
      </c>
      <c r="C2165" s="254" t="s">
        <v>4520</v>
      </c>
      <c r="D2165" s="255" t="s">
        <v>21975</v>
      </c>
      <c r="E2165" s="253" t="s">
        <v>8722</v>
      </c>
    </row>
    <row r="2166" spans="1:5" ht="15">
      <c r="A2166" s="254">
        <v>41074</v>
      </c>
      <c r="B2166" s="254" t="s">
        <v>21976</v>
      </c>
      <c r="C2166" s="254" t="s">
        <v>4528</v>
      </c>
      <c r="D2166" s="255" t="s">
        <v>21977</v>
      </c>
      <c r="E2166" s="253" t="s">
        <v>8722</v>
      </c>
    </row>
    <row r="2167" spans="1:5" ht="15">
      <c r="A2167" s="254">
        <v>4223</v>
      </c>
      <c r="B2167" s="254" t="s">
        <v>21978</v>
      </c>
      <c r="C2167" s="254" t="s">
        <v>4526</v>
      </c>
      <c r="D2167" s="255" t="s">
        <v>21979</v>
      </c>
      <c r="E2167" s="253" t="s">
        <v>170</v>
      </c>
    </row>
    <row r="2168" spans="1:5" ht="15">
      <c r="A2168" s="254">
        <v>37372</v>
      </c>
      <c r="B2168" s="254" t="s">
        <v>21980</v>
      </c>
      <c r="C2168" s="254" t="s">
        <v>4520</v>
      </c>
      <c r="D2168" s="255" t="s">
        <v>14307</v>
      </c>
      <c r="E2168" s="253" t="s">
        <v>8722</v>
      </c>
    </row>
    <row r="2169" spans="1:5" ht="15">
      <c r="A2169" s="254">
        <v>40863</v>
      </c>
      <c r="B2169" s="254" t="s">
        <v>21981</v>
      </c>
      <c r="C2169" s="254" t="s">
        <v>4528</v>
      </c>
      <c r="D2169" s="255" t="s">
        <v>17697</v>
      </c>
      <c r="E2169" s="253" t="s">
        <v>8722</v>
      </c>
    </row>
    <row r="2170" spans="1:5" ht="15">
      <c r="A2170" s="254">
        <v>38475</v>
      </c>
      <c r="B2170" s="254" t="s">
        <v>21982</v>
      </c>
      <c r="C2170" s="254" t="s">
        <v>4521</v>
      </c>
      <c r="D2170" s="255" t="s">
        <v>21983</v>
      </c>
      <c r="E2170" s="253" t="s">
        <v>170</v>
      </c>
    </row>
    <row r="2171" spans="1:5" ht="15">
      <c r="A2171" s="254">
        <v>38474</v>
      </c>
      <c r="B2171" s="254" t="s">
        <v>21984</v>
      </c>
      <c r="C2171" s="254" t="s">
        <v>4521</v>
      </c>
      <c r="D2171" s="255" t="s">
        <v>16759</v>
      </c>
      <c r="E2171" s="253" t="s">
        <v>170</v>
      </c>
    </row>
    <row r="2172" spans="1:5" ht="30">
      <c r="A2172" s="254">
        <v>10886</v>
      </c>
      <c r="B2172" s="254" t="s">
        <v>21985</v>
      </c>
      <c r="C2172" s="254" t="s">
        <v>4521</v>
      </c>
      <c r="D2172" s="255" t="s">
        <v>21986</v>
      </c>
      <c r="E2172" s="253" t="s">
        <v>170</v>
      </c>
    </row>
    <row r="2173" spans="1:5" ht="30">
      <c r="A2173" s="254">
        <v>10888</v>
      </c>
      <c r="B2173" s="254" t="s">
        <v>21987</v>
      </c>
      <c r="C2173" s="254" t="s">
        <v>4521</v>
      </c>
      <c r="D2173" s="255" t="s">
        <v>21988</v>
      </c>
      <c r="E2173" s="253" t="s">
        <v>170</v>
      </c>
    </row>
    <row r="2174" spans="1:5" ht="30">
      <c r="A2174" s="254">
        <v>10889</v>
      </c>
      <c r="B2174" s="254" t="s">
        <v>21989</v>
      </c>
      <c r="C2174" s="254" t="s">
        <v>4521</v>
      </c>
      <c r="D2174" s="255" t="s">
        <v>21990</v>
      </c>
      <c r="E2174" s="253" t="s">
        <v>170</v>
      </c>
    </row>
    <row r="2175" spans="1:5" ht="30">
      <c r="A2175" s="254">
        <v>10890</v>
      </c>
      <c r="B2175" s="254" t="s">
        <v>21991</v>
      </c>
      <c r="C2175" s="254" t="s">
        <v>4521</v>
      </c>
      <c r="D2175" s="255" t="s">
        <v>21992</v>
      </c>
      <c r="E2175" s="253" t="s">
        <v>170</v>
      </c>
    </row>
    <row r="2176" spans="1:5" ht="30">
      <c r="A2176" s="254">
        <v>10891</v>
      </c>
      <c r="B2176" s="254" t="s">
        <v>21993</v>
      </c>
      <c r="C2176" s="254" t="s">
        <v>4521</v>
      </c>
      <c r="D2176" s="255" t="s">
        <v>21994</v>
      </c>
      <c r="E2176" s="253" t="s">
        <v>170</v>
      </c>
    </row>
    <row r="2177" spans="1:5" ht="30">
      <c r="A2177" s="254">
        <v>10892</v>
      </c>
      <c r="B2177" s="254" t="s">
        <v>21995</v>
      </c>
      <c r="C2177" s="254" t="s">
        <v>4521</v>
      </c>
      <c r="D2177" s="255" t="s">
        <v>21996</v>
      </c>
      <c r="E2177" s="253" t="s">
        <v>170</v>
      </c>
    </row>
    <row r="2178" spans="1:5" ht="30">
      <c r="A2178" s="254">
        <v>20977</v>
      </c>
      <c r="B2178" s="254" t="s">
        <v>21997</v>
      </c>
      <c r="C2178" s="254" t="s">
        <v>4521</v>
      </c>
      <c r="D2178" s="255" t="s">
        <v>21998</v>
      </c>
      <c r="E2178" s="253" t="s">
        <v>170</v>
      </c>
    </row>
    <row r="2179" spans="1:5" ht="15">
      <c r="A2179" s="254">
        <v>3073</v>
      </c>
      <c r="B2179" s="254" t="s">
        <v>21999</v>
      </c>
      <c r="C2179" s="254" t="s">
        <v>4521</v>
      </c>
      <c r="D2179" s="255" t="s">
        <v>22000</v>
      </c>
      <c r="E2179" s="253" t="s">
        <v>170</v>
      </c>
    </row>
    <row r="2180" spans="1:5" ht="15">
      <c r="A2180" s="254">
        <v>3068</v>
      </c>
      <c r="B2180" s="254" t="s">
        <v>22001</v>
      </c>
      <c r="C2180" s="254" t="s">
        <v>4521</v>
      </c>
      <c r="D2180" s="255" t="s">
        <v>22002</v>
      </c>
      <c r="E2180" s="253" t="s">
        <v>170</v>
      </c>
    </row>
    <row r="2181" spans="1:5" ht="15">
      <c r="A2181" s="254">
        <v>3074</v>
      </c>
      <c r="B2181" s="254" t="s">
        <v>22003</v>
      </c>
      <c r="C2181" s="254" t="s">
        <v>4521</v>
      </c>
      <c r="D2181" s="255" t="s">
        <v>22004</v>
      </c>
      <c r="E2181" s="253" t="s">
        <v>170</v>
      </c>
    </row>
    <row r="2182" spans="1:5" ht="15">
      <c r="A2182" s="254">
        <v>3076</v>
      </c>
      <c r="B2182" s="254" t="s">
        <v>22005</v>
      </c>
      <c r="C2182" s="254" t="s">
        <v>4521</v>
      </c>
      <c r="D2182" s="255" t="s">
        <v>22006</v>
      </c>
      <c r="E2182" s="253" t="s">
        <v>170</v>
      </c>
    </row>
    <row r="2183" spans="1:5" ht="15">
      <c r="A2183" s="254">
        <v>3072</v>
      </c>
      <c r="B2183" s="254" t="s">
        <v>22007</v>
      </c>
      <c r="C2183" s="254" t="s">
        <v>4521</v>
      </c>
      <c r="D2183" s="255" t="s">
        <v>22008</v>
      </c>
      <c r="E2183" s="253" t="s">
        <v>170</v>
      </c>
    </row>
    <row r="2184" spans="1:5" ht="15">
      <c r="A2184" s="254">
        <v>3075</v>
      </c>
      <c r="B2184" s="254" t="s">
        <v>22009</v>
      </c>
      <c r="C2184" s="254" t="s">
        <v>4521</v>
      </c>
      <c r="D2184" s="255" t="s">
        <v>22010</v>
      </c>
      <c r="E2184" s="253" t="s">
        <v>170</v>
      </c>
    </row>
    <row r="2185" spans="1:5" ht="30">
      <c r="A2185" s="254">
        <v>10780</v>
      </c>
      <c r="B2185" s="254" t="s">
        <v>22011</v>
      </c>
      <c r="C2185" s="254" t="s">
        <v>4521</v>
      </c>
      <c r="D2185" s="255" t="s">
        <v>20889</v>
      </c>
      <c r="E2185" s="253" t="s">
        <v>170</v>
      </c>
    </row>
    <row r="2186" spans="1:5" ht="30">
      <c r="A2186" s="254">
        <v>10781</v>
      </c>
      <c r="B2186" s="254" t="s">
        <v>22012</v>
      </c>
      <c r="C2186" s="254" t="s">
        <v>4521</v>
      </c>
      <c r="D2186" s="255" t="s">
        <v>15494</v>
      </c>
      <c r="E2186" s="253" t="s">
        <v>170</v>
      </c>
    </row>
    <row r="2187" spans="1:5" ht="30">
      <c r="A2187" s="254">
        <v>20106</v>
      </c>
      <c r="B2187" s="254" t="s">
        <v>22013</v>
      </c>
      <c r="C2187" s="254" t="s">
        <v>4521</v>
      </c>
      <c r="D2187" s="255" t="s">
        <v>14125</v>
      </c>
      <c r="E2187" s="253" t="s">
        <v>170</v>
      </c>
    </row>
    <row r="2188" spans="1:5" ht="30">
      <c r="A2188" s="254">
        <v>20107</v>
      </c>
      <c r="B2188" s="254" t="s">
        <v>22014</v>
      </c>
      <c r="C2188" s="254" t="s">
        <v>4521</v>
      </c>
      <c r="D2188" s="255" t="s">
        <v>13626</v>
      </c>
      <c r="E2188" s="253" t="s">
        <v>170</v>
      </c>
    </row>
    <row r="2189" spans="1:5" ht="30">
      <c r="A2189" s="254">
        <v>20108</v>
      </c>
      <c r="B2189" s="254" t="s">
        <v>22015</v>
      </c>
      <c r="C2189" s="254" t="s">
        <v>4521</v>
      </c>
      <c r="D2189" s="255" t="s">
        <v>20887</v>
      </c>
      <c r="E2189" s="253" t="s">
        <v>170</v>
      </c>
    </row>
    <row r="2190" spans="1:5" ht="30">
      <c r="A2190" s="254">
        <v>20109</v>
      </c>
      <c r="B2190" s="254" t="s">
        <v>22016</v>
      </c>
      <c r="C2190" s="254" t="s">
        <v>4521</v>
      </c>
      <c r="D2190" s="255" t="s">
        <v>20889</v>
      </c>
      <c r="E2190" s="253" t="s">
        <v>170</v>
      </c>
    </row>
    <row r="2191" spans="1:5" ht="15">
      <c r="A2191" s="254">
        <v>34795</v>
      </c>
      <c r="B2191" s="254" t="s">
        <v>22017</v>
      </c>
      <c r="C2191" s="254" t="s">
        <v>4523</v>
      </c>
      <c r="D2191" s="255" t="s">
        <v>22018</v>
      </c>
      <c r="E2191" s="253" t="s">
        <v>170</v>
      </c>
    </row>
    <row r="2192" spans="1:5" ht="30">
      <c r="A2192" s="254">
        <v>34796</v>
      </c>
      <c r="B2192" s="254" t="s">
        <v>22019</v>
      </c>
      <c r="C2192" s="254" t="s">
        <v>4524</v>
      </c>
      <c r="D2192" s="255" t="s">
        <v>17047</v>
      </c>
      <c r="E2192" s="253" t="s">
        <v>170</v>
      </c>
    </row>
    <row r="2193" spans="1:5" ht="45">
      <c r="A2193" s="254">
        <v>11474</v>
      </c>
      <c r="B2193" s="254" t="s">
        <v>22020</v>
      </c>
      <c r="C2193" s="254" t="s">
        <v>4521</v>
      </c>
      <c r="D2193" s="255" t="s">
        <v>22021</v>
      </c>
      <c r="E2193" s="253" t="s">
        <v>170</v>
      </c>
    </row>
    <row r="2194" spans="1:5" ht="30">
      <c r="A2194" s="254">
        <v>11470</v>
      </c>
      <c r="B2194" s="254" t="s">
        <v>22022</v>
      </c>
      <c r="C2194" s="254" t="s">
        <v>4521</v>
      </c>
      <c r="D2194" s="255" t="s">
        <v>22023</v>
      </c>
      <c r="E2194" s="253" t="s">
        <v>170</v>
      </c>
    </row>
    <row r="2195" spans="1:5" ht="30">
      <c r="A2195" s="254">
        <v>11480</v>
      </c>
      <c r="B2195" s="254" t="s">
        <v>22024</v>
      </c>
      <c r="C2195" s="254" t="s">
        <v>4535</v>
      </c>
      <c r="D2195" s="255" t="s">
        <v>22025</v>
      </c>
      <c r="E2195" s="253" t="s">
        <v>170</v>
      </c>
    </row>
    <row r="2196" spans="1:5" ht="30">
      <c r="A2196" s="254">
        <v>38154</v>
      </c>
      <c r="B2196" s="254" t="s">
        <v>22026</v>
      </c>
      <c r="C2196" s="254" t="s">
        <v>4535</v>
      </c>
      <c r="D2196" s="255" t="s">
        <v>22027</v>
      </c>
      <c r="E2196" s="253" t="s">
        <v>170</v>
      </c>
    </row>
    <row r="2197" spans="1:5" ht="30">
      <c r="A2197" s="254">
        <v>11482</v>
      </c>
      <c r="B2197" s="254" t="s">
        <v>22028</v>
      </c>
      <c r="C2197" s="254" t="s">
        <v>4535</v>
      </c>
      <c r="D2197" s="255" t="s">
        <v>22029</v>
      </c>
      <c r="E2197" s="253" t="s">
        <v>170</v>
      </c>
    </row>
    <row r="2198" spans="1:5" ht="30">
      <c r="A2198" s="254">
        <v>3084</v>
      </c>
      <c r="B2198" s="254" t="s">
        <v>22030</v>
      </c>
      <c r="C2198" s="254" t="s">
        <v>4535</v>
      </c>
      <c r="D2198" s="255" t="s">
        <v>22031</v>
      </c>
      <c r="E2198" s="253" t="s">
        <v>170</v>
      </c>
    </row>
    <row r="2199" spans="1:5" ht="30">
      <c r="A2199" s="254">
        <v>3103</v>
      </c>
      <c r="B2199" s="254" t="s">
        <v>22032</v>
      </c>
      <c r="C2199" s="254" t="s">
        <v>4521</v>
      </c>
      <c r="D2199" s="255" t="s">
        <v>22033</v>
      </c>
      <c r="E2199" s="253" t="s">
        <v>170</v>
      </c>
    </row>
    <row r="2200" spans="1:5" ht="45">
      <c r="A2200" s="254">
        <v>11481</v>
      </c>
      <c r="B2200" s="254" t="s">
        <v>22034</v>
      </c>
      <c r="C2200" s="254" t="s">
        <v>4521</v>
      </c>
      <c r="D2200" s="256" t="s">
        <v>14048</v>
      </c>
      <c r="E2200" s="253" t="s">
        <v>170</v>
      </c>
    </row>
    <row r="2201" spans="1:5" ht="45">
      <c r="A2201" s="254">
        <v>3097</v>
      </c>
      <c r="B2201" s="254" t="s">
        <v>22035</v>
      </c>
      <c r="C2201" s="254" t="s">
        <v>4535</v>
      </c>
      <c r="D2201" s="256" t="s">
        <v>22036</v>
      </c>
      <c r="E2201" s="253" t="s">
        <v>170</v>
      </c>
    </row>
    <row r="2202" spans="1:5" ht="45">
      <c r="A2202" s="254">
        <v>38153</v>
      </c>
      <c r="B2202" s="254" t="s">
        <v>22037</v>
      </c>
      <c r="C2202" s="254" t="s">
        <v>4535</v>
      </c>
      <c r="D2202" s="256" t="s">
        <v>22038</v>
      </c>
      <c r="E2202" s="253" t="s">
        <v>170</v>
      </c>
    </row>
    <row r="2203" spans="1:5" ht="45">
      <c r="A2203" s="254">
        <v>3099</v>
      </c>
      <c r="B2203" s="254" t="s">
        <v>22039</v>
      </c>
      <c r="C2203" s="254" t="s">
        <v>4535</v>
      </c>
      <c r="D2203" s="256" t="s">
        <v>22040</v>
      </c>
      <c r="E2203" s="253" t="s">
        <v>170</v>
      </c>
    </row>
    <row r="2204" spans="1:5" ht="45">
      <c r="A2204" s="254">
        <v>3080</v>
      </c>
      <c r="B2204" s="254" t="s">
        <v>22041</v>
      </c>
      <c r="C2204" s="254" t="s">
        <v>4535</v>
      </c>
      <c r="D2204" s="256" t="s">
        <v>22042</v>
      </c>
      <c r="E2204" s="253" t="s">
        <v>170</v>
      </c>
    </row>
    <row r="2205" spans="1:5" ht="45">
      <c r="A2205" s="254">
        <v>3081</v>
      </c>
      <c r="B2205" s="254" t="s">
        <v>22043</v>
      </c>
      <c r="C2205" s="254" t="s">
        <v>4535</v>
      </c>
      <c r="D2205" s="256" t="s">
        <v>22044</v>
      </c>
      <c r="E2205" s="253" t="s">
        <v>170</v>
      </c>
    </row>
    <row r="2206" spans="1:5" ht="45">
      <c r="A2206" s="254">
        <v>38151</v>
      </c>
      <c r="B2206" s="254" t="s">
        <v>22045</v>
      </c>
      <c r="C2206" s="254" t="s">
        <v>4535</v>
      </c>
      <c r="D2206" s="255" t="s">
        <v>16388</v>
      </c>
      <c r="E2206" s="253" t="s">
        <v>170</v>
      </c>
    </row>
    <row r="2207" spans="1:5" ht="30">
      <c r="A2207" s="254">
        <v>11479</v>
      </c>
      <c r="B2207" s="254" t="s">
        <v>22046</v>
      </c>
      <c r="C2207" s="254" t="s">
        <v>4521</v>
      </c>
      <c r="D2207" s="255" t="s">
        <v>22047</v>
      </c>
      <c r="E2207" s="253" t="s">
        <v>170</v>
      </c>
    </row>
    <row r="2208" spans="1:5" ht="45">
      <c r="A2208" s="254">
        <v>38152</v>
      </c>
      <c r="B2208" s="254" t="s">
        <v>22048</v>
      </c>
      <c r="C2208" s="254" t="s">
        <v>4535</v>
      </c>
      <c r="D2208" s="256" t="s">
        <v>18623</v>
      </c>
      <c r="E2208" s="253" t="s">
        <v>170</v>
      </c>
    </row>
    <row r="2209" spans="1:5" ht="30">
      <c r="A2209" s="254">
        <v>11478</v>
      </c>
      <c r="B2209" s="254" t="s">
        <v>22049</v>
      </c>
      <c r="C2209" s="254" t="s">
        <v>4521</v>
      </c>
      <c r="D2209" s="255" t="s">
        <v>22050</v>
      </c>
      <c r="E2209" s="253" t="s">
        <v>170</v>
      </c>
    </row>
    <row r="2210" spans="1:5" ht="45">
      <c r="A2210" s="254">
        <v>3090</v>
      </c>
      <c r="B2210" s="254" t="s">
        <v>22051</v>
      </c>
      <c r="C2210" s="254" t="s">
        <v>4535</v>
      </c>
      <c r="D2210" s="256" t="s">
        <v>17663</v>
      </c>
      <c r="E2210" s="253" t="s">
        <v>170</v>
      </c>
    </row>
    <row r="2211" spans="1:5" ht="45">
      <c r="A2211" s="254">
        <v>3093</v>
      </c>
      <c r="B2211" s="254" t="s">
        <v>22052</v>
      </c>
      <c r="C2211" s="254" t="s">
        <v>4535</v>
      </c>
      <c r="D2211" s="256" t="s">
        <v>17712</v>
      </c>
      <c r="E2211" s="253" t="s">
        <v>170</v>
      </c>
    </row>
    <row r="2212" spans="1:5" ht="45">
      <c r="A2212" s="254">
        <v>11476</v>
      </c>
      <c r="B2212" s="254" t="s">
        <v>22053</v>
      </c>
      <c r="C2212" s="254" t="s">
        <v>4521</v>
      </c>
      <c r="D2212" s="256" t="s">
        <v>22054</v>
      </c>
      <c r="E2212" s="253" t="s">
        <v>170</v>
      </c>
    </row>
    <row r="2213" spans="1:5" ht="30">
      <c r="A2213" s="254">
        <v>3082</v>
      </c>
      <c r="B2213" s="254" t="s">
        <v>22055</v>
      </c>
      <c r="C2213" s="254" t="s">
        <v>4535</v>
      </c>
      <c r="D2213" s="256" t="s">
        <v>22056</v>
      </c>
      <c r="E2213" s="253" t="s">
        <v>170</v>
      </c>
    </row>
    <row r="2214" spans="1:5" ht="45">
      <c r="A2214" s="254">
        <v>11484</v>
      </c>
      <c r="B2214" s="254" t="s">
        <v>22057</v>
      </c>
      <c r="C2214" s="254" t="s">
        <v>4521</v>
      </c>
      <c r="D2214" s="255" t="s">
        <v>22058</v>
      </c>
      <c r="E2214" s="253" t="s">
        <v>170</v>
      </c>
    </row>
    <row r="2215" spans="1:5" ht="30">
      <c r="A2215" s="254">
        <v>38155</v>
      </c>
      <c r="B2215" s="254" t="s">
        <v>22059</v>
      </c>
      <c r="C2215" s="254" t="s">
        <v>4521</v>
      </c>
      <c r="D2215" s="255" t="s">
        <v>22060</v>
      </c>
      <c r="E2215" s="253" t="s">
        <v>170</v>
      </c>
    </row>
    <row r="2216" spans="1:5" ht="30">
      <c r="A2216" s="254">
        <v>11468</v>
      </c>
      <c r="B2216" s="254" t="s">
        <v>22061</v>
      </c>
      <c r="C2216" s="254" t="s">
        <v>4521</v>
      </c>
      <c r="D2216" s="255" t="s">
        <v>19812</v>
      </c>
      <c r="E2216" s="253" t="s">
        <v>170</v>
      </c>
    </row>
    <row r="2217" spans="1:5" ht="45">
      <c r="A2217" s="254">
        <v>11469</v>
      </c>
      <c r="B2217" s="254" t="s">
        <v>22062</v>
      </c>
      <c r="C2217" s="254" t="s">
        <v>4521</v>
      </c>
      <c r="D2217" s="255" t="s">
        <v>16610</v>
      </c>
      <c r="E2217" s="253" t="s">
        <v>170</v>
      </c>
    </row>
    <row r="2218" spans="1:5" ht="30">
      <c r="A2218" s="254">
        <v>11477</v>
      </c>
      <c r="B2218" s="254" t="s">
        <v>22063</v>
      </c>
      <c r="C2218" s="254" t="s">
        <v>4535</v>
      </c>
      <c r="D2218" s="255" t="s">
        <v>22064</v>
      </c>
      <c r="E2218" s="253" t="s">
        <v>170</v>
      </c>
    </row>
    <row r="2219" spans="1:5" ht="45">
      <c r="A2219" s="254">
        <v>40311</v>
      </c>
      <c r="B2219" s="254" t="s">
        <v>22065</v>
      </c>
      <c r="C2219" s="254" t="s">
        <v>4535</v>
      </c>
      <c r="D2219" s="255" t="s">
        <v>17747</v>
      </c>
      <c r="E2219" s="253" t="s">
        <v>170</v>
      </c>
    </row>
    <row r="2220" spans="1:5" ht="30">
      <c r="A2220" s="254">
        <v>38165</v>
      </c>
      <c r="B2220" s="254" t="s">
        <v>22066</v>
      </c>
      <c r="C2220" s="254" t="s">
        <v>4535</v>
      </c>
      <c r="D2220" s="255" t="s">
        <v>22067</v>
      </c>
      <c r="E2220" s="253" t="s">
        <v>170</v>
      </c>
    </row>
    <row r="2221" spans="1:5" ht="30">
      <c r="A2221" s="254">
        <v>3096</v>
      </c>
      <c r="B2221" s="254" t="s">
        <v>22068</v>
      </c>
      <c r="C2221" s="254" t="s">
        <v>4535</v>
      </c>
      <c r="D2221" s="255" t="s">
        <v>22069</v>
      </c>
      <c r="E2221" s="253" t="s">
        <v>170</v>
      </c>
    </row>
    <row r="2222" spans="1:5" ht="30">
      <c r="A2222" s="254">
        <v>11456</v>
      </c>
      <c r="B2222" s="254" t="s">
        <v>22070</v>
      </c>
      <c r="C2222" s="254" t="s">
        <v>4521</v>
      </c>
      <c r="D2222" s="255" t="s">
        <v>21696</v>
      </c>
      <c r="E2222" s="253" t="s">
        <v>170</v>
      </c>
    </row>
    <row r="2223" spans="1:5" ht="30">
      <c r="A2223" s="254">
        <v>3119</v>
      </c>
      <c r="B2223" s="254" t="s">
        <v>22071</v>
      </c>
      <c r="C2223" s="254" t="s">
        <v>4521</v>
      </c>
      <c r="D2223" s="255" t="s">
        <v>22072</v>
      </c>
      <c r="E2223" s="253" t="s">
        <v>170</v>
      </c>
    </row>
    <row r="2224" spans="1:5" ht="30">
      <c r="A2224" s="254">
        <v>3122</v>
      </c>
      <c r="B2224" s="254" t="s">
        <v>22073</v>
      </c>
      <c r="C2224" s="254" t="s">
        <v>4521</v>
      </c>
      <c r="D2224" s="255" t="s">
        <v>22074</v>
      </c>
      <c r="E2224" s="253" t="s">
        <v>170</v>
      </c>
    </row>
    <row r="2225" spans="1:5" ht="30">
      <c r="A2225" s="254">
        <v>3121</v>
      </c>
      <c r="B2225" s="254" t="s">
        <v>22075</v>
      </c>
      <c r="C2225" s="254" t="s">
        <v>4521</v>
      </c>
      <c r="D2225" s="255" t="s">
        <v>22076</v>
      </c>
      <c r="E2225" s="253" t="s">
        <v>170</v>
      </c>
    </row>
    <row r="2226" spans="1:5" ht="30">
      <c r="A2226" s="254">
        <v>3120</v>
      </c>
      <c r="B2226" s="254" t="s">
        <v>22077</v>
      </c>
      <c r="C2226" s="254" t="s">
        <v>4521</v>
      </c>
      <c r="D2226" s="255" t="s">
        <v>14195</v>
      </c>
      <c r="E2226" s="253" t="s">
        <v>170</v>
      </c>
    </row>
    <row r="2227" spans="1:5" ht="30">
      <c r="A2227" s="254">
        <v>11455</v>
      </c>
      <c r="B2227" s="254" t="s">
        <v>22078</v>
      </c>
      <c r="C2227" s="254" t="s">
        <v>4521</v>
      </c>
      <c r="D2227" s="255" t="s">
        <v>14138</v>
      </c>
      <c r="E2227" s="253" t="s">
        <v>170</v>
      </c>
    </row>
    <row r="2228" spans="1:5" ht="30">
      <c r="A2228" s="254">
        <v>3111</v>
      </c>
      <c r="B2228" s="254" t="s">
        <v>22079</v>
      </c>
      <c r="C2228" s="254" t="s">
        <v>4521</v>
      </c>
      <c r="D2228" s="256" t="s">
        <v>16330</v>
      </c>
      <c r="E2228" s="253" t="s">
        <v>170</v>
      </c>
    </row>
    <row r="2229" spans="1:5" ht="30">
      <c r="A2229" s="254">
        <v>3108</v>
      </c>
      <c r="B2229" s="254" t="s">
        <v>22080</v>
      </c>
      <c r="C2229" s="254" t="s">
        <v>4521</v>
      </c>
      <c r="D2229" s="256" t="s">
        <v>14043</v>
      </c>
      <c r="E2229" s="253" t="s">
        <v>170</v>
      </c>
    </row>
    <row r="2230" spans="1:5" ht="30">
      <c r="A2230" s="254">
        <v>3105</v>
      </c>
      <c r="B2230" s="254" t="s">
        <v>22081</v>
      </c>
      <c r="C2230" s="254" t="s">
        <v>4521</v>
      </c>
      <c r="D2230" s="255" t="s">
        <v>22082</v>
      </c>
      <c r="E2230" s="253" t="s">
        <v>170</v>
      </c>
    </row>
    <row r="2231" spans="1:5" ht="30">
      <c r="A2231" s="254">
        <v>38178</v>
      </c>
      <c r="B2231" s="254" t="s">
        <v>22083</v>
      </c>
      <c r="C2231" s="254" t="s">
        <v>4521</v>
      </c>
      <c r="D2231" s="255" t="s">
        <v>18031</v>
      </c>
      <c r="E2231" s="253" t="s">
        <v>170</v>
      </c>
    </row>
    <row r="2232" spans="1:5" ht="30">
      <c r="A2232" s="254">
        <v>11458</v>
      </c>
      <c r="B2232" s="254" t="s">
        <v>22084</v>
      </c>
      <c r="C2232" s="254" t="s">
        <v>4521</v>
      </c>
      <c r="D2232" s="255" t="s">
        <v>22085</v>
      </c>
      <c r="E2232" s="253" t="s">
        <v>170</v>
      </c>
    </row>
    <row r="2233" spans="1:5" ht="30">
      <c r="A2233" s="254">
        <v>42481</v>
      </c>
      <c r="B2233" s="254" t="s">
        <v>22086</v>
      </c>
      <c r="C2233" s="254" t="s">
        <v>4523</v>
      </c>
      <c r="D2233" s="256" t="s">
        <v>16522</v>
      </c>
      <c r="E2233" s="253" t="s">
        <v>170</v>
      </c>
    </row>
    <row r="2234" spans="1:5" ht="30">
      <c r="A2234" s="254">
        <v>43458</v>
      </c>
      <c r="B2234" s="254" t="s">
        <v>22087</v>
      </c>
      <c r="C2234" s="254" t="s">
        <v>4520</v>
      </c>
      <c r="D2234" s="255" t="s">
        <v>14059</v>
      </c>
      <c r="E2234" s="253" t="s">
        <v>170</v>
      </c>
    </row>
    <row r="2235" spans="1:5" ht="30">
      <c r="A2235" s="254">
        <v>43470</v>
      </c>
      <c r="B2235" s="254" t="s">
        <v>22088</v>
      </c>
      <c r="C2235" s="254" t="s">
        <v>4528</v>
      </c>
      <c r="D2235" s="255" t="s">
        <v>15800</v>
      </c>
      <c r="E2235" s="253" t="s">
        <v>170</v>
      </c>
    </row>
    <row r="2236" spans="1:5" ht="30">
      <c r="A2236" s="254">
        <v>43459</v>
      </c>
      <c r="B2236" s="254" t="s">
        <v>22089</v>
      </c>
      <c r="C2236" s="254" t="s">
        <v>4520</v>
      </c>
      <c r="D2236" s="255" t="s">
        <v>14045</v>
      </c>
      <c r="E2236" s="253" t="s">
        <v>170</v>
      </c>
    </row>
    <row r="2237" spans="1:5" ht="30">
      <c r="A2237" s="254">
        <v>43471</v>
      </c>
      <c r="B2237" s="254" t="s">
        <v>22090</v>
      </c>
      <c r="C2237" s="254" t="s">
        <v>4528</v>
      </c>
      <c r="D2237" s="255" t="s">
        <v>22091</v>
      </c>
      <c r="E2237" s="253" t="s">
        <v>170</v>
      </c>
    </row>
    <row r="2238" spans="1:5" ht="30">
      <c r="A2238" s="254">
        <v>43460</v>
      </c>
      <c r="B2238" s="254" t="s">
        <v>22092</v>
      </c>
      <c r="C2238" s="254" t="s">
        <v>4520</v>
      </c>
      <c r="D2238" s="255" t="s">
        <v>14025</v>
      </c>
      <c r="E2238" s="253" t="s">
        <v>170</v>
      </c>
    </row>
    <row r="2239" spans="1:5" ht="30">
      <c r="A2239" s="254">
        <v>43472</v>
      </c>
      <c r="B2239" s="254" t="s">
        <v>22093</v>
      </c>
      <c r="C2239" s="254" t="s">
        <v>4528</v>
      </c>
      <c r="D2239" s="255" t="s">
        <v>22094</v>
      </c>
      <c r="E2239" s="253" t="s">
        <v>170</v>
      </c>
    </row>
    <row r="2240" spans="1:5" ht="30">
      <c r="A2240" s="254">
        <v>43461</v>
      </c>
      <c r="B2240" s="254" t="s">
        <v>22095</v>
      </c>
      <c r="C2240" s="254" t="s">
        <v>4520</v>
      </c>
      <c r="D2240" s="255" t="s">
        <v>14199</v>
      </c>
      <c r="E2240" s="253" t="s">
        <v>170</v>
      </c>
    </row>
    <row r="2241" spans="1:5" ht="30">
      <c r="A2241" s="254">
        <v>43473</v>
      </c>
      <c r="B2241" s="254" t="s">
        <v>22096</v>
      </c>
      <c r="C2241" s="254" t="s">
        <v>4528</v>
      </c>
      <c r="D2241" s="255" t="s">
        <v>22097</v>
      </c>
      <c r="E2241" s="253" t="s">
        <v>170</v>
      </c>
    </row>
    <row r="2242" spans="1:5" ht="30">
      <c r="A2242" s="254">
        <v>43463</v>
      </c>
      <c r="B2242" s="254" t="s">
        <v>22098</v>
      </c>
      <c r="C2242" s="254" t="s">
        <v>4520</v>
      </c>
      <c r="D2242" s="255" t="s">
        <v>14037</v>
      </c>
      <c r="E2242" s="253" t="s">
        <v>170</v>
      </c>
    </row>
    <row r="2243" spans="1:5" ht="30">
      <c r="A2243" s="254">
        <v>43475</v>
      </c>
      <c r="B2243" s="254" t="s">
        <v>22099</v>
      </c>
      <c r="C2243" s="254" t="s">
        <v>4528</v>
      </c>
      <c r="D2243" s="255" t="s">
        <v>22100</v>
      </c>
      <c r="E2243" s="253" t="s">
        <v>170</v>
      </c>
    </row>
    <row r="2244" spans="1:5" ht="30">
      <c r="A2244" s="254">
        <v>43462</v>
      </c>
      <c r="B2244" s="254" t="s">
        <v>22101</v>
      </c>
      <c r="C2244" s="254" t="s">
        <v>4520</v>
      </c>
      <c r="D2244" s="255" t="s">
        <v>14211</v>
      </c>
      <c r="E2244" s="253" t="s">
        <v>170</v>
      </c>
    </row>
    <row r="2245" spans="1:5" ht="30">
      <c r="A2245" s="254">
        <v>43474</v>
      </c>
      <c r="B2245" s="254" t="s">
        <v>22102</v>
      </c>
      <c r="C2245" s="254" t="s">
        <v>4528</v>
      </c>
      <c r="D2245" s="255" t="s">
        <v>14482</v>
      </c>
      <c r="E2245" s="253" t="s">
        <v>170</v>
      </c>
    </row>
    <row r="2246" spans="1:5" ht="30">
      <c r="A2246" s="254">
        <v>43464</v>
      </c>
      <c r="B2246" s="254" t="s">
        <v>22103</v>
      </c>
      <c r="C2246" s="254" t="s">
        <v>4520</v>
      </c>
      <c r="D2246" s="255" t="s">
        <v>14211</v>
      </c>
      <c r="E2246" s="253" t="s">
        <v>170</v>
      </c>
    </row>
    <row r="2247" spans="1:5" ht="30">
      <c r="A2247" s="254">
        <v>43476</v>
      </c>
      <c r="B2247" s="254" t="s">
        <v>22104</v>
      </c>
      <c r="C2247" s="254" t="s">
        <v>4528</v>
      </c>
      <c r="D2247" s="255" t="s">
        <v>14211</v>
      </c>
      <c r="E2247" s="253" t="s">
        <v>170</v>
      </c>
    </row>
    <row r="2248" spans="1:5" ht="30">
      <c r="A2248" s="254">
        <v>43465</v>
      </c>
      <c r="B2248" s="254" t="s">
        <v>22105</v>
      </c>
      <c r="C2248" s="254" t="s">
        <v>4520</v>
      </c>
      <c r="D2248" s="255" t="s">
        <v>18618</v>
      </c>
      <c r="E2248" s="253" t="s">
        <v>170</v>
      </c>
    </row>
    <row r="2249" spans="1:5" ht="30">
      <c r="A2249" s="254">
        <v>43477</v>
      </c>
      <c r="B2249" s="254" t="s">
        <v>22106</v>
      </c>
      <c r="C2249" s="254" t="s">
        <v>4528</v>
      </c>
      <c r="D2249" s="255" t="s">
        <v>22107</v>
      </c>
      <c r="E2249" s="253" t="s">
        <v>170</v>
      </c>
    </row>
    <row r="2250" spans="1:5" ht="30">
      <c r="A2250" s="254">
        <v>43466</v>
      </c>
      <c r="B2250" s="254" t="s">
        <v>22108</v>
      </c>
      <c r="C2250" s="254" t="s">
        <v>4520</v>
      </c>
      <c r="D2250" s="255" t="s">
        <v>14326</v>
      </c>
      <c r="E2250" s="253" t="s">
        <v>170</v>
      </c>
    </row>
    <row r="2251" spans="1:5" ht="30">
      <c r="A2251" s="254">
        <v>43478</v>
      </c>
      <c r="B2251" s="254" t="s">
        <v>22109</v>
      </c>
      <c r="C2251" s="254" t="s">
        <v>4528</v>
      </c>
      <c r="D2251" s="255" t="s">
        <v>22110</v>
      </c>
      <c r="E2251" s="253" t="s">
        <v>170</v>
      </c>
    </row>
    <row r="2252" spans="1:5" ht="30">
      <c r="A2252" s="254">
        <v>43467</v>
      </c>
      <c r="B2252" s="254" t="s">
        <v>22111</v>
      </c>
      <c r="C2252" s="254" t="s">
        <v>4520</v>
      </c>
      <c r="D2252" s="255" t="s">
        <v>14233</v>
      </c>
      <c r="E2252" s="253" t="s">
        <v>170</v>
      </c>
    </row>
    <row r="2253" spans="1:5" ht="30">
      <c r="A2253" s="254">
        <v>43479</v>
      </c>
      <c r="B2253" s="254" t="s">
        <v>22112</v>
      </c>
      <c r="C2253" s="254" t="s">
        <v>4528</v>
      </c>
      <c r="D2253" s="255" t="s">
        <v>22113</v>
      </c>
      <c r="E2253" s="253" t="s">
        <v>170</v>
      </c>
    </row>
    <row r="2254" spans="1:5" ht="30">
      <c r="A2254" s="254">
        <v>43468</v>
      </c>
      <c r="B2254" s="254" t="s">
        <v>22114</v>
      </c>
      <c r="C2254" s="254" t="s">
        <v>4520</v>
      </c>
      <c r="D2254" s="255" t="s">
        <v>18792</v>
      </c>
      <c r="E2254" s="253" t="s">
        <v>170</v>
      </c>
    </row>
    <row r="2255" spans="1:5" ht="30">
      <c r="A2255" s="254">
        <v>43480</v>
      </c>
      <c r="B2255" s="254" t="s">
        <v>22115</v>
      </c>
      <c r="C2255" s="254" t="s">
        <v>4528</v>
      </c>
      <c r="D2255" s="255" t="s">
        <v>22116</v>
      </c>
      <c r="E2255" s="253" t="s">
        <v>170</v>
      </c>
    </row>
    <row r="2256" spans="1:5" ht="30">
      <c r="A2256" s="254">
        <v>43469</v>
      </c>
      <c r="B2256" s="254" t="s">
        <v>22117</v>
      </c>
      <c r="C2256" s="254" t="s">
        <v>4520</v>
      </c>
      <c r="D2256" s="255" t="s">
        <v>18617</v>
      </c>
      <c r="E2256" s="253" t="s">
        <v>170</v>
      </c>
    </row>
    <row r="2257" spans="1:5" ht="30">
      <c r="A2257" s="254">
        <v>43481</v>
      </c>
      <c r="B2257" s="254" t="s">
        <v>22118</v>
      </c>
      <c r="C2257" s="254" t="s">
        <v>4528</v>
      </c>
      <c r="D2257" s="255" t="s">
        <v>15771</v>
      </c>
      <c r="E2257" s="253" t="s">
        <v>170</v>
      </c>
    </row>
    <row r="2258" spans="1:5" ht="30">
      <c r="A2258" s="254">
        <v>11461</v>
      </c>
      <c r="B2258" s="254" t="s">
        <v>22119</v>
      </c>
      <c r="C2258" s="254" t="s">
        <v>4521</v>
      </c>
      <c r="D2258" s="255" t="s">
        <v>17628</v>
      </c>
      <c r="E2258" s="253" t="s">
        <v>170</v>
      </c>
    </row>
    <row r="2259" spans="1:5" ht="30">
      <c r="A2259" s="254">
        <v>3106</v>
      </c>
      <c r="B2259" s="254" t="s">
        <v>22120</v>
      </c>
      <c r="C2259" s="254" t="s">
        <v>4521</v>
      </c>
      <c r="D2259" s="255" t="s">
        <v>16479</v>
      </c>
      <c r="E2259" s="253" t="s">
        <v>170</v>
      </c>
    </row>
    <row r="2260" spans="1:5" ht="30">
      <c r="A2260" s="254">
        <v>3107</v>
      </c>
      <c r="B2260" s="254" t="s">
        <v>22121</v>
      </c>
      <c r="C2260" s="254" t="s">
        <v>4521</v>
      </c>
      <c r="D2260" s="255" t="s">
        <v>18462</v>
      </c>
      <c r="E2260" s="253" t="s">
        <v>170</v>
      </c>
    </row>
    <row r="2261" spans="1:5" ht="15">
      <c r="A2261" s="254">
        <v>25951</v>
      </c>
      <c r="B2261" s="254" t="s">
        <v>22122</v>
      </c>
      <c r="C2261" s="254" t="s">
        <v>4525</v>
      </c>
      <c r="D2261" s="255" t="s">
        <v>14245</v>
      </c>
      <c r="E2261" s="253" t="s">
        <v>170</v>
      </c>
    </row>
    <row r="2262" spans="1:5" ht="15">
      <c r="A2262" s="254">
        <v>3123</v>
      </c>
      <c r="B2262" s="254" t="s">
        <v>22123</v>
      </c>
      <c r="C2262" s="254" t="s">
        <v>4525</v>
      </c>
      <c r="D2262" s="255" t="s">
        <v>22124</v>
      </c>
      <c r="E2262" s="253" t="s">
        <v>170</v>
      </c>
    </row>
    <row r="2263" spans="1:5" ht="15">
      <c r="A2263" s="254">
        <v>38125</v>
      </c>
      <c r="B2263" s="254" t="s">
        <v>22125</v>
      </c>
      <c r="C2263" s="254" t="s">
        <v>4525</v>
      </c>
      <c r="D2263" s="255" t="s">
        <v>14369</v>
      </c>
      <c r="E2263" s="253" t="s">
        <v>170</v>
      </c>
    </row>
    <row r="2264" spans="1:5" ht="45">
      <c r="A2264" s="254">
        <v>39014</v>
      </c>
      <c r="B2264" s="254" t="s">
        <v>22126</v>
      </c>
      <c r="C2264" s="254" t="s">
        <v>4525</v>
      </c>
      <c r="D2264" s="255" t="s">
        <v>13540</v>
      </c>
      <c r="E2264" s="253" t="s">
        <v>170</v>
      </c>
    </row>
    <row r="2265" spans="1:5" ht="30">
      <c r="A2265" s="254">
        <v>11894</v>
      </c>
      <c r="B2265" s="254" t="s">
        <v>22127</v>
      </c>
      <c r="C2265" s="254" t="s">
        <v>4521</v>
      </c>
      <c r="D2265" s="255" t="s">
        <v>22128</v>
      </c>
      <c r="E2265" s="253" t="s">
        <v>170</v>
      </c>
    </row>
    <row r="2266" spans="1:5" ht="30">
      <c r="A2266" s="254">
        <v>39365</v>
      </c>
      <c r="B2266" s="254" t="s">
        <v>22129</v>
      </c>
      <c r="C2266" s="254" t="s">
        <v>4521</v>
      </c>
      <c r="D2266" s="256" t="s">
        <v>22130</v>
      </c>
      <c r="E2266" s="253" t="s">
        <v>170</v>
      </c>
    </row>
    <row r="2267" spans="1:5" ht="30">
      <c r="A2267" s="254">
        <v>39366</v>
      </c>
      <c r="B2267" s="254" t="s">
        <v>22131</v>
      </c>
      <c r="C2267" s="254" t="s">
        <v>4521</v>
      </c>
      <c r="D2267" s="255" t="s">
        <v>22132</v>
      </c>
      <c r="E2267" s="253" t="s">
        <v>170</v>
      </c>
    </row>
    <row r="2268" spans="1:5" ht="30">
      <c r="A2268" s="254">
        <v>39367</v>
      </c>
      <c r="B2268" s="254" t="s">
        <v>22133</v>
      </c>
      <c r="C2268" s="254" t="s">
        <v>4521</v>
      </c>
      <c r="D2268" s="255" t="s">
        <v>22134</v>
      </c>
      <c r="E2268" s="253" t="s">
        <v>170</v>
      </c>
    </row>
    <row r="2269" spans="1:5" ht="15">
      <c r="A2269" s="254">
        <v>37394</v>
      </c>
      <c r="B2269" s="254" t="s">
        <v>22135</v>
      </c>
      <c r="C2269" s="254" t="s">
        <v>4538</v>
      </c>
      <c r="D2269" s="255" t="s">
        <v>22136</v>
      </c>
      <c r="E2269" s="253" t="s">
        <v>170</v>
      </c>
    </row>
    <row r="2270" spans="1:5" ht="15">
      <c r="A2270" s="254">
        <v>14146</v>
      </c>
      <c r="B2270" s="254" t="s">
        <v>22137</v>
      </c>
      <c r="C2270" s="254" t="s">
        <v>4538</v>
      </c>
      <c r="D2270" s="255" t="s">
        <v>22138</v>
      </c>
      <c r="E2270" s="253" t="s">
        <v>170</v>
      </c>
    </row>
    <row r="2271" spans="1:5" ht="15">
      <c r="A2271" s="254">
        <v>38134</v>
      </c>
      <c r="B2271" s="254" t="s">
        <v>22139</v>
      </c>
      <c r="C2271" s="254" t="s">
        <v>4525</v>
      </c>
      <c r="D2271" s="256" t="s">
        <v>22140</v>
      </c>
      <c r="E2271" s="253" t="s">
        <v>170</v>
      </c>
    </row>
    <row r="2272" spans="1:5" ht="15">
      <c r="A2272" s="254">
        <v>38132</v>
      </c>
      <c r="B2272" s="254" t="s">
        <v>22141</v>
      </c>
      <c r="C2272" s="254" t="s">
        <v>4525</v>
      </c>
      <c r="D2272" s="256" t="s">
        <v>22142</v>
      </c>
      <c r="E2272" s="253" t="s">
        <v>170</v>
      </c>
    </row>
    <row r="2273" spans="1:5" ht="15">
      <c r="A2273" s="254">
        <v>38133</v>
      </c>
      <c r="B2273" s="254" t="s">
        <v>22143</v>
      </c>
      <c r="C2273" s="254" t="s">
        <v>4525</v>
      </c>
      <c r="D2273" s="255" t="s">
        <v>22144</v>
      </c>
      <c r="E2273" s="253" t="s">
        <v>170</v>
      </c>
    </row>
    <row r="2274" spans="1:5" ht="30">
      <c r="A2274" s="254">
        <v>938</v>
      </c>
      <c r="B2274" s="254" t="s">
        <v>22145</v>
      </c>
      <c r="C2274" s="254" t="s">
        <v>4524</v>
      </c>
      <c r="D2274" s="255" t="s">
        <v>14163</v>
      </c>
      <c r="E2274" s="253" t="s">
        <v>170</v>
      </c>
    </row>
    <row r="2275" spans="1:5" ht="30">
      <c r="A2275" s="254">
        <v>937</v>
      </c>
      <c r="B2275" s="254" t="s">
        <v>22146</v>
      </c>
      <c r="C2275" s="254" t="s">
        <v>4524</v>
      </c>
      <c r="D2275" s="255" t="s">
        <v>19006</v>
      </c>
      <c r="E2275" s="253" t="s">
        <v>170</v>
      </c>
    </row>
    <row r="2276" spans="1:5" ht="30">
      <c r="A2276" s="254">
        <v>939</v>
      </c>
      <c r="B2276" s="254" t="s">
        <v>22147</v>
      </c>
      <c r="C2276" s="254" t="s">
        <v>4524</v>
      </c>
      <c r="D2276" s="255" t="s">
        <v>19980</v>
      </c>
      <c r="E2276" s="253" t="s">
        <v>170</v>
      </c>
    </row>
    <row r="2277" spans="1:5" ht="30">
      <c r="A2277" s="254">
        <v>944</v>
      </c>
      <c r="B2277" s="254" t="s">
        <v>22148</v>
      </c>
      <c r="C2277" s="254" t="s">
        <v>4524</v>
      </c>
      <c r="D2277" s="255" t="s">
        <v>19713</v>
      </c>
      <c r="E2277" s="253" t="s">
        <v>170</v>
      </c>
    </row>
    <row r="2278" spans="1:5" ht="30">
      <c r="A2278" s="254">
        <v>940</v>
      </c>
      <c r="B2278" s="254" t="s">
        <v>22149</v>
      </c>
      <c r="C2278" s="254" t="s">
        <v>4524</v>
      </c>
      <c r="D2278" s="255" t="s">
        <v>16237</v>
      </c>
      <c r="E2278" s="253" t="s">
        <v>170</v>
      </c>
    </row>
    <row r="2279" spans="1:5" ht="30">
      <c r="A2279" s="254">
        <v>936</v>
      </c>
      <c r="B2279" s="254" t="s">
        <v>22150</v>
      </c>
      <c r="C2279" s="254" t="s">
        <v>4524</v>
      </c>
      <c r="D2279" s="255" t="s">
        <v>17670</v>
      </c>
      <c r="E2279" s="253" t="s">
        <v>170</v>
      </c>
    </row>
    <row r="2280" spans="1:5" ht="30">
      <c r="A2280" s="254">
        <v>935</v>
      </c>
      <c r="B2280" s="254" t="s">
        <v>22151</v>
      </c>
      <c r="C2280" s="254" t="s">
        <v>4524</v>
      </c>
      <c r="D2280" s="255" t="s">
        <v>19978</v>
      </c>
      <c r="E2280" s="253" t="s">
        <v>170</v>
      </c>
    </row>
    <row r="2281" spans="1:5" ht="15">
      <c r="A2281" s="254">
        <v>406</v>
      </c>
      <c r="B2281" s="254" t="s">
        <v>22152</v>
      </c>
      <c r="C2281" s="254" t="s">
        <v>4521</v>
      </c>
      <c r="D2281" s="255" t="s">
        <v>22153</v>
      </c>
      <c r="E2281" s="253" t="s">
        <v>170</v>
      </c>
    </row>
    <row r="2282" spans="1:5" ht="30">
      <c r="A2282" s="254">
        <v>42529</v>
      </c>
      <c r="B2282" s="254" t="s">
        <v>22154</v>
      </c>
      <c r="C2282" s="254" t="s">
        <v>4524</v>
      </c>
      <c r="D2282" s="255" t="s">
        <v>14345</v>
      </c>
      <c r="E2282" s="253" t="s">
        <v>170</v>
      </c>
    </row>
    <row r="2283" spans="1:5" ht="30">
      <c r="A2283" s="254">
        <v>39634</v>
      </c>
      <c r="B2283" s="254" t="s">
        <v>22155</v>
      </c>
      <c r="C2283" s="254" t="s">
        <v>4524</v>
      </c>
      <c r="D2283" s="255" t="s">
        <v>14072</v>
      </c>
      <c r="E2283" s="253" t="s">
        <v>170</v>
      </c>
    </row>
    <row r="2284" spans="1:5" ht="15">
      <c r="A2284" s="254">
        <v>39701</v>
      </c>
      <c r="B2284" s="254" t="s">
        <v>22156</v>
      </c>
      <c r="C2284" s="254" t="s">
        <v>4521</v>
      </c>
      <c r="D2284" s="255" t="s">
        <v>22157</v>
      </c>
      <c r="E2284" s="253" t="s">
        <v>170</v>
      </c>
    </row>
    <row r="2285" spans="1:5" ht="15">
      <c r="A2285" s="254">
        <v>12815</v>
      </c>
      <c r="B2285" s="254" t="s">
        <v>22158</v>
      </c>
      <c r="C2285" s="254" t="s">
        <v>4521</v>
      </c>
      <c r="D2285" s="255" t="s">
        <v>20650</v>
      </c>
      <c r="E2285" s="253" t="s">
        <v>170</v>
      </c>
    </row>
    <row r="2286" spans="1:5" ht="15">
      <c r="A2286" s="254">
        <v>407</v>
      </c>
      <c r="B2286" s="254" t="s">
        <v>22159</v>
      </c>
      <c r="C2286" s="254" t="s">
        <v>4525</v>
      </c>
      <c r="D2286" s="255" t="s">
        <v>15687</v>
      </c>
      <c r="E2286" s="253" t="s">
        <v>170</v>
      </c>
    </row>
    <row r="2287" spans="1:5" ht="30">
      <c r="A2287" s="254">
        <v>39431</v>
      </c>
      <c r="B2287" s="254" t="s">
        <v>22160</v>
      </c>
      <c r="C2287" s="254" t="s">
        <v>4524</v>
      </c>
      <c r="D2287" s="255" t="s">
        <v>14199</v>
      </c>
      <c r="E2287" s="253" t="s">
        <v>170</v>
      </c>
    </row>
    <row r="2288" spans="1:5" ht="30">
      <c r="A2288" s="254">
        <v>39432</v>
      </c>
      <c r="B2288" s="254" t="s">
        <v>22161</v>
      </c>
      <c r="C2288" s="254" t="s">
        <v>4524</v>
      </c>
      <c r="D2288" s="255" t="s">
        <v>13809</v>
      </c>
      <c r="E2288" s="253" t="s">
        <v>170</v>
      </c>
    </row>
    <row r="2289" spans="1:5" ht="15">
      <c r="A2289" s="254">
        <v>20111</v>
      </c>
      <c r="B2289" s="254" t="s">
        <v>22162</v>
      </c>
      <c r="C2289" s="254" t="s">
        <v>4521</v>
      </c>
      <c r="D2289" s="255" t="s">
        <v>13872</v>
      </c>
      <c r="E2289" s="253" t="s">
        <v>170</v>
      </c>
    </row>
    <row r="2290" spans="1:5" ht="15">
      <c r="A2290" s="254">
        <v>21127</v>
      </c>
      <c r="B2290" s="254" t="s">
        <v>22163</v>
      </c>
      <c r="C2290" s="254" t="s">
        <v>4521</v>
      </c>
      <c r="D2290" s="255" t="s">
        <v>17008</v>
      </c>
      <c r="E2290" s="253" t="s">
        <v>170</v>
      </c>
    </row>
    <row r="2291" spans="1:5" ht="15">
      <c r="A2291" s="254">
        <v>404</v>
      </c>
      <c r="B2291" s="254" t="s">
        <v>22164</v>
      </c>
      <c r="C2291" s="254" t="s">
        <v>4524</v>
      </c>
      <c r="D2291" s="255" t="s">
        <v>14290</v>
      </c>
      <c r="E2291" s="253" t="s">
        <v>170</v>
      </c>
    </row>
    <row r="2292" spans="1:5" ht="30">
      <c r="A2292" s="254">
        <v>14151</v>
      </c>
      <c r="B2292" s="254" t="s">
        <v>22165</v>
      </c>
      <c r="C2292" s="254" t="s">
        <v>4521</v>
      </c>
      <c r="D2292" s="255" t="s">
        <v>22166</v>
      </c>
      <c r="E2292" s="253" t="s">
        <v>170</v>
      </c>
    </row>
    <row r="2293" spans="1:5" ht="30">
      <c r="A2293" s="254">
        <v>14153</v>
      </c>
      <c r="B2293" s="254" t="s">
        <v>22167</v>
      </c>
      <c r="C2293" s="254" t="s">
        <v>4521</v>
      </c>
      <c r="D2293" s="255" t="s">
        <v>22168</v>
      </c>
      <c r="E2293" s="253" t="s">
        <v>170</v>
      </c>
    </row>
    <row r="2294" spans="1:5" ht="30">
      <c r="A2294" s="254">
        <v>14152</v>
      </c>
      <c r="B2294" s="254" t="s">
        <v>22169</v>
      </c>
      <c r="C2294" s="254" t="s">
        <v>4521</v>
      </c>
      <c r="D2294" s="255" t="s">
        <v>22170</v>
      </c>
      <c r="E2294" s="253" t="s">
        <v>170</v>
      </c>
    </row>
    <row r="2295" spans="1:5" ht="30">
      <c r="A2295" s="254">
        <v>14154</v>
      </c>
      <c r="B2295" s="254" t="s">
        <v>22171</v>
      </c>
      <c r="C2295" s="254" t="s">
        <v>4521</v>
      </c>
      <c r="D2295" s="255" t="s">
        <v>17134</v>
      </c>
      <c r="E2295" s="253" t="s">
        <v>170</v>
      </c>
    </row>
    <row r="2296" spans="1:5" ht="30">
      <c r="A2296" s="254">
        <v>42015</v>
      </c>
      <c r="B2296" s="254" t="s">
        <v>22172</v>
      </c>
      <c r="C2296" s="254" t="s">
        <v>4524</v>
      </c>
      <c r="D2296" s="255" t="s">
        <v>14037</v>
      </c>
      <c r="E2296" s="253" t="s">
        <v>170</v>
      </c>
    </row>
    <row r="2297" spans="1:5" ht="15">
      <c r="A2297" s="254">
        <v>3146</v>
      </c>
      <c r="B2297" s="254" t="s">
        <v>22173</v>
      </c>
      <c r="C2297" s="254" t="s">
        <v>4521</v>
      </c>
      <c r="D2297" s="255" t="s">
        <v>18520</v>
      </c>
      <c r="E2297" s="253" t="s">
        <v>170</v>
      </c>
    </row>
    <row r="2298" spans="1:5" ht="15">
      <c r="A2298" s="254">
        <v>3143</v>
      </c>
      <c r="B2298" s="254" t="s">
        <v>22174</v>
      </c>
      <c r="C2298" s="254" t="s">
        <v>4521</v>
      </c>
      <c r="D2298" s="255" t="s">
        <v>22175</v>
      </c>
      <c r="E2298" s="253" t="s">
        <v>170</v>
      </c>
    </row>
    <row r="2299" spans="1:5" ht="15">
      <c r="A2299" s="254">
        <v>3148</v>
      </c>
      <c r="B2299" s="254" t="s">
        <v>22176</v>
      </c>
      <c r="C2299" s="254" t="s">
        <v>4521</v>
      </c>
      <c r="D2299" s="255" t="s">
        <v>16423</v>
      </c>
      <c r="E2299" s="253" t="s">
        <v>170</v>
      </c>
    </row>
    <row r="2300" spans="1:5" ht="30">
      <c r="A2300" s="254">
        <v>4310</v>
      </c>
      <c r="B2300" s="254" t="s">
        <v>22177</v>
      </c>
      <c r="C2300" s="254" t="s">
        <v>4521</v>
      </c>
      <c r="D2300" s="255" t="s">
        <v>17872</v>
      </c>
      <c r="E2300" s="253" t="s">
        <v>170</v>
      </c>
    </row>
    <row r="2301" spans="1:5" ht="30">
      <c r="A2301" s="254">
        <v>4311</v>
      </c>
      <c r="B2301" s="254" t="s">
        <v>22178</v>
      </c>
      <c r="C2301" s="254" t="s">
        <v>4521</v>
      </c>
      <c r="D2301" s="255" t="s">
        <v>20903</v>
      </c>
      <c r="E2301" s="253" t="s">
        <v>170</v>
      </c>
    </row>
    <row r="2302" spans="1:5" ht="30">
      <c r="A2302" s="254">
        <v>4312</v>
      </c>
      <c r="B2302" s="254" t="s">
        <v>22179</v>
      </c>
      <c r="C2302" s="254" t="s">
        <v>4521</v>
      </c>
      <c r="D2302" s="255" t="s">
        <v>16226</v>
      </c>
      <c r="E2302" s="253" t="s">
        <v>170</v>
      </c>
    </row>
    <row r="2303" spans="1:5" ht="15">
      <c r="A2303" s="254">
        <v>11162</v>
      </c>
      <c r="B2303" s="254" t="s">
        <v>22180</v>
      </c>
      <c r="C2303" s="254" t="s">
        <v>4521</v>
      </c>
      <c r="D2303" s="255" t="s">
        <v>19014</v>
      </c>
      <c r="E2303" s="253" t="s">
        <v>170</v>
      </c>
    </row>
    <row r="2304" spans="1:5" ht="15">
      <c r="A2304" s="254">
        <v>13261</v>
      </c>
      <c r="B2304" s="254" t="s">
        <v>22181</v>
      </c>
      <c r="C2304" s="254" t="s">
        <v>4521</v>
      </c>
      <c r="D2304" s="255" t="s">
        <v>14427</v>
      </c>
      <c r="E2304" s="253" t="s">
        <v>170</v>
      </c>
    </row>
    <row r="2305" spans="1:5" ht="15">
      <c r="A2305" s="254">
        <v>3255</v>
      </c>
      <c r="B2305" s="254" t="s">
        <v>22182</v>
      </c>
      <c r="C2305" s="254" t="s">
        <v>4521</v>
      </c>
      <c r="D2305" s="256" t="s">
        <v>22183</v>
      </c>
      <c r="E2305" s="253" t="s">
        <v>170</v>
      </c>
    </row>
    <row r="2306" spans="1:5" ht="15">
      <c r="A2306" s="254">
        <v>3254</v>
      </c>
      <c r="B2306" s="254" t="s">
        <v>22184</v>
      </c>
      <c r="C2306" s="254" t="s">
        <v>4521</v>
      </c>
      <c r="D2306" s="256" t="s">
        <v>22185</v>
      </c>
      <c r="E2306" s="253" t="s">
        <v>170</v>
      </c>
    </row>
    <row r="2307" spans="1:5" ht="15">
      <c r="A2307" s="254">
        <v>3259</v>
      </c>
      <c r="B2307" s="254" t="s">
        <v>22186</v>
      </c>
      <c r="C2307" s="254" t="s">
        <v>4521</v>
      </c>
      <c r="D2307" s="256" t="s">
        <v>16345</v>
      </c>
      <c r="E2307" s="253" t="s">
        <v>170</v>
      </c>
    </row>
    <row r="2308" spans="1:5" ht="15">
      <c r="A2308" s="254">
        <v>3258</v>
      </c>
      <c r="B2308" s="254" t="s">
        <v>22187</v>
      </c>
      <c r="C2308" s="254" t="s">
        <v>4521</v>
      </c>
      <c r="D2308" s="256" t="s">
        <v>15767</v>
      </c>
      <c r="E2308" s="253" t="s">
        <v>170</v>
      </c>
    </row>
    <row r="2309" spans="1:5" ht="15">
      <c r="A2309" s="254">
        <v>3251</v>
      </c>
      <c r="B2309" s="254" t="s">
        <v>22188</v>
      </c>
      <c r="C2309" s="254" t="s">
        <v>4521</v>
      </c>
      <c r="D2309" s="256" t="s">
        <v>14332</v>
      </c>
      <c r="E2309" s="253" t="s">
        <v>170</v>
      </c>
    </row>
    <row r="2310" spans="1:5" ht="15">
      <c r="A2310" s="254">
        <v>3256</v>
      </c>
      <c r="B2310" s="254" t="s">
        <v>22189</v>
      </c>
      <c r="C2310" s="254" t="s">
        <v>4521</v>
      </c>
      <c r="D2310" s="256" t="s">
        <v>15448</v>
      </c>
      <c r="E2310" s="253" t="s">
        <v>170</v>
      </c>
    </row>
    <row r="2311" spans="1:5" ht="15">
      <c r="A2311" s="254">
        <v>3261</v>
      </c>
      <c r="B2311" s="254" t="s">
        <v>22190</v>
      </c>
      <c r="C2311" s="254" t="s">
        <v>4521</v>
      </c>
      <c r="D2311" s="256" t="s">
        <v>22191</v>
      </c>
      <c r="E2311" s="253" t="s">
        <v>170</v>
      </c>
    </row>
    <row r="2312" spans="1:5" ht="15">
      <c r="A2312" s="254">
        <v>3260</v>
      </c>
      <c r="B2312" s="254" t="s">
        <v>22192</v>
      </c>
      <c r="C2312" s="254" t="s">
        <v>4521</v>
      </c>
      <c r="D2312" s="256" t="s">
        <v>15741</v>
      </c>
      <c r="E2312" s="253" t="s">
        <v>170</v>
      </c>
    </row>
    <row r="2313" spans="1:5" ht="15">
      <c r="A2313" s="254">
        <v>3272</v>
      </c>
      <c r="B2313" s="254" t="s">
        <v>22193</v>
      </c>
      <c r="C2313" s="254" t="s">
        <v>4521</v>
      </c>
      <c r="D2313" s="256" t="s">
        <v>22194</v>
      </c>
      <c r="E2313" s="253" t="s">
        <v>170</v>
      </c>
    </row>
    <row r="2314" spans="1:5" ht="15">
      <c r="A2314" s="254">
        <v>3265</v>
      </c>
      <c r="B2314" s="254" t="s">
        <v>22195</v>
      </c>
      <c r="C2314" s="254" t="s">
        <v>4521</v>
      </c>
      <c r="D2314" s="256" t="s">
        <v>22196</v>
      </c>
      <c r="E2314" s="253" t="s">
        <v>170</v>
      </c>
    </row>
    <row r="2315" spans="1:5" ht="15">
      <c r="A2315" s="254">
        <v>3262</v>
      </c>
      <c r="B2315" s="254" t="s">
        <v>22197</v>
      </c>
      <c r="C2315" s="254" t="s">
        <v>4521</v>
      </c>
      <c r="D2315" s="256" t="s">
        <v>17022</v>
      </c>
      <c r="E2315" s="253" t="s">
        <v>170</v>
      </c>
    </row>
    <row r="2316" spans="1:5" ht="15">
      <c r="A2316" s="254">
        <v>3264</v>
      </c>
      <c r="B2316" s="254" t="s">
        <v>22198</v>
      </c>
      <c r="C2316" s="254" t="s">
        <v>4521</v>
      </c>
      <c r="D2316" s="256" t="s">
        <v>13548</v>
      </c>
      <c r="E2316" s="253" t="s">
        <v>170</v>
      </c>
    </row>
    <row r="2317" spans="1:5" ht="15">
      <c r="A2317" s="254">
        <v>3267</v>
      </c>
      <c r="B2317" s="254" t="s">
        <v>22199</v>
      </c>
      <c r="C2317" s="254" t="s">
        <v>4521</v>
      </c>
      <c r="D2317" s="256" t="s">
        <v>21119</v>
      </c>
      <c r="E2317" s="253" t="s">
        <v>170</v>
      </c>
    </row>
    <row r="2318" spans="1:5" ht="15">
      <c r="A2318" s="254">
        <v>3266</v>
      </c>
      <c r="B2318" s="254" t="s">
        <v>22200</v>
      </c>
      <c r="C2318" s="254" t="s">
        <v>4521</v>
      </c>
      <c r="D2318" s="256" t="s">
        <v>15362</v>
      </c>
      <c r="E2318" s="253" t="s">
        <v>170</v>
      </c>
    </row>
    <row r="2319" spans="1:5" ht="15">
      <c r="A2319" s="254">
        <v>3263</v>
      </c>
      <c r="B2319" s="254" t="s">
        <v>22201</v>
      </c>
      <c r="C2319" s="254" t="s">
        <v>4521</v>
      </c>
      <c r="D2319" s="256" t="s">
        <v>14223</v>
      </c>
      <c r="E2319" s="253" t="s">
        <v>170</v>
      </c>
    </row>
    <row r="2320" spans="1:5" ht="15">
      <c r="A2320" s="254">
        <v>3268</v>
      </c>
      <c r="B2320" s="254" t="s">
        <v>22202</v>
      </c>
      <c r="C2320" s="254" t="s">
        <v>4521</v>
      </c>
      <c r="D2320" s="256" t="s">
        <v>17888</v>
      </c>
      <c r="E2320" s="253" t="s">
        <v>170</v>
      </c>
    </row>
    <row r="2321" spans="1:5" ht="15">
      <c r="A2321" s="254">
        <v>3271</v>
      </c>
      <c r="B2321" s="254" t="s">
        <v>22203</v>
      </c>
      <c r="C2321" s="254" t="s">
        <v>4521</v>
      </c>
      <c r="D2321" s="256" t="s">
        <v>22204</v>
      </c>
      <c r="E2321" s="253" t="s">
        <v>170</v>
      </c>
    </row>
    <row r="2322" spans="1:5" ht="15">
      <c r="A2322" s="254">
        <v>3270</v>
      </c>
      <c r="B2322" s="254" t="s">
        <v>22205</v>
      </c>
      <c r="C2322" s="254" t="s">
        <v>4521</v>
      </c>
      <c r="D2322" s="256" t="s">
        <v>22206</v>
      </c>
      <c r="E2322" s="253" t="s">
        <v>170</v>
      </c>
    </row>
    <row r="2323" spans="1:5" ht="30">
      <c r="A2323" s="254">
        <v>3275</v>
      </c>
      <c r="B2323" s="254" t="s">
        <v>22207</v>
      </c>
      <c r="C2323" s="254" t="s">
        <v>4523</v>
      </c>
      <c r="D2323" s="256" t="s">
        <v>22208</v>
      </c>
      <c r="E2323" s="253" t="s">
        <v>170</v>
      </c>
    </row>
    <row r="2324" spans="1:5" ht="45">
      <c r="A2324" s="254">
        <v>39512</v>
      </c>
      <c r="B2324" s="254" t="s">
        <v>22209</v>
      </c>
      <c r="C2324" s="254" t="s">
        <v>4523</v>
      </c>
      <c r="D2324" s="256" t="s">
        <v>18038</v>
      </c>
      <c r="E2324" s="253" t="s">
        <v>170</v>
      </c>
    </row>
    <row r="2325" spans="1:5" ht="45">
      <c r="A2325" s="254">
        <v>39511</v>
      </c>
      <c r="B2325" s="254" t="s">
        <v>22210</v>
      </c>
      <c r="C2325" s="254" t="s">
        <v>4523</v>
      </c>
      <c r="D2325" s="255" t="s">
        <v>22211</v>
      </c>
      <c r="E2325" s="253" t="s">
        <v>170</v>
      </c>
    </row>
    <row r="2326" spans="1:5" ht="45">
      <c r="A2326" s="254">
        <v>39513</v>
      </c>
      <c r="B2326" s="254" t="s">
        <v>22212</v>
      </c>
      <c r="C2326" s="254" t="s">
        <v>4523</v>
      </c>
      <c r="D2326" s="255" t="s">
        <v>20375</v>
      </c>
      <c r="E2326" s="253" t="s">
        <v>170</v>
      </c>
    </row>
    <row r="2327" spans="1:5" ht="30">
      <c r="A2327" s="254">
        <v>3286</v>
      </c>
      <c r="B2327" s="254" t="s">
        <v>22213</v>
      </c>
      <c r="C2327" s="254" t="s">
        <v>4523</v>
      </c>
      <c r="D2327" s="255" t="s">
        <v>22214</v>
      </c>
      <c r="E2327" s="253" t="s">
        <v>170</v>
      </c>
    </row>
    <row r="2328" spans="1:5" ht="30">
      <c r="A2328" s="254">
        <v>3287</v>
      </c>
      <c r="B2328" s="254" t="s">
        <v>22215</v>
      </c>
      <c r="C2328" s="254" t="s">
        <v>4523</v>
      </c>
      <c r="D2328" s="255" t="s">
        <v>22216</v>
      </c>
      <c r="E2328" s="253" t="s">
        <v>170</v>
      </c>
    </row>
    <row r="2329" spans="1:5" ht="30">
      <c r="A2329" s="254">
        <v>3283</v>
      </c>
      <c r="B2329" s="254" t="s">
        <v>22217</v>
      </c>
      <c r="C2329" s="254" t="s">
        <v>4523</v>
      </c>
      <c r="D2329" s="255" t="s">
        <v>16884</v>
      </c>
      <c r="E2329" s="253" t="s">
        <v>170</v>
      </c>
    </row>
    <row r="2330" spans="1:5" ht="30">
      <c r="A2330" s="254">
        <v>11587</v>
      </c>
      <c r="B2330" s="254" t="s">
        <v>22218</v>
      </c>
      <c r="C2330" s="254" t="s">
        <v>4523</v>
      </c>
      <c r="D2330" s="255" t="s">
        <v>22219</v>
      </c>
      <c r="E2330" s="253" t="s">
        <v>170</v>
      </c>
    </row>
    <row r="2331" spans="1:5" ht="30">
      <c r="A2331" s="254">
        <v>36225</v>
      </c>
      <c r="B2331" s="254" t="s">
        <v>22220</v>
      </c>
      <c r="C2331" s="254" t="s">
        <v>4523</v>
      </c>
      <c r="D2331" s="256" t="s">
        <v>22221</v>
      </c>
      <c r="E2331" s="253" t="s">
        <v>170</v>
      </c>
    </row>
    <row r="2332" spans="1:5" ht="30">
      <c r="A2332" s="254">
        <v>36230</v>
      </c>
      <c r="B2332" s="254" t="s">
        <v>22222</v>
      </c>
      <c r="C2332" s="254" t="s">
        <v>4523</v>
      </c>
      <c r="D2332" s="256" t="s">
        <v>21027</v>
      </c>
      <c r="E2332" s="253" t="s">
        <v>170</v>
      </c>
    </row>
    <row r="2333" spans="1:5" ht="30">
      <c r="A2333" s="254">
        <v>36238</v>
      </c>
      <c r="B2333" s="254" t="s">
        <v>22223</v>
      </c>
      <c r="C2333" s="254" t="s">
        <v>4523</v>
      </c>
      <c r="D2333" s="256" t="s">
        <v>22224</v>
      </c>
      <c r="E2333" s="253" t="s">
        <v>170</v>
      </c>
    </row>
    <row r="2334" spans="1:5" ht="15">
      <c r="A2334" s="254">
        <v>11887</v>
      </c>
      <c r="B2334" s="254" t="s">
        <v>22225</v>
      </c>
      <c r="C2334" s="254" t="s">
        <v>4521</v>
      </c>
      <c r="D2334" s="256" t="s">
        <v>22226</v>
      </c>
      <c r="E2334" s="253" t="s">
        <v>170</v>
      </c>
    </row>
    <row r="2335" spans="1:5" ht="15">
      <c r="A2335" s="254">
        <v>11883</v>
      </c>
      <c r="B2335" s="254" t="s">
        <v>22227</v>
      </c>
      <c r="C2335" s="254" t="s">
        <v>4521</v>
      </c>
      <c r="D2335" s="256" t="s">
        <v>22228</v>
      </c>
      <c r="E2335" s="253" t="s">
        <v>170</v>
      </c>
    </row>
    <row r="2336" spans="1:5" ht="15">
      <c r="A2336" s="254">
        <v>11884</v>
      </c>
      <c r="B2336" s="254" t="s">
        <v>22229</v>
      </c>
      <c r="C2336" s="254" t="s">
        <v>4521</v>
      </c>
      <c r="D2336" s="256" t="s">
        <v>22230</v>
      </c>
      <c r="E2336" s="253" t="s">
        <v>170</v>
      </c>
    </row>
    <row r="2337" spans="1:5" ht="15">
      <c r="A2337" s="254">
        <v>11885</v>
      </c>
      <c r="B2337" s="254" t="s">
        <v>22231</v>
      </c>
      <c r="C2337" s="254" t="s">
        <v>4521</v>
      </c>
      <c r="D2337" s="256" t="s">
        <v>22232</v>
      </c>
      <c r="E2337" s="253" t="s">
        <v>170</v>
      </c>
    </row>
    <row r="2338" spans="1:5" ht="15">
      <c r="A2338" s="254">
        <v>11886</v>
      </c>
      <c r="B2338" s="254" t="s">
        <v>22233</v>
      </c>
      <c r="C2338" s="254" t="s">
        <v>4521</v>
      </c>
      <c r="D2338" s="256" t="s">
        <v>22234</v>
      </c>
      <c r="E2338" s="253" t="s">
        <v>170</v>
      </c>
    </row>
    <row r="2339" spans="1:5" ht="15">
      <c r="A2339" s="254">
        <v>11888</v>
      </c>
      <c r="B2339" s="254" t="s">
        <v>22235</v>
      </c>
      <c r="C2339" s="254" t="s">
        <v>4521</v>
      </c>
      <c r="D2339" s="256" t="s">
        <v>22236</v>
      </c>
      <c r="E2339" s="253" t="s">
        <v>170</v>
      </c>
    </row>
    <row r="2340" spans="1:5" ht="15">
      <c r="A2340" s="254">
        <v>3277</v>
      </c>
      <c r="B2340" s="254" t="s">
        <v>22237</v>
      </c>
      <c r="C2340" s="254" t="s">
        <v>4521</v>
      </c>
      <c r="D2340" s="256" t="s">
        <v>22238</v>
      </c>
      <c r="E2340" s="253" t="s">
        <v>170</v>
      </c>
    </row>
    <row r="2341" spans="1:5" ht="15">
      <c r="A2341" s="254">
        <v>3281</v>
      </c>
      <c r="B2341" s="254" t="s">
        <v>22239</v>
      </c>
      <c r="C2341" s="254" t="s">
        <v>4521</v>
      </c>
      <c r="D2341" s="256" t="s">
        <v>22240</v>
      </c>
      <c r="E2341" s="253" t="s">
        <v>170</v>
      </c>
    </row>
    <row r="2342" spans="1:5" ht="45">
      <c r="A2342" s="254">
        <v>39363</v>
      </c>
      <c r="B2342" s="254" t="s">
        <v>22241</v>
      </c>
      <c r="C2342" s="254" t="s">
        <v>4521</v>
      </c>
      <c r="D2342" s="256" t="s">
        <v>22242</v>
      </c>
      <c r="E2342" s="253" t="s">
        <v>170</v>
      </c>
    </row>
    <row r="2343" spans="1:5" ht="45">
      <c r="A2343" s="254">
        <v>39361</v>
      </c>
      <c r="B2343" s="254" t="s">
        <v>22243</v>
      </c>
      <c r="C2343" s="254" t="s">
        <v>4521</v>
      </c>
      <c r="D2343" s="255" t="s">
        <v>22244</v>
      </c>
      <c r="E2343" s="253" t="s">
        <v>170</v>
      </c>
    </row>
    <row r="2344" spans="1:5" ht="45">
      <c r="A2344" s="254">
        <v>39362</v>
      </c>
      <c r="B2344" s="254" t="s">
        <v>22245</v>
      </c>
      <c r="C2344" s="254" t="s">
        <v>4521</v>
      </c>
      <c r="D2344" s="255" t="s">
        <v>22246</v>
      </c>
      <c r="E2344" s="253" t="s">
        <v>170</v>
      </c>
    </row>
    <row r="2345" spans="1:5" ht="45">
      <c r="A2345" s="254">
        <v>39364</v>
      </c>
      <c r="B2345" s="254" t="s">
        <v>22247</v>
      </c>
      <c r="C2345" s="254" t="s">
        <v>4521</v>
      </c>
      <c r="D2345" s="255" t="s">
        <v>22248</v>
      </c>
      <c r="E2345" s="253" t="s">
        <v>170</v>
      </c>
    </row>
    <row r="2346" spans="1:5" ht="30">
      <c r="A2346" s="254">
        <v>14576</v>
      </c>
      <c r="B2346" s="254" t="s">
        <v>22249</v>
      </c>
      <c r="C2346" s="254" t="s">
        <v>4521</v>
      </c>
      <c r="D2346" s="255" t="s">
        <v>22250</v>
      </c>
      <c r="E2346" s="253" t="s">
        <v>6305</v>
      </c>
    </row>
    <row r="2347" spans="1:5" ht="30">
      <c r="A2347" s="254">
        <v>13877</v>
      </c>
      <c r="B2347" s="254" t="s">
        <v>22251</v>
      </c>
      <c r="C2347" s="254" t="s">
        <v>4521</v>
      </c>
      <c r="D2347" s="255" t="s">
        <v>22252</v>
      </c>
      <c r="E2347" s="253" t="s">
        <v>6305</v>
      </c>
    </row>
    <row r="2348" spans="1:5" ht="15">
      <c r="A2348" s="254">
        <v>7307</v>
      </c>
      <c r="B2348" s="254" t="s">
        <v>22253</v>
      </c>
      <c r="C2348" s="254" t="s">
        <v>4526</v>
      </c>
      <c r="D2348" s="255" t="s">
        <v>22254</v>
      </c>
      <c r="E2348" s="253" t="s">
        <v>170</v>
      </c>
    </row>
    <row r="2349" spans="1:5" ht="15">
      <c r="A2349" s="254">
        <v>38122</v>
      </c>
      <c r="B2349" s="254" t="s">
        <v>22255</v>
      </c>
      <c r="C2349" s="254" t="s">
        <v>4526</v>
      </c>
      <c r="D2349" s="255" t="s">
        <v>22256</v>
      </c>
      <c r="E2349" s="253" t="s">
        <v>170</v>
      </c>
    </row>
    <row r="2350" spans="1:5" ht="15">
      <c r="A2350" s="254">
        <v>6086</v>
      </c>
      <c r="B2350" s="254" t="s">
        <v>22257</v>
      </c>
      <c r="C2350" s="254" t="s">
        <v>4539</v>
      </c>
      <c r="D2350" s="255" t="s">
        <v>22258</v>
      </c>
      <c r="E2350" s="253" t="s">
        <v>170</v>
      </c>
    </row>
    <row r="2351" spans="1:5" ht="30">
      <c r="A2351" s="254">
        <v>38633</v>
      </c>
      <c r="B2351" s="254" t="s">
        <v>22259</v>
      </c>
      <c r="C2351" s="254" t="s">
        <v>4521</v>
      </c>
      <c r="D2351" s="255" t="s">
        <v>22260</v>
      </c>
      <c r="E2351" s="253" t="s">
        <v>170</v>
      </c>
    </row>
    <row r="2352" spans="1:5" ht="30">
      <c r="A2352" s="254">
        <v>12344</v>
      </c>
      <c r="B2352" s="254" t="s">
        <v>22261</v>
      </c>
      <c r="C2352" s="254" t="s">
        <v>4521</v>
      </c>
      <c r="D2352" s="255" t="s">
        <v>15614</v>
      </c>
      <c r="E2352" s="253" t="s">
        <v>170</v>
      </c>
    </row>
    <row r="2353" spans="1:5" ht="30">
      <c r="A2353" s="254">
        <v>12343</v>
      </c>
      <c r="B2353" s="254" t="s">
        <v>22262</v>
      </c>
      <c r="C2353" s="254" t="s">
        <v>4521</v>
      </c>
      <c r="D2353" s="255" t="s">
        <v>14311</v>
      </c>
      <c r="E2353" s="253" t="s">
        <v>170</v>
      </c>
    </row>
    <row r="2354" spans="1:5" ht="30">
      <c r="A2354" s="254">
        <v>3295</v>
      </c>
      <c r="B2354" s="254" t="s">
        <v>22263</v>
      </c>
      <c r="C2354" s="254" t="s">
        <v>4521</v>
      </c>
      <c r="D2354" s="255" t="s">
        <v>22264</v>
      </c>
      <c r="E2354" s="253" t="s">
        <v>170</v>
      </c>
    </row>
    <row r="2355" spans="1:5" ht="30">
      <c r="A2355" s="254">
        <v>3302</v>
      </c>
      <c r="B2355" s="254" t="s">
        <v>22265</v>
      </c>
      <c r="C2355" s="254" t="s">
        <v>4521</v>
      </c>
      <c r="D2355" s="255" t="s">
        <v>22266</v>
      </c>
      <c r="E2355" s="253" t="s">
        <v>170</v>
      </c>
    </row>
    <row r="2356" spans="1:5" ht="30">
      <c r="A2356" s="254">
        <v>3297</v>
      </c>
      <c r="B2356" s="254" t="s">
        <v>22267</v>
      </c>
      <c r="C2356" s="254" t="s">
        <v>4521</v>
      </c>
      <c r="D2356" s="255" t="s">
        <v>16487</v>
      </c>
      <c r="E2356" s="253" t="s">
        <v>170</v>
      </c>
    </row>
    <row r="2357" spans="1:5" ht="30">
      <c r="A2357" s="254">
        <v>3294</v>
      </c>
      <c r="B2357" s="254" t="s">
        <v>22268</v>
      </c>
      <c r="C2357" s="254" t="s">
        <v>4521</v>
      </c>
      <c r="D2357" s="255" t="s">
        <v>22269</v>
      </c>
      <c r="E2357" s="253" t="s">
        <v>170</v>
      </c>
    </row>
    <row r="2358" spans="1:5" ht="30">
      <c r="A2358" s="254">
        <v>3292</v>
      </c>
      <c r="B2358" s="254" t="s">
        <v>22270</v>
      </c>
      <c r="C2358" s="254" t="s">
        <v>4521</v>
      </c>
      <c r="D2358" s="255" t="s">
        <v>22271</v>
      </c>
      <c r="E2358" s="253" t="s">
        <v>170</v>
      </c>
    </row>
    <row r="2359" spans="1:5" ht="30">
      <c r="A2359" s="254">
        <v>3298</v>
      </c>
      <c r="B2359" s="254" t="s">
        <v>22272</v>
      </c>
      <c r="C2359" s="254" t="s">
        <v>4521</v>
      </c>
      <c r="D2359" s="255" t="s">
        <v>22273</v>
      </c>
      <c r="E2359" s="253" t="s">
        <v>170</v>
      </c>
    </row>
    <row r="2360" spans="1:5" ht="30">
      <c r="A2360" s="254">
        <v>11596</v>
      </c>
      <c r="B2360" s="254" t="s">
        <v>22274</v>
      </c>
      <c r="C2360" s="254" t="s">
        <v>4521</v>
      </c>
      <c r="D2360" s="255" t="s">
        <v>22275</v>
      </c>
      <c r="E2360" s="253" t="s">
        <v>170</v>
      </c>
    </row>
    <row r="2361" spans="1:5" ht="30">
      <c r="A2361" s="254">
        <v>34802</v>
      </c>
      <c r="B2361" s="254" t="s">
        <v>22276</v>
      </c>
      <c r="C2361" s="254" t="s">
        <v>4521</v>
      </c>
      <c r="D2361" s="255" t="s">
        <v>22277</v>
      </c>
      <c r="E2361" s="253" t="s">
        <v>170</v>
      </c>
    </row>
    <row r="2362" spans="1:5" ht="30">
      <c r="A2362" s="254">
        <v>11588</v>
      </c>
      <c r="B2362" s="254" t="s">
        <v>22278</v>
      </c>
      <c r="C2362" s="254" t="s">
        <v>4521</v>
      </c>
      <c r="D2362" s="256" t="s">
        <v>22279</v>
      </c>
      <c r="E2362" s="253" t="s">
        <v>170</v>
      </c>
    </row>
    <row r="2363" spans="1:5" ht="30">
      <c r="A2363" s="254">
        <v>34383</v>
      </c>
      <c r="B2363" s="254" t="s">
        <v>22280</v>
      </c>
      <c r="C2363" s="254" t="s">
        <v>4521</v>
      </c>
      <c r="D2363" s="256" t="s">
        <v>22281</v>
      </c>
      <c r="E2363" s="253" t="s">
        <v>170</v>
      </c>
    </row>
    <row r="2364" spans="1:5" ht="30">
      <c r="A2364" s="254">
        <v>40451</v>
      </c>
      <c r="B2364" s="254" t="s">
        <v>22282</v>
      </c>
      <c r="C2364" s="254" t="s">
        <v>4523</v>
      </c>
      <c r="D2364" s="256" t="s">
        <v>22283</v>
      </c>
      <c r="E2364" s="253" t="s">
        <v>170</v>
      </c>
    </row>
    <row r="2365" spans="1:5" ht="30">
      <c r="A2365" s="254">
        <v>40453</v>
      </c>
      <c r="B2365" s="254" t="s">
        <v>22284</v>
      </c>
      <c r="C2365" s="254" t="s">
        <v>4523</v>
      </c>
      <c r="D2365" s="256" t="s">
        <v>22285</v>
      </c>
      <c r="E2365" s="253" t="s">
        <v>170</v>
      </c>
    </row>
    <row r="2366" spans="1:5" ht="30">
      <c r="A2366" s="254">
        <v>40452</v>
      </c>
      <c r="B2366" s="254" t="s">
        <v>22286</v>
      </c>
      <c r="C2366" s="254" t="s">
        <v>4523</v>
      </c>
      <c r="D2366" s="256" t="s">
        <v>22287</v>
      </c>
      <c r="E2366" s="253" t="s">
        <v>170</v>
      </c>
    </row>
    <row r="2367" spans="1:5" ht="30">
      <c r="A2367" s="254">
        <v>11594</v>
      </c>
      <c r="B2367" s="254" t="s">
        <v>22288</v>
      </c>
      <c r="C2367" s="254" t="s">
        <v>4521</v>
      </c>
      <c r="D2367" s="256" t="s">
        <v>22289</v>
      </c>
      <c r="E2367" s="253" t="s">
        <v>170</v>
      </c>
    </row>
    <row r="2368" spans="1:5" ht="30">
      <c r="A2368" s="254">
        <v>3311</v>
      </c>
      <c r="B2368" s="254" t="s">
        <v>22290</v>
      </c>
      <c r="C2368" s="254" t="s">
        <v>4522</v>
      </c>
      <c r="D2368" s="255" t="s">
        <v>22289</v>
      </c>
      <c r="E2368" s="253" t="s">
        <v>170</v>
      </c>
    </row>
    <row r="2369" spans="1:5" ht="30">
      <c r="A2369" s="254">
        <v>11599</v>
      </c>
      <c r="B2369" s="254" t="s">
        <v>22291</v>
      </c>
      <c r="C2369" s="254" t="s">
        <v>4521</v>
      </c>
      <c r="D2369" s="255" t="s">
        <v>22292</v>
      </c>
      <c r="E2369" s="253" t="s">
        <v>170</v>
      </c>
    </row>
    <row r="2370" spans="1:5" ht="30">
      <c r="A2370" s="254">
        <v>11593</v>
      </c>
      <c r="B2370" s="254" t="s">
        <v>22293</v>
      </c>
      <c r="C2370" s="254" t="s">
        <v>4521</v>
      </c>
      <c r="D2370" s="255" t="s">
        <v>22294</v>
      </c>
      <c r="E2370" s="253" t="s">
        <v>170</v>
      </c>
    </row>
    <row r="2371" spans="1:5" ht="30">
      <c r="A2371" s="254">
        <v>3314</v>
      </c>
      <c r="B2371" s="254" t="s">
        <v>22295</v>
      </c>
      <c r="C2371" s="254" t="s">
        <v>4522</v>
      </c>
      <c r="D2371" s="255" t="s">
        <v>22296</v>
      </c>
      <c r="E2371" s="253" t="s">
        <v>170</v>
      </c>
    </row>
    <row r="2372" spans="1:5" ht="30">
      <c r="A2372" s="254">
        <v>11597</v>
      </c>
      <c r="B2372" s="254" t="s">
        <v>22297</v>
      </c>
      <c r="C2372" s="254" t="s">
        <v>4521</v>
      </c>
      <c r="D2372" s="255" t="s">
        <v>22298</v>
      </c>
      <c r="E2372" s="253" t="s">
        <v>170</v>
      </c>
    </row>
    <row r="2373" spans="1:5" ht="15">
      <c r="A2373" s="254">
        <v>3309</v>
      </c>
      <c r="B2373" s="254" t="s">
        <v>22299</v>
      </c>
      <c r="C2373" s="254" t="s">
        <v>4522</v>
      </c>
      <c r="D2373" s="255" t="s">
        <v>22275</v>
      </c>
      <c r="E2373" s="253" t="s">
        <v>170</v>
      </c>
    </row>
    <row r="2374" spans="1:5" ht="45">
      <c r="A2374" s="254">
        <v>34612</v>
      </c>
      <c r="B2374" s="254" t="s">
        <v>22300</v>
      </c>
      <c r="C2374" s="254" t="s">
        <v>4521</v>
      </c>
      <c r="D2374" s="255" t="s">
        <v>22301</v>
      </c>
      <c r="E2374" s="253" t="s">
        <v>170</v>
      </c>
    </row>
    <row r="2375" spans="1:5" ht="45">
      <c r="A2375" s="254">
        <v>34635</v>
      </c>
      <c r="B2375" s="254" t="s">
        <v>22302</v>
      </c>
      <c r="C2375" s="254" t="s">
        <v>4521</v>
      </c>
      <c r="D2375" s="256" t="s">
        <v>22303</v>
      </c>
      <c r="E2375" s="253" t="s">
        <v>170</v>
      </c>
    </row>
    <row r="2376" spans="1:5" ht="45">
      <c r="A2376" s="254">
        <v>34633</v>
      </c>
      <c r="B2376" s="254" t="s">
        <v>22304</v>
      </c>
      <c r="C2376" s="254" t="s">
        <v>4521</v>
      </c>
      <c r="D2376" s="256" t="s">
        <v>22305</v>
      </c>
      <c r="E2376" s="253" t="s">
        <v>170</v>
      </c>
    </row>
    <row r="2377" spans="1:5" ht="45">
      <c r="A2377" s="254">
        <v>40440</v>
      </c>
      <c r="B2377" s="254" t="s">
        <v>22306</v>
      </c>
      <c r="C2377" s="254" t="s">
        <v>4522</v>
      </c>
      <c r="D2377" s="255" t="s">
        <v>22307</v>
      </c>
      <c r="E2377" s="253" t="s">
        <v>170</v>
      </c>
    </row>
    <row r="2378" spans="1:5" ht="45">
      <c r="A2378" s="254">
        <v>40441</v>
      </c>
      <c r="B2378" s="254" t="s">
        <v>22308</v>
      </c>
      <c r="C2378" s="254" t="s">
        <v>4522</v>
      </c>
      <c r="D2378" s="255" t="s">
        <v>22309</v>
      </c>
      <c r="E2378" s="253" t="s">
        <v>170</v>
      </c>
    </row>
    <row r="2379" spans="1:5" ht="45">
      <c r="A2379" s="254">
        <v>40449</v>
      </c>
      <c r="B2379" s="254" t="s">
        <v>22310</v>
      </c>
      <c r="C2379" s="254" t="s">
        <v>4522</v>
      </c>
      <c r="D2379" s="255" t="s">
        <v>22311</v>
      </c>
      <c r="E2379" s="253" t="s">
        <v>170</v>
      </c>
    </row>
    <row r="2380" spans="1:5" ht="30">
      <c r="A2380" s="254">
        <v>34800</v>
      </c>
      <c r="B2380" s="254" t="s">
        <v>22312</v>
      </c>
      <c r="C2380" s="254" t="s">
        <v>4522</v>
      </c>
      <c r="D2380" s="255" t="s">
        <v>22313</v>
      </c>
      <c r="E2380" s="253" t="s">
        <v>170</v>
      </c>
    </row>
    <row r="2381" spans="1:5" ht="30">
      <c r="A2381" s="254">
        <v>11592</v>
      </c>
      <c r="B2381" s="254" t="s">
        <v>22314</v>
      </c>
      <c r="C2381" s="254" t="s">
        <v>4521</v>
      </c>
      <c r="D2381" s="255" t="s">
        <v>22296</v>
      </c>
      <c r="E2381" s="253" t="s">
        <v>170</v>
      </c>
    </row>
    <row r="2382" spans="1:5" ht="30">
      <c r="A2382" s="254">
        <v>40438</v>
      </c>
      <c r="B2382" s="254" t="s">
        <v>22315</v>
      </c>
      <c r="C2382" s="254" t="s">
        <v>4522</v>
      </c>
      <c r="D2382" s="255" t="s">
        <v>22316</v>
      </c>
      <c r="E2382" s="253" t="s">
        <v>170</v>
      </c>
    </row>
    <row r="2383" spans="1:5" ht="30">
      <c r="A2383" s="254">
        <v>40436</v>
      </c>
      <c r="B2383" s="254" t="s">
        <v>22317</v>
      </c>
      <c r="C2383" s="254" t="s">
        <v>4522</v>
      </c>
      <c r="D2383" s="255" t="s">
        <v>22318</v>
      </c>
      <c r="E2383" s="253" t="s">
        <v>170</v>
      </c>
    </row>
    <row r="2384" spans="1:5" ht="30">
      <c r="A2384" s="254">
        <v>4315</v>
      </c>
      <c r="B2384" s="254" t="s">
        <v>22319</v>
      </c>
      <c r="C2384" s="254" t="s">
        <v>4521</v>
      </c>
      <c r="D2384" s="255" t="s">
        <v>13853</v>
      </c>
      <c r="E2384" s="253" t="s">
        <v>170</v>
      </c>
    </row>
    <row r="2385" spans="1:5" ht="30">
      <c r="A2385" s="254">
        <v>42482</v>
      </c>
      <c r="B2385" s="254" t="s">
        <v>22320</v>
      </c>
      <c r="C2385" s="254" t="s">
        <v>4521</v>
      </c>
      <c r="D2385" s="255" t="s">
        <v>16223</v>
      </c>
      <c r="E2385" s="253" t="s">
        <v>170</v>
      </c>
    </row>
    <row r="2386" spans="1:5" ht="15">
      <c r="A2386" s="254">
        <v>402</v>
      </c>
      <c r="B2386" s="254" t="s">
        <v>22321</v>
      </c>
      <c r="C2386" s="254" t="s">
        <v>4521</v>
      </c>
      <c r="D2386" s="255" t="s">
        <v>14375</v>
      </c>
      <c r="E2386" s="253" t="s">
        <v>170</v>
      </c>
    </row>
    <row r="2387" spans="1:5" ht="15">
      <c r="A2387" s="254">
        <v>4226</v>
      </c>
      <c r="B2387" s="254" t="s">
        <v>22322</v>
      </c>
      <c r="C2387" s="254" t="s">
        <v>4525</v>
      </c>
      <c r="D2387" s="255" t="s">
        <v>15435</v>
      </c>
      <c r="E2387" s="253" t="s">
        <v>170</v>
      </c>
    </row>
    <row r="2388" spans="1:5" ht="15">
      <c r="A2388" s="254">
        <v>4222</v>
      </c>
      <c r="B2388" s="254" t="s">
        <v>22323</v>
      </c>
      <c r="C2388" s="254" t="s">
        <v>4526</v>
      </c>
      <c r="D2388" s="255" t="s">
        <v>22324</v>
      </c>
      <c r="E2388" s="253" t="s">
        <v>170</v>
      </c>
    </row>
    <row r="2389" spans="1:5" ht="45">
      <c r="A2389" s="254">
        <v>34804</v>
      </c>
      <c r="B2389" s="254" t="s">
        <v>22325</v>
      </c>
      <c r="C2389" s="254" t="s">
        <v>4523</v>
      </c>
      <c r="D2389" s="255" t="s">
        <v>22326</v>
      </c>
      <c r="E2389" s="253" t="s">
        <v>170</v>
      </c>
    </row>
    <row r="2390" spans="1:5" ht="30">
      <c r="A2390" s="254">
        <v>4013</v>
      </c>
      <c r="B2390" s="254" t="s">
        <v>22327</v>
      </c>
      <c r="C2390" s="254" t="s">
        <v>4523</v>
      </c>
      <c r="D2390" s="255" t="s">
        <v>16632</v>
      </c>
      <c r="E2390" s="253" t="s">
        <v>170</v>
      </c>
    </row>
    <row r="2391" spans="1:5" ht="30">
      <c r="A2391" s="254">
        <v>4011</v>
      </c>
      <c r="B2391" s="254" t="s">
        <v>22328</v>
      </c>
      <c r="C2391" s="254" t="s">
        <v>4523</v>
      </c>
      <c r="D2391" s="255" t="s">
        <v>15433</v>
      </c>
      <c r="E2391" s="253" t="s">
        <v>170</v>
      </c>
    </row>
    <row r="2392" spans="1:5" ht="30">
      <c r="A2392" s="254">
        <v>4021</v>
      </c>
      <c r="B2392" s="254" t="s">
        <v>22329</v>
      </c>
      <c r="C2392" s="254" t="s">
        <v>4523</v>
      </c>
      <c r="D2392" s="255" t="s">
        <v>16478</v>
      </c>
      <c r="E2392" s="253" t="s">
        <v>170</v>
      </c>
    </row>
    <row r="2393" spans="1:5" ht="30">
      <c r="A2393" s="254">
        <v>4019</v>
      </c>
      <c r="B2393" s="254" t="s">
        <v>22330</v>
      </c>
      <c r="C2393" s="254" t="s">
        <v>4523</v>
      </c>
      <c r="D2393" s="255" t="s">
        <v>15437</v>
      </c>
      <c r="E2393" s="253" t="s">
        <v>170</v>
      </c>
    </row>
    <row r="2394" spans="1:5" ht="30">
      <c r="A2394" s="254">
        <v>4012</v>
      </c>
      <c r="B2394" s="254" t="s">
        <v>22331</v>
      </c>
      <c r="C2394" s="254" t="s">
        <v>4523</v>
      </c>
      <c r="D2394" s="255" t="s">
        <v>22332</v>
      </c>
      <c r="E2394" s="253" t="s">
        <v>170</v>
      </c>
    </row>
    <row r="2395" spans="1:5" ht="30">
      <c r="A2395" s="254">
        <v>4020</v>
      </c>
      <c r="B2395" s="254" t="s">
        <v>22333</v>
      </c>
      <c r="C2395" s="254" t="s">
        <v>4523</v>
      </c>
      <c r="D2395" s="255" t="s">
        <v>16023</v>
      </c>
      <c r="E2395" s="253" t="s">
        <v>170</v>
      </c>
    </row>
    <row r="2396" spans="1:5" ht="30">
      <c r="A2396" s="254">
        <v>4018</v>
      </c>
      <c r="B2396" s="254" t="s">
        <v>22334</v>
      </c>
      <c r="C2396" s="254" t="s">
        <v>4523</v>
      </c>
      <c r="D2396" s="255" t="s">
        <v>22335</v>
      </c>
      <c r="E2396" s="253" t="s">
        <v>170</v>
      </c>
    </row>
    <row r="2397" spans="1:5" ht="30">
      <c r="A2397" s="254">
        <v>36498</v>
      </c>
      <c r="B2397" s="254" t="s">
        <v>22336</v>
      </c>
      <c r="C2397" s="254" t="s">
        <v>4521</v>
      </c>
      <c r="D2397" s="255" t="s">
        <v>22337</v>
      </c>
      <c r="E2397" s="253" t="s">
        <v>170</v>
      </c>
    </row>
    <row r="2398" spans="1:5" ht="15">
      <c r="A2398" s="254">
        <v>12872</v>
      </c>
      <c r="B2398" s="254" t="s">
        <v>22338</v>
      </c>
      <c r="C2398" s="254" t="s">
        <v>4520</v>
      </c>
      <c r="D2398" s="255" t="s">
        <v>19250</v>
      </c>
      <c r="E2398" s="253" t="s">
        <v>8722</v>
      </c>
    </row>
    <row r="2399" spans="1:5" ht="15">
      <c r="A2399" s="254">
        <v>41075</v>
      </c>
      <c r="B2399" s="254" t="s">
        <v>22339</v>
      </c>
      <c r="C2399" s="254" t="s">
        <v>4528</v>
      </c>
      <c r="D2399" s="255" t="s">
        <v>19252</v>
      </c>
      <c r="E2399" s="253" t="s">
        <v>8722</v>
      </c>
    </row>
    <row r="2400" spans="1:5" ht="15">
      <c r="A2400" s="254">
        <v>3315</v>
      </c>
      <c r="B2400" s="254" t="s">
        <v>22340</v>
      </c>
      <c r="C2400" s="254" t="s">
        <v>4525</v>
      </c>
      <c r="D2400" s="255" t="s">
        <v>14349</v>
      </c>
      <c r="E2400" s="253" t="s">
        <v>170</v>
      </c>
    </row>
    <row r="2401" spans="1:5" ht="15">
      <c r="A2401" s="254">
        <v>36870</v>
      </c>
      <c r="B2401" s="254" t="s">
        <v>22341</v>
      </c>
      <c r="C2401" s="254" t="s">
        <v>4525</v>
      </c>
      <c r="D2401" s="255" t="s">
        <v>14349</v>
      </c>
      <c r="E2401" s="253" t="s">
        <v>170</v>
      </c>
    </row>
    <row r="2402" spans="1:5" ht="30">
      <c r="A2402" s="254">
        <v>5092</v>
      </c>
      <c r="B2402" s="254" t="s">
        <v>22342</v>
      </c>
      <c r="C2402" s="254" t="s">
        <v>4529</v>
      </c>
      <c r="D2402" s="255" t="s">
        <v>22343</v>
      </c>
      <c r="E2402" s="253" t="s">
        <v>170</v>
      </c>
    </row>
    <row r="2403" spans="1:5" ht="30">
      <c r="A2403" s="254">
        <v>11462</v>
      </c>
      <c r="B2403" s="254" t="s">
        <v>22344</v>
      </c>
      <c r="C2403" s="254" t="s">
        <v>4529</v>
      </c>
      <c r="D2403" s="255" t="s">
        <v>14484</v>
      </c>
      <c r="E2403" s="253" t="s">
        <v>170</v>
      </c>
    </row>
    <row r="2404" spans="1:5" ht="30">
      <c r="A2404" s="254">
        <v>36529</v>
      </c>
      <c r="B2404" s="254" t="s">
        <v>22345</v>
      </c>
      <c r="C2404" s="254" t="s">
        <v>4521</v>
      </c>
      <c r="D2404" s="255" t="s">
        <v>22346</v>
      </c>
      <c r="E2404" s="253" t="s">
        <v>170</v>
      </c>
    </row>
    <row r="2405" spans="1:5" ht="30">
      <c r="A2405" s="254">
        <v>3318</v>
      </c>
      <c r="B2405" s="254" t="s">
        <v>22347</v>
      </c>
      <c r="C2405" s="254" t="s">
        <v>4521</v>
      </c>
      <c r="D2405" s="255" t="s">
        <v>22348</v>
      </c>
      <c r="E2405" s="253" t="s">
        <v>170</v>
      </c>
    </row>
    <row r="2406" spans="1:5" ht="45">
      <c r="A2406" s="254">
        <v>38968</v>
      </c>
      <c r="B2406" s="254" t="s">
        <v>22349</v>
      </c>
      <c r="C2406" s="254" t="s">
        <v>4523</v>
      </c>
      <c r="D2406" s="255" t="s">
        <v>22350</v>
      </c>
      <c r="E2406" s="253" t="s">
        <v>170</v>
      </c>
    </row>
    <row r="2407" spans="1:5" ht="15">
      <c r="A2407" s="254">
        <v>3324</v>
      </c>
      <c r="B2407" s="254" t="s">
        <v>22351</v>
      </c>
      <c r="C2407" s="254" t="s">
        <v>4523</v>
      </c>
      <c r="D2407" s="255" t="s">
        <v>13985</v>
      </c>
      <c r="E2407" s="253" t="s">
        <v>170</v>
      </c>
    </row>
    <row r="2408" spans="1:5" ht="15">
      <c r="A2408" s="254">
        <v>3322</v>
      </c>
      <c r="B2408" s="254" t="s">
        <v>22352</v>
      </c>
      <c r="C2408" s="254" t="s">
        <v>4523</v>
      </c>
      <c r="D2408" s="255" t="s">
        <v>14628</v>
      </c>
      <c r="E2408" s="253" t="s">
        <v>170</v>
      </c>
    </row>
    <row r="2409" spans="1:5" ht="90">
      <c r="A2409" s="254">
        <v>43390</v>
      </c>
      <c r="B2409" s="254" t="s">
        <v>22353</v>
      </c>
      <c r="C2409" s="254" t="s">
        <v>4523</v>
      </c>
      <c r="D2409" s="255" t="s">
        <v>22354</v>
      </c>
      <c r="E2409" s="253" t="s">
        <v>170</v>
      </c>
    </row>
    <row r="2410" spans="1:5" ht="15">
      <c r="A2410" s="254">
        <v>5076</v>
      </c>
      <c r="B2410" s="254" t="s">
        <v>22355</v>
      </c>
      <c r="C2410" s="254" t="s">
        <v>4525</v>
      </c>
      <c r="D2410" s="255" t="s">
        <v>22356</v>
      </c>
      <c r="E2410" s="253" t="s">
        <v>170</v>
      </c>
    </row>
    <row r="2411" spans="1:5" ht="15">
      <c r="A2411" s="254">
        <v>5077</v>
      </c>
      <c r="B2411" s="254" t="s">
        <v>22357</v>
      </c>
      <c r="C2411" s="254" t="s">
        <v>4525</v>
      </c>
      <c r="D2411" s="255" t="s">
        <v>19512</v>
      </c>
      <c r="E2411" s="253" t="s">
        <v>170</v>
      </c>
    </row>
    <row r="2412" spans="1:5" ht="30">
      <c r="A2412" s="254">
        <v>11837</v>
      </c>
      <c r="B2412" s="254" t="s">
        <v>22358</v>
      </c>
      <c r="C2412" s="254" t="s">
        <v>4521</v>
      </c>
      <c r="D2412" s="255" t="s">
        <v>18267</v>
      </c>
      <c r="E2412" s="253" t="s">
        <v>170</v>
      </c>
    </row>
    <row r="2413" spans="1:5" ht="30">
      <c r="A2413" s="254">
        <v>38055</v>
      </c>
      <c r="B2413" s="254" t="s">
        <v>22359</v>
      </c>
      <c r="C2413" s="254" t="s">
        <v>4521</v>
      </c>
      <c r="D2413" s="255" t="s">
        <v>16201</v>
      </c>
      <c r="E2413" s="253" t="s">
        <v>170</v>
      </c>
    </row>
    <row r="2414" spans="1:5" ht="30">
      <c r="A2414" s="254">
        <v>415</v>
      </c>
      <c r="B2414" s="254" t="s">
        <v>22360</v>
      </c>
      <c r="C2414" s="254" t="s">
        <v>4521</v>
      </c>
      <c r="D2414" s="255" t="s">
        <v>22361</v>
      </c>
      <c r="E2414" s="253" t="s">
        <v>170</v>
      </c>
    </row>
    <row r="2415" spans="1:5" ht="30">
      <c r="A2415" s="254">
        <v>416</v>
      </c>
      <c r="B2415" s="254" t="s">
        <v>22362</v>
      </c>
      <c r="C2415" s="254" t="s">
        <v>4521</v>
      </c>
      <c r="D2415" s="255" t="s">
        <v>21233</v>
      </c>
      <c r="E2415" s="253" t="s">
        <v>170</v>
      </c>
    </row>
    <row r="2416" spans="1:5" ht="30">
      <c r="A2416" s="254">
        <v>425</v>
      </c>
      <c r="B2416" s="254" t="s">
        <v>22363</v>
      </c>
      <c r="C2416" s="254" t="s">
        <v>4521</v>
      </c>
      <c r="D2416" s="255" t="s">
        <v>14193</v>
      </c>
      <c r="E2416" s="253" t="s">
        <v>170</v>
      </c>
    </row>
    <row r="2417" spans="1:5" ht="30">
      <c r="A2417" s="254">
        <v>426</v>
      </c>
      <c r="B2417" s="254" t="s">
        <v>22364</v>
      </c>
      <c r="C2417" s="254" t="s">
        <v>4521</v>
      </c>
      <c r="D2417" s="255" t="s">
        <v>14734</v>
      </c>
      <c r="E2417" s="253" t="s">
        <v>170</v>
      </c>
    </row>
    <row r="2418" spans="1:5" ht="30">
      <c r="A2418" s="254">
        <v>38056</v>
      </c>
      <c r="B2418" s="254" t="s">
        <v>22365</v>
      </c>
      <c r="C2418" s="254" t="s">
        <v>4521</v>
      </c>
      <c r="D2418" s="255" t="s">
        <v>14061</v>
      </c>
      <c r="E2418" s="253" t="s">
        <v>170</v>
      </c>
    </row>
    <row r="2419" spans="1:5" ht="15">
      <c r="A2419" s="254">
        <v>1564</v>
      </c>
      <c r="B2419" s="254" t="s">
        <v>22366</v>
      </c>
      <c r="C2419" s="254" t="s">
        <v>4521</v>
      </c>
      <c r="D2419" s="255" t="s">
        <v>15441</v>
      </c>
      <c r="E2419" s="253" t="s">
        <v>170</v>
      </c>
    </row>
    <row r="2420" spans="1:5" ht="15">
      <c r="A2420" s="254">
        <v>11032</v>
      </c>
      <c r="B2420" s="254" t="s">
        <v>22367</v>
      </c>
      <c r="C2420" s="254" t="s">
        <v>4521</v>
      </c>
      <c r="D2420" s="255" t="s">
        <v>15220</v>
      </c>
      <c r="E2420" s="253" t="s">
        <v>170</v>
      </c>
    </row>
    <row r="2421" spans="1:5" ht="30">
      <c r="A2421" s="254">
        <v>36786</v>
      </c>
      <c r="B2421" s="254" t="s">
        <v>22368</v>
      </c>
      <c r="C2421" s="254" t="s">
        <v>4540</v>
      </c>
      <c r="D2421" s="255" t="s">
        <v>22369</v>
      </c>
      <c r="E2421" s="253" t="s">
        <v>170</v>
      </c>
    </row>
    <row r="2422" spans="1:5" ht="30">
      <c r="A2422" s="254">
        <v>36785</v>
      </c>
      <c r="B2422" s="254" t="s">
        <v>22370</v>
      </c>
      <c r="C2422" s="254" t="s">
        <v>4540</v>
      </c>
      <c r="D2422" s="255" t="s">
        <v>22371</v>
      </c>
      <c r="E2422" s="253" t="s">
        <v>170</v>
      </c>
    </row>
    <row r="2423" spans="1:5" ht="30">
      <c r="A2423" s="254">
        <v>36782</v>
      </c>
      <c r="B2423" s="254" t="s">
        <v>22372</v>
      </c>
      <c r="C2423" s="254" t="s">
        <v>4540</v>
      </c>
      <c r="D2423" s="255" t="s">
        <v>22373</v>
      </c>
      <c r="E2423" s="253" t="s">
        <v>170</v>
      </c>
    </row>
    <row r="2424" spans="1:5" ht="30">
      <c r="A2424" s="254">
        <v>25930</v>
      </c>
      <c r="B2424" s="254" t="s">
        <v>22374</v>
      </c>
      <c r="C2424" s="254" t="s">
        <v>4540</v>
      </c>
      <c r="D2424" s="255" t="s">
        <v>22375</v>
      </c>
      <c r="E2424" s="253" t="s">
        <v>170</v>
      </c>
    </row>
    <row r="2425" spans="1:5" ht="30">
      <c r="A2425" s="254">
        <v>4824</v>
      </c>
      <c r="B2425" s="254" t="s">
        <v>22376</v>
      </c>
      <c r="C2425" s="254" t="s">
        <v>4525</v>
      </c>
      <c r="D2425" s="255" t="s">
        <v>14454</v>
      </c>
      <c r="E2425" s="253" t="s">
        <v>170</v>
      </c>
    </row>
    <row r="2426" spans="1:5" ht="30">
      <c r="A2426" s="254">
        <v>11795</v>
      </c>
      <c r="B2426" s="254" t="s">
        <v>22377</v>
      </c>
      <c r="C2426" s="254" t="s">
        <v>4523</v>
      </c>
      <c r="D2426" s="255" t="s">
        <v>22378</v>
      </c>
      <c r="E2426" s="253" t="s">
        <v>170</v>
      </c>
    </row>
    <row r="2427" spans="1:5" ht="15">
      <c r="A2427" s="254">
        <v>134</v>
      </c>
      <c r="B2427" s="254" t="s">
        <v>22379</v>
      </c>
      <c r="C2427" s="254" t="s">
        <v>4525</v>
      </c>
      <c r="D2427" s="256" t="s">
        <v>14093</v>
      </c>
      <c r="E2427" s="253" t="s">
        <v>170</v>
      </c>
    </row>
    <row r="2428" spans="1:5" ht="15">
      <c r="A2428" s="254">
        <v>4229</v>
      </c>
      <c r="B2428" s="254" t="s">
        <v>22380</v>
      </c>
      <c r="C2428" s="254" t="s">
        <v>4525</v>
      </c>
      <c r="D2428" s="255" t="s">
        <v>22381</v>
      </c>
      <c r="E2428" s="253" t="s">
        <v>170</v>
      </c>
    </row>
    <row r="2429" spans="1:5" ht="15">
      <c r="A2429" s="254">
        <v>11244</v>
      </c>
      <c r="B2429" s="254" t="s">
        <v>22382</v>
      </c>
      <c r="C2429" s="254" t="s">
        <v>4521</v>
      </c>
      <c r="D2429" s="256" t="s">
        <v>22383</v>
      </c>
      <c r="E2429" s="253" t="s">
        <v>170</v>
      </c>
    </row>
    <row r="2430" spans="1:5" ht="30">
      <c r="A2430" s="254">
        <v>11245</v>
      </c>
      <c r="B2430" s="254" t="s">
        <v>22384</v>
      </c>
      <c r="C2430" s="254" t="s">
        <v>4521</v>
      </c>
      <c r="D2430" s="256" t="s">
        <v>22385</v>
      </c>
      <c r="E2430" s="253" t="s">
        <v>170</v>
      </c>
    </row>
    <row r="2431" spans="1:5" ht="30">
      <c r="A2431" s="254">
        <v>11235</v>
      </c>
      <c r="B2431" s="254" t="s">
        <v>22386</v>
      </c>
      <c r="C2431" s="254" t="s">
        <v>4521</v>
      </c>
      <c r="D2431" s="255" t="s">
        <v>22387</v>
      </c>
      <c r="E2431" s="253" t="s">
        <v>170</v>
      </c>
    </row>
    <row r="2432" spans="1:5" ht="30">
      <c r="A2432" s="254">
        <v>11236</v>
      </c>
      <c r="B2432" s="254" t="s">
        <v>22388</v>
      </c>
      <c r="C2432" s="254" t="s">
        <v>4521</v>
      </c>
      <c r="D2432" s="255" t="s">
        <v>22389</v>
      </c>
      <c r="E2432" s="253" t="s">
        <v>170</v>
      </c>
    </row>
    <row r="2433" spans="1:5" ht="15">
      <c r="A2433" s="254">
        <v>11731</v>
      </c>
      <c r="B2433" s="254" t="s">
        <v>22390</v>
      </c>
      <c r="C2433" s="254" t="s">
        <v>4521</v>
      </c>
      <c r="D2433" s="255" t="s">
        <v>15795</v>
      </c>
      <c r="E2433" s="253" t="s">
        <v>170</v>
      </c>
    </row>
    <row r="2434" spans="1:5" ht="15">
      <c r="A2434" s="254">
        <v>11732</v>
      </c>
      <c r="B2434" s="254" t="s">
        <v>22391</v>
      </c>
      <c r="C2434" s="254" t="s">
        <v>4521</v>
      </c>
      <c r="D2434" s="255" t="s">
        <v>22392</v>
      </c>
      <c r="E2434" s="253" t="s">
        <v>170</v>
      </c>
    </row>
    <row r="2435" spans="1:5" ht="15">
      <c r="A2435" s="254">
        <v>36494</v>
      </c>
      <c r="B2435" s="254" t="s">
        <v>22393</v>
      </c>
      <c r="C2435" s="254" t="s">
        <v>4521</v>
      </c>
      <c r="D2435" s="255" t="s">
        <v>22394</v>
      </c>
      <c r="E2435" s="253" t="s">
        <v>6305</v>
      </c>
    </row>
    <row r="2436" spans="1:5" ht="15">
      <c r="A2436" s="254">
        <v>36493</v>
      </c>
      <c r="B2436" s="254" t="s">
        <v>22395</v>
      </c>
      <c r="C2436" s="254" t="s">
        <v>4521</v>
      </c>
      <c r="D2436" s="255" t="s">
        <v>22396</v>
      </c>
      <c r="E2436" s="253" t="s">
        <v>6305</v>
      </c>
    </row>
    <row r="2437" spans="1:5" ht="30">
      <c r="A2437" s="254">
        <v>36492</v>
      </c>
      <c r="B2437" s="254" t="s">
        <v>22397</v>
      </c>
      <c r="C2437" s="254" t="s">
        <v>4521</v>
      </c>
      <c r="D2437" s="255" t="s">
        <v>22398</v>
      </c>
      <c r="E2437" s="253" t="s">
        <v>6305</v>
      </c>
    </row>
    <row r="2438" spans="1:5" ht="30">
      <c r="A2438" s="254">
        <v>13333</v>
      </c>
      <c r="B2438" s="254" t="s">
        <v>22399</v>
      </c>
      <c r="C2438" s="254" t="s">
        <v>4521</v>
      </c>
      <c r="D2438" s="255" t="s">
        <v>22400</v>
      </c>
      <c r="E2438" s="253" t="s">
        <v>6305</v>
      </c>
    </row>
    <row r="2439" spans="1:5" ht="30">
      <c r="A2439" s="254">
        <v>13533</v>
      </c>
      <c r="B2439" s="254" t="s">
        <v>22401</v>
      </c>
      <c r="C2439" s="254" t="s">
        <v>4521</v>
      </c>
      <c r="D2439" s="255" t="s">
        <v>22402</v>
      </c>
      <c r="E2439" s="253" t="s">
        <v>6305</v>
      </c>
    </row>
    <row r="2440" spans="1:5" ht="30">
      <c r="A2440" s="254">
        <v>36499</v>
      </c>
      <c r="B2440" s="254" t="s">
        <v>22403</v>
      </c>
      <c r="C2440" s="254" t="s">
        <v>4521</v>
      </c>
      <c r="D2440" s="255" t="s">
        <v>22404</v>
      </c>
      <c r="E2440" s="253" t="s">
        <v>6305</v>
      </c>
    </row>
    <row r="2441" spans="1:5" ht="30">
      <c r="A2441" s="254">
        <v>39585</v>
      </c>
      <c r="B2441" s="254" t="s">
        <v>22405</v>
      </c>
      <c r="C2441" s="254" t="s">
        <v>4521</v>
      </c>
      <c r="D2441" s="255" t="s">
        <v>22406</v>
      </c>
      <c r="E2441" s="253" t="s">
        <v>6305</v>
      </c>
    </row>
    <row r="2442" spans="1:5" ht="30">
      <c r="A2442" s="254">
        <v>39586</v>
      </c>
      <c r="B2442" s="254" t="s">
        <v>22407</v>
      </c>
      <c r="C2442" s="254" t="s">
        <v>4521</v>
      </c>
      <c r="D2442" s="255" t="s">
        <v>22408</v>
      </c>
      <c r="E2442" s="253" t="s">
        <v>6305</v>
      </c>
    </row>
    <row r="2443" spans="1:5" ht="30">
      <c r="A2443" s="254">
        <v>39587</v>
      </c>
      <c r="B2443" s="254" t="s">
        <v>22409</v>
      </c>
      <c r="C2443" s="254" t="s">
        <v>4521</v>
      </c>
      <c r="D2443" s="256" t="s">
        <v>22410</v>
      </c>
      <c r="E2443" s="253" t="s">
        <v>6305</v>
      </c>
    </row>
    <row r="2444" spans="1:5" ht="30">
      <c r="A2444" s="254">
        <v>39588</v>
      </c>
      <c r="B2444" s="254" t="s">
        <v>22411</v>
      </c>
      <c r="C2444" s="254" t="s">
        <v>4521</v>
      </c>
      <c r="D2444" s="255" t="s">
        <v>22412</v>
      </c>
      <c r="E2444" s="253" t="s">
        <v>6305</v>
      </c>
    </row>
    <row r="2445" spans="1:5" ht="30">
      <c r="A2445" s="254">
        <v>39584</v>
      </c>
      <c r="B2445" s="254" t="s">
        <v>22413</v>
      </c>
      <c r="C2445" s="254" t="s">
        <v>4521</v>
      </c>
      <c r="D2445" s="255" t="s">
        <v>22414</v>
      </c>
      <c r="E2445" s="253" t="s">
        <v>6305</v>
      </c>
    </row>
    <row r="2446" spans="1:5" ht="30">
      <c r="A2446" s="254">
        <v>39590</v>
      </c>
      <c r="B2446" s="254" t="s">
        <v>22415</v>
      </c>
      <c r="C2446" s="254" t="s">
        <v>4521</v>
      </c>
      <c r="D2446" s="255" t="s">
        <v>22416</v>
      </c>
      <c r="E2446" s="253" t="s">
        <v>6305</v>
      </c>
    </row>
    <row r="2447" spans="1:5" ht="30">
      <c r="A2447" s="254">
        <v>39592</v>
      </c>
      <c r="B2447" s="254" t="s">
        <v>22417</v>
      </c>
      <c r="C2447" s="254" t="s">
        <v>4521</v>
      </c>
      <c r="D2447" s="255" t="s">
        <v>22418</v>
      </c>
      <c r="E2447" s="253" t="s">
        <v>6305</v>
      </c>
    </row>
    <row r="2448" spans="1:5" ht="30">
      <c r="A2448" s="254">
        <v>39593</v>
      </c>
      <c r="B2448" s="254" t="s">
        <v>22419</v>
      </c>
      <c r="C2448" s="254" t="s">
        <v>4521</v>
      </c>
      <c r="D2448" s="255" t="s">
        <v>22410</v>
      </c>
      <c r="E2448" s="253" t="s">
        <v>6305</v>
      </c>
    </row>
    <row r="2449" spans="1:5" ht="30">
      <c r="A2449" s="254">
        <v>14254</v>
      </c>
      <c r="B2449" s="254" t="s">
        <v>22420</v>
      </c>
      <c r="C2449" s="254" t="s">
        <v>4521</v>
      </c>
      <c r="D2449" s="255" t="s">
        <v>22421</v>
      </c>
      <c r="E2449" s="253" t="s">
        <v>6305</v>
      </c>
    </row>
    <row r="2450" spans="1:5" ht="15">
      <c r="A2450" s="254">
        <v>25987</v>
      </c>
      <c r="B2450" s="254" t="s">
        <v>22422</v>
      </c>
      <c r="C2450" s="254" t="s">
        <v>4521</v>
      </c>
      <c r="D2450" s="255" t="s">
        <v>22423</v>
      </c>
      <c r="E2450" s="253" t="s">
        <v>6305</v>
      </c>
    </row>
    <row r="2451" spans="1:5" ht="15">
      <c r="A2451" s="254">
        <v>25019</v>
      </c>
      <c r="B2451" s="254" t="s">
        <v>22424</v>
      </c>
      <c r="C2451" s="254" t="s">
        <v>4521</v>
      </c>
      <c r="D2451" s="255" t="s">
        <v>22425</v>
      </c>
      <c r="E2451" s="253" t="s">
        <v>6305</v>
      </c>
    </row>
    <row r="2452" spans="1:5" ht="15">
      <c r="A2452" s="254">
        <v>36501</v>
      </c>
      <c r="B2452" s="254" t="s">
        <v>22426</v>
      </c>
      <c r="C2452" s="254" t="s">
        <v>4521</v>
      </c>
      <c r="D2452" s="255" t="s">
        <v>22427</v>
      </c>
      <c r="E2452" s="253" t="s">
        <v>6305</v>
      </c>
    </row>
    <row r="2453" spans="1:5" ht="15">
      <c r="A2453" s="254">
        <v>25986</v>
      </c>
      <c r="B2453" s="254" t="s">
        <v>22428</v>
      </c>
      <c r="C2453" s="254" t="s">
        <v>4521</v>
      </c>
      <c r="D2453" s="255" t="s">
        <v>22429</v>
      </c>
      <c r="E2453" s="253" t="s">
        <v>6305</v>
      </c>
    </row>
    <row r="2454" spans="1:5" ht="15">
      <c r="A2454" s="254">
        <v>36500</v>
      </c>
      <c r="B2454" s="254" t="s">
        <v>22430</v>
      </c>
      <c r="C2454" s="254" t="s">
        <v>4521</v>
      </c>
      <c r="D2454" s="255" t="s">
        <v>22431</v>
      </c>
      <c r="E2454" s="253" t="s">
        <v>6305</v>
      </c>
    </row>
    <row r="2455" spans="1:5" ht="45">
      <c r="A2455" s="254">
        <v>20017</v>
      </c>
      <c r="B2455" s="254" t="s">
        <v>22432</v>
      </c>
      <c r="C2455" s="254" t="s">
        <v>4524</v>
      </c>
      <c r="D2455" s="255" t="s">
        <v>15813</v>
      </c>
      <c r="E2455" s="253" t="s">
        <v>170</v>
      </c>
    </row>
    <row r="2456" spans="1:5" ht="30">
      <c r="A2456" s="254">
        <v>20007</v>
      </c>
      <c r="B2456" s="254" t="s">
        <v>22433</v>
      </c>
      <c r="C2456" s="254" t="s">
        <v>4524</v>
      </c>
      <c r="D2456" s="255" t="s">
        <v>16469</v>
      </c>
      <c r="E2456" s="253" t="s">
        <v>170</v>
      </c>
    </row>
    <row r="2457" spans="1:5" ht="30">
      <c r="A2457" s="254">
        <v>39836</v>
      </c>
      <c r="B2457" s="254" t="s">
        <v>22434</v>
      </c>
      <c r="C2457" s="254" t="s">
        <v>4531</v>
      </c>
      <c r="D2457" s="255" t="s">
        <v>22435</v>
      </c>
      <c r="E2457" s="253" t="s">
        <v>170</v>
      </c>
    </row>
    <row r="2458" spans="1:5" ht="15">
      <c r="A2458" s="254">
        <v>39830</v>
      </c>
      <c r="B2458" s="254" t="s">
        <v>22436</v>
      </c>
      <c r="C2458" s="254" t="s">
        <v>4531</v>
      </c>
      <c r="D2458" s="255" t="s">
        <v>22437</v>
      </c>
      <c r="E2458" s="253" t="s">
        <v>170</v>
      </c>
    </row>
    <row r="2459" spans="1:5" ht="15">
      <c r="A2459" s="254">
        <v>39831</v>
      </c>
      <c r="B2459" s="254" t="s">
        <v>22438</v>
      </c>
      <c r="C2459" s="254" t="s">
        <v>4531</v>
      </c>
      <c r="D2459" s="255" t="s">
        <v>22439</v>
      </c>
      <c r="E2459" s="253" t="s">
        <v>170</v>
      </c>
    </row>
    <row r="2460" spans="1:5" ht="30">
      <c r="A2460" s="254">
        <v>36888</v>
      </c>
      <c r="B2460" s="254" t="s">
        <v>22440</v>
      </c>
      <c r="C2460" s="254" t="s">
        <v>4524</v>
      </c>
      <c r="D2460" s="255" t="s">
        <v>22441</v>
      </c>
      <c r="E2460" s="253" t="s">
        <v>170</v>
      </c>
    </row>
    <row r="2461" spans="1:5" ht="30">
      <c r="A2461" s="254">
        <v>40527</v>
      </c>
      <c r="B2461" s="254" t="s">
        <v>22442</v>
      </c>
      <c r="C2461" s="254" t="s">
        <v>4521</v>
      </c>
      <c r="D2461" s="255" t="s">
        <v>22443</v>
      </c>
      <c r="E2461" s="253" t="s">
        <v>6305</v>
      </c>
    </row>
    <row r="2462" spans="1:5" ht="30">
      <c r="A2462" s="254">
        <v>36497</v>
      </c>
      <c r="B2462" s="254" t="s">
        <v>22444</v>
      </c>
      <c r="C2462" s="254" t="s">
        <v>4521</v>
      </c>
      <c r="D2462" s="255" t="s">
        <v>22445</v>
      </c>
      <c r="E2462" s="253" t="s">
        <v>6305</v>
      </c>
    </row>
    <row r="2463" spans="1:5" ht="30">
      <c r="A2463" s="254">
        <v>36487</v>
      </c>
      <c r="B2463" s="254" t="s">
        <v>22446</v>
      </c>
      <c r="C2463" s="254" t="s">
        <v>4521</v>
      </c>
      <c r="D2463" s="255" t="s">
        <v>22447</v>
      </c>
      <c r="E2463" s="253" t="s">
        <v>6305</v>
      </c>
    </row>
    <row r="2464" spans="1:5" ht="30">
      <c r="A2464" s="254">
        <v>25952</v>
      </c>
      <c r="B2464" s="254" t="s">
        <v>22448</v>
      </c>
      <c r="C2464" s="254" t="s">
        <v>4521</v>
      </c>
      <c r="D2464" s="255" t="s">
        <v>22449</v>
      </c>
      <c r="E2464" s="253" t="s">
        <v>6305</v>
      </c>
    </row>
    <row r="2465" spans="1:5" ht="30">
      <c r="A2465" s="254">
        <v>25954</v>
      </c>
      <c r="B2465" s="254" t="s">
        <v>22450</v>
      </c>
      <c r="C2465" s="254" t="s">
        <v>4521</v>
      </c>
      <c r="D2465" s="255" t="s">
        <v>22451</v>
      </c>
      <c r="E2465" s="253" t="s">
        <v>6305</v>
      </c>
    </row>
    <row r="2466" spans="1:5" ht="30">
      <c r="A2466" s="254">
        <v>25953</v>
      </c>
      <c r="B2466" s="254" t="s">
        <v>22452</v>
      </c>
      <c r="C2466" s="254" t="s">
        <v>4521</v>
      </c>
      <c r="D2466" s="255" t="s">
        <v>22453</v>
      </c>
      <c r="E2466" s="253" t="s">
        <v>6305</v>
      </c>
    </row>
    <row r="2467" spans="1:5" ht="60">
      <c r="A2467" s="254">
        <v>37776</v>
      </c>
      <c r="B2467" s="254" t="s">
        <v>22454</v>
      </c>
      <c r="C2467" s="254" t="s">
        <v>4521</v>
      </c>
      <c r="D2467" s="255" t="s">
        <v>22455</v>
      </c>
      <c r="E2467" s="253" t="s">
        <v>6305</v>
      </c>
    </row>
    <row r="2468" spans="1:5" ht="60">
      <c r="A2468" s="254">
        <v>37775</v>
      </c>
      <c r="B2468" s="254" t="s">
        <v>22456</v>
      </c>
      <c r="C2468" s="254" t="s">
        <v>4521</v>
      </c>
      <c r="D2468" s="255" t="s">
        <v>22457</v>
      </c>
      <c r="E2468" s="253" t="s">
        <v>6305</v>
      </c>
    </row>
    <row r="2469" spans="1:5" ht="60">
      <c r="A2469" s="254">
        <v>36491</v>
      </c>
      <c r="B2469" s="254" t="s">
        <v>22458</v>
      </c>
      <c r="C2469" s="254" t="s">
        <v>4521</v>
      </c>
      <c r="D2469" s="255" t="s">
        <v>22459</v>
      </c>
      <c r="E2469" s="253" t="s">
        <v>6305</v>
      </c>
    </row>
    <row r="2470" spans="1:5" ht="60">
      <c r="A2470" s="254">
        <v>10712</v>
      </c>
      <c r="B2470" s="254" t="s">
        <v>22460</v>
      </c>
      <c r="C2470" s="254" t="s">
        <v>4521</v>
      </c>
      <c r="D2470" s="255" t="s">
        <v>22461</v>
      </c>
      <c r="E2470" s="253" t="s">
        <v>6305</v>
      </c>
    </row>
    <row r="2471" spans="1:5" ht="60">
      <c r="A2471" s="254">
        <v>3363</v>
      </c>
      <c r="B2471" s="254" t="s">
        <v>22462</v>
      </c>
      <c r="C2471" s="254" t="s">
        <v>4521</v>
      </c>
      <c r="D2471" s="255" t="s">
        <v>22463</v>
      </c>
      <c r="E2471" s="253" t="s">
        <v>6305</v>
      </c>
    </row>
    <row r="2472" spans="1:5" ht="60">
      <c r="A2472" s="254">
        <v>3365</v>
      </c>
      <c r="B2472" s="254" t="s">
        <v>22464</v>
      </c>
      <c r="C2472" s="254" t="s">
        <v>4521</v>
      </c>
      <c r="D2472" s="255" t="s">
        <v>22465</v>
      </c>
      <c r="E2472" s="253" t="s">
        <v>6305</v>
      </c>
    </row>
    <row r="2473" spans="1:5" ht="15">
      <c r="A2473" s="254">
        <v>7569</v>
      </c>
      <c r="B2473" s="254" t="s">
        <v>22466</v>
      </c>
      <c r="C2473" s="254" t="s">
        <v>4521</v>
      </c>
      <c r="D2473" s="255" t="s">
        <v>16819</v>
      </c>
      <c r="E2473" s="253" t="s">
        <v>170</v>
      </c>
    </row>
    <row r="2474" spans="1:5" ht="15">
      <c r="A2474" s="254">
        <v>34349</v>
      </c>
      <c r="B2474" s="254" t="s">
        <v>22467</v>
      </c>
      <c r="C2474" s="254" t="s">
        <v>4521</v>
      </c>
      <c r="D2474" s="255" t="s">
        <v>22468</v>
      </c>
      <c r="E2474" s="253" t="s">
        <v>170</v>
      </c>
    </row>
    <row r="2475" spans="1:5" ht="30">
      <c r="A2475" s="254">
        <v>11991</v>
      </c>
      <c r="B2475" s="254" t="s">
        <v>22469</v>
      </c>
      <c r="C2475" s="254" t="s">
        <v>4521</v>
      </c>
      <c r="D2475" s="255" t="s">
        <v>22470</v>
      </c>
      <c r="E2475" s="253" t="s">
        <v>170</v>
      </c>
    </row>
    <row r="2476" spans="1:5" ht="15">
      <c r="A2476" s="254">
        <v>20062</v>
      </c>
      <c r="B2476" s="254" t="s">
        <v>22471</v>
      </c>
      <c r="C2476" s="254" t="s">
        <v>4521</v>
      </c>
      <c r="D2476" s="255" t="s">
        <v>13876</v>
      </c>
      <c r="E2476" s="253" t="s">
        <v>170</v>
      </c>
    </row>
    <row r="2477" spans="1:5" ht="30">
      <c r="A2477" s="254">
        <v>11029</v>
      </c>
      <c r="B2477" s="254" t="s">
        <v>22472</v>
      </c>
      <c r="C2477" s="254" t="s">
        <v>4535</v>
      </c>
      <c r="D2477" s="255" t="s">
        <v>14335</v>
      </c>
      <c r="E2477" s="253" t="s">
        <v>170</v>
      </c>
    </row>
    <row r="2478" spans="1:5" ht="30">
      <c r="A2478" s="254">
        <v>4316</v>
      </c>
      <c r="B2478" s="254" t="s">
        <v>22473</v>
      </c>
      <c r="C2478" s="254" t="s">
        <v>4521</v>
      </c>
      <c r="D2478" s="255" t="s">
        <v>14000</v>
      </c>
      <c r="E2478" s="253" t="s">
        <v>170</v>
      </c>
    </row>
    <row r="2479" spans="1:5" ht="30">
      <c r="A2479" s="254">
        <v>4313</v>
      </c>
      <c r="B2479" s="254" t="s">
        <v>22474</v>
      </c>
      <c r="C2479" s="254" t="s">
        <v>4535</v>
      </c>
      <c r="D2479" s="255" t="s">
        <v>18507</v>
      </c>
      <c r="E2479" s="253" t="s">
        <v>170</v>
      </c>
    </row>
    <row r="2480" spans="1:5" ht="30">
      <c r="A2480" s="254">
        <v>4317</v>
      </c>
      <c r="B2480" s="254" t="s">
        <v>22475</v>
      </c>
      <c r="C2480" s="254" t="s">
        <v>4521</v>
      </c>
      <c r="D2480" s="255" t="s">
        <v>14354</v>
      </c>
      <c r="E2480" s="253" t="s">
        <v>170</v>
      </c>
    </row>
    <row r="2481" spans="1:5" ht="30">
      <c r="A2481" s="254">
        <v>4314</v>
      </c>
      <c r="B2481" s="254" t="s">
        <v>22476</v>
      </c>
      <c r="C2481" s="254" t="s">
        <v>4535</v>
      </c>
      <c r="D2481" s="255" t="s">
        <v>21946</v>
      </c>
      <c r="E2481" s="253" t="s">
        <v>170</v>
      </c>
    </row>
    <row r="2482" spans="1:5" ht="15">
      <c r="A2482" s="254">
        <v>10561</v>
      </c>
      <c r="B2482" s="254" t="s">
        <v>22477</v>
      </c>
      <c r="C2482" s="254" t="s">
        <v>4525</v>
      </c>
      <c r="D2482" s="255" t="s">
        <v>18442</v>
      </c>
      <c r="E2482" s="253" t="s">
        <v>170</v>
      </c>
    </row>
    <row r="2483" spans="1:5" ht="45">
      <c r="A2483" s="254">
        <v>10921</v>
      </c>
      <c r="B2483" s="254" t="s">
        <v>22478</v>
      </c>
      <c r="C2483" s="254" t="s">
        <v>4521</v>
      </c>
      <c r="D2483" s="255" t="s">
        <v>22479</v>
      </c>
      <c r="E2483" s="253" t="s">
        <v>170</v>
      </c>
    </row>
    <row r="2484" spans="1:5" ht="45">
      <c r="A2484" s="254">
        <v>10922</v>
      </c>
      <c r="B2484" s="254" t="s">
        <v>22480</v>
      </c>
      <c r="C2484" s="254" t="s">
        <v>4521</v>
      </c>
      <c r="D2484" s="255" t="s">
        <v>22481</v>
      </c>
      <c r="E2484" s="253" t="s">
        <v>170</v>
      </c>
    </row>
    <row r="2485" spans="1:5" ht="30">
      <c r="A2485" s="254">
        <v>10923</v>
      </c>
      <c r="B2485" s="254" t="s">
        <v>22482</v>
      </c>
      <c r="C2485" s="254" t="s">
        <v>4521</v>
      </c>
      <c r="D2485" s="255" t="s">
        <v>22483</v>
      </c>
      <c r="E2485" s="253" t="s">
        <v>170</v>
      </c>
    </row>
    <row r="2486" spans="1:5" ht="30">
      <c r="A2486" s="254">
        <v>10924</v>
      </c>
      <c r="B2486" s="254" t="s">
        <v>22484</v>
      </c>
      <c r="C2486" s="254" t="s">
        <v>4521</v>
      </c>
      <c r="D2486" s="255" t="s">
        <v>22485</v>
      </c>
      <c r="E2486" s="253" t="s">
        <v>170</v>
      </c>
    </row>
    <row r="2487" spans="1:5" ht="45">
      <c r="A2487" s="254">
        <v>37772</v>
      </c>
      <c r="B2487" s="254" t="s">
        <v>22486</v>
      </c>
      <c r="C2487" s="254" t="s">
        <v>4521</v>
      </c>
      <c r="D2487" s="255" t="s">
        <v>22487</v>
      </c>
      <c r="E2487" s="253" t="s">
        <v>6305</v>
      </c>
    </row>
    <row r="2488" spans="1:5" ht="45">
      <c r="A2488" s="254">
        <v>37771</v>
      </c>
      <c r="B2488" s="254" t="s">
        <v>22488</v>
      </c>
      <c r="C2488" s="254" t="s">
        <v>4521</v>
      </c>
      <c r="D2488" s="255" t="s">
        <v>22489</v>
      </c>
      <c r="E2488" s="253" t="s">
        <v>6305</v>
      </c>
    </row>
    <row r="2489" spans="1:5" ht="15">
      <c r="A2489" s="254">
        <v>12770</v>
      </c>
      <c r="B2489" s="254" t="s">
        <v>22490</v>
      </c>
      <c r="C2489" s="254" t="s">
        <v>4521</v>
      </c>
      <c r="D2489" s="255" t="s">
        <v>22491</v>
      </c>
      <c r="E2489" s="253" t="s">
        <v>170</v>
      </c>
    </row>
    <row r="2490" spans="1:5" ht="15">
      <c r="A2490" s="254">
        <v>12772</v>
      </c>
      <c r="B2490" s="254" t="s">
        <v>22492</v>
      </c>
      <c r="C2490" s="254" t="s">
        <v>4521</v>
      </c>
      <c r="D2490" s="255" t="s">
        <v>22493</v>
      </c>
      <c r="E2490" s="253" t="s">
        <v>170</v>
      </c>
    </row>
    <row r="2491" spans="1:5" ht="15">
      <c r="A2491" s="254">
        <v>12768</v>
      </c>
      <c r="B2491" s="254" t="s">
        <v>22494</v>
      </c>
      <c r="C2491" s="254" t="s">
        <v>4521</v>
      </c>
      <c r="D2491" s="255" t="s">
        <v>22495</v>
      </c>
      <c r="E2491" s="253" t="s">
        <v>170</v>
      </c>
    </row>
    <row r="2492" spans="1:5" ht="15">
      <c r="A2492" s="254">
        <v>12775</v>
      </c>
      <c r="B2492" s="254" t="s">
        <v>22496</v>
      </c>
      <c r="C2492" s="254" t="s">
        <v>4521</v>
      </c>
      <c r="D2492" s="255" t="s">
        <v>22497</v>
      </c>
      <c r="E2492" s="253" t="s">
        <v>170</v>
      </c>
    </row>
    <row r="2493" spans="1:5" ht="15">
      <c r="A2493" s="254">
        <v>12769</v>
      </c>
      <c r="B2493" s="254" t="s">
        <v>22498</v>
      </c>
      <c r="C2493" s="254" t="s">
        <v>4521</v>
      </c>
      <c r="D2493" s="255" t="s">
        <v>22499</v>
      </c>
      <c r="E2493" s="253" t="s">
        <v>170</v>
      </c>
    </row>
    <row r="2494" spans="1:5" ht="15">
      <c r="A2494" s="254">
        <v>12773</v>
      </c>
      <c r="B2494" s="254" t="s">
        <v>22500</v>
      </c>
      <c r="C2494" s="254" t="s">
        <v>4521</v>
      </c>
      <c r="D2494" s="255" t="s">
        <v>20515</v>
      </c>
      <c r="E2494" s="253" t="s">
        <v>170</v>
      </c>
    </row>
    <row r="2495" spans="1:5" ht="15">
      <c r="A2495" s="254">
        <v>12774</v>
      </c>
      <c r="B2495" s="254" t="s">
        <v>22501</v>
      </c>
      <c r="C2495" s="254" t="s">
        <v>4521</v>
      </c>
      <c r="D2495" s="255" t="s">
        <v>17436</v>
      </c>
      <c r="E2495" s="253" t="s">
        <v>170</v>
      </c>
    </row>
    <row r="2496" spans="1:5" ht="15">
      <c r="A2496" s="254">
        <v>12776</v>
      </c>
      <c r="B2496" s="254" t="s">
        <v>22502</v>
      </c>
      <c r="C2496" s="254" t="s">
        <v>4521</v>
      </c>
      <c r="D2496" s="255" t="s">
        <v>22503</v>
      </c>
      <c r="E2496" s="253" t="s">
        <v>170</v>
      </c>
    </row>
    <row r="2497" spans="1:5" ht="15">
      <c r="A2497" s="254">
        <v>12777</v>
      </c>
      <c r="B2497" s="254" t="s">
        <v>22504</v>
      </c>
      <c r="C2497" s="254" t="s">
        <v>4521</v>
      </c>
      <c r="D2497" s="255" t="s">
        <v>22505</v>
      </c>
      <c r="E2497" s="253" t="s">
        <v>170</v>
      </c>
    </row>
    <row r="2498" spans="1:5" ht="30">
      <c r="A2498" s="254">
        <v>3391</v>
      </c>
      <c r="B2498" s="254" t="s">
        <v>22506</v>
      </c>
      <c r="C2498" s="254" t="s">
        <v>4521</v>
      </c>
      <c r="D2498" s="255" t="s">
        <v>22507</v>
      </c>
      <c r="E2498" s="253" t="s">
        <v>170</v>
      </c>
    </row>
    <row r="2499" spans="1:5" ht="30">
      <c r="A2499" s="254">
        <v>3389</v>
      </c>
      <c r="B2499" s="254" t="s">
        <v>22508</v>
      </c>
      <c r="C2499" s="254" t="s">
        <v>4521</v>
      </c>
      <c r="D2499" s="255" t="s">
        <v>22509</v>
      </c>
      <c r="E2499" s="253" t="s">
        <v>170</v>
      </c>
    </row>
    <row r="2500" spans="1:5" ht="30">
      <c r="A2500" s="254">
        <v>3390</v>
      </c>
      <c r="B2500" s="254" t="s">
        <v>22510</v>
      </c>
      <c r="C2500" s="254" t="s">
        <v>4521</v>
      </c>
      <c r="D2500" s="255" t="s">
        <v>20541</v>
      </c>
      <c r="E2500" s="253" t="s">
        <v>170</v>
      </c>
    </row>
    <row r="2501" spans="1:5" ht="15">
      <c r="A2501" s="254">
        <v>12873</v>
      </c>
      <c r="B2501" s="254" t="s">
        <v>22511</v>
      </c>
      <c r="C2501" s="254" t="s">
        <v>4520</v>
      </c>
      <c r="D2501" s="255" t="s">
        <v>19250</v>
      </c>
      <c r="E2501" s="253" t="s">
        <v>8722</v>
      </c>
    </row>
    <row r="2502" spans="1:5" ht="15">
      <c r="A2502" s="254">
        <v>41076</v>
      </c>
      <c r="B2502" s="254" t="s">
        <v>22512</v>
      </c>
      <c r="C2502" s="254" t="s">
        <v>4528</v>
      </c>
      <c r="D2502" s="255" t="s">
        <v>19252</v>
      </c>
      <c r="E2502" s="253" t="s">
        <v>8722</v>
      </c>
    </row>
    <row r="2503" spans="1:5" ht="15">
      <c r="A2503" s="254">
        <v>140</v>
      </c>
      <c r="B2503" s="254" t="s">
        <v>22513</v>
      </c>
      <c r="C2503" s="254" t="s">
        <v>4525</v>
      </c>
      <c r="D2503" s="255" t="s">
        <v>16423</v>
      </c>
      <c r="E2503" s="253" t="s">
        <v>170</v>
      </c>
    </row>
    <row r="2504" spans="1:5" ht="30">
      <c r="A2504" s="254">
        <v>151</v>
      </c>
      <c r="B2504" s="254" t="s">
        <v>22514</v>
      </c>
      <c r="C2504" s="254" t="s">
        <v>4526</v>
      </c>
      <c r="D2504" s="255" t="s">
        <v>16677</v>
      </c>
      <c r="E2504" s="253" t="s">
        <v>170</v>
      </c>
    </row>
    <row r="2505" spans="1:5" ht="15">
      <c r="A2505" s="254">
        <v>7340</v>
      </c>
      <c r="B2505" s="254" t="s">
        <v>22515</v>
      </c>
      <c r="C2505" s="254" t="s">
        <v>4526</v>
      </c>
      <c r="D2505" s="255" t="s">
        <v>22516</v>
      </c>
      <c r="E2505" s="253" t="s">
        <v>170</v>
      </c>
    </row>
    <row r="2506" spans="1:5" ht="15">
      <c r="A2506" s="254">
        <v>2701</v>
      </c>
      <c r="B2506" s="254" t="s">
        <v>22517</v>
      </c>
      <c r="C2506" s="254" t="s">
        <v>4520</v>
      </c>
      <c r="D2506" s="255" t="s">
        <v>15763</v>
      </c>
      <c r="E2506" s="253" t="s">
        <v>8722</v>
      </c>
    </row>
    <row r="2507" spans="1:5" ht="15">
      <c r="A2507" s="254">
        <v>40929</v>
      </c>
      <c r="B2507" s="254" t="s">
        <v>22518</v>
      </c>
      <c r="C2507" s="254" t="s">
        <v>4528</v>
      </c>
      <c r="D2507" s="255" t="s">
        <v>22519</v>
      </c>
      <c r="E2507" s="253" t="s">
        <v>8722</v>
      </c>
    </row>
    <row r="2508" spans="1:5" ht="15">
      <c r="A2508" s="254">
        <v>38114</v>
      </c>
      <c r="B2508" s="254" t="s">
        <v>22520</v>
      </c>
      <c r="C2508" s="254" t="s">
        <v>4521</v>
      </c>
      <c r="D2508" s="255" t="s">
        <v>16528</v>
      </c>
      <c r="E2508" s="253" t="s">
        <v>170</v>
      </c>
    </row>
    <row r="2509" spans="1:5" ht="30">
      <c r="A2509" s="254">
        <v>38064</v>
      </c>
      <c r="B2509" s="254" t="s">
        <v>22521</v>
      </c>
      <c r="C2509" s="254" t="s">
        <v>4521</v>
      </c>
      <c r="D2509" s="255" t="s">
        <v>16680</v>
      </c>
      <c r="E2509" s="253" t="s">
        <v>170</v>
      </c>
    </row>
    <row r="2510" spans="1:5" ht="15">
      <c r="A2510" s="254">
        <v>38115</v>
      </c>
      <c r="B2510" s="254" t="s">
        <v>22522</v>
      </c>
      <c r="C2510" s="254" t="s">
        <v>4521</v>
      </c>
      <c r="D2510" s="255" t="s">
        <v>18573</v>
      </c>
      <c r="E2510" s="253" t="s">
        <v>170</v>
      </c>
    </row>
    <row r="2511" spans="1:5" ht="30">
      <c r="A2511" s="254">
        <v>38065</v>
      </c>
      <c r="B2511" s="254" t="s">
        <v>22523</v>
      </c>
      <c r="C2511" s="254" t="s">
        <v>4521</v>
      </c>
      <c r="D2511" s="255" t="s">
        <v>15705</v>
      </c>
      <c r="E2511" s="253" t="s">
        <v>170</v>
      </c>
    </row>
    <row r="2512" spans="1:5" ht="30">
      <c r="A2512" s="254">
        <v>38078</v>
      </c>
      <c r="B2512" s="254" t="s">
        <v>22524</v>
      </c>
      <c r="C2512" s="254" t="s">
        <v>4521</v>
      </c>
      <c r="D2512" s="255" t="s">
        <v>21344</v>
      </c>
      <c r="E2512" s="253" t="s">
        <v>170</v>
      </c>
    </row>
    <row r="2513" spans="1:5" ht="15">
      <c r="A2513" s="254">
        <v>38113</v>
      </c>
      <c r="B2513" s="254" t="s">
        <v>22525</v>
      </c>
      <c r="C2513" s="254" t="s">
        <v>4521</v>
      </c>
      <c r="D2513" s="255" t="s">
        <v>15723</v>
      </c>
      <c r="E2513" s="253" t="s">
        <v>170</v>
      </c>
    </row>
    <row r="2514" spans="1:5" ht="30">
      <c r="A2514" s="254">
        <v>38063</v>
      </c>
      <c r="B2514" s="254" t="s">
        <v>22526</v>
      </c>
      <c r="C2514" s="254" t="s">
        <v>4521</v>
      </c>
      <c r="D2514" s="255" t="s">
        <v>18810</v>
      </c>
      <c r="E2514" s="253" t="s">
        <v>170</v>
      </c>
    </row>
    <row r="2515" spans="1:5" ht="30">
      <c r="A2515" s="254">
        <v>38080</v>
      </c>
      <c r="B2515" s="254" t="s">
        <v>22527</v>
      </c>
      <c r="C2515" s="254" t="s">
        <v>4521</v>
      </c>
      <c r="D2515" s="255" t="s">
        <v>16840</v>
      </c>
      <c r="E2515" s="253" t="s">
        <v>170</v>
      </c>
    </row>
    <row r="2516" spans="1:5" ht="30">
      <c r="A2516" s="254">
        <v>38069</v>
      </c>
      <c r="B2516" s="254" t="s">
        <v>22528</v>
      </c>
      <c r="C2516" s="254" t="s">
        <v>4521</v>
      </c>
      <c r="D2516" s="255" t="s">
        <v>14327</v>
      </c>
      <c r="E2516" s="253" t="s">
        <v>170</v>
      </c>
    </row>
    <row r="2517" spans="1:5" ht="30">
      <c r="A2517" s="254">
        <v>38077</v>
      </c>
      <c r="B2517" s="254" t="s">
        <v>22529</v>
      </c>
      <c r="C2517" s="254" t="s">
        <v>4521</v>
      </c>
      <c r="D2517" s="255" t="s">
        <v>16467</v>
      </c>
      <c r="E2517" s="253" t="s">
        <v>170</v>
      </c>
    </row>
    <row r="2518" spans="1:5" ht="30">
      <c r="A2518" s="254">
        <v>38073</v>
      </c>
      <c r="B2518" s="254" t="s">
        <v>22530</v>
      </c>
      <c r="C2518" s="254" t="s">
        <v>4521</v>
      </c>
      <c r="D2518" s="255" t="s">
        <v>18572</v>
      </c>
      <c r="E2518" s="253" t="s">
        <v>170</v>
      </c>
    </row>
    <row r="2519" spans="1:5" ht="15">
      <c r="A2519" s="254">
        <v>38112</v>
      </c>
      <c r="B2519" s="254" t="s">
        <v>22531</v>
      </c>
      <c r="C2519" s="254" t="s">
        <v>4521</v>
      </c>
      <c r="D2519" s="255" t="s">
        <v>18140</v>
      </c>
      <c r="E2519" s="253" t="s">
        <v>170</v>
      </c>
    </row>
    <row r="2520" spans="1:5" ht="30">
      <c r="A2520" s="254">
        <v>38062</v>
      </c>
      <c r="B2520" s="254" t="s">
        <v>22532</v>
      </c>
      <c r="C2520" s="254" t="s">
        <v>4521</v>
      </c>
      <c r="D2520" s="255" t="s">
        <v>16579</v>
      </c>
      <c r="E2520" s="253" t="s">
        <v>170</v>
      </c>
    </row>
    <row r="2521" spans="1:5" ht="30">
      <c r="A2521" s="254">
        <v>12128</v>
      </c>
      <c r="B2521" s="254" t="s">
        <v>22533</v>
      </c>
      <c r="C2521" s="254" t="s">
        <v>4521</v>
      </c>
      <c r="D2521" s="255" t="s">
        <v>15428</v>
      </c>
      <c r="E2521" s="253" t="s">
        <v>170</v>
      </c>
    </row>
    <row r="2522" spans="1:5" ht="30">
      <c r="A2522" s="254">
        <v>12129</v>
      </c>
      <c r="B2522" s="254" t="s">
        <v>22534</v>
      </c>
      <c r="C2522" s="254" t="s">
        <v>4521</v>
      </c>
      <c r="D2522" s="255" t="s">
        <v>18928</v>
      </c>
      <c r="E2522" s="253" t="s">
        <v>170</v>
      </c>
    </row>
    <row r="2523" spans="1:5" ht="30">
      <c r="A2523" s="254">
        <v>38081</v>
      </c>
      <c r="B2523" s="254" t="s">
        <v>22535</v>
      </c>
      <c r="C2523" s="254" t="s">
        <v>4521</v>
      </c>
      <c r="D2523" s="255" t="s">
        <v>17122</v>
      </c>
      <c r="E2523" s="253" t="s">
        <v>170</v>
      </c>
    </row>
    <row r="2524" spans="1:5" ht="30">
      <c r="A2524" s="254">
        <v>38070</v>
      </c>
      <c r="B2524" s="254" t="s">
        <v>22536</v>
      </c>
      <c r="C2524" s="254" t="s">
        <v>4521</v>
      </c>
      <c r="D2524" s="255" t="s">
        <v>17666</v>
      </c>
      <c r="E2524" s="253" t="s">
        <v>170</v>
      </c>
    </row>
    <row r="2525" spans="1:5" ht="30">
      <c r="A2525" s="254">
        <v>38074</v>
      </c>
      <c r="B2525" s="254" t="s">
        <v>22537</v>
      </c>
      <c r="C2525" s="254" t="s">
        <v>4521</v>
      </c>
      <c r="D2525" s="255" t="s">
        <v>22538</v>
      </c>
      <c r="E2525" s="253" t="s">
        <v>170</v>
      </c>
    </row>
    <row r="2526" spans="1:5" ht="30">
      <c r="A2526" s="254">
        <v>38079</v>
      </c>
      <c r="B2526" s="254" t="s">
        <v>22539</v>
      </c>
      <c r="C2526" s="254" t="s">
        <v>4521</v>
      </c>
      <c r="D2526" s="255" t="s">
        <v>22540</v>
      </c>
      <c r="E2526" s="253" t="s">
        <v>170</v>
      </c>
    </row>
    <row r="2527" spans="1:5" ht="30">
      <c r="A2527" s="254">
        <v>38072</v>
      </c>
      <c r="B2527" s="254" t="s">
        <v>22541</v>
      </c>
      <c r="C2527" s="254" t="s">
        <v>4521</v>
      </c>
      <c r="D2527" s="255" t="s">
        <v>16371</v>
      </c>
      <c r="E2527" s="253" t="s">
        <v>170</v>
      </c>
    </row>
    <row r="2528" spans="1:5" ht="30">
      <c r="A2528" s="254">
        <v>38068</v>
      </c>
      <c r="B2528" s="254" t="s">
        <v>22542</v>
      </c>
      <c r="C2528" s="254" t="s">
        <v>4521</v>
      </c>
      <c r="D2528" s="255" t="s">
        <v>20392</v>
      </c>
      <c r="E2528" s="253" t="s">
        <v>170</v>
      </c>
    </row>
    <row r="2529" spans="1:5" ht="30">
      <c r="A2529" s="254">
        <v>38071</v>
      </c>
      <c r="B2529" s="254" t="s">
        <v>22543</v>
      </c>
      <c r="C2529" s="254" t="s">
        <v>4521</v>
      </c>
      <c r="D2529" s="255" t="s">
        <v>22544</v>
      </c>
      <c r="E2529" s="253" t="s">
        <v>170</v>
      </c>
    </row>
    <row r="2530" spans="1:5" ht="45">
      <c r="A2530" s="254">
        <v>38412</v>
      </c>
      <c r="B2530" s="254" t="s">
        <v>22545</v>
      </c>
      <c r="C2530" s="254" t="s">
        <v>4521</v>
      </c>
      <c r="D2530" s="255" t="s">
        <v>22546</v>
      </c>
      <c r="E2530" s="253" t="s">
        <v>170</v>
      </c>
    </row>
    <row r="2531" spans="1:5" ht="30">
      <c r="A2531" s="254">
        <v>3405</v>
      </c>
      <c r="B2531" s="254" t="s">
        <v>22547</v>
      </c>
      <c r="C2531" s="254" t="s">
        <v>4521</v>
      </c>
      <c r="D2531" s="255" t="s">
        <v>15006</v>
      </c>
      <c r="E2531" s="253" t="s">
        <v>170</v>
      </c>
    </row>
    <row r="2532" spans="1:5" ht="15">
      <c r="A2532" s="254">
        <v>3394</v>
      </c>
      <c r="B2532" s="254" t="s">
        <v>22548</v>
      </c>
      <c r="C2532" s="254" t="s">
        <v>4521</v>
      </c>
      <c r="D2532" s="255" t="s">
        <v>22549</v>
      </c>
      <c r="E2532" s="253" t="s">
        <v>170</v>
      </c>
    </row>
    <row r="2533" spans="1:5" ht="15">
      <c r="A2533" s="254">
        <v>3393</v>
      </c>
      <c r="B2533" s="254" t="s">
        <v>22550</v>
      </c>
      <c r="C2533" s="254" t="s">
        <v>4521</v>
      </c>
      <c r="D2533" s="255" t="s">
        <v>22551</v>
      </c>
      <c r="E2533" s="253" t="s">
        <v>170</v>
      </c>
    </row>
    <row r="2534" spans="1:5" ht="15">
      <c r="A2534" s="254">
        <v>3406</v>
      </c>
      <c r="B2534" s="254" t="s">
        <v>22552</v>
      </c>
      <c r="C2534" s="254" t="s">
        <v>4521</v>
      </c>
      <c r="D2534" s="255" t="s">
        <v>13928</v>
      </c>
      <c r="E2534" s="253" t="s">
        <v>170</v>
      </c>
    </row>
    <row r="2535" spans="1:5" ht="15">
      <c r="A2535" s="254">
        <v>3395</v>
      </c>
      <c r="B2535" s="254" t="s">
        <v>22553</v>
      </c>
      <c r="C2535" s="254" t="s">
        <v>4521</v>
      </c>
      <c r="D2535" s="255" t="s">
        <v>15330</v>
      </c>
      <c r="E2535" s="253" t="s">
        <v>170</v>
      </c>
    </row>
    <row r="2536" spans="1:5" ht="30">
      <c r="A2536" s="254">
        <v>3398</v>
      </c>
      <c r="B2536" s="254" t="s">
        <v>22554</v>
      </c>
      <c r="C2536" s="254" t="s">
        <v>4521</v>
      </c>
      <c r="D2536" s="255" t="s">
        <v>13752</v>
      </c>
      <c r="E2536" s="253" t="s">
        <v>170</v>
      </c>
    </row>
    <row r="2537" spans="1:5" ht="45">
      <c r="A2537" s="254">
        <v>34379</v>
      </c>
      <c r="B2537" s="254" t="s">
        <v>22555</v>
      </c>
      <c r="C2537" s="254" t="s">
        <v>4521</v>
      </c>
      <c r="D2537" s="255" t="s">
        <v>22556</v>
      </c>
      <c r="E2537" s="253" t="s">
        <v>170</v>
      </c>
    </row>
    <row r="2538" spans="1:5" ht="45">
      <c r="A2538" s="254">
        <v>34378</v>
      </c>
      <c r="B2538" s="254" t="s">
        <v>22557</v>
      </c>
      <c r="C2538" s="254" t="s">
        <v>4521</v>
      </c>
      <c r="D2538" s="255" t="s">
        <v>22558</v>
      </c>
      <c r="E2538" s="253" t="s">
        <v>170</v>
      </c>
    </row>
    <row r="2539" spans="1:5" ht="45">
      <c r="A2539" s="254">
        <v>34377</v>
      </c>
      <c r="B2539" s="254" t="s">
        <v>22559</v>
      </c>
      <c r="C2539" s="254" t="s">
        <v>4521</v>
      </c>
      <c r="D2539" s="255" t="s">
        <v>22560</v>
      </c>
      <c r="E2539" s="253" t="s">
        <v>170</v>
      </c>
    </row>
    <row r="2540" spans="1:5" ht="30">
      <c r="A2540" s="254">
        <v>581</v>
      </c>
      <c r="B2540" s="254" t="s">
        <v>22561</v>
      </c>
      <c r="C2540" s="254" t="s">
        <v>4523</v>
      </c>
      <c r="D2540" s="255" t="s">
        <v>22562</v>
      </c>
      <c r="E2540" s="253" t="s">
        <v>170</v>
      </c>
    </row>
    <row r="2541" spans="1:5" ht="60">
      <c r="A2541" s="254">
        <v>40662</v>
      </c>
      <c r="B2541" s="254" t="s">
        <v>22563</v>
      </c>
      <c r="C2541" s="254" t="s">
        <v>4521</v>
      </c>
      <c r="D2541" s="255" t="s">
        <v>22564</v>
      </c>
      <c r="E2541" s="253" t="s">
        <v>170</v>
      </c>
    </row>
    <row r="2542" spans="1:5" ht="60">
      <c r="A2542" s="254">
        <v>3437</v>
      </c>
      <c r="B2542" s="254" t="s">
        <v>22565</v>
      </c>
      <c r="C2542" s="254" t="s">
        <v>4523</v>
      </c>
      <c r="D2542" s="255" t="s">
        <v>22566</v>
      </c>
      <c r="E2542" s="253" t="s">
        <v>170</v>
      </c>
    </row>
    <row r="2543" spans="1:5" ht="15">
      <c r="A2543" s="254">
        <v>11183</v>
      </c>
      <c r="B2543" s="254" t="s">
        <v>22567</v>
      </c>
      <c r="C2543" s="254" t="s">
        <v>4521</v>
      </c>
      <c r="D2543" s="255" t="s">
        <v>22568</v>
      </c>
      <c r="E2543" s="253" t="s">
        <v>170</v>
      </c>
    </row>
    <row r="2544" spans="1:5" ht="15">
      <c r="A2544" s="254">
        <v>11190</v>
      </c>
      <c r="B2544" s="254" t="s">
        <v>22569</v>
      </c>
      <c r="C2544" s="254" t="s">
        <v>4521</v>
      </c>
      <c r="D2544" s="255" t="s">
        <v>22570</v>
      </c>
      <c r="E2544" s="253" t="s">
        <v>170</v>
      </c>
    </row>
    <row r="2545" spans="1:5" ht="15">
      <c r="A2545" s="254">
        <v>616</v>
      </c>
      <c r="B2545" s="254" t="s">
        <v>22571</v>
      </c>
      <c r="C2545" s="254" t="s">
        <v>4521</v>
      </c>
      <c r="D2545" s="255" t="s">
        <v>22572</v>
      </c>
      <c r="E2545" s="253" t="s">
        <v>170</v>
      </c>
    </row>
    <row r="2546" spans="1:5" ht="15">
      <c r="A2546" s="254">
        <v>615</v>
      </c>
      <c r="B2546" s="254" t="s">
        <v>22571</v>
      </c>
      <c r="C2546" s="254" t="s">
        <v>4523</v>
      </c>
      <c r="D2546" s="255" t="s">
        <v>22573</v>
      </c>
      <c r="E2546" s="253" t="s">
        <v>170</v>
      </c>
    </row>
    <row r="2547" spans="1:5" ht="15">
      <c r="A2547" s="254">
        <v>11192</v>
      </c>
      <c r="B2547" s="254" t="s">
        <v>22574</v>
      </c>
      <c r="C2547" s="254" t="s">
        <v>4521</v>
      </c>
      <c r="D2547" s="255" t="s">
        <v>22575</v>
      </c>
      <c r="E2547" s="253" t="s">
        <v>170</v>
      </c>
    </row>
    <row r="2548" spans="1:5" ht="15">
      <c r="A2548" s="254">
        <v>11231</v>
      </c>
      <c r="B2548" s="254" t="s">
        <v>22574</v>
      </c>
      <c r="C2548" s="254" t="s">
        <v>4523</v>
      </c>
      <c r="D2548" s="255" t="s">
        <v>22576</v>
      </c>
      <c r="E2548" s="253" t="s">
        <v>170</v>
      </c>
    </row>
    <row r="2549" spans="1:5" ht="60">
      <c r="A2549" s="254">
        <v>3428</v>
      </c>
      <c r="B2549" s="254" t="s">
        <v>22577</v>
      </c>
      <c r="C2549" s="254" t="s">
        <v>4523</v>
      </c>
      <c r="D2549" s="255" t="s">
        <v>22578</v>
      </c>
      <c r="E2549" s="253" t="s">
        <v>170</v>
      </c>
    </row>
    <row r="2550" spans="1:5" ht="60">
      <c r="A2550" s="254">
        <v>3429</v>
      </c>
      <c r="B2550" s="254" t="s">
        <v>22579</v>
      </c>
      <c r="C2550" s="254" t="s">
        <v>4523</v>
      </c>
      <c r="D2550" s="255" t="s">
        <v>22580</v>
      </c>
      <c r="E2550" s="253" t="s">
        <v>170</v>
      </c>
    </row>
    <row r="2551" spans="1:5" ht="45">
      <c r="A2551" s="254">
        <v>34371</v>
      </c>
      <c r="B2551" s="254" t="s">
        <v>22581</v>
      </c>
      <c r="C2551" s="254" t="s">
        <v>4521</v>
      </c>
      <c r="D2551" s="255" t="s">
        <v>22582</v>
      </c>
      <c r="E2551" s="253" t="s">
        <v>170</v>
      </c>
    </row>
    <row r="2552" spans="1:5" ht="45">
      <c r="A2552" s="254">
        <v>34370</v>
      </c>
      <c r="B2552" s="254" t="s">
        <v>22583</v>
      </c>
      <c r="C2552" s="254" t="s">
        <v>4521</v>
      </c>
      <c r="D2552" s="255" t="s">
        <v>22584</v>
      </c>
      <c r="E2552" s="253" t="s">
        <v>170</v>
      </c>
    </row>
    <row r="2553" spans="1:5" ht="45">
      <c r="A2553" s="254">
        <v>34372</v>
      </c>
      <c r="B2553" s="254" t="s">
        <v>22585</v>
      </c>
      <c r="C2553" s="254" t="s">
        <v>4521</v>
      </c>
      <c r="D2553" s="255" t="s">
        <v>22586</v>
      </c>
      <c r="E2553" s="253" t="s">
        <v>170</v>
      </c>
    </row>
    <row r="2554" spans="1:5" ht="45">
      <c r="A2554" s="254">
        <v>34373</v>
      </c>
      <c r="B2554" s="254" t="s">
        <v>22587</v>
      </c>
      <c r="C2554" s="254" t="s">
        <v>4521</v>
      </c>
      <c r="D2554" s="255" t="s">
        <v>22588</v>
      </c>
      <c r="E2554" s="253" t="s">
        <v>170</v>
      </c>
    </row>
    <row r="2555" spans="1:5" ht="45">
      <c r="A2555" s="254">
        <v>36896</v>
      </c>
      <c r="B2555" s="254" t="s">
        <v>22589</v>
      </c>
      <c r="C2555" s="254" t="s">
        <v>4521</v>
      </c>
      <c r="D2555" s="255" t="s">
        <v>22590</v>
      </c>
      <c r="E2555" s="253" t="s">
        <v>170</v>
      </c>
    </row>
    <row r="2556" spans="1:5" ht="45">
      <c r="A2556" s="254">
        <v>34367</v>
      </c>
      <c r="B2556" s="254" t="s">
        <v>22591</v>
      </c>
      <c r="C2556" s="254" t="s">
        <v>4521</v>
      </c>
      <c r="D2556" s="255" t="s">
        <v>22592</v>
      </c>
      <c r="E2556" s="253" t="s">
        <v>170</v>
      </c>
    </row>
    <row r="2557" spans="1:5" ht="45">
      <c r="A2557" s="254">
        <v>36897</v>
      </c>
      <c r="B2557" s="254" t="s">
        <v>22593</v>
      </c>
      <c r="C2557" s="254" t="s">
        <v>4521</v>
      </c>
      <c r="D2557" s="255" t="s">
        <v>15538</v>
      </c>
      <c r="E2557" s="253" t="s">
        <v>170</v>
      </c>
    </row>
    <row r="2558" spans="1:5" ht="45">
      <c r="A2558" s="254">
        <v>36884</v>
      </c>
      <c r="B2558" s="254" t="s">
        <v>22593</v>
      </c>
      <c r="C2558" s="254" t="s">
        <v>4523</v>
      </c>
      <c r="D2558" s="255" t="s">
        <v>22594</v>
      </c>
      <c r="E2558" s="253" t="s">
        <v>170</v>
      </c>
    </row>
    <row r="2559" spans="1:5" ht="30">
      <c r="A2559" s="254">
        <v>597</v>
      </c>
      <c r="B2559" s="254" t="s">
        <v>22595</v>
      </c>
      <c r="C2559" s="254" t="s">
        <v>4523</v>
      </c>
      <c r="D2559" s="255" t="s">
        <v>22596</v>
      </c>
      <c r="E2559" s="253" t="s">
        <v>170</v>
      </c>
    </row>
    <row r="2560" spans="1:5" ht="45">
      <c r="A2560" s="254">
        <v>34369</v>
      </c>
      <c r="B2560" s="254" t="s">
        <v>22597</v>
      </c>
      <c r="C2560" s="254" t="s">
        <v>4521</v>
      </c>
      <c r="D2560" s="255" t="s">
        <v>22598</v>
      </c>
      <c r="E2560" s="253" t="s">
        <v>170</v>
      </c>
    </row>
    <row r="2561" spans="1:5" ht="45">
      <c r="A2561" s="254">
        <v>34362</v>
      </c>
      <c r="B2561" s="254" t="s">
        <v>22599</v>
      </c>
      <c r="C2561" s="254" t="s">
        <v>4521</v>
      </c>
      <c r="D2561" s="255" t="s">
        <v>22600</v>
      </c>
      <c r="E2561" s="253" t="s">
        <v>170</v>
      </c>
    </row>
    <row r="2562" spans="1:5" ht="45">
      <c r="A2562" s="254">
        <v>34363</v>
      </c>
      <c r="B2562" s="254" t="s">
        <v>22601</v>
      </c>
      <c r="C2562" s="254" t="s">
        <v>4521</v>
      </c>
      <c r="D2562" s="255" t="s">
        <v>22602</v>
      </c>
      <c r="E2562" s="253" t="s">
        <v>170</v>
      </c>
    </row>
    <row r="2563" spans="1:5" ht="45">
      <c r="A2563" s="254">
        <v>34364</v>
      </c>
      <c r="B2563" s="254" t="s">
        <v>22603</v>
      </c>
      <c r="C2563" s="254" t="s">
        <v>4521</v>
      </c>
      <c r="D2563" s="255" t="s">
        <v>22604</v>
      </c>
      <c r="E2563" s="253" t="s">
        <v>170</v>
      </c>
    </row>
    <row r="2564" spans="1:5" ht="45">
      <c r="A2564" s="254">
        <v>34365</v>
      </c>
      <c r="B2564" s="254" t="s">
        <v>22605</v>
      </c>
      <c r="C2564" s="254" t="s">
        <v>4521</v>
      </c>
      <c r="D2564" s="255" t="s">
        <v>22606</v>
      </c>
      <c r="E2564" s="253" t="s">
        <v>170</v>
      </c>
    </row>
    <row r="2565" spans="1:5" ht="45">
      <c r="A2565" s="254">
        <v>11199</v>
      </c>
      <c r="B2565" s="254" t="s">
        <v>22607</v>
      </c>
      <c r="C2565" s="254" t="s">
        <v>4521</v>
      </c>
      <c r="D2565" s="255" t="s">
        <v>22608</v>
      </c>
      <c r="E2565" s="253" t="s">
        <v>170</v>
      </c>
    </row>
    <row r="2566" spans="1:5" ht="30">
      <c r="A2566" s="254">
        <v>34801</v>
      </c>
      <c r="B2566" s="254" t="s">
        <v>22609</v>
      </c>
      <c r="C2566" s="254" t="s">
        <v>4521</v>
      </c>
      <c r="D2566" s="255" t="s">
        <v>22610</v>
      </c>
      <c r="E2566" s="253" t="s">
        <v>170</v>
      </c>
    </row>
    <row r="2567" spans="1:5" ht="30">
      <c r="A2567" s="254">
        <v>34799</v>
      </c>
      <c r="B2567" s="254" t="s">
        <v>22611</v>
      </c>
      <c r="C2567" s="254" t="s">
        <v>4521</v>
      </c>
      <c r="D2567" s="255" t="s">
        <v>22612</v>
      </c>
      <c r="E2567" s="253" t="s">
        <v>170</v>
      </c>
    </row>
    <row r="2568" spans="1:5" ht="30">
      <c r="A2568" s="254">
        <v>622</v>
      </c>
      <c r="B2568" s="254" t="s">
        <v>22613</v>
      </c>
      <c r="C2568" s="254" t="s">
        <v>4521</v>
      </c>
      <c r="D2568" s="255" t="s">
        <v>22614</v>
      </c>
      <c r="E2568" s="253" t="s">
        <v>170</v>
      </c>
    </row>
    <row r="2569" spans="1:5" ht="30">
      <c r="A2569" s="254">
        <v>34805</v>
      </c>
      <c r="B2569" s="254" t="s">
        <v>22615</v>
      </c>
      <c r="C2569" s="254" t="s">
        <v>4523</v>
      </c>
      <c r="D2569" s="255" t="s">
        <v>22616</v>
      </c>
      <c r="E2569" s="253" t="s">
        <v>170</v>
      </c>
    </row>
    <row r="2570" spans="1:5" ht="30">
      <c r="A2570" s="254">
        <v>34803</v>
      </c>
      <c r="B2570" s="254" t="s">
        <v>22617</v>
      </c>
      <c r="C2570" s="254" t="s">
        <v>4521</v>
      </c>
      <c r="D2570" s="255" t="s">
        <v>22618</v>
      </c>
      <c r="E2570" s="253" t="s">
        <v>170</v>
      </c>
    </row>
    <row r="2571" spans="1:5" ht="45">
      <c r="A2571" s="254">
        <v>606</v>
      </c>
      <c r="B2571" s="254" t="s">
        <v>22619</v>
      </c>
      <c r="C2571" s="254" t="s">
        <v>4523</v>
      </c>
      <c r="D2571" s="255" t="s">
        <v>22620</v>
      </c>
      <c r="E2571" s="253" t="s">
        <v>170</v>
      </c>
    </row>
    <row r="2572" spans="1:5" ht="30">
      <c r="A2572" s="254">
        <v>11227</v>
      </c>
      <c r="B2572" s="254" t="s">
        <v>22621</v>
      </c>
      <c r="C2572" s="254" t="s">
        <v>4521</v>
      </c>
      <c r="D2572" s="255" t="s">
        <v>22622</v>
      </c>
      <c r="E2572" s="253" t="s">
        <v>170</v>
      </c>
    </row>
    <row r="2573" spans="1:5" ht="30">
      <c r="A2573" s="254">
        <v>11193</v>
      </c>
      <c r="B2573" s="254" t="s">
        <v>22623</v>
      </c>
      <c r="C2573" s="254" t="s">
        <v>4523</v>
      </c>
      <c r="D2573" s="255" t="s">
        <v>22624</v>
      </c>
      <c r="E2573" s="253" t="s">
        <v>170</v>
      </c>
    </row>
    <row r="2574" spans="1:5" ht="30">
      <c r="A2574" s="254">
        <v>11194</v>
      </c>
      <c r="B2574" s="254" t="s">
        <v>22625</v>
      </c>
      <c r="C2574" s="254" t="s">
        <v>4523</v>
      </c>
      <c r="D2574" s="255" t="s">
        <v>22626</v>
      </c>
      <c r="E2574" s="253" t="s">
        <v>170</v>
      </c>
    </row>
    <row r="2575" spans="1:5" ht="45">
      <c r="A2575" s="254">
        <v>605</v>
      </c>
      <c r="B2575" s="254" t="s">
        <v>22627</v>
      </c>
      <c r="C2575" s="254" t="s">
        <v>4523</v>
      </c>
      <c r="D2575" s="255" t="s">
        <v>22628</v>
      </c>
      <c r="E2575" s="253" t="s">
        <v>170</v>
      </c>
    </row>
    <row r="2576" spans="1:5" ht="45">
      <c r="A2576" s="254">
        <v>11197</v>
      </c>
      <c r="B2576" s="254" t="s">
        <v>22629</v>
      </c>
      <c r="C2576" s="254" t="s">
        <v>4521</v>
      </c>
      <c r="D2576" s="255" t="s">
        <v>22630</v>
      </c>
      <c r="E2576" s="253" t="s">
        <v>170</v>
      </c>
    </row>
    <row r="2577" spans="1:5" ht="75">
      <c r="A2577" s="254">
        <v>40659</v>
      </c>
      <c r="B2577" s="254" t="s">
        <v>22631</v>
      </c>
      <c r="C2577" s="254" t="s">
        <v>4523</v>
      </c>
      <c r="D2577" s="255" t="s">
        <v>22632</v>
      </c>
      <c r="E2577" s="253" t="s">
        <v>170</v>
      </c>
    </row>
    <row r="2578" spans="1:5" ht="75">
      <c r="A2578" s="254">
        <v>40660</v>
      </c>
      <c r="B2578" s="254" t="s">
        <v>22633</v>
      </c>
      <c r="C2578" s="254" t="s">
        <v>4523</v>
      </c>
      <c r="D2578" s="255" t="s">
        <v>22634</v>
      </c>
      <c r="E2578" s="253" t="s">
        <v>170</v>
      </c>
    </row>
    <row r="2579" spans="1:5" ht="75">
      <c r="A2579" s="254">
        <v>40661</v>
      </c>
      <c r="B2579" s="254" t="s">
        <v>22635</v>
      </c>
      <c r="C2579" s="254" t="s">
        <v>4523</v>
      </c>
      <c r="D2579" s="255" t="s">
        <v>22636</v>
      </c>
      <c r="E2579" s="253" t="s">
        <v>170</v>
      </c>
    </row>
    <row r="2580" spans="1:5" ht="60">
      <c r="A2580" s="254">
        <v>3421</v>
      </c>
      <c r="B2580" s="254" t="s">
        <v>22637</v>
      </c>
      <c r="C2580" s="254" t="s">
        <v>4523</v>
      </c>
      <c r="D2580" s="255" t="s">
        <v>22638</v>
      </c>
      <c r="E2580" s="253" t="s">
        <v>170</v>
      </c>
    </row>
    <row r="2581" spans="1:5" ht="30">
      <c r="A2581" s="254">
        <v>599</v>
      </c>
      <c r="B2581" s="254" t="s">
        <v>22639</v>
      </c>
      <c r="C2581" s="254" t="s">
        <v>4523</v>
      </c>
      <c r="D2581" s="255" t="s">
        <v>22640</v>
      </c>
      <c r="E2581" s="253" t="s">
        <v>170</v>
      </c>
    </row>
    <row r="2582" spans="1:5" ht="30">
      <c r="A2582" s="254">
        <v>34380</v>
      </c>
      <c r="B2582" s="254" t="s">
        <v>22641</v>
      </c>
      <c r="C2582" s="254" t="s">
        <v>4521</v>
      </c>
      <c r="D2582" s="255" t="s">
        <v>22642</v>
      </c>
      <c r="E2582" s="253" t="s">
        <v>170</v>
      </c>
    </row>
    <row r="2583" spans="1:5" ht="30">
      <c r="A2583" s="254">
        <v>34381</v>
      </c>
      <c r="B2583" s="254" t="s">
        <v>22643</v>
      </c>
      <c r="C2583" s="254" t="s">
        <v>4521</v>
      </c>
      <c r="D2583" s="255" t="s">
        <v>22644</v>
      </c>
      <c r="E2583" s="253" t="s">
        <v>170</v>
      </c>
    </row>
    <row r="2584" spans="1:5" ht="30">
      <c r="A2584" s="254">
        <v>601</v>
      </c>
      <c r="B2584" s="254" t="s">
        <v>22643</v>
      </c>
      <c r="C2584" s="254" t="s">
        <v>4523</v>
      </c>
      <c r="D2584" s="255" t="s">
        <v>22645</v>
      </c>
      <c r="E2584" s="253" t="s">
        <v>170</v>
      </c>
    </row>
    <row r="2585" spans="1:5" ht="60">
      <c r="A2585" s="254">
        <v>3423</v>
      </c>
      <c r="B2585" s="254" t="s">
        <v>22646</v>
      </c>
      <c r="C2585" s="254" t="s">
        <v>4523</v>
      </c>
      <c r="D2585" s="255" t="s">
        <v>22647</v>
      </c>
      <c r="E2585" s="253" t="s">
        <v>170</v>
      </c>
    </row>
    <row r="2586" spans="1:5" ht="30">
      <c r="A2586" s="254">
        <v>34797</v>
      </c>
      <c r="B2586" s="254" t="s">
        <v>22648</v>
      </c>
      <c r="C2586" s="254" t="s">
        <v>4521</v>
      </c>
      <c r="D2586" s="255" t="s">
        <v>22649</v>
      </c>
      <c r="E2586" s="253" t="s">
        <v>170</v>
      </c>
    </row>
    <row r="2587" spans="1:5" ht="30">
      <c r="A2587" s="254">
        <v>624</v>
      </c>
      <c r="B2587" s="254" t="s">
        <v>22650</v>
      </c>
      <c r="C2587" s="254" t="s">
        <v>4523</v>
      </c>
      <c r="D2587" s="255" t="s">
        <v>22651</v>
      </c>
      <c r="E2587" s="253" t="s">
        <v>170</v>
      </c>
    </row>
    <row r="2588" spans="1:5" ht="30">
      <c r="A2588" s="254">
        <v>623</v>
      </c>
      <c r="B2588" s="254" t="s">
        <v>22652</v>
      </c>
      <c r="C2588" s="254" t="s">
        <v>4523</v>
      </c>
      <c r="D2588" s="255" t="s">
        <v>22653</v>
      </c>
      <c r="E2588" s="253" t="s">
        <v>170</v>
      </c>
    </row>
    <row r="2589" spans="1:5" ht="15">
      <c r="A2589" s="254">
        <v>25964</v>
      </c>
      <c r="B2589" s="254" t="s">
        <v>22654</v>
      </c>
      <c r="C2589" s="254" t="s">
        <v>4520</v>
      </c>
      <c r="D2589" s="255" t="s">
        <v>22655</v>
      </c>
      <c r="E2589" s="253" t="s">
        <v>8722</v>
      </c>
    </row>
    <row r="2590" spans="1:5" ht="15">
      <c r="A2590" s="254">
        <v>41077</v>
      </c>
      <c r="B2590" s="254" t="s">
        <v>22656</v>
      </c>
      <c r="C2590" s="254" t="s">
        <v>4528</v>
      </c>
      <c r="D2590" s="255" t="s">
        <v>22657</v>
      </c>
      <c r="E2590" s="253" t="s">
        <v>8722</v>
      </c>
    </row>
    <row r="2591" spans="1:5" ht="15">
      <c r="A2591" s="254">
        <v>20159</v>
      </c>
      <c r="B2591" s="254" t="s">
        <v>22658</v>
      </c>
      <c r="C2591" s="254" t="s">
        <v>4521</v>
      </c>
      <c r="D2591" s="255" t="s">
        <v>16834</v>
      </c>
      <c r="E2591" s="253" t="s">
        <v>170</v>
      </c>
    </row>
    <row r="2592" spans="1:5" ht="15">
      <c r="A2592" s="254">
        <v>37963</v>
      </c>
      <c r="B2592" s="254" t="s">
        <v>22659</v>
      </c>
      <c r="C2592" s="254" t="s">
        <v>4521</v>
      </c>
      <c r="D2592" s="255" t="s">
        <v>22660</v>
      </c>
      <c r="E2592" s="253" t="s">
        <v>170</v>
      </c>
    </row>
    <row r="2593" spans="1:5" ht="15">
      <c r="A2593" s="254">
        <v>37964</v>
      </c>
      <c r="B2593" s="254" t="s">
        <v>22661</v>
      </c>
      <c r="C2593" s="254" t="s">
        <v>4521</v>
      </c>
      <c r="D2593" s="255" t="s">
        <v>14300</v>
      </c>
      <c r="E2593" s="253" t="s">
        <v>170</v>
      </c>
    </row>
    <row r="2594" spans="1:5" ht="15">
      <c r="A2594" s="254">
        <v>37965</v>
      </c>
      <c r="B2594" s="254" t="s">
        <v>22662</v>
      </c>
      <c r="C2594" s="254" t="s">
        <v>4521</v>
      </c>
      <c r="D2594" s="255" t="s">
        <v>22324</v>
      </c>
      <c r="E2594" s="253" t="s">
        <v>170</v>
      </c>
    </row>
    <row r="2595" spans="1:5" ht="15">
      <c r="A2595" s="254">
        <v>37966</v>
      </c>
      <c r="B2595" s="254" t="s">
        <v>22663</v>
      </c>
      <c r="C2595" s="254" t="s">
        <v>4521</v>
      </c>
      <c r="D2595" s="255" t="s">
        <v>16475</v>
      </c>
      <c r="E2595" s="253" t="s">
        <v>170</v>
      </c>
    </row>
    <row r="2596" spans="1:5" ht="15">
      <c r="A2596" s="254">
        <v>37967</v>
      </c>
      <c r="B2596" s="254" t="s">
        <v>22664</v>
      </c>
      <c r="C2596" s="254" t="s">
        <v>4521</v>
      </c>
      <c r="D2596" s="255" t="s">
        <v>18028</v>
      </c>
      <c r="E2596" s="253" t="s">
        <v>170</v>
      </c>
    </row>
    <row r="2597" spans="1:5" ht="15">
      <c r="A2597" s="254">
        <v>37968</v>
      </c>
      <c r="B2597" s="254" t="s">
        <v>22665</v>
      </c>
      <c r="C2597" s="254" t="s">
        <v>4521</v>
      </c>
      <c r="D2597" s="255" t="s">
        <v>18562</v>
      </c>
      <c r="E2597" s="253" t="s">
        <v>170</v>
      </c>
    </row>
    <row r="2598" spans="1:5" ht="15">
      <c r="A2598" s="254">
        <v>37969</v>
      </c>
      <c r="B2598" s="254" t="s">
        <v>22666</v>
      </c>
      <c r="C2598" s="254" t="s">
        <v>4521</v>
      </c>
      <c r="D2598" s="255" t="s">
        <v>16739</v>
      </c>
      <c r="E2598" s="253" t="s">
        <v>170</v>
      </c>
    </row>
    <row r="2599" spans="1:5" ht="15">
      <c r="A2599" s="254">
        <v>37970</v>
      </c>
      <c r="B2599" s="254" t="s">
        <v>22667</v>
      </c>
      <c r="C2599" s="254" t="s">
        <v>4521</v>
      </c>
      <c r="D2599" s="255" t="s">
        <v>22668</v>
      </c>
      <c r="E2599" s="253" t="s">
        <v>170</v>
      </c>
    </row>
    <row r="2600" spans="1:5" ht="15">
      <c r="A2600" s="254">
        <v>21118</v>
      </c>
      <c r="B2600" s="254" t="s">
        <v>22669</v>
      </c>
      <c r="C2600" s="254" t="s">
        <v>4521</v>
      </c>
      <c r="D2600" s="255" t="s">
        <v>14295</v>
      </c>
      <c r="E2600" s="253" t="s">
        <v>170</v>
      </c>
    </row>
    <row r="2601" spans="1:5" ht="15">
      <c r="A2601" s="254">
        <v>37956</v>
      </c>
      <c r="B2601" s="254" t="s">
        <v>22670</v>
      </c>
      <c r="C2601" s="254" t="s">
        <v>4521</v>
      </c>
      <c r="D2601" s="255" t="s">
        <v>22124</v>
      </c>
      <c r="E2601" s="253" t="s">
        <v>170</v>
      </c>
    </row>
    <row r="2602" spans="1:5" ht="15">
      <c r="A2602" s="254">
        <v>37957</v>
      </c>
      <c r="B2602" s="254" t="s">
        <v>22671</v>
      </c>
      <c r="C2602" s="254" t="s">
        <v>4521</v>
      </c>
      <c r="D2602" s="255" t="s">
        <v>13815</v>
      </c>
      <c r="E2602" s="253" t="s">
        <v>170</v>
      </c>
    </row>
    <row r="2603" spans="1:5" ht="15">
      <c r="A2603" s="254">
        <v>37958</v>
      </c>
      <c r="B2603" s="254" t="s">
        <v>22672</v>
      </c>
      <c r="C2603" s="254" t="s">
        <v>4521</v>
      </c>
      <c r="D2603" s="255" t="s">
        <v>16475</v>
      </c>
      <c r="E2603" s="253" t="s">
        <v>170</v>
      </c>
    </row>
    <row r="2604" spans="1:5" ht="15">
      <c r="A2604" s="254">
        <v>37959</v>
      </c>
      <c r="B2604" s="254" t="s">
        <v>22673</v>
      </c>
      <c r="C2604" s="254" t="s">
        <v>4521</v>
      </c>
      <c r="D2604" s="255" t="s">
        <v>18028</v>
      </c>
      <c r="E2604" s="253" t="s">
        <v>170</v>
      </c>
    </row>
    <row r="2605" spans="1:5" ht="15">
      <c r="A2605" s="254">
        <v>37960</v>
      </c>
      <c r="B2605" s="254" t="s">
        <v>22674</v>
      </c>
      <c r="C2605" s="254" t="s">
        <v>4521</v>
      </c>
      <c r="D2605" s="255" t="s">
        <v>14202</v>
      </c>
      <c r="E2605" s="253" t="s">
        <v>170</v>
      </c>
    </row>
    <row r="2606" spans="1:5" ht="15">
      <c r="A2606" s="254">
        <v>37961</v>
      </c>
      <c r="B2606" s="254" t="s">
        <v>22675</v>
      </c>
      <c r="C2606" s="254" t="s">
        <v>4521</v>
      </c>
      <c r="D2606" s="255" t="s">
        <v>22676</v>
      </c>
      <c r="E2606" s="253" t="s">
        <v>170</v>
      </c>
    </row>
    <row r="2607" spans="1:5" ht="15">
      <c r="A2607" s="254">
        <v>37962</v>
      </c>
      <c r="B2607" s="254" t="s">
        <v>22677</v>
      </c>
      <c r="C2607" s="254" t="s">
        <v>4521</v>
      </c>
      <c r="D2607" s="255" t="s">
        <v>22678</v>
      </c>
      <c r="E2607" s="253" t="s">
        <v>170</v>
      </c>
    </row>
    <row r="2608" spans="1:5" ht="30">
      <c r="A2608" s="254">
        <v>3533</v>
      </c>
      <c r="B2608" s="254" t="s">
        <v>22679</v>
      </c>
      <c r="C2608" s="254" t="s">
        <v>4521</v>
      </c>
      <c r="D2608" s="255" t="s">
        <v>22680</v>
      </c>
      <c r="E2608" s="253" t="s">
        <v>170</v>
      </c>
    </row>
    <row r="2609" spans="1:5" ht="30">
      <c r="A2609" s="254">
        <v>3538</v>
      </c>
      <c r="B2609" s="254" t="s">
        <v>22681</v>
      </c>
      <c r="C2609" s="254" t="s">
        <v>4521</v>
      </c>
      <c r="D2609" s="255" t="s">
        <v>14409</v>
      </c>
      <c r="E2609" s="253" t="s">
        <v>170</v>
      </c>
    </row>
    <row r="2610" spans="1:5" ht="30">
      <c r="A2610" s="254">
        <v>3497</v>
      </c>
      <c r="B2610" s="254" t="s">
        <v>22682</v>
      </c>
      <c r="C2610" s="254" t="s">
        <v>4521</v>
      </c>
      <c r="D2610" s="255" t="s">
        <v>16997</v>
      </c>
      <c r="E2610" s="253" t="s">
        <v>170</v>
      </c>
    </row>
    <row r="2611" spans="1:5" ht="15">
      <c r="A2611" s="254">
        <v>3498</v>
      </c>
      <c r="B2611" s="254" t="s">
        <v>22683</v>
      </c>
      <c r="C2611" s="254" t="s">
        <v>4521</v>
      </c>
      <c r="D2611" s="255" t="s">
        <v>15692</v>
      </c>
      <c r="E2611" s="253" t="s">
        <v>170</v>
      </c>
    </row>
    <row r="2612" spans="1:5" ht="30">
      <c r="A2612" s="254">
        <v>3496</v>
      </c>
      <c r="B2612" s="254" t="s">
        <v>22684</v>
      </c>
      <c r="C2612" s="254" t="s">
        <v>4521</v>
      </c>
      <c r="D2612" s="255" t="s">
        <v>22685</v>
      </c>
      <c r="E2612" s="253" t="s">
        <v>170</v>
      </c>
    </row>
    <row r="2613" spans="1:5" ht="30">
      <c r="A2613" s="254">
        <v>38429</v>
      </c>
      <c r="B2613" s="254" t="s">
        <v>22686</v>
      </c>
      <c r="C2613" s="254" t="s">
        <v>4521</v>
      </c>
      <c r="D2613" s="255" t="s">
        <v>22687</v>
      </c>
      <c r="E2613" s="253" t="s">
        <v>170</v>
      </c>
    </row>
    <row r="2614" spans="1:5" ht="30">
      <c r="A2614" s="254">
        <v>38431</v>
      </c>
      <c r="B2614" s="254" t="s">
        <v>22688</v>
      </c>
      <c r="C2614" s="254" t="s">
        <v>4521</v>
      </c>
      <c r="D2614" s="255" t="s">
        <v>13636</v>
      </c>
      <c r="E2614" s="253" t="s">
        <v>170</v>
      </c>
    </row>
    <row r="2615" spans="1:5" ht="30">
      <c r="A2615" s="254">
        <v>38430</v>
      </c>
      <c r="B2615" s="254" t="s">
        <v>22689</v>
      </c>
      <c r="C2615" s="254" t="s">
        <v>4521</v>
      </c>
      <c r="D2615" s="255" t="s">
        <v>15445</v>
      </c>
      <c r="E2615" s="253" t="s">
        <v>170</v>
      </c>
    </row>
    <row r="2616" spans="1:5" ht="15">
      <c r="A2616" s="254">
        <v>36348</v>
      </c>
      <c r="B2616" s="254" t="s">
        <v>22690</v>
      </c>
      <c r="C2616" s="254" t="s">
        <v>4521</v>
      </c>
      <c r="D2616" s="255" t="s">
        <v>14466</v>
      </c>
      <c r="E2616" s="253" t="s">
        <v>170</v>
      </c>
    </row>
    <row r="2617" spans="1:5" ht="15">
      <c r="A2617" s="254">
        <v>36349</v>
      </c>
      <c r="B2617" s="254" t="s">
        <v>22691</v>
      </c>
      <c r="C2617" s="254" t="s">
        <v>4521</v>
      </c>
      <c r="D2617" s="255" t="s">
        <v>14472</v>
      </c>
      <c r="E2617" s="253" t="s">
        <v>170</v>
      </c>
    </row>
    <row r="2618" spans="1:5" ht="15">
      <c r="A2618" s="254">
        <v>38433</v>
      </c>
      <c r="B2618" s="254" t="s">
        <v>22692</v>
      </c>
      <c r="C2618" s="254" t="s">
        <v>4521</v>
      </c>
      <c r="D2618" s="255" t="s">
        <v>14194</v>
      </c>
      <c r="E2618" s="253" t="s">
        <v>170</v>
      </c>
    </row>
    <row r="2619" spans="1:5" ht="15">
      <c r="A2619" s="254">
        <v>38440</v>
      </c>
      <c r="B2619" s="254" t="s">
        <v>22693</v>
      </c>
      <c r="C2619" s="254" t="s">
        <v>4521</v>
      </c>
      <c r="D2619" s="255" t="s">
        <v>22694</v>
      </c>
      <c r="E2619" s="253" t="s">
        <v>170</v>
      </c>
    </row>
    <row r="2620" spans="1:5" ht="15">
      <c r="A2620" s="254">
        <v>36359</v>
      </c>
      <c r="B2620" s="254" t="s">
        <v>22695</v>
      </c>
      <c r="C2620" s="254" t="s">
        <v>4521</v>
      </c>
      <c r="D2620" s="255" t="s">
        <v>17670</v>
      </c>
      <c r="E2620" s="253" t="s">
        <v>170</v>
      </c>
    </row>
    <row r="2621" spans="1:5" ht="15">
      <c r="A2621" s="254">
        <v>36360</v>
      </c>
      <c r="B2621" s="254" t="s">
        <v>22696</v>
      </c>
      <c r="C2621" s="254" t="s">
        <v>4521</v>
      </c>
      <c r="D2621" s="255" t="s">
        <v>14227</v>
      </c>
      <c r="E2621" s="253" t="s">
        <v>170</v>
      </c>
    </row>
    <row r="2622" spans="1:5" ht="15">
      <c r="A2622" s="254">
        <v>38434</v>
      </c>
      <c r="B2622" s="254" t="s">
        <v>22697</v>
      </c>
      <c r="C2622" s="254" t="s">
        <v>4521</v>
      </c>
      <c r="D2622" s="255" t="s">
        <v>13945</v>
      </c>
      <c r="E2622" s="253" t="s">
        <v>170</v>
      </c>
    </row>
    <row r="2623" spans="1:5" ht="15">
      <c r="A2623" s="254">
        <v>38435</v>
      </c>
      <c r="B2623" s="254" t="s">
        <v>22698</v>
      </c>
      <c r="C2623" s="254" t="s">
        <v>4521</v>
      </c>
      <c r="D2623" s="255" t="s">
        <v>17671</v>
      </c>
      <c r="E2623" s="253" t="s">
        <v>170</v>
      </c>
    </row>
    <row r="2624" spans="1:5" ht="15">
      <c r="A2624" s="254">
        <v>38436</v>
      </c>
      <c r="B2624" s="254" t="s">
        <v>22699</v>
      </c>
      <c r="C2624" s="254" t="s">
        <v>4521</v>
      </c>
      <c r="D2624" s="255" t="s">
        <v>20626</v>
      </c>
      <c r="E2624" s="253" t="s">
        <v>170</v>
      </c>
    </row>
    <row r="2625" spans="1:5" ht="15">
      <c r="A2625" s="254">
        <v>38437</v>
      </c>
      <c r="B2625" s="254" t="s">
        <v>22700</v>
      </c>
      <c r="C2625" s="254" t="s">
        <v>4521</v>
      </c>
      <c r="D2625" s="255" t="s">
        <v>15389</v>
      </c>
      <c r="E2625" s="253" t="s">
        <v>170</v>
      </c>
    </row>
    <row r="2626" spans="1:5" ht="15">
      <c r="A2626" s="254">
        <v>38438</v>
      </c>
      <c r="B2626" s="254" t="s">
        <v>22701</v>
      </c>
      <c r="C2626" s="254" t="s">
        <v>4521</v>
      </c>
      <c r="D2626" s="255" t="s">
        <v>22702</v>
      </c>
      <c r="E2626" s="253" t="s">
        <v>170</v>
      </c>
    </row>
    <row r="2627" spans="1:5" ht="15">
      <c r="A2627" s="254">
        <v>38439</v>
      </c>
      <c r="B2627" s="254" t="s">
        <v>22703</v>
      </c>
      <c r="C2627" s="254" t="s">
        <v>4521</v>
      </c>
      <c r="D2627" s="255" t="s">
        <v>22704</v>
      </c>
      <c r="E2627" s="253" t="s">
        <v>170</v>
      </c>
    </row>
    <row r="2628" spans="1:5" ht="30">
      <c r="A2628" s="254">
        <v>10836</v>
      </c>
      <c r="B2628" s="254" t="s">
        <v>22705</v>
      </c>
      <c r="C2628" s="254" t="s">
        <v>4521</v>
      </c>
      <c r="D2628" s="255" t="s">
        <v>15938</v>
      </c>
      <c r="E2628" s="253" t="s">
        <v>170</v>
      </c>
    </row>
    <row r="2629" spans="1:5" ht="15">
      <c r="A2629" s="254">
        <v>20128</v>
      </c>
      <c r="B2629" s="254" t="s">
        <v>22706</v>
      </c>
      <c r="C2629" s="254" t="s">
        <v>4521</v>
      </c>
      <c r="D2629" s="255" t="s">
        <v>22707</v>
      </c>
      <c r="E2629" s="253" t="s">
        <v>170</v>
      </c>
    </row>
    <row r="2630" spans="1:5" ht="15">
      <c r="A2630" s="254">
        <v>20131</v>
      </c>
      <c r="B2630" s="254" t="s">
        <v>22708</v>
      </c>
      <c r="C2630" s="254" t="s">
        <v>4521</v>
      </c>
      <c r="D2630" s="255" t="s">
        <v>22709</v>
      </c>
      <c r="E2630" s="253" t="s">
        <v>170</v>
      </c>
    </row>
    <row r="2631" spans="1:5" ht="30">
      <c r="A2631" s="254">
        <v>3521</v>
      </c>
      <c r="B2631" s="254" t="s">
        <v>22710</v>
      </c>
      <c r="C2631" s="254" t="s">
        <v>4521</v>
      </c>
      <c r="D2631" s="255" t="s">
        <v>17669</v>
      </c>
      <c r="E2631" s="253" t="s">
        <v>170</v>
      </c>
    </row>
    <row r="2632" spans="1:5" ht="30">
      <c r="A2632" s="254">
        <v>3531</v>
      </c>
      <c r="B2632" s="254" t="s">
        <v>22711</v>
      </c>
      <c r="C2632" s="254" t="s">
        <v>4521</v>
      </c>
      <c r="D2632" s="255" t="s">
        <v>14216</v>
      </c>
      <c r="E2632" s="253" t="s">
        <v>170</v>
      </c>
    </row>
    <row r="2633" spans="1:5" ht="30">
      <c r="A2633" s="254">
        <v>3522</v>
      </c>
      <c r="B2633" s="254" t="s">
        <v>22712</v>
      </c>
      <c r="C2633" s="254" t="s">
        <v>4521</v>
      </c>
      <c r="D2633" s="255" t="s">
        <v>14155</v>
      </c>
      <c r="E2633" s="253" t="s">
        <v>170</v>
      </c>
    </row>
    <row r="2634" spans="1:5" ht="30">
      <c r="A2634" s="254">
        <v>3527</v>
      </c>
      <c r="B2634" s="254" t="s">
        <v>22713</v>
      </c>
      <c r="C2634" s="254" t="s">
        <v>4521</v>
      </c>
      <c r="D2634" s="255" t="s">
        <v>16449</v>
      </c>
      <c r="E2634" s="253" t="s">
        <v>170</v>
      </c>
    </row>
    <row r="2635" spans="1:5" ht="30">
      <c r="A2635" s="254">
        <v>10835</v>
      </c>
      <c r="B2635" s="254" t="s">
        <v>22714</v>
      </c>
      <c r="C2635" s="254" t="s">
        <v>4521</v>
      </c>
      <c r="D2635" s="255" t="s">
        <v>13850</v>
      </c>
      <c r="E2635" s="253" t="s">
        <v>170</v>
      </c>
    </row>
    <row r="2636" spans="1:5" ht="15">
      <c r="A2636" s="254">
        <v>3475</v>
      </c>
      <c r="B2636" s="254" t="s">
        <v>22715</v>
      </c>
      <c r="C2636" s="254" t="s">
        <v>4521</v>
      </c>
      <c r="D2636" s="255" t="s">
        <v>22716</v>
      </c>
      <c r="E2636" s="253" t="s">
        <v>170</v>
      </c>
    </row>
    <row r="2637" spans="1:5" ht="15">
      <c r="A2637" s="254">
        <v>3485</v>
      </c>
      <c r="B2637" s="254" t="s">
        <v>22717</v>
      </c>
      <c r="C2637" s="254" t="s">
        <v>4521</v>
      </c>
      <c r="D2637" s="255" t="s">
        <v>15661</v>
      </c>
      <c r="E2637" s="253" t="s">
        <v>170</v>
      </c>
    </row>
    <row r="2638" spans="1:5" ht="15">
      <c r="A2638" s="254">
        <v>3534</v>
      </c>
      <c r="B2638" s="254" t="s">
        <v>22718</v>
      </c>
      <c r="C2638" s="254" t="s">
        <v>4521</v>
      </c>
      <c r="D2638" s="255" t="s">
        <v>18520</v>
      </c>
      <c r="E2638" s="253" t="s">
        <v>170</v>
      </c>
    </row>
    <row r="2639" spans="1:5" ht="15">
      <c r="A2639" s="254">
        <v>3543</v>
      </c>
      <c r="B2639" s="254" t="s">
        <v>22719</v>
      </c>
      <c r="C2639" s="254" t="s">
        <v>4521</v>
      </c>
      <c r="D2639" s="255" t="s">
        <v>14354</v>
      </c>
      <c r="E2639" s="253" t="s">
        <v>170</v>
      </c>
    </row>
    <row r="2640" spans="1:5" ht="15">
      <c r="A2640" s="254">
        <v>3482</v>
      </c>
      <c r="B2640" s="254" t="s">
        <v>22720</v>
      </c>
      <c r="C2640" s="254" t="s">
        <v>4521</v>
      </c>
      <c r="D2640" s="255" t="s">
        <v>18138</v>
      </c>
      <c r="E2640" s="253" t="s">
        <v>170</v>
      </c>
    </row>
    <row r="2641" spans="1:5" ht="15">
      <c r="A2641" s="254">
        <v>3505</v>
      </c>
      <c r="B2641" s="254" t="s">
        <v>22721</v>
      </c>
      <c r="C2641" s="254" t="s">
        <v>4521</v>
      </c>
      <c r="D2641" s="255" t="s">
        <v>14368</v>
      </c>
      <c r="E2641" s="253" t="s">
        <v>170</v>
      </c>
    </row>
    <row r="2642" spans="1:5" ht="15">
      <c r="A2642" s="254">
        <v>3516</v>
      </c>
      <c r="B2642" s="254" t="s">
        <v>22722</v>
      </c>
      <c r="C2642" s="254" t="s">
        <v>4521</v>
      </c>
      <c r="D2642" s="255" t="s">
        <v>13989</v>
      </c>
      <c r="E2642" s="253" t="s">
        <v>170</v>
      </c>
    </row>
    <row r="2643" spans="1:5" ht="15">
      <c r="A2643" s="254">
        <v>3517</v>
      </c>
      <c r="B2643" s="254" t="s">
        <v>22723</v>
      </c>
      <c r="C2643" s="254" t="s">
        <v>4521</v>
      </c>
      <c r="D2643" s="255" t="s">
        <v>22724</v>
      </c>
      <c r="E2643" s="253" t="s">
        <v>170</v>
      </c>
    </row>
    <row r="2644" spans="1:5" ht="30">
      <c r="A2644" s="254">
        <v>3515</v>
      </c>
      <c r="B2644" s="254" t="s">
        <v>22725</v>
      </c>
      <c r="C2644" s="254" t="s">
        <v>4521</v>
      </c>
      <c r="D2644" s="255" t="s">
        <v>14015</v>
      </c>
      <c r="E2644" s="253" t="s">
        <v>170</v>
      </c>
    </row>
    <row r="2645" spans="1:5" ht="30">
      <c r="A2645" s="254">
        <v>20147</v>
      </c>
      <c r="B2645" s="254" t="s">
        <v>22726</v>
      </c>
      <c r="C2645" s="254" t="s">
        <v>4521</v>
      </c>
      <c r="D2645" s="255" t="s">
        <v>13761</v>
      </c>
      <c r="E2645" s="253" t="s">
        <v>170</v>
      </c>
    </row>
    <row r="2646" spans="1:5" ht="30">
      <c r="A2646" s="254">
        <v>3524</v>
      </c>
      <c r="B2646" s="254" t="s">
        <v>22727</v>
      </c>
      <c r="C2646" s="254" t="s">
        <v>4521</v>
      </c>
      <c r="D2646" s="255" t="s">
        <v>18746</v>
      </c>
      <c r="E2646" s="253" t="s">
        <v>170</v>
      </c>
    </row>
    <row r="2647" spans="1:5" ht="30">
      <c r="A2647" s="254">
        <v>3532</v>
      </c>
      <c r="B2647" s="254" t="s">
        <v>22728</v>
      </c>
      <c r="C2647" s="254" t="s">
        <v>4521</v>
      </c>
      <c r="D2647" s="255" t="s">
        <v>17045</v>
      </c>
      <c r="E2647" s="253" t="s">
        <v>170</v>
      </c>
    </row>
    <row r="2648" spans="1:5" ht="15">
      <c r="A2648" s="254">
        <v>3528</v>
      </c>
      <c r="B2648" s="254" t="s">
        <v>22729</v>
      </c>
      <c r="C2648" s="254" t="s">
        <v>4521</v>
      </c>
      <c r="D2648" s="255" t="s">
        <v>22730</v>
      </c>
      <c r="E2648" s="253" t="s">
        <v>170</v>
      </c>
    </row>
    <row r="2649" spans="1:5" ht="15">
      <c r="A2649" s="254">
        <v>37952</v>
      </c>
      <c r="B2649" s="254" t="s">
        <v>22731</v>
      </c>
      <c r="C2649" s="254" t="s">
        <v>4521</v>
      </c>
      <c r="D2649" s="255" t="s">
        <v>21240</v>
      </c>
      <c r="E2649" s="253" t="s">
        <v>170</v>
      </c>
    </row>
    <row r="2650" spans="1:5" ht="15">
      <c r="A2650" s="254">
        <v>37951</v>
      </c>
      <c r="B2650" s="254" t="s">
        <v>22732</v>
      </c>
      <c r="C2650" s="254" t="s">
        <v>4521</v>
      </c>
      <c r="D2650" s="255" t="s">
        <v>14295</v>
      </c>
      <c r="E2650" s="253" t="s">
        <v>170</v>
      </c>
    </row>
    <row r="2651" spans="1:5" ht="15">
      <c r="A2651" s="254">
        <v>3518</v>
      </c>
      <c r="B2651" s="254" t="s">
        <v>22733</v>
      </c>
      <c r="C2651" s="254" t="s">
        <v>4521</v>
      </c>
      <c r="D2651" s="255" t="s">
        <v>15809</v>
      </c>
      <c r="E2651" s="253" t="s">
        <v>170</v>
      </c>
    </row>
    <row r="2652" spans="1:5" ht="15">
      <c r="A2652" s="254">
        <v>3519</v>
      </c>
      <c r="B2652" s="254" t="s">
        <v>22734</v>
      </c>
      <c r="C2652" s="254" t="s">
        <v>4521</v>
      </c>
      <c r="D2652" s="255" t="s">
        <v>13924</v>
      </c>
      <c r="E2652" s="253" t="s">
        <v>170</v>
      </c>
    </row>
    <row r="2653" spans="1:5" ht="15">
      <c r="A2653" s="254">
        <v>3520</v>
      </c>
      <c r="B2653" s="254" t="s">
        <v>22735</v>
      </c>
      <c r="C2653" s="254" t="s">
        <v>4521</v>
      </c>
      <c r="D2653" s="255" t="s">
        <v>14423</v>
      </c>
      <c r="E2653" s="253" t="s">
        <v>170</v>
      </c>
    </row>
    <row r="2654" spans="1:5" ht="15">
      <c r="A2654" s="254">
        <v>37950</v>
      </c>
      <c r="B2654" s="254" t="s">
        <v>22736</v>
      </c>
      <c r="C2654" s="254" t="s">
        <v>4521</v>
      </c>
      <c r="D2654" s="255" t="s">
        <v>22709</v>
      </c>
      <c r="E2654" s="253" t="s">
        <v>170</v>
      </c>
    </row>
    <row r="2655" spans="1:5" ht="15">
      <c r="A2655" s="254">
        <v>37949</v>
      </c>
      <c r="B2655" s="254" t="s">
        <v>22737</v>
      </c>
      <c r="C2655" s="254" t="s">
        <v>4521</v>
      </c>
      <c r="D2655" s="255" t="s">
        <v>14475</v>
      </c>
      <c r="E2655" s="253" t="s">
        <v>170</v>
      </c>
    </row>
    <row r="2656" spans="1:5" ht="15">
      <c r="A2656" s="254">
        <v>3526</v>
      </c>
      <c r="B2656" s="254" t="s">
        <v>22738</v>
      </c>
      <c r="C2656" s="254" t="s">
        <v>4521</v>
      </c>
      <c r="D2656" s="255" t="s">
        <v>14216</v>
      </c>
      <c r="E2656" s="253" t="s">
        <v>170</v>
      </c>
    </row>
    <row r="2657" spans="1:5" ht="15">
      <c r="A2657" s="254">
        <v>3509</v>
      </c>
      <c r="B2657" s="254" t="s">
        <v>22739</v>
      </c>
      <c r="C2657" s="254" t="s">
        <v>4521</v>
      </c>
      <c r="D2657" s="255" t="s">
        <v>13616</v>
      </c>
      <c r="E2657" s="253" t="s">
        <v>170</v>
      </c>
    </row>
    <row r="2658" spans="1:5" ht="15">
      <c r="A2658" s="254">
        <v>3530</v>
      </c>
      <c r="B2658" s="254" t="s">
        <v>22740</v>
      </c>
      <c r="C2658" s="254" t="s">
        <v>4521</v>
      </c>
      <c r="D2658" s="255" t="s">
        <v>22741</v>
      </c>
      <c r="E2658" s="253" t="s">
        <v>170</v>
      </c>
    </row>
    <row r="2659" spans="1:5" ht="15">
      <c r="A2659" s="254">
        <v>3542</v>
      </c>
      <c r="B2659" s="254" t="s">
        <v>22742</v>
      </c>
      <c r="C2659" s="254" t="s">
        <v>4521</v>
      </c>
      <c r="D2659" s="255" t="s">
        <v>14064</v>
      </c>
      <c r="E2659" s="253" t="s">
        <v>170</v>
      </c>
    </row>
    <row r="2660" spans="1:5" ht="15">
      <c r="A2660" s="254">
        <v>3529</v>
      </c>
      <c r="B2660" s="254" t="s">
        <v>22743</v>
      </c>
      <c r="C2660" s="254" t="s">
        <v>4521</v>
      </c>
      <c r="D2660" s="255" t="s">
        <v>15247</v>
      </c>
      <c r="E2660" s="253" t="s">
        <v>170</v>
      </c>
    </row>
    <row r="2661" spans="1:5" ht="15">
      <c r="A2661" s="254">
        <v>3536</v>
      </c>
      <c r="B2661" s="254" t="s">
        <v>22744</v>
      </c>
      <c r="C2661" s="254" t="s">
        <v>4521</v>
      </c>
      <c r="D2661" s="255" t="s">
        <v>22745</v>
      </c>
      <c r="E2661" s="253" t="s">
        <v>170</v>
      </c>
    </row>
    <row r="2662" spans="1:5" ht="15">
      <c r="A2662" s="254">
        <v>3535</v>
      </c>
      <c r="B2662" s="254" t="s">
        <v>22746</v>
      </c>
      <c r="C2662" s="254" t="s">
        <v>4521</v>
      </c>
      <c r="D2662" s="255" t="s">
        <v>21007</v>
      </c>
      <c r="E2662" s="253" t="s">
        <v>170</v>
      </c>
    </row>
    <row r="2663" spans="1:5" ht="15">
      <c r="A2663" s="254">
        <v>3540</v>
      </c>
      <c r="B2663" s="254" t="s">
        <v>22747</v>
      </c>
      <c r="C2663" s="254" t="s">
        <v>4521</v>
      </c>
      <c r="D2663" s="255" t="s">
        <v>18853</v>
      </c>
      <c r="E2663" s="253" t="s">
        <v>170</v>
      </c>
    </row>
    <row r="2664" spans="1:5" ht="15">
      <c r="A2664" s="254">
        <v>3539</v>
      </c>
      <c r="B2664" s="254" t="s">
        <v>22748</v>
      </c>
      <c r="C2664" s="254" t="s">
        <v>4521</v>
      </c>
      <c r="D2664" s="255" t="s">
        <v>18895</v>
      </c>
      <c r="E2664" s="253" t="s">
        <v>170</v>
      </c>
    </row>
    <row r="2665" spans="1:5" ht="15">
      <c r="A2665" s="254">
        <v>3513</v>
      </c>
      <c r="B2665" s="254" t="s">
        <v>22749</v>
      </c>
      <c r="C2665" s="254" t="s">
        <v>4521</v>
      </c>
      <c r="D2665" s="255" t="s">
        <v>22750</v>
      </c>
      <c r="E2665" s="253" t="s">
        <v>170</v>
      </c>
    </row>
    <row r="2666" spans="1:5" ht="15">
      <c r="A2666" s="254">
        <v>3492</v>
      </c>
      <c r="B2666" s="254" t="s">
        <v>22751</v>
      </c>
      <c r="C2666" s="254" t="s">
        <v>4521</v>
      </c>
      <c r="D2666" s="255" t="s">
        <v>22752</v>
      </c>
      <c r="E2666" s="253" t="s">
        <v>170</v>
      </c>
    </row>
    <row r="2667" spans="1:5" ht="15">
      <c r="A2667" s="254">
        <v>3491</v>
      </c>
      <c r="B2667" s="254" t="s">
        <v>22753</v>
      </c>
      <c r="C2667" s="254" t="s">
        <v>4521</v>
      </c>
      <c r="D2667" s="255" t="s">
        <v>22754</v>
      </c>
      <c r="E2667" s="253" t="s">
        <v>170</v>
      </c>
    </row>
    <row r="2668" spans="1:5" ht="15">
      <c r="A2668" s="254">
        <v>3493</v>
      </c>
      <c r="B2668" s="254" t="s">
        <v>22755</v>
      </c>
      <c r="C2668" s="254" t="s">
        <v>4521</v>
      </c>
      <c r="D2668" s="255" t="s">
        <v>18563</v>
      </c>
      <c r="E2668" s="253" t="s">
        <v>170</v>
      </c>
    </row>
    <row r="2669" spans="1:5" ht="30">
      <c r="A2669" s="254">
        <v>12628</v>
      </c>
      <c r="B2669" s="254" t="s">
        <v>22756</v>
      </c>
      <c r="C2669" s="254" t="s">
        <v>4521</v>
      </c>
      <c r="D2669" s="255" t="s">
        <v>17000</v>
      </c>
      <c r="E2669" s="253" t="s">
        <v>170</v>
      </c>
    </row>
    <row r="2670" spans="1:5" ht="30">
      <c r="A2670" s="254">
        <v>12629</v>
      </c>
      <c r="B2670" s="254" t="s">
        <v>22757</v>
      </c>
      <c r="C2670" s="254" t="s">
        <v>4521</v>
      </c>
      <c r="D2670" s="255" t="s">
        <v>15718</v>
      </c>
      <c r="E2670" s="253" t="s">
        <v>170</v>
      </c>
    </row>
    <row r="2671" spans="1:5" ht="15">
      <c r="A2671" s="254">
        <v>3481</v>
      </c>
      <c r="B2671" s="254" t="s">
        <v>22758</v>
      </c>
      <c r="C2671" s="254" t="s">
        <v>4521</v>
      </c>
      <c r="D2671" s="255" t="s">
        <v>17625</v>
      </c>
      <c r="E2671" s="253" t="s">
        <v>170</v>
      </c>
    </row>
    <row r="2672" spans="1:5" ht="15">
      <c r="A2672" s="254">
        <v>3510</v>
      </c>
      <c r="B2672" s="254" t="s">
        <v>22759</v>
      </c>
      <c r="C2672" s="254" t="s">
        <v>4521</v>
      </c>
      <c r="D2672" s="255" t="s">
        <v>14481</v>
      </c>
      <c r="E2672" s="253" t="s">
        <v>170</v>
      </c>
    </row>
    <row r="2673" spans="1:5" ht="15">
      <c r="A2673" s="254">
        <v>3508</v>
      </c>
      <c r="B2673" s="254" t="s">
        <v>22760</v>
      </c>
      <c r="C2673" s="254" t="s">
        <v>4521</v>
      </c>
      <c r="D2673" s="255" t="s">
        <v>20221</v>
      </c>
      <c r="E2673" s="253" t="s">
        <v>170</v>
      </c>
    </row>
    <row r="2674" spans="1:5" ht="30">
      <c r="A2674" s="254">
        <v>38939</v>
      </c>
      <c r="B2674" s="254" t="s">
        <v>22761</v>
      </c>
      <c r="C2674" s="254" t="s">
        <v>4521</v>
      </c>
      <c r="D2674" s="255" t="s">
        <v>22762</v>
      </c>
      <c r="E2674" s="253" t="s">
        <v>170</v>
      </c>
    </row>
    <row r="2675" spans="1:5" ht="30">
      <c r="A2675" s="254">
        <v>38940</v>
      </c>
      <c r="B2675" s="254" t="s">
        <v>22763</v>
      </c>
      <c r="C2675" s="254" t="s">
        <v>4521</v>
      </c>
      <c r="D2675" s="255" t="s">
        <v>14033</v>
      </c>
      <c r="E2675" s="253" t="s">
        <v>170</v>
      </c>
    </row>
    <row r="2676" spans="1:5" ht="30">
      <c r="A2676" s="254">
        <v>38941</v>
      </c>
      <c r="B2676" s="254" t="s">
        <v>22764</v>
      </c>
      <c r="C2676" s="254" t="s">
        <v>4521</v>
      </c>
      <c r="D2676" s="255" t="s">
        <v>15600</v>
      </c>
      <c r="E2676" s="253" t="s">
        <v>170</v>
      </c>
    </row>
    <row r="2677" spans="1:5" ht="30">
      <c r="A2677" s="254">
        <v>38942</v>
      </c>
      <c r="B2677" s="254" t="s">
        <v>22765</v>
      </c>
      <c r="C2677" s="254" t="s">
        <v>4521</v>
      </c>
      <c r="D2677" s="255" t="s">
        <v>22766</v>
      </c>
      <c r="E2677" s="253" t="s">
        <v>170</v>
      </c>
    </row>
    <row r="2678" spans="1:5" ht="30">
      <c r="A2678" s="254">
        <v>38987</v>
      </c>
      <c r="B2678" s="254" t="s">
        <v>22767</v>
      </c>
      <c r="C2678" s="254" t="s">
        <v>4521</v>
      </c>
      <c r="D2678" s="255" t="s">
        <v>15466</v>
      </c>
      <c r="E2678" s="253" t="s">
        <v>170</v>
      </c>
    </row>
    <row r="2679" spans="1:5" ht="30">
      <c r="A2679" s="254">
        <v>38988</v>
      </c>
      <c r="B2679" s="254" t="s">
        <v>22768</v>
      </c>
      <c r="C2679" s="254" t="s">
        <v>4521</v>
      </c>
      <c r="D2679" s="255" t="s">
        <v>20568</v>
      </c>
      <c r="E2679" s="253" t="s">
        <v>170</v>
      </c>
    </row>
    <row r="2680" spans="1:5" ht="30">
      <c r="A2680" s="254">
        <v>38989</v>
      </c>
      <c r="B2680" s="254" t="s">
        <v>22769</v>
      </c>
      <c r="C2680" s="254" t="s">
        <v>4521</v>
      </c>
      <c r="D2680" s="255" t="s">
        <v>19424</v>
      </c>
      <c r="E2680" s="253" t="s">
        <v>170</v>
      </c>
    </row>
    <row r="2681" spans="1:5" ht="30">
      <c r="A2681" s="254">
        <v>38990</v>
      </c>
      <c r="B2681" s="254" t="s">
        <v>22770</v>
      </c>
      <c r="C2681" s="254" t="s">
        <v>4521</v>
      </c>
      <c r="D2681" s="255" t="s">
        <v>22771</v>
      </c>
      <c r="E2681" s="253" t="s">
        <v>170</v>
      </c>
    </row>
    <row r="2682" spans="1:5" ht="30">
      <c r="A2682" s="254">
        <v>38991</v>
      </c>
      <c r="B2682" s="254" t="s">
        <v>22772</v>
      </c>
      <c r="C2682" s="254" t="s">
        <v>4521</v>
      </c>
      <c r="D2682" s="255" t="s">
        <v>22773</v>
      </c>
      <c r="E2682" s="253" t="s">
        <v>170</v>
      </c>
    </row>
    <row r="2683" spans="1:5" ht="30">
      <c r="A2683" s="254">
        <v>38913</v>
      </c>
      <c r="B2683" s="254" t="s">
        <v>22774</v>
      </c>
      <c r="C2683" s="254" t="s">
        <v>4521</v>
      </c>
      <c r="D2683" s="255" t="s">
        <v>13625</v>
      </c>
      <c r="E2683" s="253" t="s">
        <v>170</v>
      </c>
    </row>
    <row r="2684" spans="1:5" ht="30">
      <c r="A2684" s="254">
        <v>38914</v>
      </c>
      <c r="B2684" s="254" t="s">
        <v>22775</v>
      </c>
      <c r="C2684" s="254" t="s">
        <v>4521</v>
      </c>
      <c r="D2684" s="255" t="s">
        <v>16534</v>
      </c>
      <c r="E2684" s="253" t="s">
        <v>170</v>
      </c>
    </row>
    <row r="2685" spans="1:5" ht="30">
      <c r="A2685" s="254">
        <v>38915</v>
      </c>
      <c r="B2685" s="254" t="s">
        <v>22776</v>
      </c>
      <c r="C2685" s="254" t="s">
        <v>4521</v>
      </c>
      <c r="D2685" s="255" t="s">
        <v>22777</v>
      </c>
      <c r="E2685" s="253" t="s">
        <v>170</v>
      </c>
    </row>
    <row r="2686" spans="1:5" ht="30">
      <c r="A2686" s="254">
        <v>38916</v>
      </c>
      <c r="B2686" s="254" t="s">
        <v>22778</v>
      </c>
      <c r="C2686" s="254" t="s">
        <v>4521</v>
      </c>
      <c r="D2686" s="255" t="s">
        <v>22779</v>
      </c>
      <c r="E2686" s="253" t="s">
        <v>170</v>
      </c>
    </row>
    <row r="2687" spans="1:5" ht="30">
      <c r="A2687" s="254">
        <v>39300</v>
      </c>
      <c r="B2687" s="254" t="s">
        <v>22780</v>
      </c>
      <c r="C2687" s="254" t="s">
        <v>4521</v>
      </c>
      <c r="D2687" s="255" t="s">
        <v>15494</v>
      </c>
      <c r="E2687" s="253" t="s">
        <v>170</v>
      </c>
    </row>
    <row r="2688" spans="1:5" ht="30">
      <c r="A2688" s="254">
        <v>39301</v>
      </c>
      <c r="B2688" s="254" t="s">
        <v>22781</v>
      </c>
      <c r="C2688" s="254" t="s">
        <v>4521</v>
      </c>
      <c r="D2688" s="255" t="s">
        <v>16570</v>
      </c>
      <c r="E2688" s="253" t="s">
        <v>170</v>
      </c>
    </row>
    <row r="2689" spans="1:5" ht="30">
      <c r="A2689" s="254">
        <v>39302</v>
      </c>
      <c r="B2689" s="254" t="s">
        <v>22782</v>
      </c>
      <c r="C2689" s="254" t="s">
        <v>4521</v>
      </c>
      <c r="D2689" s="255" t="s">
        <v>22783</v>
      </c>
      <c r="E2689" s="253" t="s">
        <v>170</v>
      </c>
    </row>
    <row r="2690" spans="1:5" ht="30">
      <c r="A2690" s="254">
        <v>39303</v>
      </c>
      <c r="B2690" s="254" t="s">
        <v>22784</v>
      </c>
      <c r="C2690" s="254" t="s">
        <v>4521</v>
      </c>
      <c r="D2690" s="255" t="s">
        <v>22785</v>
      </c>
      <c r="E2690" s="253" t="s">
        <v>170</v>
      </c>
    </row>
    <row r="2691" spans="1:5" ht="30">
      <c r="A2691" s="254">
        <v>38923</v>
      </c>
      <c r="B2691" s="254" t="s">
        <v>22786</v>
      </c>
      <c r="C2691" s="254" t="s">
        <v>4521</v>
      </c>
      <c r="D2691" s="255" t="s">
        <v>22787</v>
      </c>
      <c r="E2691" s="253" t="s">
        <v>170</v>
      </c>
    </row>
    <row r="2692" spans="1:5" ht="30">
      <c r="A2692" s="254">
        <v>38925</v>
      </c>
      <c r="B2692" s="254" t="s">
        <v>22788</v>
      </c>
      <c r="C2692" s="254" t="s">
        <v>4521</v>
      </c>
      <c r="D2692" s="255" t="s">
        <v>22789</v>
      </c>
      <c r="E2692" s="253" t="s">
        <v>170</v>
      </c>
    </row>
    <row r="2693" spans="1:5" ht="30">
      <c r="A2693" s="254">
        <v>38926</v>
      </c>
      <c r="B2693" s="254" t="s">
        <v>22790</v>
      </c>
      <c r="C2693" s="254" t="s">
        <v>4521</v>
      </c>
      <c r="D2693" s="255" t="s">
        <v>15239</v>
      </c>
      <c r="E2693" s="253" t="s">
        <v>170</v>
      </c>
    </row>
    <row r="2694" spans="1:5" ht="30">
      <c r="A2694" s="254">
        <v>38927</v>
      </c>
      <c r="B2694" s="254" t="s">
        <v>22791</v>
      </c>
      <c r="C2694" s="254" t="s">
        <v>4521</v>
      </c>
      <c r="D2694" s="255" t="s">
        <v>15787</v>
      </c>
      <c r="E2694" s="253" t="s">
        <v>170</v>
      </c>
    </row>
    <row r="2695" spans="1:5" ht="30">
      <c r="A2695" s="254">
        <v>39304</v>
      </c>
      <c r="B2695" s="254" t="s">
        <v>22792</v>
      </c>
      <c r="C2695" s="254" t="s">
        <v>4521</v>
      </c>
      <c r="D2695" s="255" t="s">
        <v>22793</v>
      </c>
      <c r="E2695" s="253" t="s">
        <v>170</v>
      </c>
    </row>
    <row r="2696" spans="1:5" ht="30">
      <c r="A2696" s="254">
        <v>38924</v>
      </c>
      <c r="B2696" s="254" t="s">
        <v>22794</v>
      </c>
      <c r="C2696" s="254" t="s">
        <v>4521</v>
      </c>
      <c r="D2696" s="255" t="s">
        <v>13903</v>
      </c>
      <c r="E2696" s="253" t="s">
        <v>170</v>
      </c>
    </row>
    <row r="2697" spans="1:5" ht="30">
      <c r="A2697" s="254">
        <v>39305</v>
      </c>
      <c r="B2697" s="254" t="s">
        <v>22795</v>
      </c>
      <c r="C2697" s="254" t="s">
        <v>4521</v>
      </c>
      <c r="D2697" s="255" t="s">
        <v>15597</v>
      </c>
      <c r="E2697" s="253" t="s">
        <v>170</v>
      </c>
    </row>
    <row r="2698" spans="1:5" ht="30">
      <c r="A2698" s="254">
        <v>39306</v>
      </c>
      <c r="B2698" s="254" t="s">
        <v>22796</v>
      </c>
      <c r="C2698" s="254" t="s">
        <v>4521</v>
      </c>
      <c r="D2698" s="255" t="s">
        <v>22797</v>
      </c>
      <c r="E2698" s="253" t="s">
        <v>170</v>
      </c>
    </row>
    <row r="2699" spans="1:5" ht="30">
      <c r="A2699" s="254">
        <v>38928</v>
      </c>
      <c r="B2699" s="254" t="s">
        <v>22798</v>
      </c>
      <c r="C2699" s="254" t="s">
        <v>4521</v>
      </c>
      <c r="D2699" s="255" t="s">
        <v>17526</v>
      </c>
      <c r="E2699" s="253" t="s">
        <v>170</v>
      </c>
    </row>
    <row r="2700" spans="1:5" ht="30">
      <c r="A2700" s="254">
        <v>38929</v>
      </c>
      <c r="B2700" s="254" t="s">
        <v>22799</v>
      </c>
      <c r="C2700" s="254" t="s">
        <v>4521</v>
      </c>
      <c r="D2700" s="255" t="s">
        <v>14571</v>
      </c>
      <c r="E2700" s="253" t="s">
        <v>170</v>
      </c>
    </row>
    <row r="2701" spans="1:5" ht="30">
      <c r="A2701" s="254">
        <v>39307</v>
      </c>
      <c r="B2701" s="254" t="s">
        <v>22800</v>
      </c>
      <c r="C2701" s="254" t="s">
        <v>4521</v>
      </c>
      <c r="D2701" s="255" t="s">
        <v>18566</v>
      </c>
      <c r="E2701" s="253" t="s">
        <v>170</v>
      </c>
    </row>
    <row r="2702" spans="1:5" ht="30">
      <c r="A2702" s="254">
        <v>38930</v>
      </c>
      <c r="B2702" s="254" t="s">
        <v>22801</v>
      </c>
      <c r="C2702" s="254" t="s">
        <v>4521</v>
      </c>
      <c r="D2702" s="255" t="s">
        <v>22802</v>
      </c>
      <c r="E2702" s="253" t="s">
        <v>170</v>
      </c>
    </row>
    <row r="2703" spans="1:5" ht="30">
      <c r="A2703" s="254">
        <v>38931</v>
      </c>
      <c r="B2703" s="254" t="s">
        <v>22803</v>
      </c>
      <c r="C2703" s="254" t="s">
        <v>4521</v>
      </c>
      <c r="D2703" s="255" t="s">
        <v>22804</v>
      </c>
      <c r="E2703" s="253" t="s">
        <v>170</v>
      </c>
    </row>
    <row r="2704" spans="1:5" ht="30">
      <c r="A2704" s="254">
        <v>38932</v>
      </c>
      <c r="B2704" s="254" t="s">
        <v>22805</v>
      </c>
      <c r="C2704" s="254" t="s">
        <v>4521</v>
      </c>
      <c r="D2704" s="255" t="s">
        <v>16456</v>
      </c>
      <c r="E2704" s="253" t="s">
        <v>170</v>
      </c>
    </row>
    <row r="2705" spans="1:5" ht="30">
      <c r="A2705" s="254">
        <v>38934</v>
      </c>
      <c r="B2705" s="254" t="s">
        <v>22806</v>
      </c>
      <c r="C2705" s="254" t="s">
        <v>4521</v>
      </c>
      <c r="D2705" s="255" t="s">
        <v>14480</v>
      </c>
      <c r="E2705" s="253" t="s">
        <v>170</v>
      </c>
    </row>
    <row r="2706" spans="1:5" ht="30">
      <c r="A2706" s="254">
        <v>38935</v>
      </c>
      <c r="B2706" s="254" t="s">
        <v>22807</v>
      </c>
      <c r="C2706" s="254" t="s">
        <v>4521</v>
      </c>
      <c r="D2706" s="255" t="s">
        <v>22752</v>
      </c>
      <c r="E2706" s="253" t="s">
        <v>170</v>
      </c>
    </row>
    <row r="2707" spans="1:5" ht="30">
      <c r="A2707" s="254">
        <v>38936</v>
      </c>
      <c r="B2707" s="254" t="s">
        <v>22808</v>
      </c>
      <c r="C2707" s="254" t="s">
        <v>4521</v>
      </c>
      <c r="D2707" s="255" t="s">
        <v>19424</v>
      </c>
      <c r="E2707" s="253" t="s">
        <v>170</v>
      </c>
    </row>
    <row r="2708" spans="1:5" ht="30">
      <c r="A2708" s="254">
        <v>38937</v>
      </c>
      <c r="B2708" s="254" t="s">
        <v>22809</v>
      </c>
      <c r="C2708" s="254" t="s">
        <v>4521</v>
      </c>
      <c r="D2708" s="255" t="s">
        <v>14582</v>
      </c>
      <c r="E2708" s="253" t="s">
        <v>170</v>
      </c>
    </row>
    <row r="2709" spans="1:5" ht="30">
      <c r="A2709" s="254">
        <v>38938</v>
      </c>
      <c r="B2709" s="254" t="s">
        <v>22810</v>
      </c>
      <c r="C2709" s="254" t="s">
        <v>4521</v>
      </c>
      <c r="D2709" s="255" t="s">
        <v>22811</v>
      </c>
      <c r="E2709" s="253" t="s">
        <v>170</v>
      </c>
    </row>
    <row r="2710" spans="1:5" ht="15">
      <c r="A2710" s="254">
        <v>3489</v>
      </c>
      <c r="B2710" s="254" t="s">
        <v>22812</v>
      </c>
      <c r="C2710" s="254" t="s">
        <v>4521</v>
      </c>
      <c r="D2710" s="255" t="s">
        <v>15725</v>
      </c>
      <c r="E2710" s="253" t="s">
        <v>170</v>
      </c>
    </row>
    <row r="2711" spans="1:5" ht="15">
      <c r="A2711" s="254">
        <v>20151</v>
      </c>
      <c r="B2711" s="254" t="s">
        <v>22813</v>
      </c>
      <c r="C2711" s="254" t="s">
        <v>4521</v>
      </c>
      <c r="D2711" s="255" t="s">
        <v>21344</v>
      </c>
      <c r="E2711" s="253" t="s">
        <v>170</v>
      </c>
    </row>
    <row r="2712" spans="1:5" ht="15">
      <c r="A2712" s="254">
        <v>20152</v>
      </c>
      <c r="B2712" s="254" t="s">
        <v>22814</v>
      </c>
      <c r="C2712" s="254" t="s">
        <v>4521</v>
      </c>
      <c r="D2712" s="255" t="s">
        <v>22815</v>
      </c>
      <c r="E2712" s="253" t="s">
        <v>170</v>
      </c>
    </row>
    <row r="2713" spans="1:5" ht="15">
      <c r="A2713" s="254">
        <v>20148</v>
      </c>
      <c r="B2713" s="254" t="s">
        <v>22816</v>
      </c>
      <c r="C2713" s="254" t="s">
        <v>4521</v>
      </c>
      <c r="D2713" s="255" t="s">
        <v>13945</v>
      </c>
      <c r="E2713" s="253" t="s">
        <v>170</v>
      </c>
    </row>
    <row r="2714" spans="1:5" ht="15">
      <c r="A2714" s="254">
        <v>20149</v>
      </c>
      <c r="B2714" s="254" t="s">
        <v>22817</v>
      </c>
      <c r="C2714" s="254" t="s">
        <v>4521</v>
      </c>
      <c r="D2714" s="255" t="s">
        <v>22818</v>
      </c>
      <c r="E2714" s="253" t="s">
        <v>170</v>
      </c>
    </row>
    <row r="2715" spans="1:5" ht="15">
      <c r="A2715" s="254">
        <v>20150</v>
      </c>
      <c r="B2715" s="254" t="s">
        <v>22819</v>
      </c>
      <c r="C2715" s="254" t="s">
        <v>4521</v>
      </c>
      <c r="D2715" s="255" t="s">
        <v>15439</v>
      </c>
      <c r="E2715" s="253" t="s">
        <v>170</v>
      </c>
    </row>
    <row r="2716" spans="1:5" ht="15">
      <c r="A2716" s="254">
        <v>20157</v>
      </c>
      <c r="B2716" s="254" t="s">
        <v>22820</v>
      </c>
      <c r="C2716" s="254" t="s">
        <v>4521</v>
      </c>
      <c r="D2716" s="255" t="s">
        <v>22516</v>
      </c>
      <c r="E2716" s="253" t="s">
        <v>170</v>
      </c>
    </row>
    <row r="2717" spans="1:5" ht="15">
      <c r="A2717" s="254">
        <v>20158</v>
      </c>
      <c r="B2717" s="254" t="s">
        <v>22821</v>
      </c>
      <c r="C2717" s="254" t="s">
        <v>4521</v>
      </c>
      <c r="D2717" s="255" t="s">
        <v>22822</v>
      </c>
      <c r="E2717" s="253" t="s">
        <v>170</v>
      </c>
    </row>
    <row r="2718" spans="1:5" ht="15">
      <c r="A2718" s="254">
        <v>20154</v>
      </c>
      <c r="B2718" s="254" t="s">
        <v>22823</v>
      </c>
      <c r="C2718" s="254" t="s">
        <v>4521</v>
      </c>
      <c r="D2718" s="255" t="s">
        <v>14330</v>
      </c>
      <c r="E2718" s="253" t="s">
        <v>170</v>
      </c>
    </row>
    <row r="2719" spans="1:5" ht="15">
      <c r="A2719" s="254">
        <v>20155</v>
      </c>
      <c r="B2719" s="254" t="s">
        <v>22824</v>
      </c>
      <c r="C2719" s="254" t="s">
        <v>4521</v>
      </c>
      <c r="D2719" s="255" t="s">
        <v>16429</v>
      </c>
      <c r="E2719" s="253" t="s">
        <v>170</v>
      </c>
    </row>
    <row r="2720" spans="1:5" ht="15">
      <c r="A2720" s="254">
        <v>20156</v>
      </c>
      <c r="B2720" s="254" t="s">
        <v>22825</v>
      </c>
      <c r="C2720" s="254" t="s">
        <v>4521</v>
      </c>
      <c r="D2720" s="255" t="s">
        <v>22826</v>
      </c>
      <c r="E2720" s="253" t="s">
        <v>170</v>
      </c>
    </row>
    <row r="2721" spans="1:5" ht="15">
      <c r="A2721" s="254">
        <v>3512</v>
      </c>
      <c r="B2721" s="254" t="s">
        <v>22827</v>
      </c>
      <c r="C2721" s="254" t="s">
        <v>4521</v>
      </c>
      <c r="D2721" s="255" t="s">
        <v>22828</v>
      </c>
      <c r="E2721" s="253" t="s">
        <v>170</v>
      </c>
    </row>
    <row r="2722" spans="1:5" ht="15">
      <c r="A2722" s="254">
        <v>3499</v>
      </c>
      <c r="B2722" s="254" t="s">
        <v>22829</v>
      </c>
      <c r="C2722" s="254" t="s">
        <v>4521</v>
      </c>
      <c r="D2722" s="255" t="s">
        <v>14183</v>
      </c>
      <c r="E2722" s="253" t="s">
        <v>170</v>
      </c>
    </row>
    <row r="2723" spans="1:5" ht="15">
      <c r="A2723" s="254">
        <v>3500</v>
      </c>
      <c r="B2723" s="254" t="s">
        <v>22830</v>
      </c>
      <c r="C2723" s="254" t="s">
        <v>4521</v>
      </c>
      <c r="D2723" s="255" t="s">
        <v>14000</v>
      </c>
      <c r="E2723" s="253" t="s">
        <v>170</v>
      </c>
    </row>
    <row r="2724" spans="1:5" ht="15">
      <c r="A2724" s="254">
        <v>3501</v>
      </c>
      <c r="B2724" s="254" t="s">
        <v>22831</v>
      </c>
      <c r="C2724" s="254" t="s">
        <v>4521</v>
      </c>
      <c r="D2724" s="255" t="s">
        <v>17524</v>
      </c>
      <c r="E2724" s="253" t="s">
        <v>170</v>
      </c>
    </row>
    <row r="2725" spans="1:5" ht="15">
      <c r="A2725" s="254">
        <v>3502</v>
      </c>
      <c r="B2725" s="254" t="s">
        <v>22832</v>
      </c>
      <c r="C2725" s="254" t="s">
        <v>4521</v>
      </c>
      <c r="D2725" s="255" t="s">
        <v>14034</v>
      </c>
      <c r="E2725" s="253" t="s">
        <v>170</v>
      </c>
    </row>
    <row r="2726" spans="1:5" ht="15">
      <c r="A2726" s="254">
        <v>3503</v>
      </c>
      <c r="B2726" s="254" t="s">
        <v>22833</v>
      </c>
      <c r="C2726" s="254" t="s">
        <v>4521</v>
      </c>
      <c r="D2726" s="255" t="s">
        <v>13620</v>
      </c>
      <c r="E2726" s="253" t="s">
        <v>170</v>
      </c>
    </row>
    <row r="2727" spans="1:5" ht="15">
      <c r="A2727" s="254">
        <v>3477</v>
      </c>
      <c r="B2727" s="254" t="s">
        <v>22834</v>
      </c>
      <c r="C2727" s="254" t="s">
        <v>4521</v>
      </c>
      <c r="D2727" s="255" t="s">
        <v>22835</v>
      </c>
      <c r="E2727" s="253" t="s">
        <v>170</v>
      </c>
    </row>
    <row r="2728" spans="1:5" ht="15">
      <c r="A2728" s="254">
        <v>3478</v>
      </c>
      <c r="B2728" s="254" t="s">
        <v>22836</v>
      </c>
      <c r="C2728" s="254" t="s">
        <v>4521</v>
      </c>
      <c r="D2728" s="255" t="s">
        <v>22837</v>
      </c>
      <c r="E2728" s="253" t="s">
        <v>170</v>
      </c>
    </row>
    <row r="2729" spans="1:5" ht="15">
      <c r="A2729" s="254">
        <v>3525</v>
      </c>
      <c r="B2729" s="254" t="s">
        <v>22838</v>
      </c>
      <c r="C2729" s="254" t="s">
        <v>4521</v>
      </c>
      <c r="D2729" s="255" t="s">
        <v>22839</v>
      </c>
      <c r="E2729" s="253" t="s">
        <v>170</v>
      </c>
    </row>
    <row r="2730" spans="1:5" ht="15">
      <c r="A2730" s="254">
        <v>3511</v>
      </c>
      <c r="B2730" s="254" t="s">
        <v>22840</v>
      </c>
      <c r="C2730" s="254" t="s">
        <v>4521</v>
      </c>
      <c r="D2730" s="255" t="s">
        <v>22841</v>
      </c>
      <c r="E2730" s="253" t="s">
        <v>170</v>
      </c>
    </row>
    <row r="2731" spans="1:5" ht="30">
      <c r="A2731" s="254">
        <v>38917</v>
      </c>
      <c r="B2731" s="254" t="s">
        <v>22842</v>
      </c>
      <c r="C2731" s="254" t="s">
        <v>4521</v>
      </c>
      <c r="D2731" s="255" t="s">
        <v>15734</v>
      </c>
      <c r="E2731" s="253" t="s">
        <v>170</v>
      </c>
    </row>
    <row r="2732" spans="1:5" ht="30">
      <c r="A2732" s="254">
        <v>38919</v>
      </c>
      <c r="B2732" s="254" t="s">
        <v>22843</v>
      </c>
      <c r="C2732" s="254" t="s">
        <v>4521</v>
      </c>
      <c r="D2732" s="255" t="s">
        <v>18493</v>
      </c>
      <c r="E2732" s="253" t="s">
        <v>170</v>
      </c>
    </row>
    <row r="2733" spans="1:5" ht="30">
      <c r="A2733" s="254">
        <v>38922</v>
      </c>
      <c r="B2733" s="254" t="s">
        <v>22844</v>
      </c>
      <c r="C2733" s="254" t="s">
        <v>4521</v>
      </c>
      <c r="D2733" s="255" t="s">
        <v>16585</v>
      </c>
      <c r="E2733" s="253" t="s">
        <v>170</v>
      </c>
    </row>
    <row r="2734" spans="1:5" ht="30">
      <c r="A2734" s="254">
        <v>38921</v>
      </c>
      <c r="B2734" s="254" t="s">
        <v>22845</v>
      </c>
      <c r="C2734" s="254" t="s">
        <v>4521</v>
      </c>
      <c r="D2734" s="255" t="s">
        <v>16485</v>
      </c>
      <c r="E2734" s="253" t="s">
        <v>170</v>
      </c>
    </row>
    <row r="2735" spans="1:5" ht="30">
      <c r="A2735" s="254">
        <v>38918</v>
      </c>
      <c r="B2735" s="254" t="s">
        <v>22846</v>
      </c>
      <c r="C2735" s="254" t="s">
        <v>4521</v>
      </c>
      <c r="D2735" s="255" t="s">
        <v>17979</v>
      </c>
      <c r="E2735" s="253" t="s">
        <v>170</v>
      </c>
    </row>
    <row r="2736" spans="1:5" ht="30">
      <c r="A2736" s="254">
        <v>38920</v>
      </c>
      <c r="B2736" s="254" t="s">
        <v>22847</v>
      </c>
      <c r="C2736" s="254" t="s">
        <v>4521</v>
      </c>
      <c r="D2736" s="255" t="s">
        <v>18168</v>
      </c>
      <c r="E2736" s="253" t="s">
        <v>170</v>
      </c>
    </row>
    <row r="2737" spans="1:5" ht="45">
      <c r="A2737" s="254">
        <v>3104</v>
      </c>
      <c r="B2737" s="254" t="s">
        <v>22848</v>
      </c>
      <c r="C2737" s="254" t="s">
        <v>4535</v>
      </c>
      <c r="D2737" s="255" t="s">
        <v>22849</v>
      </c>
      <c r="E2737" s="253" t="s">
        <v>170</v>
      </c>
    </row>
    <row r="2738" spans="1:5" ht="30">
      <c r="A2738" s="254">
        <v>12032</v>
      </c>
      <c r="B2738" s="254" t="s">
        <v>22850</v>
      </c>
      <c r="C2738" s="254" t="s">
        <v>4531</v>
      </c>
      <c r="D2738" s="255" t="s">
        <v>22851</v>
      </c>
      <c r="E2738" s="253" t="s">
        <v>170</v>
      </c>
    </row>
    <row r="2739" spans="1:5" ht="30">
      <c r="A2739" s="254">
        <v>12030</v>
      </c>
      <c r="B2739" s="254" t="s">
        <v>22852</v>
      </c>
      <c r="C2739" s="254" t="s">
        <v>4531</v>
      </c>
      <c r="D2739" s="255" t="s">
        <v>14078</v>
      </c>
      <c r="E2739" s="253" t="s">
        <v>170</v>
      </c>
    </row>
    <row r="2740" spans="1:5" ht="30">
      <c r="A2740" s="254">
        <v>10908</v>
      </c>
      <c r="B2740" s="254" t="s">
        <v>22853</v>
      </c>
      <c r="C2740" s="254" t="s">
        <v>4521</v>
      </c>
      <c r="D2740" s="255" t="s">
        <v>16942</v>
      </c>
      <c r="E2740" s="253" t="s">
        <v>170</v>
      </c>
    </row>
    <row r="2741" spans="1:5" ht="30">
      <c r="A2741" s="254">
        <v>10909</v>
      </c>
      <c r="B2741" s="254" t="s">
        <v>22854</v>
      </c>
      <c r="C2741" s="254" t="s">
        <v>4521</v>
      </c>
      <c r="D2741" s="255" t="s">
        <v>20307</v>
      </c>
      <c r="E2741" s="253" t="s">
        <v>170</v>
      </c>
    </row>
    <row r="2742" spans="1:5" ht="30">
      <c r="A2742" s="254">
        <v>3669</v>
      </c>
      <c r="B2742" s="254" t="s">
        <v>22855</v>
      </c>
      <c r="C2742" s="254" t="s">
        <v>4521</v>
      </c>
      <c r="D2742" s="255" t="s">
        <v>20946</v>
      </c>
      <c r="E2742" s="253" t="s">
        <v>170</v>
      </c>
    </row>
    <row r="2743" spans="1:5" ht="30">
      <c r="A2743" s="254">
        <v>20138</v>
      </c>
      <c r="B2743" s="254" t="s">
        <v>22856</v>
      </c>
      <c r="C2743" s="254" t="s">
        <v>4521</v>
      </c>
      <c r="D2743" s="255" t="s">
        <v>16110</v>
      </c>
      <c r="E2743" s="253" t="s">
        <v>170</v>
      </c>
    </row>
    <row r="2744" spans="1:5" ht="15">
      <c r="A2744" s="254">
        <v>20139</v>
      </c>
      <c r="B2744" s="254" t="s">
        <v>22857</v>
      </c>
      <c r="C2744" s="254" t="s">
        <v>4521</v>
      </c>
      <c r="D2744" s="255" t="s">
        <v>22858</v>
      </c>
      <c r="E2744" s="253" t="s">
        <v>170</v>
      </c>
    </row>
    <row r="2745" spans="1:5" ht="30">
      <c r="A2745" s="254">
        <v>3668</v>
      </c>
      <c r="B2745" s="254" t="s">
        <v>22859</v>
      </c>
      <c r="C2745" s="254" t="s">
        <v>4521</v>
      </c>
      <c r="D2745" s="255" t="s">
        <v>22860</v>
      </c>
      <c r="E2745" s="253" t="s">
        <v>170</v>
      </c>
    </row>
    <row r="2746" spans="1:5" ht="30">
      <c r="A2746" s="254">
        <v>3656</v>
      </c>
      <c r="B2746" s="254" t="s">
        <v>22861</v>
      </c>
      <c r="C2746" s="254" t="s">
        <v>4521</v>
      </c>
      <c r="D2746" s="255" t="s">
        <v>22862</v>
      </c>
      <c r="E2746" s="253" t="s">
        <v>170</v>
      </c>
    </row>
    <row r="2747" spans="1:5" ht="30">
      <c r="A2747" s="254">
        <v>10911</v>
      </c>
      <c r="B2747" s="254" t="s">
        <v>22863</v>
      </c>
      <c r="C2747" s="254" t="s">
        <v>4521</v>
      </c>
      <c r="D2747" s="256" t="s">
        <v>14254</v>
      </c>
      <c r="E2747" s="253" t="s">
        <v>170</v>
      </c>
    </row>
    <row r="2748" spans="1:5" ht="15">
      <c r="A2748" s="254">
        <v>3654</v>
      </c>
      <c r="B2748" s="254" t="s">
        <v>22864</v>
      </c>
      <c r="C2748" s="254" t="s">
        <v>4521</v>
      </c>
      <c r="D2748" s="255" t="s">
        <v>14297</v>
      </c>
      <c r="E2748" s="253" t="s">
        <v>170</v>
      </c>
    </row>
    <row r="2749" spans="1:5" ht="15">
      <c r="A2749" s="254">
        <v>3664</v>
      </c>
      <c r="B2749" s="254" t="s">
        <v>22865</v>
      </c>
      <c r="C2749" s="254" t="s">
        <v>4521</v>
      </c>
      <c r="D2749" s="255" t="s">
        <v>16495</v>
      </c>
      <c r="E2749" s="253" t="s">
        <v>170</v>
      </c>
    </row>
    <row r="2750" spans="1:5" ht="15">
      <c r="A2750" s="254">
        <v>3657</v>
      </c>
      <c r="B2750" s="254" t="s">
        <v>22866</v>
      </c>
      <c r="C2750" s="254" t="s">
        <v>4521</v>
      </c>
      <c r="D2750" s="255" t="s">
        <v>16454</v>
      </c>
      <c r="E2750" s="253" t="s">
        <v>170</v>
      </c>
    </row>
    <row r="2751" spans="1:5" ht="30">
      <c r="A2751" s="254">
        <v>12625</v>
      </c>
      <c r="B2751" s="254" t="s">
        <v>22867</v>
      </c>
      <c r="C2751" s="254" t="s">
        <v>4521</v>
      </c>
      <c r="D2751" s="255" t="s">
        <v>15469</v>
      </c>
      <c r="E2751" s="253" t="s">
        <v>170</v>
      </c>
    </row>
    <row r="2752" spans="1:5" ht="15">
      <c r="A2752" s="254">
        <v>20136</v>
      </c>
      <c r="B2752" s="254" t="s">
        <v>22868</v>
      </c>
      <c r="C2752" s="254" t="s">
        <v>4521</v>
      </c>
      <c r="D2752" s="255" t="s">
        <v>22869</v>
      </c>
      <c r="E2752" s="253" t="s">
        <v>170</v>
      </c>
    </row>
    <row r="2753" spans="1:5" ht="15">
      <c r="A2753" s="254">
        <v>20144</v>
      </c>
      <c r="B2753" s="254" t="s">
        <v>22870</v>
      </c>
      <c r="C2753" s="254" t="s">
        <v>4521</v>
      </c>
      <c r="D2753" s="255" t="s">
        <v>22871</v>
      </c>
      <c r="E2753" s="253" t="s">
        <v>170</v>
      </c>
    </row>
    <row r="2754" spans="1:5" ht="15">
      <c r="A2754" s="254">
        <v>20143</v>
      </c>
      <c r="B2754" s="254" t="s">
        <v>22872</v>
      </c>
      <c r="C2754" s="254" t="s">
        <v>4521</v>
      </c>
      <c r="D2754" s="255" t="s">
        <v>21919</v>
      </c>
      <c r="E2754" s="253" t="s">
        <v>170</v>
      </c>
    </row>
    <row r="2755" spans="1:5" ht="15">
      <c r="A2755" s="254">
        <v>20145</v>
      </c>
      <c r="B2755" s="254" t="s">
        <v>22873</v>
      </c>
      <c r="C2755" s="254" t="s">
        <v>4521</v>
      </c>
      <c r="D2755" s="255" t="s">
        <v>22874</v>
      </c>
      <c r="E2755" s="253" t="s">
        <v>170</v>
      </c>
    </row>
    <row r="2756" spans="1:5" ht="15">
      <c r="A2756" s="254">
        <v>20146</v>
      </c>
      <c r="B2756" s="254" t="s">
        <v>22875</v>
      </c>
      <c r="C2756" s="254" t="s">
        <v>4521</v>
      </c>
      <c r="D2756" s="255" t="s">
        <v>22876</v>
      </c>
      <c r="E2756" s="253" t="s">
        <v>170</v>
      </c>
    </row>
    <row r="2757" spans="1:5" ht="15">
      <c r="A2757" s="254">
        <v>20140</v>
      </c>
      <c r="B2757" s="254" t="s">
        <v>22877</v>
      </c>
      <c r="C2757" s="254" t="s">
        <v>4521</v>
      </c>
      <c r="D2757" s="255" t="s">
        <v>17632</v>
      </c>
      <c r="E2757" s="253" t="s">
        <v>170</v>
      </c>
    </row>
    <row r="2758" spans="1:5" ht="15">
      <c r="A2758" s="254">
        <v>20141</v>
      </c>
      <c r="B2758" s="254" t="s">
        <v>22878</v>
      </c>
      <c r="C2758" s="254" t="s">
        <v>4521</v>
      </c>
      <c r="D2758" s="255" t="s">
        <v>22879</v>
      </c>
      <c r="E2758" s="253" t="s">
        <v>170</v>
      </c>
    </row>
    <row r="2759" spans="1:5" ht="15">
      <c r="A2759" s="254">
        <v>20142</v>
      </c>
      <c r="B2759" s="254" t="s">
        <v>22880</v>
      </c>
      <c r="C2759" s="254" t="s">
        <v>4521</v>
      </c>
      <c r="D2759" s="255" t="s">
        <v>22881</v>
      </c>
      <c r="E2759" s="253" t="s">
        <v>170</v>
      </c>
    </row>
    <row r="2760" spans="1:5" ht="15">
      <c r="A2760" s="254">
        <v>3659</v>
      </c>
      <c r="B2760" s="254" t="s">
        <v>22882</v>
      </c>
      <c r="C2760" s="254" t="s">
        <v>4521</v>
      </c>
      <c r="D2760" s="255" t="s">
        <v>16481</v>
      </c>
      <c r="E2760" s="253" t="s">
        <v>170</v>
      </c>
    </row>
    <row r="2761" spans="1:5" ht="15">
      <c r="A2761" s="254">
        <v>3660</v>
      </c>
      <c r="B2761" s="254" t="s">
        <v>22883</v>
      </c>
      <c r="C2761" s="254" t="s">
        <v>4521</v>
      </c>
      <c r="D2761" s="256" t="s">
        <v>16502</v>
      </c>
      <c r="E2761" s="253" t="s">
        <v>170</v>
      </c>
    </row>
    <row r="2762" spans="1:5" ht="15">
      <c r="A2762" s="254">
        <v>3662</v>
      </c>
      <c r="B2762" s="254" t="s">
        <v>22884</v>
      </c>
      <c r="C2762" s="254" t="s">
        <v>4521</v>
      </c>
      <c r="D2762" s="256" t="s">
        <v>14441</v>
      </c>
      <c r="E2762" s="253" t="s">
        <v>170</v>
      </c>
    </row>
    <row r="2763" spans="1:5" ht="15">
      <c r="A2763" s="254">
        <v>3661</v>
      </c>
      <c r="B2763" s="254" t="s">
        <v>22885</v>
      </c>
      <c r="C2763" s="254" t="s">
        <v>4521</v>
      </c>
      <c r="D2763" s="256" t="s">
        <v>17629</v>
      </c>
      <c r="E2763" s="253" t="s">
        <v>170</v>
      </c>
    </row>
    <row r="2764" spans="1:5" ht="15">
      <c r="A2764" s="254">
        <v>3658</v>
      </c>
      <c r="B2764" s="254" t="s">
        <v>22886</v>
      </c>
      <c r="C2764" s="254" t="s">
        <v>4521</v>
      </c>
      <c r="D2764" s="256" t="s">
        <v>22887</v>
      </c>
      <c r="E2764" s="253" t="s">
        <v>170</v>
      </c>
    </row>
    <row r="2765" spans="1:5" ht="30">
      <c r="A2765" s="254">
        <v>3670</v>
      </c>
      <c r="B2765" s="254" t="s">
        <v>22888</v>
      </c>
      <c r="C2765" s="254" t="s">
        <v>4521</v>
      </c>
      <c r="D2765" s="255" t="s">
        <v>16987</v>
      </c>
      <c r="E2765" s="253" t="s">
        <v>170</v>
      </c>
    </row>
    <row r="2766" spans="1:5" ht="30">
      <c r="A2766" s="254">
        <v>3666</v>
      </c>
      <c r="B2766" s="254" t="s">
        <v>22889</v>
      </c>
      <c r="C2766" s="254" t="s">
        <v>4521</v>
      </c>
      <c r="D2766" s="255" t="s">
        <v>19488</v>
      </c>
      <c r="E2766" s="253" t="s">
        <v>170</v>
      </c>
    </row>
    <row r="2767" spans="1:5" ht="15">
      <c r="A2767" s="254">
        <v>14157</v>
      </c>
      <c r="B2767" s="254" t="s">
        <v>22890</v>
      </c>
      <c r="C2767" s="254" t="s">
        <v>4521</v>
      </c>
      <c r="D2767" s="255" t="s">
        <v>17874</v>
      </c>
      <c r="E2767" s="253" t="s">
        <v>170</v>
      </c>
    </row>
    <row r="2768" spans="1:5" ht="30">
      <c r="A2768" s="254">
        <v>3653</v>
      </c>
      <c r="B2768" s="254" t="s">
        <v>22891</v>
      </c>
      <c r="C2768" s="254" t="s">
        <v>4521</v>
      </c>
      <c r="D2768" s="255" t="s">
        <v>17756</v>
      </c>
      <c r="E2768" s="253" t="s">
        <v>170</v>
      </c>
    </row>
    <row r="2769" spans="1:5" ht="30">
      <c r="A2769" s="254">
        <v>3649</v>
      </c>
      <c r="B2769" s="254" t="s">
        <v>22892</v>
      </c>
      <c r="C2769" s="254" t="s">
        <v>4521</v>
      </c>
      <c r="D2769" s="255" t="s">
        <v>22893</v>
      </c>
      <c r="E2769" s="253" t="s">
        <v>170</v>
      </c>
    </row>
    <row r="2770" spans="1:5" ht="30">
      <c r="A2770" s="254">
        <v>42696</v>
      </c>
      <c r="B2770" s="254" t="s">
        <v>22894</v>
      </c>
      <c r="C2770" s="254" t="s">
        <v>4521</v>
      </c>
      <c r="D2770" s="256" t="s">
        <v>22895</v>
      </c>
      <c r="E2770" s="253" t="s">
        <v>170</v>
      </c>
    </row>
    <row r="2771" spans="1:5" ht="30">
      <c r="A2771" s="254">
        <v>42697</v>
      </c>
      <c r="B2771" s="254" t="s">
        <v>22896</v>
      </c>
      <c r="C2771" s="254" t="s">
        <v>4521</v>
      </c>
      <c r="D2771" s="255" t="s">
        <v>22897</v>
      </c>
      <c r="E2771" s="253" t="s">
        <v>170</v>
      </c>
    </row>
    <row r="2772" spans="1:5" ht="30">
      <c r="A2772" s="254">
        <v>42698</v>
      </c>
      <c r="B2772" s="254" t="s">
        <v>22898</v>
      </c>
      <c r="C2772" s="254" t="s">
        <v>4521</v>
      </c>
      <c r="D2772" s="255" t="s">
        <v>22899</v>
      </c>
      <c r="E2772" s="253" t="s">
        <v>170</v>
      </c>
    </row>
    <row r="2773" spans="1:5" ht="15">
      <c r="A2773" s="254">
        <v>39875</v>
      </c>
      <c r="B2773" s="254" t="s">
        <v>22900</v>
      </c>
      <c r="C2773" s="254" t="s">
        <v>4521</v>
      </c>
      <c r="D2773" s="255" t="s">
        <v>22901</v>
      </c>
      <c r="E2773" s="253" t="s">
        <v>170</v>
      </c>
    </row>
    <row r="2774" spans="1:5" ht="15">
      <c r="A2774" s="254">
        <v>39876</v>
      </c>
      <c r="B2774" s="254" t="s">
        <v>22902</v>
      </c>
      <c r="C2774" s="254" t="s">
        <v>4521</v>
      </c>
      <c r="D2774" s="255" t="s">
        <v>22903</v>
      </c>
      <c r="E2774" s="253" t="s">
        <v>170</v>
      </c>
    </row>
    <row r="2775" spans="1:5" ht="15">
      <c r="A2775" s="254">
        <v>39877</v>
      </c>
      <c r="B2775" s="254" t="s">
        <v>22904</v>
      </c>
      <c r="C2775" s="254" t="s">
        <v>4521</v>
      </c>
      <c r="D2775" s="255" t="s">
        <v>22905</v>
      </c>
      <c r="E2775" s="253" t="s">
        <v>170</v>
      </c>
    </row>
    <row r="2776" spans="1:5" ht="15">
      <c r="A2776" s="254">
        <v>39878</v>
      </c>
      <c r="B2776" s="254" t="s">
        <v>22906</v>
      </c>
      <c r="C2776" s="254" t="s">
        <v>4521</v>
      </c>
      <c r="D2776" s="255" t="s">
        <v>22907</v>
      </c>
      <c r="E2776" s="253" t="s">
        <v>170</v>
      </c>
    </row>
    <row r="2777" spans="1:5" ht="15">
      <c r="A2777" s="254">
        <v>39872</v>
      </c>
      <c r="B2777" s="254" t="s">
        <v>22908</v>
      </c>
      <c r="C2777" s="254" t="s">
        <v>4521</v>
      </c>
      <c r="D2777" s="255" t="s">
        <v>22909</v>
      </c>
      <c r="E2777" s="253" t="s">
        <v>170</v>
      </c>
    </row>
    <row r="2778" spans="1:5" ht="15">
      <c r="A2778" s="254">
        <v>39873</v>
      </c>
      <c r="B2778" s="254" t="s">
        <v>22910</v>
      </c>
      <c r="C2778" s="254" t="s">
        <v>4521</v>
      </c>
      <c r="D2778" s="255" t="s">
        <v>22911</v>
      </c>
      <c r="E2778" s="253" t="s">
        <v>170</v>
      </c>
    </row>
    <row r="2779" spans="1:5" ht="15">
      <c r="A2779" s="254">
        <v>39874</v>
      </c>
      <c r="B2779" s="254" t="s">
        <v>22912</v>
      </c>
      <c r="C2779" s="254" t="s">
        <v>4521</v>
      </c>
      <c r="D2779" s="255" t="s">
        <v>22913</v>
      </c>
      <c r="E2779" s="253" t="s">
        <v>170</v>
      </c>
    </row>
    <row r="2780" spans="1:5" ht="15">
      <c r="A2780" s="254">
        <v>3674</v>
      </c>
      <c r="B2780" s="254" t="s">
        <v>22914</v>
      </c>
      <c r="C2780" s="254" t="s">
        <v>4524</v>
      </c>
      <c r="D2780" s="255" t="s">
        <v>22915</v>
      </c>
      <c r="E2780" s="253" t="s">
        <v>170</v>
      </c>
    </row>
    <row r="2781" spans="1:5" ht="15">
      <c r="A2781" s="254">
        <v>3681</v>
      </c>
      <c r="B2781" s="254" t="s">
        <v>22916</v>
      </c>
      <c r="C2781" s="254" t="s">
        <v>4524</v>
      </c>
      <c r="D2781" s="255" t="s">
        <v>22917</v>
      </c>
      <c r="E2781" s="253" t="s">
        <v>170</v>
      </c>
    </row>
    <row r="2782" spans="1:5" ht="15">
      <c r="A2782" s="254">
        <v>3676</v>
      </c>
      <c r="B2782" s="254" t="s">
        <v>22918</v>
      </c>
      <c r="C2782" s="254" t="s">
        <v>4524</v>
      </c>
      <c r="D2782" s="255" t="s">
        <v>22919</v>
      </c>
      <c r="E2782" s="253" t="s">
        <v>170</v>
      </c>
    </row>
    <row r="2783" spans="1:5" ht="15">
      <c r="A2783" s="254">
        <v>3679</v>
      </c>
      <c r="B2783" s="254" t="s">
        <v>22920</v>
      </c>
      <c r="C2783" s="254" t="s">
        <v>4524</v>
      </c>
      <c r="D2783" s="255" t="s">
        <v>22921</v>
      </c>
      <c r="E2783" s="253" t="s">
        <v>170</v>
      </c>
    </row>
    <row r="2784" spans="1:5" ht="30">
      <c r="A2784" s="254">
        <v>3672</v>
      </c>
      <c r="B2784" s="254" t="s">
        <v>22922</v>
      </c>
      <c r="C2784" s="254" t="s">
        <v>4524</v>
      </c>
      <c r="D2784" s="255" t="s">
        <v>18792</v>
      </c>
      <c r="E2784" s="253" t="s">
        <v>170</v>
      </c>
    </row>
    <row r="2785" spans="1:5" ht="30">
      <c r="A2785" s="254">
        <v>3671</v>
      </c>
      <c r="B2785" s="254" t="s">
        <v>22923</v>
      </c>
      <c r="C2785" s="254" t="s">
        <v>4524</v>
      </c>
      <c r="D2785" s="255" t="s">
        <v>14036</v>
      </c>
      <c r="E2785" s="253" t="s">
        <v>170</v>
      </c>
    </row>
    <row r="2786" spans="1:5" ht="30">
      <c r="A2786" s="254">
        <v>3673</v>
      </c>
      <c r="B2786" s="254" t="s">
        <v>22924</v>
      </c>
      <c r="C2786" s="254" t="s">
        <v>4524</v>
      </c>
      <c r="D2786" s="255" t="s">
        <v>18521</v>
      </c>
      <c r="E2786" s="253" t="s">
        <v>170</v>
      </c>
    </row>
    <row r="2787" spans="1:5" ht="30">
      <c r="A2787" s="254">
        <v>38394</v>
      </c>
      <c r="B2787" s="254" t="s">
        <v>22925</v>
      </c>
      <c r="C2787" s="254" t="s">
        <v>4521</v>
      </c>
      <c r="D2787" s="255" t="s">
        <v>22926</v>
      </c>
      <c r="E2787" s="253" t="s">
        <v>170</v>
      </c>
    </row>
    <row r="2788" spans="1:5" ht="30">
      <c r="A2788" s="254">
        <v>3729</v>
      </c>
      <c r="B2788" s="254" t="s">
        <v>22927</v>
      </c>
      <c r="C2788" s="254" t="s">
        <v>4521</v>
      </c>
      <c r="D2788" s="255" t="s">
        <v>22928</v>
      </c>
      <c r="E2788" s="253" t="s">
        <v>170</v>
      </c>
    </row>
    <row r="2789" spans="1:5" ht="75">
      <c r="A2789" s="254">
        <v>39357</v>
      </c>
      <c r="B2789" s="254" t="s">
        <v>22929</v>
      </c>
      <c r="C2789" s="254" t="s">
        <v>4521</v>
      </c>
      <c r="D2789" s="255" t="s">
        <v>22930</v>
      </c>
      <c r="E2789" s="253" t="s">
        <v>170</v>
      </c>
    </row>
    <row r="2790" spans="1:5" ht="75">
      <c r="A2790" s="254">
        <v>39358</v>
      </c>
      <c r="B2790" s="254" t="s">
        <v>22931</v>
      </c>
      <c r="C2790" s="254" t="s">
        <v>4521</v>
      </c>
      <c r="D2790" s="255" t="s">
        <v>22932</v>
      </c>
      <c r="E2790" s="253" t="s">
        <v>170</v>
      </c>
    </row>
    <row r="2791" spans="1:5" ht="75">
      <c r="A2791" s="254">
        <v>39356</v>
      </c>
      <c r="B2791" s="254" t="s">
        <v>22933</v>
      </c>
      <c r="C2791" s="254" t="s">
        <v>4521</v>
      </c>
      <c r="D2791" s="255" t="s">
        <v>22934</v>
      </c>
      <c r="E2791" s="253" t="s">
        <v>170</v>
      </c>
    </row>
    <row r="2792" spans="1:5" ht="75">
      <c r="A2792" s="254">
        <v>39355</v>
      </c>
      <c r="B2792" s="254" t="s">
        <v>22935</v>
      </c>
      <c r="C2792" s="254" t="s">
        <v>4521</v>
      </c>
      <c r="D2792" s="255" t="s">
        <v>22936</v>
      </c>
      <c r="E2792" s="253" t="s">
        <v>170</v>
      </c>
    </row>
    <row r="2793" spans="1:5" ht="75">
      <c r="A2793" s="254">
        <v>39353</v>
      </c>
      <c r="B2793" s="254" t="s">
        <v>22937</v>
      </c>
      <c r="C2793" s="254" t="s">
        <v>4521</v>
      </c>
      <c r="D2793" s="255" t="s">
        <v>17241</v>
      </c>
      <c r="E2793" s="253" t="s">
        <v>170</v>
      </c>
    </row>
    <row r="2794" spans="1:5" ht="75">
      <c r="A2794" s="254">
        <v>39354</v>
      </c>
      <c r="B2794" s="254" t="s">
        <v>22938</v>
      </c>
      <c r="C2794" s="254" t="s">
        <v>4521</v>
      </c>
      <c r="D2794" s="255" t="s">
        <v>22939</v>
      </c>
      <c r="E2794" s="253" t="s">
        <v>170</v>
      </c>
    </row>
    <row r="2795" spans="1:5" ht="15">
      <c r="A2795" s="254">
        <v>39398</v>
      </c>
      <c r="B2795" s="254" t="s">
        <v>22940</v>
      </c>
      <c r="C2795" s="254" t="s">
        <v>4521</v>
      </c>
      <c r="D2795" s="255" t="s">
        <v>14432</v>
      </c>
      <c r="E2795" s="253" t="s">
        <v>170</v>
      </c>
    </row>
    <row r="2796" spans="1:5" ht="30">
      <c r="A2796" s="254">
        <v>13343</v>
      </c>
      <c r="B2796" s="254" t="s">
        <v>22941</v>
      </c>
      <c r="C2796" s="254" t="s">
        <v>4521</v>
      </c>
      <c r="D2796" s="255" t="s">
        <v>22942</v>
      </c>
      <c r="E2796" s="253" t="s">
        <v>170</v>
      </c>
    </row>
    <row r="2797" spans="1:5" ht="30">
      <c r="A2797" s="254">
        <v>12118</v>
      </c>
      <c r="B2797" s="254" t="s">
        <v>22943</v>
      </c>
      <c r="C2797" s="254" t="s">
        <v>4521</v>
      </c>
      <c r="D2797" s="255" t="s">
        <v>22944</v>
      </c>
      <c r="E2797" s="253" t="s">
        <v>170</v>
      </c>
    </row>
    <row r="2798" spans="1:5" ht="45">
      <c r="A2798" s="254">
        <v>39482</v>
      </c>
      <c r="B2798" s="254" t="s">
        <v>22945</v>
      </c>
      <c r="C2798" s="254" t="s">
        <v>4521</v>
      </c>
      <c r="D2798" s="255" t="s">
        <v>22946</v>
      </c>
      <c r="E2798" s="253" t="s">
        <v>170</v>
      </c>
    </row>
    <row r="2799" spans="1:5" ht="45">
      <c r="A2799" s="254">
        <v>39486</v>
      </c>
      <c r="B2799" s="254" t="s">
        <v>22947</v>
      </c>
      <c r="C2799" s="254" t="s">
        <v>4521</v>
      </c>
      <c r="D2799" s="255" t="s">
        <v>22948</v>
      </c>
      <c r="E2799" s="253" t="s">
        <v>170</v>
      </c>
    </row>
    <row r="2800" spans="1:5" ht="45">
      <c r="A2800" s="254">
        <v>39483</v>
      </c>
      <c r="B2800" s="254" t="s">
        <v>22949</v>
      </c>
      <c r="C2800" s="254" t="s">
        <v>4521</v>
      </c>
      <c r="D2800" s="255" t="s">
        <v>22950</v>
      </c>
      <c r="E2800" s="253" t="s">
        <v>170</v>
      </c>
    </row>
    <row r="2801" spans="1:5" ht="45">
      <c r="A2801" s="254">
        <v>39487</v>
      </c>
      <c r="B2801" s="254" t="s">
        <v>22951</v>
      </c>
      <c r="C2801" s="254" t="s">
        <v>4521</v>
      </c>
      <c r="D2801" s="255" t="s">
        <v>22952</v>
      </c>
      <c r="E2801" s="253" t="s">
        <v>170</v>
      </c>
    </row>
    <row r="2802" spans="1:5" ht="45">
      <c r="A2802" s="254">
        <v>39484</v>
      </c>
      <c r="B2802" s="254" t="s">
        <v>22953</v>
      </c>
      <c r="C2802" s="254" t="s">
        <v>4521</v>
      </c>
      <c r="D2802" s="255" t="s">
        <v>22954</v>
      </c>
      <c r="E2802" s="253" t="s">
        <v>170</v>
      </c>
    </row>
    <row r="2803" spans="1:5" ht="45">
      <c r="A2803" s="254">
        <v>39488</v>
      </c>
      <c r="B2803" s="254" t="s">
        <v>22955</v>
      </c>
      <c r="C2803" s="254" t="s">
        <v>4521</v>
      </c>
      <c r="D2803" s="255" t="s">
        <v>22956</v>
      </c>
      <c r="E2803" s="253" t="s">
        <v>170</v>
      </c>
    </row>
    <row r="2804" spans="1:5" ht="45">
      <c r="A2804" s="254">
        <v>39485</v>
      </c>
      <c r="B2804" s="254" t="s">
        <v>22957</v>
      </c>
      <c r="C2804" s="254" t="s">
        <v>4521</v>
      </c>
      <c r="D2804" s="255" t="s">
        <v>22958</v>
      </c>
      <c r="E2804" s="253" t="s">
        <v>170</v>
      </c>
    </row>
    <row r="2805" spans="1:5" ht="45">
      <c r="A2805" s="254">
        <v>39489</v>
      </c>
      <c r="B2805" s="254" t="s">
        <v>22959</v>
      </c>
      <c r="C2805" s="254" t="s">
        <v>4521</v>
      </c>
      <c r="D2805" s="255" t="s">
        <v>22960</v>
      </c>
      <c r="E2805" s="253" t="s">
        <v>170</v>
      </c>
    </row>
    <row r="2806" spans="1:5" ht="60">
      <c r="A2806" s="254">
        <v>39494</v>
      </c>
      <c r="B2806" s="254" t="s">
        <v>22961</v>
      </c>
      <c r="C2806" s="254" t="s">
        <v>4521</v>
      </c>
      <c r="D2806" s="255" t="s">
        <v>22962</v>
      </c>
      <c r="E2806" s="253" t="s">
        <v>170</v>
      </c>
    </row>
    <row r="2807" spans="1:5" ht="45">
      <c r="A2807" s="254">
        <v>39490</v>
      </c>
      <c r="B2807" s="254" t="s">
        <v>22963</v>
      </c>
      <c r="C2807" s="254" t="s">
        <v>4521</v>
      </c>
      <c r="D2807" s="255" t="s">
        <v>22964</v>
      </c>
      <c r="E2807" s="253" t="s">
        <v>170</v>
      </c>
    </row>
    <row r="2808" spans="1:5" ht="60">
      <c r="A2808" s="254">
        <v>39495</v>
      </c>
      <c r="B2808" s="254" t="s">
        <v>22965</v>
      </c>
      <c r="C2808" s="254" t="s">
        <v>4521</v>
      </c>
      <c r="D2808" s="255" t="s">
        <v>22946</v>
      </c>
      <c r="E2808" s="253" t="s">
        <v>170</v>
      </c>
    </row>
    <row r="2809" spans="1:5" ht="45">
      <c r="A2809" s="254">
        <v>39491</v>
      </c>
      <c r="B2809" s="254" t="s">
        <v>22966</v>
      </c>
      <c r="C2809" s="254" t="s">
        <v>4521</v>
      </c>
      <c r="D2809" s="255" t="s">
        <v>22967</v>
      </c>
      <c r="E2809" s="253" t="s">
        <v>170</v>
      </c>
    </row>
    <row r="2810" spans="1:5" ht="60">
      <c r="A2810" s="254">
        <v>39496</v>
      </c>
      <c r="B2810" s="254" t="s">
        <v>22968</v>
      </c>
      <c r="C2810" s="254" t="s">
        <v>4521</v>
      </c>
      <c r="D2810" s="255" t="s">
        <v>22969</v>
      </c>
      <c r="E2810" s="253" t="s">
        <v>170</v>
      </c>
    </row>
    <row r="2811" spans="1:5" ht="45">
      <c r="A2811" s="254">
        <v>39492</v>
      </c>
      <c r="B2811" s="254" t="s">
        <v>22970</v>
      </c>
      <c r="C2811" s="254" t="s">
        <v>4521</v>
      </c>
      <c r="D2811" s="255" t="s">
        <v>22971</v>
      </c>
      <c r="E2811" s="253" t="s">
        <v>170</v>
      </c>
    </row>
    <row r="2812" spans="1:5" ht="60">
      <c r="A2812" s="254">
        <v>39497</v>
      </c>
      <c r="B2812" s="254" t="s">
        <v>22972</v>
      </c>
      <c r="C2812" s="254" t="s">
        <v>4521</v>
      </c>
      <c r="D2812" s="255" t="s">
        <v>22973</v>
      </c>
      <c r="E2812" s="253" t="s">
        <v>170</v>
      </c>
    </row>
    <row r="2813" spans="1:5" ht="45">
      <c r="A2813" s="254">
        <v>39493</v>
      </c>
      <c r="B2813" s="254" t="s">
        <v>22974</v>
      </c>
      <c r="C2813" s="254" t="s">
        <v>4521</v>
      </c>
      <c r="D2813" s="255" t="s">
        <v>22975</v>
      </c>
      <c r="E2813" s="253" t="s">
        <v>170</v>
      </c>
    </row>
    <row r="2814" spans="1:5" ht="45">
      <c r="A2814" s="254">
        <v>39500</v>
      </c>
      <c r="B2814" s="254" t="s">
        <v>22976</v>
      </c>
      <c r="C2814" s="254" t="s">
        <v>4521</v>
      </c>
      <c r="D2814" s="255" t="s">
        <v>22977</v>
      </c>
      <c r="E2814" s="253" t="s">
        <v>170</v>
      </c>
    </row>
    <row r="2815" spans="1:5" ht="60">
      <c r="A2815" s="254">
        <v>39498</v>
      </c>
      <c r="B2815" s="254" t="s">
        <v>22978</v>
      </c>
      <c r="C2815" s="254" t="s">
        <v>4521</v>
      </c>
      <c r="D2815" s="255" t="s">
        <v>22979</v>
      </c>
      <c r="E2815" s="253" t="s">
        <v>170</v>
      </c>
    </row>
    <row r="2816" spans="1:5" ht="45">
      <c r="A2816" s="254">
        <v>39501</v>
      </c>
      <c r="B2816" s="254" t="s">
        <v>22980</v>
      </c>
      <c r="C2816" s="254" t="s">
        <v>4521</v>
      </c>
      <c r="D2816" s="255" t="s">
        <v>22981</v>
      </c>
      <c r="E2816" s="253" t="s">
        <v>170</v>
      </c>
    </row>
    <row r="2817" spans="1:5" ht="60">
      <c r="A2817" s="254">
        <v>39499</v>
      </c>
      <c r="B2817" s="254" t="s">
        <v>22982</v>
      </c>
      <c r="C2817" s="254" t="s">
        <v>4521</v>
      </c>
      <c r="D2817" s="255" t="s">
        <v>22983</v>
      </c>
      <c r="E2817" s="253" t="s">
        <v>170</v>
      </c>
    </row>
    <row r="2818" spans="1:5" ht="30">
      <c r="A2818" s="254">
        <v>3733</v>
      </c>
      <c r="B2818" s="254" t="s">
        <v>22984</v>
      </c>
      <c r="C2818" s="254" t="s">
        <v>4523</v>
      </c>
      <c r="D2818" s="255" t="s">
        <v>16604</v>
      </c>
      <c r="E2818" s="253" t="s">
        <v>170</v>
      </c>
    </row>
    <row r="2819" spans="1:5" ht="15">
      <c r="A2819" s="254">
        <v>3731</v>
      </c>
      <c r="B2819" s="254" t="s">
        <v>22985</v>
      </c>
      <c r="C2819" s="254" t="s">
        <v>4523</v>
      </c>
      <c r="D2819" s="255" t="s">
        <v>22986</v>
      </c>
      <c r="E2819" s="253" t="s">
        <v>170</v>
      </c>
    </row>
    <row r="2820" spans="1:5" ht="15">
      <c r="A2820" s="254">
        <v>38137</v>
      </c>
      <c r="B2820" s="254" t="s">
        <v>22987</v>
      </c>
      <c r="C2820" s="254" t="s">
        <v>4523</v>
      </c>
      <c r="D2820" s="255" t="s">
        <v>13980</v>
      </c>
      <c r="E2820" s="253" t="s">
        <v>170</v>
      </c>
    </row>
    <row r="2821" spans="1:5" ht="30">
      <c r="A2821" s="254">
        <v>38135</v>
      </c>
      <c r="B2821" s="254" t="s">
        <v>22988</v>
      </c>
      <c r="C2821" s="254" t="s">
        <v>4523</v>
      </c>
      <c r="D2821" s="255" t="s">
        <v>22989</v>
      </c>
      <c r="E2821" s="253" t="s">
        <v>170</v>
      </c>
    </row>
    <row r="2822" spans="1:5" ht="15">
      <c r="A2822" s="254">
        <v>38138</v>
      </c>
      <c r="B2822" s="254" t="s">
        <v>22990</v>
      </c>
      <c r="C2822" s="254" t="s">
        <v>4523</v>
      </c>
      <c r="D2822" s="255" t="s">
        <v>22991</v>
      </c>
      <c r="E2822" s="253" t="s">
        <v>170</v>
      </c>
    </row>
    <row r="2823" spans="1:5" ht="30">
      <c r="A2823" s="254">
        <v>3736</v>
      </c>
      <c r="B2823" s="254" t="s">
        <v>22992</v>
      </c>
      <c r="C2823" s="254" t="s">
        <v>4523</v>
      </c>
      <c r="D2823" s="255" t="s">
        <v>22993</v>
      </c>
      <c r="E2823" s="253" t="s">
        <v>170</v>
      </c>
    </row>
    <row r="2824" spans="1:5" ht="30">
      <c r="A2824" s="254">
        <v>3741</v>
      </c>
      <c r="B2824" s="254" t="s">
        <v>22994</v>
      </c>
      <c r="C2824" s="254" t="s">
        <v>4523</v>
      </c>
      <c r="D2824" s="255" t="s">
        <v>22995</v>
      </c>
      <c r="E2824" s="253" t="s">
        <v>170</v>
      </c>
    </row>
    <row r="2825" spans="1:5" ht="30">
      <c r="A2825" s="254">
        <v>3745</v>
      </c>
      <c r="B2825" s="254" t="s">
        <v>22996</v>
      </c>
      <c r="C2825" s="254" t="s">
        <v>4523</v>
      </c>
      <c r="D2825" s="255" t="s">
        <v>22997</v>
      </c>
      <c r="E2825" s="253" t="s">
        <v>170</v>
      </c>
    </row>
    <row r="2826" spans="1:5" ht="30">
      <c r="A2826" s="254">
        <v>3743</v>
      </c>
      <c r="B2826" s="254" t="s">
        <v>22998</v>
      </c>
      <c r="C2826" s="254" t="s">
        <v>4523</v>
      </c>
      <c r="D2826" s="255" t="s">
        <v>14298</v>
      </c>
      <c r="E2826" s="253" t="s">
        <v>170</v>
      </c>
    </row>
    <row r="2827" spans="1:5" ht="30">
      <c r="A2827" s="254">
        <v>3744</v>
      </c>
      <c r="B2827" s="254" t="s">
        <v>22999</v>
      </c>
      <c r="C2827" s="254" t="s">
        <v>4523</v>
      </c>
      <c r="D2827" s="255" t="s">
        <v>16703</v>
      </c>
      <c r="E2827" s="253" t="s">
        <v>170</v>
      </c>
    </row>
    <row r="2828" spans="1:5" ht="30">
      <c r="A2828" s="254">
        <v>3739</v>
      </c>
      <c r="B2828" s="254" t="s">
        <v>23000</v>
      </c>
      <c r="C2828" s="254" t="s">
        <v>4523</v>
      </c>
      <c r="D2828" s="255" t="s">
        <v>23001</v>
      </c>
      <c r="E2828" s="253" t="s">
        <v>170</v>
      </c>
    </row>
    <row r="2829" spans="1:5" ht="30">
      <c r="A2829" s="254">
        <v>3737</v>
      </c>
      <c r="B2829" s="254" t="s">
        <v>23002</v>
      </c>
      <c r="C2829" s="254" t="s">
        <v>4523</v>
      </c>
      <c r="D2829" s="255" t="s">
        <v>23003</v>
      </c>
      <c r="E2829" s="253" t="s">
        <v>170</v>
      </c>
    </row>
    <row r="2830" spans="1:5" ht="30">
      <c r="A2830" s="254">
        <v>3738</v>
      </c>
      <c r="B2830" s="254" t="s">
        <v>23004</v>
      </c>
      <c r="C2830" s="254" t="s">
        <v>4523</v>
      </c>
      <c r="D2830" s="255" t="s">
        <v>18847</v>
      </c>
      <c r="E2830" s="253" t="s">
        <v>170</v>
      </c>
    </row>
    <row r="2831" spans="1:5" ht="30">
      <c r="A2831" s="254">
        <v>3747</v>
      </c>
      <c r="B2831" s="254" t="s">
        <v>23005</v>
      </c>
      <c r="C2831" s="254" t="s">
        <v>4523</v>
      </c>
      <c r="D2831" s="255" t="s">
        <v>16703</v>
      </c>
      <c r="E2831" s="253" t="s">
        <v>170</v>
      </c>
    </row>
    <row r="2832" spans="1:5" ht="30">
      <c r="A2832" s="254">
        <v>11649</v>
      </c>
      <c r="B2832" s="254" t="s">
        <v>23006</v>
      </c>
      <c r="C2832" s="254" t="s">
        <v>4521</v>
      </c>
      <c r="D2832" s="255" t="s">
        <v>23007</v>
      </c>
      <c r="E2832" s="253" t="s">
        <v>170</v>
      </c>
    </row>
    <row r="2833" spans="1:5" ht="30">
      <c r="A2833" s="254">
        <v>11650</v>
      </c>
      <c r="B2833" s="254" t="s">
        <v>23008</v>
      </c>
      <c r="C2833" s="254" t="s">
        <v>4521</v>
      </c>
      <c r="D2833" s="255" t="s">
        <v>23009</v>
      </c>
      <c r="E2833" s="253" t="s">
        <v>170</v>
      </c>
    </row>
    <row r="2834" spans="1:5" ht="30">
      <c r="A2834" s="254">
        <v>3742</v>
      </c>
      <c r="B2834" s="254" t="s">
        <v>23010</v>
      </c>
      <c r="C2834" s="254" t="s">
        <v>4523</v>
      </c>
      <c r="D2834" s="255" t="s">
        <v>23011</v>
      </c>
      <c r="E2834" s="253" t="s">
        <v>170</v>
      </c>
    </row>
    <row r="2835" spans="1:5" ht="30">
      <c r="A2835" s="254">
        <v>3746</v>
      </c>
      <c r="B2835" s="254" t="s">
        <v>23012</v>
      </c>
      <c r="C2835" s="254" t="s">
        <v>4523</v>
      </c>
      <c r="D2835" s="255" t="s">
        <v>23013</v>
      </c>
      <c r="E2835" s="253" t="s">
        <v>170</v>
      </c>
    </row>
    <row r="2836" spans="1:5" ht="30">
      <c r="A2836" s="254">
        <v>21106</v>
      </c>
      <c r="B2836" s="254" t="s">
        <v>23014</v>
      </c>
      <c r="C2836" s="254" t="s">
        <v>4525</v>
      </c>
      <c r="D2836" s="255" t="s">
        <v>23015</v>
      </c>
      <c r="E2836" s="253" t="s">
        <v>170</v>
      </c>
    </row>
    <row r="2837" spans="1:5" ht="15">
      <c r="A2837" s="254">
        <v>3755</v>
      </c>
      <c r="B2837" s="254" t="s">
        <v>23016</v>
      </c>
      <c r="C2837" s="254" t="s">
        <v>4521</v>
      </c>
      <c r="D2837" s="255" t="s">
        <v>23017</v>
      </c>
      <c r="E2837" s="253" t="s">
        <v>170</v>
      </c>
    </row>
    <row r="2838" spans="1:5" ht="15">
      <c r="A2838" s="254">
        <v>3750</v>
      </c>
      <c r="B2838" s="254" t="s">
        <v>23018</v>
      </c>
      <c r="C2838" s="254" t="s">
        <v>4521</v>
      </c>
      <c r="D2838" s="255" t="s">
        <v>16594</v>
      </c>
      <c r="E2838" s="253" t="s">
        <v>170</v>
      </c>
    </row>
    <row r="2839" spans="1:5" ht="15">
      <c r="A2839" s="254">
        <v>3756</v>
      </c>
      <c r="B2839" s="254" t="s">
        <v>23019</v>
      </c>
      <c r="C2839" s="254" t="s">
        <v>4521</v>
      </c>
      <c r="D2839" s="255" t="s">
        <v>23020</v>
      </c>
      <c r="E2839" s="253" t="s">
        <v>170</v>
      </c>
    </row>
    <row r="2840" spans="1:5" ht="15">
      <c r="A2840" s="254">
        <v>39377</v>
      </c>
      <c r="B2840" s="254" t="s">
        <v>23021</v>
      </c>
      <c r="C2840" s="254" t="s">
        <v>4521</v>
      </c>
      <c r="D2840" s="255" t="s">
        <v>23022</v>
      </c>
      <c r="E2840" s="253" t="s">
        <v>170</v>
      </c>
    </row>
    <row r="2841" spans="1:5" ht="15">
      <c r="A2841" s="254">
        <v>38191</v>
      </c>
      <c r="B2841" s="254" t="s">
        <v>23023</v>
      </c>
      <c r="C2841" s="254" t="s">
        <v>4521</v>
      </c>
      <c r="D2841" s="255" t="s">
        <v>13525</v>
      </c>
      <c r="E2841" s="253" t="s">
        <v>170</v>
      </c>
    </row>
    <row r="2842" spans="1:5" ht="15">
      <c r="A2842" s="254">
        <v>39381</v>
      </c>
      <c r="B2842" s="254" t="s">
        <v>23024</v>
      </c>
      <c r="C2842" s="254" t="s">
        <v>4521</v>
      </c>
      <c r="D2842" s="255" t="s">
        <v>15734</v>
      </c>
      <c r="E2842" s="253" t="s">
        <v>170</v>
      </c>
    </row>
    <row r="2843" spans="1:5" ht="15">
      <c r="A2843" s="254">
        <v>38780</v>
      </c>
      <c r="B2843" s="254" t="s">
        <v>23025</v>
      </c>
      <c r="C2843" s="254" t="s">
        <v>4521</v>
      </c>
      <c r="D2843" s="255" t="s">
        <v>19512</v>
      </c>
      <c r="E2843" s="253" t="s">
        <v>170</v>
      </c>
    </row>
    <row r="2844" spans="1:5" ht="15">
      <c r="A2844" s="254">
        <v>38781</v>
      </c>
      <c r="B2844" s="254" t="s">
        <v>23026</v>
      </c>
      <c r="C2844" s="254" t="s">
        <v>4521</v>
      </c>
      <c r="D2844" s="255" t="s">
        <v>23027</v>
      </c>
      <c r="E2844" s="253" t="s">
        <v>170</v>
      </c>
    </row>
    <row r="2845" spans="1:5" ht="15">
      <c r="A2845" s="254">
        <v>38192</v>
      </c>
      <c r="B2845" s="254" t="s">
        <v>23028</v>
      </c>
      <c r="C2845" s="254" t="s">
        <v>4521</v>
      </c>
      <c r="D2845" s="255" t="s">
        <v>23029</v>
      </c>
      <c r="E2845" s="253" t="s">
        <v>170</v>
      </c>
    </row>
    <row r="2846" spans="1:5" ht="15">
      <c r="A2846" s="254">
        <v>3753</v>
      </c>
      <c r="B2846" s="254" t="s">
        <v>23030</v>
      </c>
      <c r="C2846" s="254" t="s">
        <v>4521</v>
      </c>
      <c r="D2846" s="255" t="s">
        <v>15426</v>
      </c>
      <c r="E2846" s="253" t="s">
        <v>170</v>
      </c>
    </row>
    <row r="2847" spans="1:5" ht="15">
      <c r="A2847" s="254">
        <v>38782</v>
      </c>
      <c r="B2847" s="254" t="s">
        <v>23031</v>
      </c>
      <c r="C2847" s="254" t="s">
        <v>4521</v>
      </c>
      <c r="D2847" s="255" t="s">
        <v>15431</v>
      </c>
      <c r="E2847" s="253" t="s">
        <v>170</v>
      </c>
    </row>
    <row r="2848" spans="1:5" ht="15">
      <c r="A2848" s="254">
        <v>38778</v>
      </c>
      <c r="B2848" s="254" t="s">
        <v>23032</v>
      </c>
      <c r="C2848" s="254" t="s">
        <v>4521</v>
      </c>
      <c r="D2848" s="255" t="s">
        <v>15799</v>
      </c>
      <c r="E2848" s="253" t="s">
        <v>170</v>
      </c>
    </row>
    <row r="2849" spans="1:5" ht="15">
      <c r="A2849" s="254">
        <v>38779</v>
      </c>
      <c r="B2849" s="254" t="s">
        <v>23033</v>
      </c>
      <c r="C2849" s="254" t="s">
        <v>4521</v>
      </c>
      <c r="D2849" s="255" t="s">
        <v>15461</v>
      </c>
      <c r="E2849" s="253" t="s">
        <v>170</v>
      </c>
    </row>
    <row r="2850" spans="1:5" ht="15">
      <c r="A2850" s="254">
        <v>39388</v>
      </c>
      <c r="B2850" s="254" t="s">
        <v>23034</v>
      </c>
      <c r="C2850" s="254" t="s">
        <v>4521</v>
      </c>
      <c r="D2850" s="255" t="s">
        <v>23035</v>
      </c>
      <c r="E2850" s="253" t="s">
        <v>170</v>
      </c>
    </row>
    <row r="2851" spans="1:5" ht="15">
      <c r="A2851" s="254">
        <v>39387</v>
      </c>
      <c r="B2851" s="254" t="s">
        <v>23036</v>
      </c>
      <c r="C2851" s="254" t="s">
        <v>4521</v>
      </c>
      <c r="D2851" s="255" t="s">
        <v>23037</v>
      </c>
      <c r="E2851" s="253" t="s">
        <v>170</v>
      </c>
    </row>
    <row r="2852" spans="1:5" ht="15">
      <c r="A2852" s="254">
        <v>39386</v>
      </c>
      <c r="B2852" s="254" t="s">
        <v>23038</v>
      </c>
      <c r="C2852" s="254" t="s">
        <v>4521</v>
      </c>
      <c r="D2852" s="255" t="s">
        <v>20120</v>
      </c>
      <c r="E2852" s="253" t="s">
        <v>170</v>
      </c>
    </row>
    <row r="2853" spans="1:5" ht="15">
      <c r="A2853" s="254">
        <v>38194</v>
      </c>
      <c r="B2853" s="254" t="s">
        <v>23039</v>
      </c>
      <c r="C2853" s="254" t="s">
        <v>4521</v>
      </c>
      <c r="D2853" s="255" t="s">
        <v>23040</v>
      </c>
      <c r="E2853" s="253" t="s">
        <v>170</v>
      </c>
    </row>
    <row r="2854" spans="1:5" ht="15">
      <c r="A2854" s="254">
        <v>38193</v>
      </c>
      <c r="B2854" s="254" t="s">
        <v>23041</v>
      </c>
      <c r="C2854" s="254" t="s">
        <v>4521</v>
      </c>
      <c r="D2854" s="255" t="s">
        <v>23042</v>
      </c>
      <c r="E2854" s="253" t="s">
        <v>170</v>
      </c>
    </row>
    <row r="2855" spans="1:5" ht="15">
      <c r="A2855" s="254">
        <v>12216</v>
      </c>
      <c r="B2855" s="254" t="s">
        <v>23043</v>
      </c>
      <c r="C2855" s="254" t="s">
        <v>4521</v>
      </c>
      <c r="D2855" s="255" t="s">
        <v>23044</v>
      </c>
      <c r="E2855" s="253" t="s">
        <v>170</v>
      </c>
    </row>
    <row r="2856" spans="1:5" ht="15">
      <c r="A2856" s="254">
        <v>3757</v>
      </c>
      <c r="B2856" s="254" t="s">
        <v>23045</v>
      </c>
      <c r="C2856" s="254" t="s">
        <v>4521</v>
      </c>
      <c r="D2856" s="255" t="s">
        <v>23046</v>
      </c>
      <c r="E2856" s="253" t="s">
        <v>170</v>
      </c>
    </row>
    <row r="2857" spans="1:5" ht="15">
      <c r="A2857" s="254">
        <v>3758</v>
      </c>
      <c r="B2857" s="254" t="s">
        <v>23047</v>
      </c>
      <c r="C2857" s="254" t="s">
        <v>4521</v>
      </c>
      <c r="D2857" s="255" t="s">
        <v>23048</v>
      </c>
      <c r="E2857" s="253" t="s">
        <v>170</v>
      </c>
    </row>
    <row r="2858" spans="1:5" ht="15">
      <c r="A2858" s="254">
        <v>12214</v>
      </c>
      <c r="B2858" s="254" t="s">
        <v>23049</v>
      </c>
      <c r="C2858" s="254" t="s">
        <v>4521</v>
      </c>
      <c r="D2858" s="255" t="s">
        <v>23050</v>
      </c>
      <c r="E2858" s="253" t="s">
        <v>170</v>
      </c>
    </row>
    <row r="2859" spans="1:5" ht="15">
      <c r="A2859" s="254">
        <v>3749</v>
      </c>
      <c r="B2859" s="254" t="s">
        <v>23051</v>
      </c>
      <c r="C2859" s="254" t="s">
        <v>4521</v>
      </c>
      <c r="D2859" s="255" t="s">
        <v>23052</v>
      </c>
      <c r="E2859" s="253" t="s">
        <v>170</v>
      </c>
    </row>
    <row r="2860" spans="1:5" ht="15">
      <c r="A2860" s="254">
        <v>3751</v>
      </c>
      <c r="B2860" s="254" t="s">
        <v>23053</v>
      </c>
      <c r="C2860" s="254" t="s">
        <v>4521</v>
      </c>
      <c r="D2860" s="255" t="s">
        <v>23054</v>
      </c>
      <c r="E2860" s="253" t="s">
        <v>170</v>
      </c>
    </row>
    <row r="2861" spans="1:5" ht="15">
      <c r="A2861" s="254">
        <v>39376</v>
      </c>
      <c r="B2861" s="254" t="s">
        <v>23055</v>
      </c>
      <c r="C2861" s="254" t="s">
        <v>4521</v>
      </c>
      <c r="D2861" s="255" t="s">
        <v>23056</v>
      </c>
      <c r="E2861" s="253" t="s">
        <v>170</v>
      </c>
    </row>
    <row r="2862" spans="1:5" ht="15">
      <c r="A2862" s="254">
        <v>3752</v>
      </c>
      <c r="B2862" s="254" t="s">
        <v>23057</v>
      </c>
      <c r="C2862" s="254" t="s">
        <v>4521</v>
      </c>
      <c r="D2862" s="255" t="s">
        <v>23058</v>
      </c>
      <c r="E2862" s="253" t="s">
        <v>170</v>
      </c>
    </row>
    <row r="2863" spans="1:5" ht="30">
      <c r="A2863" s="254">
        <v>746</v>
      </c>
      <c r="B2863" s="254" t="s">
        <v>23059</v>
      </c>
      <c r="C2863" s="254" t="s">
        <v>4521</v>
      </c>
      <c r="D2863" s="255" t="s">
        <v>23060</v>
      </c>
      <c r="E2863" s="253" t="s">
        <v>170</v>
      </c>
    </row>
    <row r="2864" spans="1:5" ht="15">
      <c r="A2864" s="254">
        <v>36521</v>
      </c>
      <c r="B2864" s="254" t="s">
        <v>23061</v>
      </c>
      <c r="C2864" s="254" t="s">
        <v>4521</v>
      </c>
      <c r="D2864" s="255" t="s">
        <v>23062</v>
      </c>
      <c r="E2864" s="253" t="s">
        <v>170</v>
      </c>
    </row>
    <row r="2865" spans="1:5" ht="15">
      <c r="A2865" s="254">
        <v>36794</v>
      </c>
      <c r="B2865" s="254" t="s">
        <v>23063</v>
      </c>
      <c r="C2865" s="254" t="s">
        <v>4521</v>
      </c>
      <c r="D2865" s="255" t="s">
        <v>16392</v>
      </c>
      <c r="E2865" s="253" t="s">
        <v>170</v>
      </c>
    </row>
    <row r="2866" spans="1:5" ht="15">
      <c r="A2866" s="254">
        <v>10426</v>
      </c>
      <c r="B2866" s="254" t="s">
        <v>23064</v>
      </c>
      <c r="C2866" s="254" t="s">
        <v>4521</v>
      </c>
      <c r="D2866" s="255" t="s">
        <v>23065</v>
      </c>
      <c r="E2866" s="253" t="s">
        <v>170</v>
      </c>
    </row>
    <row r="2867" spans="1:5" ht="15">
      <c r="A2867" s="254">
        <v>10425</v>
      </c>
      <c r="B2867" s="254" t="s">
        <v>23066</v>
      </c>
      <c r="C2867" s="254" t="s">
        <v>4521</v>
      </c>
      <c r="D2867" s="255" t="s">
        <v>23067</v>
      </c>
      <c r="E2867" s="253" t="s">
        <v>170</v>
      </c>
    </row>
    <row r="2868" spans="1:5" ht="15">
      <c r="A2868" s="254">
        <v>10431</v>
      </c>
      <c r="B2868" s="254" t="s">
        <v>23068</v>
      </c>
      <c r="C2868" s="254" t="s">
        <v>4521</v>
      </c>
      <c r="D2868" s="255" t="s">
        <v>23069</v>
      </c>
      <c r="E2868" s="253" t="s">
        <v>170</v>
      </c>
    </row>
    <row r="2869" spans="1:5" ht="15">
      <c r="A2869" s="254">
        <v>10429</v>
      </c>
      <c r="B2869" s="254" t="s">
        <v>23070</v>
      </c>
      <c r="C2869" s="254" t="s">
        <v>4521</v>
      </c>
      <c r="D2869" s="255" t="s">
        <v>14017</v>
      </c>
      <c r="E2869" s="253" t="s">
        <v>170</v>
      </c>
    </row>
    <row r="2870" spans="1:5" ht="15">
      <c r="A2870" s="254">
        <v>20269</v>
      </c>
      <c r="B2870" s="254" t="s">
        <v>23071</v>
      </c>
      <c r="C2870" s="254" t="s">
        <v>4521</v>
      </c>
      <c r="D2870" s="255" t="s">
        <v>23072</v>
      </c>
      <c r="E2870" s="253" t="s">
        <v>170</v>
      </c>
    </row>
    <row r="2871" spans="1:5" ht="15">
      <c r="A2871" s="254">
        <v>20270</v>
      </c>
      <c r="B2871" s="254" t="s">
        <v>23073</v>
      </c>
      <c r="C2871" s="254" t="s">
        <v>4521</v>
      </c>
      <c r="D2871" s="255" t="s">
        <v>23074</v>
      </c>
      <c r="E2871" s="253" t="s">
        <v>170</v>
      </c>
    </row>
    <row r="2872" spans="1:5" ht="30">
      <c r="A2872" s="254">
        <v>11696</v>
      </c>
      <c r="B2872" s="254" t="s">
        <v>23075</v>
      </c>
      <c r="C2872" s="254" t="s">
        <v>4521</v>
      </c>
      <c r="D2872" s="255" t="s">
        <v>23076</v>
      </c>
      <c r="E2872" s="253" t="s">
        <v>170</v>
      </c>
    </row>
    <row r="2873" spans="1:5" ht="30">
      <c r="A2873" s="254">
        <v>10427</v>
      </c>
      <c r="B2873" s="254" t="s">
        <v>23077</v>
      </c>
      <c r="C2873" s="254" t="s">
        <v>4521</v>
      </c>
      <c r="D2873" s="255" t="s">
        <v>23078</v>
      </c>
      <c r="E2873" s="253" t="s">
        <v>170</v>
      </c>
    </row>
    <row r="2874" spans="1:5" ht="30">
      <c r="A2874" s="254">
        <v>10428</v>
      </c>
      <c r="B2874" s="254" t="s">
        <v>23079</v>
      </c>
      <c r="C2874" s="254" t="s">
        <v>4521</v>
      </c>
      <c r="D2874" s="255" t="s">
        <v>23080</v>
      </c>
      <c r="E2874" s="253" t="s">
        <v>170</v>
      </c>
    </row>
    <row r="2875" spans="1:5" ht="15">
      <c r="A2875" s="254">
        <v>2354</v>
      </c>
      <c r="B2875" s="254" t="s">
        <v>23081</v>
      </c>
      <c r="C2875" s="254" t="s">
        <v>4520</v>
      </c>
      <c r="D2875" s="255" t="s">
        <v>16468</v>
      </c>
      <c r="E2875" s="253" t="s">
        <v>8722</v>
      </c>
    </row>
    <row r="2876" spans="1:5" ht="15">
      <c r="A2876" s="254">
        <v>40932</v>
      </c>
      <c r="B2876" s="254" t="s">
        <v>23082</v>
      </c>
      <c r="C2876" s="254" t="s">
        <v>4528</v>
      </c>
      <c r="D2876" s="255" t="s">
        <v>23083</v>
      </c>
      <c r="E2876" s="253" t="s">
        <v>8722</v>
      </c>
    </row>
    <row r="2877" spans="1:5" ht="15">
      <c r="A2877" s="254">
        <v>10853</v>
      </c>
      <c r="B2877" s="254" t="s">
        <v>23084</v>
      </c>
      <c r="C2877" s="254" t="s">
        <v>4521</v>
      </c>
      <c r="D2877" s="255" t="s">
        <v>23085</v>
      </c>
      <c r="E2877" s="253" t="s">
        <v>170</v>
      </c>
    </row>
    <row r="2878" spans="1:5" ht="15">
      <c r="A2878" s="254">
        <v>5093</v>
      </c>
      <c r="B2878" s="254" t="s">
        <v>23086</v>
      </c>
      <c r="C2878" s="254" t="s">
        <v>4529</v>
      </c>
      <c r="D2878" s="255" t="s">
        <v>23087</v>
      </c>
      <c r="E2878" s="253" t="s">
        <v>170</v>
      </c>
    </row>
    <row r="2879" spans="1:5" ht="30">
      <c r="A2879" s="254">
        <v>37768</v>
      </c>
      <c r="B2879" s="254" t="s">
        <v>23088</v>
      </c>
      <c r="C2879" s="254" t="s">
        <v>4521</v>
      </c>
      <c r="D2879" s="255" t="s">
        <v>23089</v>
      </c>
      <c r="E2879" s="253" t="s">
        <v>170</v>
      </c>
    </row>
    <row r="2880" spans="1:5" ht="30">
      <c r="A2880" s="254">
        <v>37773</v>
      </c>
      <c r="B2880" s="254" t="s">
        <v>23090</v>
      </c>
      <c r="C2880" s="254" t="s">
        <v>4521</v>
      </c>
      <c r="D2880" s="255" t="s">
        <v>23091</v>
      </c>
      <c r="E2880" s="253" t="s">
        <v>170</v>
      </c>
    </row>
    <row r="2881" spans="1:5" ht="30">
      <c r="A2881" s="254">
        <v>37769</v>
      </c>
      <c r="B2881" s="254" t="s">
        <v>23092</v>
      </c>
      <c r="C2881" s="254" t="s">
        <v>4521</v>
      </c>
      <c r="D2881" s="255" t="s">
        <v>23093</v>
      </c>
      <c r="E2881" s="253" t="s">
        <v>170</v>
      </c>
    </row>
    <row r="2882" spans="1:5" ht="30">
      <c r="A2882" s="254">
        <v>37770</v>
      </c>
      <c r="B2882" s="254" t="s">
        <v>23094</v>
      </c>
      <c r="C2882" s="254" t="s">
        <v>4521</v>
      </c>
      <c r="D2882" s="255" t="s">
        <v>23095</v>
      </c>
      <c r="E2882" s="253" t="s">
        <v>170</v>
      </c>
    </row>
    <row r="2883" spans="1:5" ht="15">
      <c r="A2883" s="254">
        <v>38382</v>
      </c>
      <c r="B2883" s="254" t="s">
        <v>23096</v>
      </c>
      <c r="C2883" s="254" t="s">
        <v>4521</v>
      </c>
      <c r="D2883" s="255" t="s">
        <v>19285</v>
      </c>
      <c r="E2883" s="253" t="s">
        <v>170</v>
      </c>
    </row>
    <row r="2884" spans="1:5" ht="15">
      <c r="A2884" s="254">
        <v>6091</v>
      </c>
      <c r="B2884" s="254" t="s">
        <v>23097</v>
      </c>
      <c r="C2884" s="254" t="s">
        <v>4526</v>
      </c>
      <c r="D2884" s="255" t="s">
        <v>16925</v>
      </c>
      <c r="E2884" s="253" t="s">
        <v>170</v>
      </c>
    </row>
    <row r="2885" spans="1:5" ht="15">
      <c r="A2885" s="254">
        <v>38383</v>
      </c>
      <c r="B2885" s="254" t="s">
        <v>23098</v>
      </c>
      <c r="C2885" s="254" t="s">
        <v>4521</v>
      </c>
      <c r="D2885" s="255" t="s">
        <v>16223</v>
      </c>
      <c r="E2885" s="253" t="s">
        <v>170</v>
      </c>
    </row>
    <row r="2886" spans="1:5" ht="15">
      <c r="A2886" s="254">
        <v>3768</v>
      </c>
      <c r="B2886" s="254" t="s">
        <v>23099</v>
      </c>
      <c r="C2886" s="254" t="s">
        <v>4521</v>
      </c>
      <c r="D2886" s="255" t="s">
        <v>14490</v>
      </c>
      <c r="E2886" s="253" t="s">
        <v>170</v>
      </c>
    </row>
    <row r="2887" spans="1:5" ht="15">
      <c r="A2887" s="254">
        <v>3767</v>
      </c>
      <c r="B2887" s="254" t="s">
        <v>23100</v>
      </c>
      <c r="C2887" s="254" t="s">
        <v>4521</v>
      </c>
      <c r="D2887" s="255" t="s">
        <v>13989</v>
      </c>
      <c r="E2887" s="253" t="s">
        <v>170</v>
      </c>
    </row>
    <row r="2888" spans="1:5" ht="30">
      <c r="A2888" s="254">
        <v>13192</v>
      </c>
      <c r="B2888" s="254" t="s">
        <v>23101</v>
      </c>
      <c r="C2888" s="254" t="s">
        <v>4521</v>
      </c>
      <c r="D2888" s="255" t="s">
        <v>23102</v>
      </c>
      <c r="E2888" s="253" t="s">
        <v>170</v>
      </c>
    </row>
    <row r="2889" spans="1:5" ht="30">
      <c r="A2889" s="254">
        <v>38413</v>
      </c>
      <c r="B2889" s="254" t="s">
        <v>23103</v>
      </c>
      <c r="C2889" s="254" t="s">
        <v>4521</v>
      </c>
      <c r="D2889" s="255" t="s">
        <v>23104</v>
      </c>
      <c r="E2889" s="253" t="s">
        <v>170</v>
      </c>
    </row>
    <row r="2890" spans="1:5" ht="45">
      <c r="A2890" s="254">
        <v>42440</v>
      </c>
      <c r="B2890" s="254" t="s">
        <v>23105</v>
      </c>
      <c r="C2890" s="254" t="s">
        <v>4521</v>
      </c>
      <c r="D2890" s="255" t="s">
        <v>23106</v>
      </c>
      <c r="E2890" s="253" t="s">
        <v>170</v>
      </c>
    </row>
    <row r="2891" spans="1:5" ht="30">
      <c r="A2891" s="254">
        <v>20193</v>
      </c>
      <c r="B2891" s="254" t="s">
        <v>23107</v>
      </c>
      <c r="C2891" s="254" t="s">
        <v>6255</v>
      </c>
      <c r="D2891" s="255" t="s">
        <v>14237</v>
      </c>
      <c r="E2891" s="253" t="s">
        <v>170</v>
      </c>
    </row>
    <row r="2892" spans="1:5" ht="30">
      <c r="A2892" s="254">
        <v>10527</v>
      </c>
      <c r="B2892" s="254" t="s">
        <v>23108</v>
      </c>
      <c r="C2892" s="254" t="s">
        <v>6256</v>
      </c>
      <c r="D2892" s="255" t="s">
        <v>21027</v>
      </c>
      <c r="E2892" s="253" t="s">
        <v>170</v>
      </c>
    </row>
    <row r="2893" spans="1:5" ht="45">
      <c r="A2893" s="254">
        <v>41805</v>
      </c>
      <c r="B2893" s="254" t="s">
        <v>23109</v>
      </c>
      <c r="C2893" s="254" t="s">
        <v>4528</v>
      </c>
      <c r="D2893" s="255" t="s">
        <v>23110</v>
      </c>
      <c r="E2893" s="253" t="s">
        <v>6305</v>
      </c>
    </row>
    <row r="2894" spans="1:5" ht="30">
      <c r="A2894" s="254">
        <v>40271</v>
      </c>
      <c r="B2894" s="254" t="s">
        <v>23111</v>
      </c>
      <c r="C2894" s="254" t="s">
        <v>4528</v>
      </c>
      <c r="D2894" s="255" t="s">
        <v>23112</v>
      </c>
      <c r="E2894" s="253" t="s">
        <v>6305</v>
      </c>
    </row>
    <row r="2895" spans="1:5" ht="30">
      <c r="A2895" s="254">
        <v>40287</v>
      </c>
      <c r="B2895" s="254" t="s">
        <v>23113</v>
      </c>
      <c r="C2895" s="254" t="s">
        <v>4528</v>
      </c>
      <c r="D2895" s="255" t="s">
        <v>23114</v>
      </c>
      <c r="E2895" s="253" t="s">
        <v>6305</v>
      </c>
    </row>
    <row r="2896" spans="1:5" ht="15">
      <c r="A2896" s="254">
        <v>40295</v>
      </c>
      <c r="B2896" s="254" t="s">
        <v>23115</v>
      </c>
      <c r="C2896" s="254" t="s">
        <v>4520</v>
      </c>
      <c r="D2896" s="255" t="s">
        <v>14185</v>
      </c>
      <c r="E2896" s="253" t="s">
        <v>6305</v>
      </c>
    </row>
    <row r="2897" spans="1:5" ht="15">
      <c r="A2897" s="254">
        <v>745</v>
      </c>
      <c r="B2897" s="254" t="s">
        <v>23116</v>
      </c>
      <c r="C2897" s="254" t="s">
        <v>4520</v>
      </c>
      <c r="D2897" s="255" t="s">
        <v>23117</v>
      </c>
      <c r="E2897" s="253" t="s">
        <v>6305</v>
      </c>
    </row>
    <row r="2898" spans="1:5" ht="60">
      <c r="A2898" s="254">
        <v>4084</v>
      </c>
      <c r="B2898" s="254" t="s">
        <v>23118</v>
      </c>
      <c r="C2898" s="254" t="s">
        <v>4520</v>
      </c>
      <c r="D2898" s="255" t="s">
        <v>14397</v>
      </c>
      <c r="E2898" s="253" t="s">
        <v>6305</v>
      </c>
    </row>
    <row r="2899" spans="1:5" ht="60">
      <c r="A2899" s="254">
        <v>743</v>
      </c>
      <c r="B2899" s="254" t="s">
        <v>23119</v>
      </c>
      <c r="C2899" s="254" t="s">
        <v>4520</v>
      </c>
      <c r="D2899" s="255" t="s">
        <v>14397</v>
      </c>
      <c r="E2899" s="253" t="s">
        <v>6305</v>
      </c>
    </row>
    <row r="2900" spans="1:5" ht="60">
      <c r="A2900" s="254">
        <v>40293</v>
      </c>
      <c r="B2900" s="254" t="s">
        <v>23120</v>
      </c>
      <c r="C2900" s="254" t="s">
        <v>4520</v>
      </c>
      <c r="D2900" s="255" t="s">
        <v>14289</v>
      </c>
      <c r="E2900" s="253" t="s">
        <v>6305</v>
      </c>
    </row>
    <row r="2901" spans="1:5" ht="60">
      <c r="A2901" s="254">
        <v>40294</v>
      </c>
      <c r="B2901" s="254" t="s">
        <v>23121</v>
      </c>
      <c r="C2901" s="254" t="s">
        <v>4520</v>
      </c>
      <c r="D2901" s="255" t="s">
        <v>14397</v>
      </c>
      <c r="E2901" s="253" t="s">
        <v>6305</v>
      </c>
    </row>
    <row r="2902" spans="1:5" ht="60">
      <c r="A2902" s="254">
        <v>4085</v>
      </c>
      <c r="B2902" s="254" t="s">
        <v>23122</v>
      </c>
      <c r="C2902" s="254" t="s">
        <v>4520</v>
      </c>
      <c r="D2902" s="255" t="s">
        <v>21439</v>
      </c>
      <c r="E2902" s="253" t="s">
        <v>6305</v>
      </c>
    </row>
    <row r="2903" spans="1:5" ht="30">
      <c r="A2903" s="254">
        <v>10775</v>
      </c>
      <c r="B2903" s="254" t="s">
        <v>23123</v>
      </c>
      <c r="C2903" s="254" t="s">
        <v>4528</v>
      </c>
      <c r="D2903" s="255" t="s">
        <v>23124</v>
      </c>
      <c r="E2903" s="253" t="s">
        <v>6305</v>
      </c>
    </row>
    <row r="2904" spans="1:5" ht="30">
      <c r="A2904" s="254">
        <v>10776</v>
      </c>
      <c r="B2904" s="254" t="s">
        <v>23125</v>
      </c>
      <c r="C2904" s="254" t="s">
        <v>4528</v>
      </c>
      <c r="D2904" s="255" t="s">
        <v>23126</v>
      </c>
      <c r="E2904" s="253" t="s">
        <v>6305</v>
      </c>
    </row>
    <row r="2905" spans="1:5" ht="30">
      <c r="A2905" s="254">
        <v>10779</v>
      </c>
      <c r="B2905" s="254" t="s">
        <v>23127</v>
      </c>
      <c r="C2905" s="254" t="s">
        <v>4528</v>
      </c>
      <c r="D2905" s="255" t="s">
        <v>23128</v>
      </c>
      <c r="E2905" s="253" t="s">
        <v>6305</v>
      </c>
    </row>
    <row r="2906" spans="1:5" ht="30">
      <c r="A2906" s="254">
        <v>10777</v>
      </c>
      <c r="B2906" s="254" t="s">
        <v>23129</v>
      </c>
      <c r="C2906" s="254" t="s">
        <v>4528</v>
      </c>
      <c r="D2906" s="255" t="s">
        <v>23130</v>
      </c>
      <c r="E2906" s="253" t="s">
        <v>6305</v>
      </c>
    </row>
    <row r="2907" spans="1:5" ht="30">
      <c r="A2907" s="254">
        <v>10778</v>
      </c>
      <c r="B2907" s="254" t="s">
        <v>23131</v>
      </c>
      <c r="C2907" s="254" t="s">
        <v>4528</v>
      </c>
      <c r="D2907" s="255" t="s">
        <v>23128</v>
      </c>
      <c r="E2907" s="253" t="s">
        <v>6305</v>
      </c>
    </row>
    <row r="2908" spans="1:5" ht="15">
      <c r="A2908" s="254">
        <v>40339</v>
      </c>
      <c r="B2908" s="254" t="s">
        <v>23132</v>
      </c>
      <c r="C2908" s="254" t="s">
        <v>4528</v>
      </c>
      <c r="D2908" s="255" t="s">
        <v>23114</v>
      </c>
      <c r="E2908" s="253" t="s">
        <v>6305</v>
      </c>
    </row>
    <row r="2909" spans="1:5" ht="45">
      <c r="A2909" s="254">
        <v>3355</v>
      </c>
      <c r="B2909" s="254" t="s">
        <v>23133</v>
      </c>
      <c r="C2909" s="254" t="s">
        <v>4520</v>
      </c>
      <c r="D2909" s="255" t="s">
        <v>23134</v>
      </c>
      <c r="E2909" s="253" t="s">
        <v>6305</v>
      </c>
    </row>
    <row r="2910" spans="1:5" ht="45">
      <c r="A2910" s="254">
        <v>39814</v>
      </c>
      <c r="B2910" s="254" t="s">
        <v>23135</v>
      </c>
      <c r="C2910" s="254" t="s">
        <v>4520</v>
      </c>
      <c r="D2910" s="255" t="s">
        <v>18676</v>
      </c>
      <c r="E2910" s="253" t="s">
        <v>6305</v>
      </c>
    </row>
    <row r="2911" spans="1:5" ht="45">
      <c r="A2911" s="254">
        <v>10749</v>
      </c>
      <c r="B2911" s="254" t="s">
        <v>23136</v>
      </c>
      <c r="C2911" s="254" t="s">
        <v>4528</v>
      </c>
      <c r="D2911" s="255" t="s">
        <v>14423</v>
      </c>
      <c r="E2911" s="253" t="s">
        <v>6305</v>
      </c>
    </row>
    <row r="2912" spans="1:5" ht="30">
      <c r="A2912" s="254">
        <v>40290</v>
      </c>
      <c r="B2912" s="254" t="s">
        <v>23137</v>
      </c>
      <c r="C2912" s="254" t="s">
        <v>4528</v>
      </c>
      <c r="D2912" s="255" t="s">
        <v>14105</v>
      </c>
      <c r="E2912" s="253" t="s">
        <v>6305</v>
      </c>
    </row>
    <row r="2913" spans="1:5" ht="15">
      <c r="A2913" s="254">
        <v>7252</v>
      </c>
      <c r="B2913" s="254" t="s">
        <v>23138</v>
      </c>
      <c r="C2913" s="254" t="s">
        <v>4520</v>
      </c>
      <c r="D2913" s="255" t="s">
        <v>18505</v>
      </c>
      <c r="E2913" s="253" t="s">
        <v>6305</v>
      </c>
    </row>
    <row r="2914" spans="1:5" ht="15">
      <c r="A2914" s="254">
        <v>4778</v>
      </c>
      <c r="B2914" s="254" t="s">
        <v>23139</v>
      </c>
      <c r="C2914" s="254" t="s">
        <v>4520</v>
      </c>
      <c r="D2914" s="255" t="s">
        <v>13666</v>
      </c>
      <c r="E2914" s="253" t="s">
        <v>6305</v>
      </c>
    </row>
    <row r="2915" spans="1:5" ht="15">
      <c r="A2915" s="254">
        <v>4780</v>
      </c>
      <c r="B2915" s="254" t="s">
        <v>23140</v>
      </c>
      <c r="C2915" s="254" t="s">
        <v>4520</v>
      </c>
      <c r="D2915" s="255" t="s">
        <v>14128</v>
      </c>
      <c r="E2915" s="253" t="s">
        <v>6305</v>
      </c>
    </row>
    <row r="2916" spans="1:5" ht="15">
      <c r="A2916" s="254">
        <v>10809</v>
      </c>
      <c r="B2916" s="254" t="s">
        <v>23141</v>
      </c>
      <c r="C2916" s="254" t="s">
        <v>4520</v>
      </c>
      <c r="D2916" s="255" t="s">
        <v>22072</v>
      </c>
      <c r="E2916" s="253" t="s">
        <v>6305</v>
      </c>
    </row>
    <row r="2917" spans="1:5" ht="30">
      <c r="A2917" s="254">
        <v>10811</v>
      </c>
      <c r="B2917" s="254" t="s">
        <v>23142</v>
      </c>
      <c r="C2917" s="254" t="s">
        <v>4520</v>
      </c>
      <c r="D2917" s="255" t="s">
        <v>17690</v>
      </c>
      <c r="E2917" s="253" t="s">
        <v>6305</v>
      </c>
    </row>
    <row r="2918" spans="1:5" ht="30">
      <c r="A2918" s="254">
        <v>7247</v>
      </c>
      <c r="B2918" s="254" t="s">
        <v>23143</v>
      </c>
      <c r="C2918" s="254" t="s">
        <v>4520</v>
      </c>
      <c r="D2918" s="255" t="s">
        <v>18505</v>
      </c>
      <c r="E2918" s="253" t="s">
        <v>6305</v>
      </c>
    </row>
    <row r="2919" spans="1:5" ht="30">
      <c r="A2919" s="254">
        <v>40291</v>
      </c>
      <c r="B2919" s="254" t="s">
        <v>23144</v>
      </c>
      <c r="C2919" s="254" t="s">
        <v>4528</v>
      </c>
      <c r="D2919" s="255" t="s">
        <v>23145</v>
      </c>
      <c r="E2919" s="253" t="s">
        <v>6305</v>
      </c>
    </row>
    <row r="2920" spans="1:5" ht="30">
      <c r="A2920" s="254">
        <v>40275</v>
      </c>
      <c r="B2920" s="254" t="s">
        <v>23146</v>
      </c>
      <c r="C2920" s="254" t="s">
        <v>4528</v>
      </c>
      <c r="D2920" s="255" t="s">
        <v>21027</v>
      </c>
      <c r="E2920" s="253" t="s">
        <v>6305</v>
      </c>
    </row>
    <row r="2921" spans="1:5" ht="15">
      <c r="A2921" s="254">
        <v>3777</v>
      </c>
      <c r="B2921" s="254" t="s">
        <v>23147</v>
      </c>
      <c r="C2921" s="254" t="s">
        <v>4523</v>
      </c>
      <c r="D2921" s="255" t="s">
        <v>13750</v>
      </c>
      <c r="E2921" s="253" t="s">
        <v>170</v>
      </c>
    </row>
    <row r="2922" spans="1:5" ht="15">
      <c r="A2922" s="254">
        <v>43067</v>
      </c>
      <c r="B2922" s="254" t="s">
        <v>23148</v>
      </c>
      <c r="C2922" s="254" t="s">
        <v>4523</v>
      </c>
      <c r="D2922" s="255" t="s">
        <v>23149</v>
      </c>
      <c r="E2922" s="253" t="s">
        <v>170</v>
      </c>
    </row>
    <row r="2923" spans="1:5" ht="15">
      <c r="A2923" s="254">
        <v>3779</v>
      </c>
      <c r="B2923" s="254" t="s">
        <v>23150</v>
      </c>
      <c r="C2923" s="254" t="s">
        <v>4524</v>
      </c>
      <c r="D2923" s="255" t="s">
        <v>23151</v>
      </c>
      <c r="E2923" s="253" t="s">
        <v>170</v>
      </c>
    </row>
    <row r="2924" spans="1:5" ht="15">
      <c r="A2924" s="254">
        <v>3798</v>
      </c>
      <c r="B2924" s="254" t="s">
        <v>23152</v>
      </c>
      <c r="C2924" s="254" t="s">
        <v>4521</v>
      </c>
      <c r="D2924" s="255" t="s">
        <v>23153</v>
      </c>
      <c r="E2924" s="253" t="s">
        <v>170</v>
      </c>
    </row>
    <row r="2925" spans="1:5" ht="30">
      <c r="A2925" s="254">
        <v>38769</v>
      </c>
      <c r="B2925" s="254" t="s">
        <v>23154</v>
      </c>
      <c r="C2925" s="254" t="s">
        <v>4521</v>
      </c>
      <c r="D2925" s="255" t="s">
        <v>23155</v>
      </c>
      <c r="E2925" s="253" t="s">
        <v>170</v>
      </c>
    </row>
    <row r="2926" spans="1:5" ht="30">
      <c r="A2926" s="254">
        <v>39510</v>
      </c>
      <c r="B2926" s="254" t="s">
        <v>23156</v>
      </c>
      <c r="C2926" s="254" t="s">
        <v>4521</v>
      </c>
      <c r="D2926" s="255" t="s">
        <v>23157</v>
      </c>
      <c r="E2926" s="253" t="s">
        <v>170</v>
      </c>
    </row>
    <row r="2927" spans="1:5" ht="30">
      <c r="A2927" s="254">
        <v>38776</v>
      </c>
      <c r="B2927" s="254" t="s">
        <v>23158</v>
      </c>
      <c r="C2927" s="254" t="s">
        <v>4521</v>
      </c>
      <c r="D2927" s="255" t="s">
        <v>23159</v>
      </c>
      <c r="E2927" s="253" t="s">
        <v>170</v>
      </c>
    </row>
    <row r="2928" spans="1:5" ht="30">
      <c r="A2928" s="254">
        <v>38774</v>
      </c>
      <c r="B2928" s="254" t="s">
        <v>23160</v>
      </c>
      <c r="C2928" s="254" t="s">
        <v>4521</v>
      </c>
      <c r="D2928" s="255" t="s">
        <v>23161</v>
      </c>
      <c r="E2928" s="253" t="s">
        <v>170</v>
      </c>
    </row>
    <row r="2929" spans="1:5" ht="30">
      <c r="A2929" s="254">
        <v>42977</v>
      </c>
      <c r="B2929" s="254" t="s">
        <v>23162</v>
      </c>
      <c r="C2929" s="254" t="s">
        <v>4521</v>
      </c>
      <c r="D2929" s="255" t="s">
        <v>23163</v>
      </c>
      <c r="E2929" s="253" t="s">
        <v>170</v>
      </c>
    </row>
    <row r="2930" spans="1:5" ht="30">
      <c r="A2930" s="254">
        <v>38889</v>
      </c>
      <c r="B2930" s="254" t="s">
        <v>23164</v>
      </c>
      <c r="C2930" s="254" t="s">
        <v>4521</v>
      </c>
      <c r="D2930" s="255" t="s">
        <v>15240</v>
      </c>
      <c r="E2930" s="253" t="s">
        <v>170</v>
      </c>
    </row>
    <row r="2931" spans="1:5" ht="30">
      <c r="A2931" s="254">
        <v>38784</v>
      </c>
      <c r="B2931" s="254" t="s">
        <v>23165</v>
      </c>
      <c r="C2931" s="254" t="s">
        <v>4521</v>
      </c>
      <c r="D2931" s="255" t="s">
        <v>23166</v>
      </c>
      <c r="E2931" s="253" t="s">
        <v>170</v>
      </c>
    </row>
    <row r="2932" spans="1:5" ht="30">
      <c r="A2932" s="254">
        <v>3788</v>
      </c>
      <c r="B2932" s="254" t="s">
        <v>23167</v>
      </c>
      <c r="C2932" s="254" t="s">
        <v>4521</v>
      </c>
      <c r="D2932" s="255" t="s">
        <v>21479</v>
      </c>
      <c r="E2932" s="253" t="s">
        <v>170</v>
      </c>
    </row>
    <row r="2933" spans="1:5" ht="30">
      <c r="A2933" s="254">
        <v>12230</v>
      </c>
      <c r="B2933" s="254" t="s">
        <v>23168</v>
      </c>
      <c r="C2933" s="254" t="s">
        <v>4521</v>
      </c>
      <c r="D2933" s="255" t="s">
        <v>20653</v>
      </c>
      <c r="E2933" s="253" t="s">
        <v>170</v>
      </c>
    </row>
    <row r="2934" spans="1:5" ht="30">
      <c r="A2934" s="254">
        <v>3780</v>
      </c>
      <c r="B2934" s="254" t="s">
        <v>23169</v>
      </c>
      <c r="C2934" s="254" t="s">
        <v>4521</v>
      </c>
      <c r="D2934" s="255" t="s">
        <v>16974</v>
      </c>
      <c r="E2934" s="253" t="s">
        <v>170</v>
      </c>
    </row>
    <row r="2935" spans="1:5" ht="30">
      <c r="A2935" s="254">
        <v>12231</v>
      </c>
      <c r="B2935" s="254" t="s">
        <v>23170</v>
      </c>
      <c r="C2935" s="254" t="s">
        <v>4521</v>
      </c>
      <c r="D2935" s="255" t="s">
        <v>23171</v>
      </c>
      <c r="E2935" s="253" t="s">
        <v>170</v>
      </c>
    </row>
    <row r="2936" spans="1:5" ht="30">
      <c r="A2936" s="254">
        <v>3811</v>
      </c>
      <c r="B2936" s="254" t="s">
        <v>23172</v>
      </c>
      <c r="C2936" s="254" t="s">
        <v>4521</v>
      </c>
      <c r="D2936" s="255" t="s">
        <v>23173</v>
      </c>
      <c r="E2936" s="253" t="s">
        <v>170</v>
      </c>
    </row>
    <row r="2937" spans="1:5" ht="30">
      <c r="A2937" s="254">
        <v>12232</v>
      </c>
      <c r="B2937" s="254" t="s">
        <v>23174</v>
      </c>
      <c r="C2937" s="254" t="s">
        <v>4521</v>
      </c>
      <c r="D2937" s="255" t="s">
        <v>23175</v>
      </c>
      <c r="E2937" s="253" t="s">
        <v>170</v>
      </c>
    </row>
    <row r="2938" spans="1:5" ht="30">
      <c r="A2938" s="254">
        <v>3799</v>
      </c>
      <c r="B2938" s="254" t="s">
        <v>23176</v>
      </c>
      <c r="C2938" s="254" t="s">
        <v>4521</v>
      </c>
      <c r="D2938" s="255" t="s">
        <v>23177</v>
      </c>
      <c r="E2938" s="253" t="s">
        <v>170</v>
      </c>
    </row>
    <row r="2939" spans="1:5" ht="30">
      <c r="A2939" s="254">
        <v>12239</v>
      </c>
      <c r="B2939" s="254" t="s">
        <v>23178</v>
      </c>
      <c r="C2939" s="254" t="s">
        <v>4521</v>
      </c>
      <c r="D2939" s="255" t="s">
        <v>15092</v>
      </c>
      <c r="E2939" s="253" t="s">
        <v>170</v>
      </c>
    </row>
    <row r="2940" spans="1:5" ht="30">
      <c r="A2940" s="254">
        <v>38773</v>
      </c>
      <c r="B2940" s="254" t="s">
        <v>23179</v>
      </c>
      <c r="C2940" s="254" t="s">
        <v>4521</v>
      </c>
      <c r="D2940" s="255" t="s">
        <v>14342</v>
      </c>
      <c r="E2940" s="253" t="s">
        <v>170</v>
      </c>
    </row>
    <row r="2941" spans="1:5" ht="15">
      <c r="A2941" s="254">
        <v>12271</v>
      </c>
      <c r="B2941" s="254" t="s">
        <v>23180</v>
      </c>
      <c r="C2941" s="254" t="s">
        <v>4521</v>
      </c>
      <c r="D2941" s="255" t="s">
        <v>23181</v>
      </c>
      <c r="E2941" s="253" t="s">
        <v>170</v>
      </c>
    </row>
    <row r="2942" spans="1:5" ht="30">
      <c r="A2942" s="254">
        <v>38785</v>
      </c>
      <c r="B2942" s="254" t="s">
        <v>23182</v>
      </c>
      <c r="C2942" s="254" t="s">
        <v>4521</v>
      </c>
      <c r="D2942" s="255" t="s">
        <v>23183</v>
      </c>
      <c r="E2942" s="253" t="s">
        <v>170</v>
      </c>
    </row>
    <row r="2943" spans="1:5" ht="30">
      <c r="A2943" s="254">
        <v>38786</v>
      </c>
      <c r="B2943" s="254" t="s">
        <v>23184</v>
      </c>
      <c r="C2943" s="254" t="s">
        <v>4521</v>
      </c>
      <c r="D2943" s="255" t="s">
        <v>23185</v>
      </c>
      <c r="E2943" s="253" t="s">
        <v>170</v>
      </c>
    </row>
    <row r="2944" spans="1:5" ht="15">
      <c r="A2944" s="254">
        <v>39385</v>
      </c>
      <c r="B2944" s="254" t="s">
        <v>23186</v>
      </c>
      <c r="C2944" s="254" t="s">
        <v>4521</v>
      </c>
      <c r="D2944" s="255" t="s">
        <v>17716</v>
      </c>
      <c r="E2944" s="253" t="s">
        <v>170</v>
      </c>
    </row>
    <row r="2945" spans="1:5" ht="15">
      <c r="A2945" s="254">
        <v>39389</v>
      </c>
      <c r="B2945" s="254" t="s">
        <v>23187</v>
      </c>
      <c r="C2945" s="254" t="s">
        <v>4521</v>
      </c>
      <c r="D2945" s="255" t="s">
        <v>23188</v>
      </c>
      <c r="E2945" s="253" t="s">
        <v>170</v>
      </c>
    </row>
    <row r="2946" spans="1:5" ht="15">
      <c r="A2946" s="254">
        <v>39390</v>
      </c>
      <c r="B2946" s="254" t="s">
        <v>23189</v>
      </c>
      <c r="C2946" s="254" t="s">
        <v>4521</v>
      </c>
      <c r="D2946" s="255" t="s">
        <v>23190</v>
      </c>
      <c r="E2946" s="253" t="s">
        <v>170</v>
      </c>
    </row>
    <row r="2947" spans="1:5" ht="15">
      <c r="A2947" s="254">
        <v>39391</v>
      </c>
      <c r="B2947" s="254" t="s">
        <v>23191</v>
      </c>
      <c r="C2947" s="254" t="s">
        <v>4521</v>
      </c>
      <c r="D2947" s="255" t="s">
        <v>23192</v>
      </c>
      <c r="E2947" s="253" t="s">
        <v>170</v>
      </c>
    </row>
    <row r="2948" spans="1:5" ht="30">
      <c r="A2948" s="254">
        <v>3803</v>
      </c>
      <c r="B2948" s="254" t="s">
        <v>23193</v>
      </c>
      <c r="C2948" s="254" t="s">
        <v>4521</v>
      </c>
      <c r="D2948" s="255" t="s">
        <v>23194</v>
      </c>
      <c r="E2948" s="253" t="s">
        <v>170</v>
      </c>
    </row>
    <row r="2949" spans="1:5" ht="30">
      <c r="A2949" s="254">
        <v>38770</v>
      </c>
      <c r="B2949" s="254" t="s">
        <v>23195</v>
      </c>
      <c r="C2949" s="254" t="s">
        <v>4521</v>
      </c>
      <c r="D2949" s="255" t="s">
        <v>23196</v>
      </c>
      <c r="E2949" s="253" t="s">
        <v>170</v>
      </c>
    </row>
    <row r="2950" spans="1:5" ht="15">
      <c r="A2950" s="254">
        <v>12267</v>
      </c>
      <c r="B2950" s="254" t="s">
        <v>23197</v>
      </c>
      <c r="C2950" s="254" t="s">
        <v>4521</v>
      </c>
      <c r="D2950" s="255" t="s">
        <v>23198</v>
      </c>
      <c r="E2950" s="253" t="s">
        <v>170</v>
      </c>
    </row>
    <row r="2951" spans="1:5" ht="75">
      <c r="A2951" s="254">
        <v>43068</v>
      </c>
      <c r="B2951" s="254" t="s">
        <v>23199</v>
      </c>
      <c r="C2951" s="254" t="s">
        <v>4521</v>
      </c>
      <c r="D2951" s="255" t="s">
        <v>23200</v>
      </c>
      <c r="E2951" s="253" t="s">
        <v>170</v>
      </c>
    </row>
    <row r="2952" spans="1:5" ht="30">
      <c r="A2952" s="254">
        <v>12266</v>
      </c>
      <c r="B2952" s="254" t="s">
        <v>23201</v>
      </c>
      <c r="C2952" s="254" t="s">
        <v>4521</v>
      </c>
      <c r="D2952" s="255" t="s">
        <v>23202</v>
      </c>
      <c r="E2952" s="253" t="s">
        <v>170</v>
      </c>
    </row>
    <row r="2953" spans="1:5" ht="30">
      <c r="A2953" s="254">
        <v>39378</v>
      </c>
      <c r="B2953" s="254" t="s">
        <v>23203</v>
      </c>
      <c r="C2953" s="254" t="s">
        <v>4521</v>
      </c>
      <c r="D2953" s="255" t="s">
        <v>23204</v>
      </c>
      <c r="E2953" s="253" t="s">
        <v>170</v>
      </c>
    </row>
    <row r="2954" spans="1:5" ht="45">
      <c r="A2954" s="254">
        <v>43543</v>
      </c>
      <c r="B2954" s="254" t="s">
        <v>23205</v>
      </c>
      <c r="C2954" s="254" t="s">
        <v>4521</v>
      </c>
      <c r="D2954" s="255" t="s">
        <v>23206</v>
      </c>
      <c r="E2954" s="253" t="s">
        <v>170</v>
      </c>
    </row>
    <row r="2955" spans="1:5" ht="30">
      <c r="A2955" s="254">
        <v>38775</v>
      </c>
      <c r="B2955" s="254" t="s">
        <v>23207</v>
      </c>
      <c r="C2955" s="254" t="s">
        <v>4521</v>
      </c>
      <c r="D2955" s="255" t="s">
        <v>23208</v>
      </c>
      <c r="E2955" s="253" t="s">
        <v>170</v>
      </c>
    </row>
    <row r="2956" spans="1:5" ht="15">
      <c r="A2956" s="254">
        <v>21119</v>
      </c>
      <c r="B2956" s="254" t="s">
        <v>23209</v>
      </c>
      <c r="C2956" s="254" t="s">
        <v>4521</v>
      </c>
      <c r="D2956" s="255" t="s">
        <v>18522</v>
      </c>
      <c r="E2956" s="253" t="s">
        <v>170</v>
      </c>
    </row>
    <row r="2957" spans="1:5" ht="15">
      <c r="A2957" s="254">
        <v>37974</v>
      </c>
      <c r="B2957" s="254" t="s">
        <v>23210</v>
      </c>
      <c r="C2957" s="254" t="s">
        <v>4521</v>
      </c>
      <c r="D2957" s="255" t="s">
        <v>14475</v>
      </c>
      <c r="E2957" s="253" t="s">
        <v>170</v>
      </c>
    </row>
    <row r="2958" spans="1:5" ht="15">
      <c r="A2958" s="254">
        <v>37975</v>
      </c>
      <c r="B2958" s="254" t="s">
        <v>23211</v>
      </c>
      <c r="C2958" s="254" t="s">
        <v>4521</v>
      </c>
      <c r="D2958" s="255" t="s">
        <v>14552</v>
      </c>
      <c r="E2958" s="253" t="s">
        <v>170</v>
      </c>
    </row>
    <row r="2959" spans="1:5" ht="15">
      <c r="A2959" s="254">
        <v>37976</v>
      </c>
      <c r="B2959" s="254" t="s">
        <v>23212</v>
      </c>
      <c r="C2959" s="254" t="s">
        <v>4521</v>
      </c>
      <c r="D2959" s="255" t="s">
        <v>14222</v>
      </c>
      <c r="E2959" s="253" t="s">
        <v>170</v>
      </c>
    </row>
    <row r="2960" spans="1:5" ht="15">
      <c r="A2960" s="254">
        <v>37977</v>
      </c>
      <c r="B2960" s="254" t="s">
        <v>23213</v>
      </c>
      <c r="C2960" s="254" t="s">
        <v>4521</v>
      </c>
      <c r="D2960" s="255" t="s">
        <v>15463</v>
      </c>
      <c r="E2960" s="253" t="s">
        <v>170</v>
      </c>
    </row>
    <row r="2961" spans="1:5" ht="15">
      <c r="A2961" s="254">
        <v>37978</v>
      </c>
      <c r="B2961" s="254" t="s">
        <v>23214</v>
      </c>
      <c r="C2961" s="254" t="s">
        <v>4521</v>
      </c>
      <c r="D2961" s="255" t="s">
        <v>23171</v>
      </c>
      <c r="E2961" s="253" t="s">
        <v>170</v>
      </c>
    </row>
    <row r="2962" spans="1:5" ht="15">
      <c r="A2962" s="254">
        <v>37979</v>
      </c>
      <c r="B2962" s="254" t="s">
        <v>23215</v>
      </c>
      <c r="C2962" s="254" t="s">
        <v>4521</v>
      </c>
      <c r="D2962" s="255" t="s">
        <v>17151</v>
      </c>
      <c r="E2962" s="253" t="s">
        <v>170</v>
      </c>
    </row>
    <row r="2963" spans="1:5" ht="15">
      <c r="A2963" s="254">
        <v>37980</v>
      </c>
      <c r="B2963" s="254" t="s">
        <v>23216</v>
      </c>
      <c r="C2963" s="254" t="s">
        <v>4521</v>
      </c>
      <c r="D2963" s="255" t="s">
        <v>23217</v>
      </c>
      <c r="E2963" s="253" t="s">
        <v>170</v>
      </c>
    </row>
    <row r="2964" spans="1:5" ht="30">
      <c r="A2964" s="254">
        <v>36147</v>
      </c>
      <c r="B2964" s="254" t="s">
        <v>23218</v>
      </c>
      <c r="C2964" s="254" t="s">
        <v>4529</v>
      </c>
      <c r="D2964" s="255" t="s">
        <v>23219</v>
      </c>
      <c r="E2964" s="253" t="s">
        <v>170</v>
      </c>
    </row>
    <row r="2965" spans="1:5" ht="15">
      <c r="A2965" s="254">
        <v>12731</v>
      </c>
      <c r="B2965" s="254" t="s">
        <v>23220</v>
      </c>
      <c r="C2965" s="254" t="s">
        <v>4521</v>
      </c>
      <c r="D2965" s="255" t="s">
        <v>23221</v>
      </c>
      <c r="E2965" s="253" t="s">
        <v>170</v>
      </c>
    </row>
    <row r="2966" spans="1:5" ht="15">
      <c r="A2966" s="254">
        <v>12723</v>
      </c>
      <c r="B2966" s="254" t="s">
        <v>23222</v>
      </c>
      <c r="C2966" s="254" t="s">
        <v>4521</v>
      </c>
      <c r="D2966" s="255" t="s">
        <v>14274</v>
      </c>
      <c r="E2966" s="253" t="s">
        <v>170</v>
      </c>
    </row>
    <row r="2967" spans="1:5" ht="15">
      <c r="A2967" s="254">
        <v>12724</v>
      </c>
      <c r="B2967" s="254" t="s">
        <v>23223</v>
      </c>
      <c r="C2967" s="254" t="s">
        <v>4521</v>
      </c>
      <c r="D2967" s="255" t="s">
        <v>13809</v>
      </c>
      <c r="E2967" s="253" t="s">
        <v>170</v>
      </c>
    </row>
    <row r="2968" spans="1:5" ht="15">
      <c r="A2968" s="254">
        <v>12725</v>
      </c>
      <c r="B2968" s="254" t="s">
        <v>23224</v>
      </c>
      <c r="C2968" s="254" t="s">
        <v>4521</v>
      </c>
      <c r="D2968" s="255" t="s">
        <v>22441</v>
      </c>
      <c r="E2968" s="253" t="s">
        <v>170</v>
      </c>
    </row>
    <row r="2969" spans="1:5" ht="15">
      <c r="A2969" s="254">
        <v>12726</v>
      </c>
      <c r="B2969" s="254" t="s">
        <v>23225</v>
      </c>
      <c r="C2969" s="254" t="s">
        <v>4521</v>
      </c>
      <c r="D2969" s="255" t="s">
        <v>23226</v>
      </c>
      <c r="E2969" s="253" t="s">
        <v>170</v>
      </c>
    </row>
    <row r="2970" spans="1:5" ht="15">
      <c r="A2970" s="254">
        <v>12727</v>
      </c>
      <c r="B2970" s="254" t="s">
        <v>23227</v>
      </c>
      <c r="C2970" s="254" t="s">
        <v>4521</v>
      </c>
      <c r="D2970" s="255" t="s">
        <v>15255</v>
      </c>
      <c r="E2970" s="253" t="s">
        <v>170</v>
      </c>
    </row>
    <row r="2971" spans="1:5" ht="15">
      <c r="A2971" s="254">
        <v>12728</v>
      </c>
      <c r="B2971" s="254" t="s">
        <v>23228</v>
      </c>
      <c r="C2971" s="254" t="s">
        <v>4521</v>
      </c>
      <c r="D2971" s="255" t="s">
        <v>13959</v>
      </c>
      <c r="E2971" s="253" t="s">
        <v>170</v>
      </c>
    </row>
    <row r="2972" spans="1:5" ht="15">
      <c r="A2972" s="254">
        <v>12729</v>
      </c>
      <c r="B2972" s="254" t="s">
        <v>23229</v>
      </c>
      <c r="C2972" s="254" t="s">
        <v>4521</v>
      </c>
      <c r="D2972" s="255" t="s">
        <v>23230</v>
      </c>
      <c r="E2972" s="253" t="s">
        <v>170</v>
      </c>
    </row>
    <row r="2973" spans="1:5" ht="15">
      <c r="A2973" s="254">
        <v>12730</v>
      </c>
      <c r="B2973" s="254" t="s">
        <v>23231</v>
      </c>
      <c r="C2973" s="254" t="s">
        <v>4521</v>
      </c>
      <c r="D2973" s="255" t="s">
        <v>23232</v>
      </c>
      <c r="E2973" s="253" t="s">
        <v>170</v>
      </c>
    </row>
    <row r="2974" spans="1:5" ht="15">
      <c r="A2974" s="254">
        <v>3840</v>
      </c>
      <c r="B2974" s="254" t="s">
        <v>23233</v>
      </c>
      <c r="C2974" s="254" t="s">
        <v>4521</v>
      </c>
      <c r="D2974" s="255" t="s">
        <v>23234</v>
      </c>
      <c r="E2974" s="253" t="s">
        <v>170</v>
      </c>
    </row>
    <row r="2975" spans="1:5" ht="15">
      <c r="A2975" s="254">
        <v>3838</v>
      </c>
      <c r="B2975" s="254" t="s">
        <v>23235</v>
      </c>
      <c r="C2975" s="254" t="s">
        <v>4521</v>
      </c>
      <c r="D2975" s="255" t="s">
        <v>23236</v>
      </c>
      <c r="E2975" s="253" t="s">
        <v>170</v>
      </c>
    </row>
    <row r="2976" spans="1:5" ht="15">
      <c r="A2976" s="254">
        <v>3844</v>
      </c>
      <c r="B2976" s="254" t="s">
        <v>23237</v>
      </c>
      <c r="C2976" s="254" t="s">
        <v>4521</v>
      </c>
      <c r="D2976" s="255" t="s">
        <v>23238</v>
      </c>
      <c r="E2976" s="253" t="s">
        <v>170</v>
      </c>
    </row>
    <row r="2977" spans="1:5" ht="15">
      <c r="A2977" s="254">
        <v>3839</v>
      </c>
      <c r="B2977" s="254" t="s">
        <v>23239</v>
      </c>
      <c r="C2977" s="254" t="s">
        <v>4521</v>
      </c>
      <c r="D2977" s="255" t="s">
        <v>14971</v>
      </c>
      <c r="E2977" s="253" t="s">
        <v>170</v>
      </c>
    </row>
    <row r="2978" spans="1:5" ht="15">
      <c r="A2978" s="254">
        <v>3843</v>
      </c>
      <c r="B2978" s="254" t="s">
        <v>23240</v>
      </c>
      <c r="C2978" s="254" t="s">
        <v>4521</v>
      </c>
      <c r="D2978" s="255" t="s">
        <v>23241</v>
      </c>
      <c r="E2978" s="253" t="s">
        <v>170</v>
      </c>
    </row>
    <row r="2979" spans="1:5" ht="15">
      <c r="A2979" s="254">
        <v>3900</v>
      </c>
      <c r="B2979" s="254" t="s">
        <v>23242</v>
      </c>
      <c r="C2979" s="254" t="s">
        <v>4521</v>
      </c>
      <c r="D2979" s="255" t="s">
        <v>13979</v>
      </c>
      <c r="E2979" s="253" t="s">
        <v>170</v>
      </c>
    </row>
    <row r="2980" spans="1:5" ht="15">
      <c r="A2980" s="254">
        <v>3846</v>
      </c>
      <c r="B2980" s="254" t="s">
        <v>23243</v>
      </c>
      <c r="C2980" s="254" t="s">
        <v>4521</v>
      </c>
      <c r="D2980" s="255" t="s">
        <v>16456</v>
      </c>
      <c r="E2980" s="253" t="s">
        <v>170</v>
      </c>
    </row>
    <row r="2981" spans="1:5" ht="15">
      <c r="A2981" s="254">
        <v>3886</v>
      </c>
      <c r="B2981" s="254" t="s">
        <v>23244</v>
      </c>
      <c r="C2981" s="254" t="s">
        <v>4521</v>
      </c>
      <c r="D2981" s="255" t="s">
        <v>15738</v>
      </c>
      <c r="E2981" s="253" t="s">
        <v>170</v>
      </c>
    </row>
    <row r="2982" spans="1:5" ht="15">
      <c r="A2982" s="254">
        <v>3854</v>
      </c>
      <c r="B2982" s="254" t="s">
        <v>23245</v>
      </c>
      <c r="C2982" s="254" t="s">
        <v>4521</v>
      </c>
      <c r="D2982" s="255" t="s">
        <v>16360</v>
      </c>
      <c r="E2982" s="253" t="s">
        <v>170</v>
      </c>
    </row>
    <row r="2983" spans="1:5" ht="15">
      <c r="A2983" s="254">
        <v>3873</v>
      </c>
      <c r="B2983" s="254" t="s">
        <v>23246</v>
      </c>
      <c r="C2983" s="254" t="s">
        <v>4521</v>
      </c>
      <c r="D2983" s="255" t="s">
        <v>15845</v>
      </c>
      <c r="E2983" s="253" t="s">
        <v>170</v>
      </c>
    </row>
    <row r="2984" spans="1:5" ht="15">
      <c r="A2984" s="254">
        <v>38021</v>
      </c>
      <c r="B2984" s="254" t="s">
        <v>23247</v>
      </c>
      <c r="C2984" s="254" t="s">
        <v>4521</v>
      </c>
      <c r="D2984" s="255" t="s">
        <v>16260</v>
      </c>
      <c r="E2984" s="253" t="s">
        <v>170</v>
      </c>
    </row>
    <row r="2985" spans="1:5" ht="15">
      <c r="A2985" s="254">
        <v>3847</v>
      </c>
      <c r="B2985" s="254" t="s">
        <v>23248</v>
      </c>
      <c r="C2985" s="254" t="s">
        <v>4521</v>
      </c>
      <c r="D2985" s="255" t="s">
        <v>14239</v>
      </c>
      <c r="E2985" s="253" t="s">
        <v>170</v>
      </c>
    </row>
    <row r="2986" spans="1:5" ht="15">
      <c r="A2986" s="254">
        <v>38022</v>
      </c>
      <c r="B2986" s="254" t="s">
        <v>23249</v>
      </c>
      <c r="C2986" s="254" t="s">
        <v>4521</v>
      </c>
      <c r="D2986" s="255" t="s">
        <v>23250</v>
      </c>
      <c r="E2986" s="253" t="s">
        <v>170</v>
      </c>
    </row>
    <row r="2987" spans="1:5" ht="15">
      <c r="A2987" s="254">
        <v>3833</v>
      </c>
      <c r="B2987" s="254" t="s">
        <v>23251</v>
      </c>
      <c r="C2987" s="254" t="s">
        <v>4521</v>
      </c>
      <c r="D2987" s="255" t="s">
        <v>16622</v>
      </c>
      <c r="E2987" s="253" t="s">
        <v>170</v>
      </c>
    </row>
    <row r="2988" spans="1:5" ht="15">
      <c r="A2988" s="254">
        <v>3835</v>
      </c>
      <c r="B2988" s="254" t="s">
        <v>23252</v>
      </c>
      <c r="C2988" s="254" t="s">
        <v>4521</v>
      </c>
      <c r="D2988" s="255" t="s">
        <v>23208</v>
      </c>
      <c r="E2988" s="253" t="s">
        <v>170</v>
      </c>
    </row>
    <row r="2989" spans="1:5" ht="15">
      <c r="A2989" s="254">
        <v>3836</v>
      </c>
      <c r="B2989" s="254" t="s">
        <v>23253</v>
      </c>
      <c r="C2989" s="254" t="s">
        <v>4521</v>
      </c>
      <c r="D2989" s="255" t="s">
        <v>16909</v>
      </c>
      <c r="E2989" s="253" t="s">
        <v>170</v>
      </c>
    </row>
    <row r="2990" spans="1:5" ht="15">
      <c r="A2990" s="254">
        <v>3830</v>
      </c>
      <c r="B2990" s="254" t="s">
        <v>23254</v>
      </c>
      <c r="C2990" s="254" t="s">
        <v>4521</v>
      </c>
      <c r="D2990" s="255" t="s">
        <v>23255</v>
      </c>
      <c r="E2990" s="253" t="s">
        <v>170</v>
      </c>
    </row>
    <row r="2991" spans="1:5" ht="15">
      <c r="A2991" s="254">
        <v>3831</v>
      </c>
      <c r="B2991" s="254" t="s">
        <v>23256</v>
      </c>
      <c r="C2991" s="254" t="s">
        <v>4521</v>
      </c>
      <c r="D2991" s="255" t="s">
        <v>23257</v>
      </c>
      <c r="E2991" s="253" t="s">
        <v>170</v>
      </c>
    </row>
    <row r="2992" spans="1:5" ht="15">
      <c r="A2992" s="254">
        <v>37981</v>
      </c>
      <c r="B2992" s="254" t="s">
        <v>23258</v>
      </c>
      <c r="C2992" s="254" t="s">
        <v>4521</v>
      </c>
      <c r="D2992" s="255" t="s">
        <v>15810</v>
      </c>
      <c r="E2992" s="253" t="s">
        <v>170</v>
      </c>
    </row>
    <row r="2993" spans="1:5" ht="15">
      <c r="A2993" s="254">
        <v>37982</v>
      </c>
      <c r="B2993" s="254" t="s">
        <v>23259</v>
      </c>
      <c r="C2993" s="254" t="s">
        <v>4521</v>
      </c>
      <c r="D2993" s="255" t="s">
        <v>16201</v>
      </c>
      <c r="E2993" s="253" t="s">
        <v>170</v>
      </c>
    </row>
    <row r="2994" spans="1:5" ht="15">
      <c r="A2994" s="254">
        <v>37983</v>
      </c>
      <c r="B2994" s="254" t="s">
        <v>23260</v>
      </c>
      <c r="C2994" s="254" t="s">
        <v>4521</v>
      </c>
      <c r="D2994" s="255" t="s">
        <v>20889</v>
      </c>
      <c r="E2994" s="253" t="s">
        <v>170</v>
      </c>
    </row>
    <row r="2995" spans="1:5" ht="15">
      <c r="A2995" s="254">
        <v>37984</v>
      </c>
      <c r="B2995" s="254" t="s">
        <v>23261</v>
      </c>
      <c r="C2995" s="254" t="s">
        <v>4521</v>
      </c>
      <c r="D2995" s="255" t="s">
        <v>22332</v>
      </c>
      <c r="E2995" s="253" t="s">
        <v>170</v>
      </c>
    </row>
    <row r="2996" spans="1:5" ht="15">
      <c r="A2996" s="254">
        <v>37985</v>
      </c>
      <c r="B2996" s="254" t="s">
        <v>23262</v>
      </c>
      <c r="C2996" s="254" t="s">
        <v>4521</v>
      </c>
      <c r="D2996" s="255" t="s">
        <v>23263</v>
      </c>
      <c r="E2996" s="253" t="s">
        <v>170</v>
      </c>
    </row>
    <row r="2997" spans="1:5" ht="15">
      <c r="A2997" s="254">
        <v>3826</v>
      </c>
      <c r="B2997" s="254" t="s">
        <v>23264</v>
      </c>
      <c r="C2997" s="254" t="s">
        <v>4521</v>
      </c>
      <c r="D2997" s="255" t="s">
        <v>16653</v>
      </c>
      <c r="E2997" s="253" t="s">
        <v>170</v>
      </c>
    </row>
    <row r="2998" spans="1:5" ht="15">
      <c r="A2998" s="254">
        <v>3825</v>
      </c>
      <c r="B2998" s="254" t="s">
        <v>23265</v>
      </c>
      <c r="C2998" s="254" t="s">
        <v>4521</v>
      </c>
      <c r="D2998" s="255" t="s">
        <v>23266</v>
      </c>
      <c r="E2998" s="253" t="s">
        <v>170</v>
      </c>
    </row>
    <row r="2999" spans="1:5" ht="15">
      <c r="A2999" s="254">
        <v>3827</v>
      </c>
      <c r="B2999" s="254" t="s">
        <v>23267</v>
      </c>
      <c r="C2999" s="254" t="s">
        <v>4521</v>
      </c>
      <c r="D2999" s="255" t="s">
        <v>18566</v>
      </c>
      <c r="E2999" s="253" t="s">
        <v>170</v>
      </c>
    </row>
    <row r="3000" spans="1:5" ht="15">
      <c r="A3000" s="254">
        <v>20165</v>
      </c>
      <c r="B3000" s="254" t="s">
        <v>23268</v>
      </c>
      <c r="C3000" s="254" t="s">
        <v>4521</v>
      </c>
      <c r="D3000" s="255" t="s">
        <v>15816</v>
      </c>
      <c r="E3000" s="253" t="s">
        <v>170</v>
      </c>
    </row>
    <row r="3001" spans="1:5" ht="15">
      <c r="A3001" s="254">
        <v>20166</v>
      </c>
      <c r="B3001" s="254" t="s">
        <v>23269</v>
      </c>
      <c r="C3001" s="254" t="s">
        <v>4521</v>
      </c>
      <c r="D3001" s="255" t="s">
        <v>23270</v>
      </c>
      <c r="E3001" s="253" t="s">
        <v>170</v>
      </c>
    </row>
    <row r="3002" spans="1:5" ht="15">
      <c r="A3002" s="254">
        <v>20164</v>
      </c>
      <c r="B3002" s="254" t="s">
        <v>23271</v>
      </c>
      <c r="C3002" s="254" t="s">
        <v>4521</v>
      </c>
      <c r="D3002" s="255" t="s">
        <v>21776</v>
      </c>
      <c r="E3002" s="253" t="s">
        <v>170</v>
      </c>
    </row>
    <row r="3003" spans="1:5" ht="15">
      <c r="A3003" s="254">
        <v>3893</v>
      </c>
      <c r="B3003" s="254" t="s">
        <v>23272</v>
      </c>
      <c r="C3003" s="254" t="s">
        <v>4521</v>
      </c>
      <c r="D3003" s="255" t="s">
        <v>13876</v>
      </c>
      <c r="E3003" s="253" t="s">
        <v>170</v>
      </c>
    </row>
    <row r="3004" spans="1:5" ht="15">
      <c r="A3004" s="254">
        <v>3848</v>
      </c>
      <c r="B3004" s="254" t="s">
        <v>23273</v>
      </c>
      <c r="C3004" s="254" t="s">
        <v>4521</v>
      </c>
      <c r="D3004" s="255" t="s">
        <v>15455</v>
      </c>
      <c r="E3004" s="253" t="s">
        <v>170</v>
      </c>
    </row>
    <row r="3005" spans="1:5" ht="15">
      <c r="A3005" s="254">
        <v>3895</v>
      </c>
      <c r="B3005" s="254" t="s">
        <v>23274</v>
      </c>
      <c r="C3005" s="254" t="s">
        <v>4521</v>
      </c>
      <c r="D3005" s="255" t="s">
        <v>19010</v>
      </c>
      <c r="E3005" s="253" t="s">
        <v>170</v>
      </c>
    </row>
    <row r="3006" spans="1:5" ht="15">
      <c r="A3006" s="254">
        <v>12404</v>
      </c>
      <c r="B3006" s="254" t="s">
        <v>23275</v>
      </c>
      <c r="C3006" s="254" t="s">
        <v>4521</v>
      </c>
      <c r="D3006" s="255" t="s">
        <v>14414</v>
      </c>
      <c r="E3006" s="253" t="s">
        <v>170</v>
      </c>
    </row>
    <row r="3007" spans="1:5" ht="15">
      <c r="A3007" s="254">
        <v>3939</v>
      </c>
      <c r="B3007" s="254" t="s">
        <v>23276</v>
      </c>
      <c r="C3007" s="254" t="s">
        <v>4521</v>
      </c>
      <c r="D3007" s="255" t="s">
        <v>20132</v>
      </c>
      <c r="E3007" s="253" t="s">
        <v>170</v>
      </c>
    </row>
    <row r="3008" spans="1:5" ht="15">
      <c r="A3008" s="254">
        <v>3911</v>
      </c>
      <c r="B3008" s="254" t="s">
        <v>23277</v>
      </c>
      <c r="C3008" s="254" t="s">
        <v>4521</v>
      </c>
      <c r="D3008" s="255" t="s">
        <v>14336</v>
      </c>
      <c r="E3008" s="253" t="s">
        <v>170</v>
      </c>
    </row>
    <row r="3009" spans="1:5" ht="15">
      <c r="A3009" s="254">
        <v>3908</v>
      </c>
      <c r="B3009" s="254" t="s">
        <v>23278</v>
      </c>
      <c r="C3009" s="254" t="s">
        <v>4521</v>
      </c>
      <c r="D3009" s="255" t="s">
        <v>14090</v>
      </c>
      <c r="E3009" s="253" t="s">
        <v>170</v>
      </c>
    </row>
    <row r="3010" spans="1:5" ht="15">
      <c r="A3010" s="254">
        <v>3910</v>
      </c>
      <c r="B3010" s="254" t="s">
        <v>23279</v>
      </c>
      <c r="C3010" s="254" t="s">
        <v>4521</v>
      </c>
      <c r="D3010" s="255" t="s">
        <v>13542</v>
      </c>
      <c r="E3010" s="253" t="s">
        <v>170</v>
      </c>
    </row>
    <row r="3011" spans="1:5" ht="15">
      <c r="A3011" s="254">
        <v>3913</v>
      </c>
      <c r="B3011" s="254" t="s">
        <v>23280</v>
      </c>
      <c r="C3011" s="254" t="s">
        <v>4521</v>
      </c>
      <c r="D3011" s="255" t="s">
        <v>23281</v>
      </c>
      <c r="E3011" s="253" t="s">
        <v>170</v>
      </c>
    </row>
    <row r="3012" spans="1:5" ht="15">
      <c r="A3012" s="254">
        <v>3912</v>
      </c>
      <c r="B3012" s="254" t="s">
        <v>23282</v>
      </c>
      <c r="C3012" s="254" t="s">
        <v>4521</v>
      </c>
      <c r="D3012" s="255" t="s">
        <v>23283</v>
      </c>
      <c r="E3012" s="253" t="s">
        <v>170</v>
      </c>
    </row>
    <row r="3013" spans="1:5" ht="15">
      <c r="A3013" s="254">
        <v>3909</v>
      </c>
      <c r="B3013" s="254" t="s">
        <v>23284</v>
      </c>
      <c r="C3013" s="254" t="s">
        <v>4521</v>
      </c>
      <c r="D3013" s="255" t="s">
        <v>16186</v>
      </c>
      <c r="E3013" s="253" t="s">
        <v>170</v>
      </c>
    </row>
    <row r="3014" spans="1:5" ht="15">
      <c r="A3014" s="254">
        <v>3914</v>
      </c>
      <c r="B3014" s="254" t="s">
        <v>23285</v>
      </c>
      <c r="C3014" s="254" t="s">
        <v>4521</v>
      </c>
      <c r="D3014" s="255" t="s">
        <v>23286</v>
      </c>
      <c r="E3014" s="253" t="s">
        <v>170</v>
      </c>
    </row>
    <row r="3015" spans="1:5" ht="15">
      <c r="A3015" s="254">
        <v>3915</v>
      </c>
      <c r="B3015" s="254" t="s">
        <v>23287</v>
      </c>
      <c r="C3015" s="254" t="s">
        <v>4521</v>
      </c>
      <c r="D3015" s="255" t="s">
        <v>15961</v>
      </c>
      <c r="E3015" s="253" t="s">
        <v>170</v>
      </c>
    </row>
    <row r="3016" spans="1:5" ht="15">
      <c r="A3016" s="254">
        <v>3916</v>
      </c>
      <c r="B3016" s="254" t="s">
        <v>23288</v>
      </c>
      <c r="C3016" s="254" t="s">
        <v>4521</v>
      </c>
      <c r="D3016" s="255" t="s">
        <v>23289</v>
      </c>
      <c r="E3016" s="253" t="s">
        <v>170</v>
      </c>
    </row>
    <row r="3017" spans="1:5" ht="15">
      <c r="A3017" s="254">
        <v>3917</v>
      </c>
      <c r="B3017" s="254" t="s">
        <v>23290</v>
      </c>
      <c r="C3017" s="254" t="s">
        <v>4521</v>
      </c>
      <c r="D3017" s="256" t="s">
        <v>23291</v>
      </c>
      <c r="E3017" s="253" t="s">
        <v>170</v>
      </c>
    </row>
    <row r="3018" spans="1:5" ht="15">
      <c r="A3018" s="254">
        <v>1904</v>
      </c>
      <c r="B3018" s="254" t="s">
        <v>23292</v>
      </c>
      <c r="C3018" s="254" t="s">
        <v>4521</v>
      </c>
      <c r="D3018" s="255" t="s">
        <v>14013</v>
      </c>
      <c r="E3018" s="253" t="s">
        <v>170</v>
      </c>
    </row>
    <row r="3019" spans="1:5" ht="15">
      <c r="A3019" s="254">
        <v>1899</v>
      </c>
      <c r="B3019" s="254" t="s">
        <v>23293</v>
      </c>
      <c r="C3019" s="254" t="s">
        <v>4521</v>
      </c>
      <c r="D3019" s="255" t="s">
        <v>13667</v>
      </c>
      <c r="E3019" s="253" t="s">
        <v>170</v>
      </c>
    </row>
    <row r="3020" spans="1:5" ht="15">
      <c r="A3020" s="254">
        <v>1900</v>
      </c>
      <c r="B3020" s="254" t="s">
        <v>23294</v>
      </c>
      <c r="C3020" s="254" t="s">
        <v>4521</v>
      </c>
      <c r="D3020" s="255" t="s">
        <v>14402</v>
      </c>
      <c r="E3020" s="253" t="s">
        <v>170</v>
      </c>
    </row>
    <row r="3021" spans="1:5" ht="30">
      <c r="A3021" s="254">
        <v>12407</v>
      </c>
      <c r="B3021" s="254" t="s">
        <v>23295</v>
      </c>
      <c r="C3021" s="254" t="s">
        <v>4521</v>
      </c>
      <c r="D3021" s="255" t="s">
        <v>16846</v>
      </c>
      <c r="E3021" s="253" t="s">
        <v>170</v>
      </c>
    </row>
    <row r="3022" spans="1:5" ht="30">
      <c r="A3022" s="254">
        <v>12408</v>
      </c>
      <c r="B3022" s="254" t="s">
        <v>23296</v>
      </c>
      <c r="C3022" s="254" t="s">
        <v>4521</v>
      </c>
      <c r="D3022" s="255" t="s">
        <v>16492</v>
      </c>
      <c r="E3022" s="253" t="s">
        <v>170</v>
      </c>
    </row>
    <row r="3023" spans="1:5" ht="30">
      <c r="A3023" s="254">
        <v>12409</v>
      </c>
      <c r="B3023" s="254" t="s">
        <v>23297</v>
      </c>
      <c r="C3023" s="254" t="s">
        <v>4521</v>
      </c>
      <c r="D3023" s="255" t="s">
        <v>16492</v>
      </c>
      <c r="E3023" s="253" t="s">
        <v>170</v>
      </c>
    </row>
    <row r="3024" spans="1:5" ht="30">
      <c r="A3024" s="254">
        <v>12410</v>
      </c>
      <c r="B3024" s="254" t="s">
        <v>23298</v>
      </c>
      <c r="C3024" s="254" t="s">
        <v>4521</v>
      </c>
      <c r="D3024" s="255" t="s">
        <v>15434</v>
      </c>
      <c r="E3024" s="253" t="s">
        <v>170</v>
      </c>
    </row>
    <row r="3025" spans="1:5" ht="15">
      <c r="A3025" s="254">
        <v>3936</v>
      </c>
      <c r="B3025" s="254" t="s">
        <v>23299</v>
      </c>
      <c r="C3025" s="254" t="s">
        <v>4521</v>
      </c>
      <c r="D3025" s="255" t="s">
        <v>22862</v>
      </c>
      <c r="E3025" s="253" t="s">
        <v>170</v>
      </c>
    </row>
    <row r="3026" spans="1:5" ht="15">
      <c r="A3026" s="254">
        <v>3922</v>
      </c>
      <c r="B3026" s="254" t="s">
        <v>23300</v>
      </c>
      <c r="C3026" s="254" t="s">
        <v>4521</v>
      </c>
      <c r="D3026" s="255" t="s">
        <v>17602</v>
      </c>
      <c r="E3026" s="253" t="s">
        <v>170</v>
      </c>
    </row>
    <row r="3027" spans="1:5" ht="15">
      <c r="A3027" s="254">
        <v>3924</v>
      </c>
      <c r="B3027" s="254" t="s">
        <v>23301</v>
      </c>
      <c r="C3027" s="254" t="s">
        <v>4521</v>
      </c>
      <c r="D3027" s="255" t="s">
        <v>22862</v>
      </c>
      <c r="E3027" s="253" t="s">
        <v>170</v>
      </c>
    </row>
    <row r="3028" spans="1:5" ht="15">
      <c r="A3028" s="254">
        <v>3923</v>
      </c>
      <c r="B3028" s="254" t="s">
        <v>23302</v>
      </c>
      <c r="C3028" s="254" t="s">
        <v>4521</v>
      </c>
      <c r="D3028" s="255" t="s">
        <v>22862</v>
      </c>
      <c r="E3028" s="253" t="s">
        <v>170</v>
      </c>
    </row>
    <row r="3029" spans="1:5" ht="15">
      <c r="A3029" s="254">
        <v>3937</v>
      </c>
      <c r="B3029" s="254" t="s">
        <v>23303</v>
      </c>
      <c r="C3029" s="254" t="s">
        <v>4521</v>
      </c>
      <c r="D3029" s="255" t="s">
        <v>19315</v>
      </c>
      <c r="E3029" s="253" t="s">
        <v>170</v>
      </c>
    </row>
    <row r="3030" spans="1:5" ht="15">
      <c r="A3030" s="254">
        <v>3921</v>
      </c>
      <c r="B3030" s="254" t="s">
        <v>23304</v>
      </c>
      <c r="C3030" s="254" t="s">
        <v>4521</v>
      </c>
      <c r="D3030" s="255" t="s">
        <v>16717</v>
      </c>
      <c r="E3030" s="253" t="s">
        <v>170</v>
      </c>
    </row>
    <row r="3031" spans="1:5" ht="15">
      <c r="A3031" s="254">
        <v>3920</v>
      </c>
      <c r="B3031" s="254" t="s">
        <v>23305</v>
      </c>
      <c r="C3031" s="254" t="s">
        <v>4521</v>
      </c>
      <c r="D3031" s="255" t="s">
        <v>19315</v>
      </c>
      <c r="E3031" s="253" t="s">
        <v>170</v>
      </c>
    </row>
    <row r="3032" spans="1:5" ht="15">
      <c r="A3032" s="254">
        <v>3938</v>
      </c>
      <c r="B3032" s="254" t="s">
        <v>23306</v>
      </c>
      <c r="C3032" s="254" t="s">
        <v>4521</v>
      </c>
      <c r="D3032" s="255" t="s">
        <v>23307</v>
      </c>
      <c r="E3032" s="253" t="s">
        <v>170</v>
      </c>
    </row>
    <row r="3033" spans="1:5" ht="15">
      <c r="A3033" s="254">
        <v>3919</v>
      </c>
      <c r="B3033" s="254" t="s">
        <v>23308</v>
      </c>
      <c r="C3033" s="254" t="s">
        <v>4521</v>
      </c>
      <c r="D3033" s="255" t="s">
        <v>15769</v>
      </c>
      <c r="E3033" s="253" t="s">
        <v>170</v>
      </c>
    </row>
    <row r="3034" spans="1:5" ht="15">
      <c r="A3034" s="254">
        <v>3927</v>
      </c>
      <c r="B3034" s="254" t="s">
        <v>23309</v>
      </c>
      <c r="C3034" s="254" t="s">
        <v>4521</v>
      </c>
      <c r="D3034" s="255" t="s">
        <v>23310</v>
      </c>
      <c r="E3034" s="253" t="s">
        <v>170</v>
      </c>
    </row>
    <row r="3035" spans="1:5" ht="15">
      <c r="A3035" s="254">
        <v>3928</v>
      </c>
      <c r="B3035" s="254" t="s">
        <v>23311</v>
      </c>
      <c r="C3035" s="254" t="s">
        <v>4521</v>
      </c>
      <c r="D3035" s="255" t="s">
        <v>23310</v>
      </c>
      <c r="E3035" s="253" t="s">
        <v>170</v>
      </c>
    </row>
    <row r="3036" spans="1:5" ht="15">
      <c r="A3036" s="254">
        <v>3926</v>
      </c>
      <c r="B3036" s="254" t="s">
        <v>23312</v>
      </c>
      <c r="C3036" s="254" t="s">
        <v>4521</v>
      </c>
      <c r="D3036" s="255" t="s">
        <v>23313</v>
      </c>
      <c r="E3036" s="253" t="s">
        <v>170</v>
      </c>
    </row>
    <row r="3037" spans="1:5" ht="15">
      <c r="A3037" s="254">
        <v>3935</v>
      </c>
      <c r="B3037" s="254" t="s">
        <v>23314</v>
      </c>
      <c r="C3037" s="254" t="s">
        <v>4521</v>
      </c>
      <c r="D3037" s="255" t="s">
        <v>23313</v>
      </c>
      <c r="E3037" s="253" t="s">
        <v>170</v>
      </c>
    </row>
    <row r="3038" spans="1:5" ht="15">
      <c r="A3038" s="254">
        <v>3925</v>
      </c>
      <c r="B3038" s="254" t="s">
        <v>23315</v>
      </c>
      <c r="C3038" s="254" t="s">
        <v>4521</v>
      </c>
      <c r="D3038" s="255" t="s">
        <v>23313</v>
      </c>
      <c r="E3038" s="253" t="s">
        <v>170</v>
      </c>
    </row>
    <row r="3039" spans="1:5" ht="15">
      <c r="A3039" s="254">
        <v>12406</v>
      </c>
      <c r="B3039" s="254" t="s">
        <v>23316</v>
      </c>
      <c r="C3039" s="254" t="s">
        <v>4521</v>
      </c>
      <c r="D3039" s="255" t="s">
        <v>19653</v>
      </c>
      <c r="E3039" s="253" t="s">
        <v>170</v>
      </c>
    </row>
    <row r="3040" spans="1:5" ht="15">
      <c r="A3040" s="254">
        <v>3929</v>
      </c>
      <c r="B3040" s="254" t="s">
        <v>23317</v>
      </c>
      <c r="C3040" s="254" t="s">
        <v>4521</v>
      </c>
      <c r="D3040" s="255" t="s">
        <v>23318</v>
      </c>
      <c r="E3040" s="253" t="s">
        <v>170</v>
      </c>
    </row>
    <row r="3041" spans="1:5" ht="15">
      <c r="A3041" s="254">
        <v>3931</v>
      </c>
      <c r="B3041" s="254" t="s">
        <v>23319</v>
      </c>
      <c r="C3041" s="254" t="s">
        <v>4521</v>
      </c>
      <c r="D3041" s="255" t="s">
        <v>23318</v>
      </c>
      <c r="E3041" s="253" t="s">
        <v>170</v>
      </c>
    </row>
    <row r="3042" spans="1:5" ht="15">
      <c r="A3042" s="254">
        <v>3930</v>
      </c>
      <c r="B3042" s="254" t="s">
        <v>23320</v>
      </c>
      <c r="C3042" s="254" t="s">
        <v>4521</v>
      </c>
      <c r="D3042" s="256" t="s">
        <v>23318</v>
      </c>
      <c r="E3042" s="253" t="s">
        <v>170</v>
      </c>
    </row>
    <row r="3043" spans="1:5" ht="15">
      <c r="A3043" s="254">
        <v>3932</v>
      </c>
      <c r="B3043" s="254" t="s">
        <v>23321</v>
      </c>
      <c r="C3043" s="254" t="s">
        <v>4521</v>
      </c>
      <c r="D3043" s="256" t="s">
        <v>23322</v>
      </c>
      <c r="E3043" s="253" t="s">
        <v>170</v>
      </c>
    </row>
    <row r="3044" spans="1:5" ht="15">
      <c r="A3044" s="254">
        <v>3933</v>
      </c>
      <c r="B3044" s="254" t="s">
        <v>23323</v>
      </c>
      <c r="C3044" s="254" t="s">
        <v>4521</v>
      </c>
      <c r="D3044" s="256" t="s">
        <v>23322</v>
      </c>
      <c r="E3044" s="253" t="s">
        <v>170</v>
      </c>
    </row>
    <row r="3045" spans="1:5" ht="15">
      <c r="A3045" s="254">
        <v>3934</v>
      </c>
      <c r="B3045" s="254" t="s">
        <v>23324</v>
      </c>
      <c r="C3045" s="254" t="s">
        <v>4521</v>
      </c>
      <c r="D3045" s="256" t="s">
        <v>23322</v>
      </c>
      <c r="E3045" s="253" t="s">
        <v>170</v>
      </c>
    </row>
    <row r="3046" spans="1:5" ht="30">
      <c r="A3046" s="254">
        <v>40355</v>
      </c>
      <c r="B3046" s="254" t="s">
        <v>23325</v>
      </c>
      <c r="C3046" s="254" t="s">
        <v>4521</v>
      </c>
      <c r="D3046" s="255" t="s">
        <v>21153</v>
      </c>
      <c r="E3046" s="253" t="s">
        <v>170</v>
      </c>
    </row>
    <row r="3047" spans="1:5" ht="30">
      <c r="A3047" s="254">
        <v>40364</v>
      </c>
      <c r="B3047" s="254" t="s">
        <v>23326</v>
      </c>
      <c r="C3047" s="254" t="s">
        <v>4521</v>
      </c>
      <c r="D3047" s="255" t="s">
        <v>23250</v>
      </c>
      <c r="E3047" s="253" t="s">
        <v>170</v>
      </c>
    </row>
    <row r="3048" spans="1:5" ht="30">
      <c r="A3048" s="254">
        <v>40361</v>
      </c>
      <c r="B3048" s="254" t="s">
        <v>23327</v>
      </c>
      <c r="C3048" s="254" t="s">
        <v>4521</v>
      </c>
      <c r="D3048" s="255" t="s">
        <v>23328</v>
      </c>
      <c r="E3048" s="253" t="s">
        <v>170</v>
      </c>
    </row>
    <row r="3049" spans="1:5" ht="30">
      <c r="A3049" s="254">
        <v>40358</v>
      </c>
      <c r="B3049" s="254" t="s">
        <v>23329</v>
      </c>
      <c r="C3049" s="254" t="s">
        <v>4521</v>
      </c>
      <c r="D3049" s="255" t="s">
        <v>16453</v>
      </c>
      <c r="E3049" s="253" t="s">
        <v>170</v>
      </c>
    </row>
    <row r="3050" spans="1:5" ht="30">
      <c r="A3050" s="254">
        <v>40370</v>
      </c>
      <c r="B3050" s="254" t="s">
        <v>23330</v>
      </c>
      <c r="C3050" s="254" t="s">
        <v>4521</v>
      </c>
      <c r="D3050" s="255" t="s">
        <v>23331</v>
      </c>
      <c r="E3050" s="253" t="s">
        <v>170</v>
      </c>
    </row>
    <row r="3051" spans="1:5" ht="30">
      <c r="A3051" s="254">
        <v>40367</v>
      </c>
      <c r="B3051" s="254" t="s">
        <v>23332</v>
      </c>
      <c r="C3051" s="254" t="s">
        <v>4521</v>
      </c>
      <c r="D3051" s="255" t="s">
        <v>23333</v>
      </c>
      <c r="E3051" s="253" t="s">
        <v>170</v>
      </c>
    </row>
    <row r="3052" spans="1:5" ht="30">
      <c r="A3052" s="254">
        <v>40373</v>
      </c>
      <c r="B3052" s="254" t="s">
        <v>23334</v>
      </c>
      <c r="C3052" s="254" t="s">
        <v>4521</v>
      </c>
      <c r="D3052" s="255" t="s">
        <v>23335</v>
      </c>
      <c r="E3052" s="253" t="s">
        <v>170</v>
      </c>
    </row>
    <row r="3053" spans="1:5" ht="30">
      <c r="A3053" s="254">
        <v>38947</v>
      </c>
      <c r="B3053" s="254" t="s">
        <v>23336</v>
      </c>
      <c r="C3053" s="254" t="s">
        <v>4521</v>
      </c>
      <c r="D3053" s="255" t="s">
        <v>16471</v>
      </c>
      <c r="E3053" s="253" t="s">
        <v>170</v>
      </c>
    </row>
    <row r="3054" spans="1:5" ht="30">
      <c r="A3054" s="254">
        <v>38948</v>
      </c>
      <c r="B3054" s="254" t="s">
        <v>23337</v>
      </c>
      <c r="C3054" s="254" t="s">
        <v>4521</v>
      </c>
      <c r="D3054" s="255" t="s">
        <v>23338</v>
      </c>
      <c r="E3054" s="253" t="s">
        <v>170</v>
      </c>
    </row>
    <row r="3055" spans="1:5" ht="30">
      <c r="A3055" s="254">
        <v>38949</v>
      </c>
      <c r="B3055" s="254" t="s">
        <v>23339</v>
      </c>
      <c r="C3055" s="254" t="s">
        <v>4521</v>
      </c>
      <c r="D3055" s="255" t="s">
        <v>16587</v>
      </c>
      <c r="E3055" s="253" t="s">
        <v>170</v>
      </c>
    </row>
    <row r="3056" spans="1:5" ht="30">
      <c r="A3056" s="254">
        <v>38951</v>
      </c>
      <c r="B3056" s="254" t="s">
        <v>23340</v>
      </c>
      <c r="C3056" s="254" t="s">
        <v>4521</v>
      </c>
      <c r="D3056" s="255" t="s">
        <v>23341</v>
      </c>
      <c r="E3056" s="253" t="s">
        <v>170</v>
      </c>
    </row>
    <row r="3057" spans="1:5" ht="30">
      <c r="A3057" s="254">
        <v>39312</v>
      </c>
      <c r="B3057" s="254" t="s">
        <v>23342</v>
      </c>
      <c r="C3057" s="254" t="s">
        <v>4521</v>
      </c>
      <c r="D3057" s="255" t="s">
        <v>20187</v>
      </c>
      <c r="E3057" s="253" t="s">
        <v>170</v>
      </c>
    </row>
    <row r="3058" spans="1:5" ht="30">
      <c r="A3058" s="254">
        <v>39313</v>
      </c>
      <c r="B3058" s="254" t="s">
        <v>23343</v>
      </c>
      <c r="C3058" s="254" t="s">
        <v>4521</v>
      </c>
      <c r="D3058" s="255" t="s">
        <v>15940</v>
      </c>
      <c r="E3058" s="253" t="s">
        <v>170</v>
      </c>
    </row>
    <row r="3059" spans="1:5" ht="30">
      <c r="A3059" s="254">
        <v>38950</v>
      </c>
      <c r="B3059" s="254" t="s">
        <v>23344</v>
      </c>
      <c r="C3059" s="254" t="s">
        <v>4521</v>
      </c>
      <c r="D3059" s="255" t="s">
        <v>23345</v>
      </c>
      <c r="E3059" s="253" t="s">
        <v>170</v>
      </c>
    </row>
    <row r="3060" spans="1:5" ht="30">
      <c r="A3060" s="254">
        <v>39314</v>
      </c>
      <c r="B3060" s="254" t="s">
        <v>23346</v>
      </c>
      <c r="C3060" s="254" t="s">
        <v>4521</v>
      </c>
      <c r="D3060" s="255" t="s">
        <v>16343</v>
      </c>
      <c r="E3060" s="253" t="s">
        <v>170</v>
      </c>
    </row>
    <row r="3061" spans="1:5" ht="15">
      <c r="A3061" s="254">
        <v>3907</v>
      </c>
      <c r="B3061" s="254" t="s">
        <v>23347</v>
      </c>
      <c r="C3061" s="254" t="s">
        <v>4521</v>
      </c>
      <c r="D3061" s="255" t="s">
        <v>17524</v>
      </c>
      <c r="E3061" s="253" t="s">
        <v>170</v>
      </c>
    </row>
    <row r="3062" spans="1:5" ht="15">
      <c r="A3062" s="254">
        <v>3889</v>
      </c>
      <c r="B3062" s="254" t="s">
        <v>23348</v>
      </c>
      <c r="C3062" s="254" t="s">
        <v>4521</v>
      </c>
      <c r="D3062" s="255" t="s">
        <v>13829</v>
      </c>
      <c r="E3062" s="253" t="s">
        <v>170</v>
      </c>
    </row>
    <row r="3063" spans="1:5" ht="15">
      <c r="A3063" s="254">
        <v>3868</v>
      </c>
      <c r="B3063" s="254" t="s">
        <v>23349</v>
      </c>
      <c r="C3063" s="254" t="s">
        <v>4521</v>
      </c>
      <c r="D3063" s="255" t="s">
        <v>18452</v>
      </c>
      <c r="E3063" s="253" t="s">
        <v>170</v>
      </c>
    </row>
    <row r="3064" spans="1:5" ht="15">
      <c r="A3064" s="254">
        <v>3869</v>
      </c>
      <c r="B3064" s="254" t="s">
        <v>23350</v>
      </c>
      <c r="C3064" s="254" t="s">
        <v>4521</v>
      </c>
      <c r="D3064" s="255" t="s">
        <v>18462</v>
      </c>
      <c r="E3064" s="253" t="s">
        <v>170</v>
      </c>
    </row>
    <row r="3065" spans="1:5" ht="15">
      <c r="A3065" s="254">
        <v>3872</v>
      </c>
      <c r="B3065" s="254" t="s">
        <v>23351</v>
      </c>
      <c r="C3065" s="254" t="s">
        <v>4521</v>
      </c>
      <c r="D3065" s="255" t="s">
        <v>21112</v>
      </c>
      <c r="E3065" s="253" t="s">
        <v>170</v>
      </c>
    </row>
    <row r="3066" spans="1:5" ht="15">
      <c r="A3066" s="254">
        <v>3850</v>
      </c>
      <c r="B3066" s="254" t="s">
        <v>23352</v>
      </c>
      <c r="C3066" s="254" t="s">
        <v>4521</v>
      </c>
      <c r="D3066" s="255" t="s">
        <v>17612</v>
      </c>
      <c r="E3066" s="253" t="s">
        <v>170</v>
      </c>
    </row>
    <row r="3067" spans="1:5" ht="15">
      <c r="A3067" s="254">
        <v>38023</v>
      </c>
      <c r="B3067" s="254" t="s">
        <v>23353</v>
      </c>
      <c r="C3067" s="254" t="s">
        <v>4521</v>
      </c>
      <c r="D3067" s="255" t="s">
        <v>18520</v>
      </c>
      <c r="E3067" s="253" t="s">
        <v>170</v>
      </c>
    </row>
    <row r="3068" spans="1:5" ht="15">
      <c r="A3068" s="254">
        <v>37986</v>
      </c>
      <c r="B3068" s="254" t="s">
        <v>23354</v>
      </c>
      <c r="C3068" s="254" t="s">
        <v>4521</v>
      </c>
      <c r="D3068" s="255" t="s">
        <v>14188</v>
      </c>
      <c r="E3068" s="253" t="s">
        <v>170</v>
      </c>
    </row>
    <row r="3069" spans="1:5" ht="15">
      <c r="A3069" s="254">
        <v>37987</v>
      </c>
      <c r="B3069" s="254" t="s">
        <v>23355</v>
      </c>
      <c r="C3069" s="254" t="s">
        <v>4521</v>
      </c>
      <c r="D3069" s="255" t="s">
        <v>23356</v>
      </c>
      <c r="E3069" s="253" t="s">
        <v>170</v>
      </c>
    </row>
    <row r="3070" spans="1:5" ht="15">
      <c r="A3070" s="254">
        <v>37988</v>
      </c>
      <c r="B3070" s="254" t="s">
        <v>23357</v>
      </c>
      <c r="C3070" s="254" t="s">
        <v>4521</v>
      </c>
      <c r="D3070" s="256" t="s">
        <v>23358</v>
      </c>
      <c r="E3070" s="253" t="s">
        <v>170</v>
      </c>
    </row>
    <row r="3071" spans="1:5" ht="15">
      <c r="A3071" s="254">
        <v>21120</v>
      </c>
      <c r="B3071" s="254" t="s">
        <v>23359</v>
      </c>
      <c r="C3071" s="254" t="s">
        <v>4521</v>
      </c>
      <c r="D3071" s="256" t="s">
        <v>16626</v>
      </c>
      <c r="E3071" s="253" t="s">
        <v>170</v>
      </c>
    </row>
    <row r="3072" spans="1:5" ht="15">
      <c r="A3072" s="254">
        <v>39318</v>
      </c>
      <c r="B3072" s="254" t="s">
        <v>23360</v>
      </c>
      <c r="C3072" s="254" t="s">
        <v>4521</v>
      </c>
      <c r="D3072" s="255" t="s">
        <v>16472</v>
      </c>
      <c r="E3072" s="253" t="s">
        <v>170</v>
      </c>
    </row>
    <row r="3073" spans="1:5" ht="15">
      <c r="A3073" s="254">
        <v>20162</v>
      </c>
      <c r="B3073" s="254" t="s">
        <v>23361</v>
      </c>
      <c r="C3073" s="254" t="s">
        <v>4521</v>
      </c>
      <c r="D3073" s="255" t="s">
        <v>18936</v>
      </c>
      <c r="E3073" s="253" t="s">
        <v>170</v>
      </c>
    </row>
    <row r="3074" spans="1:5" ht="15">
      <c r="A3074" s="254">
        <v>40366</v>
      </c>
      <c r="B3074" s="254" t="s">
        <v>23362</v>
      </c>
      <c r="C3074" s="254" t="s">
        <v>4521</v>
      </c>
      <c r="D3074" s="255" t="s">
        <v>15972</v>
      </c>
      <c r="E3074" s="253" t="s">
        <v>170</v>
      </c>
    </row>
    <row r="3075" spans="1:5" ht="15">
      <c r="A3075" s="254">
        <v>40363</v>
      </c>
      <c r="B3075" s="254" t="s">
        <v>23363</v>
      </c>
      <c r="C3075" s="254" t="s">
        <v>4521</v>
      </c>
      <c r="D3075" s="255" t="s">
        <v>13971</v>
      </c>
      <c r="E3075" s="253" t="s">
        <v>170</v>
      </c>
    </row>
    <row r="3076" spans="1:5" ht="15">
      <c r="A3076" s="254">
        <v>40354</v>
      </c>
      <c r="B3076" s="254" t="s">
        <v>23364</v>
      </c>
      <c r="C3076" s="254" t="s">
        <v>4521</v>
      </c>
      <c r="D3076" s="255" t="s">
        <v>15485</v>
      </c>
      <c r="E3076" s="253" t="s">
        <v>170</v>
      </c>
    </row>
    <row r="3077" spans="1:5" ht="15">
      <c r="A3077" s="254">
        <v>40360</v>
      </c>
      <c r="B3077" s="254" t="s">
        <v>23365</v>
      </c>
      <c r="C3077" s="254" t="s">
        <v>4521</v>
      </c>
      <c r="D3077" s="255" t="s">
        <v>23366</v>
      </c>
      <c r="E3077" s="253" t="s">
        <v>170</v>
      </c>
    </row>
    <row r="3078" spans="1:5" ht="15">
      <c r="A3078" s="254">
        <v>40372</v>
      </c>
      <c r="B3078" s="254" t="s">
        <v>23367</v>
      </c>
      <c r="C3078" s="254" t="s">
        <v>4521</v>
      </c>
      <c r="D3078" s="255" t="s">
        <v>23368</v>
      </c>
      <c r="E3078" s="253" t="s">
        <v>170</v>
      </c>
    </row>
    <row r="3079" spans="1:5" ht="15">
      <c r="A3079" s="254">
        <v>40369</v>
      </c>
      <c r="B3079" s="254" t="s">
        <v>23369</v>
      </c>
      <c r="C3079" s="254" t="s">
        <v>4521</v>
      </c>
      <c r="D3079" s="255" t="s">
        <v>23370</v>
      </c>
      <c r="E3079" s="253" t="s">
        <v>170</v>
      </c>
    </row>
    <row r="3080" spans="1:5" ht="15">
      <c r="A3080" s="254">
        <v>40357</v>
      </c>
      <c r="B3080" s="254" t="s">
        <v>23371</v>
      </c>
      <c r="C3080" s="254" t="s">
        <v>4521</v>
      </c>
      <c r="D3080" s="255" t="s">
        <v>16453</v>
      </c>
      <c r="E3080" s="253" t="s">
        <v>170</v>
      </c>
    </row>
    <row r="3081" spans="1:5" ht="15">
      <c r="A3081" s="254">
        <v>40375</v>
      </c>
      <c r="B3081" s="254" t="s">
        <v>23372</v>
      </c>
      <c r="C3081" s="254" t="s">
        <v>4521</v>
      </c>
      <c r="D3081" s="255" t="s">
        <v>23373</v>
      </c>
      <c r="E3081" s="253" t="s">
        <v>170</v>
      </c>
    </row>
    <row r="3082" spans="1:5" ht="15">
      <c r="A3082" s="254">
        <v>1893</v>
      </c>
      <c r="B3082" s="254" t="s">
        <v>23374</v>
      </c>
      <c r="C3082" s="254" t="s">
        <v>4521</v>
      </c>
      <c r="D3082" s="255" t="s">
        <v>21422</v>
      </c>
      <c r="E3082" s="253" t="s">
        <v>170</v>
      </c>
    </row>
    <row r="3083" spans="1:5" ht="15">
      <c r="A3083" s="254">
        <v>1902</v>
      </c>
      <c r="B3083" s="254" t="s">
        <v>23375</v>
      </c>
      <c r="C3083" s="254" t="s">
        <v>4521</v>
      </c>
      <c r="D3083" s="255" t="s">
        <v>23376</v>
      </c>
      <c r="E3083" s="253" t="s">
        <v>170</v>
      </c>
    </row>
    <row r="3084" spans="1:5" ht="15">
      <c r="A3084" s="254">
        <v>1901</v>
      </c>
      <c r="B3084" s="254" t="s">
        <v>23377</v>
      </c>
      <c r="C3084" s="254" t="s">
        <v>4521</v>
      </c>
      <c r="D3084" s="255" t="s">
        <v>14339</v>
      </c>
      <c r="E3084" s="253" t="s">
        <v>170</v>
      </c>
    </row>
    <row r="3085" spans="1:5" ht="15">
      <c r="A3085" s="254">
        <v>1892</v>
      </c>
      <c r="B3085" s="254" t="s">
        <v>23378</v>
      </c>
      <c r="C3085" s="254" t="s">
        <v>4521</v>
      </c>
      <c r="D3085" s="255" t="s">
        <v>19016</v>
      </c>
      <c r="E3085" s="253" t="s">
        <v>170</v>
      </c>
    </row>
    <row r="3086" spans="1:5" ht="15">
      <c r="A3086" s="254">
        <v>1907</v>
      </c>
      <c r="B3086" s="254" t="s">
        <v>23379</v>
      </c>
      <c r="C3086" s="254" t="s">
        <v>4521</v>
      </c>
      <c r="D3086" s="255" t="s">
        <v>14238</v>
      </c>
      <c r="E3086" s="253" t="s">
        <v>170</v>
      </c>
    </row>
    <row r="3087" spans="1:5" ht="15">
      <c r="A3087" s="254">
        <v>1894</v>
      </c>
      <c r="B3087" s="254" t="s">
        <v>23380</v>
      </c>
      <c r="C3087" s="254" t="s">
        <v>4521</v>
      </c>
      <c r="D3087" s="255" t="s">
        <v>21202</v>
      </c>
      <c r="E3087" s="253" t="s">
        <v>170</v>
      </c>
    </row>
    <row r="3088" spans="1:5" ht="15">
      <c r="A3088" s="254">
        <v>1891</v>
      </c>
      <c r="B3088" s="254" t="s">
        <v>23381</v>
      </c>
      <c r="C3088" s="254" t="s">
        <v>4521</v>
      </c>
      <c r="D3088" s="255" t="s">
        <v>14366</v>
      </c>
      <c r="E3088" s="253" t="s">
        <v>170</v>
      </c>
    </row>
    <row r="3089" spans="1:5" ht="15">
      <c r="A3089" s="254">
        <v>1896</v>
      </c>
      <c r="B3089" s="254" t="s">
        <v>23382</v>
      </c>
      <c r="C3089" s="254" t="s">
        <v>4521</v>
      </c>
      <c r="D3089" s="255" t="s">
        <v>15807</v>
      </c>
      <c r="E3089" s="253" t="s">
        <v>170</v>
      </c>
    </row>
    <row r="3090" spans="1:5" ht="15">
      <c r="A3090" s="254">
        <v>1895</v>
      </c>
      <c r="B3090" s="254" t="s">
        <v>23383</v>
      </c>
      <c r="C3090" s="254" t="s">
        <v>4521</v>
      </c>
      <c r="D3090" s="255" t="s">
        <v>17638</v>
      </c>
      <c r="E3090" s="253" t="s">
        <v>170</v>
      </c>
    </row>
    <row r="3091" spans="1:5" ht="30">
      <c r="A3091" s="254">
        <v>2641</v>
      </c>
      <c r="B3091" s="254" t="s">
        <v>23384</v>
      </c>
      <c r="C3091" s="254" t="s">
        <v>4521</v>
      </c>
      <c r="D3091" s="255" t="s">
        <v>23385</v>
      </c>
      <c r="E3091" s="253" t="s">
        <v>170</v>
      </c>
    </row>
    <row r="3092" spans="1:5" ht="30">
      <c r="A3092" s="254">
        <v>2636</v>
      </c>
      <c r="B3092" s="254" t="s">
        <v>23386</v>
      </c>
      <c r="C3092" s="254" t="s">
        <v>4521</v>
      </c>
      <c r="D3092" s="255" t="s">
        <v>19875</v>
      </c>
      <c r="E3092" s="253" t="s">
        <v>170</v>
      </c>
    </row>
    <row r="3093" spans="1:5" ht="30">
      <c r="A3093" s="254">
        <v>2637</v>
      </c>
      <c r="B3093" s="254" t="s">
        <v>23387</v>
      </c>
      <c r="C3093" s="254" t="s">
        <v>4521</v>
      </c>
      <c r="D3093" s="255" t="s">
        <v>14216</v>
      </c>
      <c r="E3093" s="253" t="s">
        <v>170</v>
      </c>
    </row>
    <row r="3094" spans="1:5" ht="30">
      <c r="A3094" s="254">
        <v>2638</v>
      </c>
      <c r="B3094" s="254" t="s">
        <v>23388</v>
      </c>
      <c r="C3094" s="254" t="s">
        <v>4521</v>
      </c>
      <c r="D3094" s="255" t="s">
        <v>20328</v>
      </c>
      <c r="E3094" s="253" t="s">
        <v>170</v>
      </c>
    </row>
    <row r="3095" spans="1:5" ht="30">
      <c r="A3095" s="254">
        <v>2639</v>
      </c>
      <c r="B3095" s="254" t="s">
        <v>23389</v>
      </c>
      <c r="C3095" s="254" t="s">
        <v>4521</v>
      </c>
      <c r="D3095" s="255" t="s">
        <v>14297</v>
      </c>
      <c r="E3095" s="253" t="s">
        <v>170</v>
      </c>
    </row>
    <row r="3096" spans="1:5" ht="30">
      <c r="A3096" s="254">
        <v>2644</v>
      </c>
      <c r="B3096" s="254" t="s">
        <v>23390</v>
      </c>
      <c r="C3096" s="254" t="s">
        <v>4521</v>
      </c>
      <c r="D3096" s="255" t="s">
        <v>23391</v>
      </c>
      <c r="E3096" s="253" t="s">
        <v>170</v>
      </c>
    </row>
    <row r="3097" spans="1:5" ht="30">
      <c r="A3097" s="254">
        <v>2643</v>
      </c>
      <c r="B3097" s="254" t="s">
        <v>23392</v>
      </c>
      <c r="C3097" s="254" t="s">
        <v>4521</v>
      </c>
      <c r="D3097" s="255" t="s">
        <v>15444</v>
      </c>
      <c r="E3097" s="253" t="s">
        <v>170</v>
      </c>
    </row>
    <row r="3098" spans="1:5" ht="30">
      <c r="A3098" s="254">
        <v>2640</v>
      </c>
      <c r="B3098" s="254" t="s">
        <v>23393</v>
      </c>
      <c r="C3098" s="254" t="s">
        <v>4521</v>
      </c>
      <c r="D3098" s="255" t="s">
        <v>23394</v>
      </c>
      <c r="E3098" s="253" t="s">
        <v>170</v>
      </c>
    </row>
    <row r="3099" spans="1:5" ht="30">
      <c r="A3099" s="254">
        <v>2642</v>
      </c>
      <c r="B3099" s="254" t="s">
        <v>23395</v>
      </c>
      <c r="C3099" s="254" t="s">
        <v>4521</v>
      </c>
      <c r="D3099" s="255" t="s">
        <v>14243</v>
      </c>
      <c r="E3099" s="253" t="s">
        <v>170</v>
      </c>
    </row>
    <row r="3100" spans="1:5" ht="15">
      <c r="A3100" s="254">
        <v>38943</v>
      </c>
      <c r="B3100" s="254" t="s">
        <v>23396</v>
      </c>
      <c r="C3100" s="254" t="s">
        <v>4521</v>
      </c>
      <c r="D3100" s="255" t="s">
        <v>19705</v>
      </c>
      <c r="E3100" s="253" t="s">
        <v>170</v>
      </c>
    </row>
    <row r="3101" spans="1:5" ht="15">
      <c r="A3101" s="254">
        <v>38944</v>
      </c>
      <c r="B3101" s="254" t="s">
        <v>23397</v>
      </c>
      <c r="C3101" s="254" t="s">
        <v>4521</v>
      </c>
      <c r="D3101" s="255" t="s">
        <v>15472</v>
      </c>
      <c r="E3101" s="253" t="s">
        <v>170</v>
      </c>
    </row>
    <row r="3102" spans="1:5" ht="15">
      <c r="A3102" s="254">
        <v>38945</v>
      </c>
      <c r="B3102" s="254" t="s">
        <v>23398</v>
      </c>
      <c r="C3102" s="254" t="s">
        <v>4521</v>
      </c>
      <c r="D3102" s="256" t="s">
        <v>16943</v>
      </c>
      <c r="E3102" s="253" t="s">
        <v>170</v>
      </c>
    </row>
    <row r="3103" spans="1:5" ht="15">
      <c r="A3103" s="254">
        <v>38946</v>
      </c>
      <c r="B3103" s="254" t="s">
        <v>23399</v>
      </c>
      <c r="C3103" s="254" t="s">
        <v>4521</v>
      </c>
      <c r="D3103" s="256" t="s">
        <v>14654</v>
      </c>
      <c r="E3103" s="253" t="s">
        <v>170</v>
      </c>
    </row>
    <row r="3104" spans="1:5" ht="15">
      <c r="A3104" s="254">
        <v>39308</v>
      </c>
      <c r="B3104" s="254" t="s">
        <v>23400</v>
      </c>
      <c r="C3104" s="254" t="s">
        <v>4521</v>
      </c>
      <c r="D3104" s="256" t="s">
        <v>14736</v>
      </c>
      <c r="E3104" s="253" t="s">
        <v>170</v>
      </c>
    </row>
    <row r="3105" spans="1:5" ht="15">
      <c r="A3105" s="254">
        <v>39309</v>
      </c>
      <c r="B3105" s="254" t="s">
        <v>23401</v>
      </c>
      <c r="C3105" s="254" t="s">
        <v>4521</v>
      </c>
      <c r="D3105" s="256" t="s">
        <v>18936</v>
      </c>
      <c r="E3105" s="253" t="s">
        <v>170</v>
      </c>
    </row>
    <row r="3106" spans="1:5" ht="15">
      <c r="A3106" s="254">
        <v>39310</v>
      </c>
      <c r="B3106" s="254" t="s">
        <v>23402</v>
      </c>
      <c r="C3106" s="254" t="s">
        <v>4521</v>
      </c>
      <c r="D3106" s="256" t="s">
        <v>23403</v>
      </c>
      <c r="E3106" s="253" t="s">
        <v>170</v>
      </c>
    </row>
    <row r="3107" spans="1:5" ht="15">
      <c r="A3107" s="254">
        <v>39311</v>
      </c>
      <c r="B3107" s="254" t="s">
        <v>23404</v>
      </c>
      <c r="C3107" s="254" t="s">
        <v>4521</v>
      </c>
      <c r="D3107" s="256" t="s">
        <v>23405</v>
      </c>
      <c r="E3107" s="253" t="s">
        <v>170</v>
      </c>
    </row>
    <row r="3108" spans="1:5" ht="15">
      <c r="A3108" s="254">
        <v>39855</v>
      </c>
      <c r="B3108" s="254" t="s">
        <v>23406</v>
      </c>
      <c r="C3108" s="254" t="s">
        <v>4521</v>
      </c>
      <c r="D3108" s="255" t="s">
        <v>17875</v>
      </c>
      <c r="E3108" s="253" t="s">
        <v>170</v>
      </c>
    </row>
    <row r="3109" spans="1:5" ht="15">
      <c r="A3109" s="254">
        <v>39856</v>
      </c>
      <c r="B3109" s="254" t="s">
        <v>23407</v>
      </c>
      <c r="C3109" s="254" t="s">
        <v>4521</v>
      </c>
      <c r="D3109" s="256" t="s">
        <v>14330</v>
      </c>
      <c r="E3109" s="253" t="s">
        <v>170</v>
      </c>
    </row>
    <row r="3110" spans="1:5" ht="15">
      <c r="A3110" s="254">
        <v>39857</v>
      </c>
      <c r="B3110" s="254" t="s">
        <v>23408</v>
      </c>
      <c r="C3110" s="254" t="s">
        <v>4521</v>
      </c>
      <c r="D3110" s="256" t="s">
        <v>22441</v>
      </c>
      <c r="E3110" s="253" t="s">
        <v>170</v>
      </c>
    </row>
    <row r="3111" spans="1:5" ht="15">
      <c r="A3111" s="254">
        <v>39858</v>
      </c>
      <c r="B3111" s="254" t="s">
        <v>23409</v>
      </c>
      <c r="C3111" s="254" t="s">
        <v>4521</v>
      </c>
      <c r="D3111" s="256" t="s">
        <v>23410</v>
      </c>
      <c r="E3111" s="253" t="s">
        <v>170</v>
      </c>
    </row>
    <row r="3112" spans="1:5" ht="15">
      <c r="A3112" s="254">
        <v>39859</v>
      </c>
      <c r="B3112" s="254" t="s">
        <v>23411</v>
      </c>
      <c r="C3112" s="254" t="s">
        <v>4521</v>
      </c>
      <c r="D3112" s="256" t="s">
        <v>23412</v>
      </c>
      <c r="E3112" s="253" t="s">
        <v>170</v>
      </c>
    </row>
    <row r="3113" spans="1:5" ht="15">
      <c r="A3113" s="254">
        <v>39860</v>
      </c>
      <c r="B3113" s="254" t="s">
        <v>23413</v>
      </c>
      <c r="C3113" s="254" t="s">
        <v>4521</v>
      </c>
      <c r="D3113" s="256" t="s">
        <v>14909</v>
      </c>
      <c r="E3113" s="253" t="s">
        <v>170</v>
      </c>
    </row>
    <row r="3114" spans="1:5" ht="15">
      <c r="A3114" s="254">
        <v>39861</v>
      </c>
      <c r="B3114" s="254" t="s">
        <v>23414</v>
      </c>
      <c r="C3114" s="254" t="s">
        <v>4521</v>
      </c>
      <c r="D3114" s="256" t="s">
        <v>23230</v>
      </c>
      <c r="E3114" s="253" t="s">
        <v>170</v>
      </c>
    </row>
    <row r="3115" spans="1:5" ht="15">
      <c r="A3115" s="254">
        <v>38447</v>
      </c>
      <c r="B3115" s="254" t="s">
        <v>23415</v>
      </c>
      <c r="C3115" s="254" t="s">
        <v>4521</v>
      </c>
      <c r="D3115" s="256" t="s">
        <v>16034</v>
      </c>
      <c r="E3115" s="253" t="s">
        <v>170</v>
      </c>
    </row>
    <row r="3116" spans="1:5" ht="15">
      <c r="A3116" s="254">
        <v>36320</v>
      </c>
      <c r="B3116" s="254" t="s">
        <v>23416</v>
      </c>
      <c r="C3116" s="254" t="s">
        <v>4521</v>
      </c>
      <c r="D3116" s="256" t="s">
        <v>14466</v>
      </c>
      <c r="E3116" s="253" t="s">
        <v>170</v>
      </c>
    </row>
    <row r="3117" spans="1:5" ht="15">
      <c r="A3117" s="254">
        <v>36324</v>
      </c>
      <c r="B3117" s="254" t="s">
        <v>23417</v>
      </c>
      <c r="C3117" s="254" t="s">
        <v>4521</v>
      </c>
      <c r="D3117" s="255" t="s">
        <v>14274</v>
      </c>
      <c r="E3117" s="253" t="s">
        <v>170</v>
      </c>
    </row>
    <row r="3118" spans="1:5" ht="15">
      <c r="A3118" s="254">
        <v>38441</v>
      </c>
      <c r="B3118" s="254" t="s">
        <v>23418</v>
      </c>
      <c r="C3118" s="254" t="s">
        <v>4521</v>
      </c>
      <c r="D3118" s="255" t="s">
        <v>13897</v>
      </c>
      <c r="E3118" s="253" t="s">
        <v>170</v>
      </c>
    </row>
    <row r="3119" spans="1:5" ht="15">
      <c r="A3119" s="254">
        <v>38442</v>
      </c>
      <c r="B3119" s="254" t="s">
        <v>23419</v>
      </c>
      <c r="C3119" s="254" t="s">
        <v>4521</v>
      </c>
      <c r="D3119" s="255" t="s">
        <v>16471</v>
      </c>
      <c r="E3119" s="253" t="s">
        <v>170</v>
      </c>
    </row>
    <row r="3120" spans="1:5" ht="15">
      <c r="A3120" s="254">
        <v>38443</v>
      </c>
      <c r="B3120" s="254" t="s">
        <v>23420</v>
      </c>
      <c r="C3120" s="254" t="s">
        <v>4521</v>
      </c>
      <c r="D3120" s="255" t="s">
        <v>15732</v>
      </c>
      <c r="E3120" s="253" t="s">
        <v>170</v>
      </c>
    </row>
    <row r="3121" spans="1:5" ht="15">
      <c r="A3121" s="254">
        <v>38444</v>
      </c>
      <c r="B3121" s="254" t="s">
        <v>23421</v>
      </c>
      <c r="C3121" s="254" t="s">
        <v>4521</v>
      </c>
      <c r="D3121" s="255" t="s">
        <v>15683</v>
      </c>
      <c r="E3121" s="253" t="s">
        <v>170</v>
      </c>
    </row>
    <row r="3122" spans="1:5" ht="15">
      <c r="A3122" s="254">
        <v>38445</v>
      </c>
      <c r="B3122" s="254" t="s">
        <v>23422</v>
      </c>
      <c r="C3122" s="254" t="s">
        <v>4521</v>
      </c>
      <c r="D3122" s="255" t="s">
        <v>23423</v>
      </c>
      <c r="E3122" s="253" t="s">
        <v>170</v>
      </c>
    </row>
    <row r="3123" spans="1:5" ht="15">
      <c r="A3123" s="254">
        <v>38446</v>
      </c>
      <c r="B3123" s="254" t="s">
        <v>23424</v>
      </c>
      <c r="C3123" s="254" t="s">
        <v>4521</v>
      </c>
      <c r="D3123" s="255" t="s">
        <v>23425</v>
      </c>
      <c r="E3123" s="253" t="s">
        <v>170</v>
      </c>
    </row>
    <row r="3124" spans="1:5" ht="15">
      <c r="A3124" s="254">
        <v>3867</v>
      </c>
      <c r="B3124" s="254" t="s">
        <v>23426</v>
      </c>
      <c r="C3124" s="254" t="s">
        <v>4521</v>
      </c>
      <c r="D3124" s="255" t="s">
        <v>19904</v>
      </c>
      <c r="E3124" s="253" t="s">
        <v>170</v>
      </c>
    </row>
    <row r="3125" spans="1:5" ht="15">
      <c r="A3125" s="254">
        <v>3861</v>
      </c>
      <c r="B3125" s="254" t="s">
        <v>23427</v>
      </c>
      <c r="C3125" s="254" t="s">
        <v>4521</v>
      </c>
      <c r="D3125" s="255" t="s">
        <v>14426</v>
      </c>
      <c r="E3125" s="253" t="s">
        <v>170</v>
      </c>
    </row>
    <row r="3126" spans="1:5" ht="15">
      <c r="A3126" s="254">
        <v>3904</v>
      </c>
      <c r="B3126" s="254" t="s">
        <v>23428</v>
      </c>
      <c r="C3126" s="254" t="s">
        <v>4521</v>
      </c>
      <c r="D3126" s="255" t="s">
        <v>14304</v>
      </c>
      <c r="E3126" s="253" t="s">
        <v>170</v>
      </c>
    </row>
    <row r="3127" spans="1:5" ht="15">
      <c r="A3127" s="254">
        <v>3903</v>
      </c>
      <c r="B3127" s="254" t="s">
        <v>23429</v>
      </c>
      <c r="C3127" s="254" t="s">
        <v>4521</v>
      </c>
      <c r="D3127" s="255" t="s">
        <v>20234</v>
      </c>
      <c r="E3127" s="253" t="s">
        <v>170</v>
      </c>
    </row>
    <row r="3128" spans="1:5" ht="15">
      <c r="A3128" s="254">
        <v>3862</v>
      </c>
      <c r="B3128" s="254" t="s">
        <v>23430</v>
      </c>
      <c r="C3128" s="254" t="s">
        <v>4521</v>
      </c>
      <c r="D3128" s="255" t="s">
        <v>18716</v>
      </c>
      <c r="E3128" s="253" t="s">
        <v>170</v>
      </c>
    </row>
    <row r="3129" spans="1:5" ht="15">
      <c r="A3129" s="254">
        <v>3863</v>
      </c>
      <c r="B3129" s="254" t="s">
        <v>23431</v>
      </c>
      <c r="C3129" s="254" t="s">
        <v>4521</v>
      </c>
      <c r="D3129" s="255" t="s">
        <v>13614</v>
      </c>
      <c r="E3129" s="253" t="s">
        <v>170</v>
      </c>
    </row>
    <row r="3130" spans="1:5" ht="15">
      <c r="A3130" s="254">
        <v>3864</v>
      </c>
      <c r="B3130" s="254" t="s">
        <v>23432</v>
      </c>
      <c r="C3130" s="254" t="s">
        <v>4521</v>
      </c>
      <c r="D3130" s="255" t="s">
        <v>23433</v>
      </c>
      <c r="E3130" s="253" t="s">
        <v>170</v>
      </c>
    </row>
    <row r="3131" spans="1:5" ht="15">
      <c r="A3131" s="254">
        <v>3865</v>
      </c>
      <c r="B3131" s="254" t="s">
        <v>23434</v>
      </c>
      <c r="C3131" s="254" t="s">
        <v>4521</v>
      </c>
      <c r="D3131" s="255" t="s">
        <v>22752</v>
      </c>
      <c r="E3131" s="253" t="s">
        <v>170</v>
      </c>
    </row>
    <row r="3132" spans="1:5" ht="15">
      <c r="A3132" s="254">
        <v>3866</v>
      </c>
      <c r="B3132" s="254" t="s">
        <v>23435</v>
      </c>
      <c r="C3132" s="254" t="s">
        <v>4521</v>
      </c>
      <c r="D3132" s="255" t="s">
        <v>16535</v>
      </c>
      <c r="E3132" s="253" t="s">
        <v>170</v>
      </c>
    </row>
    <row r="3133" spans="1:5" ht="15">
      <c r="A3133" s="254">
        <v>3902</v>
      </c>
      <c r="B3133" s="254" t="s">
        <v>23436</v>
      </c>
      <c r="C3133" s="254" t="s">
        <v>4521</v>
      </c>
      <c r="D3133" s="255" t="s">
        <v>16042</v>
      </c>
      <c r="E3133" s="253" t="s">
        <v>170</v>
      </c>
    </row>
    <row r="3134" spans="1:5" ht="15">
      <c r="A3134" s="254">
        <v>3878</v>
      </c>
      <c r="B3134" s="254" t="s">
        <v>23437</v>
      </c>
      <c r="C3134" s="254" t="s">
        <v>4521</v>
      </c>
      <c r="D3134" s="256" t="s">
        <v>16457</v>
      </c>
      <c r="E3134" s="253" t="s">
        <v>170</v>
      </c>
    </row>
    <row r="3135" spans="1:5" ht="15">
      <c r="A3135" s="254">
        <v>3877</v>
      </c>
      <c r="B3135" s="254" t="s">
        <v>23438</v>
      </c>
      <c r="C3135" s="254" t="s">
        <v>4521</v>
      </c>
      <c r="D3135" s="256" t="s">
        <v>23391</v>
      </c>
      <c r="E3135" s="253" t="s">
        <v>170</v>
      </c>
    </row>
    <row r="3136" spans="1:5" ht="15">
      <c r="A3136" s="254">
        <v>3879</v>
      </c>
      <c r="B3136" s="254" t="s">
        <v>23439</v>
      </c>
      <c r="C3136" s="254" t="s">
        <v>4521</v>
      </c>
      <c r="D3136" s="256" t="s">
        <v>15439</v>
      </c>
      <c r="E3136" s="253" t="s">
        <v>170</v>
      </c>
    </row>
    <row r="3137" spans="1:5" ht="15">
      <c r="A3137" s="254">
        <v>3880</v>
      </c>
      <c r="B3137" s="254" t="s">
        <v>23440</v>
      </c>
      <c r="C3137" s="254" t="s">
        <v>4521</v>
      </c>
      <c r="D3137" s="255" t="s">
        <v>23441</v>
      </c>
      <c r="E3137" s="253" t="s">
        <v>170</v>
      </c>
    </row>
    <row r="3138" spans="1:5" ht="15">
      <c r="A3138" s="254">
        <v>12892</v>
      </c>
      <c r="B3138" s="254" t="s">
        <v>23442</v>
      </c>
      <c r="C3138" s="254" t="s">
        <v>4529</v>
      </c>
      <c r="D3138" s="255" t="s">
        <v>15699</v>
      </c>
      <c r="E3138" s="253" t="s">
        <v>170</v>
      </c>
    </row>
    <row r="3139" spans="1:5" ht="15">
      <c r="A3139" s="254">
        <v>3883</v>
      </c>
      <c r="B3139" s="254" t="s">
        <v>23443</v>
      </c>
      <c r="C3139" s="254" t="s">
        <v>4521</v>
      </c>
      <c r="D3139" s="255" t="s">
        <v>14387</v>
      </c>
      <c r="E3139" s="253" t="s">
        <v>170</v>
      </c>
    </row>
    <row r="3140" spans="1:5" ht="15">
      <c r="A3140" s="254">
        <v>3876</v>
      </c>
      <c r="B3140" s="254" t="s">
        <v>23444</v>
      </c>
      <c r="C3140" s="254" t="s">
        <v>4521</v>
      </c>
      <c r="D3140" s="255" t="s">
        <v>22716</v>
      </c>
      <c r="E3140" s="253" t="s">
        <v>170</v>
      </c>
    </row>
    <row r="3141" spans="1:5" ht="15">
      <c r="A3141" s="254">
        <v>3884</v>
      </c>
      <c r="B3141" s="254" t="s">
        <v>23445</v>
      </c>
      <c r="C3141" s="254" t="s">
        <v>4521</v>
      </c>
      <c r="D3141" s="255" t="s">
        <v>14212</v>
      </c>
      <c r="E3141" s="253" t="s">
        <v>170</v>
      </c>
    </row>
    <row r="3142" spans="1:5" ht="15">
      <c r="A3142" s="254">
        <v>3837</v>
      </c>
      <c r="B3142" s="254" t="s">
        <v>23446</v>
      </c>
      <c r="C3142" s="254" t="s">
        <v>4521</v>
      </c>
      <c r="D3142" s="255" t="s">
        <v>18047</v>
      </c>
      <c r="E3142" s="253" t="s">
        <v>170</v>
      </c>
    </row>
    <row r="3143" spans="1:5" ht="15">
      <c r="A3143" s="254">
        <v>3845</v>
      </c>
      <c r="B3143" s="254" t="s">
        <v>23447</v>
      </c>
      <c r="C3143" s="254" t="s">
        <v>4521</v>
      </c>
      <c r="D3143" s="255" t="s">
        <v>18482</v>
      </c>
      <c r="E3143" s="253" t="s">
        <v>170</v>
      </c>
    </row>
    <row r="3144" spans="1:5" ht="15">
      <c r="A3144" s="254">
        <v>11045</v>
      </c>
      <c r="B3144" s="254" t="s">
        <v>23448</v>
      </c>
      <c r="C3144" s="254" t="s">
        <v>4521</v>
      </c>
      <c r="D3144" s="255" t="s">
        <v>14461</v>
      </c>
      <c r="E3144" s="253" t="s">
        <v>170</v>
      </c>
    </row>
    <row r="3145" spans="1:5" ht="15">
      <c r="A3145" s="254">
        <v>20170</v>
      </c>
      <c r="B3145" s="254" t="s">
        <v>23449</v>
      </c>
      <c r="C3145" s="254" t="s">
        <v>4521</v>
      </c>
      <c r="D3145" s="255" t="s">
        <v>17939</v>
      </c>
      <c r="E3145" s="253" t="s">
        <v>170</v>
      </c>
    </row>
    <row r="3146" spans="1:5" ht="15">
      <c r="A3146" s="254">
        <v>20171</v>
      </c>
      <c r="B3146" s="254" t="s">
        <v>23450</v>
      </c>
      <c r="C3146" s="254" t="s">
        <v>4521</v>
      </c>
      <c r="D3146" s="255" t="s">
        <v>20483</v>
      </c>
      <c r="E3146" s="253" t="s">
        <v>170</v>
      </c>
    </row>
    <row r="3147" spans="1:5" ht="15">
      <c r="A3147" s="254">
        <v>20167</v>
      </c>
      <c r="B3147" s="254" t="s">
        <v>23451</v>
      </c>
      <c r="C3147" s="254" t="s">
        <v>4521</v>
      </c>
      <c r="D3147" s="255" t="s">
        <v>16517</v>
      </c>
      <c r="E3147" s="253" t="s">
        <v>170</v>
      </c>
    </row>
    <row r="3148" spans="1:5" ht="15">
      <c r="A3148" s="254">
        <v>20168</v>
      </c>
      <c r="B3148" s="254" t="s">
        <v>23452</v>
      </c>
      <c r="C3148" s="254" t="s">
        <v>4521</v>
      </c>
      <c r="D3148" s="255" t="s">
        <v>19637</v>
      </c>
      <c r="E3148" s="253" t="s">
        <v>170</v>
      </c>
    </row>
    <row r="3149" spans="1:5" ht="15">
      <c r="A3149" s="254">
        <v>20169</v>
      </c>
      <c r="B3149" s="254" t="s">
        <v>23453</v>
      </c>
      <c r="C3149" s="254" t="s">
        <v>4521</v>
      </c>
      <c r="D3149" s="255" t="s">
        <v>13838</v>
      </c>
      <c r="E3149" s="253" t="s">
        <v>170</v>
      </c>
    </row>
    <row r="3150" spans="1:5" ht="15">
      <c r="A3150" s="254">
        <v>3899</v>
      </c>
      <c r="B3150" s="254" t="s">
        <v>23454</v>
      </c>
      <c r="C3150" s="254" t="s">
        <v>4521</v>
      </c>
      <c r="D3150" s="255" t="s">
        <v>14205</v>
      </c>
      <c r="E3150" s="253" t="s">
        <v>170</v>
      </c>
    </row>
    <row r="3151" spans="1:5" ht="15">
      <c r="A3151" s="254">
        <v>38676</v>
      </c>
      <c r="B3151" s="254" t="s">
        <v>23455</v>
      </c>
      <c r="C3151" s="254" t="s">
        <v>4521</v>
      </c>
      <c r="D3151" s="255" t="s">
        <v>14039</v>
      </c>
      <c r="E3151" s="253" t="s">
        <v>170</v>
      </c>
    </row>
    <row r="3152" spans="1:5" ht="15">
      <c r="A3152" s="254">
        <v>3897</v>
      </c>
      <c r="B3152" s="254" t="s">
        <v>23456</v>
      </c>
      <c r="C3152" s="254" t="s">
        <v>4521</v>
      </c>
      <c r="D3152" s="255" t="s">
        <v>17874</v>
      </c>
      <c r="E3152" s="253" t="s">
        <v>170</v>
      </c>
    </row>
    <row r="3153" spans="1:5" ht="15">
      <c r="A3153" s="254">
        <v>3875</v>
      </c>
      <c r="B3153" s="254" t="s">
        <v>23457</v>
      </c>
      <c r="C3153" s="254" t="s">
        <v>4521</v>
      </c>
      <c r="D3153" s="255" t="s">
        <v>17873</v>
      </c>
      <c r="E3153" s="253" t="s">
        <v>170</v>
      </c>
    </row>
    <row r="3154" spans="1:5" ht="15">
      <c r="A3154" s="254">
        <v>3898</v>
      </c>
      <c r="B3154" s="254" t="s">
        <v>23458</v>
      </c>
      <c r="C3154" s="254" t="s">
        <v>4521</v>
      </c>
      <c r="D3154" s="255" t="s">
        <v>21765</v>
      </c>
      <c r="E3154" s="253" t="s">
        <v>170</v>
      </c>
    </row>
    <row r="3155" spans="1:5" ht="15">
      <c r="A3155" s="254">
        <v>3855</v>
      </c>
      <c r="B3155" s="254" t="s">
        <v>23459</v>
      </c>
      <c r="C3155" s="254" t="s">
        <v>4521</v>
      </c>
      <c r="D3155" s="255" t="s">
        <v>15811</v>
      </c>
      <c r="E3155" s="253" t="s">
        <v>170</v>
      </c>
    </row>
    <row r="3156" spans="1:5" ht="15">
      <c r="A3156" s="254">
        <v>3874</v>
      </c>
      <c r="B3156" s="254" t="s">
        <v>23460</v>
      </c>
      <c r="C3156" s="254" t="s">
        <v>4521</v>
      </c>
      <c r="D3156" s="255" t="s">
        <v>23461</v>
      </c>
      <c r="E3156" s="253" t="s">
        <v>170</v>
      </c>
    </row>
    <row r="3157" spans="1:5" ht="15">
      <c r="A3157" s="254">
        <v>3870</v>
      </c>
      <c r="B3157" s="254" t="s">
        <v>23462</v>
      </c>
      <c r="C3157" s="254" t="s">
        <v>4521</v>
      </c>
      <c r="D3157" s="255" t="s">
        <v>17020</v>
      </c>
      <c r="E3157" s="253" t="s">
        <v>170</v>
      </c>
    </row>
    <row r="3158" spans="1:5" ht="15">
      <c r="A3158" s="254">
        <v>38678</v>
      </c>
      <c r="B3158" s="254" t="s">
        <v>23463</v>
      </c>
      <c r="C3158" s="254" t="s">
        <v>4521</v>
      </c>
      <c r="D3158" s="255" t="s">
        <v>14371</v>
      </c>
      <c r="E3158" s="253" t="s">
        <v>170</v>
      </c>
    </row>
    <row r="3159" spans="1:5" ht="15">
      <c r="A3159" s="254">
        <v>3859</v>
      </c>
      <c r="B3159" s="254" t="s">
        <v>23464</v>
      </c>
      <c r="C3159" s="254" t="s">
        <v>4521</v>
      </c>
      <c r="D3159" s="256" t="s">
        <v>13750</v>
      </c>
      <c r="E3159" s="253" t="s">
        <v>170</v>
      </c>
    </row>
    <row r="3160" spans="1:5" ht="15">
      <c r="A3160" s="254">
        <v>3856</v>
      </c>
      <c r="B3160" s="254" t="s">
        <v>23465</v>
      </c>
      <c r="C3160" s="254" t="s">
        <v>4521</v>
      </c>
      <c r="D3160" s="255" t="s">
        <v>17670</v>
      </c>
      <c r="E3160" s="253" t="s">
        <v>170</v>
      </c>
    </row>
    <row r="3161" spans="1:5" ht="15">
      <c r="A3161" s="254">
        <v>3906</v>
      </c>
      <c r="B3161" s="254" t="s">
        <v>23466</v>
      </c>
      <c r="C3161" s="254" t="s">
        <v>4521</v>
      </c>
      <c r="D3161" s="256" t="s">
        <v>14169</v>
      </c>
      <c r="E3161" s="253" t="s">
        <v>170</v>
      </c>
    </row>
    <row r="3162" spans="1:5" ht="15">
      <c r="A3162" s="254">
        <v>3860</v>
      </c>
      <c r="B3162" s="254" t="s">
        <v>23467</v>
      </c>
      <c r="C3162" s="254" t="s">
        <v>4521</v>
      </c>
      <c r="D3162" s="255" t="s">
        <v>13539</v>
      </c>
      <c r="E3162" s="253" t="s">
        <v>170</v>
      </c>
    </row>
    <row r="3163" spans="1:5" ht="15">
      <c r="A3163" s="254">
        <v>3905</v>
      </c>
      <c r="B3163" s="254" t="s">
        <v>23468</v>
      </c>
      <c r="C3163" s="254" t="s">
        <v>4521</v>
      </c>
      <c r="D3163" s="255" t="s">
        <v>15731</v>
      </c>
      <c r="E3163" s="253" t="s">
        <v>170</v>
      </c>
    </row>
    <row r="3164" spans="1:5" ht="15">
      <c r="A3164" s="254">
        <v>3871</v>
      </c>
      <c r="B3164" s="254" t="s">
        <v>23469</v>
      </c>
      <c r="C3164" s="254" t="s">
        <v>4521</v>
      </c>
      <c r="D3164" s="255" t="s">
        <v>16775</v>
      </c>
      <c r="E3164" s="253" t="s">
        <v>170</v>
      </c>
    </row>
    <row r="3165" spans="1:5" ht="15">
      <c r="A3165" s="254">
        <v>37429</v>
      </c>
      <c r="B3165" s="254" t="s">
        <v>23470</v>
      </c>
      <c r="C3165" s="254" t="s">
        <v>4521</v>
      </c>
      <c r="D3165" s="255" t="s">
        <v>23471</v>
      </c>
      <c r="E3165" s="253" t="s">
        <v>170</v>
      </c>
    </row>
    <row r="3166" spans="1:5" ht="15">
      <c r="A3166" s="254">
        <v>37426</v>
      </c>
      <c r="B3166" s="254" t="s">
        <v>23472</v>
      </c>
      <c r="C3166" s="254" t="s">
        <v>4521</v>
      </c>
      <c r="D3166" s="255" t="s">
        <v>14236</v>
      </c>
      <c r="E3166" s="253" t="s">
        <v>170</v>
      </c>
    </row>
    <row r="3167" spans="1:5" ht="15">
      <c r="A3167" s="254">
        <v>37427</v>
      </c>
      <c r="B3167" s="254" t="s">
        <v>23473</v>
      </c>
      <c r="C3167" s="254" t="s">
        <v>4521</v>
      </c>
      <c r="D3167" s="255" t="s">
        <v>23474</v>
      </c>
      <c r="E3167" s="253" t="s">
        <v>170</v>
      </c>
    </row>
    <row r="3168" spans="1:5" ht="15">
      <c r="A3168" s="254">
        <v>37424</v>
      </c>
      <c r="B3168" s="254" t="s">
        <v>23475</v>
      </c>
      <c r="C3168" s="254" t="s">
        <v>4521</v>
      </c>
      <c r="D3168" s="255" t="s">
        <v>16475</v>
      </c>
      <c r="E3168" s="253" t="s">
        <v>170</v>
      </c>
    </row>
    <row r="3169" spans="1:5" ht="15">
      <c r="A3169" s="254">
        <v>37428</v>
      </c>
      <c r="B3169" s="254" t="s">
        <v>23476</v>
      </c>
      <c r="C3169" s="254" t="s">
        <v>4521</v>
      </c>
      <c r="D3169" s="256" t="s">
        <v>23477</v>
      </c>
      <c r="E3169" s="253" t="s">
        <v>170</v>
      </c>
    </row>
    <row r="3170" spans="1:5" ht="15">
      <c r="A3170" s="254">
        <v>37425</v>
      </c>
      <c r="B3170" s="254" t="s">
        <v>23478</v>
      </c>
      <c r="C3170" s="254" t="s">
        <v>4521</v>
      </c>
      <c r="D3170" s="256" t="s">
        <v>23479</v>
      </c>
      <c r="E3170" s="253" t="s">
        <v>170</v>
      </c>
    </row>
    <row r="3171" spans="1:5" ht="30">
      <c r="A3171" s="254">
        <v>11519</v>
      </c>
      <c r="B3171" s="254" t="s">
        <v>23480</v>
      </c>
      <c r="C3171" s="254" t="s">
        <v>4529</v>
      </c>
      <c r="D3171" s="256" t="s">
        <v>18047</v>
      </c>
      <c r="E3171" s="253" t="s">
        <v>170</v>
      </c>
    </row>
    <row r="3172" spans="1:5" ht="30">
      <c r="A3172" s="254">
        <v>11520</v>
      </c>
      <c r="B3172" s="254" t="s">
        <v>23481</v>
      </c>
      <c r="C3172" s="254" t="s">
        <v>4529</v>
      </c>
      <c r="D3172" s="256" t="s">
        <v>14367</v>
      </c>
      <c r="E3172" s="253" t="s">
        <v>170</v>
      </c>
    </row>
    <row r="3173" spans="1:5" ht="30">
      <c r="A3173" s="254">
        <v>11518</v>
      </c>
      <c r="B3173" s="254" t="s">
        <v>23482</v>
      </c>
      <c r="C3173" s="254" t="s">
        <v>4529</v>
      </c>
      <c r="D3173" s="256" t="s">
        <v>16549</v>
      </c>
      <c r="E3173" s="253" t="s">
        <v>170</v>
      </c>
    </row>
    <row r="3174" spans="1:5" ht="15">
      <c r="A3174" s="254">
        <v>38473</v>
      </c>
      <c r="B3174" s="254" t="s">
        <v>23483</v>
      </c>
      <c r="C3174" s="254" t="s">
        <v>4521</v>
      </c>
      <c r="D3174" s="255" t="s">
        <v>23484</v>
      </c>
      <c r="E3174" s="253" t="s">
        <v>170</v>
      </c>
    </row>
    <row r="3175" spans="1:5" ht="15">
      <c r="A3175" s="254">
        <v>4244</v>
      </c>
      <c r="B3175" s="254" t="s">
        <v>23485</v>
      </c>
      <c r="C3175" s="254" t="s">
        <v>4520</v>
      </c>
      <c r="D3175" s="255" t="s">
        <v>16618</v>
      </c>
      <c r="E3175" s="253" t="s">
        <v>8722</v>
      </c>
    </row>
    <row r="3176" spans="1:5" ht="15">
      <c r="A3176" s="254">
        <v>40977</v>
      </c>
      <c r="B3176" s="254" t="s">
        <v>23486</v>
      </c>
      <c r="C3176" s="254" t="s">
        <v>4528</v>
      </c>
      <c r="D3176" s="255" t="s">
        <v>23487</v>
      </c>
      <c r="E3176" s="253" t="s">
        <v>8722</v>
      </c>
    </row>
    <row r="3177" spans="1:5" ht="30">
      <c r="A3177" s="254">
        <v>2742</v>
      </c>
      <c r="B3177" s="254" t="s">
        <v>23488</v>
      </c>
      <c r="C3177" s="254" t="s">
        <v>4524</v>
      </c>
      <c r="D3177" s="255" t="s">
        <v>14354</v>
      </c>
      <c r="E3177" s="253" t="s">
        <v>170</v>
      </c>
    </row>
    <row r="3178" spans="1:5" ht="30">
      <c r="A3178" s="254">
        <v>2748</v>
      </c>
      <c r="B3178" s="254" t="s">
        <v>23489</v>
      </c>
      <c r="C3178" s="254" t="s">
        <v>4524</v>
      </c>
      <c r="D3178" s="256" t="s">
        <v>17609</v>
      </c>
      <c r="E3178" s="253" t="s">
        <v>170</v>
      </c>
    </row>
    <row r="3179" spans="1:5" ht="30">
      <c r="A3179" s="254">
        <v>2736</v>
      </c>
      <c r="B3179" s="254" t="s">
        <v>23490</v>
      </c>
      <c r="C3179" s="254" t="s">
        <v>4524</v>
      </c>
      <c r="D3179" s="256" t="s">
        <v>14391</v>
      </c>
      <c r="E3179" s="253" t="s">
        <v>170</v>
      </c>
    </row>
    <row r="3180" spans="1:5" ht="30">
      <c r="A3180" s="254">
        <v>2745</v>
      </c>
      <c r="B3180" s="254" t="s">
        <v>23491</v>
      </c>
      <c r="C3180" s="254" t="s">
        <v>4524</v>
      </c>
      <c r="D3180" s="256" t="s">
        <v>13655</v>
      </c>
      <c r="E3180" s="253" t="s">
        <v>170</v>
      </c>
    </row>
    <row r="3181" spans="1:5" ht="30">
      <c r="A3181" s="254">
        <v>2751</v>
      </c>
      <c r="B3181" s="254" t="s">
        <v>23492</v>
      </c>
      <c r="C3181" s="254" t="s">
        <v>4524</v>
      </c>
      <c r="D3181" s="255" t="s">
        <v>14124</v>
      </c>
      <c r="E3181" s="253" t="s">
        <v>170</v>
      </c>
    </row>
    <row r="3182" spans="1:5" ht="30">
      <c r="A3182" s="254">
        <v>14439</v>
      </c>
      <c r="B3182" s="254" t="s">
        <v>23493</v>
      </c>
      <c r="C3182" s="254" t="s">
        <v>4524</v>
      </c>
      <c r="D3182" s="256" t="s">
        <v>23494</v>
      </c>
      <c r="E3182" s="253" t="s">
        <v>170</v>
      </c>
    </row>
    <row r="3183" spans="1:5" ht="30">
      <c r="A3183" s="254">
        <v>2731</v>
      </c>
      <c r="B3183" s="254" t="s">
        <v>23495</v>
      </c>
      <c r="C3183" s="254" t="s">
        <v>4524</v>
      </c>
      <c r="D3183" s="255" t="s">
        <v>15604</v>
      </c>
      <c r="E3183" s="253" t="s">
        <v>170</v>
      </c>
    </row>
    <row r="3184" spans="1:5" ht="30">
      <c r="A3184" s="254">
        <v>21138</v>
      </c>
      <c r="B3184" s="254" t="s">
        <v>23496</v>
      </c>
      <c r="C3184" s="254" t="s">
        <v>4524</v>
      </c>
      <c r="D3184" s="255" t="s">
        <v>15718</v>
      </c>
      <c r="E3184" s="253" t="s">
        <v>170</v>
      </c>
    </row>
    <row r="3185" spans="1:5" ht="30">
      <c r="A3185" s="254">
        <v>2747</v>
      </c>
      <c r="B3185" s="254" t="s">
        <v>23497</v>
      </c>
      <c r="C3185" s="254" t="s">
        <v>4524</v>
      </c>
      <c r="D3185" s="255" t="s">
        <v>16242</v>
      </c>
      <c r="E3185" s="253" t="s">
        <v>170</v>
      </c>
    </row>
    <row r="3186" spans="1:5" ht="30">
      <c r="A3186" s="254">
        <v>4115</v>
      </c>
      <c r="B3186" s="254" t="s">
        <v>23498</v>
      </c>
      <c r="C3186" s="254" t="s">
        <v>4524</v>
      </c>
      <c r="D3186" s="255" t="s">
        <v>23499</v>
      </c>
      <c r="E3186" s="253" t="s">
        <v>170</v>
      </c>
    </row>
    <row r="3187" spans="1:5" ht="30">
      <c r="A3187" s="254">
        <v>2729</v>
      </c>
      <c r="B3187" s="254" t="s">
        <v>23500</v>
      </c>
      <c r="C3187" s="254" t="s">
        <v>4521</v>
      </c>
      <c r="D3187" s="255" t="s">
        <v>16961</v>
      </c>
      <c r="E3187" s="253" t="s">
        <v>170</v>
      </c>
    </row>
    <row r="3188" spans="1:5" ht="30">
      <c r="A3188" s="254">
        <v>4119</v>
      </c>
      <c r="B3188" s="254" t="s">
        <v>23501</v>
      </c>
      <c r="C3188" s="254" t="s">
        <v>4524</v>
      </c>
      <c r="D3188" s="256" t="s">
        <v>16546</v>
      </c>
      <c r="E3188" s="253" t="s">
        <v>170</v>
      </c>
    </row>
    <row r="3189" spans="1:5" ht="30">
      <c r="A3189" s="254">
        <v>2794</v>
      </c>
      <c r="B3189" s="254" t="s">
        <v>23502</v>
      </c>
      <c r="C3189" s="254" t="s">
        <v>4524</v>
      </c>
      <c r="D3189" s="255" t="s">
        <v>23503</v>
      </c>
      <c r="E3189" s="253" t="s">
        <v>170</v>
      </c>
    </row>
    <row r="3190" spans="1:5" ht="30">
      <c r="A3190" s="254">
        <v>2788</v>
      </c>
      <c r="B3190" s="254" t="s">
        <v>23504</v>
      </c>
      <c r="C3190" s="254" t="s">
        <v>4524</v>
      </c>
      <c r="D3190" s="256" t="s">
        <v>23505</v>
      </c>
      <c r="E3190" s="253" t="s">
        <v>170</v>
      </c>
    </row>
    <row r="3191" spans="1:5" ht="15">
      <c r="A3191" s="254">
        <v>4006</v>
      </c>
      <c r="B3191" s="254" t="s">
        <v>23506</v>
      </c>
      <c r="C3191" s="254" t="s">
        <v>4522</v>
      </c>
      <c r="D3191" s="256" t="s">
        <v>23507</v>
      </c>
      <c r="E3191" s="253" t="s">
        <v>170</v>
      </c>
    </row>
    <row r="3192" spans="1:5" ht="15">
      <c r="A3192" s="254">
        <v>36151</v>
      </c>
      <c r="B3192" s="254" t="s">
        <v>23508</v>
      </c>
      <c r="C3192" s="254" t="s">
        <v>4521</v>
      </c>
      <c r="D3192" s="256" t="s">
        <v>23509</v>
      </c>
      <c r="E3192" s="253" t="s">
        <v>170</v>
      </c>
    </row>
    <row r="3193" spans="1:5" ht="15">
      <c r="A3193" s="254">
        <v>37457</v>
      </c>
      <c r="B3193" s="254" t="s">
        <v>23510</v>
      </c>
      <c r="C3193" s="254" t="s">
        <v>4524</v>
      </c>
      <c r="D3193" s="256" t="s">
        <v>20328</v>
      </c>
      <c r="E3193" s="253" t="s">
        <v>170</v>
      </c>
    </row>
    <row r="3194" spans="1:5" ht="15">
      <c r="A3194" s="254">
        <v>37456</v>
      </c>
      <c r="B3194" s="254" t="s">
        <v>23511</v>
      </c>
      <c r="C3194" s="254" t="s">
        <v>4524</v>
      </c>
      <c r="D3194" s="256" t="s">
        <v>18699</v>
      </c>
      <c r="E3194" s="253" t="s">
        <v>170</v>
      </c>
    </row>
    <row r="3195" spans="1:5" ht="30">
      <c r="A3195" s="254">
        <v>37461</v>
      </c>
      <c r="B3195" s="254" t="s">
        <v>23512</v>
      </c>
      <c r="C3195" s="254" t="s">
        <v>4524</v>
      </c>
      <c r="D3195" s="256" t="s">
        <v>15432</v>
      </c>
      <c r="E3195" s="253" t="s">
        <v>170</v>
      </c>
    </row>
    <row r="3196" spans="1:5" ht="30">
      <c r="A3196" s="254">
        <v>37460</v>
      </c>
      <c r="B3196" s="254" t="s">
        <v>23513</v>
      </c>
      <c r="C3196" s="254" t="s">
        <v>4524</v>
      </c>
      <c r="D3196" s="256" t="s">
        <v>17045</v>
      </c>
      <c r="E3196" s="253" t="s">
        <v>170</v>
      </c>
    </row>
    <row r="3197" spans="1:5" ht="15">
      <c r="A3197" s="254">
        <v>37458</v>
      </c>
      <c r="B3197" s="254" t="s">
        <v>23514</v>
      </c>
      <c r="C3197" s="254" t="s">
        <v>4524</v>
      </c>
      <c r="D3197" s="256" t="s">
        <v>19226</v>
      </c>
      <c r="E3197" s="253" t="s">
        <v>170</v>
      </c>
    </row>
    <row r="3198" spans="1:5" ht="15">
      <c r="A3198" s="254">
        <v>37454</v>
      </c>
      <c r="B3198" s="254" t="s">
        <v>23515</v>
      </c>
      <c r="C3198" s="254" t="s">
        <v>4524</v>
      </c>
      <c r="D3198" s="256" t="s">
        <v>14366</v>
      </c>
      <c r="E3198" s="253" t="s">
        <v>170</v>
      </c>
    </row>
    <row r="3199" spans="1:5" ht="15">
      <c r="A3199" s="254">
        <v>37455</v>
      </c>
      <c r="B3199" s="254" t="s">
        <v>23516</v>
      </c>
      <c r="C3199" s="254" t="s">
        <v>4524</v>
      </c>
      <c r="D3199" s="256" t="s">
        <v>13853</v>
      </c>
      <c r="E3199" s="253" t="s">
        <v>170</v>
      </c>
    </row>
    <row r="3200" spans="1:5" ht="15">
      <c r="A3200" s="254">
        <v>37459</v>
      </c>
      <c r="B3200" s="254" t="s">
        <v>23517</v>
      </c>
      <c r="C3200" s="254" t="s">
        <v>4524</v>
      </c>
      <c r="D3200" s="255" t="s">
        <v>14191</v>
      </c>
      <c r="E3200" s="253" t="s">
        <v>170</v>
      </c>
    </row>
    <row r="3201" spans="1:5" ht="45">
      <c r="A3201" s="254">
        <v>21029</v>
      </c>
      <c r="B3201" s="254" t="s">
        <v>23518</v>
      </c>
      <c r="C3201" s="254" t="s">
        <v>4521</v>
      </c>
      <c r="D3201" s="255" t="s">
        <v>23519</v>
      </c>
      <c r="E3201" s="253" t="s">
        <v>170</v>
      </c>
    </row>
    <row r="3202" spans="1:5" ht="45">
      <c r="A3202" s="254">
        <v>21030</v>
      </c>
      <c r="B3202" s="254" t="s">
        <v>23520</v>
      </c>
      <c r="C3202" s="254" t="s">
        <v>4521</v>
      </c>
      <c r="D3202" s="256" t="s">
        <v>23521</v>
      </c>
      <c r="E3202" s="253" t="s">
        <v>170</v>
      </c>
    </row>
    <row r="3203" spans="1:5" ht="45">
      <c r="A3203" s="254">
        <v>21031</v>
      </c>
      <c r="B3203" s="254" t="s">
        <v>23522</v>
      </c>
      <c r="C3203" s="254" t="s">
        <v>4521</v>
      </c>
      <c r="D3203" s="255" t="s">
        <v>23523</v>
      </c>
      <c r="E3203" s="253" t="s">
        <v>170</v>
      </c>
    </row>
    <row r="3204" spans="1:5" ht="45">
      <c r="A3204" s="254">
        <v>21032</v>
      </c>
      <c r="B3204" s="254" t="s">
        <v>23524</v>
      </c>
      <c r="C3204" s="254" t="s">
        <v>4521</v>
      </c>
      <c r="D3204" s="255" t="s">
        <v>23525</v>
      </c>
      <c r="E3204" s="253" t="s">
        <v>170</v>
      </c>
    </row>
    <row r="3205" spans="1:5" ht="45">
      <c r="A3205" s="254">
        <v>37527</v>
      </c>
      <c r="B3205" s="254" t="s">
        <v>23526</v>
      </c>
      <c r="C3205" s="254" t="s">
        <v>4521</v>
      </c>
      <c r="D3205" s="255" t="s">
        <v>23527</v>
      </c>
      <c r="E3205" s="253" t="s">
        <v>170</v>
      </c>
    </row>
    <row r="3206" spans="1:5" ht="30">
      <c r="A3206" s="254">
        <v>37528</v>
      </c>
      <c r="B3206" s="254" t="s">
        <v>23528</v>
      </c>
      <c r="C3206" s="254" t="s">
        <v>4521</v>
      </c>
      <c r="D3206" s="255" t="s">
        <v>23529</v>
      </c>
      <c r="E3206" s="253" t="s">
        <v>170</v>
      </c>
    </row>
    <row r="3207" spans="1:5" ht="30">
      <c r="A3207" s="254">
        <v>37529</v>
      </c>
      <c r="B3207" s="254" t="s">
        <v>23530</v>
      </c>
      <c r="C3207" s="254" t="s">
        <v>4521</v>
      </c>
      <c r="D3207" s="255" t="s">
        <v>23531</v>
      </c>
      <c r="E3207" s="253" t="s">
        <v>170</v>
      </c>
    </row>
    <row r="3208" spans="1:5" ht="30">
      <c r="A3208" s="254">
        <v>37530</v>
      </c>
      <c r="B3208" s="254" t="s">
        <v>23532</v>
      </c>
      <c r="C3208" s="254" t="s">
        <v>4521</v>
      </c>
      <c r="D3208" s="255" t="s">
        <v>23533</v>
      </c>
      <c r="E3208" s="253" t="s">
        <v>170</v>
      </c>
    </row>
    <row r="3209" spans="1:5" ht="45">
      <c r="A3209" s="254">
        <v>21034</v>
      </c>
      <c r="B3209" s="254" t="s">
        <v>23534</v>
      </c>
      <c r="C3209" s="254" t="s">
        <v>4521</v>
      </c>
      <c r="D3209" s="255" t="s">
        <v>23535</v>
      </c>
      <c r="E3209" s="253" t="s">
        <v>170</v>
      </c>
    </row>
    <row r="3210" spans="1:5" ht="30">
      <c r="A3210" s="254">
        <v>37531</v>
      </c>
      <c r="B3210" s="254" t="s">
        <v>23536</v>
      </c>
      <c r="C3210" s="254" t="s">
        <v>4521</v>
      </c>
      <c r="D3210" s="255" t="s">
        <v>23537</v>
      </c>
      <c r="E3210" s="253" t="s">
        <v>170</v>
      </c>
    </row>
    <row r="3211" spans="1:5" ht="45">
      <c r="A3211" s="254">
        <v>21036</v>
      </c>
      <c r="B3211" s="254" t="s">
        <v>23538</v>
      </c>
      <c r="C3211" s="254" t="s">
        <v>4521</v>
      </c>
      <c r="D3211" s="255" t="s">
        <v>23539</v>
      </c>
      <c r="E3211" s="253" t="s">
        <v>170</v>
      </c>
    </row>
    <row r="3212" spans="1:5" ht="45">
      <c r="A3212" s="254">
        <v>21037</v>
      </c>
      <c r="B3212" s="254" t="s">
        <v>23540</v>
      </c>
      <c r="C3212" s="254" t="s">
        <v>4521</v>
      </c>
      <c r="D3212" s="255" t="s">
        <v>23541</v>
      </c>
      <c r="E3212" s="253" t="s">
        <v>170</v>
      </c>
    </row>
    <row r="3213" spans="1:5" ht="30">
      <c r="A3213" s="254">
        <v>20185</v>
      </c>
      <c r="B3213" s="254" t="s">
        <v>23542</v>
      </c>
      <c r="C3213" s="254" t="s">
        <v>4524</v>
      </c>
      <c r="D3213" s="255" t="s">
        <v>15913</v>
      </c>
      <c r="E3213" s="253" t="s">
        <v>170</v>
      </c>
    </row>
    <row r="3214" spans="1:5" ht="30">
      <c r="A3214" s="254">
        <v>20260</v>
      </c>
      <c r="B3214" s="254" t="s">
        <v>23543</v>
      </c>
      <c r="C3214" s="254" t="s">
        <v>4521</v>
      </c>
      <c r="D3214" s="255" t="s">
        <v>19733</v>
      </c>
      <c r="E3214" s="253" t="s">
        <v>170</v>
      </c>
    </row>
    <row r="3215" spans="1:5" ht="30">
      <c r="A3215" s="254">
        <v>37523</v>
      </c>
      <c r="B3215" s="254" t="s">
        <v>23544</v>
      </c>
      <c r="C3215" s="254" t="s">
        <v>4521</v>
      </c>
      <c r="D3215" s="255" t="s">
        <v>23545</v>
      </c>
      <c r="E3215" s="253" t="s">
        <v>6305</v>
      </c>
    </row>
    <row r="3216" spans="1:5" ht="30">
      <c r="A3216" s="254">
        <v>37515</v>
      </c>
      <c r="B3216" s="254" t="s">
        <v>23546</v>
      </c>
      <c r="C3216" s="254" t="s">
        <v>4521</v>
      </c>
      <c r="D3216" s="255" t="s">
        <v>23547</v>
      </c>
      <c r="E3216" s="253" t="s">
        <v>6305</v>
      </c>
    </row>
    <row r="3217" spans="1:5" ht="30">
      <c r="A3217" s="254">
        <v>12899</v>
      </c>
      <c r="B3217" s="254" t="s">
        <v>23548</v>
      </c>
      <c r="C3217" s="254" t="s">
        <v>4521</v>
      </c>
      <c r="D3217" s="255" t="s">
        <v>23549</v>
      </c>
      <c r="E3217" s="253" t="s">
        <v>170</v>
      </c>
    </row>
    <row r="3218" spans="1:5" ht="30">
      <c r="A3218" s="254">
        <v>12898</v>
      </c>
      <c r="B3218" s="254" t="s">
        <v>23550</v>
      </c>
      <c r="C3218" s="254" t="s">
        <v>4521</v>
      </c>
      <c r="D3218" s="255" t="s">
        <v>23551</v>
      </c>
      <c r="E3218" s="253" t="s">
        <v>170</v>
      </c>
    </row>
    <row r="3219" spans="1:5" ht="15">
      <c r="A3219" s="254">
        <v>42528</v>
      </c>
      <c r="B3219" s="254" t="s">
        <v>23552</v>
      </c>
      <c r="C3219" s="254" t="s">
        <v>4523</v>
      </c>
      <c r="D3219" s="255" t="s">
        <v>14305</v>
      </c>
      <c r="E3219" s="253" t="s">
        <v>170</v>
      </c>
    </row>
    <row r="3220" spans="1:5" ht="15">
      <c r="A3220" s="254">
        <v>39696</v>
      </c>
      <c r="B3220" s="254" t="s">
        <v>23553</v>
      </c>
      <c r="C3220" s="254" t="s">
        <v>4523</v>
      </c>
      <c r="D3220" s="255" t="s">
        <v>21144</v>
      </c>
      <c r="E3220" s="253" t="s">
        <v>170</v>
      </c>
    </row>
    <row r="3221" spans="1:5" ht="15">
      <c r="A3221" s="254">
        <v>39700</v>
      </c>
      <c r="B3221" s="254" t="s">
        <v>23554</v>
      </c>
      <c r="C3221" s="254" t="s">
        <v>4523</v>
      </c>
      <c r="D3221" s="255" t="s">
        <v>18141</v>
      </c>
      <c r="E3221" s="253" t="s">
        <v>170</v>
      </c>
    </row>
    <row r="3222" spans="1:5" ht="30">
      <c r="A3222" s="254">
        <v>11621</v>
      </c>
      <c r="B3222" s="254" t="s">
        <v>23555</v>
      </c>
      <c r="C3222" s="254" t="s">
        <v>4523</v>
      </c>
      <c r="D3222" s="255" t="s">
        <v>23556</v>
      </c>
      <c r="E3222" s="253" t="s">
        <v>170</v>
      </c>
    </row>
    <row r="3223" spans="1:5" ht="30">
      <c r="A3223" s="254">
        <v>4014</v>
      </c>
      <c r="B3223" s="254" t="s">
        <v>23557</v>
      </c>
      <c r="C3223" s="254" t="s">
        <v>4523</v>
      </c>
      <c r="D3223" s="255" t="s">
        <v>17171</v>
      </c>
      <c r="E3223" s="253" t="s">
        <v>170</v>
      </c>
    </row>
    <row r="3224" spans="1:5" ht="30">
      <c r="A3224" s="254">
        <v>4015</v>
      </c>
      <c r="B3224" s="254" t="s">
        <v>23558</v>
      </c>
      <c r="C3224" s="254" t="s">
        <v>4523</v>
      </c>
      <c r="D3224" s="255" t="s">
        <v>23559</v>
      </c>
      <c r="E3224" s="253" t="s">
        <v>170</v>
      </c>
    </row>
    <row r="3225" spans="1:5" ht="30">
      <c r="A3225" s="254">
        <v>4017</v>
      </c>
      <c r="B3225" s="254" t="s">
        <v>23560</v>
      </c>
      <c r="C3225" s="254" t="s">
        <v>4523</v>
      </c>
      <c r="D3225" s="255" t="s">
        <v>23561</v>
      </c>
      <c r="E3225" s="253" t="s">
        <v>170</v>
      </c>
    </row>
    <row r="3226" spans="1:5" ht="30">
      <c r="A3226" s="254">
        <v>4016</v>
      </c>
      <c r="B3226" s="254" t="s">
        <v>23562</v>
      </c>
      <c r="C3226" s="254" t="s">
        <v>4523</v>
      </c>
      <c r="D3226" s="255" t="s">
        <v>23563</v>
      </c>
      <c r="E3226" s="253" t="s">
        <v>170</v>
      </c>
    </row>
    <row r="3227" spans="1:5" ht="15">
      <c r="A3227" s="254">
        <v>39699</v>
      </c>
      <c r="B3227" s="254" t="s">
        <v>23564</v>
      </c>
      <c r="C3227" s="254" t="s">
        <v>4523</v>
      </c>
      <c r="D3227" s="255" t="s">
        <v>16648</v>
      </c>
      <c r="E3227" s="253" t="s">
        <v>170</v>
      </c>
    </row>
    <row r="3228" spans="1:5" ht="15">
      <c r="A3228" s="254">
        <v>38544</v>
      </c>
      <c r="B3228" s="254" t="s">
        <v>23565</v>
      </c>
      <c r="C3228" s="254" t="s">
        <v>4523</v>
      </c>
      <c r="D3228" s="255" t="s">
        <v>15442</v>
      </c>
      <c r="E3228" s="253" t="s">
        <v>170</v>
      </c>
    </row>
    <row r="3229" spans="1:5" ht="15">
      <c r="A3229" s="254">
        <v>38545</v>
      </c>
      <c r="B3229" s="254" t="s">
        <v>23566</v>
      </c>
      <c r="C3229" s="254" t="s">
        <v>4523</v>
      </c>
      <c r="D3229" s="255" t="s">
        <v>21144</v>
      </c>
      <c r="E3229" s="253" t="s">
        <v>170</v>
      </c>
    </row>
    <row r="3230" spans="1:5" ht="30">
      <c r="A3230" s="254">
        <v>42527</v>
      </c>
      <c r="B3230" s="254" t="s">
        <v>23567</v>
      </c>
      <c r="C3230" s="254" t="s">
        <v>4523</v>
      </c>
      <c r="D3230" s="255" t="s">
        <v>23568</v>
      </c>
      <c r="E3230" s="253" t="s">
        <v>170</v>
      </c>
    </row>
    <row r="3231" spans="1:5" ht="30">
      <c r="A3231" s="254">
        <v>39323</v>
      </c>
      <c r="B3231" s="254" t="s">
        <v>23569</v>
      </c>
      <c r="C3231" s="254" t="s">
        <v>4523</v>
      </c>
      <c r="D3231" s="255" t="s">
        <v>17832</v>
      </c>
      <c r="E3231" s="253" t="s">
        <v>170</v>
      </c>
    </row>
    <row r="3232" spans="1:5" ht="45">
      <c r="A3232" s="254">
        <v>626</v>
      </c>
      <c r="B3232" s="254" t="s">
        <v>23570</v>
      </c>
      <c r="C3232" s="254" t="s">
        <v>4525</v>
      </c>
      <c r="D3232" s="255" t="s">
        <v>14371</v>
      </c>
      <c r="E3232" s="253" t="s">
        <v>170</v>
      </c>
    </row>
    <row r="3233" spans="1:5" ht="15">
      <c r="A3233" s="254">
        <v>25860</v>
      </c>
      <c r="B3233" s="254" t="s">
        <v>23571</v>
      </c>
      <c r="C3233" s="254" t="s">
        <v>4523</v>
      </c>
      <c r="D3233" s="255" t="s">
        <v>15436</v>
      </c>
      <c r="E3233" s="253" t="s">
        <v>170</v>
      </c>
    </row>
    <row r="3234" spans="1:5" ht="15">
      <c r="A3234" s="254">
        <v>25861</v>
      </c>
      <c r="B3234" s="254" t="s">
        <v>23572</v>
      </c>
      <c r="C3234" s="254" t="s">
        <v>4523</v>
      </c>
      <c r="D3234" s="255" t="s">
        <v>13757</v>
      </c>
      <c r="E3234" s="253" t="s">
        <v>170</v>
      </c>
    </row>
    <row r="3235" spans="1:5" ht="15">
      <c r="A3235" s="254">
        <v>25862</v>
      </c>
      <c r="B3235" s="254" t="s">
        <v>23573</v>
      </c>
      <c r="C3235" s="254" t="s">
        <v>4523</v>
      </c>
      <c r="D3235" s="255" t="s">
        <v>22269</v>
      </c>
      <c r="E3235" s="253" t="s">
        <v>170</v>
      </c>
    </row>
    <row r="3236" spans="1:5" ht="15">
      <c r="A3236" s="254">
        <v>25863</v>
      </c>
      <c r="B3236" s="254" t="s">
        <v>23574</v>
      </c>
      <c r="C3236" s="254" t="s">
        <v>4523</v>
      </c>
      <c r="D3236" s="255" t="s">
        <v>23575</v>
      </c>
      <c r="E3236" s="253" t="s">
        <v>170</v>
      </c>
    </row>
    <row r="3237" spans="1:5" ht="15">
      <c r="A3237" s="254">
        <v>25864</v>
      </c>
      <c r="B3237" s="254" t="s">
        <v>23576</v>
      </c>
      <c r="C3237" s="254" t="s">
        <v>4523</v>
      </c>
      <c r="D3237" s="255" t="s">
        <v>17146</v>
      </c>
      <c r="E3237" s="253" t="s">
        <v>170</v>
      </c>
    </row>
    <row r="3238" spans="1:5" ht="15">
      <c r="A3238" s="254">
        <v>25865</v>
      </c>
      <c r="B3238" s="254" t="s">
        <v>23577</v>
      </c>
      <c r="C3238" s="254" t="s">
        <v>4523</v>
      </c>
      <c r="D3238" s="255" t="s">
        <v>22851</v>
      </c>
      <c r="E3238" s="253" t="s">
        <v>170</v>
      </c>
    </row>
    <row r="3239" spans="1:5" ht="15">
      <c r="A3239" s="254">
        <v>25866</v>
      </c>
      <c r="B3239" s="254" t="s">
        <v>23578</v>
      </c>
      <c r="C3239" s="254" t="s">
        <v>4523</v>
      </c>
      <c r="D3239" s="255" t="s">
        <v>23579</v>
      </c>
      <c r="E3239" s="253" t="s">
        <v>170</v>
      </c>
    </row>
    <row r="3240" spans="1:5" ht="30">
      <c r="A3240" s="254">
        <v>25868</v>
      </c>
      <c r="B3240" s="254" t="s">
        <v>23580</v>
      </c>
      <c r="C3240" s="254" t="s">
        <v>4523</v>
      </c>
      <c r="D3240" s="255" t="s">
        <v>15781</v>
      </c>
      <c r="E3240" s="253" t="s">
        <v>170</v>
      </c>
    </row>
    <row r="3241" spans="1:5" ht="30">
      <c r="A3241" s="254">
        <v>25869</v>
      </c>
      <c r="B3241" s="254" t="s">
        <v>23581</v>
      </c>
      <c r="C3241" s="254" t="s">
        <v>4523</v>
      </c>
      <c r="D3241" s="255" t="s">
        <v>16533</v>
      </c>
      <c r="E3241" s="253" t="s">
        <v>170</v>
      </c>
    </row>
    <row r="3242" spans="1:5" ht="30">
      <c r="A3242" s="254">
        <v>25870</v>
      </c>
      <c r="B3242" s="254" t="s">
        <v>23582</v>
      </c>
      <c r="C3242" s="254" t="s">
        <v>4523</v>
      </c>
      <c r="D3242" s="255" t="s">
        <v>13889</v>
      </c>
      <c r="E3242" s="253" t="s">
        <v>170</v>
      </c>
    </row>
    <row r="3243" spans="1:5" ht="30">
      <c r="A3243" s="254">
        <v>25871</v>
      </c>
      <c r="B3243" s="254" t="s">
        <v>23583</v>
      </c>
      <c r="C3243" s="254" t="s">
        <v>4523</v>
      </c>
      <c r="D3243" s="255" t="s">
        <v>13550</v>
      </c>
      <c r="E3243" s="253" t="s">
        <v>170</v>
      </c>
    </row>
    <row r="3244" spans="1:5" ht="30">
      <c r="A3244" s="254">
        <v>25867</v>
      </c>
      <c r="B3244" s="254" t="s">
        <v>23584</v>
      </c>
      <c r="C3244" s="254" t="s">
        <v>4523</v>
      </c>
      <c r="D3244" s="255" t="s">
        <v>23585</v>
      </c>
      <c r="E3244" s="253" t="s">
        <v>170</v>
      </c>
    </row>
    <row r="3245" spans="1:5" ht="30">
      <c r="A3245" s="254">
        <v>25872</v>
      </c>
      <c r="B3245" s="254" t="s">
        <v>23586</v>
      </c>
      <c r="C3245" s="254" t="s">
        <v>4523</v>
      </c>
      <c r="D3245" s="255" t="s">
        <v>21175</v>
      </c>
      <c r="E3245" s="253" t="s">
        <v>170</v>
      </c>
    </row>
    <row r="3246" spans="1:5" ht="30">
      <c r="A3246" s="254">
        <v>25873</v>
      </c>
      <c r="B3246" s="254" t="s">
        <v>23587</v>
      </c>
      <c r="C3246" s="254" t="s">
        <v>4523</v>
      </c>
      <c r="D3246" s="255" t="s">
        <v>23588</v>
      </c>
      <c r="E3246" s="253" t="s">
        <v>170</v>
      </c>
    </row>
    <row r="3247" spans="1:5" ht="30">
      <c r="A3247" s="254">
        <v>40637</v>
      </c>
      <c r="B3247" s="254" t="s">
        <v>23589</v>
      </c>
      <c r="C3247" s="254" t="s">
        <v>4521</v>
      </c>
      <c r="D3247" s="255" t="s">
        <v>23590</v>
      </c>
      <c r="E3247" s="253" t="s">
        <v>6305</v>
      </c>
    </row>
    <row r="3248" spans="1:5" ht="30">
      <c r="A3248" s="254">
        <v>13836</v>
      </c>
      <c r="B3248" s="254" t="s">
        <v>23591</v>
      </c>
      <c r="C3248" s="254" t="s">
        <v>4521</v>
      </c>
      <c r="D3248" s="255" t="s">
        <v>23592</v>
      </c>
      <c r="E3248" s="253" t="s">
        <v>6305</v>
      </c>
    </row>
    <row r="3249" spans="1:5" ht="45">
      <c r="A3249" s="254">
        <v>14534</v>
      </c>
      <c r="B3249" s="254" t="s">
        <v>23593</v>
      </c>
      <c r="C3249" s="254" t="s">
        <v>4521</v>
      </c>
      <c r="D3249" s="255" t="s">
        <v>23594</v>
      </c>
      <c r="E3249" s="253" t="s">
        <v>6305</v>
      </c>
    </row>
    <row r="3250" spans="1:5" ht="30">
      <c r="A3250" s="254">
        <v>14619</v>
      </c>
      <c r="B3250" s="254" t="s">
        <v>23595</v>
      </c>
      <c r="C3250" s="254" t="s">
        <v>4521</v>
      </c>
      <c r="D3250" s="255" t="s">
        <v>23596</v>
      </c>
      <c r="E3250" s="253" t="s">
        <v>6305</v>
      </c>
    </row>
    <row r="3251" spans="1:5" ht="45">
      <c r="A3251" s="254">
        <v>14535</v>
      </c>
      <c r="B3251" s="254" t="s">
        <v>23597</v>
      </c>
      <c r="C3251" s="254" t="s">
        <v>4521</v>
      </c>
      <c r="D3251" s="255" t="s">
        <v>23598</v>
      </c>
      <c r="E3251" s="253" t="s">
        <v>6305</v>
      </c>
    </row>
    <row r="3252" spans="1:5" ht="60">
      <c r="A3252" s="254">
        <v>39813</v>
      </c>
      <c r="B3252" s="254" t="s">
        <v>23599</v>
      </c>
      <c r="C3252" s="254" t="s">
        <v>4521</v>
      </c>
      <c r="D3252" s="255" t="s">
        <v>23600</v>
      </c>
      <c r="E3252" s="253" t="s">
        <v>6305</v>
      </c>
    </row>
    <row r="3253" spans="1:5" ht="45">
      <c r="A3253" s="254">
        <v>40403</v>
      </c>
      <c r="B3253" s="254" t="s">
        <v>23601</v>
      </c>
      <c r="C3253" s="254" t="s">
        <v>4521</v>
      </c>
      <c r="D3253" s="255" t="s">
        <v>23602</v>
      </c>
      <c r="E3253" s="253" t="s">
        <v>6305</v>
      </c>
    </row>
    <row r="3254" spans="1:5" ht="15">
      <c r="A3254" s="254">
        <v>12868</v>
      </c>
      <c r="B3254" s="254" t="s">
        <v>23603</v>
      </c>
      <c r="C3254" s="254" t="s">
        <v>4520</v>
      </c>
      <c r="D3254" s="255" t="s">
        <v>23604</v>
      </c>
      <c r="E3254" s="253" t="s">
        <v>8722</v>
      </c>
    </row>
    <row r="3255" spans="1:5" ht="15">
      <c r="A3255" s="254">
        <v>40916</v>
      </c>
      <c r="B3255" s="254" t="s">
        <v>23605</v>
      </c>
      <c r="C3255" s="254" t="s">
        <v>4528</v>
      </c>
      <c r="D3255" s="255" t="s">
        <v>23606</v>
      </c>
      <c r="E3255" s="253" t="s">
        <v>8722</v>
      </c>
    </row>
    <row r="3256" spans="1:5" ht="15">
      <c r="A3256" s="254">
        <v>4755</v>
      </c>
      <c r="B3256" s="254" t="s">
        <v>23607</v>
      </c>
      <c r="C3256" s="254" t="s">
        <v>4520</v>
      </c>
      <c r="D3256" s="255" t="s">
        <v>13639</v>
      </c>
      <c r="E3256" s="253" t="s">
        <v>8722</v>
      </c>
    </row>
    <row r="3257" spans="1:5" ht="15">
      <c r="A3257" s="254">
        <v>41067</v>
      </c>
      <c r="B3257" s="254" t="s">
        <v>23608</v>
      </c>
      <c r="C3257" s="254" t="s">
        <v>4528</v>
      </c>
      <c r="D3257" s="255" t="s">
        <v>23609</v>
      </c>
      <c r="E3257" s="253" t="s">
        <v>8722</v>
      </c>
    </row>
    <row r="3258" spans="1:5" ht="15">
      <c r="A3258" s="254">
        <v>38463</v>
      </c>
      <c r="B3258" s="254" t="s">
        <v>23610</v>
      </c>
      <c r="C3258" s="254" t="s">
        <v>4521</v>
      </c>
      <c r="D3258" s="255" t="s">
        <v>23611</v>
      </c>
      <c r="E3258" s="253" t="s">
        <v>170</v>
      </c>
    </row>
    <row r="3259" spans="1:5" ht="30">
      <c r="A3259" s="254">
        <v>40703</v>
      </c>
      <c r="B3259" s="254" t="s">
        <v>23612</v>
      </c>
      <c r="C3259" s="254" t="s">
        <v>4521</v>
      </c>
      <c r="D3259" s="255" t="s">
        <v>23613</v>
      </c>
      <c r="E3259" s="253" t="s">
        <v>6305</v>
      </c>
    </row>
    <row r="3260" spans="1:5" ht="30">
      <c r="A3260" s="254">
        <v>14531</v>
      </c>
      <c r="B3260" s="254" t="s">
        <v>23614</v>
      </c>
      <c r="C3260" s="254" t="s">
        <v>4521</v>
      </c>
      <c r="D3260" s="255" t="s">
        <v>23615</v>
      </c>
      <c r="E3260" s="253" t="s">
        <v>6305</v>
      </c>
    </row>
    <row r="3261" spans="1:5" ht="30">
      <c r="A3261" s="254">
        <v>36533</v>
      </c>
      <c r="B3261" s="254" t="s">
        <v>23616</v>
      </c>
      <c r="C3261" s="254" t="s">
        <v>4521</v>
      </c>
      <c r="D3261" s="255" t="s">
        <v>23617</v>
      </c>
      <c r="E3261" s="253" t="s">
        <v>6305</v>
      </c>
    </row>
    <row r="3262" spans="1:5" ht="15">
      <c r="A3262" s="254">
        <v>11616</v>
      </c>
      <c r="B3262" s="254" t="s">
        <v>23618</v>
      </c>
      <c r="C3262" s="254" t="s">
        <v>4521</v>
      </c>
      <c r="D3262" s="255" t="s">
        <v>23619</v>
      </c>
      <c r="E3262" s="253" t="s">
        <v>6305</v>
      </c>
    </row>
    <row r="3263" spans="1:5" ht="15">
      <c r="A3263" s="254">
        <v>41898</v>
      </c>
      <c r="B3263" s="254" t="s">
        <v>23620</v>
      </c>
      <c r="C3263" s="254" t="s">
        <v>4521</v>
      </c>
      <c r="D3263" s="255" t="s">
        <v>23621</v>
      </c>
      <c r="E3263" s="253" t="s">
        <v>6305</v>
      </c>
    </row>
    <row r="3264" spans="1:5" ht="30">
      <c r="A3264" s="254">
        <v>13447</v>
      </c>
      <c r="B3264" s="254" t="s">
        <v>23622</v>
      </c>
      <c r="C3264" s="254" t="s">
        <v>4521</v>
      </c>
      <c r="D3264" s="255" t="s">
        <v>23623</v>
      </c>
      <c r="E3264" s="253" t="s">
        <v>6305</v>
      </c>
    </row>
    <row r="3265" spans="1:5" ht="15">
      <c r="A3265" s="254">
        <v>14529</v>
      </c>
      <c r="B3265" s="254" t="s">
        <v>23624</v>
      </c>
      <c r="C3265" s="254" t="s">
        <v>4521</v>
      </c>
      <c r="D3265" s="255" t="s">
        <v>23625</v>
      </c>
      <c r="E3265" s="253" t="s">
        <v>6305</v>
      </c>
    </row>
    <row r="3266" spans="1:5" ht="15">
      <c r="A3266" s="254">
        <v>10747</v>
      </c>
      <c r="B3266" s="254" t="s">
        <v>23626</v>
      </c>
      <c r="C3266" s="254" t="s">
        <v>4521</v>
      </c>
      <c r="D3266" s="255" t="s">
        <v>23627</v>
      </c>
      <c r="E3266" s="253" t="s">
        <v>6305</v>
      </c>
    </row>
    <row r="3267" spans="1:5" ht="30">
      <c r="A3267" s="254">
        <v>36141</v>
      </c>
      <c r="B3267" s="254" t="s">
        <v>23628</v>
      </c>
      <c r="C3267" s="254" t="s">
        <v>4521</v>
      </c>
      <c r="D3267" s="255" t="s">
        <v>23629</v>
      </c>
      <c r="E3267" s="253" t="s">
        <v>170</v>
      </c>
    </row>
    <row r="3268" spans="1:5" ht="15">
      <c r="A3268" s="254">
        <v>4053</v>
      </c>
      <c r="B3268" s="254" t="s">
        <v>23630</v>
      </c>
      <c r="C3268" s="254" t="s">
        <v>4539</v>
      </c>
      <c r="D3268" s="255" t="s">
        <v>23631</v>
      </c>
      <c r="E3268" s="253" t="s">
        <v>170</v>
      </c>
    </row>
    <row r="3269" spans="1:5" ht="15">
      <c r="A3269" s="254">
        <v>4052</v>
      </c>
      <c r="B3269" s="254" t="s">
        <v>23632</v>
      </c>
      <c r="C3269" s="254" t="s">
        <v>4527</v>
      </c>
      <c r="D3269" s="255" t="s">
        <v>23633</v>
      </c>
      <c r="E3269" s="253" t="s">
        <v>170</v>
      </c>
    </row>
    <row r="3270" spans="1:5" ht="15">
      <c r="A3270" s="254">
        <v>4056</v>
      </c>
      <c r="B3270" s="254" t="s">
        <v>23634</v>
      </c>
      <c r="C3270" s="254" t="s">
        <v>4539</v>
      </c>
      <c r="D3270" s="256" t="s">
        <v>23635</v>
      </c>
      <c r="E3270" s="253" t="s">
        <v>170</v>
      </c>
    </row>
    <row r="3271" spans="1:5" ht="15">
      <c r="A3271" s="254">
        <v>4051</v>
      </c>
      <c r="B3271" s="254" t="s">
        <v>23636</v>
      </c>
      <c r="C3271" s="254" t="s">
        <v>4527</v>
      </c>
      <c r="D3271" s="256" t="s">
        <v>23637</v>
      </c>
      <c r="E3271" s="253" t="s">
        <v>170</v>
      </c>
    </row>
    <row r="3272" spans="1:5" ht="15">
      <c r="A3272" s="254">
        <v>4048</v>
      </c>
      <c r="B3272" s="254" t="s">
        <v>23636</v>
      </c>
      <c r="C3272" s="254" t="s">
        <v>4526</v>
      </c>
      <c r="D3272" s="256" t="s">
        <v>23638</v>
      </c>
      <c r="E3272" s="253" t="s">
        <v>170</v>
      </c>
    </row>
    <row r="3273" spans="1:5" ht="15">
      <c r="A3273" s="254">
        <v>4047</v>
      </c>
      <c r="B3273" s="254" t="s">
        <v>23636</v>
      </c>
      <c r="C3273" s="254" t="s">
        <v>4539</v>
      </c>
      <c r="D3273" s="256" t="s">
        <v>16675</v>
      </c>
      <c r="E3273" s="253" t="s">
        <v>170</v>
      </c>
    </row>
    <row r="3274" spans="1:5" ht="30">
      <c r="A3274" s="254">
        <v>39434</v>
      </c>
      <c r="B3274" s="254" t="s">
        <v>23639</v>
      </c>
      <c r="C3274" s="254" t="s">
        <v>4525</v>
      </c>
      <c r="D3274" s="256" t="s">
        <v>23640</v>
      </c>
      <c r="E3274" s="253" t="s">
        <v>170</v>
      </c>
    </row>
    <row r="3275" spans="1:5" ht="30">
      <c r="A3275" s="254">
        <v>39433</v>
      </c>
      <c r="B3275" s="254" t="s">
        <v>23641</v>
      </c>
      <c r="C3275" s="254" t="s">
        <v>4525</v>
      </c>
      <c r="D3275" s="255" t="s">
        <v>13945</v>
      </c>
      <c r="E3275" s="253" t="s">
        <v>170</v>
      </c>
    </row>
    <row r="3276" spans="1:5" ht="15">
      <c r="A3276" s="254">
        <v>4049</v>
      </c>
      <c r="B3276" s="254" t="s">
        <v>23642</v>
      </c>
      <c r="C3276" s="254" t="s">
        <v>4526</v>
      </c>
      <c r="D3276" s="255" t="s">
        <v>23643</v>
      </c>
      <c r="E3276" s="253" t="s">
        <v>170</v>
      </c>
    </row>
    <row r="3277" spans="1:5" ht="15">
      <c r="A3277" s="254">
        <v>38120</v>
      </c>
      <c r="B3277" s="254" t="s">
        <v>23644</v>
      </c>
      <c r="C3277" s="254" t="s">
        <v>4525</v>
      </c>
      <c r="D3277" s="255" t="s">
        <v>23645</v>
      </c>
      <c r="E3277" s="253" t="s">
        <v>170</v>
      </c>
    </row>
    <row r="3278" spans="1:5" ht="15">
      <c r="A3278" s="254">
        <v>38877</v>
      </c>
      <c r="B3278" s="254" t="s">
        <v>23646</v>
      </c>
      <c r="C3278" s="254" t="s">
        <v>4525</v>
      </c>
      <c r="D3278" s="255" t="s">
        <v>13763</v>
      </c>
      <c r="E3278" s="253" t="s">
        <v>170</v>
      </c>
    </row>
    <row r="3279" spans="1:5" ht="30">
      <c r="A3279" s="254">
        <v>34546</v>
      </c>
      <c r="B3279" s="254" t="s">
        <v>23647</v>
      </c>
      <c r="C3279" s="254" t="s">
        <v>4525</v>
      </c>
      <c r="D3279" s="255" t="s">
        <v>23648</v>
      </c>
      <c r="E3279" s="253" t="s">
        <v>170</v>
      </c>
    </row>
    <row r="3280" spans="1:5" ht="15">
      <c r="A3280" s="254">
        <v>10498</v>
      </c>
      <c r="B3280" s="254" t="s">
        <v>23649</v>
      </c>
      <c r="C3280" s="254" t="s">
        <v>4525</v>
      </c>
      <c r="D3280" s="255" t="s">
        <v>15455</v>
      </c>
      <c r="E3280" s="253" t="s">
        <v>170</v>
      </c>
    </row>
    <row r="3281" spans="1:5" ht="15">
      <c r="A3281" s="254">
        <v>4823</v>
      </c>
      <c r="B3281" s="254" t="s">
        <v>23650</v>
      </c>
      <c r="C3281" s="254" t="s">
        <v>4525</v>
      </c>
      <c r="D3281" s="255" t="s">
        <v>23651</v>
      </c>
      <c r="E3281" s="253" t="s">
        <v>170</v>
      </c>
    </row>
    <row r="3282" spans="1:5" ht="15">
      <c r="A3282" s="254">
        <v>12357</v>
      </c>
      <c r="B3282" s="254" t="s">
        <v>23652</v>
      </c>
      <c r="C3282" s="254" t="s">
        <v>4521</v>
      </c>
      <c r="D3282" s="255" t="s">
        <v>23653</v>
      </c>
      <c r="E3282" s="253" t="s">
        <v>170</v>
      </c>
    </row>
    <row r="3283" spans="1:5" ht="15">
      <c r="A3283" s="254">
        <v>12358</v>
      </c>
      <c r="B3283" s="254" t="s">
        <v>23654</v>
      </c>
      <c r="C3283" s="254" t="s">
        <v>4521</v>
      </c>
      <c r="D3283" s="255" t="s">
        <v>23655</v>
      </c>
      <c r="E3283" s="253" t="s">
        <v>170</v>
      </c>
    </row>
    <row r="3284" spans="1:5" ht="30">
      <c r="A3284" s="254">
        <v>11079</v>
      </c>
      <c r="B3284" s="254" t="s">
        <v>23656</v>
      </c>
      <c r="C3284" s="254" t="s">
        <v>4522</v>
      </c>
      <c r="D3284" s="255" t="s">
        <v>23657</v>
      </c>
      <c r="E3284" s="253" t="s">
        <v>170</v>
      </c>
    </row>
    <row r="3285" spans="1:5" ht="30">
      <c r="A3285" s="254">
        <v>11082</v>
      </c>
      <c r="B3285" s="254" t="s">
        <v>23658</v>
      </c>
      <c r="C3285" s="254" t="s">
        <v>4522</v>
      </c>
      <c r="D3285" s="255" t="s">
        <v>23659</v>
      </c>
      <c r="E3285" s="253" t="s">
        <v>170</v>
      </c>
    </row>
    <row r="3286" spans="1:5" ht="15">
      <c r="A3286" s="254">
        <v>4058</v>
      </c>
      <c r="B3286" s="254" t="s">
        <v>23660</v>
      </c>
      <c r="C3286" s="254" t="s">
        <v>4520</v>
      </c>
      <c r="D3286" s="255" t="s">
        <v>14204</v>
      </c>
      <c r="E3286" s="253" t="s">
        <v>8722</v>
      </c>
    </row>
    <row r="3287" spans="1:5" ht="15">
      <c r="A3287" s="254">
        <v>40974</v>
      </c>
      <c r="B3287" s="254" t="s">
        <v>23661</v>
      </c>
      <c r="C3287" s="254" t="s">
        <v>4528</v>
      </c>
      <c r="D3287" s="255" t="s">
        <v>23662</v>
      </c>
      <c r="E3287" s="253" t="s">
        <v>8722</v>
      </c>
    </row>
    <row r="3288" spans="1:5" ht="15">
      <c r="A3288" s="254">
        <v>34794</v>
      </c>
      <c r="B3288" s="254" t="s">
        <v>23663</v>
      </c>
      <c r="C3288" s="254" t="s">
        <v>4520</v>
      </c>
      <c r="D3288" s="256" t="s">
        <v>20842</v>
      </c>
      <c r="E3288" s="253" t="s">
        <v>8722</v>
      </c>
    </row>
    <row r="3289" spans="1:5" ht="15">
      <c r="A3289" s="254">
        <v>40925</v>
      </c>
      <c r="B3289" s="254" t="s">
        <v>23664</v>
      </c>
      <c r="C3289" s="254" t="s">
        <v>4528</v>
      </c>
      <c r="D3289" s="255" t="s">
        <v>23665</v>
      </c>
      <c r="E3289" s="253" t="s">
        <v>8722</v>
      </c>
    </row>
    <row r="3290" spans="1:5" ht="15">
      <c r="A3290" s="254">
        <v>13741</v>
      </c>
      <c r="B3290" s="254" t="s">
        <v>23666</v>
      </c>
      <c r="C3290" s="254" t="s">
        <v>4521</v>
      </c>
      <c r="D3290" s="255" t="s">
        <v>23667</v>
      </c>
      <c r="E3290" s="253" t="s">
        <v>170</v>
      </c>
    </row>
    <row r="3291" spans="1:5" ht="30">
      <c r="A3291" s="254">
        <v>3288</v>
      </c>
      <c r="B3291" s="254" t="s">
        <v>23668</v>
      </c>
      <c r="C3291" s="254" t="s">
        <v>4524</v>
      </c>
      <c r="D3291" s="255" t="s">
        <v>14309</v>
      </c>
      <c r="E3291" s="253" t="s">
        <v>170</v>
      </c>
    </row>
    <row r="3292" spans="1:5" ht="30">
      <c r="A3292" s="254">
        <v>13587</v>
      </c>
      <c r="B3292" s="254" t="s">
        <v>23669</v>
      </c>
      <c r="C3292" s="254" t="s">
        <v>4524</v>
      </c>
      <c r="D3292" s="255" t="s">
        <v>22724</v>
      </c>
      <c r="E3292" s="253" t="s">
        <v>170</v>
      </c>
    </row>
    <row r="3293" spans="1:5" ht="15">
      <c r="A3293" s="254">
        <v>38598</v>
      </c>
      <c r="B3293" s="254" t="s">
        <v>23670</v>
      </c>
      <c r="C3293" s="254" t="s">
        <v>4521</v>
      </c>
      <c r="D3293" s="255" t="s">
        <v>18709</v>
      </c>
      <c r="E3293" s="253" t="s">
        <v>170</v>
      </c>
    </row>
    <row r="3294" spans="1:5" ht="15">
      <c r="A3294" s="254">
        <v>38595</v>
      </c>
      <c r="B3294" s="254" t="s">
        <v>23671</v>
      </c>
      <c r="C3294" s="254" t="s">
        <v>4521</v>
      </c>
      <c r="D3294" s="255" t="s">
        <v>18464</v>
      </c>
      <c r="E3294" s="253" t="s">
        <v>170</v>
      </c>
    </row>
    <row r="3295" spans="1:5" ht="15">
      <c r="A3295" s="254">
        <v>38592</v>
      </c>
      <c r="B3295" s="254" t="s">
        <v>23672</v>
      </c>
      <c r="C3295" s="254" t="s">
        <v>4521</v>
      </c>
      <c r="D3295" s="255" t="s">
        <v>14365</v>
      </c>
      <c r="E3295" s="253" t="s">
        <v>170</v>
      </c>
    </row>
    <row r="3296" spans="1:5" ht="15">
      <c r="A3296" s="254">
        <v>38588</v>
      </c>
      <c r="B3296" s="254" t="s">
        <v>23673</v>
      </c>
      <c r="C3296" s="254" t="s">
        <v>4521</v>
      </c>
      <c r="D3296" s="255" t="s">
        <v>13669</v>
      </c>
      <c r="E3296" s="253" t="s">
        <v>170</v>
      </c>
    </row>
    <row r="3297" spans="1:5" ht="15">
      <c r="A3297" s="254">
        <v>38593</v>
      </c>
      <c r="B3297" s="254" t="s">
        <v>23674</v>
      </c>
      <c r="C3297" s="254" t="s">
        <v>4521</v>
      </c>
      <c r="D3297" s="255" t="s">
        <v>19524</v>
      </c>
      <c r="E3297" s="253" t="s">
        <v>170</v>
      </c>
    </row>
    <row r="3298" spans="1:5" ht="15">
      <c r="A3298" s="254">
        <v>38589</v>
      </c>
      <c r="B3298" s="254" t="s">
        <v>23675</v>
      </c>
      <c r="C3298" s="254" t="s">
        <v>4521</v>
      </c>
      <c r="D3298" s="255" t="s">
        <v>19980</v>
      </c>
      <c r="E3298" s="253" t="s">
        <v>170</v>
      </c>
    </row>
    <row r="3299" spans="1:5" ht="15">
      <c r="A3299" s="254">
        <v>38594</v>
      </c>
      <c r="B3299" s="254" t="s">
        <v>23676</v>
      </c>
      <c r="C3299" s="254" t="s">
        <v>4521</v>
      </c>
      <c r="D3299" s="255" t="s">
        <v>14053</v>
      </c>
      <c r="E3299" s="253" t="s">
        <v>170</v>
      </c>
    </row>
    <row r="3300" spans="1:5" ht="15">
      <c r="A3300" s="254">
        <v>34787</v>
      </c>
      <c r="B3300" s="254" t="s">
        <v>23677</v>
      </c>
      <c r="C3300" s="254" t="s">
        <v>4521</v>
      </c>
      <c r="D3300" s="255" t="s">
        <v>18792</v>
      </c>
      <c r="E3300" s="253" t="s">
        <v>170</v>
      </c>
    </row>
    <row r="3301" spans="1:5" ht="15">
      <c r="A3301" s="254">
        <v>34788</v>
      </c>
      <c r="B3301" s="254" t="s">
        <v>23678</v>
      </c>
      <c r="C3301" s="254" t="s">
        <v>4521</v>
      </c>
      <c r="D3301" s="255" t="s">
        <v>18792</v>
      </c>
      <c r="E3301" s="253" t="s">
        <v>170</v>
      </c>
    </row>
    <row r="3302" spans="1:5" ht="15">
      <c r="A3302" s="254">
        <v>34784</v>
      </c>
      <c r="B3302" s="254" t="s">
        <v>23679</v>
      </c>
      <c r="C3302" s="254" t="s">
        <v>4521</v>
      </c>
      <c r="D3302" s="255" t="s">
        <v>14163</v>
      </c>
      <c r="E3302" s="253" t="s">
        <v>170</v>
      </c>
    </row>
    <row r="3303" spans="1:5" ht="15">
      <c r="A3303" s="254">
        <v>34781</v>
      </c>
      <c r="B3303" s="254" t="s">
        <v>23680</v>
      </c>
      <c r="C3303" s="254" t="s">
        <v>4521</v>
      </c>
      <c r="D3303" s="255" t="s">
        <v>19016</v>
      </c>
      <c r="E3303" s="253" t="s">
        <v>170</v>
      </c>
    </row>
    <row r="3304" spans="1:5" ht="15">
      <c r="A3304" s="254">
        <v>34773</v>
      </c>
      <c r="B3304" s="254" t="s">
        <v>23681</v>
      </c>
      <c r="C3304" s="254" t="s">
        <v>4521</v>
      </c>
      <c r="D3304" s="255" t="s">
        <v>22072</v>
      </c>
      <c r="E3304" s="253" t="s">
        <v>170</v>
      </c>
    </row>
    <row r="3305" spans="1:5" ht="15">
      <c r="A3305" s="254">
        <v>34769</v>
      </c>
      <c r="B3305" s="254" t="s">
        <v>23682</v>
      </c>
      <c r="C3305" s="254" t="s">
        <v>4521</v>
      </c>
      <c r="D3305" s="255" t="s">
        <v>13856</v>
      </c>
      <c r="E3305" s="253" t="s">
        <v>170</v>
      </c>
    </row>
    <row r="3306" spans="1:5" ht="15">
      <c r="A3306" s="254">
        <v>34763</v>
      </c>
      <c r="B3306" s="254" t="s">
        <v>23683</v>
      </c>
      <c r="C3306" s="254" t="s">
        <v>4521</v>
      </c>
      <c r="D3306" s="255" t="s">
        <v>13946</v>
      </c>
      <c r="E3306" s="253" t="s">
        <v>170</v>
      </c>
    </row>
    <row r="3307" spans="1:5" ht="15">
      <c r="A3307" s="254">
        <v>34774</v>
      </c>
      <c r="B3307" s="254" t="s">
        <v>23684</v>
      </c>
      <c r="C3307" s="254" t="s">
        <v>4521</v>
      </c>
      <c r="D3307" s="255" t="s">
        <v>23685</v>
      </c>
      <c r="E3307" s="253" t="s">
        <v>170</v>
      </c>
    </row>
    <row r="3308" spans="1:5" ht="15">
      <c r="A3308" s="254">
        <v>34771</v>
      </c>
      <c r="B3308" s="254" t="s">
        <v>23686</v>
      </c>
      <c r="C3308" s="254" t="s">
        <v>4521</v>
      </c>
      <c r="D3308" s="255" t="s">
        <v>18507</v>
      </c>
      <c r="E3308" s="253" t="s">
        <v>170</v>
      </c>
    </row>
    <row r="3309" spans="1:5" ht="15">
      <c r="A3309" s="254">
        <v>34764</v>
      </c>
      <c r="B3309" s="254" t="s">
        <v>23687</v>
      </c>
      <c r="C3309" s="254" t="s">
        <v>4521</v>
      </c>
      <c r="D3309" s="255" t="s">
        <v>14188</v>
      </c>
      <c r="E3309" s="253" t="s">
        <v>170</v>
      </c>
    </row>
    <row r="3310" spans="1:5" ht="15">
      <c r="A3310" s="254">
        <v>4062</v>
      </c>
      <c r="B3310" s="254" t="s">
        <v>23688</v>
      </c>
      <c r="C3310" s="254" t="s">
        <v>4521</v>
      </c>
      <c r="D3310" s="255" t="s">
        <v>15786</v>
      </c>
      <c r="E3310" s="253" t="s">
        <v>170</v>
      </c>
    </row>
    <row r="3311" spans="1:5" ht="30">
      <c r="A3311" s="254">
        <v>4059</v>
      </c>
      <c r="B3311" s="254" t="s">
        <v>23689</v>
      </c>
      <c r="C3311" s="254" t="s">
        <v>4524</v>
      </c>
      <c r="D3311" s="255" t="s">
        <v>16932</v>
      </c>
      <c r="E3311" s="253" t="s">
        <v>170</v>
      </c>
    </row>
    <row r="3312" spans="1:5" ht="30">
      <c r="A3312" s="254">
        <v>4061</v>
      </c>
      <c r="B3312" s="254" t="s">
        <v>23690</v>
      </c>
      <c r="C3312" s="254" t="s">
        <v>4521</v>
      </c>
      <c r="D3312" s="255" t="s">
        <v>23171</v>
      </c>
      <c r="E3312" s="253" t="s">
        <v>170</v>
      </c>
    </row>
    <row r="3313" spans="1:5" ht="30">
      <c r="A3313" s="254">
        <v>41315</v>
      </c>
      <c r="B3313" s="254" t="s">
        <v>23691</v>
      </c>
      <c r="C3313" s="254" t="s">
        <v>4525</v>
      </c>
      <c r="D3313" s="255" t="s">
        <v>15337</v>
      </c>
      <c r="E3313" s="253" t="s">
        <v>170</v>
      </c>
    </row>
    <row r="3314" spans="1:5" ht="15">
      <c r="A3314" s="254">
        <v>43148</v>
      </c>
      <c r="B3314" s="254" t="s">
        <v>23692</v>
      </c>
      <c r="C3314" s="254" t="s">
        <v>4525</v>
      </c>
      <c r="D3314" s="255" t="s">
        <v>23693</v>
      </c>
      <c r="E3314" s="253" t="s">
        <v>170</v>
      </c>
    </row>
    <row r="3315" spans="1:5" ht="15">
      <c r="A3315" s="254">
        <v>43147</v>
      </c>
      <c r="B3315" s="254" t="s">
        <v>23694</v>
      </c>
      <c r="C3315" s="254" t="s">
        <v>4525</v>
      </c>
      <c r="D3315" s="255" t="s">
        <v>16572</v>
      </c>
      <c r="E3315" s="253" t="s">
        <v>170</v>
      </c>
    </row>
    <row r="3316" spans="1:5" ht="30">
      <c r="A3316" s="254">
        <v>10608</v>
      </c>
      <c r="B3316" s="254" t="s">
        <v>23695</v>
      </c>
      <c r="C3316" s="254" t="s">
        <v>4521</v>
      </c>
      <c r="D3316" s="255" t="s">
        <v>23696</v>
      </c>
      <c r="E3316" s="253" t="s">
        <v>6305</v>
      </c>
    </row>
    <row r="3317" spans="1:5" ht="15">
      <c r="A3317" s="254">
        <v>4069</v>
      </c>
      <c r="B3317" s="254" t="s">
        <v>23697</v>
      </c>
      <c r="C3317" s="254" t="s">
        <v>4520</v>
      </c>
      <c r="D3317" s="255" t="s">
        <v>21957</v>
      </c>
      <c r="E3317" s="253" t="s">
        <v>8722</v>
      </c>
    </row>
    <row r="3318" spans="1:5" ht="15">
      <c r="A3318" s="254">
        <v>40819</v>
      </c>
      <c r="B3318" s="254" t="s">
        <v>23698</v>
      </c>
      <c r="C3318" s="254" t="s">
        <v>4528</v>
      </c>
      <c r="D3318" s="255" t="s">
        <v>23699</v>
      </c>
      <c r="E3318" s="253" t="s">
        <v>8722</v>
      </c>
    </row>
    <row r="3319" spans="1:5" ht="15">
      <c r="A3319" s="254">
        <v>34361</v>
      </c>
      <c r="B3319" s="254" t="s">
        <v>23700</v>
      </c>
      <c r="C3319" s="254" t="s">
        <v>4525</v>
      </c>
      <c r="D3319" s="255" t="s">
        <v>15840</v>
      </c>
      <c r="E3319" s="253" t="s">
        <v>170</v>
      </c>
    </row>
    <row r="3320" spans="1:5" ht="30">
      <c r="A3320" s="254">
        <v>36512</v>
      </c>
      <c r="B3320" s="254" t="s">
        <v>23701</v>
      </c>
      <c r="C3320" s="254" t="s">
        <v>4521</v>
      </c>
      <c r="D3320" s="255" t="s">
        <v>23702</v>
      </c>
      <c r="E3320" s="253" t="s">
        <v>6305</v>
      </c>
    </row>
    <row r="3321" spans="1:5" ht="30">
      <c r="A3321" s="254">
        <v>25972</v>
      </c>
      <c r="B3321" s="254" t="s">
        <v>23703</v>
      </c>
      <c r="C3321" s="254" t="s">
        <v>4525</v>
      </c>
      <c r="D3321" s="255" t="s">
        <v>18810</v>
      </c>
      <c r="E3321" s="253" t="s">
        <v>170</v>
      </c>
    </row>
    <row r="3322" spans="1:5" ht="30">
      <c r="A3322" s="254">
        <v>25973</v>
      </c>
      <c r="B3322" s="254" t="s">
        <v>23704</v>
      </c>
      <c r="C3322" s="254" t="s">
        <v>4525</v>
      </c>
      <c r="D3322" s="255" t="s">
        <v>18810</v>
      </c>
      <c r="E3322" s="253" t="s">
        <v>170</v>
      </c>
    </row>
    <row r="3323" spans="1:5" ht="30">
      <c r="A3323" s="254">
        <v>11697</v>
      </c>
      <c r="B3323" s="254" t="s">
        <v>23705</v>
      </c>
      <c r="C3323" s="254" t="s">
        <v>4521</v>
      </c>
      <c r="D3323" s="255" t="s">
        <v>23706</v>
      </c>
      <c r="E3323" s="253" t="s">
        <v>170</v>
      </c>
    </row>
    <row r="3324" spans="1:5" ht="30">
      <c r="A3324" s="254">
        <v>11698</v>
      </c>
      <c r="B3324" s="254" t="s">
        <v>23707</v>
      </c>
      <c r="C3324" s="254" t="s">
        <v>4521</v>
      </c>
      <c r="D3324" s="255" t="s">
        <v>23708</v>
      </c>
      <c r="E3324" s="253" t="s">
        <v>170</v>
      </c>
    </row>
    <row r="3325" spans="1:5" ht="15">
      <c r="A3325" s="254">
        <v>11699</v>
      </c>
      <c r="B3325" s="254" t="s">
        <v>23709</v>
      </c>
      <c r="C3325" s="254" t="s">
        <v>4521</v>
      </c>
      <c r="D3325" s="255" t="s">
        <v>23710</v>
      </c>
      <c r="E3325" s="253" t="s">
        <v>170</v>
      </c>
    </row>
    <row r="3326" spans="1:5" ht="15">
      <c r="A3326" s="254">
        <v>10432</v>
      </c>
      <c r="B3326" s="254" t="s">
        <v>23711</v>
      </c>
      <c r="C3326" s="254" t="s">
        <v>4521</v>
      </c>
      <c r="D3326" s="255" t="s">
        <v>23712</v>
      </c>
      <c r="E3326" s="253" t="s">
        <v>170</v>
      </c>
    </row>
    <row r="3327" spans="1:5" ht="15">
      <c r="A3327" s="254">
        <v>10430</v>
      </c>
      <c r="B3327" s="254" t="s">
        <v>23713</v>
      </c>
      <c r="C3327" s="254" t="s">
        <v>4521</v>
      </c>
      <c r="D3327" s="255" t="s">
        <v>23714</v>
      </c>
      <c r="E3327" s="253" t="s">
        <v>170</v>
      </c>
    </row>
    <row r="3328" spans="1:5" ht="30">
      <c r="A3328" s="254">
        <v>37514</v>
      </c>
      <c r="B3328" s="254" t="s">
        <v>23715</v>
      </c>
      <c r="C3328" s="254" t="s">
        <v>4521</v>
      </c>
      <c r="D3328" s="255" t="s">
        <v>23716</v>
      </c>
      <c r="E3328" s="253" t="s">
        <v>6305</v>
      </c>
    </row>
    <row r="3329" spans="1:5" ht="30">
      <c r="A3329" s="254">
        <v>37519</v>
      </c>
      <c r="B3329" s="254" t="s">
        <v>23717</v>
      </c>
      <c r="C3329" s="254" t="s">
        <v>4521</v>
      </c>
      <c r="D3329" s="255" t="s">
        <v>23718</v>
      </c>
      <c r="E3329" s="253" t="s">
        <v>6305</v>
      </c>
    </row>
    <row r="3330" spans="1:5" ht="30">
      <c r="A3330" s="254">
        <v>37520</v>
      </c>
      <c r="B3330" s="254" t="s">
        <v>23719</v>
      </c>
      <c r="C3330" s="254" t="s">
        <v>4521</v>
      </c>
      <c r="D3330" s="255" t="s">
        <v>23720</v>
      </c>
      <c r="E3330" s="253" t="s">
        <v>6305</v>
      </c>
    </row>
    <row r="3331" spans="1:5" ht="30">
      <c r="A3331" s="254">
        <v>37521</v>
      </c>
      <c r="B3331" s="254" t="s">
        <v>23721</v>
      </c>
      <c r="C3331" s="254" t="s">
        <v>4521</v>
      </c>
      <c r="D3331" s="255" t="s">
        <v>23722</v>
      </c>
      <c r="E3331" s="253" t="s">
        <v>6305</v>
      </c>
    </row>
    <row r="3332" spans="1:5" ht="30">
      <c r="A3332" s="254">
        <v>37522</v>
      </c>
      <c r="B3332" s="254" t="s">
        <v>23723</v>
      </c>
      <c r="C3332" s="254" t="s">
        <v>4521</v>
      </c>
      <c r="D3332" s="255" t="s">
        <v>23724</v>
      </c>
      <c r="E3332" s="253" t="s">
        <v>6305</v>
      </c>
    </row>
    <row r="3333" spans="1:5" ht="30">
      <c r="A3333" s="254">
        <v>21109</v>
      </c>
      <c r="B3333" s="254" t="s">
        <v>23725</v>
      </c>
      <c r="C3333" s="254" t="s">
        <v>4521</v>
      </c>
      <c r="D3333" s="255" t="s">
        <v>23726</v>
      </c>
      <c r="E3333" s="253" t="s">
        <v>170</v>
      </c>
    </row>
    <row r="3334" spans="1:5" ht="30">
      <c r="A3334" s="254">
        <v>36800</v>
      </c>
      <c r="B3334" s="254" t="s">
        <v>23727</v>
      </c>
      <c r="C3334" s="254" t="s">
        <v>4521</v>
      </c>
      <c r="D3334" s="255" t="s">
        <v>23728</v>
      </c>
      <c r="E3334" s="253" t="s">
        <v>170</v>
      </c>
    </row>
    <row r="3335" spans="1:5" ht="15">
      <c r="A3335" s="254">
        <v>11769</v>
      </c>
      <c r="B3335" s="254" t="s">
        <v>23729</v>
      </c>
      <c r="C3335" s="254" t="s">
        <v>4521</v>
      </c>
      <c r="D3335" s="255" t="s">
        <v>23730</v>
      </c>
      <c r="E3335" s="253" t="s">
        <v>170</v>
      </c>
    </row>
    <row r="3336" spans="1:5" ht="15">
      <c r="A3336" s="254">
        <v>36793</v>
      </c>
      <c r="B3336" s="254" t="s">
        <v>23731</v>
      </c>
      <c r="C3336" s="254" t="s">
        <v>4521</v>
      </c>
      <c r="D3336" s="255" t="s">
        <v>23732</v>
      </c>
      <c r="E3336" s="253" t="s">
        <v>170</v>
      </c>
    </row>
    <row r="3337" spans="1:5" ht="30">
      <c r="A3337" s="254">
        <v>37546</v>
      </c>
      <c r="B3337" s="254" t="s">
        <v>23733</v>
      </c>
      <c r="C3337" s="254" t="s">
        <v>4521</v>
      </c>
      <c r="D3337" s="255" t="s">
        <v>23734</v>
      </c>
      <c r="E3337" s="253" t="s">
        <v>6305</v>
      </c>
    </row>
    <row r="3338" spans="1:5" ht="30">
      <c r="A3338" s="254">
        <v>37544</v>
      </c>
      <c r="B3338" s="254" t="s">
        <v>23735</v>
      </c>
      <c r="C3338" s="254" t="s">
        <v>4521</v>
      </c>
      <c r="D3338" s="255" t="s">
        <v>23736</v>
      </c>
      <c r="E3338" s="253" t="s">
        <v>6305</v>
      </c>
    </row>
    <row r="3339" spans="1:5" ht="30">
      <c r="A3339" s="254">
        <v>37545</v>
      </c>
      <c r="B3339" s="254" t="s">
        <v>23737</v>
      </c>
      <c r="C3339" s="254" t="s">
        <v>4521</v>
      </c>
      <c r="D3339" s="255" t="s">
        <v>23738</v>
      </c>
      <c r="E3339" s="253" t="s">
        <v>6305</v>
      </c>
    </row>
    <row r="3340" spans="1:5" ht="30">
      <c r="A3340" s="254">
        <v>11771</v>
      </c>
      <c r="B3340" s="254" t="s">
        <v>23739</v>
      </c>
      <c r="C3340" s="254" t="s">
        <v>4521</v>
      </c>
      <c r="D3340" s="255" t="s">
        <v>23740</v>
      </c>
      <c r="E3340" s="253" t="s">
        <v>170</v>
      </c>
    </row>
    <row r="3341" spans="1:5" ht="45">
      <c r="A3341" s="254">
        <v>39919</v>
      </c>
      <c r="B3341" s="254" t="s">
        <v>23741</v>
      </c>
      <c r="C3341" s="254" t="s">
        <v>4521</v>
      </c>
      <c r="D3341" s="255" t="s">
        <v>23742</v>
      </c>
      <c r="E3341" s="253" t="s">
        <v>6305</v>
      </c>
    </row>
    <row r="3342" spans="1:5" ht="30">
      <c r="A3342" s="254">
        <v>38385</v>
      </c>
      <c r="B3342" s="254" t="s">
        <v>23743</v>
      </c>
      <c r="C3342" s="254" t="s">
        <v>4521</v>
      </c>
      <c r="D3342" s="255" t="s">
        <v>23744</v>
      </c>
      <c r="E3342" s="253" t="s">
        <v>170</v>
      </c>
    </row>
    <row r="3343" spans="1:5" ht="30">
      <c r="A3343" s="254">
        <v>37587</v>
      </c>
      <c r="B3343" s="254" t="s">
        <v>23745</v>
      </c>
      <c r="C3343" s="254" t="s">
        <v>4521</v>
      </c>
      <c r="D3343" s="255" t="s">
        <v>23746</v>
      </c>
      <c r="E3343" s="253" t="s">
        <v>170</v>
      </c>
    </row>
    <row r="3344" spans="1:5" ht="15">
      <c r="A3344" s="254">
        <v>11571</v>
      </c>
      <c r="B3344" s="254" t="s">
        <v>23747</v>
      </c>
      <c r="C3344" s="254" t="s">
        <v>4521</v>
      </c>
      <c r="D3344" s="255" t="s">
        <v>23748</v>
      </c>
      <c r="E3344" s="253" t="s">
        <v>170</v>
      </c>
    </row>
    <row r="3345" spans="1:5" ht="15">
      <c r="A3345" s="254">
        <v>11561</v>
      </c>
      <c r="B3345" s="254" t="s">
        <v>23749</v>
      </c>
      <c r="C3345" s="254" t="s">
        <v>4521</v>
      </c>
      <c r="D3345" s="255" t="s">
        <v>23750</v>
      </c>
      <c r="E3345" s="253" t="s">
        <v>170</v>
      </c>
    </row>
    <row r="3346" spans="1:5" ht="15">
      <c r="A3346" s="254">
        <v>11560</v>
      </c>
      <c r="B3346" s="254" t="s">
        <v>23751</v>
      </c>
      <c r="C3346" s="254" t="s">
        <v>4521</v>
      </c>
      <c r="D3346" s="255" t="s">
        <v>23752</v>
      </c>
      <c r="E3346" s="253" t="s">
        <v>170</v>
      </c>
    </row>
    <row r="3347" spans="1:5" ht="15">
      <c r="A3347" s="254">
        <v>11499</v>
      </c>
      <c r="B3347" s="254" t="s">
        <v>23753</v>
      </c>
      <c r="C3347" s="254" t="s">
        <v>4521</v>
      </c>
      <c r="D3347" s="255" t="s">
        <v>23754</v>
      </c>
      <c r="E3347" s="253" t="s">
        <v>170</v>
      </c>
    </row>
    <row r="3348" spans="1:5" ht="15">
      <c r="A3348" s="254">
        <v>34761</v>
      </c>
      <c r="B3348" s="254" t="s">
        <v>23755</v>
      </c>
      <c r="C3348" s="254" t="s">
        <v>4520</v>
      </c>
      <c r="D3348" s="255" t="s">
        <v>21056</v>
      </c>
      <c r="E3348" s="253" t="s">
        <v>8722</v>
      </c>
    </row>
    <row r="3349" spans="1:5" ht="15">
      <c r="A3349" s="254">
        <v>40924</v>
      </c>
      <c r="B3349" s="254" t="s">
        <v>23756</v>
      </c>
      <c r="C3349" s="254" t="s">
        <v>4528</v>
      </c>
      <c r="D3349" s="255" t="s">
        <v>23757</v>
      </c>
      <c r="E3349" s="253" t="s">
        <v>8722</v>
      </c>
    </row>
    <row r="3350" spans="1:5" ht="15">
      <c r="A3350" s="254">
        <v>25957</v>
      </c>
      <c r="B3350" s="254" t="s">
        <v>23758</v>
      </c>
      <c r="C3350" s="254" t="s">
        <v>4520</v>
      </c>
      <c r="D3350" s="255" t="s">
        <v>23759</v>
      </c>
      <c r="E3350" s="253" t="s">
        <v>8722</v>
      </c>
    </row>
    <row r="3351" spans="1:5" ht="15">
      <c r="A3351" s="254">
        <v>40983</v>
      </c>
      <c r="B3351" s="254" t="s">
        <v>23760</v>
      </c>
      <c r="C3351" s="254" t="s">
        <v>4528</v>
      </c>
      <c r="D3351" s="255" t="s">
        <v>23761</v>
      </c>
      <c r="E3351" s="253" t="s">
        <v>8722</v>
      </c>
    </row>
    <row r="3352" spans="1:5" ht="15">
      <c r="A3352" s="254">
        <v>2437</v>
      </c>
      <c r="B3352" s="254" t="s">
        <v>23762</v>
      </c>
      <c r="C3352" s="254" t="s">
        <v>4520</v>
      </c>
      <c r="D3352" s="255" t="s">
        <v>23763</v>
      </c>
      <c r="E3352" s="253" t="s">
        <v>8722</v>
      </c>
    </row>
    <row r="3353" spans="1:5" ht="15">
      <c r="A3353" s="254">
        <v>40921</v>
      </c>
      <c r="B3353" s="254" t="s">
        <v>23764</v>
      </c>
      <c r="C3353" s="254" t="s">
        <v>4528</v>
      </c>
      <c r="D3353" s="255" t="s">
        <v>23765</v>
      </c>
      <c r="E3353" s="253" t="s">
        <v>8722</v>
      </c>
    </row>
    <row r="3354" spans="1:5" ht="30">
      <c r="A3354" s="254">
        <v>40534</v>
      </c>
      <c r="B3354" s="254" t="s">
        <v>23766</v>
      </c>
      <c r="C3354" s="254" t="s">
        <v>4521</v>
      </c>
      <c r="D3354" s="255" t="s">
        <v>23767</v>
      </c>
      <c r="E3354" s="253" t="s">
        <v>170</v>
      </c>
    </row>
    <row r="3355" spans="1:5" ht="30">
      <c r="A3355" s="254">
        <v>14252</v>
      </c>
      <c r="B3355" s="254" t="s">
        <v>23768</v>
      </c>
      <c r="C3355" s="254" t="s">
        <v>4521</v>
      </c>
      <c r="D3355" s="255" t="s">
        <v>23769</v>
      </c>
      <c r="E3355" s="253" t="s">
        <v>170</v>
      </c>
    </row>
    <row r="3356" spans="1:5" ht="45">
      <c r="A3356" s="254">
        <v>730</v>
      </c>
      <c r="B3356" s="254" t="s">
        <v>23770</v>
      </c>
      <c r="C3356" s="254" t="s">
        <v>4521</v>
      </c>
      <c r="D3356" s="255" t="s">
        <v>23771</v>
      </c>
      <c r="E3356" s="253" t="s">
        <v>170</v>
      </c>
    </row>
    <row r="3357" spans="1:5" ht="45">
      <c r="A3357" s="254">
        <v>723</v>
      </c>
      <c r="B3357" s="254" t="s">
        <v>23772</v>
      </c>
      <c r="C3357" s="254" t="s">
        <v>4521</v>
      </c>
      <c r="D3357" s="255" t="s">
        <v>23773</v>
      </c>
      <c r="E3357" s="253" t="s">
        <v>170</v>
      </c>
    </row>
    <row r="3358" spans="1:5" ht="30">
      <c r="A3358" s="254">
        <v>36502</v>
      </c>
      <c r="B3358" s="254" t="s">
        <v>23774</v>
      </c>
      <c r="C3358" s="254" t="s">
        <v>4521</v>
      </c>
      <c r="D3358" s="255" t="s">
        <v>23775</v>
      </c>
      <c r="E3358" s="253" t="s">
        <v>170</v>
      </c>
    </row>
    <row r="3359" spans="1:5" ht="30">
      <c r="A3359" s="254">
        <v>36503</v>
      </c>
      <c r="B3359" s="254" t="s">
        <v>23776</v>
      </c>
      <c r="C3359" s="254" t="s">
        <v>4521</v>
      </c>
      <c r="D3359" s="255" t="s">
        <v>23777</v>
      </c>
      <c r="E3359" s="253" t="s">
        <v>170</v>
      </c>
    </row>
    <row r="3360" spans="1:5" ht="30">
      <c r="A3360" s="254">
        <v>4090</v>
      </c>
      <c r="B3360" s="254" t="s">
        <v>23778</v>
      </c>
      <c r="C3360" s="254" t="s">
        <v>4521</v>
      </c>
      <c r="D3360" s="255" t="s">
        <v>23779</v>
      </c>
      <c r="E3360" s="253" t="s">
        <v>6305</v>
      </c>
    </row>
    <row r="3361" spans="1:5" ht="30">
      <c r="A3361" s="254">
        <v>13227</v>
      </c>
      <c r="B3361" s="254" t="s">
        <v>23780</v>
      </c>
      <c r="C3361" s="254" t="s">
        <v>4521</v>
      </c>
      <c r="D3361" s="255" t="s">
        <v>23781</v>
      </c>
      <c r="E3361" s="253" t="s">
        <v>6305</v>
      </c>
    </row>
    <row r="3362" spans="1:5" ht="30">
      <c r="A3362" s="254">
        <v>10597</v>
      </c>
      <c r="B3362" s="254" t="s">
        <v>23782</v>
      </c>
      <c r="C3362" s="254" t="s">
        <v>4521</v>
      </c>
      <c r="D3362" s="255" t="s">
        <v>23783</v>
      </c>
      <c r="E3362" s="253" t="s">
        <v>6305</v>
      </c>
    </row>
    <row r="3363" spans="1:5" ht="15">
      <c r="A3363" s="254">
        <v>39628</v>
      </c>
      <c r="B3363" s="254" t="s">
        <v>23784</v>
      </c>
      <c r="C3363" s="254" t="s">
        <v>4521</v>
      </c>
      <c r="D3363" s="256" t="s">
        <v>23785</v>
      </c>
      <c r="E3363" s="253" t="s">
        <v>170</v>
      </c>
    </row>
    <row r="3364" spans="1:5" ht="15">
      <c r="A3364" s="254">
        <v>39404</v>
      </c>
      <c r="B3364" s="254" t="s">
        <v>23786</v>
      </c>
      <c r="C3364" s="254" t="s">
        <v>4521</v>
      </c>
      <c r="D3364" s="255" t="s">
        <v>23787</v>
      </c>
      <c r="E3364" s="253" t="s">
        <v>170</v>
      </c>
    </row>
    <row r="3365" spans="1:5" ht="15">
      <c r="A3365" s="254">
        <v>39402</v>
      </c>
      <c r="B3365" s="254" t="s">
        <v>23788</v>
      </c>
      <c r="C3365" s="254" t="s">
        <v>4521</v>
      </c>
      <c r="D3365" s="255" t="s">
        <v>23789</v>
      </c>
      <c r="E3365" s="253" t="s">
        <v>170</v>
      </c>
    </row>
    <row r="3366" spans="1:5" ht="15">
      <c r="A3366" s="254">
        <v>39403</v>
      </c>
      <c r="B3366" s="254" t="s">
        <v>23790</v>
      </c>
      <c r="C3366" s="254" t="s">
        <v>4521</v>
      </c>
      <c r="D3366" s="255" t="s">
        <v>23791</v>
      </c>
      <c r="E3366" s="253" t="s">
        <v>170</v>
      </c>
    </row>
    <row r="3367" spans="1:5" ht="15">
      <c r="A3367" s="254">
        <v>4093</v>
      </c>
      <c r="B3367" s="254" t="s">
        <v>23792</v>
      </c>
      <c r="C3367" s="254" t="s">
        <v>4520</v>
      </c>
      <c r="D3367" s="255" t="s">
        <v>20838</v>
      </c>
      <c r="E3367" s="253" t="s">
        <v>8722</v>
      </c>
    </row>
    <row r="3368" spans="1:5" ht="15">
      <c r="A3368" s="254">
        <v>10512</v>
      </c>
      <c r="B3368" s="254" t="s">
        <v>23793</v>
      </c>
      <c r="C3368" s="254" t="s">
        <v>4528</v>
      </c>
      <c r="D3368" s="255" t="s">
        <v>23794</v>
      </c>
      <c r="E3368" s="253" t="s">
        <v>8722</v>
      </c>
    </row>
    <row r="3369" spans="1:5" ht="15">
      <c r="A3369" s="254">
        <v>20020</v>
      </c>
      <c r="B3369" s="254" t="s">
        <v>23795</v>
      </c>
      <c r="C3369" s="254" t="s">
        <v>4520</v>
      </c>
      <c r="D3369" s="255" t="s">
        <v>15871</v>
      </c>
      <c r="E3369" s="253" t="s">
        <v>8722</v>
      </c>
    </row>
    <row r="3370" spans="1:5" ht="15">
      <c r="A3370" s="254">
        <v>41038</v>
      </c>
      <c r="B3370" s="254" t="s">
        <v>23796</v>
      </c>
      <c r="C3370" s="254" t="s">
        <v>4528</v>
      </c>
      <c r="D3370" s="255" t="s">
        <v>23797</v>
      </c>
      <c r="E3370" s="253" t="s">
        <v>8722</v>
      </c>
    </row>
    <row r="3371" spans="1:5" ht="15">
      <c r="A3371" s="254">
        <v>4094</v>
      </c>
      <c r="B3371" s="254" t="s">
        <v>23798</v>
      </c>
      <c r="C3371" s="254" t="s">
        <v>4520</v>
      </c>
      <c r="D3371" s="255" t="s">
        <v>23799</v>
      </c>
      <c r="E3371" s="253" t="s">
        <v>8722</v>
      </c>
    </row>
    <row r="3372" spans="1:5" ht="15">
      <c r="A3372" s="254">
        <v>40988</v>
      </c>
      <c r="B3372" s="254" t="s">
        <v>23800</v>
      </c>
      <c r="C3372" s="254" t="s">
        <v>4528</v>
      </c>
      <c r="D3372" s="255" t="s">
        <v>23801</v>
      </c>
      <c r="E3372" s="253" t="s">
        <v>8722</v>
      </c>
    </row>
    <row r="3373" spans="1:5" ht="15">
      <c r="A3373" s="254">
        <v>4095</v>
      </c>
      <c r="B3373" s="254" t="s">
        <v>23802</v>
      </c>
      <c r="C3373" s="254" t="s">
        <v>4520</v>
      </c>
      <c r="D3373" s="255" t="s">
        <v>16534</v>
      </c>
      <c r="E3373" s="253" t="s">
        <v>8722</v>
      </c>
    </row>
    <row r="3374" spans="1:5" ht="15">
      <c r="A3374" s="254">
        <v>40990</v>
      </c>
      <c r="B3374" s="254" t="s">
        <v>23803</v>
      </c>
      <c r="C3374" s="254" t="s">
        <v>4528</v>
      </c>
      <c r="D3374" s="255" t="s">
        <v>19289</v>
      </c>
      <c r="E3374" s="253" t="s">
        <v>8722</v>
      </c>
    </row>
    <row r="3375" spans="1:5" ht="15">
      <c r="A3375" s="254">
        <v>4097</v>
      </c>
      <c r="B3375" s="254" t="s">
        <v>23804</v>
      </c>
      <c r="C3375" s="254" t="s">
        <v>4520</v>
      </c>
      <c r="D3375" s="255" t="s">
        <v>14367</v>
      </c>
      <c r="E3375" s="253" t="s">
        <v>8722</v>
      </c>
    </row>
    <row r="3376" spans="1:5" ht="15">
      <c r="A3376" s="254">
        <v>40994</v>
      </c>
      <c r="B3376" s="254" t="s">
        <v>23805</v>
      </c>
      <c r="C3376" s="254" t="s">
        <v>4528</v>
      </c>
      <c r="D3376" s="255" t="s">
        <v>23806</v>
      </c>
      <c r="E3376" s="253" t="s">
        <v>8722</v>
      </c>
    </row>
    <row r="3377" spans="1:5" ht="15">
      <c r="A3377" s="254">
        <v>4096</v>
      </c>
      <c r="B3377" s="254" t="s">
        <v>23807</v>
      </c>
      <c r="C3377" s="254" t="s">
        <v>4520</v>
      </c>
      <c r="D3377" s="255" t="s">
        <v>16534</v>
      </c>
      <c r="E3377" s="253" t="s">
        <v>8722</v>
      </c>
    </row>
    <row r="3378" spans="1:5" ht="15">
      <c r="A3378" s="254">
        <v>40992</v>
      </c>
      <c r="B3378" s="254" t="s">
        <v>23808</v>
      </c>
      <c r="C3378" s="254" t="s">
        <v>4528</v>
      </c>
      <c r="D3378" s="255" t="s">
        <v>19289</v>
      </c>
      <c r="E3378" s="253" t="s">
        <v>8722</v>
      </c>
    </row>
    <row r="3379" spans="1:5" ht="15">
      <c r="A3379" s="254">
        <v>13955</v>
      </c>
      <c r="B3379" s="254" t="s">
        <v>23809</v>
      </c>
      <c r="C3379" s="254" t="s">
        <v>4521</v>
      </c>
      <c r="D3379" s="255" t="s">
        <v>23810</v>
      </c>
      <c r="E3379" s="253" t="s">
        <v>170</v>
      </c>
    </row>
    <row r="3380" spans="1:5" ht="30">
      <c r="A3380" s="254">
        <v>4114</v>
      </c>
      <c r="B3380" s="254" t="s">
        <v>23811</v>
      </c>
      <c r="C3380" s="254" t="s">
        <v>4521</v>
      </c>
      <c r="D3380" s="255" t="s">
        <v>23812</v>
      </c>
      <c r="E3380" s="253" t="s">
        <v>170</v>
      </c>
    </row>
    <row r="3381" spans="1:5" ht="15">
      <c r="A3381" s="254">
        <v>36797</v>
      </c>
      <c r="B3381" s="254" t="s">
        <v>23813</v>
      </c>
      <c r="C3381" s="254" t="s">
        <v>4521</v>
      </c>
      <c r="D3381" s="255" t="s">
        <v>23814</v>
      </c>
      <c r="E3381" s="253" t="s">
        <v>170</v>
      </c>
    </row>
    <row r="3382" spans="1:5" ht="15">
      <c r="A3382" s="254">
        <v>4107</v>
      </c>
      <c r="B3382" s="254" t="s">
        <v>23815</v>
      </c>
      <c r="C3382" s="254" t="s">
        <v>4521</v>
      </c>
      <c r="D3382" s="255" t="s">
        <v>16288</v>
      </c>
      <c r="E3382" s="253" t="s">
        <v>170</v>
      </c>
    </row>
    <row r="3383" spans="1:5" ht="15">
      <c r="A3383" s="254">
        <v>36799</v>
      </c>
      <c r="B3383" s="254" t="s">
        <v>23816</v>
      </c>
      <c r="C3383" s="254" t="s">
        <v>4521</v>
      </c>
      <c r="D3383" s="255" t="s">
        <v>14927</v>
      </c>
      <c r="E3383" s="253" t="s">
        <v>170</v>
      </c>
    </row>
    <row r="3384" spans="1:5" ht="15">
      <c r="A3384" s="254">
        <v>4108</v>
      </c>
      <c r="B3384" s="254" t="s">
        <v>23817</v>
      </c>
      <c r="C3384" s="254" t="s">
        <v>4521</v>
      </c>
      <c r="D3384" s="255" t="s">
        <v>23818</v>
      </c>
      <c r="E3384" s="253" t="s">
        <v>170</v>
      </c>
    </row>
    <row r="3385" spans="1:5" ht="15">
      <c r="A3385" s="254">
        <v>4102</v>
      </c>
      <c r="B3385" s="254" t="s">
        <v>23819</v>
      </c>
      <c r="C3385" s="254" t="s">
        <v>4521</v>
      </c>
      <c r="D3385" s="255" t="s">
        <v>13558</v>
      </c>
      <c r="E3385" s="253" t="s">
        <v>170</v>
      </c>
    </row>
    <row r="3386" spans="1:5" ht="30">
      <c r="A3386" s="254">
        <v>10826</v>
      </c>
      <c r="B3386" s="254" t="s">
        <v>23820</v>
      </c>
      <c r="C3386" s="254" t="s">
        <v>4521</v>
      </c>
      <c r="D3386" s="255" t="s">
        <v>23821</v>
      </c>
      <c r="E3386" s="253" t="s">
        <v>170</v>
      </c>
    </row>
    <row r="3387" spans="1:5" ht="30">
      <c r="A3387" s="254">
        <v>365</v>
      </c>
      <c r="B3387" s="254" t="s">
        <v>23822</v>
      </c>
      <c r="C3387" s="254" t="s">
        <v>4521</v>
      </c>
      <c r="D3387" s="255" t="s">
        <v>23823</v>
      </c>
      <c r="E3387" s="253" t="s">
        <v>170</v>
      </c>
    </row>
    <row r="3388" spans="1:5" ht="15">
      <c r="A3388" s="254">
        <v>38639</v>
      </c>
      <c r="B3388" s="254" t="s">
        <v>23824</v>
      </c>
      <c r="C3388" s="254" t="s">
        <v>4521</v>
      </c>
      <c r="D3388" s="255" t="s">
        <v>23825</v>
      </c>
      <c r="E3388" s="253" t="s">
        <v>170</v>
      </c>
    </row>
    <row r="3389" spans="1:5" ht="15">
      <c r="A3389" s="254">
        <v>38640</v>
      </c>
      <c r="B3389" s="254" t="s">
        <v>23826</v>
      </c>
      <c r="C3389" s="254" t="s">
        <v>4521</v>
      </c>
      <c r="D3389" s="255" t="s">
        <v>21427</v>
      </c>
      <c r="E3389" s="253" t="s">
        <v>170</v>
      </c>
    </row>
    <row r="3390" spans="1:5" ht="30">
      <c r="A3390" s="254">
        <v>358</v>
      </c>
      <c r="B3390" s="254" t="s">
        <v>23827</v>
      </c>
      <c r="C3390" s="254" t="s">
        <v>4521</v>
      </c>
      <c r="D3390" s="255" t="s">
        <v>23828</v>
      </c>
      <c r="E3390" s="253" t="s">
        <v>170</v>
      </c>
    </row>
    <row r="3391" spans="1:5" ht="30">
      <c r="A3391" s="254">
        <v>359</v>
      </c>
      <c r="B3391" s="254" t="s">
        <v>23829</v>
      </c>
      <c r="C3391" s="254" t="s">
        <v>4521</v>
      </c>
      <c r="D3391" s="255" t="s">
        <v>23830</v>
      </c>
      <c r="E3391" s="253" t="s">
        <v>170</v>
      </c>
    </row>
    <row r="3392" spans="1:5" ht="15">
      <c r="A3392" s="254">
        <v>38641</v>
      </c>
      <c r="B3392" s="254" t="s">
        <v>23831</v>
      </c>
      <c r="C3392" s="254" t="s">
        <v>4521</v>
      </c>
      <c r="D3392" s="255" t="s">
        <v>23832</v>
      </c>
      <c r="E3392" s="253" t="s">
        <v>170</v>
      </c>
    </row>
    <row r="3393" spans="1:5" ht="30">
      <c r="A3393" s="254">
        <v>360</v>
      </c>
      <c r="B3393" s="254" t="s">
        <v>23833</v>
      </c>
      <c r="C3393" s="254" t="s">
        <v>4521</v>
      </c>
      <c r="D3393" s="255" t="s">
        <v>14380</v>
      </c>
      <c r="E3393" s="253" t="s">
        <v>170</v>
      </c>
    </row>
    <row r="3394" spans="1:5" ht="30">
      <c r="A3394" s="254">
        <v>4127</v>
      </c>
      <c r="B3394" s="254" t="s">
        <v>23834</v>
      </c>
      <c r="C3394" s="254" t="s">
        <v>4521</v>
      </c>
      <c r="D3394" s="255" t="s">
        <v>23835</v>
      </c>
      <c r="E3394" s="253" t="s">
        <v>170</v>
      </c>
    </row>
    <row r="3395" spans="1:5" ht="30">
      <c r="A3395" s="254">
        <v>4154</v>
      </c>
      <c r="B3395" s="254" t="s">
        <v>23836</v>
      </c>
      <c r="C3395" s="254" t="s">
        <v>4521</v>
      </c>
      <c r="D3395" s="255" t="s">
        <v>23837</v>
      </c>
      <c r="E3395" s="253" t="s">
        <v>170</v>
      </c>
    </row>
    <row r="3396" spans="1:5" ht="30">
      <c r="A3396" s="254">
        <v>4168</v>
      </c>
      <c r="B3396" s="254" t="s">
        <v>23838</v>
      </c>
      <c r="C3396" s="254" t="s">
        <v>4521</v>
      </c>
      <c r="D3396" s="255" t="s">
        <v>23839</v>
      </c>
      <c r="E3396" s="253" t="s">
        <v>170</v>
      </c>
    </row>
    <row r="3397" spans="1:5" ht="30">
      <c r="A3397" s="254">
        <v>4161</v>
      </c>
      <c r="B3397" s="254" t="s">
        <v>23840</v>
      </c>
      <c r="C3397" s="254" t="s">
        <v>4521</v>
      </c>
      <c r="D3397" s="255" t="s">
        <v>23841</v>
      </c>
      <c r="E3397" s="253" t="s">
        <v>170</v>
      </c>
    </row>
    <row r="3398" spans="1:5" ht="45">
      <c r="A3398" s="254">
        <v>42430</v>
      </c>
      <c r="B3398" s="254" t="s">
        <v>23842</v>
      </c>
      <c r="C3398" s="254" t="s">
        <v>4521</v>
      </c>
      <c r="D3398" s="255" t="s">
        <v>23843</v>
      </c>
      <c r="E3398" s="253" t="s">
        <v>170</v>
      </c>
    </row>
    <row r="3399" spans="1:5" ht="15">
      <c r="A3399" s="254">
        <v>4214</v>
      </c>
      <c r="B3399" s="254" t="s">
        <v>23844</v>
      </c>
      <c r="C3399" s="254" t="s">
        <v>4521</v>
      </c>
      <c r="D3399" s="255" t="s">
        <v>16498</v>
      </c>
      <c r="E3399" s="253" t="s">
        <v>170</v>
      </c>
    </row>
    <row r="3400" spans="1:5" ht="15">
      <c r="A3400" s="254">
        <v>4215</v>
      </c>
      <c r="B3400" s="254" t="s">
        <v>23845</v>
      </c>
      <c r="C3400" s="254" t="s">
        <v>4521</v>
      </c>
      <c r="D3400" s="255" t="s">
        <v>19792</v>
      </c>
      <c r="E3400" s="253" t="s">
        <v>170</v>
      </c>
    </row>
    <row r="3401" spans="1:5" ht="15">
      <c r="A3401" s="254">
        <v>4210</v>
      </c>
      <c r="B3401" s="254" t="s">
        <v>23846</v>
      </c>
      <c r="C3401" s="254" t="s">
        <v>4521</v>
      </c>
      <c r="D3401" s="255" t="s">
        <v>14366</v>
      </c>
      <c r="E3401" s="253" t="s">
        <v>170</v>
      </c>
    </row>
    <row r="3402" spans="1:5" ht="15">
      <c r="A3402" s="254">
        <v>4212</v>
      </c>
      <c r="B3402" s="254" t="s">
        <v>23847</v>
      </c>
      <c r="C3402" s="254" t="s">
        <v>4521</v>
      </c>
      <c r="D3402" s="255" t="s">
        <v>19884</v>
      </c>
      <c r="E3402" s="253" t="s">
        <v>170</v>
      </c>
    </row>
    <row r="3403" spans="1:5" ht="15">
      <c r="A3403" s="254">
        <v>4213</v>
      </c>
      <c r="B3403" s="254" t="s">
        <v>23848</v>
      </c>
      <c r="C3403" s="254" t="s">
        <v>4521</v>
      </c>
      <c r="D3403" s="255" t="s">
        <v>14312</v>
      </c>
      <c r="E3403" s="253" t="s">
        <v>170</v>
      </c>
    </row>
    <row r="3404" spans="1:5" ht="15">
      <c r="A3404" s="254">
        <v>4211</v>
      </c>
      <c r="B3404" s="254" t="s">
        <v>23849</v>
      </c>
      <c r="C3404" s="254" t="s">
        <v>4521</v>
      </c>
      <c r="D3404" s="255" t="s">
        <v>19224</v>
      </c>
      <c r="E3404" s="253" t="s">
        <v>170</v>
      </c>
    </row>
    <row r="3405" spans="1:5" ht="15">
      <c r="A3405" s="254">
        <v>4209</v>
      </c>
      <c r="B3405" s="254" t="s">
        <v>23850</v>
      </c>
      <c r="C3405" s="254" t="s">
        <v>4521</v>
      </c>
      <c r="D3405" s="255" t="s">
        <v>22793</v>
      </c>
      <c r="E3405" s="253" t="s">
        <v>170</v>
      </c>
    </row>
    <row r="3406" spans="1:5" ht="15">
      <c r="A3406" s="254">
        <v>4180</v>
      </c>
      <c r="B3406" s="254" t="s">
        <v>23851</v>
      </c>
      <c r="C3406" s="254" t="s">
        <v>4521</v>
      </c>
      <c r="D3406" s="255" t="s">
        <v>13754</v>
      </c>
      <c r="E3406" s="253" t="s">
        <v>170</v>
      </c>
    </row>
    <row r="3407" spans="1:5" ht="15">
      <c r="A3407" s="254">
        <v>4177</v>
      </c>
      <c r="B3407" s="254" t="s">
        <v>23852</v>
      </c>
      <c r="C3407" s="254" t="s">
        <v>4521</v>
      </c>
      <c r="D3407" s="255" t="s">
        <v>14194</v>
      </c>
      <c r="E3407" s="253" t="s">
        <v>170</v>
      </c>
    </row>
    <row r="3408" spans="1:5" ht="15">
      <c r="A3408" s="254">
        <v>4179</v>
      </c>
      <c r="B3408" s="254" t="s">
        <v>23853</v>
      </c>
      <c r="C3408" s="254" t="s">
        <v>4521</v>
      </c>
      <c r="D3408" s="255" t="s">
        <v>23854</v>
      </c>
      <c r="E3408" s="253" t="s">
        <v>170</v>
      </c>
    </row>
    <row r="3409" spans="1:5" ht="15">
      <c r="A3409" s="254">
        <v>4208</v>
      </c>
      <c r="B3409" s="254" t="s">
        <v>23855</v>
      </c>
      <c r="C3409" s="254" t="s">
        <v>4521</v>
      </c>
      <c r="D3409" s="255" t="s">
        <v>20086</v>
      </c>
      <c r="E3409" s="253" t="s">
        <v>170</v>
      </c>
    </row>
    <row r="3410" spans="1:5" ht="15">
      <c r="A3410" s="254">
        <v>4181</v>
      </c>
      <c r="B3410" s="254" t="s">
        <v>23856</v>
      </c>
      <c r="C3410" s="254" t="s">
        <v>4521</v>
      </c>
      <c r="D3410" s="255" t="s">
        <v>23857</v>
      </c>
      <c r="E3410" s="253" t="s">
        <v>170</v>
      </c>
    </row>
    <row r="3411" spans="1:5" ht="15">
      <c r="A3411" s="254">
        <v>4178</v>
      </c>
      <c r="B3411" s="254" t="s">
        <v>23858</v>
      </c>
      <c r="C3411" s="254" t="s">
        <v>4521</v>
      </c>
      <c r="D3411" s="255" t="s">
        <v>18853</v>
      </c>
      <c r="E3411" s="253" t="s">
        <v>170</v>
      </c>
    </row>
    <row r="3412" spans="1:5" ht="15">
      <c r="A3412" s="254">
        <v>4182</v>
      </c>
      <c r="B3412" s="254" t="s">
        <v>23859</v>
      </c>
      <c r="C3412" s="254" t="s">
        <v>4521</v>
      </c>
      <c r="D3412" s="255" t="s">
        <v>23860</v>
      </c>
      <c r="E3412" s="253" t="s">
        <v>170</v>
      </c>
    </row>
    <row r="3413" spans="1:5" ht="15">
      <c r="A3413" s="254">
        <v>4183</v>
      </c>
      <c r="B3413" s="254" t="s">
        <v>23861</v>
      </c>
      <c r="C3413" s="254" t="s">
        <v>4521</v>
      </c>
      <c r="D3413" s="255" t="s">
        <v>23862</v>
      </c>
      <c r="E3413" s="253" t="s">
        <v>170</v>
      </c>
    </row>
    <row r="3414" spans="1:5" ht="15">
      <c r="A3414" s="254">
        <v>4184</v>
      </c>
      <c r="B3414" s="254" t="s">
        <v>23863</v>
      </c>
      <c r="C3414" s="254" t="s">
        <v>4521</v>
      </c>
      <c r="D3414" s="255" t="s">
        <v>23864</v>
      </c>
      <c r="E3414" s="253" t="s">
        <v>170</v>
      </c>
    </row>
    <row r="3415" spans="1:5" ht="15">
      <c r="A3415" s="254">
        <v>4185</v>
      </c>
      <c r="B3415" s="254" t="s">
        <v>23865</v>
      </c>
      <c r="C3415" s="254" t="s">
        <v>4521</v>
      </c>
      <c r="D3415" s="255" t="s">
        <v>23866</v>
      </c>
      <c r="E3415" s="253" t="s">
        <v>170</v>
      </c>
    </row>
    <row r="3416" spans="1:5" ht="15">
      <c r="A3416" s="254">
        <v>4205</v>
      </c>
      <c r="B3416" s="254" t="s">
        <v>23867</v>
      </c>
      <c r="C3416" s="254" t="s">
        <v>4521</v>
      </c>
      <c r="D3416" s="255" t="s">
        <v>23868</v>
      </c>
      <c r="E3416" s="253" t="s">
        <v>170</v>
      </c>
    </row>
    <row r="3417" spans="1:5" ht="15">
      <c r="A3417" s="254">
        <v>4192</v>
      </c>
      <c r="B3417" s="254" t="s">
        <v>23869</v>
      </c>
      <c r="C3417" s="254" t="s">
        <v>4521</v>
      </c>
      <c r="D3417" s="255" t="s">
        <v>23868</v>
      </c>
      <c r="E3417" s="253" t="s">
        <v>170</v>
      </c>
    </row>
    <row r="3418" spans="1:5" ht="15">
      <c r="A3418" s="254">
        <v>4191</v>
      </c>
      <c r="B3418" s="254" t="s">
        <v>23870</v>
      </c>
      <c r="C3418" s="254" t="s">
        <v>4521</v>
      </c>
      <c r="D3418" s="255" t="s">
        <v>23868</v>
      </c>
      <c r="E3418" s="253" t="s">
        <v>170</v>
      </c>
    </row>
    <row r="3419" spans="1:5" ht="15">
      <c r="A3419" s="254">
        <v>4207</v>
      </c>
      <c r="B3419" s="254" t="s">
        <v>23871</v>
      </c>
      <c r="C3419" s="254" t="s">
        <v>4521</v>
      </c>
      <c r="D3419" s="255" t="s">
        <v>15871</v>
      </c>
      <c r="E3419" s="253" t="s">
        <v>170</v>
      </c>
    </row>
    <row r="3420" spans="1:5" ht="15">
      <c r="A3420" s="254">
        <v>4206</v>
      </c>
      <c r="B3420" s="254" t="s">
        <v>23872</v>
      </c>
      <c r="C3420" s="254" t="s">
        <v>4521</v>
      </c>
      <c r="D3420" s="255" t="s">
        <v>23873</v>
      </c>
      <c r="E3420" s="253" t="s">
        <v>170</v>
      </c>
    </row>
    <row r="3421" spans="1:5" ht="15">
      <c r="A3421" s="254">
        <v>4190</v>
      </c>
      <c r="B3421" s="254" t="s">
        <v>23874</v>
      </c>
      <c r="C3421" s="254" t="s">
        <v>4521</v>
      </c>
      <c r="D3421" s="255" t="s">
        <v>23873</v>
      </c>
      <c r="E3421" s="253" t="s">
        <v>170</v>
      </c>
    </row>
    <row r="3422" spans="1:5" ht="15">
      <c r="A3422" s="254">
        <v>4186</v>
      </c>
      <c r="B3422" s="254" t="s">
        <v>23875</v>
      </c>
      <c r="C3422" s="254" t="s">
        <v>4521</v>
      </c>
      <c r="D3422" s="256" t="s">
        <v>16477</v>
      </c>
      <c r="E3422" s="253" t="s">
        <v>170</v>
      </c>
    </row>
    <row r="3423" spans="1:5" ht="15">
      <c r="A3423" s="254">
        <v>4188</v>
      </c>
      <c r="B3423" s="254" t="s">
        <v>23876</v>
      </c>
      <c r="C3423" s="254" t="s">
        <v>4521</v>
      </c>
      <c r="D3423" s="255" t="s">
        <v>15454</v>
      </c>
      <c r="E3423" s="253" t="s">
        <v>170</v>
      </c>
    </row>
    <row r="3424" spans="1:5" ht="15">
      <c r="A3424" s="254">
        <v>4189</v>
      </c>
      <c r="B3424" s="254" t="s">
        <v>23877</v>
      </c>
      <c r="C3424" s="254" t="s">
        <v>4521</v>
      </c>
      <c r="D3424" s="255" t="s">
        <v>15454</v>
      </c>
      <c r="E3424" s="253" t="s">
        <v>170</v>
      </c>
    </row>
    <row r="3425" spans="1:5" ht="15">
      <c r="A3425" s="254">
        <v>4197</v>
      </c>
      <c r="B3425" s="254" t="s">
        <v>23878</v>
      </c>
      <c r="C3425" s="254" t="s">
        <v>4521</v>
      </c>
      <c r="D3425" s="255" t="s">
        <v>15365</v>
      </c>
      <c r="E3425" s="253" t="s">
        <v>170</v>
      </c>
    </row>
    <row r="3426" spans="1:5" ht="15">
      <c r="A3426" s="254">
        <v>4194</v>
      </c>
      <c r="B3426" s="254" t="s">
        <v>23879</v>
      </c>
      <c r="C3426" s="254" t="s">
        <v>4521</v>
      </c>
      <c r="D3426" s="255" t="s">
        <v>14404</v>
      </c>
      <c r="E3426" s="253" t="s">
        <v>170</v>
      </c>
    </row>
    <row r="3427" spans="1:5" ht="15">
      <c r="A3427" s="254">
        <v>4193</v>
      </c>
      <c r="B3427" s="254" t="s">
        <v>23880</v>
      </c>
      <c r="C3427" s="254" t="s">
        <v>4521</v>
      </c>
      <c r="D3427" s="255" t="s">
        <v>14404</v>
      </c>
      <c r="E3427" s="253" t="s">
        <v>170</v>
      </c>
    </row>
    <row r="3428" spans="1:5" ht="15">
      <c r="A3428" s="254">
        <v>4204</v>
      </c>
      <c r="B3428" s="254" t="s">
        <v>23881</v>
      </c>
      <c r="C3428" s="254" t="s">
        <v>4521</v>
      </c>
      <c r="D3428" s="255" t="s">
        <v>14404</v>
      </c>
      <c r="E3428" s="253" t="s">
        <v>170</v>
      </c>
    </row>
    <row r="3429" spans="1:5" ht="15">
      <c r="A3429" s="254">
        <v>4187</v>
      </c>
      <c r="B3429" s="254" t="s">
        <v>23882</v>
      </c>
      <c r="C3429" s="254" t="s">
        <v>4521</v>
      </c>
      <c r="D3429" s="255" t="s">
        <v>14276</v>
      </c>
      <c r="E3429" s="253" t="s">
        <v>170</v>
      </c>
    </row>
    <row r="3430" spans="1:5" ht="15">
      <c r="A3430" s="254">
        <v>4202</v>
      </c>
      <c r="B3430" s="254" t="s">
        <v>23883</v>
      </c>
      <c r="C3430" s="254" t="s">
        <v>4521</v>
      </c>
      <c r="D3430" s="255" t="s">
        <v>18518</v>
      </c>
      <c r="E3430" s="253" t="s">
        <v>170</v>
      </c>
    </row>
    <row r="3431" spans="1:5" ht="15">
      <c r="A3431" s="254">
        <v>4203</v>
      </c>
      <c r="B3431" s="254" t="s">
        <v>23884</v>
      </c>
      <c r="C3431" s="254" t="s">
        <v>4521</v>
      </c>
      <c r="D3431" s="255" t="s">
        <v>23885</v>
      </c>
      <c r="E3431" s="253" t="s">
        <v>170</v>
      </c>
    </row>
    <row r="3432" spans="1:5" ht="30">
      <c r="A3432" s="254">
        <v>40368</v>
      </c>
      <c r="B3432" s="254" t="s">
        <v>23886</v>
      </c>
      <c r="C3432" s="254" t="s">
        <v>4521</v>
      </c>
      <c r="D3432" s="255" t="s">
        <v>16808</v>
      </c>
      <c r="E3432" s="253" t="s">
        <v>170</v>
      </c>
    </row>
    <row r="3433" spans="1:5" ht="30">
      <c r="A3433" s="254">
        <v>40365</v>
      </c>
      <c r="B3433" s="254" t="s">
        <v>23887</v>
      </c>
      <c r="C3433" s="254" t="s">
        <v>4521</v>
      </c>
      <c r="D3433" s="255" t="s">
        <v>15942</v>
      </c>
      <c r="E3433" s="253" t="s">
        <v>170</v>
      </c>
    </row>
    <row r="3434" spans="1:5" ht="15">
      <c r="A3434" s="254">
        <v>40356</v>
      </c>
      <c r="B3434" s="254" t="s">
        <v>23888</v>
      </c>
      <c r="C3434" s="254" t="s">
        <v>4521</v>
      </c>
      <c r="D3434" s="255" t="s">
        <v>15222</v>
      </c>
      <c r="E3434" s="253" t="s">
        <v>170</v>
      </c>
    </row>
    <row r="3435" spans="1:5" ht="15">
      <c r="A3435" s="254">
        <v>40362</v>
      </c>
      <c r="B3435" s="254" t="s">
        <v>23889</v>
      </c>
      <c r="C3435" s="254" t="s">
        <v>4521</v>
      </c>
      <c r="D3435" s="255" t="s">
        <v>13547</v>
      </c>
      <c r="E3435" s="253" t="s">
        <v>170</v>
      </c>
    </row>
    <row r="3436" spans="1:5" ht="30">
      <c r="A3436" s="254">
        <v>40374</v>
      </c>
      <c r="B3436" s="254" t="s">
        <v>23890</v>
      </c>
      <c r="C3436" s="254" t="s">
        <v>4521</v>
      </c>
      <c r="D3436" s="255" t="s">
        <v>23891</v>
      </c>
      <c r="E3436" s="253" t="s">
        <v>170</v>
      </c>
    </row>
    <row r="3437" spans="1:5" ht="15">
      <c r="A3437" s="254">
        <v>40371</v>
      </c>
      <c r="B3437" s="254" t="s">
        <v>23892</v>
      </c>
      <c r="C3437" s="254" t="s">
        <v>4521</v>
      </c>
      <c r="D3437" s="255" t="s">
        <v>23893</v>
      </c>
      <c r="E3437" s="253" t="s">
        <v>170</v>
      </c>
    </row>
    <row r="3438" spans="1:5" ht="15">
      <c r="A3438" s="254">
        <v>40359</v>
      </c>
      <c r="B3438" s="254" t="s">
        <v>23894</v>
      </c>
      <c r="C3438" s="254" t="s">
        <v>4521</v>
      </c>
      <c r="D3438" s="255" t="s">
        <v>14479</v>
      </c>
      <c r="E3438" s="253" t="s">
        <v>170</v>
      </c>
    </row>
    <row r="3439" spans="1:5" ht="15">
      <c r="A3439" s="254">
        <v>7595</v>
      </c>
      <c r="B3439" s="254" t="s">
        <v>23895</v>
      </c>
      <c r="C3439" s="254" t="s">
        <v>4520</v>
      </c>
      <c r="D3439" s="255" t="s">
        <v>19667</v>
      </c>
      <c r="E3439" s="253" t="s">
        <v>8722</v>
      </c>
    </row>
    <row r="3440" spans="1:5" ht="15">
      <c r="A3440" s="254">
        <v>41094</v>
      </c>
      <c r="B3440" s="254" t="s">
        <v>23896</v>
      </c>
      <c r="C3440" s="254" t="s">
        <v>4528</v>
      </c>
      <c r="D3440" s="255" t="s">
        <v>23897</v>
      </c>
      <c r="E3440" s="253" t="s">
        <v>8722</v>
      </c>
    </row>
    <row r="3441" spans="1:5" ht="30">
      <c r="A3441" s="254">
        <v>38175</v>
      </c>
      <c r="B3441" s="254" t="s">
        <v>23898</v>
      </c>
      <c r="C3441" s="254" t="s">
        <v>4521</v>
      </c>
      <c r="D3441" s="255" t="s">
        <v>13897</v>
      </c>
      <c r="E3441" s="253" t="s">
        <v>170</v>
      </c>
    </row>
    <row r="3442" spans="1:5" ht="30">
      <c r="A3442" s="254">
        <v>38176</v>
      </c>
      <c r="B3442" s="254" t="s">
        <v>23899</v>
      </c>
      <c r="C3442" s="254" t="s">
        <v>4521</v>
      </c>
      <c r="D3442" s="255" t="s">
        <v>18760</v>
      </c>
      <c r="E3442" s="253" t="s">
        <v>170</v>
      </c>
    </row>
    <row r="3443" spans="1:5" ht="30">
      <c r="A3443" s="254">
        <v>36152</v>
      </c>
      <c r="B3443" s="254" t="s">
        <v>23900</v>
      </c>
      <c r="C3443" s="254" t="s">
        <v>4521</v>
      </c>
      <c r="D3443" s="255" t="s">
        <v>23638</v>
      </c>
      <c r="E3443" s="253" t="s">
        <v>170</v>
      </c>
    </row>
    <row r="3444" spans="1:5" ht="15">
      <c r="A3444" s="254">
        <v>11138</v>
      </c>
      <c r="B3444" s="254" t="s">
        <v>23901</v>
      </c>
      <c r="C3444" s="254" t="s">
        <v>4526</v>
      </c>
      <c r="D3444" s="255" t="s">
        <v>14322</v>
      </c>
      <c r="E3444" s="253" t="s">
        <v>170</v>
      </c>
    </row>
    <row r="3445" spans="1:5" ht="15">
      <c r="A3445" s="254">
        <v>5333</v>
      </c>
      <c r="B3445" s="254" t="s">
        <v>23902</v>
      </c>
      <c r="C3445" s="254" t="s">
        <v>4526</v>
      </c>
      <c r="D3445" s="255" t="s">
        <v>23903</v>
      </c>
      <c r="E3445" s="253" t="s">
        <v>170</v>
      </c>
    </row>
    <row r="3446" spans="1:5" ht="15">
      <c r="A3446" s="254">
        <v>4221</v>
      </c>
      <c r="B3446" s="254" t="s">
        <v>23904</v>
      </c>
      <c r="C3446" s="254" t="s">
        <v>4526</v>
      </c>
      <c r="D3446" s="255" t="s">
        <v>14242</v>
      </c>
      <c r="E3446" s="253" t="s">
        <v>170</v>
      </c>
    </row>
    <row r="3447" spans="1:5" ht="30">
      <c r="A3447" s="254">
        <v>4227</v>
      </c>
      <c r="B3447" s="254" t="s">
        <v>23905</v>
      </c>
      <c r="C3447" s="254" t="s">
        <v>4526</v>
      </c>
      <c r="D3447" s="255" t="s">
        <v>23906</v>
      </c>
      <c r="E3447" s="253" t="s">
        <v>170</v>
      </c>
    </row>
    <row r="3448" spans="1:5" ht="30">
      <c r="A3448" s="254">
        <v>38170</v>
      </c>
      <c r="B3448" s="254" t="s">
        <v>23907</v>
      </c>
      <c r="C3448" s="254" t="s">
        <v>4521</v>
      </c>
      <c r="D3448" s="255" t="s">
        <v>14271</v>
      </c>
      <c r="E3448" s="253" t="s">
        <v>170</v>
      </c>
    </row>
    <row r="3449" spans="1:5" ht="15">
      <c r="A3449" s="254">
        <v>4252</v>
      </c>
      <c r="B3449" s="254" t="s">
        <v>23908</v>
      </c>
      <c r="C3449" s="254" t="s">
        <v>4520</v>
      </c>
      <c r="D3449" s="255" t="s">
        <v>15802</v>
      </c>
      <c r="E3449" s="253" t="s">
        <v>8722</v>
      </c>
    </row>
    <row r="3450" spans="1:5" ht="15">
      <c r="A3450" s="254">
        <v>40980</v>
      </c>
      <c r="B3450" s="254" t="s">
        <v>23909</v>
      </c>
      <c r="C3450" s="254" t="s">
        <v>4528</v>
      </c>
      <c r="D3450" s="255" t="s">
        <v>23910</v>
      </c>
      <c r="E3450" s="253" t="s">
        <v>8722</v>
      </c>
    </row>
    <row r="3451" spans="1:5" ht="15">
      <c r="A3451" s="254">
        <v>4243</v>
      </c>
      <c r="B3451" s="254" t="s">
        <v>23911</v>
      </c>
      <c r="C3451" s="254" t="s">
        <v>4520</v>
      </c>
      <c r="D3451" s="255" t="s">
        <v>20132</v>
      </c>
      <c r="E3451" s="253" t="s">
        <v>8722</v>
      </c>
    </row>
    <row r="3452" spans="1:5" ht="15">
      <c r="A3452" s="254">
        <v>41031</v>
      </c>
      <c r="B3452" s="254" t="s">
        <v>23912</v>
      </c>
      <c r="C3452" s="254" t="s">
        <v>4528</v>
      </c>
      <c r="D3452" s="255" t="s">
        <v>23913</v>
      </c>
      <c r="E3452" s="253" t="s">
        <v>8722</v>
      </c>
    </row>
    <row r="3453" spans="1:5" ht="15">
      <c r="A3453" s="254">
        <v>37666</v>
      </c>
      <c r="B3453" s="254" t="s">
        <v>23914</v>
      </c>
      <c r="C3453" s="254" t="s">
        <v>4520</v>
      </c>
      <c r="D3453" s="255" t="s">
        <v>22224</v>
      </c>
      <c r="E3453" s="253" t="s">
        <v>8722</v>
      </c>
    </row>
    <row r="3454" spans="1:5" ht="15">
      <c r="A3454" s="254">
        <v>40986</v>
      </c>
      <c r="B3454" s="254" t="s">
        <v>23915</v>
      </c>
      <c r="C3454" s="254" t="s">
        <v>4528</v>
      </c>
      <c r="D3454" s="255" t="s">
        <v>23916</v>
      </c>
      <c r="E3454" s="253" t="s">
        <v>8722</v>
      </c>
    </row>
    <row r="3455" spans="1:5" ht="15">
      <c r="A3455" s="254">
        <v>4250</v>
      </c>
      <c r="B3455" s="254" t="s">
        <v>23917</v>
      </c>
      <c r="C3455" s="254" t="s">
        <v>4520</v>
      </c>
      <c r="D3455" s="255" t="s">
        <v>14444</v>
      </c>
      <c r="E3455" s="253" t="s">
        <v>8722</v>
      </c>
    </row>
    <row r="3456" spans="1:5" ht="15">
      <c r="A3456" s="254">
        <v>40978</v>
      </c>
      <c r="B3456" s="254" t="s">
        <v>23918</v>
      </c>
      <c r="C3456" s="254" t="s">
        <v>4528</v>
      </c>
      <c r="D3456" s="255" t="s">
        <v>23919</v>
      </c>
      <c r="E3456" s="253" t="s">
        <v>8722</v>
      </c>
    </row>
    <row r="3457" spans="1:5" ht="15">
      <c r="A3457" s="254">
        <v>25960</v>
      </c>
      <c r="B3457" s="254" t="s">
        <v>23920</v>
      </c>
      <c r="C3457" s="254" t="s">
        <v>4520</v>
      </c>
      <c r="D3457" s="255" t="s">
        <v>15776</v>
      </c>
      <c r="E3457" s="253" t="s">
        <v>8722</v>
      </c>
    </row>
    <row r="3458" spans="1:5" ht="15">
      <c r="A3458" s="254">
        <v>41043</v>
      </c>
      <c r="B3458" s="254" t="s">
        <v>23921</v>
      </c>
      <c r="C3458" s="254" t="s">
        <v>4528</v>
      </c>
      <c r="D3458" s="255" t="s">
        <v>23922</v>
      </c>
      <c r="E3458" s="253" t="s">
        <v>8722</v>
      </c>
    </row>
    <row r="3459" spans="1:5" ht="15">
      <c r="A3459" s="254">
        <v>4234</v>
      </c>
      <c r="B3459" s="254" t="s">
        <v>23923</v>
      </c>
      <c r="C3459" s="254" t="s">
        <v>4520</v>
      </c>
      <c r="D3459" s="255" t="s">
        <v>19250</v>
      </c>
      <c r="E3459" s="253" t="s">
        <v>8722</v>
      </c>
    </row>
    <row r="3460" spans="1:5" ht="15">
      <c r="A3460" s="254">
        <v>40987</v>
      </c>
      <c r="B3460" s="254" t="s">
        <v>23924</v>
      </c>
      <c r="C3460" s="254" t="s">
        <v>4528</v>
      </c>
      <c r="D3460" s="255" t="s">
        <v>19252</v>
      </c>
      <c r="E3460" s="253" t="s">
        <v>8722</v>
      </c>
    </row>
    <row r="3461" spans="1:5" ht="15">
      <c r="A3461" s="254">
        <v>4253</v>
      </c>
      <c r="B3461" s="254" t="s">
        <v>23925</v>
      </c>
      <c r="C3461" s="254" t="s">
        <v>4520</v>
      </c>
      <c r="D3461" s="255" t="s">
        <v>16534</v>
      </c>
      <c r="E3461" s="253" t="s">
        <v>8722</v>
      </c>
    </row>
    <row r="3462" spans="1:5" ht="15">
      <c r="A3462" s="254">
        <v>40981</v>
      </c>
      <c r="B3462" s="254" t="s">
        <v>23926</v>
      </c>
      <c r="C3462" s="254" t="s">
        <v>4528</v>
      </c>
      <c r="D3462" s="255" t="s">
        <v>19289</v>
      </c>
      <c r="E3462" s="253" t="s">
        <v>8722</v>
      </c>
    </row>
    <row r="3463" spans="1:5" ht="15">
      <c r="A3463" s="254">
        <v>4254</v>
      </c>
      <c r="B3463" s="254" t="s">
        <v>23927</v>
      </c>
      <c r="C3463" s="254" t="s">
        <v>4520</v>
      </c>
      <c r="D3463" s="255" t="s">
        <v>16534</v>
      </c>
      <c r="E3463" s="253" t="s">
        <v>8722</v>
      </c>
    </row>
    <row r="3464" spans="1:5" ht="15">
      <c r="A3464" s="254">
        <v>41036</v>
      </c>
      <c r="B3464" s="254" t="s">
        <v>23928</v>
      </c>
      <c r="C3464" s="254" t="s">
        <v>4528</v>
      </c>
      <c r="D3464" s="255" t="s">
        <v>19289</v>
      </c>
      <c r="E3464" s="253" t="s">
        <v>8722</v>
      </c>
    </row>
    <row r="3465" spans="1:5" ht="15">
      <c r="A3465" s="254">
        <v>4251</v>
      </c>
      <c r="B3465" s="254" t="s">
        <v>23929</v>
      </c>
      <c r="C3465" s="254" t="s">
        <v>4520</v>
      </c>
      <c r="D3465" s="255" t="s">
        <v>20319</v>
      </c>
      <c r="E3465" s="253" t="s">
        <v>8722</v>
      </c>
    </row>
    <row r="3466" spans="1:5" ht="15">
      <c r="A3466" s="254">
        <v>40979</v>
      </c>
      <c r="B3466" s="254" t="s">
        <v>23930</v>
      </c>
      <c r="C3466" s="254" t="s">
        <v>4528</v>
      </c>
      <c r="D3466" s="256" t="s">
        <v>23931</v>
      </c>
      <c r="E3466" s="253" t="s">
        <v>8722</v>
      </c>
    </row>
    <row r="3467" spans="1:5" ht="15">
      <c r="A3467" s="254">
        <v>4230</v>
      </c>
      <c r="B3467" s="254" t="s">
        <v>23932</v>
      </c>
      <c r="C3467" s="254" t="s">
        <v>4520</v>
      </c>
      <c r="D3467" s="256" t="s">
        <v>14444</v>
      </c>
      <c r="E3467" s="253" t="s">
        <v>8722</v>
      </c>
    </row>
    <row r="3468" spans="1:5" ht="15">
      <c r="A3468" s="254">
        <v>40998</v>
      </c>
      <c r="B3468" s="254" t="s">
        <v>23933</v>
      </c>
      <c r="C3468" s="254" t="s">
        <v>4528</v>
      </c>
      <c r="D3468" s="256" t="s">
        <v>23934</v>
      </c>
      <c r="E3468" s="253" t="s">
        <v>8722</v>
      </c>
    </row>
    <row r="3469" spans="1:5" ht="15">
      <c r="A3469" s="254">
        <v>4257</v>
      </c>
      <c r="B3469" s="254" t="s">
        <v>23935</v>
      </c>
      <c r="C3469" s="254" t="s">
        <v>4520</v>
      </c>
      <c r="D3469" s="256" t="s">
        <v>23936</v>
      </c>
      <c r="E3469" s="253" t="s">
        <v>8722</v>
      </c>
    </row>
    <row r="3470" spans="1:5" ht="15">
      <c r="A3470" s="254">
        <v>40982</v>
      </c>
      <c r="B3470" s="254" t="s">
        <v>23937</v>
      </c>
      <c r="C3470" s="254" t="s">
        <v>4528</v>
      </c>
      <c r="D3470" s="256" t="s">
        <v>23938</v>
      </c>
      <c r="E3470" s="253" t="s">
        <v>8722</v>
      </c>
    </row>
    <row r="3471" spans="1:5" ht="15">
      <c r="A3471" s="254">
        <v>4240</v>
      </c>
      <c r="B3471" s="254" t="s">
        <v>23939</v>
      </c>
      <c r="C3471" s="254" t="s">
        <v>4520</v>
      </c>
      <c r="D3471" s="256" t="s">
        <v>17930</v>
      </c>
      <c r="E3471" s="253" t="s">
        <v>8722</v>
      </c>
    </row>
    <row r="3472" spans="1:5" ht="15">
      <c r="A3472" s="254">
        <v>41026</v>
      </c>
      <c r="B3472" s="254" t="s">
        <v>23940</v>
      </c>
      <c r="C3472" s="254" t="s">
        <v>4528</v>
      </c>
      <c r="D3472" s="256" t="s">
        <v>23941</v>
      </c>
      <c r="E3472" s="253" t="s">
        <v>8722</v>
      </c>
    </row>
    <row r="3473" spans="1:5" ht="15">
      <c r="A3473" s="254">
        <v>4239</v>
      </c>
      <c r="B3473" s="254" t="s">
        <v>23942</v>
      </c>
      <c r="C3473" s="254" t="s">
        <v>4520</v>
      </c>
      <c r="D3473" s="256" t="s">
        <v>15915</v>
      </c>
      <c r="E3473" s="253" t="s">
        <v>8722</v>
      </c>
    </row>
    <row r="3474" spans="1:5" ht="15">
      <c r="A3474" s="254">
        <v>41024</v>
      </c>
      <c r="B3474" s="254" t="s">
        <v>23943</v>
      </c>
      <c r="C3474" s="254" t="s">
        <v>4528</v>
      </c>
      <c r="D3474" s="256" t="s">
        <v>23944</v>
      </c>
      <c r="E3474" s="253" t="s">
        <v>8722</v>
      </c>
    </row>
    <row r="3475" spans="1:5" ht="15">
      <c r="A3475" s="254">
        <v>4248</v>
      </c>
      <c r="B3475" s="254" t="s">
        <v>23945</v>
      </c>
      <c r="C3475" s="254" t="s">
        <v>4520</v>
      </c>
      <c r="D3475" s="256" t="s">
        <v>23946</v>
      </c>
      <c r="E3475" s="253" t="s">
        <v>8722</v>
      </c>
    </row>
    <row r="3476" spans="1:5" ht="15">
      <c r="A3476" s="254">
        <v>41033</v>
      </c>
      <c r="B3476" s="254" t="s">
        <v>23947</v>
      </c>
      <c r="C3476" s="254" t="s">
        <v>4528</v>
      </c>
      <c r="D3476" s="255" t="s">
        <v>23948</v>
      </c>
      <c r="E3476" s="253" t="s">
        <v>8722</v>
      </c>
    </row>
    <row r="3477" spans="1:5" ht="15">
      <c r="A3477" s="254">
        <v>25959</v>
      </c>
      <c r="B3477" s="254" t="s">
        <v>23949</v>
      </c>
      <c r="C3477" s="254" t="s">
        <v>4520</v>
      </c>
      <c r="D3477" s="255" t="s">
        <v>15498</v>
      </c>
      <c r="E3477" s="253" t="s">
        <v>8722</v>
      </c>
    </row>
    <row r="3478" spans="1:5" ht="15">
      <c r="A3478" s="254">
        <v>41040</v>
      </c>
      <c r="B3478" s="254" t="s">
        <v>23950</v>
      </c>
      <c r="C3478" s="254" t="s">
        <v>4528</v>
      </c>
      <c r="D3478" s="255" t="s">
        <v>23951</v>
      </c>
      <c r="E3478" s="253" t="s">
        <v>8722</v>
      </c>
    </row>
    <row r="3479" spans="1:5" ht="15">
      <c r="A3479" s="254">
        <v>4238</v>
      </c>
      <c r="B3479" s="254" t="s">
        <v>23952</v>
      </c>
      <c r="C3479" s="254" t="s">
        <v>4520</v>
      </c>
      <c r="D3479" s="255" t="s">
        <v>23953</v>
      </c>
      <c r="E3479" s="253" t="s">
        <v>8722</v>
      </c>
    </row>
    <row r="3480" spans="1:5" ht="15">
      <c r="A3480" s="254">
        <v>41012</v>
      </c>
      <c r="B3480" s="254" t="s">
        <v>23954</v>
      </c>
      <c r="C3480" s="254" t="s">
        <v>4528</v>
      </c>
      <c r="D3480" s="255" t="s">
        <v>23955</v>
      </c>
      <c r="E3480" s="253" t="s">
        <v>8722</v>
      </c>
    </row>
    <row r="3481" spans="1:5" ht="15">
      <c r="A3481" s="254">
        <v>4237</v>
      </c>
      <c r="B3481" s="254" t="s">
        <v>23956</v>
      </c>
      <c r="C3481" s="254" t="s">
        <v>4520</v>
      </c>
      <c r="D3481" s="255" t="s">
        <v>16534</v>
      </c>
      <c r="E3481" s="253" t="s">
        <v>8722</v>
      </c>
    </row>
    <row r="3482" spans="1:5" ht="15">
      <c r="A3482" s="254">
        <v>41002</v>
      </c>
      <c r="B3482" s="254" t="s">
        <v>23957</v>
      </c>
      <c r="C3482" s="254" t="s">
        <v>4528</v>
      </c>
      <c r="D3482" s="255" t="s">
        <v>19289</v>
      </c>
      <c r="E3482" s="253" t="s">
        <v>8722</v>
      </c>
    </row>
    <row r="3483" spans="1:5" ht="15">
      <c r="A3483" s="254">
        <v>4233</v>
      </c>
      <c r="B3483" s="254" t="s">
        <v>23958</v>
      </c>
      <c r="C3483" s="254" t="s">
        <v>4520</v>
      </c>
      <c r="D3483" s="255" t="s">
        <v>20838</v>
      </c>
      <c r="E3483" s="253" t="s">
        <v>8722</v>
      </c>
    </row>
    <row r="3484" spans="1:5" ht="15">
      <c r="A3484" s="254">
        <v>41001</v>
      </c>
      <c r="B3484" s="254" t="s">
        <v>23959</v>
      </c>
      <c r="C3484" s="254" t="s">
        <v>4528</v>
      </c>
      <c r="D3484" s="255" t="s">
        <v>23960</v>
      </c>
      <c r="E3484" s="253" t="s">
        <v>8722</v>
      </c>
    </row>
    <row r="3485" spans="1:5" ht="15">
      <c r="A3485" s="254">
        <v>2</v>
      </c>
      <c r="B3485" s="254" t="s">
        <v>23961</v>
      </c>
      <c r="C3485" s="254" t="s">
        <v>4522</v>
      </c>
      <c r="D3485" s="255" t="s">
        <v>21486</v>
      </c>
      <c r="E3485" s="253" t="s">
        <v>170</v>
      </c>
    </row>
    <row r="3486" spans="1:5" ht="30">
      <c r="A3486" s="254">
        <v>36517</v>
      </c>
      <c r="B3486" s="254" t="s">
        <v>23962</v>
      </c>
      <c r="C3486" s="254" t="s">
        <v>4521</v>
      </c>
      <c r="D3486" s="255" t="s">
        <v>23963</v>
      </c>
      <c r="E3486" s="253" t="s">
        <v>170</v>
      </c>
    </row>
    <row r="3487" spans="1:5" ht="30">
      <c r="A3487" s="254">
        <v>4262</v>
      </c>
      <c r="B3487" s="254" t="s">
        <v>23964</v>
      </c>
      <c r="C3487" s="254" t="s">
        <v>4521</v>
      </c>
      <c r="D3487" s="255" t="s">
        <v>23965</v>
      </c>
      <c r="E3487" s="253" t="s">
        <v>170</v>
      </c>
    </row>
    <row r="3488" spans="1:5" ht="30">
      <c r="A3488" s="254">
        <v>4263</v>
      </c>
      <c r="B3488" s="254" t="s">
        <v>23966</v>
      </c>
      <c r="C3488" s="254" t="s">
        <v>4521</v>
      </c>
      <c r="D3488" s="255" t="s">
        <v>23967</v>
      </c>
      <c r="E3488" s="253" t="s">
        <v>170</v>
      </c>
    </row>
    <row r="3489" spans="1:5" ht="30">
      <c r="A3489" s="254">
        <v>36518</v>
      </c>
      <c r="B3489" s="254" t="s">
        <v>23968</v>
      </c>
      <c r="C3489" s="254" t="s">
        <v>4521</v>
      </c>
      <c r="D3489" s="255" t="s">
        <v>23969</v>
      </c>
      <c r="E3489" s="253" t="s">
        <v>170</v>
      </c>
    </row>
    <row r="3490" spans="1:5" ht="30">
      <c r="A3490" s="254">
        <v>14221</v>
      </c>
      <c r="B3490" s="254" t="s">
        <v>23970</v>
      </c>
      <c r="C3490" s="254" t="s">
        <v>4521</v>
      </c>
      <c r="D3490" s="255" t="s">
        <v>23971</v>
      </c>
      <c r="E3490" s="253" t="s">
        <v>170</v>
      </c>
    </row>
    <row r="3491" spans="1:5" ht="15">
      <c r="A3491" s="254">
        <v>38402</v>
      </c>
      <c r="B3491" s="254" t="s">
        <v>23972</v>
      </c>
      <c r="C3491" s="254" t="s">
        <v>4521</v>
      </c>
      <c r="D3491" s="255" t="s">
        <v>16500</v>
      </c>
      <c r="E3491" s="253" t="s">
        <v>170</v>
      </c>
    </row>
    <row r="3492" spans="1:5" ht="15">
      <c r="A3492" s="254">
        <v>3412</v>
      </c>
      <c r="B3492" s="254" t="s">
        <v>23973</v>
      </c>
      <c r="C3492" s="254" t="s">
        <v>4523</v>
      </c>
      <c r="D3492" s="255" t="s">
        <v>13547</v>
      </c>
      <c r="E3492" s="253" t="s">
        <v>170</v>
      </c>
    </row>
    <row r="3493" spans="1:5" ht="15">
      <c r="A3493" s="254">
        <v>3413</v>
      </c>
      <c r="B3493" s="254" t="s">
        <v>23974</v>
      </c>
      <c r="C3493" s="254" t="s">
        <v>4523</v>
      </c>
      <c r="D3493" s="255" t="s">
        <v>16382</v>
      </c>
      <c r="E3493" s="253" t="s">
        <v>170</v>
      </c>
    </row>
    <row r="3494" spans="1:5" ht="15">
      <c r="A3494" s="254">
        <v>39744</v>
      </c>
      <c r="B3494" s="254" t="s">
        <v>23975</v>
      </c>
      <c r="C3494" s="254" t="s">
        <v>4523</v>
      </c>
      <c r="D3494" s="255" t="s">
        <v>13891</v>
      </c>
      <c r="E3494" s="253" t="s">
        <v>170</v>
      </c>
    </row>
    <row r="3495" spans="1:5" ht="15">
      <c r="A3495" s="254">
        <v>39745</v>
      </c>
      <c r="B3495" s="254" t="s">
        <v>23976</v>
      </c>
      <c r="C3495" s="254" t="s">
        <v>4523</v>
      </c>
      <c r="D3495" s="255" t="s">
        <v>17752</v>
      </c>
      <c r="E3495" s="253" t="s">
        <v>170</v>
      </c>
    </row>
    <row r="3496" spans="1:5" ht="30">
      <c r="A3496" s="254">
        <v>39637</v>
      </c>
      <c r="B3496" s="254" t="s">
        <v>23977</v>
      </c>
      <c r="C3496" s="254" t="s">
        <v>4523</v>
      </c>
      <c r="D3496" s="255" t="s">
        <v>23978</v>
      </c>
      <c r="E3496" s="253" t="s">
        <v>170</v>
      </c>
    </row>
    <row r="3497" spans="1:5" ht="30">
      <c r="A3497" s="254">
        <v>39638</v>
      </c>
      <c r="B3497" s="254" t="s">
        <v>23979</v>
      </c>
      <c r="C3497" s="254" t="s">
        <v>4523</v>
      </c>
      <c r="D3497" s="255" t="s">
        <v>23980</v>
      </c>
      <c r="E3497" s="253" t="s">
        <v>170</v>
      </c>
    </row>
    <row r="3498" spans="1:5" ht="30">
      <c r="A3498" s="254">
        <v>39639</v>
      </c>
      <c r="B3498" s="254" t="s">
        <v>23981</v>
      </c>
      <c r="C3498" s="254" t="s">
        <v>4523</v>
      </c>
      <c r="D3498" s="255" t="s">
        <v>23982</v>
      </c>
      <c r="E3498" s="253" t="s">
        <v>170</v>
      </c>
    </row>
    <row r="3499" spans="1:5" ht="60">
      <c r="A3499" s="254">
        <v>39517</v>
      </c>
      <c r="B3499" s="254" t="s">
        <v>23983</v>
      </c>
      <c r="C3499" s="254" t="s">
        <v>4523</v>
      </c>
      <c r="D3499" s="255" t="s">
        <v>23984</v>
      </c>
      <c r="E3499" s="253" t="s">
        <v>170</v>
      </c>
    </row>
    <row r="3500" spans="1:5" ht="60">
      <c r="A3500" s="254">
        <v>39518</v>
      </c>
      <c r="B3500" s="254" t="s">
        <v>23985</v>
      </c>
      <c r="C3500" s="254" t="s">
        <v>4523</v>
      </c>
      <c r="D3500" s="255" t="s">
        <v>13578</v>
      </c>
      <c r="E3500" s="253" t="s">
        <v>170</v>
      </c>
    </row>
    <row r="3501" spans="1:5" ht="15">
      <c r="A3501" s="254">
        <v>38366</v>
      </c>
      <c r="B3501" s="254" t="s">
        <v>23986</v>
      </c>
      <c r="C3501" s="254" t="s">
        <v>4523</v>
      </c>
      <c r="D3501" s="255" t="s">
        <v>14289</v>
      </c>
      <c r="E3501" s="253" t="s">
        <v>170</v>
      </c>
    </row>
    <row r="3502" spans="1:5" ht="15">
      <c r="A3502" s="254">
        <v>11703</v>
      </c>
      <c r="B3502" s="254" t="s">
        <v>23987</v>
      </c>
      <c r="C3502" s="254" t="s">
        <v>4521</v>
      </c>
      <c r="D3502" s="255" t="s">
        <v>23988</v>
      </c>
      <c r="E3502" s="253" t="s">
        <v>170</v>
      </c>
    </row>
    <row r="3503" spans="1:5" ht="15">
      <c r="A3503" s="254">
        <v>37400</v>
      </c>
      <c r="B3503" s="254" t="s">
        <v>23989</v>
      </c>
      <c r="C3503" s="254" t="s">
        <v>4521</v>
      </c>
      <c r="D3503" s="255" t="s">
        <v>23990</v>
      </c>
      <c r="E3503" s="253" t="s">
        <v>170</v>
      </c>
    </row>
    <row r="3504" spans="1:5" ht="30">
      <c r="A3504" s="254">
        <v>25400</v>
      </c>
      <c r="B3504" s="254" t="s">
        <v>23991</v>
      </c>
      <c r="C3504" s="254" t="s">
        <v>4521</v>
      </c>
      <c r="D3504" s="255" t="s">
        <v>23992</v>
      </c>
      <c r="E3504" s="253" t="s">
        <v>170</v>
      </c>
    </row>
    <row r="3505" spans="1:5" ht="30">
      <c r="A3505" s="254">
        <v>4272</v>
      </c>
      <c r="B3505" s="254" t="s">
        <v>23993</v>
      </c>
      <c r="C3505" s="254" t="s">
        <v>4521</v>
      </c>
      <c r="D3505" s="255" t="s">
        <v>23994</v>
      </c>
      <c r="E3505" s="253" t="s">
        <v>170</v>
      </c>
    </row>
    <row r="3506" spans="1:5" ht="30">
      <c r="A3506" s="254">
        <v>4276</v>
      </c>
      <c r="B3506" s="254" t="s">
        <v>23995</v>
      </c>
      <c r="C3506" s="254" t="s">
        <v>4521</v>
      </c>
      <c r="D3506" s="255" t="s">
        <v>23996</v>
      </c>
      <c r="E3506" s="253" t="s">
        <v>170</v>
      </c>
    </row>
    <row r="3507" spans="1:5" ht="30">
      <c r="A3507" s="254">
        <v>4273</v>
      </c>
      <c r="B3507" s="254" t="s">
        <v>23997</v>
      </c>
      <c r="C3507" s="254" t="s">
        <v>4521</v>
      </c>
      <c r="D3507" s="255" t="s">
        <v>23998</v>
      </c>
      <c r="E3507" s="253" t="s">
        <v>170</v>
      </c>
    </row>
    <row r="3508" spans="1:5" ht="30">
      <c r="A3508" s="254">
        <v>4274</v>
      </c>
      <c r="B3508" s="254" t="s">
        <v>23999</v>
      </c>
      <c r="C3508" s="254" t="s">
        <v>4521</v>
      </c>
      <c r="D3508" s="255" t="s">
        <v>24000</v>
      </c>
      <c r="E3508" s="253" t="s">
        <v>170</v>
      </c>
    </row>
    <row r="3509" spans="1:5" ht="45">
      <c r="A3509" s="254">
        <v>39438</v>
      </c>
      <c r="B3509" s="254" t="s">
        <v>24001</v>
      </c>
      <c r="C3509" s="254" t="s">
        <v>4521</v>
      </c>
      <c r="D3509" s="255" t="s">
        <v>13898</v>
      </c>
      <c r="E3509" s="253" t="s">
        <v>170</v>
      </c>
    </row>
    <row r="3510" spans="1:5" ht="30">
      <c r="A3510" s="254">
        <v>11963</v>
      </c>
      <c r="B3510" s="254" t="s">
        <v>24002</v>
      </c>
      <c r="C3510" s="254" t="s">
        <v>4521</v>
      </c>
      <c r="D3510" s="255" t="s">
        <v>15772</v>
      </c>
      <c r="E3510" s="253" t="s">
        <v>170</v>
      </c>
    </row>
    <row r="3511" spans="1:5" ht="30">
      <c r="A3511" s="254">
        <v>11964</v>
      </c>
      <c r="B3511" s="254" t="s">
        <v>24003</v>
      </c>
      <c r="C3511" s="254" t="s">
        <v>4521</v>
      </c>
      <c r="D3511" s="255" t="s">
        <v>17875</v>
      </c>
      <c r="E3511" s="253" t="s">
        <v>170</v>
      </c>
    </row>
    <row r="3512" spans="1:5" ht="30">
      <c r="A3512" s="254">
        <v>4379</v>
      </c>
      <c r="B3512" s="254" t="s">
        <v>24004</v>
      </c>
      <c r="C3512" s="254" t="s">
        <v>4521</v>
      </c>
      <c r="D3512" s="255" t="s">
        <v>14231</v>
      </c>
      <c r="E3512" s="253" t="s">
        <v>170</v>
      </c>
    </row>
    <row r="3513" spans="1:5" ht="30">
      <c r="A3513" s="254">
        <v>4377</v>
      </c>
      <c r="B3513" s="254" t="s">
        <v>24005</v>
      </c>
      <c r="C3513" s="254" t="s">
        <v>4521</v>
      </c>
      <c r="D3513" s="255" t="s">
        <v>14085</v>
      </c>
      <c r="E3513" s="253" t="s">
        <v>170</v>
      </c>
    </row>
    <row r="3514" spans="1:5" ht="30">
      <c r="A3514" s="254">
        <v>4356</v>
      </c>
      <c r="B3514" s="254" t="s">
        <v>24006</v>
      </c>
      <c r="C3514" s="254" t="s">
        <v>4521</v>
      </c>
      <c r="D3514" s="255" t="s">
        <v>13898</v>
      </c>
      <c r="E3514" s="253" t="s">
        <v>170</v>
      </c>
    </row>
    <row r="3515" spans="1:5" ht="30">
      <c r="A3515" s="254">
        <v>13246</v>
      </c>
      <c r="B3515" s="254" t="s">
        <v>24007</v>
      </c>
      <c r="C3515" s="254" t="s">
        <v>4521</v>
      </c>
      <c r="D3515" s="255" t="s">
        <v>14181</v>
      </c>
      <c r="E3515" s="253" t="s">
        <v>170</v>
      </c>
    </row>
    <row r="3516" spans="1:5" ht="30">
      <c r="A3516" s="254">
        <v>4346</v>
      </c>
      <c r="B3516" s="254" t="s">
        <v>24008</v>
      </c>
      <c r="C3516" s="254" t="s">
        <v>4521</v>
      </c>
      <c r="D3516" s="255" t="s">
        <v>17028</v>
      </c>
      <c r="E3516" s="253" t="s">
        <v>170</v>
      </c>
    </row>
    <row r="3517" spans="1:5" ht="30">
      <c r="A3517" s="254">
        <v>11955</v>
      </c>
      <c r="B3517" s="254" t="s">
        <v>24009</v>
      </c>
      <c r="C3517" s="254" t="s">
        <v>4521</v>
      </c>
      <c r="D3517" s="255" t="s">
        <v>24010</v>
      </c>
      <c r="E3517" s="253" t="s">
        <v>170</v>
      </c>
    </row>
    <row r="3518" spans="1:5" ht="30">
      <c r="A3518" s="254">
        <v>11960</v>
      </c>
      <c r="B3518" s="254" t="s">
        <v>24011</v>
      </c>
      <c r="C3518" s="254" t="s">
        <v>4521</v>
      </c>
      <c r="D3518" s="255" t="s">
        <v>14374</v>
      </c>
      <c r="E3518" s="253" t="s">
        <v>170</v>
      </c>
    </row>
    <row r="3519" spans="1:5" ht="30">
      <c r="A3519" s="254">
        <v>4333</v>
      </c>
      <c r="B3519" s="254" t="s">
        <v>24012</v>
      </c>
      <c r="C3519" s="254" t="s">
        <v>4521</v>
      </c>
      <c r="D3519" s="255" t="s">
        <v>13898</v>
      </c>
      <c r="E3519" s="253" t="s">
        <v>170</v>
      </c>
    </row>
    <row r="3520" spans="1:5" ht="30">
      <c r="A3520" s="254">
        <v>4358</v>
      </c>
      <c r="B3520" s="254" t="s">
        <v>24013</v>
      </c>
      <c r="C3520" s="254" t="s">
        <v>4521</v>
      </c>
      <c r="D3520" s="255" t="s">
        <v>14285</v>
      </c>
      <c r="E3520" s="253" t="s">
        <v>170</v>
      </c>
    </row>
    <row r="3521" spans="1:5" ht="30">
      <c r="A3521" s="254">
        <v>39435</v>
      </c>
      <c r="B3521" s="254" t="s">
        <v>24014</v>
      </c>
      <c r="C3521" s="254" t="s">
        <v>4521</v>
      </c>
      <c r="D3521" s="255" t="s">
        <v>14084</v>
      </c>
      <c r="E3521" s="253" t="s">
        <v>170</v>
      </c>
    </row>
    <row r="3522" spans="1:5" ht="30">
      <c r="A3522" s="254">
        <v>39436</v>
      </c>
      <c r="B3522" s="254" t="s">
        <v>24015</v>
      </c>
      <c r="C3522" s="254" t="s">
        <v>4521</v>
      </c>
      <c r="D3522" s="255" t="s">
        <v>14082</v>
      </c>
      <c r="E3522" s="253" t="s">
        <v>170</v>
      </c>
    </row>
    <row r="3523" spans="1:5" ht="30">
      <c r="A3523" s="254">
        <v>39437</v>
      </c>
      <c r="B3523" s="254" t="s">
        <v>24016</v>
      </c>
      <c r="C3523" s="254" t="s">
        <v>4521</v>
      </c>
      <c r="D3523" s="255" t="s">
        <v>13954</v>
      </c>
      <c r="E3523" s="253" t="s">
        <v>170</v>
      </c>
    </row>
    <row r="3524" spans="1:5" ht="30">
      <c r="A3524" s="254">
        <v>39439</v>
      </c>
      <c r="B3524" s="254" t="s">
        <v>24017</v>
      </c>
      <c r="C3524" s="254" t="s">
        <v>4521</v>
      </c>
      <c r="D3524" s="255" t="s">
        <v>14374</v>
      </c>
      <c r="E3524" s="253" t="s">
        <v>170</v>
      </c>
    </row>
    <row r="3525" spans="1:5" ht="30">
      <c r="A3525" s="254">
        <v>39440</v>
      </c>
      <c r="B3525" s="254" t="s">
        <v>24018</v>
      </c>
      <c r="C3525" s="254" t="s">
        <v>4521</v>
      </c>
      <c r="D3525" s="255" t="s">
        <v>14279</v>
      </c>
      <c r="E3525" s="253" t="s">
        <v>170</v>
      </c>
    </row>
    <row r="3526" spans="1:5" ht="30">
      <c r="A3526" s="254">
        <v>39441</v>
      </c>
      <c r="B3526" s="254" t="s">
        <v>24019</v>
      </c>
      <c r="C3526" s="254" t="s">
        <v>4521</v>
      </c>
      <c r="D3526" s="255" t="s">
        <v>14041</v>
      </c>
      <c r="E3526" s="253" t="s">
        <v>170</v>
      </c>
    </row>
    <row r="3527" spans="1:5" ht="30">
      <c r="A3527" s="254">
        <v>39442</v>
      </c>
      <c r="B3527" s="254" t="s">
        <v>24020</v>
      </c>
      <c r="C3527" s="254" t="s">
        <v>4521</v>
      </c>
      <c r="D3527" s="255" t="s">
        <v>14082</v>
      </c>
      <c r="E3527" s="253" t="s">
        <v>170</v>
      </c>
    </row>
    <row r="3528" spans="1:5" ht="30">
      <c r="A3528" s="254">
        <v>39443</v>
      </c>
      <c r="B3528" s="254" t="s">
        <v>24021</v>
      </c>
      <c r="C3528" s="254" t="s">
        <v>4521</v>
      </c>
      <c r="D3528" s="255" t="s">
        <v>13954</v>
      </c>
      <c r="E3528" s="253" t="s">
        <v>170</v>
      </c>
    </row>
    <row r="3529" spans="1:5" ht="30">
      <c r="A3529" s="254">
        <v>4329</v>
      </c>
      <c r="B3529" s="254" t="s">
        <v>24022</v>
      </c>
      <c r="C3529" s="254" t="s">
        <v>4521</v>
      </c>
      <c r="D3529" s="255" t="s">
        <v>13655</v>
      </c>
      <c r="E3529" s="253" t="s">
        <v>170</v>
      </c>
    </row>
    <row r="3530" spans="1:5" ht="30">
      <c r="A3530" s="254">
        <v>4383</v>
      </c>
      <c r="B3530" s="254" t="s">
        <v>24023</v>
      </c>
      <c r="C3530" s="254" t="s">
        <v>4521</v>
      </c>
      <c r="D3530" s="255" t="s">
        <v>17941</v>
      </c>
      <c r="E3530" s="253" t="s">
        <v>170</v>
      </c>
    </row>
    <row r="3531" spans="1:5" ht="30">
      <c r="A3531" s="254">
        <v>4344</v>
      </c>
      <c r="B3531" s="254" t="s">
        <v>24024</v>
      </c>
      <c r="C3531" s="254" t="s">
        <v>4521</v>
      </c>
      <c r="D3531" s="255" t="s">
        <v>24025</v>
      </c>
      <c r="E3531" s="253" t="s">
        <v>170</v>
      </c>
    </row>
    <row r="3532" spans="1:5" ht="30">
      <c r="A3532" s="254">
        <v>436</v>
      </c>
      <c r="B3532" s="254" t="s">
        <v>24026</v>
      </c>
      <c r="C3532" s="254" t="s">
        <v>4521</v>
      </c>
      <c r="D3532" s="255" t="s">
        <v>19911</v>
      </c>
      <c r="E3532" s="253" t="s">
        <v>170</v>
      </c>
    </row>
    <row r="3533" spans="1:5" ht="30">
      <c r="A3533" s="254">
        <v>442</v>
      </c>
      <c r="B3533" s="254" t="s">
        <v>24027</v>
      </c>
      <c r="C3533" s="254" t="s">
        <v>4521</v>
      </c>
      <c r="D3533" s="256" t="s">
        <v>13760</v>
      </c>
      <c r="E3533" s="253" t="s">
        <v>170</v>
      </c>
    </row>
    <row r="3534" spans="1:5" ht="30">
      <c r="A3534" s="254">
        <v>11953</v>
      </c>
      <c r="B3534" s="254" t="s">
        <v>24028</v>
      </c>
      <c r="C3534" s="254" t="s">
        <v>4521</v>
      </c>
      <c r="D3534" s="255" t="s">
        <v>21422</v>
      </c>
      <c r="E3534" s="253" t="s">
        <v>170</v>
      </c>
    </row>
    <row r="3535" spans="1:5" ht="30">
      <c r="A3535" s="254">
        <v>4335</v>
      </c>
      <c r="B3535" s="254" t="s">
        <v>24029</v>
      </c>
      <c r="C3535" s="254" t="s">
        <v>4521</v>
      </c>
      <c r="D3535" s="255" t="s">
        <v>16968</v>
      </c>
      <c r="E3535" s="253" t="s">
        <v>170</v>
      </c>
    </row>
    <row r="3536" spans="1:5" ht="30">
      <c r="A3536" s="254">
        <v>4334</v>
      </c>
      <c r="B3536" s="254" t="s">
        <v>24030</v>
      </c>
      <c r="C3536" s="254" t="s">
        <v>4521</v>
      </c>
      <c r="D3536" s="255" t="s">
        <v>18028</v>
      </c>
      <c r="E3536" s="253" t="s">
        <v>170</v>
      </c>
    </row>
    <row r="3537" spans="1:5" ht="30">
      <c r="A3537" s="254">
        <v>4343</v>
      </c>
      <c r="B3537" s="254" t="s">
        <v>24031</v>
      </c>
      <c r="C3537" s="254" t="s">
        <v>4521</v>
      </c>
      <c r="D3537" s="255" t="s">
        <v>17672</v>
      </c>
      <c r="E3537" s="253" t="s">
        <v>170</v>
      </c>
    </row>
    <row r="3538" spans="1:5" ht="30">
      <c r="A3538" s="254">
        <v>430</v>
      </c>
      <c r="B3538" s="254" t="s">
        <v>24032</v>
      </c>
      <c r="C3538" s="254" t="s">
        <v>4521</v>
      </c>
      <c r="D3538" s="255" t="s">
        <v>17611</v>
      </c>
      <c r="E3538" s="253" t="s">
        <v>170</v>
      </c>
    </row>
    <row r="3539" spans="1:5" ht="30">
      <c r="A3539" s="254">
        <v>441</v>
      </c>
      <c r="B3539" s="254" t="s">
        <v>24033</v>
      </c>
      <c r="C3539" s="254" t="s">
        <v>4521</v>
      </c>
      <c r="D3539" s="255" t="s">
        <v>23854</v>
      </c>
      <c r="E3539" s="253" t="s">
        <v>170</v>
      </c>
    </row>
    <row r="3540" spans="1:5" ht="30">
      <c r="A3540" s="254">
        <v>431</v>
      </c>
      <c r="B3540" s="254" t="s">
        <v>24034</v>
      </c>
      <c r="C3540" s="254" t="s">
        <v>4521</v>
      </c>
      <c r="D3540" s="255" t="s">
        <v>17933</v>
      </c>
      <c r="E3540" s="253" t="s">
        <v>170</v>
      </c>
    </row>
    <row r="3541" spans="1:5" ht="30">
      <c r="A3541" s="254">
        <v>432</v>
      </c>
      <c r="B3541" s="254" t="s">
        <v>24035</v>
      </c>
      <c r="C3541" s="254" t="s">
        <v>4521</v>
      </c>
      <c r="D3541" s="255" t="s">
        <v>16475</v>
      </c>
      <c r="E3541" s="253" t="s">
        <v>170</v>
      </c>
    </row>
    <row r="3542" spans="1:5" ht="30">
      <c r="A3542" s="254">
        <v>429</v>
      </c>
      <c r="B3542" s="254" t="s">
        <v>24036</v>
      </c>
      <c r="C3542" s="254" t="s">
        <v>4521</v>
      </c>
      <c r="D3542" s="255" t="s">
        <v>24037</v>
      </c>
      <c r="E3542" s="253" t="s">
        <v>170</v>
      </c>
    </row>
    <row r="3543" spans="1:5" ht="30">
      <c r="A3543" s="254">
        <v>439</v>
      </c>
      <c r="B3543" s="254" t="s">
        <v>24038</v>
      </c>
      <c r="C3543" s="254" t="s">
        <v>4521</v>
      </c>
      <c r="D3543" s="255" t="s">
        <v>15479</v>
      </c>
      <c r="E3543" s="253" t="s">
        <v>170</v>
      </c>
    </row>
    <row r="3544" spans="1:5" ht="30">
      <c r="A3544" s="254">
        <v>433</v>
      </c>
      <c r="B3544" s="254" t="s">
        <v>24039</v>
      </c>
      <c r="C3544" s="254" t="s">
        <v>4521</v>
      </c>
      <c r="D3544" s="255" t="s">
        <v>22887</v>
      </c>
      <c r="E3544" s="253" t="s">
        <v>170</v>
      </c>
    </row>
    <row r="3545" spans="1:5" ht="30">
      <c r="A3545" s="254">
        <v>437</v>
      </c>
      <c r="B3545" s="254" t="s">
        <v>24040</v>
      </c>
      <c r="C3545" s="254" t="s">
        <v>4521</v>
      </c>
      <c r="D3545" s="255" t="s">
        <v>18843</v>
      </c>
      <c r="E3545" s="253" t="s">
        <v>170</v>
      </c>
    </row>
    <row r="3546" spans="1:5" ht="30">
      <c r="A3546" s="254">
        <v>11790</v>
      </c>
      <c r="B3546" s="254" t="s">
        <v>24041</v>
      </c>
      <c r="C3546" s="254" t="s">
        <v>4521</v>
      </c>
      <c r="D3546" s="255" t="s">
        <v>19818</v>
      </c>
      <c r="E3546" s="253" t="s">
        <v>170</v>
      </c>
    </row>
    <row r="3547" spans="1:5" ht="30">
      <c r="A3547" s="254">
        <v>428</v>
      </c>
      <c r="B3547" s="254" t="s">
        <v>24042</v>
      </c>
      <c r="C3547" s="254" t="s">
        <v>4521</v>
      </c>
      <c r="D3547" s="255" t="s">
        <v>24043</v>
      </c>
      <c r="E3547" s="253" t="s">
        <v>170</v>
      </c>
    </row>
    <row r="3548" spans="1:5" ht="30">
      <c r="A3548" s="254">
        <v>4384</v>
      </c>
      <c r="B3548" s="254" t="s">
        <v>24044</v>
      </c>
      <c r="C3548" s="254" t="s">
        <v>4521</v>
      </c>
      <c r="D3548" s="255" t="s">
        <v>16248</v>
      </c>
      <c r="E3548" s="253" t="s">
        <v>170</v>
      </c>
    </row>
    <row r="3549" spans="1:5" ht="30">
      <c r="A3549" s="254">
        <v>4351</v>
      </c>
      <c r="B3549" s="254" t="s">
        <v>24045</v>
      </c>
      <c r="C3549" s="254" t="s">
        <v>4521</v>
      </c>
      <c r="D3549" s="255" t="s">
        <v>17177</v>
      </c>
      <c r="E3549" s="253" t="s">
        <v>170</v>
      </c>
    </row>
    <row r="3550" spans="1:5" ht="30">
      <c r="A3550" s="254">
        <v>11054</v>
      </c>
      <c r="B3550" s="254" t="s">
        <v>24046</v>
      </c>
      <c r="C3550" s="254" t="s">
        <v>4521</v>
      </c>
      <c r="D3550" s="255" t="s">
        <v>14137</v>
      </c>
      <c r="E3550" s="253" t="s">
        <v>170</v>
      </c>
    </row>
    <row r="3551" spans="1:5" ht="30">
      <c r="A3551" s="254">
        <v>11055</v>
      </c>
      <c r="B3551" s="254" t="s">
        <v>24047</v>
      </c>
      <c r="C3551" s="254" t="s">
        <v>4521</v>
      </c>
      <c r="D3551" s="255" t="s">
        <v>14059</v>
      </c>
      <c r="E3551" s="253" t="s">
        <v>170</v>
      </c>
    </row>
    <row r="3552" spans="1:5" ht="30">
      <c r="A3552" s="254">
        <v>11056</v>
      </c>
      <c r="B3552" s="254" t="s">
        <v>24048</v>
      </c>
      <c r="C3552" s="254" t="s">
        <v>4521</v>
      </c>
      <c r="D3552" s="255" t="s">
        <v>14059</v>
      </c>
      <c r="E3552" s="253" t="s">
        <v>170</v>
      </c>
    </row>
    <row r="3553" spans="1:5" ht="30">
      <c r="A3553" s="254">
        <v>11057</v>
      </c>
      <c r="B3553" s="254" t="s">
        <v>24049</v>
      </c>
      <c r="C3553" s="254" t="s">
        <v>4521</v>
      </c>
      <c r="D3553" s="255" t="s">
        <v>14187</v>
      </c>
      <c r="E3553" s="253" t="s">
        <v>170</v>
      </c>
    </row>
    <row r="3554" spans="1:5" ht="30">
      <c r="A3554" s="254">
        <v>11059</v>
      </c>
      <c r="B3554" s="254" t="s">
        <v>24050</v>
      </c>
      <c r="C3554" s="254" t="s">
        <v>4521</v>
      </c>
      <c r="D3554" s="255" t="s">
        <v>18441</v>
      </c>
      <c r="E3554" s="253" t="s">
        <v>170</v>
      </c>
    </row>
    <row r="3555" spans="1:5" ht="30">
      <c r="A3555" s="254">
        <v>11058</v>
      </c>
      <c r="B3555" s="254" t="s">
        <v>24051</v>
      </c>
      <c r="C3555" s="254" t="s">
        <v>4521</v>
      </c>
      <c r="D3555" s="255" t="s">
        <v>14199</v>
      </c>
      <c r="E3555" s="253" t="s">
        <v>170</v>
      </c>
    </row>
    <row r="3556" spans="1:5" ht="15">
      <c r="A3556" s="254">
        <v>4380</v>
      </c>
      <c r="B3556" s="254" t="s">
        <v>24052</v>
      </c>
      <c r="C3556" s="254" t="s">
        <v>4521</v>
      </c>
      <c r="D3556" s="255" t="s">
        <v>14184</v>
      </c>
      <c r="E3556" s="253" t="s">
        <v>170</v>
      </c>
    </row>
    <row r="3557" spans="1:5" ht="30">
      <c r="A3557" s="254">
        <v>4299</v>
      </c>
      <c r="B3557" s="254" t="s">
        <v>24053</v>
      </c>
      <c r="C3557" s="254" t="s">
        <v>4521</v>
      </c>
      <c r="D3557" s="255" t="s">
        <v>14186</v>
      </c>
      <c r="E3557" s="253" t="s">
        <v>170</v>
      </c>
    </row>
    <row r="3558" spans="1:5" ht="30">
      <c r="A3558" s="254">
        <v>4304</v>
      </c>
      <c r="B3558" s="254" t="s">
        <v>24054</v>
      </c>
      <c r="C3558" s="254" t="s">
        <v>4521</v>
      </c>
      <c r="D3558" s="255" t="s">
        <v>13943</v>
      </c>
      <c r="E3558" s="253" t="s">
        <v>170</v>
      </c>
    </row>
    <row r="3559" spans="1:5" ht="30">
      <c r="A3559" s="254">
        <v>4305</v>
      </c>
      <c r="B3559" s="254" t="s">
        <v>24055</v>
      </c>
      <c r="C3559" s="254" t="s">
        <v>4521</v>
      </c>
      <c r="D3559" s="255" t="s">
        <v>20903</v>
      </c>
      <c r="E3559" s="253" t="s">
        <v>170</v>
      </c>
    </row>
    <row r="3560" spans="1:5" ht="30">
      <c r="A3560" s="254">
        <v>4306</v>
      </c>
      <c r="B3560" s="254" t="s">
        <v>24056</v>
      </c>
      <c r="C3560" s="254" t="s">
        <v>4521</v>
      </c>
      <c r="D3560" s="255" t="s">
        <v>24057</v>
      </c>
      <c r="E3560" s="253" t="s">
        <v>170</v>
      </c>
    </row>
    <row r="3561" spans="1:5" ht="30">
      <c r="A3561" s="254">
        <v>4308</v>
      </c>
      <c r="B3561" s="254" t="s">
        <v>24058</v>
      </c>
      <c r="C3561" s="254" t="s">
        <v>4521</v>
      </c>
      <c r="D3561" s="255" t="s">
        <v>20334</v>
      </c>
      <c r="E3561" s="253" t="s">
        <v>170</v>
      </c>
    </row>
    <row r="3562" spans="1:5" ht="30">
      <c r="A3562" s="254">
        <v>4302</v>
      </c>
      <c r="B3562" s="254" t="s">
        <v>24059</v>
      </c>
      <c r="C3562" s="254" t="s">
        <v>4521</v>
      </c>
      <c r="D3562" s="255" t="s">
        <v>14175</v>
      </c>
      <c r="E3562" s="253" t="s">
        <v>170</v>
      </c>
    </row>
    <row r="3563" spans="1:5" ht="30">
      <c r="A3563" s="254">
        <v>4300</v>
      </c>
      <c r="B3563" s="254" t="s">
        <v>24060</v>
      </c>
      <c r="C3563" s="254" t="s">
        <v>4521</v>
      </c>
      <c r="D3563" s="255" t="s">
        <v>14198</v>
      </c>
      <c r="E3563" s="253" t="s">
        <v>170</v>
      </c>
    </row>
    <row r="3564" spans="1:5" ht="30">
      <c r="A3564" s="254">
        <v>4301</v>
      </c>
      <c r="B3564" s="254" t="s">
        <v>24061</v>
      </c>
      <c r="C3564" s="254" t="s">
        <v>4521</v>
      </c>
      <c r="D3564" s="255" t="s">
        <v>14408</v>
      </c>
      <c r="E3564" s="253" t="s">
        <v>170</v>
      </c>
    </row>
    <row r="3565" spans="1:5" ht="30">
      <c r="A3565" s="254">
        <v>4320</v>
      </c>
      <c r="B3565" s="254" t="s">
        <v>24062</v>
      </c>
      <c r="C3565" s="254" t="s">
        <v>4521</v>
      </c>
      <c r="D3565" s="255" t="s">
        <v>18751</v>
      </c>
      <c r="E3565" s="253" t="s">
        <v>170</v>
      </c>
    </row>
    <row r="3566" spans="1:5" ht="30">
      <c r="A3566" s="254">
        <v>4318</v>
      </c>
      <c r="B3566" s="254" t="s">
        <v>24063</v>
      </c>
      <c r="C3566" s="254" t="s">
        <v>4521</v>
      </c>
      <c r="D3566" s="255" t="s">
        <v>18452</v>
      </c>
      <c r="E3566" s="253" t="s">
        <v>170</v>
      </c>
    </row>
    <row r="3567" spans="1:5" ht="15">
      <c r="A3567" s="254">
        <v>40547</v>
      </c>
      <c r="B3567" s="254" t="s">
        <v>24064</v>
      </c>
      <c r="C3567" s="254" t="s">
        <v>4538</v>
      </c>
      <c r="D3567" s="255" t="s">
        <v>17048</v>
      </c>
      <c r="E3567" s="253" t="s">
        <v>170</v>
      </c>
    </row>
    <row r="3568" spans="1:5" ht="30">
      <c r="A3568" s="254">
        <v>11962</v>
      </c>
      <c r="B3568" s="254" t="s">
        <v>24065</v>
      </c>
      <c r="C3568" s="254" t="s">
        <v>4521</v>
      </c>
      <c r="D3568" s="255" t="s">
        <v>14210</v>
      </c>
      <c r="E3568" s="253" t="s">
        <v>170</v>
      </c>
    </row>
    <row r="3569" spans="1:5" ht="30">
      <c r="A3569" s="254">
        <v>4332</v>
      </c>
      <c r="B3569" s="254" t="s">
        <v>24066</v>
      </c>
      <c r="C3569" s="254" t="s">
        <v>4521</v>
      </c>
      <c r="D3569" s="255" t="s">
        <v>14366</v>
      </c>
      <c r="E3569" s="253" t="s">
        <v>170</v>
      </c>
    </row>
    <row r="3570" spans="1:5" ht="30">
      <c r="A3570" s="254">
        <v>4331</v>
      </c>
      <c r="B3570" s="254" t="s">
        <v>24067</v>
      </c>
      <c r="C3570" s="254" t="s">
        <v>4521</v>
      </c>
      <c r="D3570" s="255" t="s">
        <v>15810</v>
      </c>
      <c r="E3570" s="253" t="s">
        <v>170</v>
      </c>
    </row>
    <row r="3571" spans="1:5" ht="30">
      <c r="A3571" s="254">
        <v>4336</v>
      </c>
      <c r="B3571" s="254" t="s">
        <v>24068</v>
      </c>
      <c r="C3571" s="254" t="s">
        <v>4521</v>
      </c>
      <c r="D3571" s="255" t="s">
        <v>24069</v>
      </c>
      <c r="E3571" s="253" t="s">
        <v>170</v>
      </c>
    </row>
    <row r="3572" spans="1:5" ht="30">
      <c r="A3572" s="254">
        <v>13294</v>
      </c>
      <c r="B3572" s="254" t="s">
        <v>24070</v>
      </c>
      <c r="C3572" s="254" t="s">
        <v>4521</v>
      </c>
      <c r="D3572" s="255" t="s">
        <v>13946</v>
      </c>
      <c r="E3572" s="253" t="s">
        <v>170</v>
      </c>
    </row>
    <row r="3573" spans="1:5" ht="30">
      <c r="A3573" s="254">
        <v>11948</v>
      </c>
      <c r="B3573" s="254" t="s">
        <v>24071</v>
      </c>
      <c r="C3573" s="254" t="s">
        <v>4521</v>
      </c>
      <c r="D3573" s="255" t="s">
        <v>14131</v>
      </c>
      <c r="E3573" s="253" t="s">
        <v>170</v>
      </c>
    </row>
    <row r="3574" spans="1:5" ht="30">
      <c r="A3574" s="254">
        <v>4382</v>
      </c>
      <c r="B3574" s="254" t="s">
        <v>24072</v>
      </c>
      <c r="C3574" s="254" t="s">
        <v>4521</v>
      </c>
      <c r="D3574" s="255" t="s">
        <v>14186</v>
      </c>
      <c r="E3574" s="253" t="s">
        <v>170</v>
      </c>
    </row>
    <row r="3575" spans="1:5" ht="30">
      <c r="A3575" s="254">
        <v>4354</v>
      </c>
      <c r="B3575" s="254" t="s">
        <v>24073</v>
      </c>
      <c r="C3575" s="254" t="s">
        <v>4521</v>
      </c>
      <c r="D3575" s="255" t="s">
        <v>16002</v>
      </c>
      <c r="E3575" s="253" t="s">
        <v>170</v>
      </c>
    </row>
    <row r="3576" spans="1:5" ht="30">
      <c r="A3576" s="254">
        <v>40839</v>
      </c>
      <c r="B3576" s="254" t="s">
        <v>24074</v>
      </c>
      <c r="C3576" s="254" t="s">
        <v>4538</v>
      </c>
      <c r="D3576" s="255" t="s">
        <v>24075</v>
      </c>
      <c r="E3576" s="253" t="s">
        <v>170</v>
      </c>
    </row>
    <row r="3577" spans="1:5" ht="30">
      <c r="A3577" s="254">
        <v>40552</v>
      </c>
      <c r="B3577" s="254" t="s">
        <v>24076</v>
      </c>
      <c r="C3577" s="254" t="s">
        <v>4538</v>
      </c>
      <c r="D3577" s="255" t="s">
        <v>17061</v>
      </c>
      <c r="E3577" s="253" t="s">
        <v>170</v>
      </c>
    </row>
    <row r="3578" spans="1:5" ht="30">
      <c r="A3578" s="254">
        <v>40549</v>
      </c>
      <c r="B3578" s="254" t="s">
        <v>24077</v>
      </c>
      <c r="C3578" s="254" t="s">
        <v>4538</v>
      </c>
      <c r="D3578" s="256" t="s">
        <v>24078</v>
      </c>
      <c r="E3578" s="253" t="s">
        <v>170</v>
      </c>
    </row>
    <row r="3579" spans="1:5" ht="30">
      <c r="A3579" s="254">
        <v>4385</v>
      </c>
      <c r="B3579" s="254" t="s">
        <v>24079</v>
      </c>
      <c r="C3579" s="254" t="s">
        <v>4532</v>
      </c>
      <c r="D3579" s="255" t="s">
        <v>24080</v>
      </c>
      <c r="E3579" s="253" t="s">
        <v>170</v>
      </c>
    </row>
    <row r="3580" spans="1:5" ht="15">
      <c r="A3580" s="254">
        <v>38397</v>
      </c>
      <c r="B3580" s="254" t="s">
        <v>24081</v>
      </c>
      <c r="C3580" s="254" t="s">
        <v>4525</v>
      </c>
      <c r="D3580" s="255" t="s">
        <v>24082</v>
      </c>
      <c r="E3580" s="253" t="s">
        <v>170</v>
      </c>
    </row>
    <row r="3581" spans="1:5" ht="30">
      <c r="A3581" s="254">
        <v>20078</v>
      </c>
      <c r="B3581" s="254" t="s">
        <v>24083</v>
      </c>
      <c r="C3581" s="254" t="s">
        <v>4521</v>
      </c>
      <c r="D3581" s="255" t="s">
        <v>14449</v>
      </c>
      <c r="E3581" s="253" t="s">
        <v>170</v>
      </c>
    </row>
    <row r="3582" spans="1:5" ht="30">
      <c r="A3582" s="254">
        <v>20079</v>
      </c>
      <c r="B3582" s="254" t="s">
        <v>24084</v>
      </c>
      <c r="C3582" s="254" t="s">
        <v>4521</v>
      </c>
      <c r="D3582" s="255" t="s">
        <v>24085</v>
      </c>
      <c r="E3582" s="253" t="s">
        <v>170</v>
      </c>
    </row>
    <row r="3583" spans="1:5" ht="15">
      <c r="A3583" s="254">
        <v>39897</v>
      </c>
      <c r="B3583" s="254" t="s">
        <v>24086</v>
      </c>
      <c r="C3583" s="254" t="s">
        <v>4521</v>
      </c>
      <c r="D3583" s="255" t="s">
        <v>20480</v>
      </c>
      <c r="E3583" s="253" t="s">
        <v>170</v>
      </c>
    </row>
    <row r="3584" spans="1:5" ht="15">
      <c r="A3584" s="254">
        <v>118</v>
      </c>
      <c r="B3584" s="254" t="s">
        <v>24087</v>
      </c>
      <c r="C3584" s="254" t="s">
        <v>4521</v>
      </c>
      <c r="D3584" s="255" t="s">
        <v>14577</v>
      </c>
      <c r="E3584" s="253" t="s">
        <v>170</v>
      </c>
    </row>
    <row r="3585" spans="1:5" ht="30">
      <c r="A3585" s="254">
        <v>4396</v>
      </c>
      <c r="B3585" s="254" t="s">
        <v>24088</v>
      </c>
      <c r="C3585" s="254" t="s">
        <v>4523</v>
      </c>
      <c r="D3585" s="255" t="s">
        <v>24089</v>
      </c>
      <c r="E3585" s="253" t="s">
        <v>170</v>
      </c>
    </row>
    <row r="3586" spans="1:5" ht="30">
      <c r="A3586" s="254">
        <v>36881</v>
      </c>
      <c r="B3586" s="254" t="s">
        <v>24090</v>
      </c>
      <c r="C3586" s="254" t="s">
        <v>4523</v>
      </c>
      <c r="D3586" s="255" t="s">
        <v>24091</v>
      </c>
      <c r="E3586" s="253" t="s">
        <v>170</v>
      </c>
    </row>
    <row r="3587" spans="1:5" ht="30">
      <c r="A3587" s="254">
        <v>36882</v>
      </c>
      <c r="B3587" s="254" t="s">
        <v>24092</v>
      </c>
      <c r="C3587" s="254" t="s">
        <v>4523</v>
      </c>
      <c r="D3587" s="255" t="s">
        <v>24093</v>
      </c>
      <c r="E3587" s="253" t="s">
        <v>170</v>
      </c>
    </row>
    <row r="3588" spans="1:5" ht="30">
      <c r="A3588" s="254">
        <v>4397</v>
      </c>
      <c r="B3588" s="254" t="s">
        <v>24094</v>
      </c>
      <c r="C3588" s="254" t="s">
        <v>4523</v>
      </c>
      <c r="D3588" s="255" t="s">
        <v>24095</v>
      </c>
      <c r="E3588" s="253" t="s">
        <v>170</v>
      </c>
    </row>
    <row r="3589" spans="1:5" ht="30">
      <c r="A3589" s="254">
        <v>34754</v>
      </c>
      <c r="B3589" s="254" t="s">
        <v>24096</v>
      </c>
      <c r="C3589" s="254" t="s">
        <v>4523</v>
      </c>
      <c r="D3589" s="255" t="s">
        <v>24097</v>
      </c>
      <c r="E3589" s="253" t="s">
        <v>170</v>
      </c>
    </row>
    <row r="3590" spans="1:5" ht="45">
      <c r="A3590" s="254">
        <v>25962</v>
      </c>
      <c r="B3590" s="254" t="s">
        <v>24098</v>
      </c>
      <c r="C3590" s="254" t="s">
        <v>4523</v>
      </c>
      <c r="D3590" s="255" t="s">
        <v>24099</v>
      </c>
      <c r="E3590" s="253" t="s">
        <v>170</v>
      </c>
    </row>
    <row r="3591" spans="1:5" ht="30">
      <c r="A3591" s="254">
        <v>34752</v>
      </c>
      <c r="B3591" s="254" t="s">
        <v>24100</v>
      </c>
      <c r="C3591" s="254" t="s">
        <v>4523</v>
      </c>
      <c r="D3591" s="255" t="s">
        <v>24101</v>
      </c>
      <c r="E3591" s="253" t="s">
        <v>170</v>
      </c>
    </row>
    <row r="3592" spans="1:5" ht="15">
      <c r="A3592" s="254">
        <v>4751</v>
      </c>
      <c r="B3592" s="254" t="s">
        <v>24102</v>
      </c>
      <c r="C3592" s="254" t="s">
        <v>4520</v>
      </c>
      <c r="D3592" s="255" t="s">
        <v>18574</v>
      </c>
      <c r="E3592" s="253" t="s">
        <v>8722</v>
      </c>
    </row>
    <row r="3593" spans="1:5" ht="15">
      <c r="A3593" s="254">
        <v>41066</v>
      </c>
      <c r="B3593" s="254" t="s">
        <v>24103</v>
      </c>
      <c r="C3593" s="254" t="s">
        <v>4528</v>
      </c>
      <c r="D3593" s="255" t="s">
        <v>24104</v>
      </c>
      <c r="E3593" s="253" t="s">
        <v>8722</v>
      </c>
    </row>
    <row r="3594" spans="1:5" ht="15">
      <c r="A3594" s="254">
        <v>39604</v>
      </c>
      <c r="B3594" s="254" t="s">
        <v>24105</v>
      </c>
      <c r="C3594" s="254" t="s">
        <v>4521</v>
      </c>
      <c r="D3594" s="255" t="s">
        <v>24106</v>
      </c>
      <c r="E3594" s="253" t="s">
        <v>170</v>
      </c>
    </row>
    <row r="3595" spans="1:5" ht="15">
      <c r="A3595" s="254">
        <v>39605</v>
      </c>
      <c r="B3595" s="254" t="s">
        <v>24107</v>
      </c>
      <c r="C3595" s="254" t="s">
        <v>4521</v>
      </c>
      <c r="D3595" s="255" t="s">
        <v>24108</v>
      </c>
      <c r="E3595" s="253" t="s">
        <v>170</v>
      </c>
    </row>
    <row r="3596" spans="1:5" ht="15">
      <c r="A3596" s="254">
        <v>39606</v>
      </c>
      <c r="B3596" s="254" t="s">
        <v>24109</v>
      </c>
      <c r="C3596" s="254" t="s">
        <v>4521</v>
      </c>
      <c r="D3596" s="255" t="s">
        <v>16533</v>
      </c>
      <c r="E3596" s="253" t="s">
        <v>170</v>
      </c>
    </row>
    <row r="3597" spans="1:5" ht="15">
      <c r="A3597" s="254">
        <v>39607</v>
      </c>
      <c r="B3597" s="254" t="s">
        <v>24110</v>
      </c>
      <c r="C3597" s="254" t="s">
        <v>4521</v>
      </c>
      <c r="D3597" s="255" t="s">
        <v>24111</v>
      </c>
      <c r="E3597" s="253" t="s">
        <v>170</v>
      </c>
    </row>
    <row r="3598" spans="1:5" ht="15">
      <c r="A3598" s="254">
        <v>39594</v>
      </c>
      <c r="B3598" s="254" t="s">
        <v>24112</v>
      </c>
      <c r="C3598" s="254" t="s">
        <v>4521</v>
      </c>
      <c r="D3598" s="255" t="s">
        <v>24113</v>
      </c>
      <c r="E3598" s="253" t="s">
        <v>170</v>
      </c>
    </row>
    <row r="3599" spans="1:5" ht="15">
      <c r="A3599" s="254">
        <v>39596</v>
      </c>
      <c r="B3599" s="254" t="s">
        <v>24114</v>
      </c>
      <c r="C3599" s="254" t="s">
        <v>4521</v>
      </c>
      <c r="D3599" s="255" t="s">
        <v>24115</v>
      </c>
      <c r="E3599" s="253" t="s">
        <v>170</v>
      </c>
    </row>
    <row r="3600" spans="1:5" ht="15">
      <c r="A3600" s="254">
        <v>39595</v>
      </c>
      <c r="B3600" s="254" t="s">
        <v>24116</v>
      </c>
      <c r="C3600" s="254" t="s">
        <v>4521</v>
      </c>
      <c r="D3600" s="255" t="s">
        <v>24117</v>
      </c>
      <c r="E3600" s="253" t="s">
        <v>170</v>
      </c>
    </row>
    <row r="3601" spans="1:5" ht="15">
      <c r="A3601" s="254">
        <v>39597</v>
      </c>
      <c r="B3601" s="254" t="s">
        <v>24118</v>
      </c>
      <c r="C3601" s="254" t="s">
        <v>4521</v>
      </c>
      <c r="D3601" s="256" t="s">
        <v>24119</v>
      </c>
      <c r="E3601" s="253" t="s">
        <v>170</v>
      </c>
    </row>
    <row r="3602" spans="1:5" ht="30">
      <c r="A3602" s="254">
        <v>20209</v>
      </c>
      <c r="B3602" s="254" t="s">
        <v>24120</v>
      </c>
      <c r="C3602" s="254" t="s">
        <v>4524</v>
      </c>
      <c r="D3602" s="255" t="s">
        <v>14226</v>
      </c>
      <c r="E3602" s="253" t="s">
        <v>170</v>
      </c>
    </row>
    <row r="3603" spans="1:5" ht="30">
      <c r="A3603" s="254">
        <v>4433</v>
      </c>
      <c r="B3603" s="254" t="s">
        <v>24121</v>
      </c>
      <c r="C3603" s="254" t="s">
        <v>4524</v>
      </c>
      <c r="D3603" s="255" t="s">
        <v>18901</v>
      </c>
      <c r="E3603" s="253" t="s">
        <v>170</v>
      </c>
    </row>
    <row r="3604" spans="1:5" ht="15">
      <c r="A3604" s="254">
        <v>10731</v>
      </c>
      <c r="B3604" s="254" t="s">
        <v>24122</v>
      </c>
      <c r="C3604" s="254" t="s">
        <v>4523</v>
      </c>
      <c r="D3604" s="256" t="s">
        <v>24123</v>
      </c>
      <c r="E3604" s="253" t="s">
        <v>170</v>
      </c>
    </row>
    <row r="3605" spans="1:5" ht="15">
      <c r="A3605" s="254">
        <v>4704</v>
      </c>
      <c r="B3605" s="254" t="s">
        <v>24124</v>
      </c>
      <c r="C3605" s="254" t="s">
        <v>4523</v>
      </c>
      <c r="D3605" s="255" t="s">
        <v>24125</v>
      </c>
      <c r="E3605" s="253" t="s">
        <v>170</v>
      </c>
    </row>
    <row r="3606" spans="1:5" ht="15">
      <c r="A3606" s="254">
        <v>10730</v>
      </c>
      <c r="B3606" s="254" t="s">
        <v>24126</v>
      </c>
      <c r="C3606" s="254" t="s">
        <v>4523</v>
      </c>
      <c r="D3606" s="255" t="s">
        <v>24127</v>
      </c>
      <c r="E3606" s="253" t="s">
        <v>170</v>
      </c>
    </row>
    <row r="3607" spans="1:5" ht="30">
      <c r="A3607" s="254">
        <v>4729</v>
      </c>
      <c r="B3607" s="254" t="s">
        <v>24128</v>
      </c>
      <c r="C3607" s="254" t="s">
        <v>4522</v>
      </c>
      <c r="D3607" s="255" t="s">
        <v>24129</v>
      </c>
      <c r="E3607" s="253" t="s">
        <v>170</v>
      </c>
    </row>
    <row r="3608" spans="1:5" ht="30">
      <c r="A3608" s="254">
        <v>4720</v>
      </c>
      <c r="B3608" s="254" t="s">
        <v>24130</v>
      </c>
      <c r="C3608" s="254" t="s">
        <v>4522</v>
      </c>
      <c r="D3608" s="255" t="s">
        <v>24131</v>
      </c>
      <c r="E3608" s="253" t="s">
        <v>170</v>
      </c>
    </row>
    <row r="3609" spans="1:5" ht="15">
      <c r="A3609" s="254">
        <v>4721</v>
      </c>
      <c r="B3609" s="254" t="s">
        <v>24132</v>
      </c>
      <c r="C3609" s="254" t="s">
        <v>4522</v>
      </c>
      <c r="D3609" s="255" t="s">
        <v>24133</v>
      </c>
      <c r="E3609" s="253" t="s">
        <v>170</v>
      </c>
    </row>
    <row r="3610" spans="1:5" ht="15">
      <c r="A3610" s="254">
        <v>4718</v>
      </c>
      <c r="B3610" s="254" t="s">
        <v>24134</v>
      </c>
      <c r="C3610" s="254" t="s">
        <v>4522</v>
      </c>
      <c r="D3610" s="255" t="s">
        <v>24133</v>
      </c>
      <c r="E3610" s="253" t="s">
        <v>170</v>
      </c>
    </row>
    <row r="3611" spans="1:5" ht="15">
      <c r="A3611" s="254">
        <v>4722</v>
      </c>
      <c r="B3611" s="254" t="s">
        <v>24135</v>
      </c>
      <c r="C3611" s="254" t="s">
        <v>4522</v>
      </c>
      <c r="D3611" s="255" t="s">
        <v>24133</v>
      </c>
      <c r="E3611" s="253" t="s">
        <v>170</v>
      </c>
    </row>
    <row r="3612" spans="1:5" ht="15">
      <c r="A3612" s="254">
        <v>4723</v>
      </c>
      <c r="B3612" s="254" t="s">
        <v>24136</v>
      </c>
      <c r="C3612" s="254" t="s">
        <v>4522</v>
      </c>
      <c r="D3612" s="255" t="s">
        <v>24137</v>
      </c>
      <c r="E3612" s="253" t="s">
        <v>170</v>
      </c>
    </row>
    <row r="3613" spans="1:5" ht="15">
      <c r="A3613" s="254">
        <v>4727</v>
      </c>
      <c r="B3613" s="254" t="s">
        <v>24138</v>
      </c>
      <c r="C3613" s="254" t="s">
        <v>4522</v>
      </c>
      <c r="D3613" s="255" t="s">
        <v>24139</v>
      </c>
      <c r="E3613" s="253" t="s">
        <v>170</v>
      </c>
    </row>
    <row r="3614" spans="1:5" ht="30">
      <c r="A3614" s="254">
        <v>4748</v>
      </c>
      <c r="B3614" s="254" t="s">
        <v>24140</v>
      </c>
      <c r="C3614" s="254" t="s">
        <v>4522</v>
      </c>
      <c r="D3614" s="255" t="s">
        <v>24141</v>
      </c>
      <c r="E3614" s="253" t="s">
        <v>170</v>
      </c>
    </row>
    <row r="3615" spans="1:5" ht="30">
      <c r="A3615" s="254">
        <v>4730</v>
      </c>
      <c r="B3615" s="254" t="s">
        <v>24142</v>
      </c>
      <c r="C3615" s="254" t="s">
        <v>4522</v>
      </c>
      <c r="D3615" s="255" t="s">
        <v>24143</v>
      </c>
      <c r="E3615" s="253" t="s">
        <v>170</v>
      </c>
    </row>
    <row r="3616" spans="1:5" ht="45">
      <c r="A3616" s="254">
        <v>13186</v>
      </c>
      <c r="B3616" s="254" t="s">
        <v>24144</v>
      </c>
      <c r="C3616" s="254" t="s">
        <v>4522</v>
      </c>
      <c r="D3616" s="255" t="s">
        <v>17575</v>
      </c>
      <c r="E3616" s="253" t="s">
        <v>170</v>
      </c>
    </row>
    <row r="3617" spans="1:5" ht="45">
      <c r="A3617" s="254">
        <v>10737</v>
      </c>
      <c r="B3617" s="254" t="s">
        <v>24145</v>
      </c>
      <c r="C3617" s="254" t="s">
        <v>4523</v>
      </c>
      <c r="D3617" s="255" t="s">
        <v>24146</v>
      </c>
      <c r="E3617" s="253" t="s">
        <v>170</v>
      </c>
    </row>
    <row r="3618" spans="1:5" ht="30">
      <c r="A3618" s="254">
        <v>10734</v>
      </c>
      <c r="B3618" s="254" t="s">
        <v>24147</v>
      </c>
      <c r="C3618" s="254" t="s">
        <v>4523</v>
      </c>
      <c r="D3618" s="255" t="s">
        <v>19336</v>
      </c>
      <c r="E3618" s="253" t="s">
        <v>170</v>
      </c>
    </row>
    <row r="3619" spans="1:5" ht="15">
      <c r="A3619" s="254">
        <v>4708</v>
      </c>
      <c r="B3619" s="254" t="s">
        <v>24148</v>
      </c>
      <c r="C3619" s="254" t="s">
        <v>4523</v>
      </c>
      <c r="D3619" s="255" t="s">
        <v>24149</v>
      </c>
      <c r="E3619" s="253" t="s">
        <v>170</v>
      </c>
    </row>
    <row r="3620" spans="1:5" ht="45">
      <c r="A3620" s="254">
        <v>4712</v>
      </c>
      <c r="B3620" s="254" t="s">
        <v>24150</v>
      </c>
      <c r="C3620" s="254" t="s">
        <v>4523</v>
      </c>
      <c r="D3620" s="255" t="s">
        <v>24151</v>
      </c>
      <c r="E3620" s="253" t="s">
        <v>170</v>
      </c>
    </row>
    <row r="3621" spans="1:5" ht="45">
      <c r="A3621" s="254">
        <v>4710</v>
      </c>
      <c r="B3621" s="254" t="s">
        <v>24152</v>
      </c>
      <c r="C3621" s="254" t="s">
        <v>4523</v>
      </c>
      <c r="D3621" s="255" t="s">
        <v>24153</v>
      </c>
      <c r="E3621" s="253" t="s">
        <v>170</v>
      </c>
    </row>
    <row r="3622" spans="1:5" ht="30">
      <c r="A3622" s="254">
        <v>4746</v>
      </c>
      <c r="B3622" s="254" t="s">
        <v>24154</v>
      </c>
      <c r="C3622" s="254" t="s">
        <v>4522</v>
      </c>
      <c r="D3622" s="255" t="s">
        <v>24155</v>
      </c>
      <c r="E3622" s="253" t="s">
        <v>170</v>
      </c>
    </row>
    <row r="3623" spans="1:5" ht="15">
      <c r="A3623" s="254">
        <v>4750</v>
      </c>
      <c r="B3623" s="254" t="s">
        <v>24156</v>
      </c>
      <c r="C3623" s="254" t="s">
        <v>4520</v>
      </c>
      <c r="D3623" s="255" t="s">
        <v>19250</v>
      </c>
      <c r="E3623" s="253" t="s">
        <v>8722</v>
      </c>
    </row>
    <row r="3624" spans="1:5" ht="15">
      <c r="A3624" s="254">
        <v>41065</v>
      </c>
      <c r="B3624" s="254" t="s">
        <v>24157</v>
      </c>
      <c r="C3624" s="254" t="s">
        <v>4528</v>
      </c>
      <c r="D3624" s="255" t="s">
        <v>19252</v>
      </c>
      <c r="E3624" s="253" t="s">
        <v>8722</v>
      </c>
    </row>
    <row r="3625" spans="1:5" ht="30">
      <c r="A3625" s="254">
        <v>34747</v>
      </c>
      <c r="B3625" s="254" t="s">
        <v>24158</v>
      </c>
      <c r="C3625" s="254" t="s">
        <v>4524</v>
      </c>
      <c r="D3625" s="255" t="s">
        <v>21746</v>
      </c>
      <c r="E3625" s="253" t="s">
        <v>170</v>
      </c>
    </row>
    <row r="3626" spans="1:5" ht="30">
      <c r="A3626" s="254">
        <v>4826</v>
      </c>
      <c r="B3626" s="254" t="s">
        <v>24159</v>
      </c>
      <c r="C3626" s="254" t="s">
        <v>4524</v>
      </c>
      <c r="D3626" s="255" t="s">
        <v>24160</v>
      </c>
      <c r="E3626" s="253" t="s">
        <v>170</v>
      </c>
    </row>
    <row r="3627" spans="1:5" ht="15">
      <c r="A3627" s="254">
        <v>41975</v>
      </c>
      <c r="B3627" s="254" t="s">
        <v>24161</v>
      </c>
      <c r="C3627" s="254" t="s">
        <v>4523</v>
      </c>
      <c r="D3627" s="255" t="s">
        <v>14923</v>
      </c>
      <c r="E3627" s="253" t="s">
        <v>170</v>
      </c>
    </row>
    <row r="3628" spans="1:5" ht="30">
      <c r="A3628" s="254">
        <v>4825</v>
      </c>
      <c r="B3628" s="254" t="s">
        <v>24162</v>
      </c>
      <c r="C3628" s="254" t="s">
        <v>4524</v>
      </c>
      <c r="D3628" s="255" t="s">
        <v>24163</v>
      </c>
      <c r="E3628" s="253" t="s">
        <v>170</v>
      </c>
    </row>
    <row r="3629" spans="1:5" ht="15">
      <c r="A3629" s="254">
        <v>34744</v>
      </c>
      <c r="B3629" s="254" t="s">
        <v>24164</v>
      </c>
      <c r="C3629" s="254" t="s">
        <v>4523</v>
      </c>
      <c r="D3629" s="255" t="s">
        <v>24165</v>
      </c>
      <c r="E3629" s="253" t="s">
        <v>170</v>
      </c>
    </row>
    <row r="3630" spans="1:5" ht="30">
      <c r="A3630" s="254">
        <v>39430</v>
      </c>
      <c r="B3630" s="254" t="s">
        <v>24166</v>
      </c>
      <c r="C3630" s="254" t="s">
        <v>4521</v>
      </c>
      <c r="D3630" s="255" t="s">
        <v>18723</v>
      </c>
      <c r="E3630" s="253" t="s">
        <v>170</v>
      </c>
    </row>
    <row r="3631" spans="1:5" ht="30">
      <c r="A3631" s="254">
        <v>39573</v>
      </c>
      <c r="B3631" s="254" t="s">
        <v>24167</v>
      </c>
      <c r="C3631" s="254" t="s">
        <v>4521</v>
      </c>
      <c r="D3631" s="255" t="s">
        <v>14387</v>
      </c>
      <c r="E3631" s="253" t="s">
        <v>170</v>
      </c>
    </row>
    <row r="3632" spans="1:5" ht="30">
      <c r="A3632" s="254">
        <v>38410</v>
      </c>
      <c r="B3632" s="254" t="s">
        <v>24168</v>
      </c>
      <c r="C3632" s="254" t="s">
        <v>4521</v>
      </c>
      <c r="D3632" s="255" t="s">
        <v>24169</v>
      </c>
      <c r="E3632" s="253" t="s">
        <v>170</v>
      </c>
    </row>
    <row r="3633" spans="1:5" ht="15">
      <c r="A3633" s="254">
        <v>41596</v>
      </c>
      <c r="B3633" s="254" t="s">
        <v>24170</v>
      </c>
      <c r="C3633" s="254" t="s">
        <v>4525</v>
      </c>
      <c r="D3633" s="255" t="s">
        <v>16197</v>
      </c>
      <c r="E3633" s="253" t="s">
        <v>170</v>
      </c>
    </row>
    <row r="3634" spans="1:5" ht="15">
      <c r="A3634" s="254">
        <v>41598</v>
      </c>
      <c r="B3634" s="254" t="s">
        <v>24171</v>
      </c>
      <c r="C3634" s="254" t="s">
        <v>4525</v>
      </c>
      <c r="D3634" s="255" t="s">
        <v>16197</v>
      </c>
      <c r="E3634" s="253" t="s">
        <v>170</v>
      </c>
    </row>
    <row r="3635" spans="1:5" ht="15">
      <c r="A3635" s="254">
        <v>41594</v>
      </c>
      <c r="B3635" s="254" t="s">
        <v>24172</v>
      </c>
      <c r="C3635" s="254" t="s">
        <v>4525</v>
      </c>
      <c r="D3635" s="255" t="s">
        <v>24173</v>
      </c>
      <c r="E3635" s="253" t="s">
        <v>170</v>
      </c>
    </row>
    <row r="3636" spans="1:5" ht="15">
      <c r="A3636" s="254">
        <v>43663</v>
      </c>
      <c r="B3636" s="254" t="s">
        <v>24174</v>
      </c>
      <c r="C3636" s="254" t="s">
        <v>4525</v>
      </c>
      <c r="D3636" s="255" t="s">
        <v>15433</v>
      </c>
      <c r="E3636" s="253" t="s">
        <v>170</v>
      </c>
    </row>
    <row r="3637" spans="1:5" ht="15">
      <c r="A3637" s="254">
        <v>4766</v>
      </c>
      <c r="B3637" s="254" t="s">
        <v>24175</v>
      </c>
      <c r="C3637" s="254" t="s">
        <v>4525</v>
      </c>
      <c r="D3637" s="255" t="s">
        <v>13924</v>
      </c>
      <c r="E3637" s="253" t="s">
        <v>170</v>
      </c>
    </row>
    <row r="3638" spans="1:5" ht="15">
      <c r="A3638" s="254">
        <v>43664</v>
      </c>
      <c r="B3638" s="254" t="s">
        <v>24176</v>
      </c>
      <c r="C3638" s="254" t="s">
        <v>4525</v>
      </c>
      <c r="D3638" s="255" t="s">
        <v>16488</v>
      </c>
      <c r="E3638" s="253" t="s">
        <v>170</v>
      </c>
    </row>
    <row r="3639" spans="1:5" ht="15">
      <c r="A3639" s="254">
        <v>43082</v>
      </c>
      <c r="B3639" s="254" t="s">
        <v>24177</v>
      </c>
      <c r="C3639" s="254" t="s">
        <v>4525</v>
      </c>
      <c r="D3639" s="255" t="s">
        <v>16920</v>
      </c>
      <c r="E3639" s="253" t="s">
        <v>170</v>
      </c>
    </row>
    <row r="3640" spans="1:5" ht="15">
      <c r="A3640" s="254">
        <v>40313</v>
      </c>
      <c r="B3640" s="254" t="s">
        <v>24178</v>
      </c>
      <c r="C3640" s="254" t="s">
        <v>4525</v>
      </c>
      <c r="D3640" s="255" t="s">
        <v>16920</v>
      </c>
      <c r="E3640" s="253" t="s">
        <v>170</v>
      </c>
    </row>
    <row r="3641" spans="1:5" ht="15">
      <c r="A3641" s="254">
        <v>43665</v>
      </c>
      <c r="B3641" s="254" t="s">
        <v>24179</v>
      </c>
      <c r="C3641" s="254" t="s">
        <v>4525</v>
      </c>
      <c r="D3641" s="255" t="s">
        <v>13924</v>
      </c>
      <c r="E3641" s="253" t="s">
        <v>170</v>
      </c>
    </row>
    <row r="3642" spans="1:5" ht="15">
      <c r="A3642" s="254">
        <v>10966</v>
      </c>
      <c r="B3642" s="254" t="s">
        <v>24180</v>
      </c>
      <c r="C3642" s="254" t="s">
        <v>4525</v>
      </c>
      <c r="D3642" s="255" t="s">
        <v>15433</v>
      </c>
      <c r="E3642" s="253" t="s">
        <v>170</v>
      </c>
    </row>
    <row r="3643" spans="1:5" ht="30">
      <c r="A3643" s="254">
        <v>43666</v>
      </c>
      <c r="B3643" s="254" t="s">
        <v>24181</v>
      </c>
      <c r="C3643" s="254" t="s">
        <v>4531</v>
      </c>
      <c r="D3643" s="255" t="s">
        <v>15433</v>
      </c>
      <c r="E3643" s="253" t="s">
        <v>170</v>
      </c>
    </row>
    <row r="3644" spans="1:5" ht="30">
      <c r="A3644" s="254">
        <v>43083</v>
      </c>
      <c r="B3644" s="254" t="s">
        <v>24182</v>
      </c>
      <c r="C3644" s="254" t="s">
        <v>4525</v>
      </c>
      <c r="D3644" s="255" t="s">
        <v>16919</v>
      </c>
      <c r="E3644" s="253" t="s">
        <v>170</v>
      </c>
    </row>
    <row r="3645" spans="1:5" ht="15">
      <c r="A3645" s="254">
        <v>40535</v>
      </c>
      <c r="B3645" s="254" t="s">
        <v>24183</v>
      </c>
      <c r="C3645" s="254" t="s">
        <v>4525</v>
      </c>
      <c r="D3645" s="255" t="s">
        <v>16919</v>
      </c>
      <c r="E3645" s="253" t="s">
        <v>170</v>
      </c>
    </row>
    <row r="3646" spans="1:5" ht="30">
      <c r="A3646" s="254">
        <v>39427</v>
      </c>
      <c r="B3646" s="254" t="s">
        <v>24184</v>
      </c>
      <c r="C3646" s="254" t="s">
        <v>4524</v>
      </c>
      <c r="D3646" s="255" t="s">
        <v>18444</v>
      </c>
      <c r="E3646" s="253" t="s">
        <v>170</v>
      </c>
    </row>
    <row r="3647" spans="1:5" ht="30">
      <c r="A3647" s="254">
        <v>39424</v>
      </c>
      <c r="B3647" s="254" t="s">
        <v>24185</v>
      </c>
      <c r="C3647" s="254" t="s">
        <v>4524</v>
      </c>
      <c r="D3647" s="255" t="s">
        <v>24186</v>
      </c>
      <c r="E3647" s="253" t="s">
        <v>170</v>
      </c>
    </row>
    <row r="3648" spans="1:5" ht="30">
      <c r="A3648" s="254">
        <v>39425</v>
      </c>
      <c r="B3648" s="254" t="s">
        <v>24187</v>
      </c>
      <c r="C3648" s="254" t="s">
        <v>4524</v>
      </c>
      <c r="D3648" s="255" t="s">
        <v>14354</v>
      </c>
      <c r="E3648" s="253" t="s">
        <v>170</v>
      </c>
    </row>
    <row r="3649" spans="1:5" ht="15">
      <c r="A3649" s="254">
        <v>40664</v>
      </c>
      <c r="B3649" s="254" t="s">
        <v>24188</v>
      </c>
      <c r="C3649" s="254" t="s">
        <v>4525</v>
      </c>
      <c r="D3649" s="256" t="s">
        <v>20823</v>
      </c>
      <c r="E3649" s="253" t="s">
        <v>170</v>
      </c>
    </row>
    <row r="3650" spans="1:5" ht="15">
      <c r="A3650" s="254">
        <v>34360</v>
      </c>
      <c r="B3650" s="254" t="s">
        <v>24189</v>
      </c>
      <c r="C3650" s="254" t="s">
        <v>4525</v>
      </c>
      <c r="D3650" s="256" t="s">
        <v>16364</v>
      </c>
      <c r="E3650" s="253" t="s">
        <v>170</v>
      </c>
    </row>
    <row r="3651" spans="1:5" ht="15">
      <c r="A3651" s="254">
        <v>20259</v>
      </c>
      <c r="B3651" s="254" t="s">
        <v>24190</v>
      </c>
      <c r="C3651" s="254" t="s">
        <v>4524</v>
      </c>
      <c r="D3651" s="256" t="s">
        <v>13895</v>
      </c>
      <c r="E3651" s="253" t="s">
        <v>170</v>
      </c>
    </row>
    <row r="3652" spans="1:5" ht="45">
      <c r="A3652" s="254">
        <v>14077</v>
      </c>
      <c r="B3652" s="254" t="s">
        <v>24191</v>
      </c>
      <c r="C3652" s="254" t="s">
        <v>4524</v>
      </c>
      <c r="D3652" s="256" t="s">
        <v>23633</v>
      </c>
      <c r="E3652" s="253" t="s">
        <v>170</v>
      </c>
    </row>
    <row r="3653" spans="1:5" ht="45">
      <c r="A3653" s="254">
        <v>3678</v>
      </c>
      <c r="B3653" s="254" t="s">
        <v>24192</v>
      </c>
      <c r="C3653" s="254" t="s">
        <v>4524</v>
      </c>
      <c r="D3653" s="255" t="s">
        <v>24193</v>
      </c>
      <c r="E3653" s="253" t="s">
        <v>170</v>
      </c>
    </row>
    <row r="3654" spans="1:5" ht="30">
      <c r="A3654" s="254">
        <v>39418</v>
      </c>
      <c r="B3654" s="254" t="s">
        <v>24194</v>
      </c>
      <c r="C3654" s="254" t="s">
        <v>4524</v>
      </c>
      <c r="D3654" s="255" t="s">
        <v>14385</v>
      </c>
      <c r="E3654" s="253" t="s">
        <v>170</v>
      </c>
    </row>
    <row r="3655" spans="1:5" ht="30">
      <c r="A3655" s="254">
        <v>39419</v>
      </c>
      <c r="B3655" s="254" t="s">
        <v>24195</v>
      </c>
      <c r="C3655" s="254" t="s">
        <v>4524</v>
      </c>
      <c r="D3655" s="256" t="s">
        <v>19018</v>
      </c>
      <c r="E3655" s="253" t="s">
        <v>170</v>
      </c>
    </row>
    <row r="3656" spans="1:5" ht="30">
      <c r="A3656" s="254">
        <v>39420</v>
      </c>
      <c r="B3656" s="254" t="s">
        <v>24196</v>
      </c>
      <c r="C3656" s="254" t="s">
        <v>4524</v>
      </c>
      <c r="D3656" s="255" t="s">
        <v>14340</v>
      </c>
      <c r="E3656" s="253" t="s">
        <v>170</v>
      </c>
    </row>
    <row r="3657" spans="1:5" ht="30">
      <c r="A3657" s="254">
        <v>39571</v>
      </c>
      <c r="B3657" s="254" t="s">
        <v>24197</v>
      </c>
      <c r="C3657" s="254" t="s">
        <v>4524</v>
      </c>
      <c r="D3657" s="255" t="s">
        <v>24198</v>
      </c>
      <c r="E3657" s="253" t="s">
        <v>170</v>
      </c>
    </row>
    <row r="3658" spans="1:5" ht="30">
      <c r="A3658" s="254">
        <v>39421</v>
      </c>
      <c r="B3658" s="254" t="s">
        <v>24199</v>
      </c>
      <c r="C3658" s="254" t="s">
        <v>4524</v>
      </c>
      <c r="D3658" s="255" t="s">
        <v>16469</v>
      </c>
      <c r="E3658" s="253" t="s">
        <v>170</v>
      </c>
    </row>
    <row r="3659" spans="1:5" ht="30">
      <c r="A3659" s="254">
        <v>39422</v>
      </c>
      <c r="B3659" s="254" t="s">
        <v>24200</v>
      </c>
      <c r="C3659" s="254" t="s">
        <v>4524</v>
      </c>
      <c r="D3659" s="255" t="s">
        <v>22687</v>
      </c>
      <c r="E3659" s="253" t="s">
        <v>170</v>
      </c>
    </row>
    <row r="3660" spans="1:5" ht="30">
      <c r="A3660" s="254">
        <v>39423</v>
      </c>
      <c r="B3660" s="254" t="s">
        <v>24201</v>
      </c>
      <c r="C3660" s="254" t="s">
        <v>4524</v>
      </c>
      <c r="D3660" s="255" t="s">
        <v>17876</v>
      </c>
      <c r="E3660" s="253" t="s">
        <v>170</v>
      </c>
    </row>
    <row r="3661" spans="1:5" ht="30">
      <c r="A3661" s="254">
        <v>39426</v>
      </c>
      <c r="B3661" s="254" t="s">
        <v>24202</v>
      </c>
      <c r="C3661" s="254" t="s">
        <v>4524</v>
      </c>
      <c r="D3661" s="255" t="s">
        <v>16645</v>
      </c>
      <c r="E3661" s="253" t="s">
        <v>170</v>
      </c>
    </row>
    <row r="3662" spans="1:5" ht="30">
      <c r="A3662" s="254">
        <v>39429</v>
      </c>
      <c r="B3662" s="254" t="s">
        <v>24203</v>
      </c>
      <c r="C3662" s="254" t="s">
        <v>4524</v>
      </c>
      <c r="D3662" s="256" t="s">
        <v>19718</v>
      </c>
      <c r="E3662" s="253" t="s">
        <v>170</v>
      </c>
    </row>
    <row r="3663" spans="1:5" ht="30">
      <c r="A3663" s="254">
        <v>39428</v>
      </c>
      <c r="B3663" s="254" t="s">
        <v>24204</v>
      </c>
      <c r="C3663" s="254" t="s">
        <v>4524</v>
      </c>
      <c r="D3663" s="256" t="s">
        <v>14194</v>
      </c>
      <c r="E3663" s="253" t="s">
        <v>170</v>
      </c>
    </row>
    <row r="3664" spans="1:5" ht="30">
      <c r="A3664" s="254">
        <v>39572</v>
      </c>
      <c r="B3664" s="254" t="s">
        <v>24205</v>
      </c>
      <c r="C3664" s="254" t="s">
        <v>4524</v>
      </c>
      <c r="D3664" s="255" t="s">
        <v>14368</v>
      </c>
      <c r="E3664" s="253" t="s">
        <v>170</v>
      </c>
    </row>
    <row r="3665" spans="1:5" ht="30">
      <c r="A3665" s="254">
        <v>39570</v>
      </c>
      <c r="B3665" s="254" t="s">
        <v>24206</v>
      </c>
      <c r="C3665" s="254" t="s">
        <v>4524</v>
      </c>
      <c r="D3665" s="255" t="s">
        <v>17931</v>
      </c>
      <c r="E3665" s="253" t="s">
        <v>170</v>
      </c>
    </row>
    <row r="3666" spans="1:5" ht="30">
      <c r="A3666" s="254">
        <v>39569</v>
      </c>
      <c r="B3666" s="254" t="s">
        <v>24207</v>
      </c>
      <c r="C3666" s="254" t="s">
        <v>4524</v>
      </c>
      <c r="D3666" s="255" t="s">
        <v>24208</v>
      </c>
      <c r="E3666" s="253" t="s">
        <v>170</v>
      </c>
    </row>
    <row r="3667" spans="1:5" ht="30">
      <c r="A3667" s="254">
        <v>11552</v>
      </c>
      <c r="B3667" s="254" t="s">
        <v>24209</v>
      </c>
      <c r="C3667" s="254" t="s">
        <v>4524</v>
      </c>
      <c r="D3667" s="255" t="s">
        <v>19010</v>
      </c>
      <c r="E3667" s="253" t="s">
        <v>170</v>
      </c>
    </row>
    <row r="3668" spans="1:5" ht="30">
      <c r="A3668" s="254">
        <v>40598</v>
      </c>
      <c r="B3668" s="254" t="s">
        <v>24210</v>
      </c>
      <c r="C3668" s="254" t="s">
        <v>4525</v>
      </c>
      <c r="D3668" s="255" t="s">
        <v>21017</v>
      </c>
      <c r="E3668" s="253" t="s">
        <v>170</v>
      </c>
    </row>
    <row r="3669" spans="1:5" ht="15">
      <c r="A3669" s="254">
        <v>39029</v>
      </c>
      <c r="B3669" s="254" t="s">
        <v>24211</v>
      </c>
      <c r="C3669" s="254" t="s">
        <v>4524</v>
      </c>
      <c r="D3669" s="255" t="s">
        <v>24212</v>
      </c>
      <c r="E3669" s="253" t="s">
        <v>170</v>
      </c>
    </row>
    <row r="3670" spans="1:5" ht="15">
      <c r="A3670" s="254">
        <v>39028</v>
      </c>
      <c r="B3670" s="254" t="s">
        <v>24213</v>
      </c>
      <c r="C3670" s="254" t="s">
        <v>4524</v>
      </c>
      <c r="D3670" s="255" t="s">
        <v>18144</v>
      </c>
      <c r="E3670" s="253" t="s">
        <v>170</v>
      </c>
    </row>
    <row r="3671" spans="1:5" ht="15">
      <c r="A3671" s="254">
        <v>39328</v>
      </c>
      <c r="B3671" s="254" t="s">
        <v>24214</v>
      </c>
      <c r="C3671" s="254" t="s">
        <v>4524</v>
      </c>
      <c r="D3671" s="256" t="s">
        <v>24198</v>
      </c>
      <c r="E3671" s="253" t="s">
        <v>170</v>
      </c>
    </row>
    <row r="3672" spans="1:5" ht="45">
      <c r="A3672" s="254">
        <v>38541</v>
      </c>
      <c r="B3672" s="254" t="s">
        <v>24215</v>
      </c>
      <c r="C3672" s="254" t="s">
        <v>4521</v>
      </c>
      <c r="D3672" s="255" t="s">
        <v>24216</v>
      </c>
      <c r="E3672" s="253" t="s">
        <v>170</v>
      </c>
    </row>
    <row r="3673" spans="1:5" ht="45">
      <c r="A3673" s="254">
        <v>38542</v>
      </c>
      <c r="B3673" s="254" t="s">
        <v>24217</v>
      </c>
      <c r="C3673" s="254" t="s">
        <v>4521</v>
      </c>
      <c r="D3673" s="256" t="s">
        <v>24218</v>
      </c>
      <c r="E3673" s="253" t="s">
        <v>170</v>
      </c>
    </row>
    <row r="3674" spans="1:5" ht="60">
      <c r="A3674" s="254">
        <v>38543</v>
      </c>
      <c r="B3674" s="254" t="s">
        <v>24219</v>
      </c>
      <c r="C3674" s="254" t="s">
        <v>4521</v>
      </c>
      <c r="D3674" s="255" t="s">
        <v>24220</v>
      </c>
      <c r="E3674" s="253" t="s">
        <v>170</v>
      </c>
    </row>
    <row r="3675" spans="1:5" ht="30">
      <c r="A3675" s="254">
        <v>40406</v>
      </c>
      <c r="B3675" s="254" t="s">
        <v>24221</v>
      </c>
      <c r="C3675" s="254" t="s">
        <v>4521</v>
      </c>
      <c r="D3675" s="255" t="s">
        <v>24222</v>
      </c>
      <c r="E3675" s="253" t="s">
        <v>170</v>
      </c>
    </row>
    <row r="3676" spans="1:5" ht="30">
      <c r="A3676" s="254">
        <v>40789</v>
      </c>
      <c r="B3676" s="254" t="s">
        <v>24223</v>
      </c>
      <c r="C3676" s="254" t="s">
        <v>4521</v>
      </c>
      <c r="D3676" s="255" t="s">
        <v>24224</v>
      </c>
      <c r="E3676" s="253" t="s">
        <v>170</v>
      </c>
    </row>
    <row r="3677" spans="1:5" ht="30">
      <c r="A3677" s="254">
        <v>40791</v>
      </c>
      <c r="B3677" s="254" t="s">
        <v>24225</v>
      </c>
      <c r="C3677" s="254" t="s">
        <v>4521</v>
      </c>
      <c r="D3677" s="255" t="s">
        <v>24226</v>
      </c>
      <c r="E3677" s="253" t="s">
        <v>170</v>
      </c>
    </row>
    <row r="3678" spans="1:5" ht="30">
      <c r="A3678" s="254">
        <v>11651</v>
      </c>
      <c r="B3678" s="254" t="s">
        <v>24227</v>
      </c>
      <c r="C3678" s="254" t="s">
        <v>4521</v>
      </c>
      <c r="D3678" s="255" t="s">
        <v>24228</v>
      </c>
      <c r="E3678" s="253" t="s">
        <v>170</v>
      </c>
    </row>
    <row r="3679" spans="1:5" ht="30">
      <c r="A3679" s="254">
        <v>42002</v>
      </c>
      <c r="B3679" s="254" t="s">
        <v>24229</v>
      </c>
      <c r="C3679" s="254" t="s">
        <v>4521</v>
      </c>
      <c r="D3679" s="255" t="s">
        <v>24230</v>
      </c>
      <c r="E3679" s="253" t="s">
        <v>170</v>
      </c>
    </row>
    <row r="3680" spans="1:5" ht="30">
      <c r="A3680" s="254">
        <v>40435</v>
      </c>
      <c r="B3680" s="254" t="s">
        <v>24231</v>
      </c>
      <c r="C3680" s="254" t="s">
        <v>4521</v>
      </c>
      <c r="D3680" s="255" t="s">
        <v>24232</v>
      </c>
      <c r="E3680" s="253" t="s">
        <v>170</v>
      </c>
    </row>
    <row r="3681" spans="1:5" ht="30">
      <c r="A3681" s="254">
        <v>39012</v>
      </c>
      <c r="B3681" s="254" t="s">
        <v>24233</v>
      </c>
      <c r="C3681" s="254" t="s">
        <v>4521</v>
      </c>
      <c r="D3681" s="255" t="s">
        <v>24234</v>
      </c>
      <c r="E3681" s="253" t="s">
        <v>170</v>
      </c>
    </row>
    <row r="3682" spans="1:5" ht="30">
      <c r="A3682" s="254">
        <v>13617</v>
      </c>
      <c r="B3682" s="254" t="s">
        <v>24235</v>
      </c>
      <c r="C3682" s="254" t="s">
        <v>4521</v>
      </c>
      <c r="D3682" s="255" t="s">
        <v>24236</v>
      </c>
      <c r="E3682" s="253" t="s">
        <v>170</v>
      </c>
    </row>
    <row r="3683" spans="1:5" ht="15">
      <c r="A3683" s="254">
        <v>5327</v>
      </c>
      <c r="B3683" s="254" t="s">
        <v>24237</v>
      </c>
      <c r="C3683" s="254" t="s">
        <v>4525</v>
      </c>
      <c r="D3683" s="255" t="s">
        <v>16750</v>
      </c>
      <c r="E3683" s="253" t="s">
        <v>170</v>
      </c>
    </row>
    <row r="3684" spans="1:5" ht="30">
      <c r="A3684" s="254">
        <v>35274</v>
      </c>
      <c r="B3684" s="254" t="s">
        <v>24238</v>
      </c>
      <c r="C3684" s="254" t="s">
        <v>4524</v>
      </c>
      <c r="D3684" s="255" t="s">
        <v>18676</v>
      </c>
      <c r="E3684" s="253" t="s">
        <v>170</v>
      </c>
    </row>
    <row r="3685" spans="1:5" ht="30">
      <c r="A3685" s="254">
        <v>35275</v>
      </c>
      <c r="B3685" s="254" t="s">
        <v>24239</v>
      </c>
      <c r="C3685" s="254" t="s">
        <v>4524</v>
      </c>
      <c r="D3685" s="255" t="s">
        <v>24240</v>
      </c>
      <c r="E3685" s="253" t="s">
        <v>170</v>
      </c>
    </row>
    <row r="3686" spans="1:5" ht="30">
      <c r="A3686" s="254">
        <v>35276</v>
      </c>
      <c r="B3686" s="254" t="s">
        <v>24241</v>
      </c>
      <c r="C3686" s="254" t="s">
        <v>4524</v>
      </c>
      <c r="D3686" s="256" t="s">
        <v>24242</v>
      </c>
      <c r="E3686" s="253" t="s">
        <v>170</v>
      </c>
    </row>
    <row r="3687" spans="1:5" ht="15">
      <c r="A3687" s="254">
        <v>38386</v>
      </c>
      <c r="B3687" s="254" t="s">
        <v>24243</v>
      </c>
      <c r="C3687" s="254" t="s">
        <v>4521</v>
      </c>
      <c r="D3687" s="256" t="s">
        <v>24244</v>
      </c>
      <c r="E3687" s="253" t="s">
        <v>170</v>
      </c>
    </row>
    <row r="3688" spans="1:5" ht="30">
      <c r="A3688" s="254">
        <v>11091</v>
      </c>
      <c r="B3688" s="254" t="s">
        <v>24245</v>
      </c>
      <c r="C3688" s="254" t="s">
        <v>4521</v>
      </c>
      <c r="D3688" s="255" t="s">
        <v>18452</v>
      </c>
      <c r="E3688" s="253" t="s">
        <v>170</v>
      </c>
    </row>
    <row r="3689" spans="1:5" ht="30">
      <c r="A3689" s="254">
        <v>37586</v>
      </c>
      <c r="B3689" s="254" t="s">
        <v>24246</v>
      </c>
      <c r="C3689" s="254" t="s">
        <v>4538</v>
      </c>
      <c r="D3689" s="255" t="s">
        <v>14560</v>
      </c>
      <c r="E3689" s="253" t="s">
        <v>170</v>
      </c>
    </row>
    <row r="3690" spans="1:5" ht="15">
      <c r="A3690" s="254">
        <v>37395</v>
      </c>
      <c r="B3690" s="254" t="s">
        <v>24247</v>
      </c>
      <c r="C3690" s="254" t="s">
        <v>4538</v>
      </c>
      <c r="D3690" s="256" t="s">
        <v>24248</v>
      </c>
      <c r="E3690" s="253" t="s">
        <v>170</v>
      </c>
    </row>
    <row r="3691" spans="1:5" ht="30">
      <c r="A3691" s="254">
        <v>14147</v>
      </c>
      <c r="B3691" s="254" t="s">
        <v>24249</v>
      </c>
      <c r="C3691" s="254" t="s">
        <v>4538</v>
      </c>
      <c r="D3691" s="255" t="s">
        <v>24250</v>
      </c>
      <c r="E3691" s="253" t="s">
        <v>170</v>
      </c>
    </row>
    <row r="3692" spans="1:5" ht="15">
      <c r="A3692" s="254">
        <v>37396</v>
      </c>
      <c r="B3692" s="254" t="s">
        <v>24251</v>
      </c>
      <c r="C3692" s="254" t="s">
        <v>4538</v>
      </c>
      <c r="D3692" s="255" t="s">
        <v>24252</v>
      </c>
      <c r="E3692" s="253" t="s">
        <v>170</v>
      </c>
    </row>
    <row r="3693" spans="1:5" ht="15">
      <c r="A3693" s="254">
        <v>37397</v>
      </c>
      <c r="B3693" s="254" t="s">
        <v>24253</v>
      </c>
      <c r="C3693" s="254" t="s">
        <v>4538</v>
      </c>
      <c r="D3693" s="255" t="s">
        <v>14134</v>
      </c>
      <c r="E3693" s="253" t="s">
        <v>170</v>
      </c>
    </row>
    <row r="3694" spans="1:5" ht="30">
      <c r="A3694" s="254">
        <v>11559</v>
      </c>
      <c r="B3694" s="254" t="s">
        <v>24254</v>
      </c>
      <c r="C3694" s="254" t="s">
        <v>4521</v>
      </c>
      <c r="D3694" s="255" t="s">
        <v>22076</v>
      </c>
      <c r="E3694" s="253" t="s">
        <v>170</v>
      </c>
    </row>
    <row r="3695" spans="1:5" ht="30">
      <c r="A3695" s="254">
        <v>444</v>
      </c>
      <c r="B3695" s="254" t="s">
        <v>24255</v>
      </c>
      <c r="C3695" s="254" t="s">
        <v>4521</v>
      </c>
      <c r="D3695" s="255" t="s">
        <v>16986</v>
      </c>
      <c r="E3695" s="253" t="s">
        <v>170</v>
      </c>
    </row>
    <row r="3696" spans="1:5" ht="30">
      <c r="A3696" s="254">
        <v>445</v>
      </c>
      <c r="B3696" s="254" t="s">
        <v>24256</v>
      </c>
      <c r="C3696" s="254" t="s">
        <v>4521</v>
      </c>
      <c r="D3696" s="255" t="s">
        <v>18065</v>
      </c>
      <c r="E3696" s="253" t="s">
        <v>170</v>
      </c>
    </row>
    <row r="3697" spans="1:5" ht="15">
      <c r="A3697" s="254">
        <v>4783</v>
      </c>
      <c r="B3697" s="254" t="s">
        <v>24257</v>
      </c>
      <c r="C3697" s="254" t="s">
        <v>4520</v>
      </c>
      <c r="D3697" s="255" t="s">
        <v>19250</v>
      </c>
      <c r="E3697" s="253" t="s">
        <v>8722</v>
      </c>
    </row>
    <row r="3698" spans="1:5" ht="15">
      <c r="A3698" s="254">
        <v>41079</v>
      </c>
      <c r="B3698" s="254" t="s">
        <v>24258</v>
      </c>
      <c r="C3698" s="254" t="s">
        <v>4528</v>
      </c>
      <c r="D3698" s="255" t="s">
        <v>19252</v>
      </c>
      <c r="E3698" s="253" t="s">
        <v>8722</v>
      </c>
    </row>
    <row r="3699" spans="1:5" ht="15">
      <c r="A3699" s="254">
        <v>12874</v>
      </c>
      <c r="B3699" s="254" t="s">
        <v>24259</v>
      </c>
      <c r="C3699" s="254" t="s">
        <v>4520</v>
      </c>
      <c r="D3699" s="255" t="s">
        <v>17550</v>
      </c>
      <c r="E3699" s="253" t="s">
        <v>8722</v>
      </c>
    </row>
    <row r="3700" spans="1:5" ht="15">
      <c r="A3700" s="254">
        <v>41082</v>
      </c>
      <c r="B3700" s="254" t="s">
        <v>24260</v>
      </c>
      <c r="C3700" s="254" t="s">
        <v>4528</v>
      </c>
      <c r="D3700" s="255" t="s">
        <v>24261</v>
      </c>
      <c r="E3700" s="253" t="s">
        <v>8722</v>
      </c>
    </row>
    <row r="3701" spans="1:5" ht="15">
      <c r="A3701" s="254">
        <v>4785</v>
      </c>
      <c r="B3701" s="254" t="s">
        <v>24262</v>
      </c>
      <c r="C3701" s="254" t="s">
        <v>4520</v>
      </c>
      <c r="D3701" s="255" t="s">
        <v>15255</v>
      </c>
      <c r="E3701" s="253" t="s">
        <v>8722</v>
      </c>
    </row>
    <row r="3702" spans="1:5" ht="15">
      <c r="A3702" s="254">
        <v>41081</v>
      </c>
      <c r="B3702" s="254" t="s">
        <v>24263</v>
      </c>
      <c r="C3702" s="254" t="s">
        <v>4528</v>
      </c>
      <c r="D3702" s="255" t="s">
        <v>24264</v>
      </c>
      <c r="E3702" s="253" t="s">
        <v>8722</v>
      </c>
    </row>
    <row r="3703" spans="1:5" ht="15">
      <c r="A3703" s="254">
        <v>4801</v>
      </c>
      <c r="B3703" s="254" t="s">
        <v>24265</v>
      </c>
      <c r="C3703" s="254" t="s">
        <v>4523</v>
      </c>
      <c r="D3703" s="255" t="s">
        <v>24266</v>
      </c>
      <c r="E3703" s="253" t="s">
        <v>170</v>
      </c>
    </row>
    <row r="3704" spans="1:5" ht="30">
      <c r="A3704" s="254">
        <v>4794</v>
      </c>
      <c r="B3704" s="254" t="s">
        <v>24267</v>
      </c>
      <c r="C3704" s="254" t="s">
        <v>4523</v>
      </c>
      <c r="D3704" s="255" t="s">
        <v>24268</v>
      </c>
      <c r="E3704" s="253" t="s">
        <v>170</v>
      </c>
    </row>
    <row r="3705" spans="1:5" ht="30">
      <c r="A3705" s="254">
        <v>4796</v>
      </c>
      <c r="B3705" s="254" t="s">
        <v>24269</v>
      </c>
      <c r="C3705" s="254" t="s">
        <v>4523</v>
      </c>
      <c r="D3705" s="255" t="s">
        <v>24270</v>
      </c>
      <c r="E3705" s="253" t="s">
        <v>170</v>
      </c>
    </row>
    <row r="3706" spans="1:5" ht="30">
      <c r="A3706" s="254">
        <v>4800</v>
      </c>
      <c r="B3706" s="254" t="s">
        <v>24271</v>
      </c>
      <c r="C3706" s="254" t="s">
        <v>4523</v>
      </c>
      <c r="D3706" s="255" t="s">
        <v>15758</v>
      </c>
      <c r="E3706" s="253" t="s">
        <v>170</v>
      </c>
    </row>
    <row r="3707" spans="1:5" ht="30">
      <c r="A3707" s="254">
        <v>4795</v>
      </c>
      <c r="B3707" s="254" t="s">
        <v>24272</v>
      </c>
      <c r="C3707" s="254" t="s">
        <v>4523</v>
      </c>
      <c r="D3707" s="255" t="s">
        <v>24273</v>
      </c>
      <c r="E3707" s="253" t="s">
        <v>170</v>
      </c>
    </row>
    <row r="3708" spans="1:5" ht="45">
      <c r="A3708" s="254">
        <v>39694</v>
      </c>
      <c r="B3708" s="254" t="s">
        <v>24274</v>
      </c>
      <c r="C3708" s="254" t="s">
        <v>4523</v>
      </c>
      <c r="D3708" s="255" t="s">
        <v>13934</v>
      </c>
      <c r="E3708" s="253" t="s">
        <v>170</v>
      </c>
    </row>
    <row r="3709" spans="1:5" ht="30">
      <c r="A3709" s="254">
        <v>1292</v>
      </c>
      <c r="B3709" s="254" t="s">
        <v>24275</v>
      </c>
      <c r="C3709" s="254" t="s">
        <v>4523</v>
      </c>
      <c r="D3709" s="255" t="s">
        <v>24276</v>
      </c>
      <c r="E3709" s="253" t="s">
        <v>170</v>
      </c>
    </row>
    <row r="3710" spans="1:5" ht="30">
      <c r="A3710" s="254">
        <v>1287</v>
      </c>
      <c r="B3710" s="254" t="s">
        <v>24277</v>
      </c>
      <c r="C3710" s="254" t="s">
        <v>4523</v>
      </c>
      <c r="D3710" s="255" t="s">
        <v>24278</v>
      </c>
      <c r="E3710" s="253" t="s">
        <v>170</v>
      </c>
    </row>
    <row r="3711" spans="1:5" ht="30">
      <c r="A3711" s="254">
        <v>1297</v>
      </c>
      <c r="B3711" s="254" t="s">
        <v>24279</v>
      </c>
      <c r="C3711" s="254" t="s">
        <v>4523</v>
      </c>
      <c r="D3711" s="255" t="s">
        <v>16353</v>
      </c>
      <c r="E3711" s="253" t="s">
        <v>170</v>
      </c>
    </row>
    <row r="3712" spans="1:5" ht="30">
      <c r="A3712" s="254">
        <v>4786</v>
      </c>
      <c r="B3712" s="254" t="s">
        <v>24280</v>
      </c>
      <c r="C3712" s="254" t="s">
        <v>4523</v>
      </c>
      <c r="D3712" s="255" t="s">
        <v>24281</v>
      </c>
      <c r="E3712" s="253" t="s">
        <v>170</v>
      </c>
    </row>
    <row r="3713" spans="1:5" ht="45">
      <c r="A3713" s="254">
        <v>10840</v>
      </c>
      <c r="B3713" s="254" t="s">
        <v>24282</v>
      </c>
      <c r="C3713" s="254" t="s">
        <v>4523</v>
      </c>
      <c r="D3713" s="255" t="s">
        <v>24283</v>
      </c>
      <c r="E3713" s="253" t="s">
        <v>170</v>
      </c>
    </row>
    <row r="3714" spans="1:5" ht="45">
      <c r="A3714" s="254">
        <v>10841</v>
      </c>
      <c r="B3714" s="254" t="s">
        <v>24284</v>
      </c>
      <c r="C3714" s="254" t="s">
        <v>4523</v>
      </c>
      <c r="D3714" s="255" t="s">
        <v>24285</v>
      </c>
      <c r="E3714" s="253" t="s">
        <v>170</v>
      </c>
    </row>
    <row r="3715" spans="1:5" ht="30">
      <c r="A3715" s="254">
        <v>25980</v>
      </c>
      <c r="B3715" s="254" t="s">
        <v>24286</v>
      </c>
      <c r="C3715" s="254" t="s">
        <v>4523</v>
      </c>
      <c r="D3715" s="255" t="s">
        <v>15532</v>
      </c>
      <c r="E3715" s="253" t="s">
        <v>170</v>
      </c>
    </row>
    <row r="3716" spans="1:5" ht="30">
      <c r="A3716" s="254">
        <v>10842</v>
      </c>
      <c r="B3716" s="254" t="s">
        <v>24287</v>
      </c>
      <c r="C3716" s="254" t="s">
        <v>4523</v>
      </c>
      <c r="D3716" s="255" t="s">
        <v>24288</v>
      </c>
      <c r="E3716" s="253" t="s">
        <v>170</v>
      </c>
    </row>
    <row r="3717" spans="1:5" ht="15">
      <c r="A3717" s="254">
        <v>21108</v>
      </c>
      <c r="B3717" s="254" t="s">
        <v>24289</v>
      </c>
      <c r="C3717" s="254" t="s">
        <v>4523</v>
      </c>
      <c r="D3717" s="255" t="s">
        <v>18267</v>
      </c>
      <c r="E3717" s="253" t="s">
        <v>170</v>
      </c>
    </row>
    <row r="3718" spans="1:5" ht="30">
      <c r="A3718" s="254">
        <v>38180</v>
      </c>
      <c r="B3718" s="254" t="s">
        <v>24290</v>
      </c>
      <c r="C3718" s="254" t="s">
        <v>4523</v>
      </c>
      <c r="D3718" s="255" t="s">
        <v>24291</v>
      </c>
      <c r="E3718" s="253" t="s">
        <v>170</v>
      </c>
    </row>
    <row r="3719" spans="1:5" ht="15">
      <c r="A3719" s="254">
        <v>40648</v>
      </c>
      <c r="B3719" s="254" t="s">
        <v>24292</v>
      </c>
      <c r="C3719" s="254" t="s">
        <v>4523</v>
      </c>
      <c r="D3719" s="255" t="s">
        <v>24293</v>
      </c>
      <c r="E3719" s="253" t="s">
        <v>170</v>
      </c>
    </row>
    <row r="3720" spans="1:5" ht="15">
      <c r="A3720" s="254">
        <v>40649</v>
      </c>
      <c r="B3720" s="254" t="s">
        <v>24294</v>
      </c>
      <c r="C3720" s="254" t="s">
        <v>4523</v>
      </c>
      <c r="D3720" s="255" t="s">
        <v>24295</v>
      </c>
      <c r="E3720" s="253" t="s">
        <v>170</v>
      </c>
    </row>
    <row r="3721" spans="1:5" ht="15">
      <c r="A3721" s="254">
        <v>40650</v>
      </c>
      <c r="B3721" s="254" t="s">
        <v>24296</v>
      </c>
      <c r="C3721" s="254" t="s">
        <v>4523</v>
      </c>
      <c r="D3721" s="255" t="s">
        <v>24297</v>
      </c>
      <c r="E3721" s="253" t="s">
        <v>170</v>
      </c>
    </row>
    <row r="3722" spans="1:5" ht="15">
      <c r="A3722" s="254">
        <v>40651</v>
      </c>
      <c r="B3722" s="254" t="s">
        <v>24298</v>
      </c>
      <c r="C3722" s="254" t="s">
        <v>4523</v>
      </c>
      <c r="D3722" s="255" t="s">
        <v>24299</v>
      </c>
      <c r="E3722" s="253" t="s">
        <v>170</v>
      </c>
    </row>
    <row r="3723" spans="1:5" ht="15">
      <c r="A3723" s="254">
        <v>40652</v>
      </c>
      <c r="B3723" s="254" t="s">
        <v>24300</v>
      </c>
      <c r="C3723" s="254" t="s">
        <v>4523</v>
      </c>
      <c r="D3723" s="255" t="s">
        <v>24301</v>
      </c>
      <c r="E3723" s="253" t="s">
        <v>170</v>
      </c>
    </row>
    <row r="3724" spans="1:5" ht="30">
      <c r="A3724" s="254">
        <v>40647</v>
      </c>
      <c r="B3724" s="254" t="s">
        <v>24302</v>
      </c>
      <c r="C3724" s="254" t="s">
        <v>4523</v>
      </c>
      <c r="D3724" s="256" t="s">
        <v>24303</v>
      </c>
      <c r="E3724" s="253" t="s">
        <v>170</v>
      </c>
    </row>
    <row r="3725" spans="1:5" ht="15">
      <c r="A3725" s="254">
        <v>40653</v>
      </c>
      <c r="B3725" s="254" t="s">
        <v>24304</v>
      </c>
      <c r="C3725" s="254" t="s">
        <v>4523</v>
      </c>
      <c r="D3725" s="256" t="s">
        <v>24305</v>
      </c>
      <c r="E3725" s="253" t="s">
        <v>170</v>
      </c>
    </row>
    <row r="3726" spans="1:5" ht="15">
      <c r="A3726" s="254">
        <v>36178</v>
      </c>
      <c r="B3726" s="254" t="s">
        <v>24306</v>
      </c>
      <c r="C3726" s="254" t="s">
        <v>4521</v>
      </c>
      <c r="D3726" s="255" t="s">
        <v>16523</v>
      </c>
      <c r="E3726" s="253" t="s">
        <v>170</v>
      </c>
    </row>
    <row r="3727" spans="1:5" ht="15">
      <c r="A3727" s="254">
        <v>38195</v>
      </c>
      <c r="B3727" s="254" t="s">
        <v>24307</v>
      </c>
      <c r="C3727" s="254" t="s">
        <v>4523</v>
      </c>
      <c r="D3727" s="255" t="s">
        <v>24308</v>
      </c>
      <c r="E3727" s="253" t="s">
        <v>170</v>
      </c>
    </row>
    <row r="3728" spans="1:5" ht="30">
      <c r="A3728" s="254">
        <v>38181</v>
      </c>
      <c r="B3728" s="254" t="s">
        <v>24309</v>
      </c>
      <c r="C3728" s="254" t="s">
        <v>4523</v>
      </c>
      <c r="D3728" s="255" t="s">
        <v>24310</v>
      </c>
      <c r="E3728" s="253" t="s">
        <v>170</v>
      </c>
    </row>
    <row r="3729" spans="1:5" ht="30">
      <c r="A3729" s="254">
        <v>38182</v>
      </c>
      <c r="B3729" s="254" t="s">
        <v>24311</v>
      </c>
      <c r="C3729" s="254" t="s">
        <v>4523</v>
      </c>
      <c r="D3729" s="255" t="s">
        <v>24312</v>
      </c>
      <c r="E3729" s="253" t="s">
        <v>170</v>
      </c>
    </row>
    <row r="3730" spans="1:5" ht="30">
      <c r="A3730" s="254">
        <v>38186</v>
      </c>
      <c r="B3730" s="254" t="s">
        <v>24313</v>
      </c>
      <c r="C3730" s="254" t="s">
        <v>4523</v>
      </c>
      <c r="D3730" s="255" t="s">
        <v>24314</v>
      </c>
      <c r="E3730" s="253" t="s">
        <v>170</v>
      </c>
    </row>
    <row r="3731" spans="1:5" ht="30">
      <c r="A3731" s="254">
        <v>38185</v>
      </c>
      <c r="B3731" s="254" t="s">
        <v>24315</v>
      </c>
      <c r="C3731" s="254" t="s">
        <v>4523</v>
      </c>
      <c r="D3731" s="255" t="s">
        <v>24316</v>
      </c>
      <c r="E3731" s="253" t="s">
        <v>170</v>
      </c>
    </row>
    <row r="3732" spans="1:5" ht="30">
      <c r="A3732" s="254">
        <v>40654</v>
      </c>
      <c r="B3732" s="254" t="s">
        <v>24317</v>
      </c>
      <c r="C3732" s="254" t="s">
        <v>4523</v>
      </c>
      <c r="D3732" s="255" t="s">
        <v>24318</v>
      </c>
      <c r="E3732" s="253" t="s">
        <v>170</v>
      </c>
    </row>
    <row r="3733" spans="1:5" ht="45">
      <c r="A3733" s="254">
        <v>25981</v>
      </c>
      <c r="B3733" s="254" t="s">
        <v>24319</v>
      </c>
      <c r="C3733" s="254" t="s">
        <v>4523</v>
      </c>
      <c r="D3733" s="255" t="s">
        <v>24320</v>
      </c>
      <c r="E3733" s="253" t="s">
        <v>170</v>
      </c>
    </row>
    <row r="3734" spans="1:5" ht="30">
      <c r="A3734" s="254">
        <v>4822</v>
      </c>
      <c r="B3734" s="254" t="s">
        <v>24321</v>
      </c>
      <c r="C3734" s="254" t="s">
        <v>4523</v>
      </c>
      <c r="D3734" s="255" t="s">
        <v>24322</v>
      </c>
      <c r="E3734" s="253" t="s">
        <v>170</v>
      </c>
    </row>
    <row r="3735" spans="1:5" ht="30">
      <c r="A3735" s="254">
        <v>4818</v>
      </c>
      <c r="B3735" s="254" t="s">
        <v>24323</v>
      </c>
      <c r="C3735" s="254" t="s">
        <v>4523</v>
      </c>
      <c r="D3735" s="255" t="s">
        <v>20167</v>
      </c>
      <c r="E3735" s="253" t="s">
        <v>170</v>
      </c>
    </row>
    <row r="3736" spans="1:5" ht="45">
      <c r="A3736" s="254">
        <v>39567</v>
      </c>
      <c r="B3736" s="254" t="s">
        <v>24324</v>
      </c>
      <c r="C3736" s="254" t="s">
        <v>4523</v>
      </c>
      <c r="D3736" s="255" t="s">
        <v>24325</v>
      </c>
      <c r="E3736" s="253" t="s">
        <v>170</v>
      </c>
    </row>
    <row r="3737" spans="1:5" ht="45">
      <c r="A3737" s="254">
        <v>39566</v>
      </c>
      <c r="B3737" s="254" t="s">
        <v>24326</v>
      </c>
      <c r="C3737" s="254" t="s">
        <v>4523</v>
      </c>
      <c r="D3737" s="255" t="s">
        <v>24327</v>
      </c>
      <c r="E3737" s="253" t="s">
        <v>170</v>
      </c>
    </row>
    <row r="3738" spans="1:5" ht="15">
      <c r="A3738" s="254">
        <v>11062</v>
      </c>
      <c r="B3738" s="254" t="s">
        <v>24328</v>
      </c>
      <c r="C3738" s="254" t="s">
        <v>4523</v>
      </c>
      <c r="D3738" s="255" t="s">
        <v>24329</v>
      </c>
      <c r="E3738" s="253" t="s">
        <v>170</v>
      </c>
    </row>
    <row r="3739" spans="1:5" ht="15">
      <c r="A3739" s="254">
        <v>11063</v>
      </c>
      <c r="B3739" s="254" t="s">
        <v>24330</v>
      </c>
      <c r="C3739" s="254" t="s">
        <v>4523</v>
      </c>
      <c r="D3739" s="255" t="s">
        <v>24331</v>
      </c>
      <c r="E3739" s="253" t="s">
        <v>170</v>
      </c>
    </row>
    <row r="3740" spans="1:5" ht="15">
      <c r="A3740" s="254">
        <v>13521</v>
      </c>
      <c r="B3740" s="254" t="s">
        <v>24332</v>
      </c>
      <c r="C3740" s="254" t="s">
        <v>4521</v>
      </c>
      <c r="D3740" s="255" t="s">
        <v>24333</v>
      </c>
      <c r="E3740" s="253" t="s">
        <v>170</v>
      </c>
    </row>
    <row r="3741" spans="1:5" ht="30">
      <c r="A3741" s="254">
        <v>10851</v>
      </c>
      <c r="B3741" s="254" t="s">
        <v>24334</v>
      </c>
      <c r="C3741" s="254" t="s">
        <v>4521</v>
      </c>
      <c r="D3741" s="255" t="s">
        <v>24335</v>
      </c>
      <c r="E3741" s="253" t="s">
        <v>170</v>
      </c>
    </row>
    <row r="3742" spans="1:5" ht="30">
      <c r="A3742" s="254">
        <v>39515</v>
      </c>
      <c r="B3742" s="254" t="s">
        <v>24336</v>
      </c>
      <c r="C3742" s="254" t="s">
        <v>4521</v>
      </c>
      <c r="D3742" s="255" t="s">
        <v>17061</v>
      </c>
      <c r="E3742" s="253" t="s">
        <v>170</v>
      </c>
    </row>
    <row r="3743" spans="1:5" ht="30">
      <c r="A3743" s="254">
        <v>39516</v>
      </c>
      <c r="B3743" s="254" t="s">
        <v>24337</v>
      </c>
      <c r="C3743" s="254" t="s">
        <v>4521</v>
      </c>
      <c r="D3743" s="255" t="s">
        <v>24338</v>
      </c>
      <c r="E3743" s="253" t="s">
        <v>170</v>
      </c>
    </row>
    <row r="3744" spans="1:5" ht="30">
      <c r="A3744" s="254">
        <v>39514</v>
      </c>
      <c r="B3744" s="254" t="s">
        <v>24339</v>
      </c>
      <c r="C3744" s="254" t="s">
        <v>4521</v>
      </c>
      <c r="D3744" s="256" t="s">
        <v>15816</v>
      </c>
      <c r="E3744" s="253" t="s">
        <v>170</v>
      </c>
    </row>
    <row r="3745" spans="1:5" ht="30">
      <c r="A3745" s="254">
        <v>4812</v>
      </c>
      <c r="B3745" s="254" t="s">
        <v>24340</v>
      </c>
      <c r="C3745" s="254" t="s">
        <v>4523</v>
      </c>
      <c r="D3745" s="255" t="s">
        <v>15741</v>
      </c>
      <c r="E3745" s="253" t="s">
        <v>170</v>
      </c>
    </row>
    <row r="3746" spans="1:5" ht="15">
      <c r="A3746" s="254">
        <v>10849</v>
      </c>
      <c r="B3746" s="254" t="s">
        <v>24341</v>
      </c>
      <c r="C3746" s="254" t="s">
        <v>4521</v>
      </c>
      <c r="D3746" s="255" t="s">
        <v>24342</v>
      </c>
      <c r="E3746" s="253" t="s">
        <v>170</v>
      </c>
    </row>
    <row r="3747" spans="1:5" ht="15">
      <c r="A3747" s="254">
        <v>10848</v>
      </c>
      <c r="B3747" s="254" t="s">
        <v>24343</v>
      </c>
      <c r="C3747" s="254" t="s">
        <v>4521</v>
      </c>
      <c r="D3747" s="255" t="s">
        <v>24344</v>
      </c>
      <c r="E3747" s="253" t="s">
        <v>170</v>
      </c>
    </row>
    <row r="3748" spans="1:5" ht="30">
      <c r="A3748" s="254">
        <v>4813</v>
      </c>
      <c r="B3748" s="254" t="s">
        <v>24345</v>
      </c>
      <c r="C3748" s="254" t="s">
        <v>4523</v>
      </c>
      <c r="D3748" s="255" t="s">
        <v>24346</v>
      </c>
      <c r="E3748" s="253" t="s">
        <v>170</v>
      </c>
    </row>
    <row r="3749" spans="1:5" ht="45">
      <c r="A3749" s="254">
        <v>37560</v>
      </c>
      <c r="B3749" s="254" t="s">
        <v>24347</v>
      </c>
      <c r="C3749" s="254" t="s">
        <v>4521</v>
      </c>
      <c r="D3749" s="255" t="s">
        <v>24348</v>
      </c>
      <c r="E3749" s="253" t="s">
        <v>170</v>
      </c>
    </row>
    <row r="3750" spans="1:5" ht="45">
      <c r="A3750" s="254">
        <v>37557</v>
      </c>
      <c r="B3750" s="254" t="s">
        <v>24349</v>
      </c>
      <c r="C3750" s="254" t="s">
        <v>4521</v>
      </c>
      <c r="D3750" s="255" t="s">
        <v>16233</v>
      </c>
      <c r="E3750" s="253" t="s">
        <v>170</v>
      </c>
    </row>
    <row r="3751" spans="1:5" ht="45">
      <c r="A3751" s="254">
        <v>37556</v>
      </c>
      <c r="B3751" s="254" t="s">
        <v>24350</v>
      </c>
      <c r="C3751" s="254" t="s">
        <v>4521</v>
      </c>
      <c r="D3751" s="255" t="s">
        <v>15713</v>
      </c>
      <c r="E3751" s="253" t="s">
        <v>170</v>
      </c>
    </row>
    <row r="3752" spans="1:5" ht="45">
      <c r="A3752" s="254">
        <v>37559</v>
      </c>
      <c r="B3752" s="254" t="s">
        <v>24351</v>
      </c>
      <c r="C3752" s="254" t="s">
        <v>4521</v>
      </c>
      <c r="D3752" s="255" t="s">
        <v>13951</v>
      </c>
      <c r="E3752" s="253" t="s">
        <v>170</v>
      </c>
    </row>
    <row r="3753" spans="1:5" ht="45">
      <c r="A3753" s="254">
        <v>37539</v>
      </c>
      <c r="B3753" s="254" t="s">
        <v>24352</v>
      </c>
      <c r="C3753" s="254" t="s">
        <v>4521</v>
      </c>
      <c r="D3753" s="255" t="s">
        <v>19292</v>
      </c>
      <c r="E3753" s="253" t="s">
        <v>170</v>
      </c>
    </row>
    <row r="3754" spans="1:5" ht="45">
      <c r="A3754" s="254">
        <v>37558</v>
      </c>
      <c r="B3754" s="254" t="s">
        <v>24353</v>
      </c>
      <c r="C3754" s="254" t="s">
        <v>4521</v>
      </c>
      <c r="D3754" s="255" t="s">
        <v>24354</v>
      </c>
      <c r="E3754" s="253" t="s">
        <v>170</v>
      </c>
    </row>
    <row r="3755" spans="1:5" ht="15">
      <c r="A3755" s="254">
        <v>34723</v>
      </c>
      <c r="B3755" s="254" t="s">
        <v>24355</v>
      </c>
      <c r="C3755" s="254" t="s">
        <v>4523</v>
      </c>
      <c r="D3755" s="256" t="s">
        <v>24356</v>
      </c>
      <c r="E3755" s="253" t="s">
        <v>170</v>
      </c>
    </row>
    <row r="3756" spans="1:5" ht="15">
      <c r="A3756" s="254">
        <v>34721</v>
      </c>
      <c r="B3756" s="254" t="s">
        <v>24357</v>
      </c>
      <c r="C3756" s="254" t="s">
        <v>4523</v>
      </c>
      <c r="D3756" s="256" t="s">
        <v>24358</v>
      </c>
      <c r="E3756" s="253" t="s">
        <v>170</v>
      </c>
    </row>
    <row r="3757" spans="1:5" ht="15">
      <c r="A3757" s="254">
        <v>4309</v>
      </c>
      <c r="B3757" s="254" t="s">
        <v>24359</v>
      </c>
      <c r="C3757" s="254" t="s">
        <v>4521</v>
      </c>
      <c r="D3757" s="255" t="s">
        <v>24360</v>
      </c>
      <c r="E3757" s="253" t="s">
        <v>170</v>
      </c>
    </row>
    <row r="3758" spans="1:5" ht="15">
      <c r="A3758" s="254">
        <v>4307</v>
      </c>
      <c r="B3758" s="254" t="s">
        <v>24361</v>
      </c>
      <c r="C3758" s="254" t="s">
        <v>4521</v>
      </c>
      <c r="D3758" s="255" t="s">
        <v>17897</v>
      </c>
      <c r="E3758" s="253" t="s">
        <v>170</v>
      </c>
    </row>
    <row r="3759" spans="1:5" ht="15">
      <c r="A3759" s="254">
        <v>10850</v>
      </c>
      <c r="B3759" s="254" t="s">
        <v>24362</v>
      </c>
      <c r="C3759" s="254" t="s">
        <v>4521</v>
      </c>
      <c r="D3759" s="256" t="s">
        <v>24363</v>
      </c>
      <c r="E3759" s="253" t="s">
        <v>170</v>
      </c>
    </row>
    <row r="3760" spans="1:5" ht="45">
      <c r="A3760" s="254">
        <v>42438</v>
      </c>
      <c r="B3760" s="254" t="s">
        <v>24364</v>
      </c>
      <c r="C3760" s="254" t="s">
        <v>4521</v>
      </c>
      <c r="D3760" s="255" t="s">
        <v>24365</v>
      </c>
      <c r="E3760" s="253" t="s">
        <v>170</v>
      </c>
    </row>
    <row r="3761" spans="1:5" ht="15">
      <c r="A3761" s="254">
        <v>4792</v>
      </c>
      <c r="B3761" s="254" t="s">
        <v>24366</v>
      </c>
      <c r="C3761" s="254" t="s">
        <v>4523</v>
      </c>
      <c r="D3761" s="255" t="s">
        <v>24367</v>
      </c>
      <c r="E3761" s="253" t="s">
        <v>170</v>
      </c>
    </row>
    <row r="3762" spans="1:5" ht="30">
      <c r="A3762" s="254">
        <v>4790</v>
      </c>
      <c r="B3762" s="254" t="s">
        <v>24368</v>
      </c>
      <c r="C3762" s="254" t="s">
        <v>4523</v>
      </c>
      <c r="D3762" s="255" t="s">
        <v>17895</v>
      </c>
      <c r="E3762" s="253" t="s">
        <v>170</v>
      </c>
    </row>
    <row r="3763" spans="1:5" ht="30">
      <c r="A3763" s="254">
        <v>40671</v>
      </c>
      <c r="B3763" s="254" t="s">
        <v>24369</v>
      </c>
      <c r="C3763" s="254" t="s">
        <v>4523</v>
      </c>
      <c r="D3763" s="255" t="s">
        <v>24370</v>
      </c>
      <c r="E3763" s="253" t="s">
        <v>170</v>
      </c>
    </row>
    <row r="3764" spans="1:5" ht="30">
      <c r="A3764" s="254">
        <v>7552</v>
      </c>
      <c r="B3764" s="254" t="s">
        <v>24371</v>
      </c>
      <c r="C3764" s="254" t="s">
        <v>4521</v>
      </c>
      <c r="D3764" s="255" t="s">
        <v>18566</v>
      </c>
      <c r="E3764" s="253" t="s">
        <v>170</v>
      </c>
    </row>
    <row r="3765" spans="1:5" ht="15">
      <c r="A3765" s="254">
        <v>4893</v>
      </c>
      <c r="B3765" s="254" t="s">
        <v>24372</v>
      </c>
      <c r="C3765" s="254" t="s">
        <v>4521</v>
      </c>
      <c r="D3765" s="255" t="s">
        <v>15497</v>
      </c>
      <c r="E3765" s="253" t="s">
        <v>170</v>
      </c>
    </row>
    <row r="3766" spans="1:5" ht="15">
      <c r="A3766" s="254">
        <v>4894</v>
      </c>
      <c r="B3766" s="254" t="s">
        <v>24373</v>
      </c>
      <c r="C3766" s="254" t="s">
        <v>4521</v>
      </c>
      <c r="D3766" s="255" t="s">
        <v>16446</v>
      </c>
      <c r="E3766" s="253" t="s">
        <v>170</v>
      </c>
    </row>
    <row r="3767" spans="1:5" ht="15">
      <c r="A3767" s="254">
        <v>4888</v>
      </c>
      <c r="B3767" s="254" t="s">
        <v>24374</v>
      </c>
      <c r="C3767" s="254" t="s">
        <v>4521</v>
      </c>
      <c r="D3767" s="256" t="s">
        <v>18923</v>
      </c>
      <c r="E3767" s="253" t="s">
        <v>170</v>
      </c>
    </row>
    <row r="3768" spans="1:5" ht="15">
      <c r="A3768" s="254">
        <v>4890</v>
      </c>
      <c r="B3768" s="254" t="s">
        <v>24375</v>
      </c>
      <c r="C3768" s="254" t="s">
        <v>4521</v>
      </c>
      <c r="D3768" s="255" t="s">
        <v>16706</v>
      </c>
      <c r="E3768" s="253" t="s">
        <v>170</v>
      </c>
    </row>
    <row r="3769" spans="1:5" ht="15">
      <c r="A3769" s="254">
        <v>12411</v>
      </c>
      <c r="B3769" s="254" t="s">
        <v>24376</v>
      </c>
      <c r="C3769" s="254" t="s">
        <v>4521</v>
      </c>
      <c r="D3769" s="255" t="s">
        <v>16640</v>
      </c>
      <c r="E3769" s="253" t="s">
        <v>170</v>
      </c>
    </row>
    <row r="3770" spans="1:5" ht="15">
      <c r="A3770" s="254">
        <v>4891</v>
      </c>
      <c r="B3770" s="254" t="s">
        <v>24377</v>
      </c>
      <c r="C3770" s="254" t="s">
        <v>4521</v>
      </c>
      <c r="D3770" s="255" t="s">
        <v>16369</v>
      </c>
      <c r="E3770" s="253" t="s">
        <v>170</v>
      </c>
    </row>
    <row r="3771" spans="1:5" ht="15">
      <c r="A3771" s="254">
        <v>4889</v>
      </c>
      <c r="B3771" s="254" t="s">
        <v>24378</v>
      </c>
      <c r="C3771" s="254" t="s">
        <v>4521</v>
      </c>
      <c r="D3771" s="255" t="s">
        <v>13613</v>
      </c>
      <c r="E3771" s="253" t="s">
        <v>170</v>
      </c>
    </row>
    <row r="3772" spans="1:5" ht="15">
      <c r="A3772" s="254">
        <v>4892</v>
      </c>
      <c r="B3772" s="254" t="s">
        <v>24379</v>
      </c>
      <c r="C3772" s="254" t="s">
        <v>4521</v>
      </c>
      <c r="D3772" s="255" t="s">
        <v>23651</v>
      </c>
      <c r="E3772" s="253" t="s">
        <v>170</v>
      </c>
    </row>
    <row r="3773" spans="1:5" ht="15">
      <c r="A3773" s="254">
        <v>12412</v>
      </c>
      <c r="B3773" s="254" t="s">
        <v>24380</v>
      </c>
      <c r="C3773" s="254" t="s">
        <v>4521</v>
      </c>
      <c r="D3773" s="255" t="s">
        <v>24381</v>
      </c>
      <c r="E3773" s="253" t="s">
        <v>170</v>
      </c>
    </row>
    <row r="3774" spans="1:5" ht="15">
      <c r="A3774" s="254">
        <v>11073</v>
      </c>
      <c r="B3774" s="254" t="s">
        <v>24382</v>
      </c>
      <c r="C3774" s="254" t="s">
        <v>4521</v>
      </c>
      <c r="D3774" s="255" t="s">
        <v>18520</v>
      </c>
      <c r="E3774" s="253" t="s">
        <v>170</v>
      </c>
    </row>
    <row r="3775" spans="1:5" ht="15">
      <c r="A3775" s="254">
        <v>11071</v>
      </c>
      <c r="B3775" s="254" t="s">
        <v>24383</v>
      </c>
      <c r="C3775" s="254" t="s">
        <v>4521</v>
      </c>
      <c r="D3775" s="255" t="s">
        <v>16429</v>
      </c>
      <c r="E3775" s="253" t="s">
        <v>170</v>
      </c>
    </row>
    <row r="3776" spans="1:5" ht="15">
      <c r="A3776" s="254">
        <v>11072</v>
      </c>
      <c r="B3776" s="254" t="s">
        <v>24384</v>
      </c>
      <c r="C3776" s="254" t="s">
        <v>4521</v>
      </c>
      <c r="D3776" s="255" t="s">
        <v>19534</v>
      </c>
      <c r="E3776" s="253" t="s">
        <v>170</v>
      </c>
    </row>
    <row r="3777" spans="1:5" ht="15">
      <c r="A3777" s="254">
        <v>4895</v>
      </c>
      <c r="B3777" s="254" t="s">
        <v>24385</v>
      </c>
      <c r="C3777" s="254" t="s">
        <v>4521</v>
      </c>
      <c r="D3777" s="255" t="s">
        <v>19640</v>
      </c>
      <c r="E3777" s="253" t="s">
        <v>170</v>
      </c>
    </row>
    <row r="3778" spans="1:5" ht="15">
      <c r="A3778" s="254">
        <v>4907</v>
      </c>
      <c r="B3778" s="254" t="s">
        <v>24386</v>
      </c>
      <c r="C3778" s="254" t="s">
        <v>4521</v>
      </c>
      <c r="D3778" s="255" t="s">
        <v>24387</v>
      </c>
      <c r="E3778" s="253" t="s">
        <v>170</v>
      </c>
    </row>
    <row r="3779" spans="1:5" ht="15">
      <c r="A3779" s="254">
        <v>4902</v>
      </c>
      <c r="B3779" s="254" t="s">
        <v>24388</v>
      </c>
      <c r="C3779" s="254" t="s">
        <v>4521</v>
      </c>
      <c r="D3779" s="255" t="s">
        <v>24389</v>
      </c>
      <c r="E3779" s="253" t="s">
        <v>170</v>
      </c>
    </row>
    <row r="3780" spans="1:5" ht="15">
      <c r="A3780" s="254">
        <v>4908</v>
      </c>
      <c r="B3780" s="254" t="s">
        <v>24390</v>
      </c>
      <c r="C3780" s="254" t="s">
        <v>4521</v>
      </c>
      <c r="D3780" s="255" t="s">
        <v>24391</v>
      </c>
      <c r="E3780" s="253" t="s">
        <v>170</v>
      </c>
    </row>
    <row r="3781" spans="1:5" ht="15">
      <c r="A3781" s="254">
        <v>4909</v>
      </c>
      <c r="B3781" s="254" t="s">
        <v>24392</v>
      </c>
      <c r="C3781" s="254" t="s">
        <v>4521</v>
      </c>
      <c r="D3781" s="255" t="s">
        <v>24393</v>
      </c>
      <c r="E3781" s="253" t="s">
        <v>170</v>
      </c>
    </row>
    <row r="3782" spans="1:5" ht="15">
      <c r="A3782" s="254">
        <v>4903</v>
      </c>
      <c r="B3782" s="254" t="s">
        <v>24394</v>
      </c>
      <c r="C3782" s="254" t="s">
        <v>4521</v>
      </c>
      <c r="D3782" s="255" t="s">
        <v>24395</v>
      </c>
      <c r="E3782" s="253" t="s">
        <v>170</v>
      </c>
    </row>
    <row r="3783" spans="1:5" ht="15">
      <c r="A3783" s="254">
        <v>4897</v>
      </c>
      <c r="B3783" s="254" t="s">
        <v>24396</v>
      </c>
      <c r="C3783" s="254" t="s">
        <v>4521</v>
      </c>
      <c r="D3783" s="255" t="s">
        <v>14212</v>
      </c>
      <c r="E3783" s="253" t="s">
        <v>170</v>
      </c>
    </row>
    <row r="3784" spans="1:5" ht="15">
      <c r="A3784" s="254">
        <v>4896</v>
      </c>
      <c r="B3784" s="254" t="s">
        <v>24397</v>
      </c>
      <c r="C3784" s="254" t="s">
        <v>4521</v>
      </c>
      <c r="D3784" s="255" t="s">
        <v>14349</v>
      </c>
      <c r="E3784" s="253" t="s">
        <v>170</v>
      </c>
    </row>
    <row r="3785" spans="1:5" ht="15">
      <c r="A3785" s="254">
        <v>4900</v>
      </c>
      <c r="B3785" s="254" t="s">
        <v>24398</v>
      </c>
      <c r="C3785" s="254" t="s">
        <v>4521</v>
      </c>
      <c r="D3785" s="255" t="s">
        <v>18144</v>
      </c>
      <c r="E3785" s="253" t="s">
        <v>170</v>
      </c>
    </row>
    <row r="3786" spans="1:5" ht="15">
      <c r="A3786" s="254">
        <v>4898</v>
      </c>
      <c r="B3786" s="254" t="s">
        <v>24399</v>
      </c>
      <c r="C3786" s="254" t="s">
        <v>4521</v>
      </c>
      <c r="D3786" s="255" t="s">
        <v>17873</v>
      </c>
      <c r="E3786" s="253" t="s">
        <v>170</v>
      </c>
    </row>
    <row r="3787" spans="1:5" ht="15">
      <c r="A3787" s="254">
        <v>4899</v>
      </c>
      <c r="B3787" s="254" t="s">
        <v>24400</v>
      </c>
      <c r="C3787" s="254" t="s">
        <v>4521</v>
      </c>
      <c r="D3787" s="255" t="s">
        <v>17531</v>
      </c>
      <c r="E3787" s="253" t="s">
        <v>170</v>
      </c>
    </row>
    <row r="3788" spans="1:5" ht="15">
      <c r="A3788" s="254">
        <v>11096</v>
      </c>
      <c r="B3788" s="254" t="s">
        <v>24401</v>
      </c>
      <c r="C3788" s="254" t="s">
        <v>4525</v>
      </c>
      <c r="D3788" s="255" t="s">
        <v>14065</v>
      </c>
      <c r="E3788" s="253" t="s">
        <v>170</v>
      </c>
    </row>
    <row r="3789" spans="1:5" ht="15">
      <c r="A3789" s="254">
        <v>4741</v>
      </c>
      <c r="B3789" s="254" t="s">
        <v>24402</v>
      </c>
      <c r="C3789" s="254" t="s">
        <v>4522</v>
      </c>
      <c r="D3789" s="255" t="s">
        <v>24403</v>
      </c>
      <c r="E3789" s="253" t="s">
        <v>170</v>
      </c>
    </row>
    <row r="3790" spans="1:5" ht="15">
      <c r="A3790" s="254">
        <v>4752</v>
      </c>
      <c r="B3790" s="254" t="s">
        <v>24404</v>
      </c>
      <c r="C3790" s="254" t="s">
        <v>4520</v>
      </c>
      <c r="D3790" s="255" t="s">
        <v>16554</v>
      </c>
      <c r="E3790" s="253" t="s">
        <v>8722</v>
      </c>
    </row>
    <row r="3791" spans="1:5" ht="15">
      <c r="A3791" s="254">
        <v>41091</v>
      </c>
      <c r="B3791" s="254" t="s">
        <v>24405</v>
      </c>
      <c r="C3791" s="254" t="s">
        <v>4528</v>
      </c>
      <c r="D3791" s="255" t="s">
        <v>24406</v>
      </c>
      <c r="E3791" s="253" t="s">
        <v>8722</v>
      </c>
    </row>
    <row r="3792" spans="1:5" ht="30">
      <c r="A3792" s="254">
        <v>13954</v>
      </c>
      <c r="B3792" s="254" t="s">
        <v>24407</v>
      </c>
      <c r="C3792" s="254" t="s">
        <v>4521</v>
      </c>
      <c r="D3792" s="255" t="s">
        <v>24408</v>
      </c>
      <c r="E3792" s="253" t="s">
        <v>170</v>
      </c>
    </row>
    <row r="3793" spans="1:5" ht="15">
      <c r="A3793" s="254">
        <v>3411</v>
      </c>
      <c r="B3793" s="254" t="s">
        <v>24409</v>
      </c>
      <c r="C3793" s="254" t="s">
        <v>4525</v>
      </c>
      <c r="D3793" s="255" t="s">
        <v>24410</v>
      </c>
      <c r="E3793" s="253" t="s">
        <v>170</v>
      </c>
    </row>
    <row r="3794" spans="1:5" ht="15">
      <c r="A3794" s="254">
        <v>39995</v>
      </c>
      <c r="B3794" s="254" t="s">
        <v>24411</v>
      </c>
      <c r="C3794" s="254" t="s">
        <v>4522</v>
      </c>
      <c r="D3794" s="255" t="s">
        <v>24412</v>
      </c>
      <c r="E3794" s="253" t="s">
        <v>170</v>
      </c>
    </row>
    <row r="3795" spans="1:5" ht="30">
      <c r="A3795" s="254">
        <v>11615</v>
      </c>
      <c r="B3795" s="254" t="s">
        <v>24413</v>
      </c>
      <c r="C3795" s="254" t="s">
        <v>4523</v>
      </c>
      <c r="D3795" s="255" t="s">
        <v>24414</v>
      </c>
      <c r="E3795" s="253" t="s">
        <v>170</v>
      </c>
    </row>
    <row r="3796" spans="1:5" ht="30">
      <c r="A3796" s="254">
        <v>3408</v>
      </c>
      <c r="B3796" s="254" t="s">
        <v>24415</v>
      </c>
      <c r="C3796" s="254" t="s">
        <v>4523</v>
      </c>
      <c r="D3796" s="255" t="s">
        <v>17661</v>
      </c>
      <c r="E3796" s="253" t="s">
        <v>170</v>
      </c>
    </row>
    <row r="3797" spans="1:5" ht="30">
      <c r="A3797" s="254">
        <v>3409</v>
      </c>
      <c r="B3797" s="254" t="s">
        <v>24416</v>
      </c>
      <c r="C3797" s="254" t="s">
        <v>4523</v>
      </c>
      <c r="D3797" s="255" t="s">
        <v>21443</v>
      </c>
      <c r="E3797" s="253" t="s">
        <v>170</v>
      </c>
    </row>
    <row r="3798" spans="1:5" ht="15">
      <c r="A3798" s="254">
        <v>11427</v>
      </c>
      <c r="B3798" s="254" t="s">
        <v>24417</v>
      </c>
      <c r="C3798" s="254" t="s">
        <v>4525</v>
      </c>
      <c r="D3798" s="255" t="s">
        <v>24418</v>
      </c>
      <c r="E3798" s="253" t="s">
        <v>170</v>
      </c>
    </row>
    <row r="3799" spans="1:5" ht="30">
      <c r="A3799" s="254">
        <v>4491</v>
      </c>
      <c r="B3799" s="254" t="s">
        <v>24419</v>
      </c>
      <c r="C3799" s="254" t="s">
        <v>4524</v>
      </c>
      <c r="D3799" s="255" t="s">
        <v>16517</v>
      </c>
      <c r="E3799" s="253" t="s">
        <v>170</v>
      </c>
    </row>
    <row r="3800" spans="1:5" ht="30">
      <c r="A3800" s="254">
        <v>26022</v>
      </c>
      <c r="B3800" s="254" t="s">
        <v>24420</v>
      </c>
      <c r="C3800" s="254" t="s">
        <v>4521</v>
      </c>
      <c r="D3800" s="255" t="s">
        <v>24421</v>
      </c>
      <c r="E3800" s="253" t="s">
        <v>170</v>
      </c>
    </row>
    <row r="3801" spans="1:5" ht="15">
      <c r="A3801" s="254">
        <v>421</v>
      </c>
      <c r="B3801" s="254" t="s">
        <v>24422</v>
      </c>
      <c r="C3801" s="254" t="s">
        <v>4521</v>
      </c>
      <c r="D3801" s="255" t="s">
        <v>17621</v>
      </c>
      <c r="E3801" s="253" t="s">
        <v>170</v>
      </c>
    </row>
    <row r="3802" spans="1:5" ht="15">
      <c r="A3802" s="254">
        <v>12362</v>
      </c>
      <c r="B3802" s="254" t="s">
        <v>24423</v>
      </c>
      <c r="C3802" s="254" t="s">
        <v>4521</v>
      </c>
      <c r="D3802" s="255" t="s">
        <v>15807</v>
      </c>
      <c r="E3802" s="253" t="s">
        <v>170</v>
      </c>
    </row>
    <row r="3803" spans="1:5" ht="30">
      <c r="A3803" s="254">
        <v>14148</v>
      </c>
      <c r="B3803" s="254" t="s">
        <v>24424</v>
      </c>
      <c r="C3803" s="254" t="s">
        <v>4521</v>
      </c>
      <c r="D3803" s="255" t="s">
        <v>14026</v>
      </c>
      <c r="E3803" s="253" t="s">
        <v>170</v>
      </c>
    </row>
    <row r="3804" spans="1:5" ht="15">
      <c r="A3804" s="254">
        <v>4341</v>
      </c>
      <c r="B3804" s="254" t="s">
        <v>24425</v>
      </c>
      <c r="C3804" s="254" t="s">
        <v>4521</v>
      </c>
      <c r="D3804" s="255" t="s">
        <v>14355</v>
      </c>
      <c r="E3804" s="253" t="s">
        <v>170</v>
      </c>
    </row>
    <row r="3805" spans="1:5" ht="15">
      <c r="A3805" s="254">
        <v>4337</v>
      </c>
      <c r="B3805" s="254" t="s">
        <v>24426</v>
      </c>
      <c r="C3805" s="254" t="s">
        <v>4521</v>
      </c>
      <c r="D3805" s="255" t="s">
        <v>19217</v>
      </c>
      <c r="E3805" s="253" t="s">
        <v>170</v>
      </c>
    </row>
    <row r="3806" spans="1:5" ht="15">
      <c r="A3806" s="254">
        <v>4339</v>
      </c>
      <c r="B3806" s="254" t="s">
        <v>24427</v>
      </c>
      <c r="C3806" s="254" t="s">
        <v>4521</v>
      </c>
      <c r="D3806" s="255" t="s">
        <v>13987</v>
      </c>
      <c r="E3806" s="253" t="s">
        <v>170</v>
      </c>
    </row>
    <row r="3807" spans="1:5" ht="15">
      <c r="A3807" s="254">
        <v>39997</v>
      </c>
      <c r="B3807" s="254" t="s">
        <v>24428</v>
      </c>
      <c r="C3807" s="254" t="s">
        <v>4521</v>
      </c>
      <c r="D3807" s="255" t="s">
        <v>14399</v>
      </c>
      <c r="E3807" s="253" t="s">
        <v>170</v>
      </c>
    </row>
    <row r="3808" spans="1:5" ht="15">
      <c r="A3808" s="254">
        <v>11971</v>
      </c>
      <c r="B3808" s="254" t="s">
        <v>24429</v>
      </c>
      <c r="C3808" s="254" t="s">
        <v>4521</v>
      </c>
      <c r="D3808" s="255" t="s">
        <v>17665</v>
      </c>
      <c r="E3808" s="253" t="s">
        <v>170</v>
      </c>
    </row>
    <row r="3809" spans="1:5" ht="15">
      <c r="A3809" s="254">
        <v>4342</v>
      </c>
      <c r="B3809" s="254" t="s">
        <v>24430</v>
      </c>
      <c r="C3809" s="254" t="s">
        <v>4521</v>
      </c>
      <c r="D3809" s="255" t="s">
        <v>14210</v>
      </c>
      <c r="E3809" s="253" t="s">
        <v>170</v>
      </c>
    </row>
    <row r="3810" spans="1:5" ht="15">
      <c r="A3810" s="254">
        <v>4330</v>
      </c>
      <c r="B3810" s="254" t="s">
        <v>24431</v>
      </c>
      <c r="C3810" s="254" t="s">
        <v>4521</v>
      </c>
      <c r="D3810" s="255" t="s">
        <v>14374</v>
      </c>
      <c r="E3810" s="253" t="s">
        <v>170</v>
      </c>
    </row>
    <row r="3811" spans="1:5" ht="15">
      <c r="A3811" s="254">
        <v>4340</v>
      </c>
      <c r="B3811" s="254" t="s">
        <v>24432</v>
      </c>
      <c r="C3811" s="254" t="s">
        <v>4521</v>
      </c>
      <c r="D3811" s="255" t="s">
        <v>14184</v>
      </c>
      <c r="E3811" s="253" t="s">
        <v>170</v>
      </c>
    </row>
    <row r="3812" spans="1:5" ht="15">
      <c r="A3812" s="254">
        <v>5088</v>
      </c>
      <c r="B3812" s="254" t="s">
        <v>24433</v>
      </c>
      <c r="C3812" s="254" t="s">
        <v>4521</v>
      </c>
      <c r="D3812" s="255" t="s">
        <v>24434</v>
      </c>
      <c r="E3812" s="253" t="s">
        <v>170</v>
      </c>
    </row>
    <row r="3813" spans="1:5" ht="30">
      <c r="A3813" s="254">
        <v>11154</v>
      </c>
      <c r="B3813" s="254" t="s">
        <v>24435</v>
      </c>
      <c r="C3813" s="254" t="s">
        <v>4521</v>
      </c>
      <c r="D3813" s="255" t="s">
        <v>24436</v>
      </c>
      <c r="E3813" s="253" t="s">
        <v>170</v>
      </c>
    </row>
    <row r="3814" spans="1:5" ht="45">
      <c r="A3814" s="254">
        <v>39021</v>
      </c>
      <c r="B3814" s="254" t="s">
        <v>24437</v>
      </c>
      <c r="C3814" s="254" t="s">
        <v>4521</v>
      </c>
      <c r="D3814" s="256" t="s">
        <v>24438</v>
      </c>
      <c r="E3814" s="253" t="s">
        <v>170</v>
      </c>
    </row>
    <row r="3815" spans="1:5" ht="30">
      <c r="A3815" s="254">
        <v>39022</v>
      </c>
      <c r="B3815" s="254" t="s">
        <v>24439</v>
      </c>
      <c r="C3815" s="254" t="s">
        <v>4521</v>
      </c>
      <c r="D3815" s="255" t="s">
        <v>24440</v>
      </c>
      <c r="E3815" s="253" t="s">
        <v>170</v>
      </c>
    </row>
    <row r="3816" spans="1:5" ht="45">
      <c r="A3816" s="254">
        <v>39024</v>
      </c>
      <c r="B3816" s="254" t="s">
        <v>24441</v>
      </c>
      <c r="C3816" s="254" t="s">
        <v>4521</v>
      </c>
      <c r="D3816" s="255" t="s">
        <v>24442</v>
      </c>
      <c r="E3816" s="253" t="s">
        <v>170</v>
      </c>
    </row>
    <row r="3817" spans="1:5" ht="30">
      <c r="A3817" s="254">
        <v>4914</v>
      </c>
      <c r="B3817" s="254" t="s">
        <v>24443</v>
      </c>
      <c r="C3817" s="254" t="s">
        <v>4523</v>
      </c>
      <c r="D3817" s="255" t="s">
        <v>24444</v>
      </c>
      <c r="E3817" s="253" t="s">
        <v>170</v>
      </c>
    </row>
    <row r="3818" spans="1:5" ht="30">
      <c r="A3818" s="254">
        <v>4917</v>
      </c>
      <c r="B3818" s="254" t="s">
        <v>24445</v>
      </c>
      <c r="C3818" s="254" t="s">
        <v>4523</v>
      </c>
      <c r="D3818" s="255" t="s">
        <v>24446</v>
      </c>
      <c r="E3818" s="253" t="s">
        <v>170</v>
      </c>
    </row>
    <row r="3819" spans="1:5" ht="30">
      <c r="A3819" s="254">
        <v>39025</v>
      </c>
      <c r="B3819" s="254" t="s">
        <v>24447</v>
      </c>
      <c r="C3819" s="254" t="s">
        <v>4521</v>
      </c>
      <c r="D3819" s="255" t="s">
        <v>24448</v>
      </c>
      <c r="E3819" s="253" t="s">
        <v>170</v>
      </c>
    </row>
    <row r="3820" spans="1:5" ht="30">
      <c r="A3820" s="254">
        <v>4930</v>
      </c>
      <c r="B3820" s="254" t="s">
        <v>24449</v>
      </c>
      <c r="C3820" s="254" t="s">
        <v>4523</v>
      </c>
      <c r="D3820" s="255" t="s">
        <v>24450</v>
      </c>
      <c r="E3820" s="253" t="s">
        <v>170</v>
      </c>
    </row>
    <row r="3821" spans="1:5" ht="45">
      <c r="A3821" s="254">
        <v>4922</v>
      </c>
      <c r="B3821" s="254" t="s">
        <v>24451</v>
      </c>
      <c r="C3821" s="254" t="s">
        <v>4523</v>
      </c>
      <c r="D3821" s="255" t="s">
        <v>24452</v>
      </c>
      <c r="E3821" s="253" t="s">
        <v>170</v>
      </c>
    </row>
    <row r="3822" spans="1:5" ht="30">
      <c r="A3822" s="254">
        <v>4911</v>
      </c>
      <c r="B3822" s="254" t="s">
        <v>24453</v>
      </c>
      <c r="C3822" s="254" t="s">
        <v>4523</v>
      </c>
      <c r="D3822" s="255" t="s">
        <v>24454</v>
      </c>
      <c r="E3822" s="253" t="s">
        <v>170</v>
      </c>
    </row>
    <row r="3823" spans="1:5" ht="45">
      <c r="A3823" s="254">
        <v>37518</v>
      </c>
      <c r="B3823" s="254" t="s">
        <v>24455</v>
      </c>
      <c r="C3823" s="254" t="s">
        <v>4523</v>
      </c>
      <c r="D3823" s="255" t="s">
        <v>15105</v>
      </c>
      <c r="E3823" s="253" t="s">
        <v>170</v>
      </c>
    </row>
    <row r="3824" spans="1:5" ht="30">
      <c r="A3824" s="254">
        <v>4910</v>
      </c>
      <c r="B3824" s="254" t="s">
        <v>24456</v>
      </c>
      <c r="C3824" s="254" t="s">
        <v>4523</v>
      </c>
      <c r="D3824" s="255" t="s">
        <v>24457</v>
      </c>
      <c r="E3824" s="253" t="s">
        <v>170</v>
      </c>
    </row>
    <row r="3825" spans="1:5" ht="30">
      <c r="A3825" s="254">
        <v>4943</v>
      </c>
      <c r="B3825" s="254" t="s">
        <v>24458</v>
      </c>
      <c r="C3825" s="254" t="s">
        <v>4523</v>
      </c>
      <c r="D3825" s="255" t="s">
        <v>24459</v>
      </c>
      <c r="E3825" s="253" t="s">
        <v>170</v>
      </c>
    </row>
    <row r="3826" spans="1:5" ht="30">
      <c r="A3826" s="254">
        <v>5002</v>
      </c>
      <c r="B3826" s="254" t="s">
        <v>24460</v>
      </c>
      <c r="C3826" s="254" t="s">
        <v>4523</v>
      </c>
      <c r="D3826" s="255" t="s">
        <v>24461</v>
      </c>
      <c r="E3826" s="253" t="s">
        <v>170</v>
      </c>
    </row>
    <row r="3827" spans="1:5" ht="30">
      <c r="A3827" s="254">
        <v>4977</v>
      </c>
      <c r="B3827" s="254" t="s">
        <v>24462</v>
      </c>
      <c r="C3827" s="254" t="s">
        <v>4523</v>
      </c>
      <c r="D3827" s="255" t="s">
        <v>24463</v>
      </c>
      <c r="E3827" s="253" t="s">
        <v>170</v>
      </c>
    </row>
    <row r="3828" spans="1:5" ht="30">
      <c r="A3828" s="254">
        <v>5028</v>
      </c>
      <c r="B3828" s="254" t="s">
        <v>24464</v>
      </c>
      <c r="C3828" s="254" t="s">
        <v>4523</v>
      </c>
      <c r="D3828" s="255" t="s">
        <v>24465</v>
      </c>
      <c r="E3828" s="253" t="s">
        <v>170</v>
      </c>
    </row>
    <row r="3829" spans="1:5" ht="30">
      <c r="A3829" s="254">
        <v>4998</v>
      </c>
      <c r="B3829" s="254" t="s">
        <v>24466</v>
      </c>
      <c r="C3829" s="254" t="s">
        <v>4523</v>
      </c>
      <c r="D3829" s="255" t="s">
        <v>24467</v>
      </c>
      <c r="E3829" s="253" t="s">
        <v>170</v>
      </c>
    </row>
    <row r="3830" spans="1:5" ht="30">
      <c r="A3830" s="254">
        <v>4969</v>
      </c>
      <c r="B3830" s="254" t="s">
        <v>24468</v>
      </c>
      <c r="C3830" s="254" t="s">
        <v>4523</v>
      </c>
      <c r="D3830" s="255" t="s">
        <v>24469</v>
      </c>
      <c r="E3830" s="253" t="s">
        <v>170</v>
      </c>
    </row>
    <row r="3831" spans="1:5" ht="30">
      <c r="A3831" s="254">
        <v>11364</v>
      </c>
      <c r="B3831" s="254" t="s">
        <v>24470</v>
      </c>
      <c r="C3831" s="254" t="s">
        <v>4521</v>
      </c>
      <c r="D3831" s="255" t="s">
        <v>24471</v>
      </c>
      <c r="E3831" s="253" t="s">
        <v>170</v>
      </c>
    </row>
    <row r="3832" spans="1:5" ht="30">
      <c r="A3832" s="254">
        <v>11365</v>
      </c>
      <c r="B3832" s="254" t="s">
        <v>24472</v>
      </c>
      <c r="C3832" s="254" t="s">
        <v>4521</v>
      </c>
      <c r="D3832" s="255" t="s">
        <v>24473</v>
      </c>
      <c r="E3832" s="253" t="s">
        <v>170</v>
      </c>
    </row>
    <row r="3833" spans="1:5" ht="30">
      <c r="A3833" s="254">
        <v>11366</v>
      </c>
      <c r="B3833" s="254" t="s">
        <v>24474</v>
      </c>
      <c r="C3833" s="254" t="s">
        <v>4521</v>
      </c>
      <c r="D3833" s="255" t="s">
        <v>24475</v>
      </c>
      <c r="E3833" s="253" t="s">
        <v>170</v>
      </c>
    </row>
    <row r="3834" spans="1:5" ht="30">
      <c r="A3834" s="254">
        <v>11367</v>
      </c>
      <c r="B3834" s="254" t="s">
        <v>24476</v>
      </c>
      <c r="C3834" s="254" t="s">
        <v>4523</v>
      </c>
      <c r="D3834" s="255" t="s">
        <v>24477</v>
      </c>
      <c r="E3834" s="253" t="s">
        <v>170</v>
      </c>
    </row>
    <row r="3835" spans="1:5" ht="45">
      <c r="A3835" s="254">
        <v>4989</v>
      </c>
      <c r="B3835" s="254" t="s">
        <v>24478</v>
      </c>
      <c r="C3835" s="254" t="s">
        <v>4521</v>
      </c>
      <c r="D3835" s="255" t="s">
        <v>24479</v>
      </c>
      <c r="E3835" s="253" t="s">
        <v>170</v>
      </c>
    </row>
    <row r="3836" spans="1:5" ht="30">
      <c r="A3836" s="254">
        <v>4982</v>
      </c>
      <c r="B3836" s="254" t="s">
        <v>24480</v>
      </c>
      <c r="C3836" s="254" t="s">
        <v>4521</v>
      </c>
      <c r="D3836" s="255" t="s">
        <v>24481</v>
      </c>
      <c r="E3836" s="253" t="s">
        <v>170</v>
      </c>
    </row>
    <row r="3837" spans="1:5" ht="45">
      <c r="A3837" s="254">
        <v>20322</v>
      </c>
      <c r="B3837" s="254" t="s">
        <v>24482</v>
      </c>
      <c r="C3837" s="254" t="s">
        <v>4521</v>
      </c>
      <c r="D3837" s="255" t="s">
        <v>24483</v>
      </c>
      <c r="E3837" s="253" t="s">
        <v>170</v>
      </c>
    </row>
    <row r="3838" spans="1:5" ht="30">
      <c r="A3838" s="254">
        <v>10553</v>
      </c>
      <c r="B3838" s="254" t="s">
        <v>24484</v>
      </c>
      <c r="C3838" s="254" t="s">
        <v>4521</v>
      </c>
      <c r="D3838" s="255" t="s">
        <v>24485</v>
      </c>
      <c r="E3838" s="253" t="s">
        <v>170</v>
      </c>
    </row>
    <row r="3839" spans="1:5" ht="30">
      <c r="A3839" s="254">
        <v>5020</v>
      </c>
      <c r="B3839" s="254" t="s">
        <v>24486</v>
      </c>
      <c r="C3839" s="254" t="s">
        <v>4521</v>
      </c>
      <c r="D3839" s="255" t="s">
        <v>15181</v>
      </c>
      <c r="E3839" s="253" t="s">
        <v>170</v>
      </c>
    </row>
    <row r="3840" spans="1:5" ht="45">
      <c r="A3840" s="254">
        <v>4962</v>
      </c>
      <c r="B3840" s="254" t="s">
        <v>24487</v>
      </c>
      <c r="C3840" s="254" t="s">
        <v>4521</v>
      </c>
      <c r="D3840" s="255" t="s">
        <v>24488</v>
      </c>
      <c r="E3840" s="253" t="s">
        <v>170</v>
      </c>
    </row>
    <row r="3841" spans="1:5" ht="45">
      <c r="A3841" s="254">
        <v>4981</v>
      </c>
      <c r="B3841" s="254" t="s">
        <v>24489</v>
      </c>
      <c r="C3841" s="254" t="s">
        <v>4521</v>
      </c>
      <c r="D3841" s="255" t="s">
        <v>24490</v>
      </c>
      <c r="E3841" s="253" t="s">
        <v>170</v>
      </c>
    </row>
    <row r="3842" spans="1:5" ht="30">
      <c r="A3842" s="254">
        <v>10554</v>
      </c>
      <c r="B3842" s="254" t="s">
        <v>24491</v>
      </c>
      <c r="C3842" s="254" t="s">
        <v>4521</v>
      </c>
      <c r="D3842" s="255" t="s">
        <v>24492</v>
      </c>
      <c r="E3842" s="253" t="s">
        <v>170</v>
      </c>
    </row>
    <row r="3843" spans="1:5" ht="45">
      <c r="A3843" s="254">
        <v>4964</v>
      </c>
      <c r="B3843" s="254" t="s">
        <v>24493</v>
      </c>
      <c r="C3843" s="254" t="s">
        <v>4521</v>
      </c>
      <c r="D3843" s="255" t="s">
        <v>24494</v>
      </c>
      <c r="E3843" s="253" t="s">
        <v>170</v>
      </c>
    </row>
    <row r="3844" spans="1:5" ht="45">
      <c r="A3844" s="254">
        <v>4992</v>
      </c>
      <c r="B3844" s="254" t="s">
        <v>24495</v>
      </c>
      <c r="C3844" s="254" t="s">
        <v>4521</v>
      </c>
      <c r="D3844" s="255" t="s">
        <v>24496</v>
      </c>
      <c r="E3844" s="253" t="s">
        <v>170</v>
      </c>
    </row>
    <row r="3845" spans="1:5" ht="30">
      <c r="A3845" s="254">
        <v>10555</v>
      </c>
      <c r="B3845" s="254" t="s">
        <v>24497</v>
      </c>
      <c r="C3845" s="254" t="s">
        <v>4521</v>
      </c>
      <c r="D3845" s="255" t="s">
        <v>24498</v>
      </c>
      <c r="E3845" s="253" t="s">
        <v>170</v>
      </c>
    </row>
    <row r="3846" spans="1:5" ht="45">
      <c r="A3846" s="254">
        <v>4987</v>
      </c>
      <c r="B3846" s="254" t="s">
        <v>24499</v>
      </c>
      <c r="C3846" s="254" t="s">
        <v>4521</v>
      </c>
      <c r="D3846" s="255" t="s">
        <v>24492</v>
      </c>
      <c r="E3846" s="253" t="s">
        <v>170</v>
      </c>
    </row>
    <row r="3847" spans="1:5" ht="30">
      <c r="A3847" s="254">
        <v>10556</v>
      </c>
      <c r="B3847" s="254" t="s">
        <v>24500</v>
      </c>
      <c r="C3847" s="254" t="s">
        <v>4521</v>
      </c>
      <c r="D3847" s="255" t="s">
        <v>24501</v>
      </c>
      <c r="E3847" s="253" t="s">
        <v>170</v>
      </c>
    </row>
    <row r="3848" spans="1:5" ht="30">
      <c r="A3848" s="254">
        <v>4958</v>
      </c>
      <c r="B3848" s="254" t="s">
        <v>24502</v>
      </c>
      <c r="C3848" s="254" t="s">
        <v>4523</v>
      </c>
      <c r="D3848" s="255" t="s">
        <v>24503</v>
      </c>
      <c r="E3848" s="253" t="s">
        <v>170</v>
      </c>
    </row>
    <row r="3849" spans="1:5" ht="30">
      <c r="A3849" s="254">
        <v>39502</v>
      </c>
      <c r="B3849" s="254" t="s">
        <v>24504</v>
      </c>
      <c r="C3849" s="254" t="s">
        <v>4521</v>
      </c>
      <c r="D3849" s="255" t="s">
        <v>24505</v>
      </c>
      <c r="E3849" s="253" t="s">
        <v>170</v>
      </c>
    </row>
    <row r="3850" spans="1:5" ht="30">
      <c r="A3850" s="254">
        <v>39504</v>
      </c>
      <c r="B3850" s="254" t="s">
        <v>24506</v>
      </c>
      <c r="C3850" s="254" t="s">
        <v>4521</v>
      </c>
      <c r="D3850" s="255" t="s">
        <v>24507</v>
      </c>
      <c r="E3850" s="253" t="s">
        <v>170</v>
      </c>
    </row>
    <row r="3851" spans="1:5" ht="30">
      <c r="A3851" s="254">
        <v>39503</v>
      </c>
      <c r="B3851" s="254" t="s">
        <v>24508</v>
      </c>
      <c r="C3851" s="254" t="s">
        <v>4521</v>
      </c>
      <c r="D3851" s="255" t="s">
        <v>24509</v>
      </c>
      <c r="E3851" s="253" t="s">
        <v>170</v>
      </c>
    </row>
    <row r="3852" spans="1:5" ht="30">
      <c r="A3852" s="254">
        <v>39505</v>
      </c>
      <c r="B3852" s="254" t="s">
        <v>24510</v>
      </c>
      <c r="C3852" s="254" t="s">
        <v>4521</v>
      </c>
      <c r="D3852" s="255" t="s">
        <v>24494</v>
      </c>
      <c r="E3852" s="253" t="s">
        <v>170</v>
      </c>
    </row>
    <row r="3853" spans="1:5" ht="15">
      <c r="A3853" s="254">
        <v>25969</v>
      </c>
      <c r="B3853" s="254" t="s">
        <v>24511</v>
      </c>
      <c r="C3853" s="254" t="s">
        <v>4521</v>
      </c>
      <c r="D3853" s="255" t="s">
        <v>24512</v>
      </c>
      <c r="E3853" s="253" t="s">
        <v>170</v>
      </c>
    </row>
    <row r="3854" spans="1:5" ht="30">
      <c r="A3854" s="254">
        <v>4944</v>
      </c>
      <c r="B3854" s="254" t="s">
        <v>24513</v>
      </c>
      <c r="C3854" s="254" t="s">
        <v>4523</v>
      </c>
      <c r="D3854" s="255" t="s">
        <v>24514</v>
      </c>
      <c r="E3854" s="253" t="s">
        <v>170</v>
      </c>
    </row>
    <row r="3855" spans="1:5" ht="15">
      <c r="A3855" s="254">
        <v>21102</v>
      </c>
      <c r="B3855" s="254" t="s">
        <v>24515</v>
      </c>
      <c r="C3855" s="254" t="s">
        <v>4521</v>
      </c>
      <c r="D3855" s="255" t="s">
        <v>24516</v>
      </c>
      <c r="E3855" s="253" t="s">
        <v>170</v>
      </c>
    </row>
    <row r="3856" spans="1:5" ht="15">
      <c r="A3856" s="254">
        <v>21101</v>
      </c>
      <c r="B3856" s="254" t="s">
        <v>24517</v>
      </c>
      <c r="C3856" s="254" t="s">
        <v>4521</v>
      </c>
      <c r="D3856" s="255" t="s">
        <v>14062</v>
      </c>
      <c r="E3856" s="253" t="s">
        <v>170</v>
      </c>
    </row>
    <row r="3857" spans="1:5" ht="30">
      <c r="A3857" s="254">
        <v>34713</v>
      </c>
      <c r="B3857" s="254" t="s">
        <v>24518</v>
      </c>
      <c r="C3857" s="254" t="s">
        <v>4523</v>
      </c>
      <c r="D3857" s="255" t="s">
        <v>24519</v>
      </c>
      <c r="E3857" s="253" t="s">
        <v>170</v>
      </c>
    </row>
    <row r="3858" spans="1:5" ht="45">
      <c r="A3858" s="254">
        <v>4947</v>
      </c>
      <c r="B3858" s="254" t="s">
        <v>24520</v>
      </c>
      <c r="C3858" s="254" t="s">
        <v>4523</v>
      </c>
      <c r="D3858" s="255" t="s">
        <v>24521</v>
      </c>
      <c r="E3858" s="253" t="s">
        <v>170</v>
      </c>
    </row>
    <row r="3859" spans="1:5" ht="30">
      <c r="A3859" s="254">
        <v>37563</v>
      </c>
      <c r="B3859" s="254" t="s">
        <v>24522</v>
      </c>
      <c r="C3859" s="254" t="s">
        <v>4523</v>
      </c>
      <c r="D3859" s="255" t="s">
        <v>15909</v>
      </c>
      <c r="E3859" s="253" t="s">
        <v>170</v>
      </c>
    </row>
    <row r="3860" spans="1:5" ht="30">
      <c r="A3860" s="254">
        <v>4948</v>
      </c>
      <c r="B3860" s="254" t="s">
        <v>24523</v>
      </c>
      <c r="C3860" s="254" t="s">
        <v>4523</v>
      </c>
      <c r="D3860" s="255" t="s">
        <v>22590</v>
      </c>
      <c r="E3860" s="253" t="s">
        <v>170</v>
      </c>
    </row>
    <row r="3861" spans="1:5" ht="45">
      <c r="A3861" s="254">
        <v>37561</v>
      </c>
      <c r="B3861" s="254" t="s">
        <v>24524</v>
      </c>
      <c r="C3861" s="254" t="s">
        <v>4523</v>
      </c>
      <c r="D3861" s="255" t="s">
        <v>24525</v>
      </c>
      <c r="E3861" s="253" t="s">
        <v>170</v>
      </c>
    </row>
    <row r="3862" spans="1:5" ht="30">
      <c r="A3862" s="254">
        <v>37562</v>
      </c>
      <c r="B3862" s="254" t="s">
        <v>24526</v>
      </c>
      <c r="C3862" s="254" t="s">
        <v>4523</v>
      </c>
      <c r="D3862" s="255" t="s">
        <v>24527</v>
      </c>
      <c r="E3862" s="253" t="s">
        <v>170</v>
      </c>
    </row>
    <row r="3863" spans="1:5" ht="30">
      <c r="A3863" s="254">
        <v>37585</v>
      </c>
      <c r="B3863" s="254" t="s">
        <v>24528</v>
      </c>
      <c r="C3863" s="254" t="s">
        <v>4521</v>
      </c>
      <c r="D3863" s="255" t="s">
        <v>24529</v>
      </c>
      <c r="E3863" s="253" t="s">
        <v>170</v>
      </c>
    </row>
    <row r="3864" spans="1:5" ht="30">
      <c r="A3864" s="254">
        <v>14164</v>
      </c>
      <c r="B3864" s="254" t="s">
        <v>24530</v>
      </c>
      <c r="C3864" s="254" t="s">
        <v>4521</v>
      </c>
      <c r="D3864" s="255" t="s">
        <v>24531</v>
      </c>
      <c r="E3864" s="253" t="s">
        <v>170</v>
      </c>
    </row>
    <row r="3865" spans="1:5" ht="30">
      <c r="A3865" s="254">
        <v>14163</v>
      </c>
      <c r="B3865" s="254" t="s">
        <v>24532</v>
      </c>
      <c r="C3865" s="254" t="s">
        <v>4521</v>
      </c>
      <c r="D3865" s="255" t="s">
        <v>24533</v>
      </c>
      <c r="E3865" s="253" t="s">
        <v>170</v>
      </c>
    </row>
    <row r="3866" spans="1:5" ht="30">
      <c r="A3866" s="254">
        <v>5051</v>
      </c>
      <c r="B3866" s="254" t="s">
        <v>24534</v>
      </c>
      <c r="C3866" s="254" t="s">
        <v>4521</v>
      </c>
      <c r="D3866" s="255" t="s">
        <v>24535</v>
      </c>
      <c r="E3866" s="253" t="s">
        <v>170</v>
      </c>
    </row>
    <row r="3867" spans="1:5" ht="30">
      <c r="A3867" s="254">
        <v>14162</v>
      </c>
      <c r="B3867" s="254" t="s">
        <v>24536</v>
      </c>
      <c r="C3867" s="254" t="s">
        <v>4521</v>
      </c>
      <c r="D3867" s="255" t="s">
        <v>24537</v>
      </c>
      <c r="E3867" s="253" t="s">
        <v>170</v>
      </c>
    </row>
    <row r="3868" spans="1:5" ht="30">
      <c r="A3868" s="254">
        <v>5052</v>
      </c>
      <c r="B3868" s="254" t="s">
        <v>24538</v>
      </c>
      <c r="C3868" s="254" t="s">
        <v>4521</v>
      </c>
      <c r="D3868" s="255" t="s">
        <v>24539</v>
      </c>
      <c r="E3868" s="253" t="s">
        <v>170</v>
      </c>
    </row>
    <row r="3869" spans="1:5" ht="30">
      <c r="A3869" s="254">
        <v>14166</v>
      </c>
      <c r="B3869" s="254" t="s">
        <v>24540</v>
      </c>
      <c r="C3869" s="254" t="s">
        <v>4521</v>
      </c>
      <c r="D3869" s="255" t="s">
        <v>24541</v>
      </c>
      <c r="E3869" s="253" t="s">
        <v>170</v>
      </c>
    </row>
    <row r="3870" spans="1:5" ht="30">
      <c r="A3870" s="254">
        <v>14165</v>
      </c>
      <c r="B3870" s="254" t="s">
        <v>24542</v>
      </c>
      <c r="C3870" s="254" t="s">
        <v>4521</v>
      </c>
      <c r="D3870" s="255" t="s">
        <v>24543</v>
      </c>
      <c r="E3870" s="253" t="s">
        <v>170</v>
      </c>
    </row>
    <row r="3871" spans="1:5" ht="30">
      <c r="A3871" s="254">
        <v>5050</v>
      </c>
      <c r="B3871" s="254" t="s">
        <v>24544</v>
      </c>
      <c r="C3871" s="254" t="s">
        <v>4521</v>
      </c>
      <c r="D3871" s="255" t="s">
        <v>24545</v>
      </c>
      <c r="E3871" s="253" t="s">
        <v>170</v>
      </c>
    </row>
    <row r="3872" spans="1:5" ht="30">
      <c r="A3872" s="254">
        <v>12378</v>
      </c>
      <c r="B3872" s="254" t="s">
        <v>24546</v>
      </c>
      <c r="C3872" s="254" t="s">
        <v>4521</v>
      </c>
      <c r="D3872" s="255" t="s">
        <v>24547</v>
      </c>
      <c r="E3872" s="253" t="s">
        <v>170</v>
      </c>
    </row>
    <row r="3873" spans="1:5" ht="15">
      <c r="A3873" s="254">
        <v>12366</v>
      </c>
      <c r="B3873" s="254" t="s">
        <v>24548</v>
      </c>
      <c r="C3873" s="254" t="s">
        <v>4521</v>
      </c>
      <c r="D3873" s="255" t="s">
        <v>24549</v>
      </c>
      <c r="E3873" s="253" t="s">
        <v>170</v>
      </c>
    </row>
    <row r="3874" spans="1:5" ht="15">
      <c r="A3874" s="254">
        <v>5045</v>
      </c>
      <c r="B3874" s="254" t="s">
        <v>24550</v>
      </c>
      <c r="C3874" s="254" t="s">
        <v>4521</v>
      </c>
      <c r="D3874" s="255" t="s">
        <v>24551</v>
      </c>
      <c r="E3874" s="253" t="s">
        <v>170</v>
      </c>
    </row>
    <row r="3875" spans="1:5" ht="15">
      <c r="A3875" s="254">
        <v>5044</v>
      </c>
      <c r="B3875" s="254" t="s">
        <v>24552</v>
      </c>
      <c r="C3875" s="254" t="s">
        <v>4521</v>
      </c>
      <c r="D3875" s="255" t="s">
        <v>24553</v>
      </c>
      <c r="E3875" s="253" t="s">
        <v>170</v>
      </c>
    </row>
    <row r="3876" spans="1:5" ht="15">
      <c r="A3876" s="254">
        <v>5055</v>
      </c>
      <c r="B3876" s="254" t="s">
        <v>24554</v>
      </c>
      <c r="C3876" s="254" t="s">
        <v>4521</v>
      </c>
      <c r="D3876" s="255" t="s">
        <v>24555</v>
      </c>
      <c r="E3876" s="253" t="s">
        <v>170</v>
      </c>
    </row>
    <row r="3877" spans="1:5" ht="15">
      <c r="A3877" s="254">
        <v>5053</v>
      </c>
      <c r="B3877" s="254" t="s">
        <v>24556</v>
      </c>
      <c r="C3877" s="254" t="s">
        <v>4521</v>
      </c>
      <c r="D3877" s="255" t="s">
        <v>24557</v>
      </c>
      <c r="E3877" s="253" t="s">
        <v>170</v>
      </c>
    </row>
    <row r="3878" spans="1:5" ht="15">
      <c r="A3878" s="254">
        <v>5035</v>
      </c>
      <c r="B3878" s="254" t="s">
        <v>24558</v>
      </c>
      <c r="C3878" s="254" t="s">
        <v>4521</v>
      </c>
      <c r="D3878" s="255" t="s">
        <v>24559</v>
      </c>
      <c r="E3878" s="253" t="s">
        <v>170</v>
      </c>
    </row>
    <row r="3879" spans="1:5" ht="15">
      <c r="A3879" s="254">
        <v>5036</v>
      </c>
      <c r="B3879" s="254" t="s">
        <v>24560</v>
      </c>
      <c r="C3879" s="254" t="s">
        <v>4521</v>
      </c>
      <c r="D3879" s="256" t="s">
        <v>24561</v>
      </c>
      <c r="E3879" s="253" t="s">
        <v>170</v>
      </c>
    </row>
    <row r="3880" spans="1:5" ht="15">
      <c r="A3880" s="254">
        <v>5059</v>
      </c>
      <c r="B3880" s="254" t="s">
        <v>24562</v>
      </c>
      <c r="C3880" s="254" t="s">
        <v>4521</v>
      </c>
      <c r="D3880" s="256" t="s">
        <v>24563</v>
      </c>
      <c r="E3880" s="253" t="s">
        <v>170</v>
      </c>
    </row>
    <row r="3881" spans="1:5" ht="15">
      <c r="A3881" s="254">
        <v>5034</v>
      </c>
      <c r="B3881" s="254" t="s">
        <v>24564</v>
      </c>
      <c r="C3881" s="254" t="s">
        <v>4521</v>
      </c>
      <c r="D3881" s="255" t="s">
        <v>24565</v>
      </c>
      <c r="E3881" s="253" t="s">
        <v>170</v>
      </c>
    </row>
    <row r="3882" spans="1:5" ht="15">
      <c r="A3882" s="254">
        <v>5056</v>
      </c>
      <c r="B3882" s="254" t="s">
        <v>24566</v>
      </c>
      <c r="C3882" s="254" t="s">
        <v>4521</v>
      </c>
      <c r="D3882" s="255" t="s">
        <v>24567</v>
      </c>
      <c r="E3882" s="253" t="s">
        <v>170</v>
      </c>
    </row>
    <row r="3883" spans="1:5" ht="15">
      <c r="A3883" s="254">
        <v>5057</v>
      </c>
      <c r="B3883" s="254" t="s">
        <v>24568</v>
      </c>
      <c r="C3883" s="254" t="s">
        <v>4521</v>
      </c>
      <c r="D3883" s="255" t="s">
        <v>24569</v>
      </c>
      <c r="E3883" s="253" t="s">
        <v>170</v>
      </c>
    </row>
    <row r="3884" spans="1:5" ht="15">
      <c r="A3884" s="254">
        <v>5033</v>
      </c>
      <c r="B3884" s="254" t="s">
        <v>24570</v>
      </c>
      <c r="C3884" s="254" t="s">
        <v>4521</v>
      </c>
      <c r="D3884" s="255" t="s">
        <v>24571</v>
      </c>
      <c r="E3884" s="253" t="s">
        <v>170</v>
      </c>
    </row>
    <row r="3885" spans="1:5" ht="15">
      <c r="A3885" s="254">
        <v>5038</v>
      </c>
      <c r="B3885" s="254" t="s">
        <v>24572</v>
      </c>
      <c r="C3885" s="254" t="s">
        <v>4521</v>
      </c>
      <c r="D3885" s="255" t="s">
        <v>24573</v>
      </c>
      <c r="E3885" s="253" t="s">
        <v>170</v>
      </c>
    </row>
    <row r="3886" spans="1:5" ht="15">
      <c r="A3886" s="254">
        <v>12372</v>
      </c>
      <c r="B3886" s="254" t="s">
        <v>24574</v>
      </c>
      <c r="C3886" s="254" t="s">
        <v>4521</v>
      </c>
      <c r="D3886" s="255" t="s">
        <v>24575</v>
      </c>
      <c r="E3886" s="253" t="s">
        <v>170</v>
      </c>
    </row>
    <row r="3887" spans="1:5" ht="15">
      <c r="A3887" s="254">
        <v>13339</v>
      </c>
      <c r="B3887" s="254" t="s">
        <v>24576</v>
      </c>
      <c r="C3887" s="254" t="s">
        <v>4521</v>
      </c>
      <c r="D3887" s="255" t="s">
        <v>24577</v>
      </c>
      <c r="E3887" s="253" t="s">
        <v>170</v>
      </c>
    </row>
    <row r="3888" spans="1:5" ht="15">
      <c r="A3888" s="254">
        <v>12373</v>
      </c>
      <c r="B3888" s="254" t="s">
        <v>24578</v>
      </c>
      <c r="C3888" s="254" t="s">
        <v>4521</v>
      </c>
      <c r="D3888" s="255" t="s">
        <v>24579</v>
      </c>
      <c r="E3888" s="253" t="s">
        <v>170</v>
      </c>
    </row>
    <row r="3889" spans="1:5" ht="15">
      <c r="A3889" s="254">
        <v>12388</v>
      </c>
      <c r="B3889" s="254" t="s">
        <v>24580</v>
      </c>
      <c r="C3889" s="254" t="s">
        <v>4521</v>
      </c>
      <c r="D3889" s="255" t="s">
        <v>24581</v>
      </c>
      <c r="E3889" s="253" t="s">
        <v>170</v>
      </c>
    </row>
    <row r="3890" spans="1:5" ht="15">
      <c r="A3890" s="254">
        <v>34695</v>
      </c>
      <c r="B3890" s="254" t="s">
        <v>24582</v>
      </c>
      <c r="C3890" s="254" t="s">
        <v>4521</v>
      </c>
      <c r="D3890" s="255" t="s">
        <v>24583</v>
      </c>
      <c r="E3890" s="253" t="s">
        <v>170</v>
      </c>
    </row>
    <row r="3891" spans="1:5" ht="15">
      <c r="A3891" s="254">
        <v>34692</v>
      </c>
      <c r="B3891" s="254" t="s">
        <v>24584</v>
      </c>
      <c r="C3891" s="254" t="s">
        <v>4521</v>
      </c>
      <c r="D3891" s="255" t="s">
        <v>24585</v>
      </c>
      <c r="E3891" s="253" t="s">
        <v>170</v>
      </c>
    </row>
    <row r="3892" spans="1:5" ht="15">
      <c r="A3892" s="254">
        <v>26028</v>
      </c>
      <c r="B3892" s="254" t="s">
        <v>24586</v>
      </c>
      <c r="C3892" s="254" t="s">
        <v>4533</v>
      </c>
      <c r="D3892" s="256" t="s">
        <v>24587</v>
      </c>
      <c r="E3892" s="253" t="s">
        <v>170</v>
      </c>
    </row>
    <row r="3893" spans="1:5" ht="30">
      <c r="A3893" s="254">
        <v>11844</v>
      </c>
      <c r="B3893" s="254" t="s">
        <v>24588</v>
      </c>
      <c r="C3893" s="254" t="s">
        <v>4524</v>
      </c>
      <c r="D3893" s="256" t="s">
        <v>24589</v>
      </c>
      <c r="E3893" s="253" t="s">
        <v>170</v>
      </c>
    </row>
    <row r="3894" spans="1:5" ht="30">
      <c r="A3894" s="254">
        <v>4465</v>
      </c>
      <c r="B3894" s="254" t="s">
        <v>24590</v>
      </c>
      <c r="C3894" s="254" t="s">
        <v>4524</v>
      </c>
      <c r="D3894" s="256" t="s">
        <v>16791</v>
      </c>
      <c r="E3894" s="253" t="s">
        <v>170</v>
      </c>
    </row>
    <row r="3895" spans="1:5" ht="30">
      <c r="A3895" s="254">
        <v>35273</v>
      </c>
      <c r="B3895" s="254" t="s">
        <v>24591</v>
      </c>
      <c r="C3895" s="254" t="s">
        <v>4524</v>
      </c>
      <c r="D3895" s="255" t="s">
        <v>21037</v>
      </c>
      <c r="E3895" s="253" t="s">
        <v>170</v>
      </c>
    </row>
    <row r="3896" spans="1:5" ht="30">
      <c r="A3896" s="254">
        <v>4470</v>
      </c>
      <c r="B3896" s="254" t="s">
        <v>24592</v>
      </c>
      <c r="C3896" s="254" t="s">
        <v>4524</v>
      </c>
      <c r="D3896" s="255" t="s">
        <v>24593</v>
      </c>
      <c r="E3896" s="253" t="s">
        <v>170</v>
      </c>
    </row>
    <row r="3897" spans="1:5" ht="30">
      <c r="A3897" s="254">
        <v>20204</v>
      </c>
      <c r="B3897" s="254" t="s">
        <v>24594</v>
      </c>
      <c r="C3897" s="254" t="s">
        <v>4524</v>
      </c>
      <c r="D3897" s="255" t="s">
        <v>24595</v>
      </c>
      <c r="E3897" s="253" t="s">
        <v>170</v>
      </c>
    </row>
    <row r="3898" spans="1:5" ht="30">
      <c r="A3898" s="254">
        <v>20208</v>
      </c>
      <c r="B3898" s="254" t="s">
        <v>24596</v>
      </c>
      <c r="C3898" s="254" t="s">
        <v>4524</v>
      </c>
      <c r="D3898" s="255" t="s">
        <v>24597</v>
      </c>
      <c r="E3898" s="253" t="s">
        <v>170</v>
      </c>
    </row>
    <row r="3899" spans="1:5" ht="30">
      <c r="A3899" s="254">
        <v>4437</v>
      </c>
      <c r="B3899" s="254" t="s">
        <v>24598</v>
      </c>
      <c r="C3899" s="254" t="s">
        <v>4524</v>
      </c>
      <c r="D3899" s="255" t="s">
        <v>24599</v>
      </c>
      <c r="E3899" s="253" t="s">
        <v>170</v>
      </c>
    </row>
    <row r="3900" spans="1:5" ht="30">
      <c r="A3900" s="254">
        <v>14580</v>
      </c>
      <c r="B3900" s="254" t="s">
        <v>24600</v>
      </c>
      <c r="C3900" s="254" t="s">
        <v>4524</v>
      </c>
      <c r="D3900" s="255" t="s">
        <v>18588</v>
      </c>
      <c r="E3900" s="253" t="s">
        <v>170</v>
      </c>
    </row>
    <row r="3901" spans="1:5" ht="15">
      <c r="A3901" s="254">
        <v>40304</v>
      </c>
      <c r="B3901" s="254" t="s">
        <v>24601</v>
      </c>
      <c r="C3901" s="254" t="s">
        <v>4525</v>
      </c>
      <c r="D3901" s="255" t="s">
        <v>18288</v>
      </c>
      <c r="E3901" s="253" t="s">
        <v>170</v>
      </c>
    </row>
    <row r="3902" spans="1:5" ht="15">
      <c r="A3902" s="254">
        <v>5065</v>
      </c>
      <c r="B3902" s="254" t="s">
        <v>24602</v>
      </c>
      <c r="C3902" s="254" t="s">
        <v>4525</v>
      </c>
      <c r="D3902" s="255" t="s">
        <v>16651</v>
      </c>
      <c r="E3902" s="253" t="s">
        <v>170</v>
      </c>
    </row>
    <row r="3903" spans="1:5" ht="15">
      <c r="A3903" s="254">
        <v>5072</v>
      </c>
      <c r="B3903" s="254" t="s">
        <v>24603</v>
      </c>
      <c r="C3903" s="254" t="s">
        <v>4525</v>
      </c>
      <c r="D3903" s="255" t="s">
        <v>24604</v>
      </c>
      <c r="E3903" s="253" t="s">
        <v>170</v>
      </c>
    </row>
    <row r="3904" spans="1:5" ht="15">
      <c r="A3904" s="254">
        <v>5066</v>
      </c>
      <c r="B3904" s="254" t="s">
        <v>24605</v>
      </c>
      <c r="C3904" s="254" t="s">
        <v>4525</v>
      </c>
      <c r="D3904" s="255" t="s">
        <v>16667</v>
      </c>
      <c r="E3904" s="253" t="s">
        <v>170</v>
      </c>
    </row>
    <row r="3905" spans="1:5" ht="15">
      <c r="A3905" s="254">
        <v>5063</v>
      </c>
      <c r="B3905" s="254" t="s">
        <v>24606</v>
      </c>
      <c r="C3905" s="254" t="s">
        <v>4525</v>
      </c>
      <c r="D3905" s="256" t="s">
        <v>16676</v>
      </c>
      <c r="E3905" s="253" t="s">
        <v>170</v>
      </c>
    </row>
    <row r="3906" spans="1:5" ht="15">
      <c r="A3906" s="254">
        <v>20247</v>
      </c>
      <c r="B3906" s="254" t="s">
        <v>24607</v>
      </c>
      <c r="C3906" s="254" t="s">
        <v>4525</v>
      </c>
      <c r="D3906" s="256" t="s">
        <v>15808</v>
      </c>
      <c r="E3906" s="253" t="s">
        <v>170</v>
      </c>
    </row>
    <row r="3907" spans="1:5" ht="15">
      <c r="A3907" s="254">
        <v>5074</v>
      </c>
      <c r="B3907" s="254" t="s">
        <v>24608</v>
      </c>
      <c r="C3907" s="254" t="s">
        <v>4525</v>
      </c>
      <c r="D3907" s="255" t="s">
        <v>13685</v>
      </c>
      <c r="E3907" s="253" t="s">
        <v>170</v>
      </c>
    </row>
    <row r="3908" spans="1:5" ht="15">
      <c r="A3908" s="254">
        <v>5067</v>
      </c>
      <c r="B3908" s="254" t="s">
        <v>24609</v>
      </c>
      <c r="C3908" s="254" t="s">
        <v>4525</v>
      </c>
      <c r="D3908" s="255" t="s">
        <v>24610</v>
      </c>
      <c r="E3908" s="253" t="s">
        <v>170</v>
      </c>
    </row>
    <row r="3909" spans="1:5" ht="15">
      <c r="A3909" s="254">
        <v>5078</v>
      </c>
      <c r="B3909" s="254" t="s">
        <v>24611</v>
      </c>
      <c r="C3909" s="254" t="s">
        <v>4525</v>
      </c>
      <c r="D3909" s="255" t="s">
        <v>13875</v>
      </c>
      <c r="E3909" s="253" t="s">
        <v>170</v>
      </c>
    </row>
    <row r="3910" spans="1:5" ht="15">
      <c r="A3910" s="254">
        <v>5068</v>
      </c>
      <c r="B3910" s="254" t="s">
        <v>24612</v>
      </c>
      <c r="C3910" s="254" t="s">
        <v>4525</v>
      </c>
      <c r="D3910" s="255" t="s">
        <v>20823</v>
      </c>
      <c r="E3910" s="253" t="s">
        <v>170</v>
      </c>
    </row>
    <row r="3911" spans="1:5" ht="15">
      <c r="A3911" s="254">
        <v>5073</v>
      </c>
      <c r="B3911" s="254" t="s">
        <v>24613</v>
      </c>
      <c r="C3911" s="254" t="s">
        <v>4525</v>
      </c>
      <c r="D3911" s="255" t="s">
        <v>16053</v>
      </c>
      <c r="E3911" s="253" t="s">
        <v>170</v>
      </c>
    </row>
    <row r="3912" spans="1:5" ht="15">
      <c r="A3912" s="254">
        <v>5069</v>
      </c>
      <c r="B3912" s="254" t="s">
        <v>24614</v>
      </c>
      <c r="C3912" s="254" t="s">
        <v>4525</v>
      </c>
      <c r="D3912" s="255" t="s">
        <v>16053</v>
      </c>
      <c r="E3912" s="253" t="s">
        <v>170</v>
      </c>
    </row>
    <row r="3913" spans="1:5" ht="15">
      <c r="A3913" s="254">
        <v>5070</v>
      </c>
      <c r="B3913" s="254" t="s">
        <v>24615</v>
      </c>
      <c r="C3913" s="254" t="s">
        <v>4525</v>
      </c>
      <c r="D3913" s="255" t="s">
        <v>22332</v>
      </c>
      <c r="E3913" s="253" t="s">
        <v>170</v>
      </c>
    </row>
    <row r="3914" spans="1:5" ht="15">
      <c r="A3914" s="254">
        <v>5071</v>
      </c>
      <c r="B3914" s="254" t="s">
        <v>24616</v>
      </c>
      <c r="C3914" s="254" t="s">
        <v>4525</v>
      </c>
      <c r="D3914" s="255" t="s">
        <v>20823</v>
      </c>
      <c r="E3914" s="253" t="s">
        <v>170</v>
      </c>
    </row>
    <row r="3915" spans="1:5" ht="15">
      <c r="A3915" s="254">
        <v>5061</v>
      </c>
      <c r="B3915" s="254" t="s">
        <v>24617</v>
      </c>
      <c r="C3915" s="254" t="s">
        <v>4525</v>
      </c>
      <c r="D3915" s="255" t="s">
        <v>17960</v>
      </c>
      <c r="E3915" s="253" t="s">
        <v>170</v>
      </c>
    </row>
    <row r="3916" spans="1:5" ht="15">
      <c r="A3916" s="254">
        <v>5075</v>
      </c>
      <c r="B3916" s="254" t="s">
        <v>24618</v>
      </c>
      <c r="C3916" s="254" t="s">
        <v>4525</v>
      </c>
      <c r="D3916" s="255" t="s">
        <v>20823</v>
      </c>
      <c r="E3916" s="253" t="s">
        <v>170</v>
      </c>
    </row>
    <row r="3917" spans="1:5" ht="15">
      <c r="A3917" s="254">
        <v>39027</v>
      </c>
      <c r="B3917" s="254" t="s">
        <v>24619</v>
      </c>
      <c r="C3917" s="254" t="s">
        <v>4525</v>
      </c>
      <c r="D3917" s="255" t="s">
        <v>17622</v>
      </c>
      <c r="E3917" s="253" t="s">
        <v>170</v>
      </c>
    </row>
    <row r="3918" spans="1:5" ht="15">
      <c r="A3918" s="254">
        <v>5062</v>
      </c>
      <c r="B3918" s="254" t="s">
        <v>24620</v>
      </c>
      <c r="C3918" s="254" t="s">
        <v>4525</v>
      </c>
      <c r="D3918" s="255" t="s">
        <v>15911</v>
      </c>
      <c r="E3918" s="253" t="s">
        <v>170</v>
      </c>
    </row>
    <row r="3919" spans="1:5" ht="15">
      <c r="A3919" s="254">
        <v>40568</v>
      </c>
      <c r="B3919" s="254" t="s">
        <v>24621</v>
      </c>
      <c r="C3919" s="254" t="s">
        <v>4525</v>
      </c>
      <c r="D3919" s="255" t="s">
        <v>16623</v>
      </c>
      <c r="E3919" s="253" t="s">
        <v>170</v>
      </c>
    </row>
    <row r="3920" spans="1:5" ht="15">
      <c r="A3920" s="254">
        <v>39026</v>
      </c>
      <c r="B3920" s="254" t="s">
        <v>24622</v>
      </c>
      <c r="C3920" s="254" t="s">
        <v>4525</v>
      </c>
      <c r="D3920" s="255" t="s">
        <v>18482</v>
      </c>
      <c r="E3920" s="253" t="s">
        <v>170</v>
      </c>
    </row>
    <row r="3921" spans="1:5" ht="30">
      <c r="A3921" s="254">
        <v>11572</v>
      </c>
      <c r="B3921" s="254" t="s">
        <v>24623</v>
      </c>
      <c r="C3921" s="254" t="s">
        <v>4521</v>
      </c>
      <c r="D3921" s="256" t="s">
        <v>15775</v>
      </c>
      <c r="E3921" s="253" t="s">
        <v>170</v>
      </c>
    </row>
    <row r="3922" spans="1:5" ht="45">
      <c r="A3922" s="254">
        <v>42431</v>
      </c>
      <c r="B3922" s="254" t="s">
        <v>24624</v>
      </c>
      <c r="C3922" s="254" t="s">
        <v>4521</v>
      </c>
      <c r="D3922" s="256" t="s">
        <v>24625</v>
      </c>
      <c r="E3922" s="253" t="s">
        <v>170</v>
      </c>
    </row>
    <row r="3923" spans="1:5" ht="15">
      <c r="A3923" s="254">
        <v>11149</v>
      </c>
      <c r="B3923" s="254" t="s">
        <v>24626</v>
      </c>
      <c r="C3923" s="254" t="s">
        <v>4539</v>
      </c>
      <c r="D3923" s="256" t="s">
        <v>24627</v>
      </c>
      <c r="E3923" s="253" t="s">
        <v>170</v>
      </c>
    </row>
    <row r="3924" spans="1:5" ht="30">
      <c r="A3924" s="254">
        <v>511</v>
      </c>
      <c r="B3924" s="254" t="s">
        <v>24628</v>
      </c>
      <c r="C3924" s="254" t="s">
        <v>4526</v>
      </c>
      <c r="D3924" s="256" t="s">
        <v>23868</v>
      </c>
      <c r="E3924" s="253" t="s">
        <v>170</v>
      </c>
    </row>
    <row r="3925" spans="1:5" ht="15">
      <c r="A3925" s="254">
        <v>11174</v>
      </c>
      <c r="B3925" s="254" t="s">
        <v>24629</v>
      </c>
      <c r="C3925" s="254" t="s">
        <v>4527</v>
      </c>
      <c r="D3925" s="256" t="s">
        <v>24630</v>
      </c>
      <c r="E3925" s="253" t="s">
        <v>170</v>
      </c>
    </row>
    <row r="3926" spans="1:5" ht="30">
      <c r="A3926" s="254">
        <v>37540</v>
      </c>
      <c r="B3926" s="254" t="s">
        <v>24631</v>
      </c>
      <c r="C3926" s="254" t="s">
        <v>4521</v>
      </c>
      <c r="D3926" s="256" t="s">
        <v>24632</v>
      </c>
      <c r="E3926" s="253" t="s">
        <v>6305</v>
      </c>
    </row>
    <row r="3927" spans="1:5" ht="30">
      <c r="A3927" s="254">
        <v>37548</v>
      </c>
      <c r="B3927" s="254" t="s">
        <v>24633</v>
      </c>
      <c r="C3927" s="254" t="s">
        <v>4521</v>
      </c>
      <c r="D3927" s="256" t="s">
        <v>24634</v>
      </c>
      <c r="E3927" s="253" t="s">
        <v>6305</v>
      </c>
    </row>
    <row r="3928" spans="1:5" ht="30">
      <c r="A3928" s="254">
        <v>39828</v>
      </c>
      <c r="B3928" s="254" t="s">
        <v>24635</v>
      </c>
      <c r="C3928" s="254" t="s">
        <v>4521</v>
      </c>
      <c r="D3928" s="256" t="s">
        <v>24636</v>
      </c>
      <c r="E3928" s="253" t="s">
        <v>6305</v>
      </c>
    </row>
    <row r="3929" spans="1:5" ht="45">
      <c r="A3929" s="254">
        <v>12273</v>
      </c>
      <c r="B3929" s="254" t="s">
        <v>24637</v>
      </c>
      <c r="C3929" s="254" t="s">
        <v>4521</v>
      </c>
      <c r="D3929" s="256" t="s">
        <v>24638</v>
      </c>
      <c r="E3929" s="253" t="s">
        <v>170</v>
      </c>
    </row>
    <row r="3930" spans="1:5" ht="15">
      <c r="A3930" s="254">
        <v>38392</v>
      </c>
      <c r="B3930" s="254" t="s">
        <v>24639</v>
      </c>
      <c r="C3930" s="254" t="s">
        <v>4521</v>
      </c>
      <c r="D3930" s="256" t="s">
        <v>24640</v>
      </c>
      <c r="E3930" s="253" t="s">
        <v>170</v>
      </c>
    </row>
    <row r="3931" spans="1:5" ht="15">
      <c r="A3931" s="254">
        <v>11735</v>
      </c>
      <c r="B3931" s="254" t="s">
        <v>24641</v>
      </c>
      <c r="C3931" s="254" t="s">
        <v>4521</v>
      </c>
      <c r="D3931" s="255" t="s">
        <v>24642</v>
      </c>
      <c r="E3931" s="253" t="s">
        <v>170</v>
      </c>
    </row>
    <row r="3932" spans="1:5" ht="15">
      <c r="A3932" s="254">
        <v>11733</v>
      </c>
      <c r="B3932" s="254" t="s">
        <v>24643</v>
      </c>
      <c r="C3932" s="254" t="s">
        <v>4521</v>
      </c>
      <c r="D3932" s="255" t="s">
        <v>14357</v>
      </c>
      <c r="E3932" s="253" t="s">
        <v>170</v>
      </c>
    </row>
    <row r="3933" spans="1:5" ht="15">
      <c r="A3933" s="254">
        <v>11734</v>
      </c>
      <c r="B3933" s="254" t="s">
        <v>24644</v>
      </c>
      <c r="C3933" s="254" t="s">
        <v>4521</v>
      </c>
      <c r="D3933" s="256" t="s">
        <v>19893</v>
      </c>
      <c r="E3933" s="253" t="s">
        <v>170</v>
      </c>
    </row>
    <row r="3934" spans="1:5" ht="15">
      <c r="A3934" s="254">
        <v>11737</v>
      </c>
      <c r="B3934" s="254" t="s">
        <v>24645</v>
      </c>
      <c r="C3934" s="254" t="s">
        <v>4521</v>
      </c>
      <c r="D3934" s="255" t="s">
        <v>14423</v>
      </c>
      <c r="E3934" s="253" t="s">
        <v>170</v>
      </c>
    </row>
    <row r="3935" spans="1:5" ht="15">
      <c r="A3935" s="254">
        <v>11738</v>
      </c>
      <c r="B3935" s="254" t="s">
        <v>24646</v>
      </c>
      <c r="C3935" s="254" t="s">
        <v>4521</v>
      </c>
      <c r="D3935" s="255" t="s">
        <v>24647</v>
      </c>
      <c r="E3935" s="253" t="s">
        <v>170</v>
      </c>
    </row>
    <row r="3936" spans="1:5" ht="30">
      <c r="A3936" s="254">
        <v>36143</v>
      </c>
      <c r="B3936" s="254" t="s">
        <v>24648</v>
      </c>
      <c r="C3936" s="254" t="s">
        <v>4521</v>
      </c>
      <c r="D3936" s="255" t="s">
        <v>24649</v>
      </c>
      <c r="E3936" s="253" t="s">
        <v>170</v>
      </c>
    </row>
    <row r="3937" spans="1:5" ht="30">
      <c r="A3937" s="254">
        <v>36142</v>
      </c>
      <c r="B3937" s="254" t="s">
        <v>24650</v>
      </c>
      <c r="C3937" s="254" t="s">
        <v>4521</v>
      </c>
      <c r="D3937" s="255" t="s">
        <v>22680</v>
      </c>
      <c r="E3937" s="253" t="s">
        <v>170</v>
      </c>
    </row>
    <row r="3938" spans="1:5" ht="15">
      <c r="A3938" s="254">
        <v>36146</v>
      </c>
      <c r="B3938" s="254" t="s">
        <v>24651</v>
      </c>
      <c r="C3938" s="254" t="s">
        <v>4521</v>
      </c>
      <c r="D3938" s="255" t="s">
        <v>24652</v>
      </c>
      <c r="E3938" s="253" t="s">
        <v>170</v>
      </c>
    </row>
    <row r="3939" spans="1:5" ht="30">
      <c r="A3939" s="254">
        <v>39015</v>
      </c>
      <c r="B3939" s="254" t="s">
        <v>24653</v>
      </c>
      <c r="C3939" s="254" t="s">
        <v>4521</v>
      </c>
      <c r="D3939" s="255" t="s">
        <v>14408</v>
      </c>
      <c r="E3939" s="253" t="s">
        <v>170</v>
      </c>
    </row>
    <row r="3940" spans="1:5" ht="15">
      <c r="A3940" s="254">
        <v>38377</v>
      </c>
      <c r="B3940" s="254" t="s">
        <v>24654</v>
      </c>
      <c r="C3940" s="254" t="s">
        <v>4521</v>
      </c>
      <c r="D3940" s="255" t="s">
        <v>24655</v>
      </c>
      <c r="E3940" s="253" t="s">
        <v>170</v>
      </c>
    </row>
    <row r="3941" spans="1:5" ht="15">
      <c r="A3941" s="254">
        <v>38376</v>
      </c>
      <c r="B3941" s="254" t="s">
        <v>24656</v>
      </c>
      <c r="C3941" s="254" t="s">
        <v>4521</v>
      </c>
      <c r="D3941" s="255" t="s">
        <v>15713</v>
      </c>
      <c r="E3941" s="253" t="s">
        <v>170</v>
      </c>
    </row>
    <row r="3942" spans="1:5" ht="15">
      <c r="A3942" s="254">
        <v>38116</v>
      </c>
      <c r="B3942" s="254" t="s">
        <v>24657</v>
      </c>
      <c r="C3942" s="254" t="s">
        <v>4521</v>
      </c>
      <c r="D3942" s="255" t="s">
        <v>17609</v>
      </c>
      <c r="E3942" s="253" t="s">
        <v>170</v>
      </c>
    </row>
    <row r="3943" spans="1:5" ht="30">
      <c r="A3943" s="254">
        <v>38066</v>
      </c>
      <c r="B3943" s="254" t="s">
        <v>24658</v>
      </c>
      <c r="C3943" s="254" t="s">
        <v>4521</v>
      </c>
      <c r="D3943" s="255" t="s">
        <v>23479</v>
      </c>
      <c r="E3943" s="253" t="s">
        <v>170</v>
      </c>
    </row>
    <row r="3944" spans="1:5" ht="15">
      <c r="A3944" s="254">
        <v>38117</v>
      </c>
      <c r="B3944" s="254" t="s">
        <v>24659</v>
      </c>
      <c r="C3944" s="254" t="s">
        <v>4521</v>
      </c>
      <c r="D3944" s="255" t="s">
        <v>15453</v>
      </c>
      <c r="E3944" s="253" t="s">
        <v>170</v>
      </c>
    </row>
    <row r="3945" spans="1:5" ht="30">
      <c r="A3945" s="254">
        <v>38067</v>
      </c>
      <c r="B3945" s="254" t="s">
        <v>24660</v>
      </c>
      <c r="C3945" s="254" t="s">
        <v>4521</v>
      </c>
      <c r="D3945" s="255" t="s">
        <v>13756</v>
      </c>
      <c r="E3945" s="253" t="s">
        <v>170</v>
      </c>
    </row>
    <row r="3946" spans="1:5" ht="30">
      <c r="A3946" s="254">
        <v>41757</v>
      </c>
      <c r="B3946" s="254" t="s">
        <v>24661</v>
      </c>
      <c r="C3946" s="254" t="s">
        <v>4521</v>
      </c>
      <c r="D3946" s="255" t="s">
        <v>24662</v>
      </c>
      <c r="E3946" s="253" t="s">
        <v>170</v>
      </c>
    </row>
    <row r="3947" spans="1:5" ht="45">
      <c r="A3947" s="254">
        <v>5080</v>
      </c>
      <c r="B3947" s="254" t="s">
        <v>24663</v>
      </c>
      <c r="C3947" s="254" t="s">
        <v>4521</v>
      </c>
      <c r="D3947" s="255" t="s">
        <v>14312</v>
      </c>
      <c r="E3947" s="253" t="s">
        <v>170</v>
      </c>
    </row>
    <row r="3948" spans="1:5" ht="45">
      <c r="A3948" s="254">
        <v>11522</v>
      </c>
      <c r="B3948" s="254" t="s">
        <v>24664</v>
      </c>
      <c r="C3948" s="254" t="s">
        <v>4521</v>
      </c>
      <c r="D3948" s="255" t="s">
        <v>24665</v>
      </c>
      <c r="E3948" s="253" t="s">
        <v>170</v>
      </c>
    </row>
    <row r="3949" spans="1:5" ht="45">
      <c r="A3949" s="254">
        <v>11523</v>
      </c>
      <c r="B3949" s="254" t="s">
        <v>24666</v>
      </c>
      <c r="C3949" s="254" t="s">
        <v>4521</v>
      </c>
      <c r="D3949" s="255" t="s">
        <v>14636</v>
      </c>
      <c r="E3949" s="253" t="s">
        <v>170</v>
      </c>
    </row>
    <row r="3950" spans="1:5" ht="30">
      <c r="A3950" s="254">
        <v>11524</v>
      </c>
      <c r="B3950" s="254" t="s">
        <v>24667</v>
      </c>
      <c r="C3950" s="254" t="s">
        <v>4521</v>
      </c>
      <c r="D3950" s="255" t="s">
        <v>24668</v>
      </c>
      <c r="E3950" s="253" t="s">
        <v>170</v>
      </c>
    </row>
    <row r="3951" spans="1:5" ht="30">
      <c r="A3951" s="254">
        <v>38168</v>
      </c>
      <c r="B3951" s="254" t="s">
        <v>24669</v>
      </c>
      <c r="C3951" s="254" t="s">
        <v>4521</v>
      </c>
      <c r="D3951" s="255" t="s">
        <v>17741</v>
      </c>
      <c r="E3951" s="253" t="s">
        <v>170</v>
      </c>
    </row>
    <row r="3952" spans="1:5" ht="30">
      <c r="A3952" s="254">
        <v>13393</v>
      </c>
      <c r="B3952" s="254" t="s">
        <v>24670</v>
      </c>
      <c r="C3952" s="254" t="s">
        <v>4521</v>
      </c>
      <c r="D3952" s="255" t="s">
        <v>24671</v>
      </c>
      <c r="E3952" s="253" t="s">
        <v>170</v>
      </c>
    </row>
    <row r="3953" spans="1:5" ht="30">
      <c r="A3953" s="254">
        <v>13395</v>
      </c>
      <c r="B3953" s="254" t="s">
        <v>24672</v>
      </c>
      <c r="C3953" s="254" t="s">
        <v>4521</v>
      </c>
      <c r="D3953" s="255" t="s">
        <v>24673</v>
      </c>
      <c r="E3953" s="253" t="s">
        <v>170</v>
      </c>
    </row>
    <row r="3954" spans="1:5" ht="30">
      <c r="A3954" s="254">
        <v>12039</v>
      </c>
      <c r="B3954" s="254" t="s">
        <v>24674</v>
      </c>
      <c r="C3954" s="254" t="s">
        <v>4521</v>
      </c>
      <c r="D3954" s="255" t="s">
        <v>24675</v>
      </c>
      <c r="E3954" s="253" t="s">
        <v>170</v>
      </c>
    </row>
    <row r="3955" spans="1:5" ht="30">
      <c r="A3955" s="254">
        <v>13396</v>
      </c>
      <c r="B3955" s="254" t="s">
        <v>24676</v>
      </c>
      <c r="C3955" s="254" t="s">
        <v>4521</v>
      </c>
      <c r="D3955" s="255" t="s">
        <v>24677</v>
      </c>
      <c r="E3955" s="253" t="s">
        <v>170</v>
      </c>
    </row>
    <row r="3956" spans="1:5" ht="30">
      <c r="A3956" s="254">
        <v>12041</v>
      </c>
      <c r="B3956" s="254" t="s">
        <v>24678</v>
      </c>
      <c r="C3956" s="254" t="s">
        <v>4521</v>
      </c>
      <c r="D3956" s="255" t="s">
        <v>24679</v>
      </c>
      <c r="E3956" s="253" t="s">
        <v>170</v>
      </c>
    </row>
    <row r="3957" spans="1:5" ht="30">
      <c r="A3957" s="254">
        <v>12043</v>
      </c>
      <c r="B3957" s="254" t="s">
        <v>24680</v>
      </c>
      <c r="C3957" s="254" t="s">
        <v>4521</v>
      </c>
      <c r="D3957" s="255" t="s">
        <v>24681</v>
      </c>
      <c r="E3957" s="253" t="s">
        <v>170</v>
      </c>
    </row>
    <row r="3958" spans="1:5" ht="30">
      <c r="A3958" s="254">
        <v>39762</v>
      </c>
      <c r="B3958" s="254" t="s">
        <v>24682</v>
      </c>
      <c r="C3958" s="254" t="s">
        <v>4521</v>
      </c>
      <c r="D3958" s="255" t="s">
        <v>24683</v>
      </c>
      <c r="E3958" s="253" t="s">
        <v>170</v>
      </c>
    </row>
    <row r="3959" spans="1:5" ht="30">
      <c r="A3959" s="254">
        <v>12042</v>
      </c>
      <c r="B3959" s="254" t="s">
        <v>24684</v>
      </c>
      <c r="C3959" s="254" t="s">
        <v>4521</v>
      </c>
      <c r="D3959" s="255" t="s">
        <v>24685</v>
      </c>
      <c r="E3959" s="253" t="s">
        <v>170</v>
      </c>
    </row>
    <row r="3960" spans="1:5" ht="30">
      <c r="A3960" s="254">
        <v>39763</v>
      </c>
      <c r="B3960" s="254" t="s">
        <v>24686</v>
      </c>
      <c r="C3960" s="254" t="s">
        <v>4521</v>
      </c>
      <c r="D3960" s="255" t="s">
        <v>24687</v>
      </c>
      <c r="E3960" s="253" t="s">
        <v>170</v>
      </c>
    </row>
    <row r="3961" spans="1:5" ht="30">
      <c r="A3961" s="254">
        <v>39756</v>
      </c>
      <c r="B3961" s="254" t="s">
        <v>24688</v>
      </c>
      <c r="C3961" s="254" t="s">
        <v>4521</v>
      </c>
      <c r="D3961" s="255" t="s">
        <v>24689</v>
      </c>
      <c r="E3961" s="253" t="s">
        <v>170</v>
      </c>
    </row>
    <row r="3962" spans="1:5" ht="30">
      <c r="A3962" s="254">
        <v>12038</v>
      </c>
      <c r="B3962" s="254" t="s">
        <v>24690</v>
      </c>
      <c r="C3962" s="254" t="s">
        <v>4521</v>
      </c>
      <c r="D3962" s="255" t="s">
        <v>24691</v>
      </c>
      <c r="E3962" s="253" t="s">
        <v>170</v>
      </c>
    </row>
    <row r="3963" spans="1:5" ht="30">
      <c r="A3963" s="254">
        <v>39757</v>
      </c>
      <c r="B3963" s="254" t="s">
        <v>24692</v>
      </c>
      <c r="C3963" s="254" t="s">
        <v>4521</v>
      </c>
      <c r="D3963" s="255" t="s">
        <v>24693</v>
      </c>
      <c r="E3963" s="253" t="s">
        <v>170</v>
      </c>
    </row>
    <row r="3964" spans="1:5" ht="30">
      <c r="A3964" s="254">
        <v>39758</v>
      </c>
      <c r="B3964" s="254" t="s">
        <v>24694</v>
      </c>
      <c r="C3964" s="254" t="s">
        <v>4521</v>
      </c>
      <c r="D3964" s="255" t="s">
        <v>24695</v>
      </c>
      <c r="E3964" s="253" t="s">
        <v>170</v>
      </c>
    </row>
    <row r="3965" spans="1:5" ht="30">
      <c r="A3965" s="254">
        <v>39759</v>
      </c>
      <c r="B3965" s="254" t="s">
        <v>24696</v>
      </c>
      <c r="C3965" s="254" t="s">
        <v>4521</v>
      </c>
      <c r="D3965" s="255" t="s">
        <v>24697</v>
      </c>
      <c r="E3965" s="253" t="s">
        <v>170</v>
      </c>
    </row>
    <row r="3966" spans="1:5" ht="30">
      <c r="A3966" s="254">
        <v>39760</v>
      </c>
      <c r="B3966" s="254" t="s">
        <v>24698</v>
      </c>
      <c r="C3966" s="254" t="s">
        <v>4521</v>
      </c>
      <c r="D3966" s="255" t="s">
        <v>24699</v>
      </c>
      <c r="E3966" s="253" t="s">
        <v>170</v>
      </c>
    </row>
    <row r="3967" spans="1:5" ht="30">
      <c r="A3967" s="254">
        <v>39761</v>
      </c>
      <c r="B3967" s="254" t="s">
        <v>24700</v>
      </c>
      <c r="C3967" s="254" t="s">
        <v>4521</v>
      </c>
      <c r="D3967" s="255" t="s">
        <v>24701</v>
      </c>
      <c r="E3967" s="253" t="s">
        <v>170</v>
      </c>
    </row>
    <row r="3968" spans="1:5" ht="30">
      <c r="A3968" s="254">
        <v>39805</v>
      </c>
      <c r="B3968" s="254" t="s">
        <v>24702</v>
      </c>
      <c r="C3968" s="254" t="s">
        <v>4521</v>
      </c>
      <c r="D3968" s="255" t="s">
        <v>24703</v>
      </c>
      <c r="E3968" s="253" t="s">
        <v>170</v>
      </c>
    </row>
    <row r="3969" spans="1:5" ht="30">
      <c r="A3969" s="254">
        <v>39806</v>
      </c>
      <c r="B3969" s="254" t="s">
        <v>24704</v>
      </c>
      <c r="C3969" s="254" t="s">
        <v>4521</v>
      </c>
      <c r="D3969" s="255" t="s">
        <v>24705</v>
      </c>
      <c r="E3969" s="253" t="s">
        <v>170</v>
      </c>
    </row>
    <row r="3970" spans="1:5" ht="30">
      <c r="A3970" s="254">
        <v>39807</v>
      </c>
      <c r="B3970" s="254" t="s">
        <v>24706</v>
      </c>
      <c r="C3970" s="254" t="s">
        <v>4521</v>
      </c>
      <c r="D3970" s="255" t="s">
        <v>24707</v>
      </c>
      <c r="E3970" s="253" t="s">
        <v>170</v>
      </c>
    </row>
    <row r="3971" spans="1:5" ht="30">
      <c r="A3971" s="254">
        <v>43100</v>
      </c>
      <c r="B3971" s="254" t="s">
        <v>24708</v>
      </c>
      <c r="C3971" s="254" t="s">
        <v>4521</v>
      </c>
      <c r="D3971" s="255" t="s">
        <v>24709</v>
      </c>
      <c r="E3971" s="253" t="s">
        <v>170</v>
      </c>
    </row>
    <row r="3972" spans="1:5" ht="30">
      <c r="A3972" s="254">
        <v>39804</v>
      </c>
      <c r="B3972" s="254" t="s">
        <v>24710</v>
      </c>
      <c r="C3972" s="254" t="s">
        <v>4521</v>
      </c>
      <c r="D3972" s="255" t="s">
        <v>17950</v>
      </c>
      <c r="E3972" s="253" t="s">
        <v>170</v>
      </c>
    </row>
    <row r="3973" spans="1:5" ht="30">
      <c r="A3973" s="254">
        <v>39796</v>
      </c>
      <c r="B3973" s="254" t="s">
        <v>24711</v>
      </c>
      <c r="C3973" s="254" t="s">
        <v>4521</v>
      </c>
      <c r="D3973" s="256" t="s">
        <v>24712</v>
      </c>
      <c r="E3973" s="253" t="s">
        <v>170</v>
      </c>
    </row>
    <row r="3974" spans="1:5" ht="30">
      <c r="A3974" s="254">
        <v>39797</v>
      </c>
      <c r="B3974" s="254" t="s">
        <v>24713</v>
      </c>
      <c r="C3974" s="254" t="s">
        <v>4521</v>
      </c>
      <c r="D3974" s="256" t="s">
        <v>24714</v>
      </c>
      <c r="E3974" s="253" t="s">
        <v>170</v>
      </c>
    </row>
    <row r="3975" spans="1:5" ht="30">
      <c r="A3975" s="254">
        <v>39798</v>
      </c>
      <c r="B3975" s="254" t="s">
        <v>24715</v>
      </c>
      <c r="C3975" s="254" t="s">
        <v>4521</v>
      </c>
      <c r="D3975" s="256" t="s">
        <v>24716</v>
      </c>
      <c r="E3975" s="253" t="s">
        <v>170</v>
      </c>
    </row>
    <row r="3976" spans="1:5" ht="30">
      <c r="A3976" s="254">
        <v>39794</v>
      </c>
      <c r="B3976" s="254" t="s">
        <v>24717</v>
      </c>
      <c r="C3976" s="254" t="s">
        <v>4521</v>
      </c>
      <c r="D3976" s="255" t="s">
        <v>14586</v>
      </c>
      <c r="E3976" s="253" t="s">
        <v>170</v>
      </c>
    </row>
    <row r="3977" spans="1:5" ht="30">
      <c r="A3977" s="254">
        <v>39795</v>
      </c>
      <c r="B3977" s="254" t="s">
        <v>24718</v>
      </c>
      <c r="C3977" s="254" t="s">
        <v>4521</v>
      </c>
      <c r="D3977" s="255" t="s">
        <v>24719</v>
      </c>
      <c r="E3977" s="253" t="s">
        <v>170</v>
      </c>
    </row>
    <row r="3978" spans="1:5" ht="30">
      <c r="A3978" s="254">
        <v>39799</v>
      </c>
      <c r="B3978" s="254" t="s">
        <v>24720</v>
      </c>
      <c r="C3978" s="254" t="s">
        <v>4521</v>
      </c>
      <c r="D3978" s="255" t="s">
        <v>16275</v>
      </c>
      <c r="E3978" s="253" t="s">
        <v>170</v>
      </c>
    </row>
    <row r="3979" spans="1:5" ht="30">
      <c r="A3979" s="254">
        <v>39801</v>
      </c>
      <c r="B3979" s="254" t="s">
        <v>24721</v>
      </c>
      <c r="C3979" s="254" t="s">
        <v>4521</v>
      </c>
      <c r="D3979" s="255" t="s">
        <v>24722</v>
      </c>
      <c r="E3979" s="253" t="s">
        <v>170</v>
      </c>
    </row>
    <row r="3980" spans="1:5" ht="30">
      <c r="A3980" s="254">
        <v>39802</v>
      </c>
      <c r="B3980" s="254" t="s">
        <v>24723</v>
      </c>
      <c r="C3980" s="254" t="s">
        <v>4521</v>
      </c>
      <c r="D3980" s="255" t="s">
        <v>24724</v>
      </c>
      <c r="E3980" s="253" t="s">
        <v>170</v>
      </c>
    </row>
    <row r="3981" spans="1:5" ht="30">
      <c r="A3981" s="254">
        <v>39803</v>
      </c>
      <c r="B3981" s="254" t="s">
        <v>24725</v>
      </c>
      <c r="C3981" s="254" t="s">
        <v>4521</v>
      </c>
      <c r="D3981" s="255" t="s">
        <v>24726</v>
      </c>
      <c r="E3981" s="253" t="s">
        <v>170</v>
      </c>
    </row>
    <row r="3982" spans="1:5" ht="30">
      <c r="A3982" s="254">
        <v>39800</v>
      </c>
      <c r="B3982" s="254" t="s">
        <v>24727</v>
      </c>
      <c r="C3982" s="254" t="s">
        <v>4521</v>
      </c>
      <c r="D3982" s="256" t="s">
        <v>24728</v>
      </c>
      <c r="E3982" s="253" t="s">
        <v>170</v>
      </c>
    </row>
    <row r="3983" spans="1:5" ht="15">
      <c r="A3983" s="254">
        <v>4224</v>
      </c>
      <c r="B3983" s="254" t="s">
        <v>24729</v>
      </c>
      <c r="C3983" s="254" t="s">
        <v>4526</v>
      </c>
      <c r="D3983" s="255" t="s">
        <v>24730</v>
      </c>
      <c r="E3983" s="253" t="s">
        <v>170</v>
      </c>
    </row>
    <row r="3984" spans="1:5" ht="15">
      <c r="A3984" s="254">
        <v>21059</v>
      </c>
      <c r="B3984" s="254" t="s">
        <v>24731</v>
      </c>
      <c r="C3984" s="254" t="s">
        <v>4521</v>
      </c>
      <c r="D3984" s="255" t="s">
        <v>14074</v>
      </c>
      <c r="E3984" s="253" t="s">
        <v>170</v>
      </c>
    </row>
    <row r="3985" spans="1:5" ht="15">
      <c r="A3985" s="254">
        <v>11234</v>
      </c>
      <c r="B3985" s="254" t="s">
        <v>24732</v>
      </c>
      <c r="C3985" s="254" t="s">
        <v>4521</v>
      </c>
      <c r="D3985" s="255" t="s">
        <v>24733</v>
      </c>
      <c r="E3985" s="253" t="s">
        <v>170</v>
      </c>
    </row>
    <row r="3986" spans="1:5" ht="15">
      <c r="A3986" s="254">
        <v>21060</v>
      </c>
      <c r="B3986" s="254" t="s">
        <v>24734</v>
      </c>
      <c r="C3986" s="254" t="s">
        <v>4521</v>
      </c>
      <c r="D3986" s="255" t="s">
        <v>19248</v>
      </c>
      <c r="E3986" s="253" t="s">
        <v>170</v>
      </c>
    </row>
    <row r="3987" spans="1:5" ht="15">
      <c r="A3987" s="254">
        <v>21061</v>
      </c>
      <c r="B3987" s="254" t="s">
        <v>24735</v>
      </c>
      <c r="C3987" s="254" t="s">
        <v>4521</v>
      </c>
      <c r="D3987" s="255" t="s">
        <v>24736</v>
      </c>
      <c r="E3987" s="253" t="s">
        <v>170</v>
      </c>
    </row>
    <row r="3988" spans="1:5" ht="15">
      <c r="A3988" s="254">
        <v>21062</v>
      </c>
      <c r="B3988" s="254" t="s">
        <v>24737</v>
      </c>
      <c r="C3988" s="254" t="s">
        <v>4521</v>
      </c>
      <c r="D3988" s="255" t="s">
        <v>24738</v>
      </c>
      <c r="E3988" s="253" t="s">
        <v>170</v>
      </c>
    </row>
    <row r="3989" spans="1:5" ht="15">
      <c r="A3989" s="254">
        <v>11708</v>
      </c>
      <c r="B3989" s="254" t="s">
        <v>24739</v>
      </c>
      <c r="C3989" s="254" t="s">
        <v>4521</v>
      </c>
      <c r="D3989" s="255" t="s">
        <v>24740</v>
      </c>
      <c r="E3989" s="253" t="s">
        <v>170</v>
      </c>
    </row>
    <row r="3990" spans="1:5" ht="15">
      <c r="A3990" s="254">
        <v>11709</v>
      </c>
      <c r="B3990" s="254" t="s">
        <v>24741</v>
      </c>
      <c r="C3990" s="254" t="s">
        <v>4521</v>
      </c>
      <c r="D3990" s="255" t="s">
        <v>14460</v>
      </c>
      <c r="E3990" s="253" t="s">
        <v>170</v>
      </c>
    </row>
    <row r="3991" spans="1:5" ht="15">
      <c r="A3991" s="254">
        <v>11710</v>
      </c>
      <c r="B3991" s="254" t="s">
        <v>24742</v>
      </c>
      <c r="C3991" s="254" t="s">
        <v>4521</v>
      </c>
      <c r="D3991" s="255" t="s">
        <v>24743</v>
      </c>
      <c r="E3991" s="253" t="s">
        <v>170</v>
      </c>
    </row>
    <row r="3992" spans="1:5" ht="15">
      <c r="A3992" s="254">
        <v>11707</v>
      </c>
      <c r="B3992" s="254" t="s">
        <v>24744</v>
      </c>
      <c r="C3992" s="254" t="s">
        <v>4521</v>
      </c>
      <c r="D3992" s="255" t="s">
        <v>13544</v>
      </c>
      <c r="E3992" s="253" t="s">
        <v>170</v>
      </c>
    </row>
    <row r="3993" spans="1:5" ht="15">
      <c r="A3993" s="254">
        <v>11739</v>
      </c>
      <c r="B3993" s="254" t="s">
        <v>24745</v>
      </c>
      <c r="C3993" s="254" t="s">
        <v>4521</v>
      </c>
      <c r="D3993" s="255" t="s">
        <v>13991</v>
      </c>
      <c r="E3993" s="253" t="s">
        <v>170</v>
      </c>
    </row>
    <row r="3994" spans="1:5" ht="15">
      <c r="A3994" s="254">
        <v>11711</v>
      </c>
      <c r="B3994" s="254" t="s">
        <v>24746</v>
      </c>
      <c r="C3994" s="254" t="s">
        <v>4521</v>
      </c>
      <c r="D3994" s="255" t="s">
        <v>24212</v>
      </c>
      <c r="E3994" s="253" t="s">
        <v>170</v>
      </c>
    </row>
    <row r="3995" spans="1:5" ht="15">
      <c r="A3995" s="254">
        <v>5102</v>
      </c>
      <c r="B3995" s="254" t="s">
        <v>24747</v>
      </c>
      <c r="C3995" s="254" t="s">
        <v>4521</v>
      </c>
      <c r="D3995" s="255" t="s">
        <v>16449</v>
      </c>
      <c r="E3995" s="253" t="s">
        <v>170</v>
      </c>
    </row>
    <row r="3996" spans="1:5" ht="15">
      <c r="A3996" s="254">
        <v>11741</v>
      </c>
      <c r="B3996" s="254" t="s">
        <v>24748</v>
      </c>
      <c r="C3996" s="254" t="s">
        <v>4521</v>
      </c>
      <c r="D3996" s="255" t="s">
        <v>13633</v>
      </c>
      <c r="E3996" s="253" t="s">
        <v>170</v>
      </c>
    </row>
    <row r="3997" spans="1:5" ht="30">
      <c r="A3997" s="254">
        <v>11743</v>
      </c>
      <c r="B3997" s="254" t="s">
        <v>24749</v>
      </c>
      <c r="C3997" s="254" t="s">
        <v>4521</v>
      </c>
      <c r="D3997" s="256" t="s">
        <v>17001</v>
      </c>
      <c r="E3997" s="253" t="s">
        <v>170</v>
      </c>
    </row>
    <row r="3998" spans="1:5" ht="30">
      <c r="A3998" s="254">
        <v>11745</v>
      </c>
      <c r="B3998" s="254" t="s">
        <v>24750</v>
      </c>
      <c r="C3998" s="254" t="s">
        <v>4521</v>
      </c>
      <c r="D3998" s="255" t="s">
        <v>24751</v>
      </c>
      <c r="E3998" s="253" t="s">
        <v>170</v>
      </c>
    </row>
    <row r="3999" spans="1:5" ht="15">
      <c r="A3999" s="254">
        <v>25961</v>
      </c>
      <c r="B3999" s="254" t="s">
        <v>24752</v>
      </c>
      <c r="C3999" s="254" t="s">
        <v>4520</v>
      </c>
      <c r="D3999" s="255" t="s">
        <v>14176</v>
      </c>
      <c r="E3999" s="253" t="s">
        <v>8722</v>
      </c>
    </row>
    <row r="4000" spans="1:5" ht="15">
      <c r="A4000" s="254">
        <v>40985</v>
      </c>
      <c r="B4000" s="254" t="s">
        <v>24753</v>
      </c>
      <c r="C4000" s="254" t="s">
        <v>4528</v>
      </c>
      <c r="D4000" s="255" t="s">
        <v>19313</v>
      </c>
      <c r="E4000" s="253" t="s">
        <v>8722</v>
      </c>
    </row>
    <row r="4001" spans="1:5" ht="15">
      <c r="A4001" s="254">
        <v>1088</v>
      </c>
      <c r="B4001" s="254" t="s">
        <v>24754</v>
      </c>
      <c r="C4001" s="254" t="s">
        <v>4521</v>
      </c>
      <c r="D4001" s="255" t="s">
        <v>15741</v>
      </c>
      <c r="E4001" s="253" t="s">
        <v>170</v>
      </c>
    </row>
    <row r="4002" spans="1:5" ht="15">
      <c r="A4002" s="254">
        <v>1087</v>
      </c>
      <c r="B4002" s="254" t="s">
        <v>24755</v>
      </c>
      <c r="C4002" s="254" t="s">
        <v>4521</v>
      </c>
      <c r="D4002" s="255" t="s">
        <v>24756</v>
      </c>
      <c r="E4002" s="253" t="s">
        <v>170</v>
      </c>
    </row>
    <row r="4003" spans="1:5" ht="15">
      <c r="A4003" s="254">
        <v>38777</v>
      </c>
      <c r="B4003" s="254" t="s">
        <v>24757</v>
      </c>
      <c r="C4003" s="254" t="s">
        <v>4521</v>
      </c>
      <c r="D4003" s="255" t="s">
        <v>24758</v>
      </c>
      <c r="E4003" s="253" t="s">
        <v>170</v>
      </c>
    </row>
    <row r="4004" spans="1:5" ht="15">
      <c r="A4004" s="254">
        <v>1086</v>
      </c>
      <c r="B4004" s="254" t="s">
        <v>24759</v>
      </c>
      <c r="C4004" s="254" t="s">
        <v>4521</v>
      </c>
      <c r="D4004" s="255" t="s">
        <v>24760</v>
      </c>
      <c r="E4004" s="253" t="s">
        <v>170</v>
      </c>
    </row>
    <row r="4005" spans="1:5" ht="15">
      <c r="A4005" s="254">
        <v>1079</v>
      </c>
      <c r="B4005" s="254" t="s">
        <v>24761</v>
      </c>
      <c r="C4005" s="254" t="s">
        <v>4521</v>
      </c>
      <c r="D4005" s="255" t="s">
        <v>13976</v>
      </c>
      <c r="E4005" s="253" t="s">
        <v>170</v>
      </c>
    </row>
    <row r="4006" spans="1:5" ht="30">
      <c r="A4006" s="254">
        <v>39374</v>
      </c>
      <c r="B4006" s="254" t="s">
        <v>24762</v>
      </c>
      <c r="C4006" s="254" t="s">
        <v>4521</v>
      </c>
      <c r="D4006" s="255" t="s">
        <v>24763</v>
      </c>
      <c r="E4006" s="253" t="s">
        <v>170</v>
      </c>
    </row>
    <row r="4007" spans="1:5" ht="15">
      <c r="A4007" s="254">
        <v>1082</v>
      </c>
      <c r="B4007" s="254" t="s">
        <v>24764</v>
      </c>
      <c r="C4007" s="254" t="s">
        <v>4521</v>
      </c>
      <c r="D4007" s="255" t="s">
        <v>24765</v>
      </c>
      <c r="E4007" s="253" t="s">
        <v>170</v>
      </c>
    </row>
    <row r="4008" spans="1:5" ht="15">
      <c r="A4008" s="254">
        <v>12316</v>
      </c>
      <c r="B4008" s="254" t="s">
        <v>24766</v>
      </c>
      <c r="C4008" s="254" t="s">
        <v>4521</v>
      </c>
      <c r="D4008" s="255" t="s">
        <v>24767</v>
      </c>
      <c r="E4008" s="253" t="s">
        <v>170</v>
      </c>
    </row>
    <row r="4009" spans="1:5" ht="15">
      <c r="A4009" s="254">
        <v>12317</v>
      </c>
      <c r="B4009" s="254" t="s">
        <v>24768</v>
      </c>
      <c r="C4009" s="254" t="s">
        <v>4521</v>
      </c>
      <c r="D4009" s="255" t="s">
        <v>24769</v>
      </c>
      <c r="E4009" s="253" t="s">
        <v>170</v>
      </c>
    </row>
    <row r="4010" spans="1:5" ht="15">
      <c r="A4010" s="254">
        <v>12318</v>
      </c>
      <c r="B4010" s="254" t="s">
        <v>24770</v>
      </c>
      <c r="C4010" s="254" t="s">
        <v>4521</v>
      </c>
      <c r="D4010" s="255" t="s">
        <v>24771</v>
      </c>
      <c r="E4010" s="253" t="s">
        <v>170</v>
      </c>
    </row>
    <row r="4011" spans="1:5" ht="15">
      <c r="A4011" s="254">
        <v>5104</v>
      </c>
      <c r="B4011" s="254" t="s">
        <v>24772</v>
      </c>
      <c r="C4011" s="254" t="s">
        <v>4525</v>
      </c>
      <c r="D4011" s="255" t="s">
        <v>22986</v>
      </c>
      <c r="E4011" s="253" t="s">
        <v>170</v>
      </c>
    </row>
    <row r="4012" spans="1:5" ht="15">
      <c r="A4012" s="254">
        <v>26023</v>
      </c>
      <c r="B4012" s="254" t="s">
        <v>24773</v>
      </c>
      <c r="C4012" s="254" t="s">
        <v>4521</v>
      </c>
      <c r="D4012" s="255" t="s">
        <v>24774</v>
      </c>
      <c r="E4012" s="253" t="s">
        <v>170</v>
      </c>
    </row>
    <row r="4013" spans="1:5" ht="15">
      <c r="A4013" s="254">
        <v>2710</v>
      </c>
      <c r="B4013" s="254" t="s">
        <v>24775</v>
      </c>
      <c r="C4013" s="254" t="s">
        <v>4521</v>
      </c>
      <c r="D4013" s="255" t="s">
        <v>17789</v>
      </c>
      <c r="E4013" s="253" t="s">
        <v>170</v>
      </c>
    </row>
    <row r="4014" spans="1:5" ht="30">
      <c r="A4014" s="254">
        <v>14575</v>
      </c>
      <c r="B4014" s="254" t="s">
        <v>24776</v>
      </c>
      <c r="C4014" s="254" t="s">
        <v>4521</v>
      </c>
      <c r="D4014" s="255" t="s">
        <v>24777</v>
      </c>
      <c r="E4014" s="253" t="s">
        <v>170</v>
      </c>
    </row>
    <row r="4015" spans="1:5" ht="15">
      <c r="A4015" s="254">
        <v>20034</v>
      </c>
      <c r="B4015" s="254" t="s">
        <v>24778</v>
      </c>
      <c r="C4015" s="254" t="s">
        <v>4521</v>
      </c>
      <c r="D4015" s="255" t="s">
        <v>24779</v>
      </c>
      <c r="E4015" s="253" t="s">
        <v>170</v>
      </c>
    </row>
    <row r="4016" spans="1:5" ht="15">
      <c r="A4016" s="254">
        <v>20036</v>
      </c>
      <c r="B4016" s="254" t="s">
        <v>24780</v>
      </c>
      <c r="C4016" s="254" t="s">
        <v>4521</v>
      </c>
      <c r="D4016" s="255" t="s">
        <v>24781</v>
      </c>
      <c r="E4016" s="253" t="s">
        <v>170</v>
      </c>
    </row>
    <row r="4017" spans="1:5" ht="15">
      <c r="A4017" s="254">
        <v>20037</v>
      </c>
      <c r="B4017" s="254" t="s">
        <v>24782</v>
      </c>
      <c r="C4017" s="254" t="s">
        <v>4521</v>
      </c>
      <c r="D4017" s="255" t="s">
        <v>24783</v>
      </c>
      <c r="E4017" s="253" t="s">
        <v>170</v>
      </c>
    </row>
    <row r="4018" spans="1:5" ht="15">
      <c r="A4018" s="254">
        <v>20043</v>
      </c>
      <c r="B4018" s="254" t="s">
        <v>24784</v>
      </c>
      <c r="C4018" s="254" t="s">
        <v>4521</v>
      </c>
      <c r="D4018" s="255" t="s">
        <v>13924</v>
      </c>
      <c r="E4018" s="253" t="s">
        <v>170</v>
      </c>
    </row>
    <row r="4019" spans="1:5" ht="15">
      <c r="A4019" s="254">
        <v>20044</v>
      </c>
      <c r="B4019" s="254" t="s">
        <v>24785</v>
      </c>
      <c r="C4019" s="254" t="s">
        <v>4521</v>
      </c>
      <c r="D4019" s="255" t="s">
        <v>17605</v>
      </c>
      <c r="E4019" s="253" t="s">
        <v>170</v>
      </c>
    </row>
    <row r="4020" spans="1:5" ht="15">
      <c r="A4020" s="254">
        <v>20042</v>
      </c>
      <c r="B4020" s="254" t="s">
        <v>24786</v>
      </c>
      <c r="C4020" s="254" t="s">
        <v>4521</v>
      </c>
      <c r="D4020" s="255" t="s">
        <v>18541</v>
      </c>
      <c r="E4020" s="253" t="s">
        <v>170</v>
      </c>
    </row>
    <row r="4021" spans="1:5" ht="15">
      <c r="A4021" s="254">
        <v>20046</v>
      </c>
      <c r="B4021" s="254" t="s">
        <v>24787</v>
      </c>
      <c r="C4021" s="254" t="s">
        <v>4521</v>
      </c>
      <c r="D4021" s="255" t="s">
        <v>24788</v>
      </c>
      <c r="E4021" s="253" t="s">
        <v>170</v>
      </c>
    </row>
    <row r="4022" spans="1:5" ht="15">
      <c r="A4022" s="254">
        <v>20047</v>
      </c>
      <c r="B4022" s="254" t="s">
        <v>24789</v>
      </c>
      <c r="C4022" s="254" t="s">
        <v>4521</v>
      </c>
      <c r="D4022" s="255" t="s">
        <v>24790</v>
      </c>
      <c r="E4022" s="253" t="s">
        <v>170</v>
      </c>
    </row>
    <row r="4023" spans="1:5" ht="15">
      <c r="A4023" s="254">
        <v>20045</v>
      </c>
      <c r="B4023" s="254" t="s">
        <v>24791</v>
      </c>
      <c r="C4023" s="254" t="s">
        <v>4521</v>
      </c>
      <c r="D4023" s="255" t="s">
        <v>17020</v>
      </c>
      <c r="E4023" s="253" t="s">
        <v>170</v>
      </c>
    </row>
    <row r="4024" spans="1:5" ht="30">
      <c r="A4024" s="254">
        <v>20972</v>
      </c>
      <c r="B4024" s="254" t="s">
        <v>24792</v>
      </c>
      <c r="C4024" s="254" t="s">
        <v>4521</v>
      </c>
      <c r="D4024" s="255" t="s">
        <v>24793</v>
      </c>
      <c r="E4024" s="253" t="s">
        <v>170</v>
      </c>
    </row>
    <row r="4025" spans="1:5" ht="15">
      <c r="A4025" s="254">
        <v>20032</v>
      </c>
      <c r="B4025" s="254" t="s">
        <v>24794</v>
      </c>
      <c r="C4025" s="254" t="s">
        <v>4521</v>
      </c>
      <c r="D4025" s="256" t="s">
        <v>24795</v>
      </c>
      <c r="E4025" s="253" t="s">
        <v>170</v>
      </c>
    </row>
    <row r="4026" spans="1:5" ht="15">
      <c r="A4026" s="254">
        <v>11321</v>
      </c>
      <c r="B4026" s="254" t="s">
        <v>24796</v>
      </c>
      <c r="C4026" s="254" t="s">
        <v>4521</v>
      </c>
      <c r="D4026" s="256" t="s">
        <v>16673</v>
      </c>
      <c r="E4026" s="253" t="s">
        <v>170</v>
      </c>
    </row>
    <row r="4027" spans="1:5" ht="15">
      <c r="A4027" s="254">
        <v>11323</v>
      </c>
      <c r="B4027" s="254" t="s">
        <v>24797</v>
      </c>
      <c r="C4027" s="254" t="s">
        <v>4521</v>
      </c>
      <c r="D4027" s="256" t="s">
        <v>18166</v>
      </c>
      <c r="E4027" s="253" t="s">
        <v>170</v>
      </c>
    </row>
    <row r="4028" spans="1:5" ht="15">
      <c r="A4028" s="254">
        <v>20327</v>
      </c>
      <c r="B4028" s="254" t="s">
        <v>24798</v>
      </c>
      <c r="C4028" s="254" t="s">
        <v>4521</v>
      </c>
      <c r="D4028" s="255" t="s">
        <v>24799</v>
      </c>
      <c r="E4028" s="253" t="s">
        <v>170</v>
      </c>
    </row>
    <row r="4029" spans="1:5" ht="15">
      <c r="A4029" s="254">
        <v>25966</v>
      </c>
      <c r="B4029" s="254" t="s">
        <v>24800</v>
      </c>
      <c r="C4029" s="254" t="s">
        <v>4526</v>
      </c>
      <c r="D4029" s="256" t="s">
        <v>17023</v>
      </c>
      <c r="E4029" s="253" t="s">
        <v>170</v>
      </c>
    </row>
    <row r="4030" spans="1:5" ht="45">
      <c r="A4030" s="254">
        <v>13390</v>
      </c>
      <c r="B4030" s="254" t="s">
        <v>24801</v>
      </c>
      <c r="C4030" s="254" t="s">
        <v>4521</v>
      </c>
      <c r="D4030" s="256" t="s">
        <v>24802</v>
      </c>
      <c r="E4030" s="253" t="s">
        <v>170</v>
      </c>
    </row>
    <row r="4031" spans="1:5" ht="15">
      <c r="A4031" s="254">
        <v>6034</v>
      </c>
      <c r="B4031" s="254" t="s">
        <v>24803</v>
      </c>
      <c r="C4031" s="254" t="s">
        <v>4521</v>
      </c>
      <c r="D4031" s="255" t="s">
        <v>24804</v>
      </c>
      <c r="E4031" s="253" t="s">
        <v>170</v>
      </c>
    </row>
    <row r="4032" spans="1:5" ht="15">
      <c r="A4032" s="254">
        <v>6036</v>
      </c>
      <c r="B4032" s="254" t="s">
        <v>24805</v>
      </c>
      <c r="C4032" s="254" t="s">
        <v>4521</v>
      </c>
      <c r="D4032" s="255" t="s">
        <v>14043</v>
      </c>
      <c r="E4032" s="253" t="s">
        <v>170</v>
      </c>
    </row>
    <row r="4033" spans="1:5" ht="15">
      <c r="A4033" s="254">
        <v>6031</v>
      </c>
      <c r="B4033" s="254" t="s">
        <v>24806</v>
      </c>
      <c r="C4033" s="254" t="s">
        <v>4521</v>
      </c>
      <c r="D4033" s="255" t="s">
        <v>14585</v>
      </c>
      <c r="E4033" s="253" t="s">
        <v>170</v>
      </c>
    </row>
    <row r="4034" spans="1:5" ht="15">
      <c r="A4034" s="254">
        <v>6029</v>
      </c>
      <c r="B4034" s="254" t="s">
        <v>24807</v>
      </c>
      <c r="C4034" s="254" t="s">
        <v>4521</v>
      </c>
      <c r="D4034" s="255" t="s">
        <v>17058</v>
      </c>
      <c r="E4034" s="253" t="s">
        <v>170</v>
      </c>
    </row>
    <row r="4035" spans="1:5" ht="15">
      <c r="A4035" s="254">
        <v>6033</v>
      </c>
      <c r="B4035" s="254" t="s">
        <v>24808</v>
      </c>
      <c r="C4035" s="254" t="s">
        <v>4521</v>
      </c>
      <c r="D4035" s="255" t="s">
        <v>14949</v>
      </c>
      <c r="E4035" s="253" t="s">
        <v>170</v>
      </c>
    </row>
    <row r="4036" spans="1:5" ht="30">
      <c r="A4036" s="254">
        <v>11672</v>
      </c>
      <c r="B4036" s="254" t="s">
        <v>24809</v>
      </c>
      <c r="C4036" s="254" t="s">
        <v>4521</v>
      </c>
      <c r="D4036" s="255" t="s">
        <v>15921</v>
      </c>
      <c r="E4036" s="253" t="s">
        <v>170</v>
      </c>
    </row>
    <row r="4037" spans="1:5" ht="30">
      <c r="A4037" s="254">
        <v>11669</v>
      </c>
      <c r="B4037" s="254" t="s">
        <v>24810</v>
      </c>
      <c r="C4037" s="254" t="s">
        <v>4521</v>
      </c>
      <c r="D4037" s="255" t="s">
        <v>24811</v>
      </c>
      <c r="E4037" s="253" t="s">
        <v>170</v>
      </c>
    </row>
    <row r="4038" spans="1:5" ht="30">
      <c r="A4038" s="254">
        <v>11670</v>
      </c>
      <c r="B4038" s="254" t="s">
        <v>24812</v>
      </c>
      <c r="C4038" s="254" t="s">
        <v>4521</v>
      </c>
      <c r="D4038" s="255" t="s">
        <v>24813</v>
      </c>
      <c r="E4038" s="253" t="s">
        <v>170</v>
      </c>
    </row>
    <row r="4039" spans="1:5" ht="30">
      <c r="A4039" s="254">
        <v>20055</v>
      </c>
      <c r="B4039" s="254" t="s">
        <v>24814</v>
      </c>
      <c r="C4039" s="254" t="s">
        <v>4521</v>
      </c>
      <c r="D4039" s="255" t="s">
        <v>24815</v>
      </c>
      <c r="E4039" s="253" t="s">
        <v>170</v>
      </c>
    </row>
    <row r="4040" spans="1:5" ht="30">
      <c r="A4040" s="254">
        <v>11671</v>
      </c>
      <c r="B4040" s="254" t="s">
        <v>24816</v>
      </c>
      <c r="C4040" s="254" t="s">
        <v>4521</v>
      </c>
      <c r="D4040" s="255" t="s">
        <v>24817</v>
      </c>
      <c r="E4040" s="253" t="s">
        <v>170</v>
      </c>
    </row>
    <row r="4041" spans="1:5" ht="30">
      <c r="A4041" s="254">
        <v>6032</v>
      </c>
      <c r="B4041" s="254" t="s">
        <v>24818</v>
      </c>
      <c r="C4041" s="254" t="s">
        <v>4521</v>
      </c>
      <c r="D4041" s="255" t="s">
        <v>18971</v>
      </c>
      <c r="E4041" s="253" t="s">
        <v>170</v>
      </c>
    </row>
    <row r="4042" spans="1:5" ht="30">
      <c r="A4042" s="254">
        <v>11673</v>
      </c>
      <c r="B4042" s="254" t="s">
        <v>24819</v>
      </c>
      <c r="C4042" s="254" t="s">
        <v>4521</v>
      </c>
      <c r="D4042" s="255" t="s">
        <v>18674</v>
      </c>
      <c r="E4042" s="253" t="s">
        <v>170</v>
      </c>
    </row>
    <row r="4043" spans="1:5" ht="30">
      <c r="A4043" s="254">
        <v>11674</v>
      </c>
      <c r="B4043" s="254" t="s">
        <v>24820</v>
      </c>
      <c r="C4043" s="254" t="s">
        <v>4521</v>
      </c>
      <c r="D4043" s="255" t="s">
        <v>20544</v>
      </c>
      <c r="E4043" s="253" t="s">
        <v>170</v>
      </c>
    </row>
    <row r="4044" spans="1:5" ht="30">
      <c r="A4044" s="254">
        <v>11675</v>
      </c>
      <c r="B4044" s="254" t="s">
        <v>24821</v>
      </c>
      <c r="C4044" s="254" t="s">
        <v>4521</v>
      </c>
      <c r="D4044" s="255" t="s">
        <v>24822</v>
      </c>
      <c r="E4044" s="253" t="s">
        <v>170</v>
      </c>
    </row>
    <row r="4045" spans="1:5" ht="30">
      <c r="A4045" s="254">
        <v>11676</v>
      </c>
      <c r="B4045" s="254" t="s">
        <v>24823</v>
      </c>
      <c r="C4045" s="254" t="s">
        <v>4521</v>
      </c>
      <c r="D4045" s="255" t="s">
        <v>24824</v>
      </c>
      <c r="E4045" s="253" t="s">
        <v>170</v>
      </c>
    </row>
    <row r="4046" spans="1:5" ht="30">
      <c r="A4046" s="254">
        <v>11677</v>
      </c>
      <c r="B4046" s="254" t="s">
        <v>24825</v>
      </c>
      <c r="C4046" s="254" t="s">
        <v>4521</v>
      </c>
      <c r="D4046" s="255" t="s">
        <v>24826</v>
      </c>
      <c r="E4046" s="253" t="s">
        <v>170</v>
      </c>
    </row>
    <row r="4047" spans="1:5" ht="30">
      <c r="A4047" s="254">
        <v>11678</v>
      </c>
      <c r="B4047" s="254" t="s">
        <v>24827</v>
      </c>
      <c r="C4047" s="254" t="s">
        <v>4521</v>
      </c>
      <c r="D4047" s="255" t="s">
        <v>24828</v>
      </c>
      <c r="E4047" s="253" t="s">
        <v>170</v>
      </c>
    </row>
    <row r="4048" spans="1:5" ht="15">
      <c r="A4048" s="254">
        <v>6038</v>
      </c>
      <c r="B4048" s="254" t="s">
        <v>24829</v>
      </c>
      <c r="C4048" s="254" t="s">
        <v>4521</v>
      </c>
      <c r="D4048" s="255" t="s">
        <v>14359</v>
      </c>
      <c r="E4048" s="253" t="s">
        <v>170</v>
      </c>
    </row>
    <row r="4049" spans="1:5" ht="15">
      <c r="A4049" s="254">
        <v>11718</v>
      </c>
      <c r="B4049" s="254" t="s">
        <v>24830</v>
      </c>
      <c r="C4049" s="254" t="s">
        <v>4521</v>
      </c>
      <c r="D4049" s="255" t="s">
        <v>15380</v>
      </c>
      <c r="E4049" s="253" t="s">
        <v>170</v>
      </c>
    </row>
    <row r="4050" spans="1:5" ht="15">
      <c r="A4050" s="254">
        <v>6037</v>
      </c>
      <c r="B4050" s="254" t="s">
        <v>24831</v>
      </c>
      <c r="C4050" s="254" t="s">
        <v>4521</v>
      </c>
      <c r="D4050" s="255" t="s">
        <v>24832</v>
      </c>
      <c r="E4050" s="253" t="s">
        <v>170</v>
      </c>
    </row>
    <row r="4051" spans="1:5" ht="15">
      <c r="A4051" s="254">
        <v>11719</v>
      </c>
      <c r="B4051" s="254" t="s">
        <v>24833</v>
      </c>
      <c r="C4051" s="254" t="s">
        <v>4521</v>
      </c>
      <c r="D4051" s="255" t="s">
        <v>13529</v>
      </c>
      <c r="E4051" s="253" t="s">
        <v>170</v>
      </c>
    </row>
    <row r="4052" spans="1:5" ht="15">
      <c r="A4052" s="254">
        <v>6019</v>
      </c>
      <c r="B4052" s="254" t="s">
        <v>24834</v>
      </c>
      <c r="C4052" s="254" t="s">
        <v>4521</v>
      </c>
      <c r="D4052" s="255" t="s">
        <v>24835</v>
      </c>
      <c r="E4052" s="253" t="s">
        <v>170</v>
      </c>
    </row>
    <row r="4053" spans="1:5" ht="15">
      <c r="A4053" s="254">
        <v>6010</v>
      </c>
      <c r="B4053" s="254" t="s">
        <v>24836</v>
      </c>
      <c r="C4053" s="254" t="s">
        <v>4521</v>
      </c>
      <c r="D4053" s="255" t="s">
        <v>24837</v>
      </c>
      <c r="E4053" s="253" t="s">
        <v>170</v>
      </c>
    </row>
    <row r="4054" spans="1:5" ht="15">
      <c r="A4054" s="254">
        <v>6017</v>
      </c>
      <c r="B4054" s="254" t="s">
        <v>24838</v>
      </c>
      <c r="C4054" s="254" t="s">
        <v>4521</v>
      </c>
      <c r="D4054" s="255" t="s">
        <v>24839</v>
      </c>
      <c r="E4054" s="253" t="s">
        <v>170</v>
      </c>
    </row>
    <row r="4055" spans="1:5" ht="15">
      <c r="A4055" s="254">
        <v>6020</v>
      </c>
      <c r="B4055" s="254" t="s">
        <v>24840</v>
      </c>
      <c r="C4055" s="254" t="s">
        <v>4521</v>
      </c>
      <c r="D4055" s="255" t="s">
        <v>16973</v>
      </c>
      <c r="E4055" s="253" t="s">
        <v>170</v>
      </c>
    </row>
    <row r="4056" spans="1:5" ht="15">
      <c r="A4056" s="254">
        <v>6028</v>
      </c>
      <c r="B4056" s="254" t="s">
        <v>24841</v>
      </c>
      <c r="C4056" s="254" t="s">
        <v>4521</v>
      </c>
      <c r="D4056" s="255" t="s">
        <v>24842</v>
      </c>
      <c r="E4056" s="253" t="s">
        <v>170</v>
      </c>
    </row>
    <row r="4057" spans="1:5" ht="15">
      <c r="A4057" s="254">
        <v>6011</v>
      </c>
      <c r="B4057" s="254" t="s">
        <v>24843</v>
      </c>
      <c r="C4057" s="254" t="s">
        <v>4521</v>
      </c>
      <c r="D4057" s="256" t="s">
        <v>24844</v>
      </c>
      <c r="E4057" s="253" t="s">
        <v>170</v>
      </c>
    </row>
    <row r="4058" spans="1:5" ht="15">
      <c r="A4058" s="254">
        <v>6012</v>
      </c>
      <c r="B4058" s="254" t="s">
        <v>24845</v>
      </c>
      <c r="C4058" s="254" t="s">
        <v>4521</v>
      </c>
      <c r="D4058" s="255" t="s">
        <v>24846</v>
      </c>
      <c r="E4058" s="253" t="s">
        <v>170</v>
      </c>
    </row>
    <row r="4059" spans="1:5" ht="15">
      <c r="A4059" s="254">
        <v>6016</v>
      </c>
      <c r="B4059" s="254" t="s">
        <v>24847</v>
      </c>
      <c r="C4059" s="254" t="s">
        <v>4521</v>
      </c>
      <c r="D4059" s="256" t="s">
        <v>18108</v>
      </c>
      <c r="E4059" s="253" t="s">
        <v>170</v>
      </c>
    </row>
    <row r="4060" spans="1:5" ht="15">
      <c r="A4060" s="254">
        <v>6027</v>
      </c>
      <c r="B4060" s="254" t="s">
        <v>24848</v>
      </c>
      <c r="C4060" s="254" t="s">
        <v>4521</v>
      </c>
      <c r="D4060" s="255" t="s">
        <v>24849</v>
      </c>
      <c r="E4060" s="253" t="s">
        <v>170</v>
      </c>
    </row>
    <row r="4061" spans="1:5" ht="30">
      <c r="A4061" s="254">
        <v>6013</v>
      </c>
      <c r="B4061" s="254" t="s">
        <v>24850</v>
      </c>
      <c r="C4061" s="254" t="s">
        <v>4521</v>
      </c>
      <c r="D4061" s="255" t="s">
        <v>24851</v>
      </c>
      <c r="E4061" s="253" t="s">
        <v>170</v>
      </c>
    </row>
    <row r="4062" spans="1:5" ht="30">
      <c r="A4062" s="254">
        <v>6015</v>
      </c>
      <c r="B4062" s="254" t="s">
        <v>24852</v>
      </c>
      <c r="C4062" s="254" t="s">
        <v>4521</v>
      </c>
      <c r="D4062" s="255" t="s">
        <v>24853</v>
      </c>
      <c r="E4062" s="253" t="s">
        <v>170</v>
      </c>
    </row>
    <row r="4063" spans="1:5" ht="30">
      <c r="A4063" s="254">
        <v>6014</v>
      </c>
      <c r="B4063" s="254" t="s">
        <v>24854</v>
      </c>
      <c r="C4063" s="254" t="s">
        <v>4521</v>
      </c>
      <c r="D4063" s="255" t="s">
        <v>24855</v>
      </c>
      <c r="E4063" s="253" t="s">
        <v>170</v>
      </c>
    </row>
    <row r="4064" spans="1:5" ht="30">
      <c r="A4064" s="254">
        <v>6006</v>
      </c>
      <c r="B4064" s="254" t="s">
        <v>24856</v>
      </c>
      <c r="C4064" s="254" t="s">
        <v>4521</v>
      </c>
      <c r="D4064" s="255" t="s">
        <v>24857</v>
      </c>
      <c r="E4064" s="253" t="s">
        <v>170</v>
      </c>
    </row>
    <row r="4065" spans="1:5" ht="30">
      <c r="A4065" s="254">
        <v>6005</v>
      </c>
      <c r="B4065" s="254" t="s">
        <v>24858</v>
      </c>
      <c r="C4065" s="254" t="s">
        <v>4521</v>
      </c>
      <c r="D4065" s="255" t="s">
        <v>15290</v>
      </c>
      <c r="E4065" s="253" t="s">
        <v>170</v>
      </c>
    </row>
    <row r="4066" spans="1:5" ht="15">
      <c r="A4066" s="254">
        <v>11756</v>
      </c>
      <c r="B4066" s="254" t="s">
        <v>24859</v>
      </c>
      <c r="C4066" s="254" t="s">
        <v>4521</v>
      </c>
      <c r="D4066" s="255" t="s">
        <v>18134</v>
      </c>
      <c r="E4066" s="253" t="s">
        <v>170</v>
      </c>
    </row>
    <row r="4067" spans="1:5" ht="45">
      <c r="A4067" s="254">
        <v>10904</v>
      </c>
      <c r="B4067" s="254" t="s">
        <v>24860</v>
      </c>
      <c r="C4067" s="254" t="s">
        <v>4521</v>
      </c>
      <c r="D4067" s="255" t="s">
        <v>24861</v>
      </c>
      <c r="E4067" s="253" t="s">
        <v>170</v>
      </c>
    </row>
    <row r="4068" spans="1:5" ht="15">
      <c r="A4068" s="254">
        <v>11752</v>
      </c>
      <c r="B4068" s="254" t="s">
        <v>24862</v>
      </c>
      <c r="C4068" s="254" t="s">
        <v>4521</v>
      </c>
      <c r="D4068" s="255" t="s">
        <v>24863</v>
      </c>
      <c r="E4068" s="253" t="s">
        <v>170</v>
      </c>
    </row>
    <row r="4069" spans="1:5" ht="15">
      <c r="A4069" s="254">
        <v>11753</v>
      </c>
      <c r="B4069" s="254" t="s">
        <v>24864</v>
      </c>
      <c r="C4069" s="254" t="s">
        <v>4521</v>
      </c>
      <c r="D4069" s="255" t="s">
        <v>17083</v>
      </c>
      <c r="E4069" s="253" t="s">
        <v>170</v>
      </c>
    </row>
    <row r="4070" spans="1:5" ht="30">
      <c r="A4070" s="254">
        <v>6021</v>
      </c>
      <c r="B4070" s="254" t="s">
        <v>24865</v>
      </c>
      <c r="C4070" s="254" t="s">
        <v>4521</v>
      </c>
      <c r="D4070" s="255" t="s">
        <v>24866</v>
      </c>
      <c r="E4070" s="253" t="s">
        <v>170</v>
      </c>
    </row>
    <row r="4071" spans="1:5" ht="30">
      <c r="A4071" s="254">
        <v>6024</v>
      </c>
      <c r="B4071" s="254" t="s">
        <v>24867</v>
      </c>
      <c r="C4071" s="254" t="s">
        <v>4521</v>
      </c>
      <c r="D4071" s="255" t="s">
        <v>24868</v>
      </c>
      <c r="E4071" s="253" t="s">
        <v>170</v>
      </c>
    </row>
    <row r="4072" spans="1:5" ht="15">
      <c r="A4072" s="254">
        <v>38379</v>
      </c>
      <c r="B4072" s="254" t="s">
        <v>24869</v>
      </c>
      <c r="C4072" s="254" t="s">
        <v>4524</v>
      </c>
      <c r="D4072" s="255" t="s">
        <v>19684</v>
      </c>
      <c r="E4072" s="253" t="s">
        <v>170</v>
      </c>
    </row>
    <row r="4073" spans="1:5" ht="30">
      <c r="A4073" s="254">
        <v>13897</v>
      </c>
      <c r="B4073" s="254" t="s">
        <v>24870</v>
      </c>
      <c r="C4073" s="254" t="s">
        <v>4521</v>
      </c>
      <c r="D4073" s="255" t="s">
        <v>24871</v>
      </c>
      <c r="E4073" s="253" t="s">
        <v>170</v>
      </c>
    </row>
    <row r="4074" spans="1:5" ht="30">
      <c r="A4074" s="254">
        <v>10640</v>
      </c>
      <c r="B4074" s="254" t="s">
        <v>24872</v>
      </c>
      <c r="C4074" s="254" t="s">
        <v>4521</v>
      </c>
      <c r="D4074" s="255" t="s">
        <v>24873</v>
      </c>
      <c r="E4074" s="253" t="s">
        <v>6305</v>
      </c>
    </row>
    <row r="4075" spans="1:5" ht="30">
      <c r="A4075" s="254">
        <v>11086</v>
      </c>
      <c r="B4075" s="254" t="s">
        <v>24874</v>
      </c>
      <c r="C4075" s="254" t="s">
        <v>4522</v>
      </c>
      <c r="D4075" s="255" t="s">
        <v>15270</v>
      </c>
      <c r="E4075" s="253" t="s">
        <v>170</v>
      </c>
    </row>
    <row r="4076" spans="1:5" ht="15">
      <c r="A4076" s="254">
        <v>34356</v>
      </c>
      <c r="B4076" s="254" t="s">
        <v>24875</v>
      </c>
      <c r="C4076" s="254" t="s">
        <v>4525</v>
      </c>
      <c r="D4076" s="255" t="s">
        <v>22124</v>
      </c>
      <c r="E4076" s="253" t="s">
        <v>170</v>
      </c>
    </row>
    <row r="4077" spans="1:5" ht="15">
      <c r="A4077" s="254">
        <v>34357</v>
      </c>
      <c r="B4077" s="254" t="s">
        <v>24876</v>
      </c>
      <c r="C4077" s="254" t="s">
        <v>4525</v>
      </c>
      <c r="D4077" s="255" t="s">
        <v>14322</v>
      </c>
      <c r="E4077" s="253" t="s">
        <v>170</v>
      </c>
    </row>
    <row r="4078" spans="1:5" ht="15">
      <c r="A4078" s="254">
        <v>37329</v>
      </c>
      <c r="B4078" s="254" t="s">
        <v>24877</v>
      </c>
      <c r="C4078" s="254" t="s">
        <v>4525</v>
      </c>
      <c r="D4078" s="255" t="s">
        <v>23044</v>
      </c>
      <c r="E4078" s="253" t="s">
        <v>170</v>
      </c>
    </row>
    <row r="4079" spans="1:5" ht="15">
      <c r="A4079" s="254">
        <v>37398</v>
      </c>
      <c r="B4079" s="254" t="s">
        <v>24878</v>
      </c>
      <c r="C4079" s="254" t="s">
        <v>4525</v>
      </c>
      <c r="D4079" s="255" t="s">
        <v>24879</v>
      </c>
      <c r="E4079" s="253" t="s">
        <v>170</v>
      </c>
    </row>
    <row r="4080" spans="1:5" ht="15">
      <c r="A4080" s="254">
        <v>2510</v>
      </c>
      <c r="B4080" s="254" t="s">
        <v>24880</v>
      </c>
      <c r="C4080" s="254" t="s">
        <v>4521</v>
      </c>
      <c r="D4080" s="255" t="s">
        <v>16042</v>
      </c>
      <c r="E4080" s="253" t="s">
        <v>170</v>
      </c>
    </row>
    <row r="4081" spans="1:5" ht="30">
      <c r="A4081" s="254">
        <v>12359</v>
      </c>
      <c r="B4081" s="254" t="s">
        <v>24881</v>
      </c>
      <c r="C4081" s="254" t="s">
        <v>4521</v>
      </c>
      <c r="D4081" s="255" t="s">
        <v>17868</v>
      </c>
      <c r="E4081" s="253" t="s">
        <v>170</v>
      </c>
    </row>
    <row r="4082" spans="1:5" ht="15">
      <c r="A4082" s="254">
        <v>5320</v>
      </c>
      <c r="B4082" s="254" t="s">
        <v>24882</v>
      </c>
      <c r="C4082" s="254" t="s">
        <v>4526</v>
      </c>
      <c r="D4082" s="255" t="s">
        <v>24883</v>
      </c>
      <c r="E4082" s="253" t="s">
        <v>170</v>
      </c>
    </row>
    <row r="4083" spans="1:5" ht="15">
      <c r="A4083" s="254">
        <v>7353</v>
      </c>
      <c r="B4083" s="254" t="s">
        <v>24884</v>
      </c>
      <c r="C4083" s="254" t="s">
        <v>4526</v>
      </c>
      <c r="D4083" s="255" t="s">
        <v>24885</v>
      </c>
      <c r="E4083" s="253" t="s">
        <v>170</v>
      </c>
    </row>
    <row r="4084" spans="1:5" ht="15">
      <c r="A4084" s="254">
        <v>36144</v>
      </c>
      <c r="B4084" s="254" t="s">
        <v>24886</v>
      </c>
      <c r="C4084" s="254" t="s">
        <v>4521</v>
      </c>
      <c r="D4084" s="255" t="s">
        <v>18521</v>
      </c>
      <c r="E4084" s="253" t="s">
        <v>170</v>
      </c>
    </row>
    <row r="4085" spans="1:5" ht="15">
      <c r="A4085" s="254">
        <v>10518</v>
      </c>
      <c r="B4085" s="254" t="s">
        <v>24887</v>
      </c>
      <c r="C4085" s="254" t="s">
        <v>4521</v>
      </c>
      <c r="D4085" s="255" t="s">
        <v>24888</v>
      </c>
      <c r="E4085" s="253" t="s">
        <v>170</v>
      </c>
    </row>
    <row r="4086" spans="1:5" ht="60">
      <c r="A4086" s="254">
        <v>36530</v>
      </c>
      <c r="B4086" s="254" t="s">
        <v>24889</v>
      </c>
      <c r="C4086" s="254" t="s">
        <v>4521</v>
      </c>
      <c r="D4086" s="255" t="s">
        <v>24890</v>
      </c>
      <c r="E4086" s="253" t="s">
        <v>6305</v>
      </c>
    </row>
    <row r="4087" spans="1:5" ht="60">
      <c r="A4087" s="254">
        <v>6046</v>
      </c>
      <c r="B4087" s="254" t="s">
        <v>24891</v>
      </c>
      <c r="C4087" s="254" t="s">
        <v>4521</v>
      </c>
      <c r="D4087" s="255" t="s">
        <v>24892</v>
      </c>
      <c r="E4087" s="253" t="s">
        <v>6305</v>
      </c>
    </row>
    <row r="4088" spans="1:5" ht="60">
      <c r="A4088" s="254">
        <v>36531</v>
      </c>
      <c r="B4088" s="254" t="s">
        <v>24893</v>
      </c>
      <c r="C4088" s="254" t="s">
        <v>4521</v>
      </c>
      <c r="D4088" s="255" t="s">
        <v>24894</v>
      </c>
      <c r="E4088" s="253" t="s">
        <v>6305</v>
      </c>
    </row>
    <row r="4089" spans="1:5" ht="30">
      <c r="A4089" s="254">
        <v>34684</v>
      </c>
      <c r="B4089" s="254" t="s">
        <v>24895</v>
      </c>
      <c r="C4089" s="254" t="s">
        <v>4523</v>
      </c>
      <c r="D4089" s="255" t="s">
        <v>24896</v>
      </c>
      <c r="E4089" s="253" t="s">
        <v>170</v>
      </c>
    </row>
    <row r="4090" spans="1:5" ht="30">
      <c r="A4090" s="254">
        <v>34683</v>
      </c>
      <c r="B4090" s="254" t="s">
        <v>24897</v>
      </c>
      <c r="C4090" s="254" t="s">
        <v>4523</v>
      </c>
      <c r="D4090" s="255" t="s">
        <v>24898</v>
      </c>
      <c r="E4090" s="253" t="s">
        <v>170</v>
      </c>
    </row>
    <row r="4091" spans="1:5" ht="30">
      <c r="A4091" s="254">
        <v>533</v>
      </c>
      <c r="B4091" s="254" t="s">
        <v>24899</v>
      </c>
      <c r="C4091" s="254" t="s">
        <v>4523</v>
      </c>
      <c r="D4091" s="255" t="s">
        <v>23763</v>
      </c>
      <c r="E4091" s="253" t="s">
        <v>170</v>
      </c>
    </row>
    <row r="4092" spans="1:5" ht="30">
      <c r="A4092" s="254">
        <v>10515</v>
      </c>
      <c r="B4092" s="254" t="s">
        <v>24900</v>
      </c>
      <c r="C4092" s="254" t="s">
        <v>4523</v>
      </c>
      <c r="D4092" s="255" t="s">
        <v>24901</v>
      </c>
      <c r="E4092" s="253" t="s">
        <v>170</v>
      </c>
    </row>
    <row r="4093" spans="1:5" ht="30">
      <c r="A4093" s="254">
        <v>536</v>
      </c>
      <c r="B4093" s="254" t="s">
        <v>24902</v>
      </c>
      <c r="C4093" s="254" t="s">
        <v>4523</v>
      </c>
      <c r="D4093" s="255" t="s">
        <v>24903</v>
      </c>
      <c r="E4093" s="253" t="s">
        <v>170</v>
      </c>
    </row>
    <row r="4094" spans="1:5" ht="30">
      <c r="A4094" s="254">
        <v>153</v>
      </c>
      <c r="B4094" s="254" t="s">
        <v>24904</v>
      </c>
      <c r="C4094" s="254" t="s">
        <v>4526</v>
      </c>
      <c r="D4094" s="255" t="s">
        <v>24905</v>
      </c>
      <c r="E4094" s="253" t="s">
        <v>170</v>
      </c>
    </row>
    <row r="4095" spans="1:5" ht="30">
      <c r="A4095" s="254">
        <v>34682</v>
      </c>
      <c r="B4095" s="254" t="s">
        <v>24906</v>
      </c>
      <c r="C4095" s="254" t="s">
        <v>4523</v>
      </c>
      <c r="D4095" s="256" t="s">
        <v>17888</v>
      </c>
      <c r="E4095" s="253" t="s">
        <v>170</v>
      </c>
    </row>
    <row r="4096" spans="1:5" ht="30">
      <c r="A4096" s="254">
        <v>20205</v>
      </c>
      <c r="B4096" s="254" t="s">
        <v>24907</v>
      </c>
      <c r="C4096" s="254" t="s">
        <v>4524</v>
      </c>
      <c r="D4096" s="255" t="s">
        <v>16225</v>
      </c>
      <c r="E4096" s="253" t="s">
        <v>170</v>
      </c>
    </row>
    <row r="4097" spans="1:5" ht="30">
      <c r="A4097" s="254">
        <v>4412</v>
      </c>
      <c r="B4097" s="254" t="s">
        <v>24908</v>
      </c>
      <c r="C4097" s="254" t="s">
        <v>4524</v>
      </c>
      <c r="D4097" s="255" t="s">
        <v>14216</v>
      </c>
      <c r="E4097" s="253" t="s">
        <v>170</v>
      </c>
    </row>
    <row r="4098" spans="1:5" ht="30">
      <c r="A4098" s="254">
        <v>4408</v>
      </c>
      <c r="B4098" s="254" t="s">
        <v>24909</v>
      </c>
      <c r="C4098" s="254" t="s">
        <v>4524</v>
      </c>
      <c r="D4098" s="255" t="s">
        <v>21422</v>
      </c>
      <c r="E4098" s="253" t="s">
        <v>170</v>
      </c>
    </row>
    <row r="4099" spans="1:5" ht="30">
      <c r="A4099" s="254">
        <v>4505</v>
      </c>
      <c r="B4099" s="254" t="s">
        <v>24910</v>
      </c>
      <c r="C4099" s="254" t="s">
        <v>4524</v>
      </c>
      <c r="D4099" s="255" t="s">
        <v>18507</v>
      </c>
      <c r="E4099" s="253" t="s">
        <v>170</v>
      </c>
    </row>
    <row r="4100" spans="1:5" ht="15">
      <c r="A4100" s="254">
        <v>10559</v>
      </c>
      <c r="B4100" s="254" t="s">
        <v>24911</v>
      </c>
      <c r="C4100" s="254" t="s">
        <v>4521</v>
      </c>
      <c r="D4100" s="256" t="s">
        <v>24912</v>
      </c>
      <c r="E4100" s="253" t="s">
        <v>170</v>
      </c>
    </row>
    <row r="4101" spans="1:5" ht="15">
      <c r="A4101" s="254">
        <v>10664</v>
      </c>
      <c r="B4101" s="254" t="s">
        <v>24913</v>
      </c>
      <c r="C4101" s="254" t="s">
        <v>4521</v>
      </c>
      <c r="D4101" s="256" t="s">
        <v>24914</v>
      </c>
      <c r="E4101" s="253" t="s">
        <v>170</v>
      </c>
    </row>
    <row r="4102" spans="1:5" ht="15">
      <c r="A4102" s="254">
        <v>36250</v>
      </c>
      <c r="B4102" s="254" t="s">
        <v>24915</v>
      </c>
      <c r="C4102" s="254" t="s">
        <v>4524</v>
      </c>
      <c r="D4102" s="256" t="s">
        <v>22124</v>
      </c>
      <c r="E4102" s="253" t="s">
        <v>170</v>
      </c>
    </row>
    <row r="4103" spans="1:5" ht="15">
      <c r="A4103" s="254">
        <v>10857</v>
      </c>
      <c r="B4103" s="254" t="s">
        <v>24916</v>
      </c>
      <c r="C4103" s="254" t="s">
        <v>4524</v>
      </c>
      <c r="D4103" s="256" t="s">
        <v>24917</v>
      </c>
      <c r="E4103" s="253" t="s">
        <v>170</v>
      </c>
    </row>
    <row r="4104" spans="1:5" ht="15">
      <c r="A4104" s="254">
        <v>4803</v>
      </c>
      <c r="B4104" s="254" t="s">
        <v>24918</v>
      </c>
      <c r="C4104" s="254" t="s">
        <v>4524</v>
      </c>
      <c r="D4104" s="256" t="s">
        <v>23042</v>
      </c>
      <c r="E4104" s="253" t="s">
        <v>170</v>
      </c>
    </row>
    <row r="4105" spans="1:5" ht="30">
      <c r="A4105" s="254">
        <v>6186</v>
      </c>
      <c r="B4105" s="254" t="s">
        <v>24919</v>
      </c>
      <c r="C4105" s="254" t="s">
        <v>4524</v>
      </c>
      <c r="D4105" s="256" t="s">
        <v>15440</v>
      </c>
      <c r="E4105" s="253" t="s">
        <v>170</v>
      </c>
    </row>
    <row r="4106" spans="1:5" ht="30">
      <c r="A4106" s="254">
        <v>4829</v>
      </c>
      <c r="B4106" s="254" t="s">
        <v>24920</v>
      </c>
      <c r="C4106" s="254" t="s">
        <v>4524</v>
      </c>
      <c r="D4106" s="256" t="s">
        <v>16691</v>
      </c>
      <c r="E4106" s="253" t="s">
        <v>170</v>
      </c>
    </row>
    <row r="4107" spans="1:5" ht="15">
      <c r="A4107" s="254">
        <v>39829</v>
      </c>
      <c r="B4107" s="254" t="s">
        <v>24921</v>
      </c>
      <c r="C4107" s="254" t="s">
        <v>4524</v>
      </c>
      <c r="D4107" s="256" t="s">
        <v>14535</v>
      </c>
      <c r="E4107" s="253" t="s">
        <v>170</v>
      </c>
    </row>
    <row r="4108" spans="1:5" ht="30">
      <c r="A4108" s="254">
        <v>20231</v>
      </c>
      <c r="B4108" s="254" t="s">
        <v>24922</v>
      </c>
      <c r="C4108" s="254" t="s">
        <v>4524</v>
      </c>
      <c r="D4108" s="255" t="s">
        <v>18071</v>
      </c>
      <c r="E4108" s="253" t="s">
        <v>170</v>
      </c>
    </row>
    <row r="4109" spans="1:5" ht="15">
      <c r="A4109" s="254">
        <v>4804</v>
      </c>
      <c r="B4109" s="254" t="s">
        <v>24923</v>
      </c>
      <c r="C4109" s="254" t="s">
        <v>4524</v>
      </c>
      <c r="D4109" s="255" t="s">
        <v>20025</v>
      </c>
      <c r="E4109" s="253" t="s">
        <v>170</v>
      </c>
    </row>
    <row r="4110" spans="1:5" ht="15">
      <c r="A4110" s="254">
        <v>34680</v>
      </c>
      <c r="B4110" s="254" t="s">
        <v>24924</v>
      </c>
      <c r="C4110" s="254" t="s">
        <v>4524</v>
      </c>
      <c r="D4110" s="255" t="s">
        <v>18584</v>
      </c>
      <c r="E4110" s="253" t="s">
        <v>170</v>
      </c>
    </row>
    <row r="4111" spans="1:5" ht="30">
      <c r="A4111" s="254">
        <v>11573</v>
      </c>
      <c r="B4111" s="254" t="s">
        <v>24925</v>
      </c>
      <c r="C4111" s="254" t="s">
        <v>4521</v>
      </c>
      <c r="D4111" s="255" t="s">
        <v>13620</v>
      </c>
      <c r="E4111" s="253" t="s">
        <v>170</v>
      </c>
    </row>
    <row r="4112" spans="1:5" ht="15">
      <c r="A4112" s="254">
        <v>38401</v>
      </c>
      <c r="B4112" s="254" t="s">
        <v>24926</v>
      </c>
      <c r="C4112" s="254" t="s">
        <v>4521</v>
      </c>
      <c r="D4112" s="255" t="s">
        <v>14443</v>
      </c>
      <c r="E4112" s="253" t="s">
        <v>170</v>
      </c>
    </row>
    <row r="4113" spans="1:5" ht="30">
      <c r="A4113" s="254">
        <v>38179</v>
      </c>
      <c r="B4113" s="254" t="s">
        <v>24927</v>
      </c>
      <c r="C4113" s="254" t="s">
        <v>4521</v>
      </c>
      <c r="D4113" s="255" t="s">
        <v>13891</v>
      </c>
      <c r="E4113" s="253" t="s">
        <v>170</v>
      </c>
    </row>
    <row r="4114" spans="1:5" ht="30">
      <c r="A4114" s="254">
        <v>11575</v>
      </c>
      <c r="B4114" s="254" t="s">
        <v>24928</v>
      </c>
      <c r="C4114" s="254" t="s">
        <v>4521</v>
      </c>
      <c r="D4114" s="255" t="s">
        <v>24929</v>
      </c>
      <c r="E4114" s="253" t="s">
        <v>170</v>
      </c>
    </row>
    <row r="4115" spans="1:5" ht="30">
      <c r="A4115" s="254">
        <v>20256</v>
      </c>
      <c r="B4115" s="254" t="s">
        <v>24930</v>
      </c>
      <c r="C4115" s="254" t="s">
        <v>4521</v>
      </c>
      <c r="D4115" s="255" t="s">
        <v>14230</v>
      </c>
      <c r="E4115" s="253" t="s">
        <v>170</v>
      </c>
    </row>
    <row r="4116" spans="1:5" ht="30">
      <c r="A4116" s="254">
        <v>14511</v>
      </c>
      <c r="B4116" s="254" t="s">
        <v>24931</v>
      </c>
      <c r="C4116" s="254" t="s">
        <v>4521</v>
      </c>
      <c r="D4116" s="255" t="s">
        <v>24932</v>
      </c>
      <c r="E4116" s="253" t="s">
        <v>6305</v>
      </c>
    </row>
    <row r="4117" spans="1:5" ht="30">
      <c r="A4117" s="254">
        <v>10642</v>
      </c>
      <c r="B4117" s="254" t="s">
        <v>24933</v>
      </c>
      <c r="C4117" s="254" t="s">
        <v>4521</v>
      </c>
      <c r="D4117" s="255" t="s">
        <v>24934</v>
      </c>
      <c r="E4117" s="253" t="s">
        <v>6305</v>
      </c>
    </row>
    <row r="4118" spans="1:5" ht="45">
      <c r="A4118" s="254">
        <v>14489</v>
      </c>
      <c r="B4118" s="254" t="s">
        <v>24935</v>
      </c>
      <c r="C4118" s="254" t="s">
        <v>4521</v>
      </c>
      <c r="D4118" s="255" t="s">
        <v>24936</v>
      </c>
      <c r="E4118" s="253" t="s">
        <v>6305</v>
      </c>
    </row>
    <row r="4119" spans="1:5" ht="30">
      <c r="A4119" s="254">
        <v>14513</v>
      </c>
      <c r="B4119" s="254" t="s">
        <v>24937</v>
      </c>
      <c r="C4119" s="254" t="s">
        <v>4521</v>
      </c>
      <c r="D4119" s="255" t="s">
        <v>24938</v>
      </c>
      <c r="E4119" s="253" t="s">
        <v>6305</v>
      </c>
    </row>
    <row r="4120" spans="1:5" ht="45">
      <c r="A4120" s="254">
        <v>13600</v>
      </c>
      <c r="B4120" s="254" t="s">
        <v>24939</v>
      </c>
      <c r="C4120" s="254" t="s">
        <v>4521</v>
      </c>
      <c r="D4120" s="255" t="s">
        <v>24940</v>
      </c>
      <c r="E4120" s="253" t="s">
        <v>6305</v>
      </c>
    </row>
    <row r="4121" spans="1:5" ht="45">
      <c r="A4121" s="254">
        <v>10646</v>
      </c>
      <c r="B4121" s="254" t="s">
        <v>24941</v>
      </c>
      <c r="C4121" s="254" t="s">
        <v>4521</v>
      </c>
      <c r="D4121" s="255" t="s">
        <v>24942</v>
      </c>
      <c r="E4121" s="253" t="s">
        <v>6305</v>
      </c>
    </row>
    <row r="4122" spans="1:5" ht="45">
      <c r="A4122" s="254">
        <v>6070</v>
      </c>
      <c r="B4122" s="254" t="s">
        <v>24943</v>
      </c>
      <c r="C4122" s="254" t="s">
        <v>4521</v>
      </c>
      <c r="D4122" s="255" t="s">
        <v>24944</v>
      </c>
      <c r="E4122" s="253" t="s">
        <v>6305</v>
      </c>
    </row>
    <row r="4123" spans="1:5" ht="45">
      <c r="A4123" s="254">
        <v>6069</v>
      </c>
      <c r="B4123" s="254" t="s">
        <v>24945</v>
      </c>
      <c r="C4123" s="254" t="s">
        <v>4521</v>
      </c>
      <c r="D4123" s="255" t="s">
        <v>24946</v>
      </c>
      <c r="E4123" s="253" t="s">
        <v>6305</v>
      </c>
    </row>
    <row r="4124" spans="1:5" ht="30">
      <c r="A4124" s="254">
        <v>14626</v>
      </c>
      <c r="B4124" s="254" t="s">
        <v>24947</v>
      </c>
      <c r="C4124" s="254" t="s">
        <v>4521</v>
      </c>
      <c r="D4124" s="255" t="s">
        <v>24948</v>
      </c>
      <c r="E4124" s="253" t="s">
        <v>6305</v>
      </c>
    </row>
    <row r="4125" spans="1:5" ht="30">
      <c r="A4125" s="254">
        <v>6067</v>
      </c>
      <c r="B4125" s="254" t="s">
        <v>24949</v>
      </c>
      <c r="C4125" s="254" t="s">
        <v>4521</v>
      </c>
      <c r="D4125" s="255" t="s">
        <v>24950</v>
      </c>
      <c r="E4125" s="253" t="s">
        <v>6305</v>
      </c>
    </row>
    <row r="4126" spans="1:5" ht="15">
      <c r="A4126" s="254">
        <v>38393</v>
      </c>
      <c r="B4126" s="254" t="s">
        <v>24951</v>
      </c>
      <c r="C4126" s="254" t="s">
        <v>4521</v>
      </c>
      <c r="D4126" s="255" t="s">
        <v>16727</v>
      </c>
      <c r="E4126" s="253" t="s">
        <v>170</v>
      </c>
    </row>
    <row r="4127" spans="1:5" ht="15">
      <c r="A4127" s="254">
        <v>38390</v>
      </c>
      <c r="B4127" s="254" t="s">
        <v>24952</v>
      </c>
      <c r="C4127" s="254" t="s">
        <v>4521</v>
      </c>
      <c r="D4127" s="255" t="s">
        <v>24953</v>
      </c>
      <c r="E4127" s="253" t="s">
        <v>170</v>
      </c>
    </row>
    <row r="4128" spans="1:5" ht="15">
      <c r="A4128" s="254">
        <v>36532</v>
      </c>
      <c r="B4128" s="254" t="s">
        <v>24954</v>
      </c>
      <c r="C4128" s="254" t="s">
        <v>4521</v>
      </c>
      <c r="D4128" s="255" t="s">
        <v>24955</v>
      </c>
      <c r="E4128" s="253" t="s">
        <v>6305</v>
      </c>
    </row>
    <row r="4129" spans="1:5" ht="30">
      <c r="A4129" s="254">
        <v>11578</v>
      </c>
      <c r="B4129" s="254" t="s">
        <v>24956</v>
      </c>
      <c r="C4129" s="254" t="s">
        <v>4521</v>
      </c>
      <c r="D4129" s="255" t="s">
        <v>16484</v>
      </c>
      <c r="E4129" s="253" t="s">
        <v>170</v>
      </c>
    </row>
    <row r="4130" spans="1:5" ht="30">
      <c r="A4130" s="254">
        <v>11577</v>
      </c>
      <c r="B4130" s="254" t="s">
        <v>24957</v>
      </c>
      <c r="C4130" s="254" t="s">
        <v>4521</v>
      </c>
      <c r="D4130" s="255" t="s">
        <v>14105</v>
      </c>
      <c r="E4130" s="253" t="s">
        <v>170</v>
      </c>
    </row>
    <row r="4131" spans="1:5" ht="45">
      <c r="A4131" s="254">
        <v>42432</v>
      </c>
      <c r="B4131" s="254" t="s">
        <v>24958</v>
      </c>
      <c r="C4131" s="254" t="s">
        <v>4521</v>
      </c>
      <c r="D4131" s="255" t="s">
        <v>24959</v>
      </c>
      <c r="E4131" s="253" t="s">
        <v>170</v>
      </c>
    </row>
    <row r="4132" spans="1:5" ht="45">
      <c r="A4132" s="254">
        <v>42437</v>
      </c>
      <c r="B4132" s="254" t="s">
        <v>24960</v>
      </c>
      <c r="C4132" s="254" t="s">
        <v>4521</v>
      </c>
      <c r="D4132" s="255" t="s">
        <v>24961</v>
      </c>
      <c r="E4132" s="253" t="s">
        <v>170</v>
      </c>
    </row>
    <row r="4133" spans="1:5" ht="15">
      <c r="A4133" s="254">
        <v>1116</v>
      </c>
      <c r="B4133" s="254" t="s">
        <v>24962</v>
      </c>
      <c r="C4133" s="254" t="s">
        <v>4524</v>
      </c>
      <c r="D4133" s="255" t="s">
        <v>16930</v>
      </c>
      <c r="E4133" s="253" t="s">
        <v>170</v>
      </c>
    </row>
    <row r="4134" spans="1:5" ht="15">
      <c r="A4134" s="254">
        <v>1115</v>
      </c>
      <c r="B4134" s="254" t="s">
        <v>24963</v>
      </c>
      <c r="C4134" s="254" t="s">
        <v>4524</v>
      </c>
      <c r="D4134" s="255" t="s">
        <v>14223</v>
      </c>
      <c r="E4134" s="253" t="s">
        <v>170</v>
      </c>
    </row>
    <row r="4135" spans="1:5" ht="15">
      <c r="A4135" s="254">
        <v>1113</v>
      </c>
      <c r="B4135" s="254" t="s">
        <v>24964</v>
      </c>
      <c r="C4135" s="254" t="s">
        <v>4524</v>
      </c>
      <c r="D4135" s="255" t="s">
        <v>20210</v>
      </c>
      <c r="E4135" s="253" t="s">
        <v>170</v>
      </c>
    </row>
    <row r="4136" spans="1:5" ht="15">
      <c r="A4136" s="254">
        <v>1114</v>
      </c>
      <c r="B4136" s="254" t="s">
        <v>24965</v>
      </c>
      <c r="C4136" s="254" t="s">
        <v>4524</v>
      </c>
      <c r="D4136" s="255" t="s">
        <v>15385</v>
      </c>
      <c r="E4136" s="253" t="s">
        <v>170</v>
      </c>
    </row>
    <row r="4137" spans="1:5" ht="15">
      <c r="A4137" s="254">
        <v>40873</v>
      </c>
      <c r="B4137" s="254" t="s">
        <v>24966</v>
      </c>
      <c r="C4137" s="254" t="s">
        <v>4524</v>
      </c>
      <c r="D4137" s="255" t="s">
        <v>17523</v>
      </c>
      <c r="E4137" s="253" t="s">
        <v>170</v>
      </c>
    </row>
    <row r="4138" spans="1:5" ht="15">
      <c r="A4138" s="254">
        <v>20214</v>
      </c>
      <c r="B4138" s="254" t="s">
        <v>24967</v>
      </c>
      <c r="C4138" s="254" t="s">
        <v>4521</v>
      </c>
      <c r="D4138" s="255" t="s">
        <v>24968</v>
      </c>
      <c r="E4138" s="253" t="s">
        <v>170</v>
      </c>
    </row>
    <row r="4139" spans="1:5" ht="30">
      <c r="A4139" s="254">
        <v>11064</v>
      </c>
      <c r="B4139" s="254" t="s">
        <v>24969</v>
      </c>
      <c r="C4139" s="254" t="s">
        <v>4521</v>
      </c>
      <c r="D4139" s="255" t="s">
        <v>16997</v>
      </c>
      <c r="E4139" s="253" t="s">
        <v>170</v>
      </c>
    </row>
    <row r="4140" spans="1:5" ht="30">
      <c r="A4140" s="254">
        <v>7237</v>
      </c>
      <c r="B4140" s="254" t="s">
        <v>24970</v>
      </c>
      <c r="C4140" s="254" t="s">
        <v>4521</v>
      </c>
      <c r="D4140" s="255" t="s">
        <v>24971</v>
      </c>
      <c r="E4140" s="253" t="s">
        <v>170</v>
      </c>
    </row>
    <row r="4141" spans="1:5" ht="15">
      <c r="A4141" s="254">
        <v>16</v>
      </c>
      <c r="B4141" s="254" t="s">
        <v>24972</v>
      </c>
      <c r="C4141" s="254" t="s">
        <v>4525</v>
      </c>
      <c r="D4141" s="255" t="s">
        <v>13633</v>
      </c>
      <c r="E4141" s="253" t="s">
        <v>170</v>
      </c>
    </row>
    <row r="4142" spans="1:5" ht="15">
      <c r="A4142" s="254">
        <v>11757</v>
      </c>
      <c r="B4142" s="254" t="s">
        <v>24973</v>
      </c>
      <c r="C4142" s="254" t="s">
        <v>4521</v>
      </c>
      <c r="D4142" s="255" t="s">
        <v>16546</v>
      </c>
      <c r="E4142" s="253" t="s">
        <v>170</v>
      </c>
    </row>
    <row r="4143" spans="1:5" ht="30">
      <c r="A4143" s="254">
        <v>11758</v>
      </c>
      <c r="B4143" s="254" t="s">
        <v>24974</v>
      </c>
      <c r="C4143" s="254" t="s">
        <v>4521</v>
      </c>
      <c r="D4143" s="255" t="s">
        <v>24975</v>
      </c>
      <c r="E4143" s="253" t="s">
        <v>170</v>
      </c>
    </row>
    <row r="4144" spans="1:5" ht="15">
      <c r="A4144" s="254">
        <v>37526</v>
      </c>
      <c r="B4144" s="254" t="s">
        <v>24976</v>
      </c>
      <c r="C4144" s="254" t="s">
        <v>4521</v>
      </c>
      <c r="D4144" s="255" t="s">
        <v>13612</v>
      </c>
      <c r="E4144" s="253" t="s">
        <v>170</v>
      </c>
    </row>
    <row r="4145" spans="1:5" ht="15">
      <c r="A4145" s="254">
        <v>6076</v>
      </c>
      <c r="B4145" s="254" t="s">
        <v>24977</v>
      </c>
      <c r="C4145" s="254" t="s">
        <v>4522</v>
      </c>
      <c r="D4145" s="255" t="s">
        <v>18255</v>
      </c>
      <c r="E4145" s="253" t="s">
        <v>170</v>
      </c>
    </row>
    <row r="4146" spans="1:5" ht="15">
      <c r="A4146" s="254">
        <v>13109</v>
      </c>
      <c r="B4146" s="254" t="s">
        <v>24978</v>
      </c>
      <c r="C4146" s="254" t="s">
        <v>4521</v>
      </c>
      <c r="D4146" s="255" t="s">
        <v>24979</v>
      </c>
      <c r="E4146" s="253" t="s">
        <v>170</v>
      </c>
    </row>
    <row r="4147" spans="1:5" ht="15">
      <c r="A4147" s="254">
        <v>13110</v>
      </c>
      <c r="B4147" s="254" t="s">
        <v>24980</v>
      </c>
      <c r="C4147" s="254" t="s">
        <v>4521</v>
      </c>
      <c r="D4147" s="255" t="s">
        <v>24981</v>
      </c>
      <c r="E4147" s="253" t="s">
        <v>170</v>
      </c>
    </row>
    <row r="4148" spans="1:5" ht="15">
      <c r="A4148" s="254">
        <v>7581</v>
      </c>
      <c r="B4148" s="254" t="s">
        <v>24982</v>
      </c>
      <c r="C4148" s="254" t="s">
        <v>4521</v>
      </c>
      <c r="D4148" s="255" t="s">
        <v>18443</v>
      </c>
      <c r="E4148" s="253" t="s">
        <v>170</v>
      </c>
    </row>
    <row r="4149" spans="1:5" ht="30">
      <c r="A4149" s="254">
        <v>20206</v>
      </c>
      <c r="B4149" s="254" t="s">
        <v>24983</v>
      </c>
      <c r="C4149" s="254" t="s">
        <v>4524</v>
      </c>
      <c r="D4149" s="255" t="s">
        <v>24984</v>
      </c>
      <c r="E4149" s="253" t="s">
        <v>170</v>
      </c>
    </row>
    <row r="4150" spans="1:5" ht="30">
      <c r="A4150" s="254">
        <v>4460</v>
      </c>
      <c r="B4150" s="254" t="s">
        <v>24985</v>
      </c>
      <c r="C4150" s="254" t="s">
        <v>4524</v>
      </c>
      <c r="D4150" s="255" t="s">
        <v>14735</v>
      </c>
      <c r="E4150" s="253" t="s">
        <v>170</v>
      </c>
    </row>
    <row r="4151" spans="1:5" ht="30">
      <c r="A4151" s="254">
        <v>6204</v>
      </c>
      <c r="B4151" s="254" t="s">
        <v>24986</v>
      </c>
      <c r="C4151" s="254" t="s">
        <v>4524</v>
      </c>
      <c r="D4151" s="255" t="s">
        <v>24987</v>
      </c>
      <c r="E4151" s="253" t="s">
        <v>170</v>
      </c>
    </row>
    <row r="4152" spans="1:5" ht="30">
      <c r="A4152" s="254">
        <v>4417</v>
      </c>
      <c r="B4152" s="254" t="s">
        <v>24988</v>
      </c>
      <c r="C4152" s="254" t="s">
        <v>4524</v>
      </c>
      <c r="D4152" s="255" t="s">
        <v>14195</v>
      </c>
      <c r="E4152" s="253" t="s">
        <v>170</v>
      </c>
    </row>
    <row r="4153" spans="1:5" ht="30">
      <c r="A4153" s="254">
        <v>4517</v>
      </c>
      <c r="B4153" s="254" t="s">
        <v>24989</v>
      </c>
      <c r="C4153" s="254" t="s">
        <v>4524</v>
      </c>
      <c r="D4153" s="255" t="s">
        <v>17670</v>
      </c>
      <c r="E4153" s="253" t="s">
        <v>170</v>
      </c>
    </row>
    <row r="4154" spans="1:5" ht="30">
      <c r="A4154" s="254">
        <v>4512</v>
      </c>
      <c r="B4154" s="254" t="s">
        <v>24990</v>
      </c>
      <c r="C4154" s="254" t="s">
        <v>4524</v>
      </c>
      <c r="D4154" s="255" t="s">
        <v>24991</v>
      </c>
      <c r="E4154" s="253" t="s">
        <v>170</v>
      </c>
    </row>
    <row r="4155" spans="1:5" ht="30">
      <c r="A4155" s="254">
        <v>4415</v>
      </c>
      <c r="B4155" s="254" t="s">
        <v>24992</v>
      </c>
      <c r="C4155" s="254" t="s">
        <v>4524</v>
      </c>
      <c r="D4155" s="255" t="s">
        <v>22324</v>
      </c>
      <c r="E4155" s="253" t="s">
        <v>170</v>
      </c>
    </row>
    <row r="4156" spans="1:5" ht="15">
      <c r="A4156" s="254">
        <v>37373</v>
      </c>
      <c r="B4156" s="254" t="s">
        <v>24993</v>
      </c>
      <c r="C4156" s="254" t="s">
        <v>4520</v>
      </c>
      <c r="D4156" s="255" t="s">
        <v>14084</v>
      </c>
      <c r="E4156" s="253" t="s">
        <v>8722</v>
      </c>
    </row>
    <row r="4157" spans="1:5" ht="15">
      <c r="A4157" s="254">
        <v>40864</v>
      </c>
      <c r="B4157" s="254" t="s">
        <v>24994</v>
      </c>
      <c r="C4157" s="254" t="s">
        <v>4528</v>
      </c>
      <c r="D4157" s="255" t="s">
        <v>16023</v>
      </c>
      <c r="E4157" s="253" t="s">
        <v>8722</v>
      </c>
    </row>
    <row r="4158" spans="1:5" ht="30">
      <c r="A4158" s="254">
        <v>4734</v>
      </c>
      <c r="B4158" s="254" t="s">
        <v>24995</v>
      </c>
      <c r="C4158" s="254" t="s">
        <v>4522</v>
      </c>
      <c r="D4158" s="255" t="s">
        <v>18517</v>
      </c>
      <c r="E4158" s="253" t="s">
        <v>170</v>
      </c>
    </row>
    <row r="4159" spans="1:5" ht="15">
      <c r="A4159" s="254">
        <v>6085</v>
      </c>
      <c r="B4159" s="254" t="s">
        <v>24996</v>
      </c>
      <c r="C4159" s="254" t="s">
        <v>4526</v>
      </c>
      <c r="D4159" s="255" t="s">
        <v>24997</v>
      </c>
      <c r="E4159" s="253" t="s">
        <v>170</v>
      </c>
    </row>
    <row r="4160" spans="1:5" ht="15">
      <c r="A4160" s="254">
        <v>38396</v>
      </c>
      <c r="B4160" s="254" t="s">
        <v>24998</v>
      </c>
      <c r="C4160" s="254" t="s">
        <v>4521</v>
      </c>
      <c r="D4160" s="255" t="s">
        <v>24999</v>
      </c>
      <c r="E4160" s="253" t="s">
        <v>170</v>
      </c>
    </row>
    <row r="4161" spans="1:5" ht="15">
      <c r="A4161" s="254">
        <v>6090</v>
      </c>
      <c r="B4161" s="254" t="s">
        <v>25000</v>
      </c>
      <c r="C4161" s="254" t="s">
        <v>4526</v>
      </c>
      <c r="D4161" s="255" t="s">
        <v>16633</v>
      </c>
      <c r="E4161" s="253" t="s">
        <v>170</v>
      </c>
    </row>
    <row r="4162" spans="1:5" ht="15">
      <c r="A4162" s="254">
        <v>11622</v>
      </c>
      <c r="B4162" s="254" t="s">
        <v>25001</v>
      </c>
      <c r="C4162" s="254" t="s">
        <v>4525</v>
      </c>
      <c r="D4162" s="255" t="s">
        <v>25002</v>
      </c>
      <c r="E4162" s="253" t="s">
        <v>170</v>
      </c>
    </row>
    <row r="4163" spans="1:5" ht="15">
      <c r="A4163" s="254">
        <v>6094</v>
      </c>
      <c r="B4163" s="254" t="s">
        <v>25003</v>
      </c>
      <c r="C4163" s="254" t="s">
        <v>4525</v>
      </c>
      <c r="D4163" s="255" t="s">
        <v>21957</v>
      </c>
      <c r="E4163" s="253" t="s">
        <v>170</v>
      </c>
    </row>
    <row r="4164" spans="1:5" ht="30">
      <c r="A4164" s="254">
        <v>43143</v>
      </c>
      <c r="B4164" s="254" t="s">
        <v>25004</v>
      </c>
      <c r="C4164" s="254" t="s">
        <v>4526</v>
      </c>
      <c r="D4164" s="255" t="s">
        <v>25005</v>
      </c>
      <c r="E4164" s="253" t="s">
        <v>170</v>
      </c>
    </row>
    <row r="4165" spans="1:5" ht="15">
      <c r="A4165" s="254">
        <v>7317</v>
      </c>
      <c r="B4165" s="254" t="s">
        <v>25006</v>
      </c>
      <c r="C4165" s="254" t="s">
        <v>4525</v>
      </c>
      <c r="D4165" s="255" t="s">
        <v>14530</v>
      </c>
      <c r="E4165" s="253" t="s">
        <v>170</v>
      </c>
    </row>
    <row r="4166" spans="1:5" ht="30">
      <c r="A4166" s="254">
        <v>142</v>
      </c>
      <c r="B4166" s="254" t="s">
        <v>25007</v>
      </c>
      <c r="C4166" s="254" t="s">
        <v>4541</v>
      </c>
      <c r="D4166" s="255" t="s">
        <v>15240</v>
      </c>
      <c r="E4166" s="253" t="s">
        <v>170</v>
      </c>
    </row>
    <row r="4167" spans="1:5" ht="30">
      <c r="A4167" s="254">
        <v>43142</v>
      </c>
      <c r="B4167" s="254" t="s">
        <v>25008</v>
      </c>
      <c r="C4167" s="254" t="s">
        <v>4526</v>
      </c>
      <c r="D4167" s="255" t="s">
        <v>25009</v>
      </c>
      <c r="E4167" s="253" t="s">
        <v>170</v>
      </c>
    </row>
    <row r="4168" spans="1:5" ht="15">
      <c r="A4168" s="254">
        <v>38123</v>
      </c>
      <c r="B4168" s="254" t="s">
        <v>25010</v>
      </c>
      <c r="C4168" s="254" t="s">
        <v>4525</v>
      </c>
      <c r="D4168" s="255" t="s">
        <v>15336</v>
      </c>
      <c r="E4168" s="253" t="s">
        <v>170</v>
      </c>
    </row>
    <row r="4169" spans="1:5" ht="30">
      <c r="A4169" s="254">
        <v>42701</v>
      </c>
      <c r="B4169" s="254" t="s">
        <v>25011</v>
      </c>
      <c r="C4169" s="254" t="s">
        <v>4521</v>
      </c>
      <c r="D4169" s="255" t="s">
        <v>14532</v>
      </c>
      <c r="E4169" s="253" t="s">
        <v>170</v>
      </c>
    </row>
    <row r="4170" spans="1:5" ht="30">
      <c r="A4170" s="254">
        <v>42702</v>
      </c>
      <c r="B4170" s="254" t="s">
        <v>25012</v>
      </c>
      <c r="C4170" s="254" t="s">
        <v>4521</v>
      </c>
      <c r="D4170" s="255" t="s">
        <v>16160</v>
      </c>
      <c r="E4170" s="253" t="s">
        <v>170</v>
      </c>
    </row>
    <row r="4171" spans="1:5" ht="30">
      <c r="A4171" s="254">
        <v>37955</v>
      </c>
      <c r="B4171" s="254" t="s">
        <v>25013</v>
      </c>
      <c r="C4171" s="254" t="s">
        <v>4521</v>
      </c>
      <c r="D4171" s="255" t="s">
        <v>16957</v>
      </c>
      <c r="E4171" s="253" t="s">
        <v>170</v>
      </c>
    </row>
    <row r="4172" spans="1:5" ht="30">
      <c r="A4172" s="254">
        <v>42699</v>
      </c>
      <c r="B4172" s="254" t="s">
        <v>25014</v>
      </c>
      <c r="C4172" s="254" t="s">
        <v>4521</v>
      </c>
      <c r="D4172" s="255" t="s">
        <v>20210</v>
      </c>
      <c r="E4172" s="253" t="s">
        <v>170</v>
      </c>
    </row>
    <row r="4173" spans="1:5" ht="30">
      <c r="A4173" s="254">
        <v>42700</v>
      </c>
      <c r="B4173" s="254" t="s">
        <v>25015</v>
      </c>
      <c r="C4173" s="254" t="s">
        <v>4521</v>
      </c>
      <c r="D4173" s="255" t="s">
        <v>25016</v>
      </c>
      <c r="E4173" s="253" t="s">
        <v>170</v>
      </c>
    </row>
    <row r="4174" spans="1:5" ht="30">
      <c r="A4174" s="254">
        <v>37743</v>
      </c>
      <c r="B4174" s="254" t="s">
        <v>25017</v>
      </c>
      <c r="C4174" s="254" t="s">
        <v>4521</v>
      </c>
      <c r="D4174" s="255" t="s">
        <v>25018</v>
      </c>
      <c r="E4174" s="253" t="s">
        <v>6305</v>
      </c>
    </row>
    <row r="4175" spans="1:5" ht="30">
      <c r="A4175" s="254">
        <v>37744</v>
      </c>
      <c r="B4175" s="254" t="s">
        <v>25019</v>
      </c>
      <c r="C4175" s="254" t="s">
        <v>4521</v>
      </c>
      <c r="D4175" s="255" t="s">
        <v>25020</v>
      </c>
      <c r="E4175" s="253" t="s">
        <v>6305</v>
      </c>
    </row>
    <row r="4176" spans="1:5" ht="30">
      <c r="A4176" s="254">
        <v>37741</v>
      </c>
      <c r="B4176" s="254" t="s">
        <v>25021</v>
      </c>
      <c r="C4176" s="254" t="s">
        <v>4521</v>
      </c>
      <c r="D4176" s="255" t="s">
        <v>25022</v>
      </c>
      <c r="E4176" s="253" t="s">
        <v>6305</v>
      </c>
    </row>
    <row r="4177" spans="1:5" ht="30">
      <c r="A4177" s="254">
        <v>39396</v>
      </c>
      <c r="B4177" s="254" t="s">
        <v>25023</v>
      </c>
      <c r="C4177" s="254" t="s">
        <v>4521</v>
      </c>
      <c r="D4177" s="255" t="s">
        <v>25024</v>
      </c>
      <c r="E4177" s="253" t="s">
        <v>170</v>
      </c>
    </row>
    <row r="4178" spans="1:5" ht="30">
      <c r="A4178" s="254">
        <v>39392</v>
      </c>
      <c r="B4178" s="254" t="s">
        <v>25025</v>
      </c>
      <c r="C4178" s="254" t="s">
        <v>4521</v>
      </c>
      <c r="D4178" s="255" t="s">
        <v>16854</v>
      </c>
      <c r="E4178" s="253" t="s">
        <v>170</v>
      </c>
    </row>
    <row r="4179" spans="1:5" ht="30">
      <c r="A4179" s="254">
        <v>39393</v>
      </c>
      <c r="B4179" s="254" t="s">
        <v>25026</v>
      </c>
      <c r="C4179" s="254" t="s">
        <v>4521</v>
      </c>
      <c r="D4179" s="255" t="s">
        <v>16981</v>
      </c>
      <c r="E4179" s="253" t="s">
        <v>170</v>
      </c>
    </row>
    <row r="4180" spans="1:5" ht="30">
      <c r="A4180" s="254">
        <v>39394</v>
      </c>
      <c r="B4180" s="254" t="s">
        <v>25027</v>
      </c>
      <c r="C4180" s="254" t="s">
        <v>4521</v>
      </c>
      <c r="D4180" s="255" t="s">
        <v>25028</v>
      </c>
      <c r="E4180" s="253" t="s">
        <v>170</v>
      </c>
    </row>
    <row r="4181" spans="1:5" ht="30">
      <c r="A4181" s="254">
        <v>39395</v>
      </c>
      <c r="B4181" s="254" t="s">
        <v>25029</v>
      </c>
      <c r="C4181" s="254" t="s">
        <v>4521</v>
      </c>
      <c r="D4181" s="255" t="s">
        <v>25030</v>
      </c>
      <c r="E4181" s="253" t="s">
        <v>170</v>
      </c>
    </row>
    <row r="4182" spans="1:5" ht="30">
      <c r="A4182" s="254">
        <v>14618</v>
      </c>
      <c r="B4182" s="254" t="s">
        <v>25031</v>
      </c>
      <c r="C4182" s="254" t="s">
        <v>4521</v>
      </c>
      <c r="D4182" s="255" t="s">
        <v>25032</v>
      </c>
      <c r="E4182" s="253" t="s">
        <v>170</v>
      </c>
    </row>
    <row r="4183" spans="1:5" ht="30">
      <c r="A4183" s="254">
        <v>40269</v>
      </c>
      <c r="B4183" s="254" t="s">
        <v>25033</v>
      </c>
      <c r="C4183" s="254" t="s">
        <v>4521</v>
      </c>
      <c r="D4183" s="255" t="s">
        <v>25034</v>
      </c>
      <c r="E4183" s="253" t="s">
        <v>170</v>
      </c>
    </row>
    <row r="4184" spans="1:5" ht="15">
      <c r="A4184" s="254">
        <v>6110</v>
      </c>
      <c r="B4184" s="254" t="s">
        <v>25035</v>
      </c>
      <c r="C4184" s="254" t="s">
        <v>4520</v>
      </c>
      <c r="D4184" s="255" t="s">
        <v>19250</v>
      </c>
      <c r="E4184" s="253" t="s">
        <v>8722</v>
      </c>
    </row>
    <row r="4185" spans="1:5" ht="15">
      <c r="A4185" s="254">
        <v>40910</v>
      </c>
      <c r="B4185" s="254" t="s">
        <v>25036</v>
      </c>
      <c r="C4185" s="254" t="s">
        <v>4528</v>
      </c>
      <c r="D4185" s="255" t="s">
        <v>19252</v>
      </c>
      <c r="E4185" s="253" t="s">
        <v>8722</v>
      </c>
    </row>
    <row r="4186" spans="1:5" ht="15">
      <c r="A4186" s="254">
        <v>6111</v>
      </c>
      <c r="B4186" s="254" t="s">
        <v>25037</v>
      </c>
      <c r="C4186" s="254" t="s">
        <v>4520</v>
      </c>
      <c r="D4186" s="255" t="s">
        <v>17625</v>
      </c>
      <c r="E4186" s="253" t="s">
        <v>8722</v>
      </c>
    </row>
    <row r="4187" spans="1:5" ht="15">
      <c r="A4187" s="254">
        <v>41084</v>
      </c>
      <c r="B4187" s="254" t="s">
        <v>25038</v>
      </c>
      <c r="C4187" s="254" t="s">
        <v>4528</v>
      </c>
      <c r="D4187" s="255" t="s">
        <v>25039</v>
      </c>
      <c r="E4187" s="253" t="s">
        <v>8722</v>
      </c>
    </row>
    <row r="4188" spans="1:5" ht="15">
      <c r="A4188" s="254">
        <v>25950</v>
      </c>
      <c r="B4188" s="254" t="s">
        <v>25040</v>
      </c>
      <c r="C4188" s="254" t="s">
        <v>4522</v>
      </c>
      <c r="D4188" s="255" t="s">
        <v>19969</v>
      </c>
      <c r="E4188" s="253" t="s">
        <v>170</v>
      </c>
    </row>
    <row r="4189" spans="1:5" ht="15">
      <c r="A4189" s="254">
        <v>38637</v>
      </c>
      <c r="B4189" s="254" t="s">
        <v>25041</v>
      </c>
      <c r="C4189" s="254" t="s">
        <v>4521</v>
      </c>
      <c r="D4189" s="255" t="s">
        <v>25042</v>
      </c>
      <c r="E4189" s="253" t="s">
        <v>170</v>
      </c>
    </row>
    <row r="4190" spans="1:5" ht="15">
      <c r="A4190" s="254">
        <v>6150</v>
      </c>
      <c r="B4190" s="254" t="s">
        <v>25043</v>
      </c>
      <c r="C4190" s="254" t="s">
        <v>4521</v>
      </c>
      <c r="D4190" s="255" t="s">
        <v>25044</v>
      </c>
      <c r="E4190" s="253" t="s">
        <v>170</v>
      </c>
    </row>
    <row r="4191" spans="1:5" ht="15">
      <c r="A4191" s="254">
        <v>6136</v>
      </c>
      <c r="B4191" s="254" t="s">
        <v>25045</v>
      </c>
      <c r="C4191" s="254" t="s">
        <v>4521</v>
      </c>
      <c r="D4191" s="255" t="s">
        <v>25046</v>
      </c>
      <c r="E4191" s="253" t="s">
        <v>170</v>
      </c>
    </row>
    <row r="4192" spans="1:5" ht="15">
      <c r="A4192" s="254">
        <v>38638</v>
      </c>
      <c r="B4192" s="254" t="s">
        <v>25047</v>
      </c>
      <c r="C4192" s="254" t="s">
        <v>4521</v>
      </c>
      <c r="D4192" s="255" t="s">
        <v>25048</v>
      </c>
      <c r="E4192" s="253" t="s">
        <v>170</v>
      </c>
    </row>
    <row r="4193" spans="1:5" ht="15">
      <c r="A4193" s="254">
        <v>20262</v>
      </c>
      <c r="B4193" s="254" t="s">
        <v>25049</v>
      </c>
      <c r="C4193" s="254" t="s">
        <v>4521</v>
      </c>
      <c r="D4193" s="255" t="s">
        <v>15509</v>
      </c>
      <c r="E4193" s="253" t="s">
        <v>170</v>
      </c>
    </row>
    <row r="4194" spans="1:5" ht="15">
      <c r="A4194" s="254">
        <v>6148</v>
      </c>
      <c r="B4194" s="254" t="s">
        <v>25050</v>
      </c>
      <c r="C4194" s="254" t="s">
        <v>4521</v>
      </c>
      <c r="D4194" s="255" t="s">
        <v>14628</v>
      </c>
      <c r="E4194" s="253" t="s">
        <v>170</v>
      </c>
    </row>
    <row r="4195" spans="1:5" ht="15">
      <c r="A4195" s="254">
        <v>6145</v>
      </c>
      <c r="B4195" s="254" t="s">
        <v>25051</v>
      </c>
      <c r="C4195" s="254" t="s">
        <v>4521</v>
      </c>
      <c r="D4195" s="255" t="s">
        <v>17660</v>
      </c>
      <c r="E4195" s="253" t="s">
        <v>170</v>
      </c>
    </row>
    <row r="4196" spans="1:5" ht="15">
      <c r="A4196" s="254">
        <v>6149</v>
      </c>
      <c r="B4196" s="254" t="s">
        <v>25052</v>
      </c>
      <c r="C4196" s="254" t="s">
        <v>4521</v>
      </c>
      <c r="D4196" s="255" t="s">
        <v>25053</v>
      </c>
      <c r="E4196" s="253" t="s">
        <v>170</v>
      </c>
    </row>
    <row r="4197" spans="1:5" ht="15">
      <c r="A4197" s="254">
        <v>6146</v>
      </c>
      <c r="B4197" s="254" t="s">
        <v>25054</v>
      </c>
      <c r="C4197" s="254" t="s">
        <v>4521</v>
      </c>
      <c r="D4197" s="255" t="s">
        <v>15499</v>
      </c>
      <c r="E4197" s="253" t="s">
        <v>170</v>
      </c>
    </row>
    <row r="4198" spans="1:5" ht="15">
      <c r="A4198" s="254">
        <v>26026</v>
      </c>
      <c r="B4198" s="254" t="s">
        <v>25055</v>
      </c>
      <c r="C4198" s="254" t="s">
        <v>4525</v>
      </c>
      <c r="D4198" s="255" t="s">
        <v>19534</v>
      </c>
      <c r="E4198" s="253" t="s">
        <v>170</v>
      </c>
    </row>
    <row r="4199" spans="1:5" ht="15">
      <c r="A4199" s="254">
        <v>39961</v>
      </c>
      <c r="B4199" s="254" t="s">
        <v>25056</v>
      </c>
      <c r="C4199" s="254" t="s">
        <v>4521</v>
      </c>
      <c r="D4199" s="255" t="s">
        <v>13548</v>
      </c>
      <c r="E4199" s="253" t="s">
        <v>170</v>
      </c>
    </row>
    <row r="4200" spans="1:5" ht="45">
      <c r="A4200" s="254">
        <v>42433</v>
      </c>
      <c r="B4200" s="254" t="s">
        <v>25057</v>
      </c>
      <c r="C4200" s="254" t="s">
        <v>4521</v>
      </c>
      <c r="D4200" s="255" t="s">
        <v>25058</v>
      </c>
      <c r="E4200" s="253" t="s">
        <v>170</v>
      </c>
    </row>
    <row r="4201" spans="1:5" ht="45">
      <c r="A4201" s="254">
        <v>42434</v>
      </c>
      <c r="B4201" s="254" t="s">
        <v>25059</v>
      </c>
      <c r="C4201" s="254" t="s">
        <v>4521</v>
      </c>
      <c r="D4201" s="255" t="s">
        <v>25060</v>
      </c>
      <c r="E4201" s="253" t="s">
        <v>170</v>
      </c>
    </row>
    <row r="4202" spans="1:5" ht="45">
      <c r="A4202" s="254">
        <v>42435</v>
      </c>
      <c r="B4202" s="254" t="s">
        <v>25061</v>
      </c>
      <c r="C4202" s="254" t="s">
        <v>4521</v>
      </c>
      <c r="D4202" s="255" t="s">
        <v>25062</v>
      </c>
      <c r="E4202" s="253" t="s">
        <v>170</v>
      </c>
    </row>
    <row r="4203" spans="1:5" ht="15">
      <c r="A4203" s="254">
        <v>38061</v>
      </c>
      <c r="B4203" s="254" t="s">
        <v>25063</v>
      </c>
      <c r="C4203" s="254" t="s">
        <v>4521</v>
      </c>
      <c r="D4203" s="255" t="s">
        <v>25064</v>
      </c>
      <c r="E4203" s="253" t="s">
        <v>170</v>
      </c>
    </row>
    <row r="4204" spans="1:5" ht="15">
      <c r="A4204" s="254">
        <v>20250</v>
      </c>
      <c r="B4204" s="254" t="s">
        <v>25065</v>
      </c>
      <c r="C4204" s="254" t="s">
        <v>4525</v>
      </c>
      <c r="D4204" s="255" t="s">
        <v>14486</v>
      </c>
      <c r="E4204" s="253" t="s">
        <v>170</v>
      </c>
    </row>
    <row r="4205" spans="1:5" ht="60">
      <c r="A4205" s="254">
        <v>39965</v>
      </c>
      <c r="B4205" s="254" t="s">
        <v>25066</v>
      </c>
      <c r="C4205" s="254" t="s">
        <v>4523</v>
      </c>
      <c r="D4205" s="255" t="s">
        <v>25067</v>
      </c>
      <c r="E4205" s="253" t="s">
        <v>170</v>
      </c>
    </row>
    <row r="4206" spans="1:5" ht="60">
      <c r="A4206" s="254">
        <v>39964</v>
      </c>
      <c r="B4206" s="254" t="s">
        <v>25068</v>
      </c>
      <c r="C4206" s="254" t="s">
        <v>4523</v>
      </c>
      <c r="D4206" s="255" t="s">
        <v>25069</v>
      </c>
      <c r="E4206" s="253" t="s">
        <v>170</v>
      </c>
    </row>
    <row r="4207" spans="1:5" ht="15">
      <c r="A4207" s="254">
        <v>7</v>
      </c>
      <c r="B4207" s="254" t="s">
        <v>25070</v>
      </c>
      <c r="C4207" s="254" t="s">
        <v>4525</v>
      </c>
      <c r="D4207" s="255" t="s">
        <v>17528</v>
      </c>
      <c r="E4207" s="253" t="s">
        <v>170</v>
      </c>
    </row>
    <row r="4208" spans="1:5" ht="15">
      <c r="A4208" s="254">
        <v>13388</v>
      </c>
      <c r="B4208" s="254" t="s">
        <v>25071</v>
      </c>
      <c r="C4208" s="254" t="s">
        <v>4525</v>
      </c>
      <c r="D4208" s="255" t="s">
        <v>25072</v>
      </c>
      <c r="E4208" s="253" t="s">
        <v>170</v>
      </c>
    </row>
    <row r="4209" spans="1:5" ht="15">
      <c r="A4209" s="254">
        <v>39914</v>
      </c>
      <c r="B4209" s="254" t="s">
        <v>25073</v>
      </c>
      <c r="C4209" s="254" t="s">
        <v>4525</v>
      </c>
      <c r="D4209" s="255" t="s">
        <v>14016</v>
      </c>
      <c r="E4209" s="253" t="s">
        <v>170</v>
      </c>
    </row>
    <row r="4210" spans="1:5" ht="30">
      <c r="A4210" s="254">
        <v>12732</v>
      </c>
      <c r="B4210" s="254" t="s">
        <v>25074</v>
      </c>
      <c r="C4210" s="254" t="s">
        <v>4521</v>
      </c>
      <c r="D4210" s="255" t="s">
        <v>25075</v>
      </c>
      <c r="E4210" s="253" t="s">
        <v>170</v>
      </c>
    </row>
    <row r="4211" spans="1:5" ht="15">
      <c r="A4211" s="254">
        <v>6160</v>
      </c>
      <c r="B4211" s="254" t="s">
        <v>25076</v>
      </c>
      <c r="C4211" s="254" t="s">
        <v>4520</v>
      </c>
      <c r="D4211" s="255" t="s">
        <v>19250</v>
      </c>
      <c r="E4211" s="253" t="s">
        <v>8722</v>
      </c>
    </row>
    <row r="4212" spans="1:5" ht="15">
      <c r="A4212" s="254">
        <v>41087</v>
      </c>
      <c r="B4212" s="254" t="s">
        <v>25077</v>
      </c>
      <c r="C4212" s="254" t="s">
        <v>4528</v>
      </c>
      <c r="D4212" s="255" t="s">
        <v>19252</v>
      </c>
      <c r="E4212" s="253" t="s">
        <v>8722</v>
      </c>
    </row>
    <row r="4213" spans="1:5" ht="15">
      <c r="A4213" s="254">
        <v>6166</v>
      </c>
      <c r="B4213" s="254" t="s">
        <v>25078</v>
      </c>
      <c r="C4213" s="254" t="s">
        <v>4520</v>
      </c>
      <c r="D4213" s="255" t="s">
        <v>17640</v>
      </c>
      <c r="E4213" s="253" t="s">
        <v>8722</v>
      </c>
    </row>
    <row r="4214" spans="1:5" ht="15">
      <c r="A4214" s="254">
        <v>41088</v>
      </c>
      <c r="B4214" s="254" t="s">
        <v>25079</v>
      </c>
      <c r="C4214" s="254" t="s">
        <v>4528</v>
      </c>
      <c r="D4214" s="255" t="s">
        <v>25080</v>
      </c>
      <c r="E4214" s="253" t="s">
        <v>8722</v>
      </c>
    </row>
    <row r="4215" spans="1:5" ht="30">
      <c r="A4215" s="254">
        <v>20232</v>
      </c>
      <c r="B4215" s="254" t="s">
        <v>25081</v>
      </c>
      <c r="C4215" s="254" t="s">
        <v>4524</v>
      </c>
      <c r="D4215" s="255" t="s">
        <v>25082</v>
      </c>
      <c r="E4215" s="253" t="s">
        <v>170</v>
      </c>
    </row>
    <row r="4216" spans="1:5" ht="15">
      <c r="A4216" s="254">
        <v>10856</v>
      </c>
      <c r="B4216" s="254" t="s">
        <v>25083</v>
      </c>
      <c r="C4216" s="254" t="s">
        <v>4524</v>
      </c>
      <c r="D4216" s="255" t="s">
        <v>16770</v>
      </c>
      <c r="E4216" s="253" t="s">
        <v>170</v>
      </c>
    </row>
    <row r="4217" spans="1:5" ht="30">
      <c r="A4217" s="254">
        <v>4828</v>
      </c>
      <c r="B4217" s="254" t="s">
        <v>25084</v>
      </c>
      <c r="C4217" s="254" t="s">
        <v>4524</v>
      </c>
      <c r="D4217" s="255" t="s">
        <v>14080</v>
      </c>
      <c r="E4217" s="253" t="s">
        <v>170</v>
      </c>
    </row>
    <row r="4218" spans="1:5" ht="15">
      <c r="A4218" s="254">
        <v>20249</v>
      </c>
      <c r="B4218" s="254" t="s">
        <v>25085</v>
      </c>
      <c r="C4218" s="254" t="s">
        <v>4524</v>
      </c>
      <c r="D4218" s="255" t="s">
        <v>15381</v>
      </c>
      <c r="E4218" s="253" t="s">
        <v>170</v>
      </c>
    </row>
    <row r="4219" spans="1:5" ht="15">
      <c r="A4219" s="254">
        <v>11609</v>
      </c>
      <c r="B4219" s="254" t="s">
        <v>25086</v>
      </c>
      <c r="C4219" s="254" t="s">
        <v>4526</v>
      </c>
      <c r="D4219" s="255" t="s">
        <v>17612</v>
      </c>
      <c r="E4219" s="253" t="s">
        <v>170</v>
      </c>
    </row>
    <row r="4220" spans="1:5" ht="15">
      <c r="A4220" s="254">
        <v>20083</v>
      </c>
      <c r="B4220" s="254" t="s">
        <v>25087</v>
      </c>
      <c r="C4220" s="254" t="s">
        <v>4521</v>
      </c>
      <c r="D4220" s="255" t="s">
        <v>25088</v>
      </c>
      <c r="E4220" s="253" t="s">
        <v>170</v>
      </c>
    </row>
    <row r="4221" spans="1:5" ht="15">
      <c r="A4221" s="254">
        <v>20082</v>
      </c>
      <c r="B4221" s="254" t="s">
        <v>25089</v>
      </c>
      <c r="C4221" s="254" t="s">
        <v>4521</v>
      </c>
      <c r="D4221" s="255" t="s">
        <v>17170</v>
      </c>
      <c r="E4221" s="253" t="s">
        <v>170</v>
      </c>
    </row>
    <row r="4222" spans="1:5" ht="15">
      <c r="A4222" s="254">
        <v>5318</v>
      </c>
      <c r="B4222" s="254" t="s">
        <v>25090</v>
      </c>
      <c r="C4222" s="254" t="s">
        <v>4526</v>
      </c>
      <c r="D4222" s="255" t="s">
        <v>14937</v>
      </c>
      <c r="E4222" s="253" t="s">
        <v>170</v>
      </c>
    </row>
    <row r="4223" spans="1:5" ht="15">
      <c r="A4223" s="254">
        <v>10691</v>
      </c>
      <c r="B4223" s="254" t="s">
        <v>25091</v>
      </c>
      <c r="C4223" s="254" t="s">
        <v>4526</v>
      </c>
      <c r="D4223" s="255" t="s">
        <v>25092</v>
      </c>
      <c r="E4223" s="253" t="s">
        <v>170</v>
      </c>
    </row>
    <row r="4224" spans="1:5" ht="15">
      <c r="A4224" s="254">
        <v>12295</v>
      </c>
      <c r="B4224" s="254" t="s">
        <v>25093</v>
      </c>
      <c r="C4224" s="254" t="s">
        <v>4521</v>
      </c>
      <c r="D4224" s="255" t="s">
        <v>18949</v>
      </c>
      <c r="E4224" s="253" t="s">
        <v>170</v>
      </c>
    </row>
    <row r="4225" spans="1:5" ht="15">
      <c r="A4225" s="254">
        <v>12296</v>
      </c>
      <c r="B4225" s="254" t="s">
        <v>25094</v>
      </c>
      <c r="C4225" s="254" t="s">
        <v>4521</v>
      </c>
      <c r="D4225" s="255" t="s">
        <v>17532</v>
      </c>
      <c r="E4225" s="253" t="s">
        <v>170</v>
      </c>
    </row>
    <row r="4226" spans="1:5" ht="15">
      <c r="A4226" s="254">
        <v>12294</v>
      </c>
      <c r="B4226" s="254" t="s">
        <v>25095</v>
      </c>
      <c r="C4226" s="254" t="s">
        <v>4521</v>
      </c>
      <c r="D4226" s="255" t="s">
        <v>16463</v>
      </c>
      <c r="E4226" s="253" t="s">
        <v>170</v>
      </c>
    </row>
    <row r="4227" spans="1:5" ht="15">
      <c r="A4227" s="254">
        <v>14543</v>
      </c>
      <c r="B4227" s="254" t="s">
        <v>25096</v>
      </c>
      <c r="C4227" s="254" t="s">
        <v>4521</v>
      </c>
      <c r="D4227" s="255" t="s">
        <v>18778</v>
      </c>
      <c r="E4227" s="253" t="s">
        <v>170</v>
      </c>
    </row>
    <row r="4228" spans="1:5" ht="15">
      <c r="A4228" s="254">
        <v>13329</v>
      </c>
      <c r="B4228" s="254" t="s">
        <v>25097</v>
      </c>
      <c r="C4228" s="254" t="s">
        <v>4521</v>
      </c>
      <c r="D4228" s="255" t="s">
        <v>23114</v>
      </c>
      <c r="E4228" s="253" t="s">
        <v>170</v>
      </c>
    </row>
    <row r="4229" spans="1:5" ht="30">
      <c r="A4229" s="254">
        <v>21044</v>
      </c>
      <c r="B4229" s="254" t="s">
        <v>25098</v>
      </c>
      <c r="C4229" s="254" t="s">
        <v>4521</v>
      </c>
      <c r="D4229" s="255" t="s">
        <v>14392</v>
      </c>
      <c r="E4229" s="253" t="s">
        <v>170</v>
      </c>
    </row>
    <row r="4230" spans="1:5" ht="30">
      <c r="A4230" s="254">
        <v>21045</v>
      </c>
      <c r="B4230" s="254" t="s">
        <v>25099</v>
      </c>
      <c r="C4230" s="254" t="s">
        <v>4521</v>
      </c>
      <c r="D4230" s="255" t="s">
        <v>18681</v>
      </c>
      <c r="E4230" s="253" t="s">
        <v>170</v>
      </c>
    </row>
    <row r="4231" spans="1:5" ht="30">
      <c r="A4231" s="254">
        <v>21040</v>
      </c>
      <c r="B4231" s="254" t="s">
        <v>25100</v>
      </c>
      <c r="C4231" s="254" t="s">
        <v>4521</v>
      </c>
      <c r="D4231" s="255" t="s">
        <v>19292</v>
      </c>
      <c r="E4231" s="253" t="s">
        <v>170</v>
      </c>
    </row>
    <row r="4232" spans="1:5" ht="30">
      <c r="A4232" s="254">
        <v>21041</v>
      </c>
      <c r="B4232" s="254" t="s">
        <v>25101</v>
      </c>
      <c r="C4232" s="254" t="s">
        <v>4521</v>
      </c>
      <c r="D4232" s="255" t="s">
        <v>20485</v>
      </c>
      <c r="E4232" s="253" t="s">
        <v>170</v>
      </c>
    </row>
    <row r="4233" spans="1:5" ht="30">
      <c r="A4233" s="254">
        <v>21047</v>
      </c>
      <c r="B4233" s="254" t="s">
        <v>25102</v>
      </c>
      <c r="C4233" s="254" t="s">
        <v>4521</v>
      </c>
      <c r="D4233" s="255" t="s">
        <v>25103</v>
      </c>
      <c r="E4233" s="253" t="s">
        <v>170</v>
      </c>
    </row>
    <row r="4234" spans="1:5" ht="30">
      <c r="A4234" s="254">
        <v>21043</v>
      </c>
      <c r="B4234" s="254" t="s">
        <v>25104</v>
      </c>
      <c r="C4234" s="254" t="s">
        <v>4521</v>
      </c>
      <c r="D4234" s="255" t="s">
        <v>14497</v>
      </c>
      <c r="E4234" s="253" t="s">
        <v>170</v>
      </c>
    </row>
    <row r="4235" spans="1:5" ht="30">
      <c r="A4235" s="254">
        <v>21042</v>
      </c>
      <c r="B4235" s="254" t="s">
        <v>25105</v>
      </c>
      <c r="C4235" s="254" t="s">
        <v>4521</v>
      </c>
      <c r="D4235" s="255" t="s">
        <v>25106</v>
      </c>
      <c r="E4235" s="253" t="s">
        <v>170</v>
      </c>
    </row>
    <row r="4236" spans="1:5" ht="15">
      <c r="A4236" s="254">
        <v>11895</v>
      </c>
      <c r="B4236" s="254" t="s">
        <v>25107</v>
      </c>
      <c r="C4236" s="254" t="s">
        <v>4521</v>
      </c>
      <c r="D4236" s="255" t="s">
        <v>25108</v>
      </c>
      <c r="E4236" s="253" t="s">
        <v>170</v>
      </c>
    </row>
    <row r="4237" spans="1:5" ht="15">
      <c r="A4237" s="254">
        <v>11896</v>
      </c>
      <c r="B4237" s="254" t="s">
        <v>25109</v>
      </c>
      <c r="C4237" s="254" t="s">
        <v>4521</v>
      </c>
      <c r="D4237" s="255" t="s">
        <v>25110</v>
      </c>
      <c r="E4237" s="253" t="s">
        <v>170</v>
      </c>
    </row>
    <row r="4238" spans="1:5" ht="15">
      <c r="A4238" s="254">
        <v>11897</v>
      </c>
      <c r="B4238" s="254" t="s">
        <v>25111</v>
      </c>
      <c r="C4238" s="254" t="s">
        <v>4521</v>
      </c>
      <c r="D4238" s="255" t="s">
        <v>25112</v>
      </c>
      <c r="E4238" s="253" t="s">
        <v>170</v>
      </c>
    </row>
    <row r="4239" spans="1:5" ht="15">
      <c r="A4239" s="254">
        <v>11898</v>
      </c>
      <c r="B4239" s="254" t="s">
        <v>25113</v>
      </c>
      <c r="C4239" s="254" t="s">
        <v>4521</v>
      </c>
      <c r="D4239" s="255" t="s">
        <v>25114</v>
      </c>
      <c r="E4239" s="253" t="s">
        <v>170</v>
      </c>
    </row>
    <row r="4240" spans="1:5" ht="15">
      <c r="A4240" s="254">
        <v>3282</v>
      </c>
      <c r="B4240" s="254" t="s">
        <v>25115</v>
      </c>
      <c r="C4240" s="254" t="s">
        <v>4521</v>
      </c>
      <c r="D4240" s="255" t="s">
        <v>25116</v>
      </c>
      <c r="E4240" s="253" t="s">
        <v>170</v>
      </c>
    </row>
    <row r="4241" spans="1:5" ht="15">
      <c r="A4241" s="254">
        <v>11899</v>
      </c>
      <c r="B4241" s="254" t="s">
        <v>25117</v>
      </c>
      <c r="C4241" s="254" t="s">
        <v>4521</v>
      </c>
      <c r="D4241" s="255" t="s">
        <v>25118</v>
      </c>
      <c r="E4241" s="253" t="s">
        <v>170</v>
      </c>
    </row>
    <row r="4242" spans="1:5" ht="15">
      <c r="A4242" s="254">
        <v>11900</v>
      </c>
      <c r="B4242" s="254" t="s">
        <v>25119</v>
      </c>
      <c r="C4242" s="254" t="s">
        <v>4521</v>
      </c>
      <c r="D4242" s="255" t="s">
        <v>25120</v>
      </c>
      <c r="E4242" s="253" t="s">
        <v>170</v>
      </c>
    </row>
    <row r="4243" spans="1:5" ht="15">
      <c r="A4243" s="254">
        <v>14149</v>
      </c>
      <c r="B4243" s="254" t="s">
        <v>25121</v>
      </c>
      <c r="C4243" s="254" t="s">
        <v>4538</v>
      </c>
      <c r="D4243" s="255" t="s">
        <v>13670</v>
      </c>
      <c r="E4243" s="253" t="s">
        <v>170</v>
      </c>
    </row>
    <row r="4244" spans="1:5" ht="30">
      <c r="A4244" s="254">
        <v>38099</v>
      </c>
      <c r="B4244" s="254" t="s">
        <v>25122</v>
      </c>
      <c r="C4244" s="254" t="s">
        <v>4521</v>
      </c>
      <c r="D4244" s="255" t="s">
        <v>14285</v>
      </c>
      <c r="E4244" s="253" t="s">
        <v>170</v>
      </c>
    </row>
    <row r="4245" spans="1:5" ht="30">
      <c r="A4245" s="254">
        <v>38100</v>
      </c>
      <c r="B4245" s="254" t="s">
        <v>25123</v>
      </c>
      <c r="C4245" s="254" t="s">
        <v>4521</v>
      </c>
      <c r="D4245" s="255" t="s">
        <v>18505</v>
      </c>
      <c r="E4245" s="253" t="s">
        <v>170</v>
      </c>
    </row>
    <row r="4246" spans="1:5" ht="30">
      <c r="A4246" s="254">
        <v>20061</v>
      </c>
      <c r="B4246" s="254" t="s">
        <v>25124</v>
      </c>
      <c r="C4246" s="254" t="s">
        <v>4521</v>
      </c>
      <c r="D4246" s="255" t="s">
        <v>18443</v>
      </c>
      <c r="E4246" s="253" t="s">
        <v>170</v>
      </c>
    </row>
    <row r="4247" spans="1:5" ht="30">
      <c r="A4247" s="254">
        <v>7576</v>
      </c>
      <c r="B4247" s="254" t="s">
        <v>25125</v>
      </c>
      <c r="C4247" s="254" t="s">
        <v>4521</v>
      </c>
      <c r="D4247" s="255" t="s">
        <v>25126</v>
      </c>
      <c r="E4247" s="253" t="s">
        <v>170</v>
      </c>
    </row>
    <row r="4248" spans="1:5" ht="30">
      <c r="A4248" s="254">
        <v>3384</v>
      </c>
      <c r="B4248" s="254" t="s">
        <v>25127</v>
      </c>
      <c r="C4248" s="254" t="s">
        <v>4521</v>
      </c>
      <c r="D4248" s="255" t="s">
        <v>25128</v>
      </c>
      <c r="E4248" s="253" t="s">
        <v>170</v>
      </c>
    </row>
    <row r="4249" spans="1:5" ht="30">
      <c r="A4249" s="254">
        <v>7572</v>
      </c>
      <c r="B4249" s="254" t="s">
        <v>25129</v>
      </c>
      <c r="C4249" s="254" t="s">
        <v>4521</v>
      </c>
      <c r="D4249" s="255" t="s">
        <v>14356</v>
      </c>
      <c r="E4249" s="253" t="s">
        <v>170</v>
      </c>
    </row>
    <row r="4250" spans="1:5" ht="30">
      <c r="A4250" s="254">
        <v>3396</v>
      </c>
      <c r="B4250" s="254" t="s">
        <v>25130</v>
      </c>
      <c r="C4250" s="254" t="s">
        <v>4521</v>
      </c>
      <c r="D4250" s="255" t="s">
        <v>14737</v>
      </c>
      <c r="E4250" s="253" t="s">
        <v>170</v>
      </c>
    </row>
    <row r="4251" spans="1:5" ht="30">
      <c r="A4251" s="254">
        <v>37590</v>
      </c>
      <c r="B4251" s="254" t="s">
        <v>25131</v>
      </c>
      <c r="C4251" s="254" t="s">
        <v>4521</v>
      </c>
      <c r="D4251" s="255" t="s">
        <v>16671</v>
      </c>
      <c r="E4251" s="253" t="s">
        <v>170</v>
      </c>
    </row>
    <row r="4252" spans="1:5" ht="30">
      <c r="A4252" s="254">
        <v>37591</v>
      </c>
      <c r="B4252" s="254" t="s">
        <v>25132</v>
      </c>
      <c r="C4252" s="254" t="s">
        <v>4521</v>
      </c>
      <c r="D4252" s="255" t="s">
        <v>17177</v>
      </c>
      <c r="E4252" s="253" t="s">
        <v>170</v>
      </c>
    </row>
    <row r="4253" spans="1:5" ht="30">
      <c r="A4253" s="254">
        <v>12626</v>
      </c>
      <c r="B4253" s="254" t="s">
        <v>25133</v>
      </c>
      <c r="C4253" s="254" t="s">
        <v>4521</v>
      </c>
      <c r="D4253" s="255" t="s">
        <v>23873</v>
      </c>
      <c r="E4253" s="253" t="s">
        <v>170</v>
      </c>
    </row>
    <row r="4254" spans="1:5" ht="15">
      <c r="A4254" s="254">
        <v>11033</v>
      </c>
      <c r="B4254" s="254" t="s">
        <v>25134</v>
      </c>
      <c r="C4254" s="254" t="s">
        <v>4521</v>
      </c>
      <c r="D4254" s="255" t="s">
        <v>17008</v>
      </c>
      <c r="E4254" s="253" t="s">
        <v>170</v>
      </c>
    </row>
    <row r="4255" spans="1:5" ht="15">
      <c r="A4255" s="254">
        <v>390</v>
      </c>
      <c r="B4255" s="254" t="s">
        <v>25135</v>
      </c>
      <c r="C4255" s="254" t="s">
        <v>4521</v>
      </c>
      <c r="D4255" s="255" t="s">
        <v>25136</v>
      </c>
      <c r="E4255" s="253" t="s">
        <v>170</v>
      </c>
    </row>
    <row r="4256" spans="1:5" ht="45">
      <c r="A4256" s="254">
        <v>42436</v>
      </c>
      <c r="B4256" s="254" t="s">
        <v>25137</v>
      </c>
      <c r="C4256" s="254" t="s">
        <v>4521</v>
      </c>
      <c r="D4256" s="255" t="s">
        <v>25138</v>
      </c>
      <c r="E4256" s="253" t="s">
        <v>170</v>
      </c>
    </row>
    <row r="4257" spans="1:5" ht="30">
      <c r="A4257" s="254">
        <v>6178</v>
      </c>
      <c r="B4257" s="254" t="s">
        <v>25139</v>
      </c>
      <c r="C4257" s="254" t="s">
        <v>4523</v>
      </c>
      <c r="D4257" s="255" t="s">
        <v>25140</v>
      </c>
      <c r="E4257" s="253" t="s">
        <v>170</v>
      </c>
    </row>
    <row r="4258" spans="1:5" ht="30">
      <c r="A4258" s="254">
        <v>6180</v>
      </c>
      <c r="B4258" s="254" t="s">
        <v>25141</v>
      </c>
      <c r="C4258" s="254" t="s">
        <v>4523</v>
      </c>
      <c r="D4258" s="255" t="s">
        <v>25142</v>
      </c>
      <c r="E4258" s="253" t="s">
        <v>170</v>
      </c>
    </row>
    <row r="4259" spans="1:5" ht="30">
      <c r="A4259" s="254">
        <v>6182</v>
      </c>
      <c r="B4259" s="254" t="s">
        <v>25143</v>
      </c>
      <c r="C4259" s="254" t="s">
        <v>4523</v>
      </c>
      <c r="D4259" s="255" t="s">
        <v>25144</v>
      </c>
      <c r="E4259" s="253" t="s">
        <v>170</v>
      </c>
    </row>
    <row r="4260" spans="1:5" ht="30">
      <c r="A4260" s="254">
        <v>3993</v>
      </c>
      <c r="B4260" s="254" t="s">
        <v>25145</v>
      </c>
      <c r="C4260" s="254" t="s">
        <v>4523</v>
      </c>
      <c r="D4260" s="255" t="s">
        <v>25146</v>
      </c>
      <c r="E4260" s="253" t="s">
        <v>170</v>
      </c>
    </row>
    <row r="4261" spans="1:5" ht="30">
      <c r="A4261" s="254">
        <v>3990</v>
      </c>
      <c r="B4261" s="254" t="s">
        <v>25147</v>
      </c>
      <c r="C4261" s="254" t="s">
        <v>4524</v>
      </c>
      <c r="D4261" s="255" t="s">
        <v>15941</v>
      </c>
      <c r="E4261" s="253" t="s">
        <v>170</v>
      </c>
    </row>
    <row r="4262" spans="1:5" ht="30">
      <c r="A4262" s="254">
        <v>3992</v>
      </c>
      <c r="B4262" s="254" t="s">
        <v>25148</v>
      </c>
      <c r="C4262" s="254" t="s">
        <v>4524</v>
      </c>
      <c r="D4262" s="255" t="s">
        <v>24338</v>
      </c>
      <c r="E4262" s="253" t="s">
        <v>170</v>
      </c>
    </row>
    <row r="4263" spans="1:5" ht="30">
      <c r="A4263" s="254">
        <v>4509</v>
      </c>
      <c r="B4263" s="254" t="s">
        <v>25149</v>
      </c>
      <c r="C4263" s="254" t="s">
        <v>4524</v>
      </c>
      <c r="D4263" s="255" t="s">
        <v>13953</v>
      </c>
      <c r="E4263" s="253" t="s">
        <v>170</v>
      </c>
    </row>
    <row r="4264" spans="1:5" ht="30">
      <c r="A4264" s="254">
        <v>6194</v>
      </c>
      <c r="B4264" s="254" t="s">
        <v>25150</v>
      </c>
      <c r="C4264" s="254" t="s">
        <v>4524</v>
      </c>
      <c r="D4264" s="255" t="s">
        <v>13977</v>
      </c>
      <c r="E4264" s="253" t="s">
        <v>170</v>
      </c>
    </row>
    <row r="4265" spans="1:5" ht="30">
      <c r="A4265" s="254">
        <v>6193</v>
      </c>
      <c r="B4265" s="254" t="s">
        <v>25151</v>
      </c>
      <c r="C4265" s="254" t="s">
        <v>4524</v>
      </c>
      <c r="D4265" s="255" t="s">
        <v>14176</v>
      </c>
      <c r="E4265" s="253" t="s">
        <v>170</v>
      </c>
    </row>
    <row r="4266" spans="1:5" ht="30">
      <c r="A4266" s="254">
        <v>10567</v>
      </c>
      <c r="B4266" s="254" t="s">
        <v>25152</v>
      </c>
      <c r="C4266" s="254" t="s">
        <v>4524</v>
      </c>
      <c r="D4266" s="255" t="s">
        <v>14419</v>
      </c>
      <c r="E4266" s="253" t="s">
        <v>170</v>
      </c>
    </row>
    <row r="4267" spans="1:5" ht="30">
      <c r="A4267" s="254">
        <v>6188</v>
      </c>
      <c r="B4267" s="254" t="s">
        <v>25153</v>
      </c>
      <c r="C4267" s="254" t="s">
        <v>4523</v>
      </c>
      <c r="D4267" s="255" t="s">
        <v>25154</v>
      </c>
      <c r="E4267" s="253" t="s">
        <v>170</v>
      </c>
    </row>
    <row r="4268" spans="1:5" ht="30">
      <c r="A4268" s="254">
        <v>6212</v>
      </c>
      <c r="B4268" s="254" t="s">
        <v>25153</v>
      </c>
      <c r="C4268" s="254" t="s">
        <v>4524</v>
      </c>
      <c r="D4268" s="255" t="s">
        <v>13927</v>
      </c>
      <c r="E4268" s="253" t="s">
        <v>170</v>
      </c>
    </row>
    <row r="4269" spans="1:5" ht="30">
      <c r="A4269" s="254">
        <v>6189</v>
      </c>
      <c r="B4269" s="254" t="s">
        <v>25155</v>
      </c>
      <c r="C4269" s="254" t="s">
        <v>4524</v>
      </c>
      <c r="D4269" s="255" t="s">
        <v>15787</v>
      </c>
      <c r="E4269" s="253" t="s">
        <v>170</v>
      </c>
    </row>
    <row r="4270" spans="1:5" ht="30">
      <c r="A4270" s="254">
        <v>6214</v>
      </c>
      <c r="B4270" s="254" t="s">
        <v>25156</v>
      </c>
      <c r="C4270" s="254" t="s">
        <v>4523</v>
      </c>
      <c r="D4270" s="255" t="s">
        <v>25157</v>
      </c>
      <c r="E4270" s="253" t="s">
        <v>170</v>
      </c>
    </row>
    <row r="4271" spans="1:5" ht="30">
      <c r="A4271" s="254">
        <v>36153</v>
      </c>
      <c r="B4271" s="254" t="s">
        <v>25158</v>
      </c>
      <c r="C4271" s="254" t="s">
        <v>4521</v>
      </c>
      <c r="D4271" s="255" t="s">
        <v>25159</v>
      </c>
      <c r="E4271" s="253" t="s">
        <v>170</v>
      </c>
    </row>
    <row r="4272" spans="1:5" ht="15">
      <c r="A4272" s="254">
        <v>10740</v>
      </c>
      <c r="B4272" s="254" t="s">
        <v>25160</v>
      </c>
      <c r="C4272" s="254" t="s">
        <v>4521</v>
      </c>
      <c r="D4272" s="255" t="s">
        <v>25161</v>
      </c>
      <c r="E4272" s="253" t="s">
        <v>170</v>
      </c>
    </row>
    <row r="4273" spans="1:5" ht="15">
      <c r="A4273" s="254">
        <v>13914</v>
      </c>
      <c r="B4273" s="254" t="s">
        <v>25162</v>
      </c>
      <c r="C4273" s="254" t="s">
        <v>4521</v>
      </c>
      <c r="D4273" s="255" t="s">
        <v>25163</v>
      </c>
      <c r="E4273" s="253" t="s">
        <v>170</v>
      </c>
    </row>
    <row r="4274" spans="1:5" ht="15">
      <c r="A4274" s="254">
        <v>10742</v>
      </c>
      <c r="B4274" s="254" t="s">
        <v>25164</v>
      </c>
      <c r="C4274" s="254" t="s">
        <v>4521</v>
      </c>
      <c r="D4274" s="255" t="s">
        <v>25165</v>
      </c>
      <c r="E4274" s="253" t="s">
        <v>170</v>
      </c>
    </row>
    <row r="4275" spans="1:5" ht="15">
      <c r="A4275" s="254">
        <v>38465</v>
      </c>
      <c r="B4275" s="254" t="s">
        <v>25166</v>
      </c>
      <c r="C4275" s="254" t="s">
        <v>4521</v>
      </c>
      <c r="D4275" s="255" t="s">
        <v>25167</v>
      </c>
      <c r="E4275" s="253" t="s">
        <v>170</v>
      </c>
    </row>
    <row r="4276" spans="1:5" ht="15">
      <c r="A4276" s="254">
        <v>7543</v>
      </c>
      <c r="B4276" s="254" t="s">
        <v>25168</v>
      </c>
      <c r="C4276" s="254" t="s">
        <v>4521</v>
      </c>
      <c r="D4276" s="255" t="s">
        <v>22076</v>
      </c>
      <c r="E4276" s="253" t="s">
        <v>170</v>
      </c>
    </row>
    <row r="4277" spans="1:5" ht="30">
      <c r="A4277" s="254">
        <v>13255</v>
      </c>
      <c r="B4277" s="254" t="s">
        <v>25169</v>
      </c>
      <c r="C4277" s="254" t="s">
        <v>4521</v>
      </c>
      <c r="D4277" s="255" t="s">
        <v>25170</v>
      </c>
      <c r="E4277" s="253" t="s">
        <v>170</v>
      </c>
    </row>
    <row r="4278" spans="1:5" ht="15">
      <c r="A4278" s="254">
        <v>39352</v>
      </c>
      <c r="B4278" s="254" t="s">
        <v>25171</v>
      </c>
      <c r="C4278" s="254" t="s">
        <v>4521</v>
      </c>
      <c r="D4278" s="255" t="s">
        <v>23117</v>
      </c>
      <c r="E4278" s="253" t="s">
        <v>170</v>
      </c>
    </row>
    <row r="4279" spans="1:5" ht="15">
      <c r="A4279" s="254">
        <v>39346</v>
      </c>
      <c r="B4279" s="254" t="s">
        <v>25172</v>
      </c>
      <c r="C4279" s="254" t="s">
        <v>4521</v>
      </c>
      <c r="D4279" s="255" t="s">
        <v>23117</v>
      </c>
      <c r="E4279" s="253" t="s">
        <v>170</v>
      </c>
    </row>
    <row r="4280" spans="1:5" ht="15">
      <c r="A4280" s="254">
        <v>39350</v>
      </c>
      <c r="B4280" s="254" t="s">
        <v>25173</v>
      </c>
      <c r="C4280" s="254" t="s">
        <v>4521</v>
      </c>
      <c r="D4280" s="255" t="s">
        <v>21422</v>
      </c>
      <c r="E4280" s="253" t="s">
        <v>170</v>
      </c>
    </row>
    <row r="4281" spans="1:5" ht="15">
      <c r="A4281" s="254">
        <v>39351</v>
      </c>
      <c r="B4281" s="254" t="s">
        <v>25174</v>
      </c>
      <c r="C4281" s="254" t="s">
        <v>4521</v>
      </c>
      <c r="D4281" s="255" t="s">
        <v>18448</v>
      </c>
      <c r="E4281" s="253" t="s">
        <v>170</v>
      </c>
    </row>
    <row r="4282" spans="1:5" ht="15">
      <c r="A4282" s="254">
        <v>38952</v>
      </c>
      <c r="B4282" s="254" t="s">
        <v>25175</v>
      </c>
      <c r="C4282" s="254" t="s">
        <v>4521</v>
      </c>
      <c r="D4282" s="255" t="s">
        <v>17923</v>
      </c>
      <c r="E4282" s="253" t="s">
        <v>170</v>
      </c>
    </row>
    <row r="4283" spans="1:5" ht="15">
      <c r="A4283" s="254">
        <v>38953</v>
      </c>
      <c r="B4283" s="254" t="s">
        <v>25176</v>
      </c>
      <c r="C4283" s="254" t="s">
        <v>4521</v>
      </c>
      <c r="D4283" s="255" t="s">
        <v>24244</v>
      </c>
      <c r="E4283" s="253" t="s">
        <v>170</v>
      </c>
    </row>
    <row r="4284" spans="1:5" ht="15">
      <c r="A4284" s="254">
        <v>38835</v>
      </c>
      <c r="B4284" s="254" t="s">
        <v>25177</v>
      </c>
      <c r="C4284" s="254" t="s">
        <v>4521</v>
      </c>
      <c r="D4284" s="255" t="s">
        <v>14218</v>
      </c>
      <c r="E4284" s="253" t="s">
        <v>170</v>
      </c>
    </row>
    <row r="4285" spans="1:5" ht="15">
      <c r="A4285" s="254">
        <v>38837</v>
      </c>
      <c r="B4285" s="254" t="s">
        <v>25178</v>
      </c>
      <c r="C4285" s="254" t="s">
        <v>4521</v>
      </c>
      <c r="D4285" s="255" t="s">
        <v>15436</v>
      </c>
      <c r="E4285" s="253" t="s">
        <v>170</v>
      </c>
    </row>
    <row r="4286" spans="1:5" ht="15">
      <c r="A4286" s="254">
        <v>38836</v>
      </c>
      <c r="B4286" s="254" t="s">
        <v>25179</v>
      </c>
      <c r="C4286" s="254" t="s">
        <v>4521</v>
      </c>
      <c r="D4286" s="255" t="s">
        <v>20474</v>
      </c>
      <c r="E4286" s="253" t="s">
        <v>170</v>
      </c>
    </row>
    <row r="4287" spans="1:5" ht="30">
      <c r="A4287" s="254">
        <v>2666</v>
      </c>
      <c r="B4287" s="254" t="s">
        <v>25180</v>
      </c>
      <c r="C4287" s="254" t="s">
        <v>4521</v>
      </c>
      <c r="D4287" s="255" t="s">
        <v>15473</v>
      </c>
      <c r="E4287" s="253" t="s">
        <v>170</v>
      </c>
    </row>
    <row r="4288" spans="1:5" ht="30">
      <c r="A4288" s="254">
        <v>2668</v>
      </c>
      <c r="B4288" s="254" t="s">
        <v>25181</v>
      </c>
      <c r="C4288" s="254" t="s">
        <v>4521</v>
      </c>
      <c r="D4288" s="255" t="s">
        <v>14401</v>
      </c>
      <c r="E4288" s="253" t="s">
        <v>170</v>
      </c>
    </row>
    <row r="4289" spans="1:5" ht="30">
      <c r="A4289" s="254">
        <v>2664</v>
      </c>
      <c r="B4289" s="254" t="s">
        <v>25182</v>
      </c>
      <c r="C4289" s="254" t="s">
        <v>4521</v>
      </c>
      <c r="D4289" s="255" t="s">
        <v>16352</v>
      </c>
      <c r="E4289" s="253" t="s">
        <v>170</v>
      </c>
    </row>
    <row r="4290" spans="1:5" ht="30">
      <c r="A4290" s="254">
        <v>2662</v>
      </c>
      <c r="B4290" s="254" t="s">
        <v>25183</v>
      </c>
      <c r="C4290" s="254" t="s">
        <v>4521</v>
      </c>
      <c r="D4290" s="255" t="s">
        <v>25184</v>
      </c>
      <c r="E4290" s="253" t="s">
        <v>170</v>
      </c>
    </row>
    <row r="4291" spans="1:5" ht="30">
      <c r="A4291" s="254">
        <v>20964</v>
      </c>
      <c r="B4291" s="254" t="s">
        <v>25185</v>
      </c>
      <c r="C4291" s="254" t="s">
        <v>4521</v>
      </c>
      <c r="D4291" s="255" t="s">
        <v>25186</v>
      </c>
      <c r="E4291" s="253" t="s">
        <v>170</v>
      </c>
    </row>
    <row r="4292" spans="1:5" ht="30">
      <c r="A4292" s="254">
        <v>10905</v>
      </c>
      <c r="B4292" s="254" t="s">
        <v>25187</v>
      </c>
      <c r="C4292" s="254" t="s">
        <v>4521</v>
      </c>
      <c r="D4292" s="255" t="s">
        <v>25188</v>
      </c>
      <c r="E4292" s="253" t="s">
        <v>170</v>
      </c>
    </row>
    <row r="4293" spans="1:5" ht="30">
      <c r="A4293" s="254">
        <v>42703</v>
      </c>
      <c r="B4293" s="254" t="s">
        <v>25189</v>
      </c>
      <c r="C4293" s="254" t="s">
        <v>4521</v>
      </c>
      <c r="D4293" s="255" t="s">
        <v>16974</v>
      </c>
      <c r="E4293" s="253" t="s">
        <v>170</v>
      </c>
    </row>
    <row r="4294" spans="1:5" ht="30">
      <c r="A4294" s="254">
        <v>42704</v>
      </c>
      <c r="B4294" s="254" t="s">
        <v>25190</v>
      </c>
      <c r="C4294" s="254" t="s">
        <v>4521</v>
      </c>
      <c r="D4294" s="255" t="s">
        <v>18195</v>
      </c>
      <c r="E4294" s="253" t="s">
        <v>170</v>
      </c>
    </row>
    <row r="4295" spans="1:5" ht="30">
      <c r="A4295" s="254">
        <v>42705</v>
      </c>
      <c r="B4295" s="254" t="s">
        <v>25191</v>
      </c>
      <c r="C4295" s="254" t="s">
        <v>4521</v>
      </c>
      <c r="D4295" s="255" t="s">
        <v>25192</v>
      </c>
      <c r="E4295" s="253" t="s">
        <v>170</v>
      </c>
    </row>
    <row r="4296" spans="1:5" ht="30">
      <c r="A4296" s="254">
        <v>42706</v>
      </c>
      <c r="B4296" s="254" t="s">
        <v>25193</v>
      </c>
      <c r="C4296" s="254" t="s">
        <v>4521</v>
      </c>
      <c r="D4296" s="255" t="s">
        <v>25194</v>
      </c>
      <c r="E4296" s="253" t="s">
        <v>170</v>
      </c>
    </row>
    <row r="4297" spans="1:5" ht="30">
      <c r="A4297" s="254">
        <v>11289</v>
      </c>
      <c r="B4297" s="254" t="s">
        <v>25195</v>
      </c>
      <c r="C4297" s="254" t="s">
        <v>4521</v>
      </c>
      <c r="D4297" s="255" t="s">
        <v>25196</v>
      </c>
      <c r="E4297" s="253" t="s">
        <v>170</v>
      </c>
    </row>
    <row r="4298" spans="1:5" ht="30">
      <c r="A4298" s="254">
        <v>11241</v>
      </c>
      <c r="B4298" s="254" t="s">
        <v>25197</v>
      </c>
      <c r="C4298" s="254" t="s">
        <v>4521</v>
      </c>
      <c r="D4298" s="255" t="s">
        <v>25198</v>
      </c>
      <c r="E4298" s="253" t="s">
        <v>170</v>
      </c>
    </row>
    <row r="4299" spans="1:5" ht="30">
      <c r="A4299" s="254">
        <v>11301</v>
      </c>
      <c r="B4299" s="254" t="s">
        <v>25199</v>
      </c>
      <c r="C4299" s="254" t="s">
        <v>4521</v>
      </c>
      <c r="D4299" s="255" t="s">
        <v>25200</v>
      </c>
      <c r="E4299" s="253" t="s">
        <v>170</v>
      </c>
    </row>
    <row r="4300" spans="1:5" ht="30">
      <c r="A4300" s="254">
        <v>21090</v>
      </c>
      <c r="B4300" s="254" t="s">
        <v>25201</v>
      </c>
      <c r="C4300" s="254" t="s">
        <v>4521</v>
      </c>
      <c r="D4300" s="255" t="s">
        <v>25202</v>
      </c>
      <c r="E4300" s="253" t="s">
        <v>170</v>
      </c>
    </row>
    <row r="4301" spans="1:5" ht="30">
      <c r="A4301" s="254">
        <v>14112</v>
      </c>
      <c r="B4301" s="254" t="s">
        <v>25203</v>
      </c>
      <c r="C4301" s="254" t="s">
        <v>4521</v>
      </c>
      <c r="D4301" s="255" t="s">
        <v>25204</v>
      </c>
      <c r="E4301" s="253" t="s">
        <v>170</v>
      </c>
    </row>
    <row r="4302" spans="1:5" ht="30">
      <c r="A4302" s="254">
        <v>11315</v>
      </c>
      <c r="B4302" s="254" t="s">
        <v>25205</v>
      </c>
      <c r="C4302" s="254" t="s">
        <v>4521</v>
      </c>
      <c r="D4302" s="255" t="s">
        <v>15411</v>
      </c>
      <c r="E4302" s="253" t="s">
        <v>170</v>
      </c>
    </row>
    <row r="4303" spans="1:5" ht="15">
      <c r="A4303" s="254">
        <v>11292</v>
      </c>
      <c r="B4303" s="254" t="s">
        <v>25206</v>
      </c>
      <c r="C4303" s="254" t="s">
        <v>4521</v>
      </c>
      <c r="D4303" s="255" t="s">
        <v>25207</v>
      </c>
      <c r="E4303" s="253" t="s">
        <v>170</v>
      </c>
    </row>
    <row r="4304" spans="1:5" ht="30">
      <c r="A4304" s="254">
        <v>21071</v>
      </c>
      <c r="B4304" s="254" t="s">
        <v>25208</v>
      </c>
      <c r="C4304" s="254" t="s">
        <v>4521</v>
      </c>
      <c r="D4304" s="255" t="s">
        <v>25209</v>
      </c>
      <c r="E4304" s="253" t="s">
        <v>170</v>
      </c>
    </row>
    <row r="4305" spans="1:5" ht="30">
      <c r="A4305" s="254">
        <v>11293</v>
      </c>
      <c r="B4305" s="254" t="s">
        <v>25210</v>
      </c>
      <c r="C4305" s="254" t="s">
        <v>4521</v>
      </c>
      <c r="D4305" s="255" t="s">
        <v>25211</v>
      </c>
      <c r="E4305" s="253" t="s">
        <v>170</v>
      </c>
    </row>
    <row r="4306" spans="1:5" ht="30">
      <c r="A4306" s="254">
        <v>11316</v>
      </c>
      <c r="B4306" s="254" t="s">
        <v>25212</v>
      </c>
      <c r="C4306" s="254" t="s">
        <v>4521</v>
      </c>
      <c r="D4306" s="255" t="s">
        <v>25213</v>
      </c>
      <c r="E4306" s="253" t="s">
        <v>170</v>
      </c>
    </row>
    <row r="4307" spans="1:5" ht="30">
      <c r="A4307" s="254">
        <v>6243</v>
      </c>
      <c r="B4307" s="254" t="s">
        <v>25214</v>
      </c>
      <c r="C4307" s="254" t="s">
        <v>4521</v>
      </c>
      <c r="D4307" s="255" t="s">
        <v>25215</v>
      </c>
      <c r="E4307" s="253" t="s">
        <v>170</v>
      </c>
    </row>
    <row r="4308" spans="1:5" ht="30">
      <c r="A4308" s="254">
        <v>21079</v>
      </c>
      <c r="B4308" s="254" t="s">
        <v>25216</v>
      </c>
      <c r="C4308" s="254" t="s">
        <v>4521</v>
      </c>
      <c r="D4308" s="255" t="s">
        <v>25217</v>
      </c>
      <c r="E4308" s="253" t="s">
        <v>170</v>
      </c>
    </row>
    <row r="4309" spans="1:5" ht="30">
      <c r="A4309" s="254">
        <v>6240</v>
      </c>
      <c r="B4309" s="254" t="s">
        <v>25218</v>
      </c>
      <c r="C4309" s="254" t="s">
        <v>4521</v>
      </c>
      <c r="D4309" s="255" t="s">
        <v>25219</v>
      </c>
      <c r="E4309" s="253" t="s">
        <v>170</v>
      </c>
    </row>
    <row r="4310" spans="1:5" ht="30">
      <c r="A4310" s="254">
        <v>11296</v>
      </c>
      <c r="B4310" s="254" t="s">
        <v>25220</v>
      </c>
      <c r="C4310" s="254" t="s">
        <v>4521</v>
      </c>
      <c r="D4310" s="255" t="s">
        <v>25221</v>
      </c>
      <c r="E4310" s="253" t="s">
        <v>170</v>
      </c>
    </row>
    <row r="4311" spans="1:5" ht="30">
      <c r="A4311" s="254">
        <v>11299</v>
      </c>
      <c r="B4311" s="254" t="s">
        <v>25222</v>
      </c>
      <c r="C4311" s="254" t="s">
        <v>4521</v>
      </c>
      <c r="D4311" s="255" t="s">
        <v>25223</v>
      </c>
      <c r="E4311" s="253" t="s">
        <v>170</v>
      </c>
    </row>
    <row r="4312" spans="1:5" ht="30">
      <c r="A4312" s="254">
        <v>11066</v>
      </c>
      <c r="B4312" s="254" t="s">
        <v>25224</v>
      </c>
      <c r="C4312" s="254" t="s">
        <v>4521</v>
      </c>
      <c r="D4312" s="255" t="s">
        <v>14474</v>
      </c>
      <c r="E4312" s="253" t="s">
        <v>170</v>
      </c>
    </row>
    <row r="4313" spans="1:5" ht="30">
      <c r="A4313" s="254">
        <v>11065</v>
      </c>
      <c r="B4313" s="254" t="s">
        <v>25225</v>
      </c>
      <c r="C4313" s="254" t="s">
        <v>4521</v>
      </c>
      <c r="D4313" s="255" t="s">
        <v>25226</v>
      </c>
      <c r="E4313" s="253" t="s">
        <v>170</v>
      </c>
    </row>
    <row r="4314" spans="1:5" ht="30">
      <c r="A4314" s="254">
        <v>11688</v>
      </c>
      <c r="B4314" s="254" t="s">
        <v>25227</v>
      </c>
      <c r="C4314" s="254" t="s">
        <v>4521</v>
      </c>
      <c r="D4314" s="255" t="s">
        <v>25228</v>
      </c>
      <c r="E4314" s="253" t="s">
        <v>170</v>
      </c>
    </row>
    <row r="4315" spans="1:5" ht="45">
      <c r="A4315" s="254">
        <v>37736</v>
      </c>
      <c r="B4315" s="254" t="s">
        <v>25229</v>
      </c>
      <c r="C4315" s="254" t="s">
        <v>4521</v>
      </c>
      <c r="D4315" s="255" t="s">
        <v>25230</v>
      </c>
      <c r="E4315" s="253" t="s">
        <v>170</v>
      </c>
    </row>
    <row r="4316" spans="1:5" ht="30">
      <c r="A4316" s="254">
        <v>37739</v>
      </c>
      <c r="B4316" s="254" t="s">
        <v>25231</v>
      </c>
      <c r="C4316" s="254" t="s">
        <v>4521</v>
      </c>
      <c r="D4316" s="255" t="s">
        <v>25232</v>
      </c>
      <c r="E4316" s="253" t="s">
        <v>170</v>
      </c>
    </row>
    <row r="4317" spans="1:5" ht="30">
      <c r="A4317" s="254">
        <v>37740</v>
      </c>
      <c r="B4317" s="254" t="s">
        <v>25233</v>
      </c>
      <c r="C4317" s="254" t="s">
        <v>4521</v>
      </c>
      <c r="D4317" s="255" t="s">
        <v>25234</v>
      </c>
      <c r="E4317" s="253" t="s">
        <v>170</v>
      </c>
    </row>
    <row r="4318" spans="1:5" ht="30">
      <c r="A4318" s="254">
        <v>37738</v>
      </c>
      <c r="B4318" s="254" t="s">
        <v>25235</v>
      </c>
      <c r="C4318" s="254" t="s">
        <v>4521</v>
      </c>
      <c r="D4318" s="255" t="s">
        <v>25236</v>
      </c>
      <c r="E4318" s="253" t="s">
        <v>170</v>
      </c>
    </row>
    <row r="4319" spans="1:5" ht="30">
      <c r="A4319" s="254">
        <v>37737</v>
      </c>
      <c r="B4319" s="254" t="s">
        <v>25237</v>
      </c>
      <c r="C4319" s="254" t="s">
        <v>4521</v>
      </c>
      <c r="D4319" s="255" t="s">
        <v>25238</v>
      </c>
      <c r="E4319" s="253" t="s">
        <v>170</v>
      </c>
    </row>
    <row r="4320" spans="1:5" ht="15">
      <c r="A4320" s="254">
        <v>25014</v>
      </c>
      <c r="B4320" s="254" t="s">
        <v>25239</v>
      </c>
      <c r="C4320" s="254" t="s">
        <v>4521</v>
      </c>
      <c r="D4320" s="255" t="s">
        <v>25240</v>
      </c>
      <c r="E4320" s="253" t="s">
        <v>170</v>
      </c>
    </row>
    <row r="4321" spans="1:5" ht="15">
      <c r="A4321" s="254">
        <v>25013</v>
      </c>
      <c r="B4321" s="254" t="s">
        <v>25241</v>
      </c>
      <c r="C4321" s="254" t="s">
        <v>4521</v>
      </c>
      <c r="D4321" s="255" t="s">
        <v>25242</v>
      </c>
      <c r="E4321" s="253" t="s">
        <v>170</v>
      </c>
    </row>
    <row r="4322" spans="1:5" ht="15">
      <c r="A4322" s="254">
        <v>14405</v>
      </c>
      <c r="B4322" s="254" t="s">
        <v>25243</v>
      </c>
      <c r="C4322" s="254" t="s">
        <v>4521</v>
      </c>
      <c r="D4322" s="255" t="s">
        <v>25244</v>
      </c>
      <c r="E4322" s="253" t="s">
        <v>170</v>
      </c>
    </row>
    <row r="4323" spans="1:5" ht="30">
      <c r="A4323" s="254">
        <v>36790</v>
      </c>
      <c r="B4323" s="254" t="s">
        <v>25245</v>
      </c>
      <c r="C4323" s="254" t="s">
        <v>4521</v>
      </c>
      <c r="D4323" s="256" t="s">
        <v>25246</v>
      </c>
      <c r="E4323" s="253" t="s">
        <v>170</v>
      </c>
    </row>
    <row r="4324" spans="1:5" ht="15">
      <c r="A4324" s="254">
        <v>20271</v>
      </c>
      <c r="B4324" s="254" t="s">
        <v>25247</v>
      </c>
      <c r="C4324" s="254" t="s">
        <v>4521</v>
      </c>
      <c r="D4324" s="256" t="s">
        <v>25248</v>
      </c>
      <c r="E4324" s="253" t="s">
        <v>170</v>
      </c>
    </row>
    <row r="4325" spans="1:5" ht="15">
      <c r="A4325" s="254">
        <v>10423</v>
      </c>
      <c r="B4325" s="254" t="s">
        <v>25249</v>
      </c>
      <c r="C4325" s="254" t="s">
        <v>4521</v>
      </c>
      <c r="D4325" s="255" t="s">
        <v>25250</v>
      </c>
      <c r="E4325" s="253" t="s">
        <v>170</v>
      </c>
    </row>
    <row r="4326" spans="1:5" ht="30">
      <c r="A4326" s="254">
        <v>37589</v>
      </c>
      <c r="B4326" s="254" t="s">
        <v>25251</v>
      </c>
      <c r="C4326" s="254" t="s">
        <v>4521</v>
      </c>
      <c r="D4326" s="255" t="s">
        <v>25252</v>
      </c>
      <c r="E4326" s="253" t="s">
        <v>170</v>
      </c>
    </row>
    <row r="4327" spans="1:5" ht="30">
      <c r="A4327" s="254">
        <v>11690</v>
      </c>
      <c r="B4327" s="254" t="s">
        <v>25253</v>
      </c>
      <c r="C4327" s="254" t="s">
        <v>4521</v>
      </c>
      <c r="D4327" s="255" t="s">
        <v>25254</v>
      </c>
      <c r="E4327" s="253" t="s">
        <v>170</v>
      </c>
    </row>
    <row r="4328" spans="1:5" ht="30">
      <c r="A4328" s="254">
        <v>20234</v>
      </c>
      <c r="B4328" s="254" t="s">
        <v>25255</v>
      </c>
      <c r="C4328" s="254" t="s">
        <v>4521</v>
      </c>
      <c r="D4328" s="255" t="s">
        <v>15335</v>
      </c>
      <c r="E4328" s="253" t="s">
        <v>170</v>
      </c>
    </row>
    <row r="4329" spans="1:5" ht="15">
      <c r="A4329" s="254">
        <v>4763</v>
      </c>
      <c r="B4329" s="254" t="s">
        <v>25256</v>
      </c>
      <c r="C4329" s="254" t="s">
        <v>4520</v>
      </c>
      <c r="D4329" s="255" t="s">
        <v>20226</v>
      </c>
      <c r="E4329" s="253" t="s">
        <v>8722</v>
      </c>
    </row>
    <row r="4330" spans="1:5" ht="15">
      <c r="A4330" s="254">
        <v>41070</v>
      </c>
      <c r="B4330" s="254" t="s">
        <v>25257</v>
      </c>
      <c r="C4330" s="254" t="s">
        <v>4528</v>
      </c>
      <c r="D4330" s="255" t="s">
        <v>25258</v>
      </c>
      <c r="E4330" s="253" t="s">
        <v>8722</v>
      </c>
    </row>
    <row r="4331" spans="1:5" ht="15">
      <c r="A4331" s="254">
        <v>14583</v>
      </c>
      <c r="B4331" s="254" t="s">
        <v>25259</v>
      </c>
      <c r="C4331" s="254" t="s">
        <v>4522</v>
      </c>
      <c r="D4331" s="255" t="s">
        <v>16557</v>
      </c>
      <c r="E4331" s="253" t="s">
        <v>170</v>
      </c>
    </row>
    <row r="4332" spans="1:5" ht="15">
      <c r="A4332" s="254">
        <v>11457</v>
      </c>
      <c r="B4332" s="254" t="s">
        <v>25260</v>
      </c>
      <c r="C4332" s="254" t="s">
        <v>4521</v>
      </c>
      <c r="D4332" s="255" t="s">
        <v>16265</v>
      </c>
      <c r="E4332" s="253" t="s">
        <v>170</v>
      </c>
    </row>
    <row r="4333" spans="1:5" ht="15">
      <c r="A4333" s="254">
        <v>21121</v>
      </c>
      <c r="B4333" s="254" t="s">
        <v>25261</v>
      </c>
      <c r="C4333" s="254" t="s">
        <v>4521</v>
      </c>
      <c r="D4333" s="255" t="s">
        <v>14455</v>
      </c>
      <c r="E4333" s="253" t="s">
        <v>170</v>
      </c>
    </row>
    <row r="4334" spans="1:5" ht="15">
      <c r="A4334" s="254">
        <v>38010</v>
      </c>
      <c r="B4334" s="254" t="s">
        <v>25262</v>
      </c>
      <c r="C4334" s="254" t="s">
        <v>4521</v>
      </c>
      <c r="D4334" s="255" t="s">
        <v>14361</v>
      </c>
      <c r="E4334" s="253" t="s">
        <v>170</v>
      </c>
    </row>
    <row r="4335" spans="1:5" ht="15">
      <c r="A4335" s="254">
        <v>38011</v>
      </c>
      <c r="B4335" s="254" t="s">
        <v>25263</v>
      </c>
      <c r="C4335" s="254" t="s">
        <v>4521</v>
      </c>
      <c r="D4335" s="255" t="s">
        <v>17543</v>
      </c>
      <c r="E4335" s="253" t="s">
        <v>170</v>
      </c>
    </row>
    <row r="4336" spans="1:5" ht="15">
      <c r="A4336" s="254">
        <v>38012</v>
      </c>
      <c r="B4336" s="254" t="s">
        <v>25264</v>
      </c>
      <c r="C4336" s="254" t="s">
        <v>4521</v>
      </c>
      <c r="D4336" s="255" t="s">
        <v>20025</v>
      </c>
      <c r="E4336" s="253" t="s">
        <v>170</v>
      </c>
    </row>
    <row r="4337" spans="1:5" ht="15">
      <c r="A4337" s="254">
        <v>38013</v>
      </c>
      <c r="B4337" s="254" t="s">
        <v>25265</v>
      </c>
      <c r="C4337" s="254" t="s">
        <v>4521</v>
      </c>
      <c r="D4337" s="255" t="s">
        <v>21740</v>
      </c>
      <c r="E4337" s="253" t="s">
        <v>170</v>
      </c>
    </row>
    <row r="4338" spans="1:5" ht="15">
      <c r="A4338" s="254">
        <v>38014</v>
      </c>
      <c r="B4338" s="254" t="s">
        <v>25266</v>
      </c>
      <c r="C4338" s="254" t="s">
        <v>4521</v>
      </c>
      <c r="D4338" s="255" t="s">
        <v>25267</v>
      </c>
      <c r="E4338" s="253" t="s">
        <v>170</v>
      </c>
    </row>
    <row r="4339" spans="1:5" ht="15">
      <c r="A4339" s="254">
        <v>38015</v>
      </c>
      <c r="B4339" s="254" t="s">
        <v>25268</v>
      </c>
      <c r="C4339" s="254" t="s">
        <v>4521</v>
      </c>
      <c r="D4339" s="255" t="s">
        <v>13921</v>
      </c>
      <c r="E4339" s="253" t="s">
        <v>170</v>
      </c>
    </row>
    <row r="4340" spans="1:5" ht="15">
      <c r="A4340" s="254">
        <v>38016</v>
      </c>
      <c r="B4340" s="254" t="s">
        <v>25269</v>
      </c>
      <c r="C4340" s="254" t="s">
        <v>4521</v>
      </c>
      <c r="D4340" s="255" t="s">
        <v>25270</v>
      </c>
      <c r="E4340" s="253" t="s">
        <v>170</v>
      </c>
    </row>
    <row r="4341" spans="1:5" ht="15">
      <c r="A4341" s="254">
        <v>12741</v>
      </c>
      <c r="B4341" s="254" t="s">
        <v>25271</v>
      </c>
      <c r="C4341" s="254" t="s">
        <v>4521</v>
      </c>
      <c r="D4341" s="255" t="s">
        <v>25272</v>
      </c>
      <c r="E4341" s="253" t="s">
        <v>170</v>
      </c>
    </row>
    <row r="4342" spans="1:5" ht="15">
      <c r="A4342" s="254">
        <v>12733</v>
      </c>
      <c r="B4342" s="254" t="s">
        <v>25273</v>
      </c>
      <c r="C4342" s="254" t="s">
        <v>4521</v>
      </c>
      <c r="D4342" s="255" t="s">
        <v>14237</v>
      </c>
      <c r="E4342" s="253" t="s">
        <v>170</v>
      </c>
    </row>
    <row r="4343" spans="1:5" ht="15">
      <c r="A4343" s="254">
        <v>12734</v>
      </c>
      <c r="B4343" s="254" t="s">
        <v>25274</v>
      </c>
      <c r="C4343" s="254" t="s">
        <v>4521</v>
      </c>
      <c r="D4343" s="255" t="s">
        <v>15485</v>
      </c>
      <c r="E4343" s="253" t="s">
        <v>170</v>
      </c>
    </row>
    <row r="4344" spans="1:5" ht="15">
      <c r="A4344" s="254">
        <v>12735</v>
      </c>
      <c r="B4344" s="254" t="s">
        <v>25275</v>
      </c>
      <c r="C4344" s="254" t="s">
        <v>4521</v>
      </c>
      <c r="D4344" s="255" t="s">
        <v>15778</v>
      </c>
      <c r="E4344" s="253" t="s">
        <v>170</v>
      </c>
    </row>
    <row r="4345" spans="1:5" ht="15">
      <c r="A4345" s="254">
        <v>12736</v>
      </c>
      <c r="B4345" s="254" t="s">
        <v>25276</v>
      </c>
      <c r="C4345" s="254" t="s">
        <v>4521</v>
      </c>
      <c r="D4345" s="255" t="s">
        <v>23161</v>
      </c>
      <c r="E4345" s="253" t="s">
        <v>170</v>
      </c>
    </row>
    <row r="4346" spans="1:5" ht="15">
      <c r="A4346" s="254">
        <v>12737</v>
      </c>
      <c r="B4346" s="254" t="s">
        <v>25277</v>
      </c>
      <c r="C4346" s="254" t="s">
        <v>4521</v>
      </c>
      <c r="D4346" s="255" t="s">
        <v>25278</v>
      </c>
      <c r="E4346" s="253" t="s">
        <v>170</v>
      </c>
    </row>
    <row r="4347" spans="1:5" ht="15">
      <c r="A4347" s="254">
        <v>12738</v>
      </c>
      <c r="B4347" s="254" t="s">
        <v>25279</v>
      </c>
      <c r="C4347" s="254" t="s">
        <v>4521</v>
      </c>
      <c r="D4347" s="255" t="s">
        <v>25280</v>
      </c>
      <c r="E4347" s="253" t="s">
        <v>170</v>
      </c>
    </row>
    <row r="4348" spans="1:5" ht="15">
      <c r="A4348" s="254">
        <v>12739</v>
      </c>
      <c r="B4348" s="254" t="s">
        <v>25281</v>
      </c>
      <c r="C4348" s="254" t="s">
        <v>4521</v>
      </c>
      <c r="D4348" s="255" t="s">
        <v>25282</v>
      </c>
      <c r="E4348" s="253" t="s">
        <v>170</v>
      </c>
    </row>
    <row r="4349" spans="1:5" ht="15">
      <c r="A4349" s="254">
        <v>12740</v>
      </c>
      <c r="B4349" s="254" t="s">
        <v>25283</v>
      </c>
      <c r="C4349" s="254" t="s">
        <v>4521</v>
      </c>
      <c r="D4349" s="255" t="s">
        <v>25284</v>
      </c>
      <c r="E4349" s="253" t="s">
        <v>170</v>
      </c>
    </row>
    <row r="4350" spans="1:5" ht="15">
      <c r="A4350" s="254">
        <v>6297</v>
      </c>
      <c r="B4350" s="254" t="s">
        <v>25285</v>
      </c>
      <c r="C4350" s="254" t="s">
        <v>4521</v>
      </c>
      <c r="D4350" s="255" t="s">
        <v>14585</v>
      </c>
      <c r="E4350" s="253" t="s">
        <v>170</v>
      </c>
    </row>
    <row r="4351" spans="1:5" ht="15">
      <c r="A4351" s="254">
        <v>6296</v>
      </c>
      <c r="B4351" s="254" t="s">
        <v>25286</v>
      </c>
      <c r="C4351" s="254" t="s">
        <v>4521</v>
      </c>
      <c r="D4351" s="255" t="s">
        <v>18571</v>
      </c>
      <c r="E4351" s="253" t="s">
        <v>170</v>
      </c>
    </row>
    <row r="4352" spans="1:5" ht="15">
      <c r="A4352" s="254">
        <v>6294</v>
      </c>
      <c r="B4352" s="254" t="s">
        <v>25287</v>
      </c>
      <c r="C4352" s="254" t="s">
        <v>4521</v>
      </c>
      <c r="D4352" s="255" t="s">
        <v>17020</v>
      </c>
      <c r="E4352" s="253" t="s">
        <v>170</v>
      </c>
    </row>
    <row r="4353" spans="1:5" ht="15">
      <c r="A4353" s="254">
        <v>6323</v>
      </c>
      <c r="B4353" s="254" t="s">
        <v>25288</v>
      </c>
      <c r="C4353" s="254" t="s">
        <v>4521</v>
      </c>
      <c r="D4353" s="255" t="s">
        <v>25289</v>
      </c>
      <c r="E4353" s="253" t="s">
        <v>170</v>
      </c>
    </row>
    <row r="4354" spans="1:5" ht="15">
      <c r="A4354" s="254">
        <v>6299</v>
      </c>
      <c r="B4354" s="254" t="s">
        <v>25290</v>
      </c>
      <c r="C4354" s="254" t="s">
        <v>4521</v>
      </c>
      <c r="D4354" s="255" t="s">
        <v>25291</v>
      </c>
      <c r="E4354" s="253" t="s">
        <v>170</v>
      </c>
    </row>
    <row r="4355" spans="1:5" ht="15">
      <c r="A4355" s="254">
        <v>6298</v>
      </c>
      <c r="B4355" s="254" t="s">
        <v>25292</v>
      </c>
      <c r="C4355" s="254" t="s">
        <v>4521</v>
      </c>
      <c r="D4355" s="255" t="s">
        <v>17036</v>
      </c>
      <c r="E4355" s="253" t="s">
        <v>170</v>
      </c>
    </row>
    <row r="4356" spans="1:5" ht="15">
      <c r="A4356" s="254">
        <v>6295</v>
      </c>
      <c r="B4356" s="254" t="s">
        <v>25293</v>
      </c>
      <c r="C4356" s="254" t="s">
        <v>4521</v>
      </c>
      <c r="D4356" s="255" t="s">
        <v>13542</v>
      </c>
      <c r="E4356" s="253" t="s">
        <v>170</v>
      </c>
    </row>
    <row r="4357" spans="1:5" ht="15">
      <c r="A4357" s="254">
        <v>6322</v>
      </c>
      <c r="B4357" s="254" t="s">
        <v>25294</v>
      </c>
      <c r="C4357" s="254" t="s">
        <v>4521</v>
      </c>
      <c r="D4357" s="255" t="s">
        <v>25295</v>
      </c>
      <c r="E4357" s="253" t="s">
        <v>170</v>
      </c>
    </row>
    <row r="4358" spans="1:5" ht="15">
      <c r="A4358" s="254">
        <v>6300</v>
      </c>
      <c r="B4358" s="254" t="s">
        <v>25296</v>
      </c>
      <c r="C4358" s="254" t="s">
        <v>4521</v>
      </c>
      <c r="D4358" s="255" t="s">
        <v>25297</v>
      </c>
      <c r="E4358" s="253" t="s">
        <v>170</v>
      </c>
    </row>
    <row r="4359" spans="1:5" ht="15">
      <c r="A4359" s="254">
        <v>6321</v>
      </c>
      <c r="B4359" s="254" t="s">
        <v>25298</v>
      </c>
      <c r="C4359" s="254" t="s">
        <v>4521</v>
      </c>
      <c r="D4359" s="255" t="s">
        <v>25299</v>
      </c>
      <c r="E4359" s="253" t="s">
        <v>170</v>
      </c>
    </row>
    <row r="4360" spans="1:5" ht="15">
      <c r="A4360" s="254">
        <v>6301</v>
      </c>
      <c r="B4360" s="254" t="s">
        <v>25300</v>
      </c>
      <c r="C4360" s="254" t="s">
        <v>4521</v>
      </c>
      <c r="D4360" s="255" t="s">
        <v>25301</v>
      </c>
      <c r="E4360" s="253" t="s">
        <v>170</v>
      </c>
    </row>
    <row r="4361" spans="1:5" ht="15">
      <c r="A4361" s="254">
        <v>7105</v>
      </c>
      <c r="B4361" s="254" t="s">
        <v>25302</v>
      </c>
      <c r="C4361" s="254" t="s">
        <v>4521</v>
      </c>
      <c r="D4361" s="255" t="s">
        <v>17853</v>
      </c>
      <c r="E4361" s="253" t="s">
        <v>170</v>
      </c>
    </row>
    <row r="4362" spans="1:5" ht="15">
      <c r="A4362" s="254">
        <v>20183</v>
      </c>
      <c r="B4362" s="254" t="s">
        <v>25303</v>
      </c>
      <c r="C4362" s="254" t="s">
        <v>4521</v>
      </c>
      <c r="D4362" s="255" t="s">
        <v>22021</v>
      </c>
      <c r="E4362" s="253" t="s">
        <v>170</v>
      </c>
    </row>
    <row r="4363" spans="1:5" ht="15">
      <c r="A4363" s="254">
        <v>38448</v>
      </c>
      <c r="B4363" s="254" t="s">
        <v>25304</v>
      </c>
      <c r="C4363" s="254" t="s">
        <v>4521</v>
      </c>
      <c r="D4363" s="255" t="s">
        <v>25305</v>
      </c>
      <c r="E4363" s="253" t="s">
        <v>170</v>
      </c>
    </row>
    <row r="4364" spans="1:5" ht="15">
      <c r="A4364" s="254">
        <v>20182</v>
      </c>
      <c r="B4364" s="254" t="s">
        <v>25306</v>
      </c>
      <c r="C4364" s="254" t="s">
        <v>4521</v>
      </c>
      <c r="D4364" s="255" t="s">
        <v>16493</v>
      </c>
      <c r="E4364" s="253" t="s">
        <v>170</v>
      </c>
    </row>
    <row r="4365" spans="1:5" ht="15">
      <c r="A4365" s="254">
        <v>7119</v>
      </c>
      <c r="B4365" s="254" t="s">
        <v>25307</v>
      </c>
      <c r="C4365" s="254" t="s">
        <v>4521</v>
      </c>
      <c r="D4365" s="255" t="s">
        <v>15463</v>
      </c>
      <c r="E4365" s="253" t="s">
        <v>170</v>
      </c>
    </row>
    <row r="4366" spans="1:5" ht="15">
      <c r="A4366" s="254">
        <v>7120</v>
      </c>
      <c r="B4366" s="254" t="s">
        <v>25308</v>
      </c>
      <c r="C4366" s="254" t="s">
        <v>4521</v>
      </c>
      <c r="D4366" s="255" t="s">
        <v>16661</v>
      </c>
      <c r="E4366" s="253" t="s">
        <v>170</v>
      </c>
    </row>
    <row r="4367" spans="1:5" ht="15">
      <c r="A4367" s="254">
        <v>6319</v>
      </c>
      <c r="B4367" s="254" t="s">
        <v>25309</v>
      </c>
      <c r="C4367" s="254" t="s">
        <v>4521</v>
      </c>
      <c r="D4367" s="255" t="s">
        <v>25310</v>
      </c>
      <c r="E4367" s="253" t="s">
        <v>170</v>
      </c>
    </row>
    <row r="4368" spans="1:5" ht="15">
      <c r="A4368" s="254">
        <v>6304</v>
      </c>
      <c r="B4368" s="254" t="s">
        <v>25311</v>
      </c>
      <c r="C4368" s="254" t="s">
        <v>4521</v>
      </c>
      <c r="D4368" s="256" t="s">
        <v>25310</v>
      </c>
      <c r="E4368" s="253" t="s">
        <v>170</v>
      </c>
    </row>
    <row r="4369" spans="1:5" ht="15">
      <c r="A4369" s="254">
        <v>21116</v>
      </c>
      <c r="B4369" s="254" t="s">
        <v>25312</v>
      </c>
      <c r="C4369" s="254" t="s">
        <v>4521</v>
      </c>
      <c r="D4369" s="255" t="s">
        <v>21250</v>
      </c>
      <c r="E4369" s="253" t="s">
        <v>170</v>
      </c>
    </row>
    <row r="4370" spans="1:5" ht="15">
      <c r="A4370" s="254">
        <v>6320</v>
      </c>
      <c r="B4370" s="254" t="s">
        <v>25313</v>
      </c>
      <c r="C4370" s="254" t="s">
        <v>4521</v>
      </c>
      <c r="D4370" s="255" t="s">
        <v>18621</v>
      </c>
      <c r="E4370" s="253" t="s">
        <v>170</v>
      </c>
    </row>
    <row r="4371" spans="1:5" ht="15">
      <c r="A4371" s="254">
        <v>6303</v>
      </c>
      <c r="B4371" s="254" t="s">
        <v>25314</v>
      </c>
      <c r="C4371" s="254" t="s">
        <v>4521</v>
      </c>
      <c r="D4371" s="255" t="s">
        <v>18621</v>
      </c>
      <c r="E4371" s="253" t="s">
        <v>170</v>
      </c>
    </row>
    <row r="4372" spans="1:5" ht="15">
      <c r="A4372" s="254">
        <v>6308</v>
      </c>
      <c r="B4372" s="254" t="s">
        <v>25315</v>
      </c>
      <c r="C4372" s="254" t="s">
        <v>4521</v>
      </c>
      <c r="D4372" s="255" t="s">
        <v>16793</v>
      </c>
      <c r="E4372" s="253" t="s">
        <v>170</v>
      </c>
    </row>
    <row r="4373" spans="1:5" ht="15">
      <c r="A4373" s="254">
        <v>6317</v>
      </c>
      <c r="B4373" s="254" t="s">
        <v>25316</v>
      </c>
      <c r="C4373" s="254" t="s">
        <v>4521</v>
      </c>
      <c r="D4373" s="255" t="s">
        <v>16793</v>
      </c>
      <c r="E4373" s="253" t="s">
        <v>170</v>
      </c>
    </row>
    <row r="4374" spans="1:5" ht="15">
      <c r="A4374" s="254">
        <v>6307</v>
      </c>
      <c r="B4374" s="254" t="s">
        <v>25317</v>
      </c>
      <c r="C4374" s="254" t="s">
        <v>4521</v>
      </c>
      <c r="D4374" s="255" t="s">
        <v>16793</v>
      </c>
      <c r="E4374" s="253" t="s">
        <v>170</v>
      </c>
    </row>
    <row r="4375" spans="1:5" ht="15">
      <c r="A4375" s="254">
        <v>6309</v>
      </c>
      <c r="B4375" s="254" t="s">
        <v>25318</v>
      </c>
      <c r="C4375" s="254" t="s">
        <v>4521</v>
      </c>
      <c r="D4375" s="255" t="s">
        <v>25319</v>
      </c>
      <c r="E4375" s="253" t="s">
        <v>170</v>
      </c>
    </row>
    <row r="4376" spans="1:5" ht="15">
      <c r="A4376" s="254">
        <v>6318</v>
      </c>
      <c r="B4376" s="254" t="s">
        <v>25320</v>
      </c>
      <c r="C4376" s="254" t="s">
        <v>4521</v>
      </c>
      <c r="D4376" s="255" t="s">
        <v>25321</v>
      </c>
      <c r="E4376" s="253" t="s">
        <v>170</v>
      </c>
    </row>
    <row r="4377" spans="1:5" ht="15">
      <c r="A4377" s="254">
        <v>6306</v>
      </c>
      <c r="B4377" s="254" t="s">
        <v>25322</v>
      </c>
      <c r="C4377" s="254" t="s">
        <v>4521</v>
      </c>
      <c r="D4377" s="255" t="s">
        <v>25321</v>
      </c>
      <c r="E4377" s="253" t="s">
        <v>170</v>
      </c>
    </row>
    <row r="4378" spans="1:5" ht="15">
      <c r="A4378" s="254">
        <v>6305</v>
      </c>
      <c r="B4378" s="254" t="s">
        <v>25323</v>
      </c>
      <c r="C4378" s="254" t="s">
        <v>4521</v>
      </c>
      <c r="D4378" s="255" t="s">
        <v>25321</v>
      </c>
      <c r="E4378" s="253" t="s">
        <v>170</v>
      </c>
    </row>
    <row r="4379" spans="1:5" ht="15">
      <c r="A4379" s="254">
        <v>6302</v>
      </c>
      <c r="B4379" s="254" t="s">
        <v>25324</v>
      </c>
      <c r="C4379" s="254" t="s">
        <v>4521</v>
      </c>
      <c r="D4379" s="255" t="s">
        <v>15777</v>
      </c>
      <c r="E4379" s="253" t="s">
        <v>170</v>
      </c>
    </row>
    <row r="4380" spans="1:5" ht="15">
      <c r="A4380" s="254">
        <v>6312</v>
      </c>
      <c r="B4380" s="254" t="s">
        <v>25325</v>
      </c>
      <c r="C4380" s="254" t="s">
        <v>4521</v>
      </c>
      <c r="D4380" s="255" t="s">
        <v>25157</v>
      </c>
      <c r="E4380" s="253" t="s">
        <v>170</v>
      </c>
    </row>
    <row r="4381" spans="1:5" ht="15">
      <c r="A4381" s="254">
        <v>6311</v>
      </c>
      <c r="B4381" s="254" t="s">
        <v>25326</v>
      </c>
      <c r="C4381" s="254" t="s">
        <v>4521</v>
      </c>
      <c r="D4381" s="255" t="s">
        <v>25157</v>
      </c>
      <c r="E4381" s="253" t="s">
        <v>170</v>
      </c>
    </row>
    <row r="4382" spans="1:5" ht="15">
      <c r="A4382" s="254">
        <v>6310</v>
      </c>
      <c r="B4382" s="254" t="s">
        <v>25327</v>
      </c>
      <c r="C4382" s="254" t="s">
        <v>4521</v>
      </c>
      <c r="D4382" s="255" t="s">
        <v>25157</v>
      </c>
      <c r="E4382" s="253" t="s">
        <v>170</v>
      </c>
    </row>
    <row r="4383" spans="1:5" ht="15">
      <c r="A4383" s="254">
        <v>6314</v>
      </c>
      <c r="B4383" s="254" t="s">
        <v>25328</v>
      </c>
      <c r="C4383" s="254" t="s">
        <v>4521</v>
      </c>
      <c r="D4383" s="255" t="s">
        <v>25157</v>
      </c>
      <c r="E4383" s="253" t="s">
        <v>170</v>
      </c>
    </row>
    <row r="4384" spans="1:5" ht="15">
      <c r="A4384" s="254">
        <v>6313</v>
      </c>
      <c r="B4384" s="254" t="s">
        <v>25329</v>
      </c>
      <c r="C4384" s="254" t="s">
        <v>4521</v>
      </c>
      <c r="D4384" s="255" t="s">
        <v>25157</v>
      </c>
      <c r="E4384" s="253" t="s">
        <v>170</v>
      </c>
    </row>
    <row r="4385" spans="1:5" ht="15">
      <c r="A4385" s="254">
        <v>6315</v>
      </c>
      <c r="B4385" s="254" t="s">
        <v>25330</v>
      </c>
      <c r="C4385" s="254" t="s">
        <v>4521</v>
      </c>
      <c r="D4385" s="255" t="s">
        <v>25331</v>
      </c>
      <c r="E4385" s="253" t="s">
        <v>170</v>
      </c>
    </row>
    <row r="4386" spans="1:5" ht="15">
      <c r="A4386" s="254">
        <v>6316</v>
      </c>
      <c r="B4386" s="254" t="s">
        <v>25332</v>
      </c>
      <c r="C4386" s="254" t="s">
        <v>4521</v>
      </c>
      <c r="D4386" s="255" t="s">
        <v>25331</v>
      </c>
      <c r="E4386" s="253" t="s">
        <v>170</v>
      </c>
    </row>
    <row r="4387" spans="1:5" ht="30">
      <c r="A4387" s="254">
        <v>38878</v>
      </c>
      <c r="B4387" s="254" t="s">
        <v>25333</v>
      </c>
      <c r="C4387" s="254" t="s">
        <v>4521</v>
      </c>
      <c r="D4387" s="255" t="s">
        <v>18028</v>
      </c>
      <c r="E4387" s="253" t="s">
        <v>170</v>
      </c>
    </row>
    <row r="4388" spans="1:5" ht="30">
      <c r="A4388" s="254">
        <v>38879</v>
      </c>
      <c r="B4388" s="254" t="s">
        <v>25334</v>
      </c>
      <c r="C4388" s="254" t="s">
        <v>4521</v>
      </c>
      <c r="D4388" s="255" t="s">
        <v>17959</v>
      </c>
      <c r="E4388" s="253" t="s">
        <v>170</v>
      </c>
    </row>
    <row r="4389" spans="1:5" ht="30">
      <c r="A4389" s="254">
        <v>38881</v>
      </c>
      <c r="B4389" s="254" t="s">
        <v>25335</v>
      </c>
      <c r="C4389" s="254" t="s">
        <v>4521</v>
      </c>
      <c r="D4389" s="255" t="s">
        <v>25336</v>
      </c>
      <c r="E4389" s="253" t="s">
        <v>170</v>
      </c>
    </row>
    <row r="4390" spans="1:5" ht="30">
      <c r="A4390" s="254">
        <v>38880</v>
      </c>
      <c r="B4390" s="254" t="s">
        <v>25337</v>
      </c>
      <c r="C4390" s="254" t="s">
        <v>4521</v>
      </c>
      <c r="D4390" s="255" t="s">
        <v>15450</v>
      </c>
      <c r="E4390" s="253" t="s">
        <v>170</v>
      </c>
    </row>
    <row r="4391" spans="1:5" ht="30">
      <c r="A4391" s="254">
        <v>38882</v>
      </c>
      <c r="B4391" s="254" t="s">
        <v>25338</v>
      </c>
      <c r="C4391" s="254" t="s">
        <v>4521</v>
      </c>
      <c r="D4391" s="255" t="s">
        <v>25339</v>
      </c>
      <c r="E4391" s="253" t="s">
        <v>170</v>
      </c>
    </row>
    <row r="4392" spans="1:5" ht="30">
      <c r="A4392" s="254">
        <v>38883</v>
      </c>
      <c r="B4392" s="254" t="s">
        <v>25340</v>
      </c>
      <c r="C4392" s="254" t="s">
        <v>4521</v>
      </c>
      <c r="D4392" s="255" t="s">
        <v>13691</v>
      </c>
      <c r="E4392" s="253" t="s">
        <v>170</v>
      </c>
    </row>
    <row r="4393" spans="1:5" ht="30">
      <c r="A4393" s="254">
        <v>38884</v>
      </c>
      <c r="B4393" s="254" t="s">
        <v>25341</v>
      </c>
      <c r="C4393" s="254" t="s">
        <v>4521</v>
      </c>
      <c r="D4393" s="255" t="s">
        <v>18561</v>
      </c>
      <c r="E4393" s="253" t="s">
        <v>170</v>
      </c>
    </row>
    <row r="4394" spans="1:5" ht="30">
      <c r="A4394" s="254">
        <v>38885</v>
      </c>
      <c r="B4394" s="254" t="s">
        <v>25342</v>
      </c>
      <c r="C4394" s="254" t="s">
        <v>4521</v>
      </c>
      <c r="D4394" s="255" t="s">
        <v>15978</v>
      </c>
      <c r="E4394" s="253" t="s">
        <v>170</v>
      </c>
    </row>
    <row r="4395" spans="1:5" ht="30">
      <c r="A4395" s="254">
        <v>38886</v>
      </c>
      <c r="B4395" s="254" t="s">
        <v>25343</v>
      </c>
      <c r="C4395" s="254" t="s">
        <v>4521</v>
      </c>
      <c r="D4395" s="255" t="s">
        <v>22766</v>
      </c>
      <c r="E4395" s="253" t="s">
        <v>170</v>
      </c>
    </row>
    <row r="4396" spans="1:5" ht="30">
      <c r="A4396" s="254">
        <v>38887</v>
      </c>
      <c r="B4396" s="254" t="s">
        <v>25344</v>
      </c>
      <c r="C4396" s="254" t="s">
        <v>4521</v>
      </c>
      <c r="D4396" s="255" t="s">
        <v>16650</v>
      </c>
      <c r="E4396" s="253" t="s">
        <v>170</v>
      </c>
    </row>
    <row r="4397" spans="1:5" ht="30">
      <c r="A4397" s="254">
        <v>38888</v>
      </c>
      <c r="B4397" s="254" t="s">
        <v>25345</v>
      </c>
      <c r="C4397" s="254" t="s">
        <v>4521</v>
      </c>
      <c r="D4397" s="255" t="s">
        <v>18882</v>
      </c>
      <c r="E4397" s="253" t="s">
        <v>170</v>
      </c>
    </row>
    <row r="4398" spans="1:5" ht="30">
      <c r="A4398" s="254">
        <v>38890</v>
      </c>
      <c r="B4398" s="254" t="s">
        <v>25346</v>
      </c>
      <c r="C4398" s="254" t="s">
        <v>4521</v>
      </c>
      <c r="D4398" s="255" t="s">
        <v>25347</v>
      </c>
      <c r="E4398" s="253" t="s">
        <v>170</v>
      </c>
    </row>
    <row r="4399" spans="1:5" ht="30">
      <c r="A4399" s="254">
        <v>38893</v>
      </c>
      <c r="B4399" s="254" t="s">
        <v>25348</v>
      </c>
      <c r="C4399" s="254" t="s">
        <v>4521</v>
      </c>
      <c r="D4399" s="255" t="s">
        <v>25349</v>
      </c>
      <c r="E4399" s="253" t="s">
        <v>170</v>
      </c>
    </row>
    <row r="4400" spans="1:5" ht="30">
      <c r="A4400" s="254">
        <v>38894</v>
      </c>
      <c r="B4400" s="254" t="s">
        <v>25350</v>
      </c>
      <c r="C4400" s="254" t="s">
        <v>4521</v>
      </c>
      <c r="D4400" s="255" t="s">
        <v>16008</v>
      </c>
      <c r="E4400" s="253" t="s">
        <v>170</v>
      </c>
    </row>
    <row r="4401" spans="1:5" ht="30">
      <c r="A4401" s="254">
        <v>38896</v>
      </c>
      <c r="B4401" s="254" t="s">
        <v>25351</v>
      </c>
      <c r="C4401" s="254" t="s">
        <v>4521</v>
      </c>
      <c r="D4401" s="255" t="s">
        <v>16647</v>
      </c>
      <c r="E4401" s="253" t="s">
        <v>170</v>
      </c>
    </row>
    <row r="4402" spans="1:5" ht="15">
      <c r="A4402" s="254">
        <v>39324</v>
      </c>
      <c r="B4402" s="254" t="s">
        <v>25352</v>
      </c>
      <c r="C4402" s="254" t="s">
        <v>4521</v>
      </c>
      <c r="D4402" s="255" t="s">
        <v>14020</v>
      </c>
      <c r="E4402" s="253" t="s">
        <v>170</v>
      </c>
    </row>
    <row r="4403" spans="1:5" ht="15">
      <c r="A4403" s="254">
        <v>39325</v>
      </c>
      <c r="B4403" s="254" t="s">
        <v>25353</v>
      </c>
      <c r="C4403" s="254" t="s">
        <v>4521</v>
      </c>
      <c r="D4403" s="255" t="s">
        <v>14195</v>
      </c>
      <c r="E4403" s="253" t="s">
        <v>170</v>
      </c>
    </row>
    <row r="4404" spans="1:5" ht="15">
      <c r="A4404" s="254">
        <v>39326</v>
      </c>
      <c r="B4404" s="254" t="s">
        <v>25354</v>
      </c>
      <c r="C4404" s="254" t="s">
        <v>4521</v>
      </c>
      <c r="D4404" s="255" t="s">
        <v>25355</v>
      </c>
      <c r="E4404" s="253" t="s">
        <v>170</v>
      </c>
    </row>
    <row r="4405" spans="1:5" ht="15">
      <c r="A4405" s="254">
        <v>39327</v>
      </c>
      <c r="B4405" s="254" t="s">
        <v>25356</v>
      </c>
      <c r="C4405" s="254" t="s">
        <v>4521</v>
      </c>
      <c r="D4405" s="255" t="s">
        <v>22944</v>
      </c>
      <c r="E4405" s="253" t="s">
        <v>170</v>
      </c>
    </row>
    <row r="4406" spans="1:5" ht="30">
      <c r="A4406" s="254">
        <v>20176</v>
      </c>
      <c r="B4406" s="254" t="s">
        <v>25357</v>
      </c>
      <c r="C4406" s="254" t="s">
        <v>4521</v>
      </c>
      <c r="D4406" s="255" t="s">
        <v>14452</v>
      </c>
      <c r="E4406" s="253" t="s">
        <v>170</v>
      </c>
    </row>
    <row r="4407" spans="1:5" ht="30">
      <c r="A4407" s="254">
        <v>11378</v>
      </c>
      <c r="B4407" s="254" t="s">
        <v>25358</v>
      </c>
      <c r="C4407" s="254" t="s">
        <v>4521</v>
      </c>
      <c r="D4407" s="255" t="s">
        <v>22153</v>
      </c>
      <c r="E4407" s="253" t="s">
        <v>170</v>
      </c>
    </row>
    <row r="4408" spans="1:5" ht="30">
      <c r="A4408" s="254">
        <v>11379</v>
      </c>
      <c r="B4408" s="254" t="s">
        <v>25359</v>
      </c>
      <c r="C4408" s="254" t="s">
        <v>4521</v>
      </c>
      <c r="D4408" s="255" t="s">
        <v>18486</v>
      </c>
      <c r="E4408" s="253" t="s">
        <v>170</v>
      </c>
    </row>
    <row r="4409" spans="1:5" ht="30">
      <c r="A4409" s="254">
        <v>11493</v>
      </c>
      <c r="B4409" s="254" t="s">
        <v>25360</v>
      </c>
      <c r="C4409" s="254" t="s">
        <v>4521</v>
      </c>
      <c r="D4409" s="255" t="s">
        <v>16115</v>
      </c>
      <c r="E4409" s="253" t="s">
        <v>170</v>
      </c>
    </row>
    <row r="4410" spans="1:5" ht="30">
      <c r="A4410" s="254">
        <v>42717</v>
      </c>
      <c r="B4410" s="254" t="s">
        <v>25361</v>
      </c>
      <c r="C4410" s="254" t="s">
        <v>4521</v>
      </c>
      <c r="D4410" s="255" t="s">
        <v>25362</v>
      </c>
      <c r="E4410" s="253" t="s">
        <v>170</v>
      </c>
    </row>
    <row r="4411" spans="1:5" ht="30">
      <c r="A4411" s="254">
        <v>42718</v>
      </c>
      <c r="B4411" s="254" t="s">
        <v>25363</v>
      </c>
      <c r="C4411" s="254" t="s">
        <v>4521</v>
      </c>
      <c r="D4411" s="255" t="s">
        <v>25364</v>
      </c>
      <c r="E4411" s="253" t="s">
        <v>170</v>
      </c>
    </row>
    <row r="4412" spans="1:5" ht="30">
      <c r="A4412" s="254">
        <v>7106</v>
      </c>
      <c r="B4412" s="254" t="s">
        <v>25365</v>
      </c>
      <c r="C4412" s="254" t="s">
        <v>4521</v>
      </c>
      <c r="D4412" s="255" t="s">
        <v>25366</v>
      </c>
      <c r="E4412" s="253" t="s">
        <v>170</v>
      </c>
    </row>
    <row r="4413" spans="1:5" ht="30">
      <c r="A4413" s="254">
        <v>7104</v>
      </c>
      <c r="B4413" s="254" t="s">
        <v>25367</v>
      </c>
      <c r="C4413" s="254" t="s">
        <v>4521</v>
      </c>
      <c r="D4413" s="255" t="s">
        <v>22724</v>
      </c>
      <c r="E4413" s="253" t="s">
        <v>170</v>
      </c>
    </row>
    <row r="4414" spans="1:5" ht="30">
      <c r="A4414" s="254">
        <v>7136</v>
      </c>
      <c r="B4414" s="254" t="s">
        <v>25368</v>
      </c>
      <c r="C4414" s="254" t="s">
        <v>4521</v>
      </c>
      <c r="D4414" s="255" t="s">
        <v>18136</v>
      </c>
      <c r="E4414" s="253" t="s">
        <v>170</v>
      </c>
    </row>
    <row r="4415" spans="1:5" ht="30">
      <c r="A4415" s="254">
        <v>7128</v>
      </c>
      <c r="B4415" s="254" t="s">
        <v>25369</v>
      </c>
      <c r="C4415" s="254" t="s">
        <v>4521</v>
      </c>
      <c r="D4415" s="255" t="s">
        <v>15216</v>
      </c>
      <c r="E4415" s="253" t="s">
        <v>170</v>
      </c>
    </row>
    <row r="4416" spans="1:5" ht="30">
      <c r="A4416" s="254">
        <v>7108</v>
      </c>
      <c r="B4416" s="254" t="s">
        <v>25370</v>
      </c>
      <c r="C4416" s="254" t="s">
        <v>4521</v>
      </c>
      <c r="D4416" s="255" t="s">
        <v>24751</v>
      </c>
      <c r="E4416" s="253" t="s">
        <v>170</v>
      </c>
    </row>
    <row r="4417" spans="1:5" ht="30">
      <c r="A4417" s="254">
        <v>7129</v>
      </c>
      <c r="B4417" s="254" t="s">
        <v>25371</v>
      </c>
      <c r="C4417" s="254" t="s">
        <v>4521</v>
      </c>
      <c r="D4417" s="255" t="s">
        <v>13634</v>
      </c>
      <c r="E4417" s="253" t="s">
        <v>170</v>
      </c>
    </row>
    <row r="4418" spans="1:5" ht="30">
      <c r="A4418" s="254">
        <v>7130</v>
      </c>
      <c r="B4418" s="254" t="s">
        <v>25372</v>
      </c>
      <c r="C4418" s="254" t="s">
        <v>4521</v>
      </c>
      <c r="D4418" s="255" t="s">
        <v>15870</v>
      </c>
      <c r="E4418" s="253" t="s">
        <v>170</v>
      </c>
    </row>
    <row r="4419" spans="1:5" ht="30">
      <c r="A4419" s="254">
        <v>7131</v>
      </c>
      <c r="B4419" s="254" t="s">
        <v>25373</v>
      </c>
      <c r="C4419" s="254" t="s">
        <v>4521</v>
      </c>
      <c r="D4419" s="255" t="s">
        <v>25374</v>
      </c>
      <c r="E4419" s="253" t="s">
        <v>170</v>
      </c>
    </row>
    <row r="4420" spans="1:5" ht="30">
      <c r="A4420" s="254">
        <v>7132</v>
      </c>
      <c r="B4420" s="254" t="s">
        <v>25375</v>
      </c>
      <c r="C4420" s="254" t="s">
        <v>4521</v>
      </c>
      <c r="D4420" s="255" t="s">
        <v>25376</v>
      </c>
      <c r="E4420" s="253" t="s">
        <v>170</v>
      </c>
    </row>
    <row r="4421" spans="1:5" ht="30">
      <c r="A4421" s="254">
        <v>7133</v>
      </c>
      <c r="B4421" s="254" t="s">
        <v>25377</v>
      </c>
      <c r="C4421" s="254" t="s">
        <v>4521</v>
      </c>
      <c r="D4421" s="255" t="s">
        <v>17750</v>
      </c>
      <c r="E4421" s="253" t="s">
        <v>170</v>
      </c>
    </row>
    <row r="4422" spans="1:5" ht="30">
      <c r="A4422" s="254">
        <v>37420</v>
      </c>
      <c r="B4422" s="254" t="s">
        <v>25378</v>
      </c>
      <c r="C4422" s="254" t="s">
        <v>4521</v>
      </c>
      <c r="D4422" s="255" t="s">
        <v>19308</v>
      </c>
      <c r="E4422" s="253" t="s">
        <v>170</v>
      </c>
    </row>
    <row r="4423" spans="1:5" ht="30">
      <c r="A4423" s="254">
        <v>37421</v>
      </c>
      <c r="B4423" s="254" t="s">
        <v>25379</v>
      </c>
      <c r="C4423" s="254" t="s">
        <v>4521</v>
      </c>
      <c r="D4423" s="255" t="s">
        <v>23693</v>
      </c>
      <c r="E4423" s="253" t="s">
        <v>170</v>
      </c>
    </row>
    <row r="4424" spans="1:5" ht="30">
      <c r="A4424" s="254">
        <v>37422</v>
      </c>
      <c r="B4424" s="254" t="s">
        <v>25380</v>
      </c>
      <c r="C4424" s="254" t="s">
        <v>4521</v>
      </c>
      <c r="D4424" s="255" t="s">
        <v>23814</v>
      </c>
      <c r="E4424" s="253" t="s">
        <v>170</v>
      </c>
    </row>
    <row r="4425" spans="1:5" ht="15">
      <c r="A4425" s="254">
        <v>37443</v>
      </c>
      <c r="B4425" s="254" t="s">
        <v>25381</v>
      </c>
      <c r="C4425" s="254" t="s">
        <v>4521</v>
      </c>
      <c r="D4425" s="255" t="s">
        <v>25382</v>
      </c>
      <c r="E4425" s="253" t="s">
        <v>170</v>
      </c>
    </row>
    <row r="4426" spans="1:5" ht="15">
      <c r="A4426" s="254">
        <v>37444</v>
      </c>
      <c r="B4426" s="254" t="s">
        <v>25383</v>
      </c>
      <c r="C4426" s="254" t="s">
        <v>4521</v>
      </c>
      <c r="D4426" s="255" t="s">
        <v>14158</v>
      </c>
      <c r="E4426" s="253" t="s">
        <v>170</v>
      </c>
    </row>
    <row r="4427" spans="1:5" ht="15">
      <c r="A4427" s="254">
        <v>37445</v>
      </c>
      <c r="B4427" s="254" t="s">
        <v>25384</v>
      </c>
      <c r="C4427" s="254" t="s">
        <v>4521</v>
      </c>
      <c r="D4427" s="255" t="s">
        <v>25385</v>
      </c>
      <c r="E4427" s="253" t="s">
        <v>170</v>
      </c>
    </row>
    <row r="4428" spans="1:5" ht="15">
      <c r="A4428" s="254">
        <v>37446</v>
      </c>
      <c r="B4428" s="254" t="s">
        <v>25386</v>
      </c>
      <c r="C4428" s="254" t="s">
        <v>4521</v>
      </c>
      <c r="D4428" s="255" t="s">
        <v>25387</v>
      </c>
      <c r="E4428" s="253" t="s">
        <v>170</v>
      </c>
    </row>
    <row r="4429" spans="1:5" ht="15">
      <c r="A4429" s="254">
        <v>37447</v>
      </c>
      <c r="B4429" s="254" t="s">
        <v>25388</v>
      </c>
      <c r="C4429" s="254" t="s">
        <v>4521</v>
      </c>
      <c r="D4429" s="255" t="s">
        <v>25389</v>
      </c>
      <c r="E4429" s="253" t="s">
        <v>170</v>
      </c>
    </row>
    <row r="4430" spans="1:5" ht="15">
      <c r="A4430" s="254">
        <v>37448</v>
      </c>
      <c r="B4430" s="254" t="s">
        <v>25390</v>
      </c>
      <c r="C4430" s="254" t="s">
        <v>4521</v>
      </c>
      <c r="D4430" s="255" t="s">
        <v>24509</v>
      </c>
      <c r="E4430" s="253" t="s">
        <v>170</v>
      </c>
    </row>
    <row r="4431" spans="1:5" ht="15">
      <c r="A4431" s="254">
        <v>37440</v>
      </c>
      <c r="B4431" s="254" t="s">
        <v>25391</v>
      </c>
      <c r="C4431" s="254" t="s">
        <v>4521</v>
      </c>
      <c r="D4431" s="255" t="s">
        <v>25392</v>
      </c>
      <c r="E4431" s="253" t="s">
        <v>170</v>
      </c>
    </row>
    <row r="4432" spans="1:5" ht="15">
      <c r="A4432" s="254">
        <v>37441</v>
      </c>
      <c r="B4432" s="254" t="s">
        <v>25393</v>
      </c>
      <c r="C4432" s="254" t="s">
        <v>4521</v>
      </c>
      <c r="D4432" s="255" t="s">
        <v>25392</v>
      </c>
      <c r="E4432" s="253" t="s">
        <v>170</v>
      </c>
    </row>
    <row r="4433" spans="1:5" ht="15">
      <c r="A4433" s="254">
        <v>37442</v>
      </c>
      <c r="B4433" s="254" t="s">
        <v>25394</v>
      </c>
      <c r="C4433" s="254" t="s">
        <v>4521</v>
      </c>
      <c r="D4433" s="255" t="s">
        <v>25395</v>
      </c>
      <c r="E4433" s="253" t="s">
        <v>170</v>
      </c>
    </row>
    <row r="4434" spans="1:5" ht="15">
      <c r="A4434" s="254">
        <v>38017</v>
      </c>
      <c r="B4434" s="254" t="s">
        <v>25396</v>
      </c>
      <c r="C4434" s="254" t="s">
        <v>4521</v>
      </c>
      <c r="D4434" s="255" t="s">
        <v>14439</v>
      </c>
      <c r="E4434" s="253" t="s">
        <v>170</v>
      </c>
    </row>
    <row r="4435" spans="1:5" ht="15">
      <c r="A4435" s="254">
        <v>38018</v>
      </c>
      <c r="B4435" s="254" t="s">
        <v>25397</v>
      </c>
      <c r="C4435" s="254" t="s">
        <v>4521</v>
      </c>
      <c r="D4435" s="255" t="s">
        <v>17611</v>
      </c>
      <c r="E4435" s="253" t="s">
        <v>170</v>
      </c>
    </row>
    <row r="4436" spans="1:5" ht="30">
      <c r="A4436" s="254">
        <v>39895</v>
      </c>
      <c r="B4436" s="254" t="s">
        <v>25398</v>
      </c>
      <c r="C4436" s="254" t="s">
        <v>4521</v>
      </c>
      <c r="D4436" s="255" t="s">
        <v>25399</v>
      </c>
      <c r="E4436" s="253" t="s">
        <v>170</v>
      </c>
    </row>
    <row r="4437" spans="1:5" ht="30">
      <c r="A4437" s="254">
        <v>39896</v>
      </c>
      <c r="B4437" s="254" t="s">
        <v>25400</v>
      </c>
      <c r="C4437" s="254" t="s">
        <v>4521</v>
      </c>
      <c r="D4437" s="255" t="s">
        <v>25401</v>
      </c>
      <c r="E4437" s="253" t="s">
        <v>170</v>
      </c>
    </row>
    <row r="4438" spans="1:5" ht="15">
      <c r="A4438" s="254">
        <v>38873</v>
      </c>
      <c r="B4438" s="254" t="s">
        <v>25402</v>
      </c>
      <c r="C4438" s="254" t="s">
        <v>4521</v>
      </c>
      <c r="D4438" s="255" t="s">
        <v>20056</v>
      </c>
      <c r="E4438" s="253" t="s">
        <v>170</v>
      </c>
    </row>
    <row r="4439" spans="1:5" ht="15">
      <c r="A4439" s="254">
        <v>38874</v>
      </c>
      <c r="B4439" s="254" t="s">
        <v>25403</v>
      </c>
      <c r="C4439" s="254" t="s">
        <v>4521</v>
      </c>
      <c r="D4439" s="255" t="s">
        <v>25404</v>
      </c>
      <c r="E4439" s="253" t="s">
        <v>170</v>
      </c>
    </row>
    <row r="4440" spans="1:5" ht="15">
      <c r="A4440" s="254">
        <v>38875</v>
      </c>
      <c r="B4440" s="254" t="s">
        <v>25405</v>
      </c>
      <c r="C4440" s="254" t="s">
        <v>4521</v>
      </c>
      <c r="D4440" s="255" t="s">
        <v>25406</v>
      </c>
      <c r="E4440" s="253" t="s">
        <v>170</v>
      </c>
    </row>
    <row r="4441" spans="1:5" ht="15">
      <c r="A4441" s="254">
        <v>38876</v>
      </c>
      <c r="B4441" s="254" t="s">
        <v>25407</v>
      </c>
      <c r="C4441" s="254" t="s">
        <v>4521</v>
      </c>
      <c r="D4441" s="255" t="s">
        <v>25408</v>
      </c>
      <c r="E4441" s="253" t="s">
        <v>170</v>
      </c>
    </row>
    <row r="4442" spans="1:5" ht="30">
      <c r="A4442" s="254">
        <v>39000</v>
      </c>
      <c r="B4442" s="254" t="s">
        <v>25409</v>
      </c>
      <c r="C4442" s="254" t="s">
        <v>4521</v>
      </c>
      <c r="D4442" s="255" t="s">
        <v>14061</v>
      </c>
      <c r="E4442" s="253" t="s">
        <v>170</v>
      </c>
    </row>
    <row r="4443" spans="1:5" ht="30">
      <c r="A4443" s="254">
        <v>38674</v>
      </c>
      <c r="B4443" s="254" t="s">
        <v>25410</v>
      </c>
      <c r="C4443" s="254" t="s">
        <v>4521</v>
      </c>
      <c r="D4443" s="255" t="s">
        <v>18820</v>
      </c>
      <c r="E4443" s="253" t="s">
        <v>170</v>
      </c>
    </row>
    <row r="4444" spans="1:5" ht="30">
      <c r="A4444" s="254">
        <v>38911</v>
      </c>
      <c r="B4444" s="254" t="s">
        <v>25411</v>
      </c>
      <c r="C4444" s="254" t="s">
        <v>4521</v>
      </c>
      <c r="D4444" s="255" t="s">
        <v>25412</v>
      </c>
      <c r="E4444" s="253" t="s">
        <v>170</v>
      </c>
    </row>
    <row r="4445" spans="1:5" ht="30">
      <c r="A4445" s="254">
        <v>38912</v>
      </c>
      <c r="B4445" s="254" t="s">
        <v>25413</v>
      </c>
      <c r="C4445" s="254" t="s">
        <v>4521</v>
      </c>
      <c r="D4445" s="255" t="s">
        <v>25414</v>
      </c>
      <c r="E4445" s="253" t="s">
        <v>170</v>
      </c>
    </row>
    <row r="4446" spans="1:5" ht="15">
      <c r="A4446" s="254">
        <v>38019</v>
      </c>
      <c r="B4446" s="254" t="s">
        <v>25415</v>
      </c>
      <c r="C4446" s="254" t="s">
        <v>4521</v>
      </c>
      <c r="D4446" s="255" t="s">
        <v>14419</v>
      </c>
      <c r="E4446" s="253" t="s">
        <v>170</v>
      </c>
    </row>
    <row r="4447" spans="1:5" ht="15">
      <c r="A4447" s="254">
        <v>38020</v>
      </c>
      <c r="B4447" s="254" t="s">
        <v>25416</v>
      </c>
      <c r="C4447" s="254" t="s">
        <v>4521</v>
      </c>
      <c r="D4447" s="255" t="s">
        <v>17611</v>
      </c>
      <c r="E4447" s="253" t="s">
        <v>170</v>
      </c>
    </row>
    <row r="4448" spans="1:5" ht="15">
      <c r="A4448" s="254">
        <v>38454</v>
      </c>
      <c r="B4448" s="254" t="s">
        <v>25417</v>
      </c>
      <c r="C4448" s="254" t="s">
        <v>4521</v>
      </c>
      <c r="D4448" s="255" t="s">
        <v>19789</v>
      </c>
      <c r="E4448" s="253" t="s">
        <v>170</v>
      </c>
    </row>
    <row r="4449" spans="1:5" ht="15">
      <c r="A4449" s="254">
        <v>38455</v>
      </c>
      <c r="B4449" s="254" t="s">
        <v>25418</v>
      </c>
      <c r="C4449" s="254" t="s">
        <v>4521</v>
      </c>
      <c r="D4449" s="255" t="s">
        <v>19996</v>
      </c>
      <c r="E4449" s="253" t="s">
        <v>170</v>
      </c>
    </row>
    <row r="4450" spans="1:5" ht="30">
      <c r="A4450" s="254">
        <v>38462</v>
      </c>
      <c r="B4450" s="254" t="s">
        <v>25419</v>
      </c>
      <c r="C4450" s="254" t="s">
        <v>4521</v>
      </c>
      <c r="D4450" s="255" t="s">
        <v>25420</v>
      </c>
      <c r="E4450" s="253" t="s">
        <v>170</v>
      </c>
    </row>
    <row r="4451" spans="1:5" ht="30">
      <c r="A4451" s="254">
        <v>36362</v>
      </c>
      <c r="B4451" s="254" t="s">
        <v>25421</v>
      </c>
      <c r="C4451" s="254" t="s">
        <v>4521</v>
      </c>
      <c r="D4451" s="255" t="s">
        <v>14212</v>
      </c>
      <c r="E4451" s="253" t="s">
        <v>170</v>
      </c>
    </row>
    <row r="4452" spans="1:5" ht="30">
      <c r="A4452" s="254">
        <v>36298</v>
      </c>
      <c r="B4452" s="254" t="s">
        <v>25422</v>
      </c>
      <c r="C4452" s="254" t="s">
        <v>4521</v>
      </c>
      <c r="D4452" s="255" t="s">
        <v>17923</v>
      </c>
      <c r="E4452" s="253" t="s">
        <v>170</v>
      </c>
    </row>
    <row r="4453" spans="1:5" ht="30">
      <c r="A4453" s="254">
        <v>38456</v>
      </c>
      <c r="B4453" s="254" t="s">
        <v>25423</v>
      </c>
      <c r="C4453" s="254" t="s">
        <v>4521</v>
      </c>
      <c r="D4453" s="255" t="s">
        <v>14384</v>
      </c>
      <c r="E4453" s="253" t="s">
        <v>170</v>
      </c>
    </row>
    <row r="4454" spans="1:5" ht="30">
      <c r="A4454" s="254">
        <v>38457</v>
      </c>
      <c r="B4454" s="254" t="s">
        <v>25424</v>
      </c>
      <c r="C4454" s="254" t="s">
        <v>4521</v>
      </c>
      <c r="D4454" s="255" t="s">
        <v>25425</v>
      </c>
      <c r="E4454" s="253" t="s">
        <v>170</v>
      </c>
    </row>
    <row r="4455" spans="1:5" ht="30">
      <c r="A4455" s="254">
        <v>38458</v>
      </c>
      <c r="B4455" s="254" t="s">
        <v>25426</v>
      </c>
      <c r="C4455" s="254" t="s">
        <v>4521</v>
      </c>
      <c r="D4455" s="255" t="s">
        <v>14444</v>
      </c>
      <c r="E4455" s="253" t="s">
        <v>170</v>
      </c>
    </row>
    <row r="4456" spans="1:5" ht="30">
      <c r="A4456" s="254">
        <v>38459</v>
      </c>
      <c r="B4456" s="254" t="s">
        <v>25427</v>
      </c>
      <c r="C4456" s="254" t="s">
        <v>4521</v>
      </c>
      <c r="D4456" s="255" t="s">
        <v>25428</v>
      </c>
      <c r="E4456" s="253" t="s">
        <v>170</v>
      </c>
    </row>
    <row r="4457" spans="1:5" ht="30">
      <c r="A4457" s="254">
        <v>38460</v>
      </c>
      <c r="B4457" s="254" t="s">
        <v>25429</v>
      </c>
      <c r="C4457" s="254" t="s">
        <v>4521</v>
      </c>
      <c r="D4457" s="255" t="s">
        <v>25430</v>
      </c>
      <c r="E4457" s="253" t="s">
        <v>170</v>
      </c>
    </row>
    <row r="4458" spans="1:5" ht="30">
      <c r="A4458" s="254">
        <v>38461</v>
      </c>
      <c r="B4458" s="254" t="s">
        <v>25431</v>
      </c>
      <c r="C4458" s="254" t="s">
        <v>4521</v>
      </c>
      <c r="D4458" s="255" t="s">
        <v>15642</v>
      </c>
      <c r="E4458" s="253" t="s">
        <v>170</v>
      </c>
    </row>
    <row r="4459" spans="1:5" ht="15">
      <c r="A4459" s="254">
        <v>7094</v>
      </c>
      <c r="B4459" s="254" t="s">
        <v>25432</v>
      </c>
      <c r="C4459" s="254" t="s">
        <v>4521</v>
      </c>
      <c r="D4459" s="255" t="s">
        <v>16674</v>
      </c>
      <c r="E4459" s="253" t="s">
        <v>170</v>
      </c>
    </row>
    <row r="4460" spans="1:5" ht="15">
      <c r="A4460" s="254">
        <v>7116</v>
      </c>
      <c r="B4460" s="254" t="s">
        <v>25433</v>
      </c>
      <c r="C4460" s="254" t="s">
        <v>4521</v>
      </c>
      <c r="D4460" s="255" t="s">
        <v>13958</v>
      </c>
      <c r="E4460" s="253" t="s">
        <v>170</v>
      </c>
    </row>
    <row r="4461" spans="1:5" ht="15">
      <c r="A4461" s="254">
        <v>7118</v>
      </c>
      <c r="B4461" s="254" t="s">
        <v>25434</v>
      </c>
      <c r="C4461" s="254" t="s">
        <v>4521</v>
      </c>
      <c r="D4461" s="255" t="s">
        <v>25435</v>
      </c>
      <c r="E4461" s="253" t="s">
        <v>170</v>
      </c>
    </row>
    <row r="4462" spans="1:5" ht="15">
      <c r="A4462" s="254">
        <v>7117</v>
      </c>
      <c r="B4462" s="254" t="s">
        <v>25436</v>
      </c>
      <c r="C4462" s="254" t="s">
        <v>4521</v>
      </c>
      <c r="D4462" s="255" t="s">
        <v>25437</v>
      </c>
      <c r="E4462" s="253" t="s">
        <v>170</v>
      </c>
    </row>
    <row r="4463" spans="1:5" ht="15">
      <c r="A4463" s="254">
        <v>7098</v>
      </c>
      <c r="B4463" s="254" t="s">
        <v>25438</v>
      </c>
      <c r="C4463" s="254" t="s">
        <v>4521</v>
      </c>
      <c r="D4463" s="255" t="s">
        <v>14232</v>
      </c>
      <c r="E4463" s="253" t="s">
        <v>170</v>
      </c>
    </row>
    <row r="4464" spans="1:5" ht="15">
      <c r="A4464" s="254">
        <v>7110</v>
      </c>
      <c r="B4464" s="254" t="s">
        <v>25439</v>
      </c>
      <c r="C4464" s="254" t="s">
        <v>4521</v>
      </c>
      <c r="D4464" s="255" t="s">
        <v>18150</v>
      </c>
      <c r="E4464" s="253" t="s">
        <v>170</v>
      </c>
    </row>
    <row r="4465" spans="1:5" ht="15">
      <c r="A4465" s="254">
        <v>7123</v>
      </c>
      <c r="B4465" s="254" t="s">
        <v>25440</v>
      </c>
      <c r="C4465" s="254" t="s">
        <v>4521</v>
      </c>
      <c r="D4465" s="255" t="s">
        <v>14372</v>
      </c>
      <c r="E4465" s="253" t="s">
        <v>170</v>
      </c>
    </row>
    <row r="4466" spans="1:5" ht="30">
      <c r="A4466" s="254">
        <v>7121</v>
      </c>
      <c r="B4466" s="254" t="s">
        <v>25441</v>
      </c>
      <c r="C4466" s="254" t="s">
        <v>4521</v>
      </c>
      <c r="D4466" s="255" t="s">
        <v>14238</v>
      </c>
      <c r="E4466" s="253" t="s">
        <v>170</v>
      </c>
    </row>
    <row r="4467" spans="1:5" ht="30">
      <c r="A4467" s="254">
        <v>7137</v>
      </c>
      <c r="B4467" s="254" t="s">
        <v>25442</v>
      </c>
      <c r="C4467" s="254" t="s">
        <v>4521</v>
      </c>
      <c r="D4467" s="255" t="s">
        <v>15476</v>
      </c>
      <c r="E4467" s="253" t="s">
        <v>170</v>
      </c>
    </row>
    <row r="4468" spans="1:5" ht="30">
      <c r="A4468" s="254">
        <v>7122</v>
      </c>
      <c r="B4468" s="254" t="s">
        <v>25443</v>
      </c>
      <c r="C4468" s="254" t="s">
        <v>4521</v>
      </c>
      <c r="D4468" s="255" t="s">
        <v>13543</v>
      </c>
      <c r="E4468" s="253" t="s">
        <v>170</v>
      </c>
    </row>
    <row r="4469" spans="1:5" ht="30">
      <c r="A4469" s="254">
        <v>7114</v>
      </c>
      <c r="B4469" s="254" t="s">
        <v>25444</v>
      </c>
      <c r="C4469" s="254" t="s">
        <v>4521</v>
      </c>
      <c r="D4469" s="255" t="s">
        <v>23953</v>
      </c>
      <c r="E4469" s="253" t="s">
        <v>170</v>
      </c>
    </row>
    <row r="4470" spans="1:5" ht="30">
      <c r="A4470" s="254">
        <v>7109</v>
      </c>
      <c r="B4470" s="254" t="s">
        <v>25445</v>
      </c>
      <c r="C4470" s="254" t="s">
        <v>4521</v>
      </c>
      <c r="D4470" s="255" t="s">
        <v>14144</v>
      </c>
      <c r="E4470" s="253" t="s">
        <v>170</v>
      </c>
    </row>
    <row r="4471" spans="1:5" ht="30">
      <c r="A4471" s="254">
        <v>7135</v>
      </c>
      <c r="B4471" s="254" t="s">
        <v>25446</v>
      </c>
      <c r="C4471" s="254" t="s">
        <v>4521</v>
      </c>
      <c r="D4471" s="255" t="s">
        <v>14297</v>
      </c>
      <c r="E4471" s="253" t="s">
        <v>170</v>
      </c>
    </row>
    <row r="4472" spans="1:5" ht="30">
      <c r="A4472" s="254">
        <v>37947</v>
      </c>
      <c r="B4472" s="254" t="s">
        <v>25447</v>
      </c>
      <c r="C4472" s="254" t="s">
        <v>4521</v>
      </c>
      <c r="D4472" s="255" t="s">
        <v>14011</v>
      </c>
      <c r="E4472" s="253" t="s">
        <v>170</v>
      </c>
    </row>
    <row r="4473" spans="1:5" ht="30">
      <c r="A4473" s="254">
        <v>7103</v>
      </c>
      <c r="B4473" s="254" t="s">
        <v>25448</v>
      </c>
      <c r="C4473" s="254" t="s">
        <v>4521</v>
      </c>
      <c r="D4473" s="255" t="s">
        <v>24751</v>
      </c>
      <c r="E4473" s="253" t="s">
        <v>170</v>
      </c>
    </row>
    <row r="4474" spans="1:5" ht="15">
      <c r="A4474" s="254">
        <v>40419</v>
      </c>
      <c r="B4474" s="254" t="s">
        <v>25449</v>
      </c>
      <c r="C4474" s="254" t="s">
        <v>4521</v>
      </c>
      <c r="D4474" s="255" t="s">
        <v>25450</v>
      </c>
      <c r="E4474" s="253" t="s">
        <v>170</v>
      </c>
    </row>
    <row r="4475" spans="1:5" ht="15">
      <c r="A4475" s="254">
        <v>40420</v>
      </c>
      <c r="B4475" s="254" t="s">
        <v>25451</v>
      </c>
      <c r="C4475" s="254" t="s">
        <v>4521</v>
      </c>
      <c r="D4475" s="255" t="s">
        <v>25452</v>
      </c>
      <c r="E4475" s="253" t="s">
        <v>170</v>
      </c>
    </row>
    <row r="4476" spans="1:5" ht="15">
      <c r="A4476" s="254">
        <v>40421</v>
      </c>
      <c r="B4476" s="254" t="s">
        <v>25453</v>
      </c>
      <c r="C4476" s="254" t="s">
        <v>4521</v>
      </c>
      <c r="D4476" s="255" t="s">
        <v>25454</v>
      </c>
      <c r="E4476" s="253" t="s">
        <v>170</v>
      </c>
    </row>
    <row r="4477" spans="1:5" ht="15">
      <c r="A4477" s="254">
        <v>7126</v>
      </c>
      <c r="B4477" s="254" t="s">
        <v>25455</v>
      </c>
      <c r="C4477" s="254" t="s">
        <v>4521</v>
      </c>
      <c r="D4477" s="255" t="s">
        <v>18165</v>
      </c>
      <c r="E4477" s="253" t="s">
        <v>170</v>
      </c>
    </row>
    <row r="4478" spans="1:5" ht="30">
      <c r="A4478" s="254">
        <v>38905</v>
      </c>
      <c r="B4478" s="254" t="s">
        <v>25456</v>
      </c>
      <c r="C4478" s="254" t="s">
        <v>4521</v>
      </c>
      <c r="D4478" s="255" t="s">
        <v>19418</v>
      </c>
      <c r="E4478" s="253" t="s">
        <v>170</v>
      </c>
    </row>
    <row r="4479" spans="1:5" ht="30">
      <c r="A4479" s="254">
        <v>38907</v>
      </c>
      <c r="B4479" s="254" t="s">
        <v>25457</v>
      </c>
      <c r="C4479" s="254" t="s">
        <v>4521</v>
      </c>
      <c r="D4479" s="255" t="s">
        <v>16631</v>
      </c>
      <c r="E4479" s="253" t="s">
        <v>170</v>
      </c>
    </row>
    <row r="4480" spans="1:5" ht="30">
      <c r="A4480" s="254">
        <v>38908</v>
      </c>
      <c r="B4480" s="254" t="s">
        <v>25458</v>
      </c>
      <c r="C4480" s="254" t="s">
        <v>4521</v>
      </c>
      <c r="D4480" s="256" t="s">
        <v>19195</v>
      </c>
      <c r="E4480" s="253" t="s">
        <v>170</v>
      </c>
    </row>
    <row r="4481" spans="1:5" ht="30">
      <c r="A4481" s="254">
        <v>38909</v>
      </c>
      <c r="B4481" s="254" t="s">
        <v>25459</v>
      </c>
      <c r="C4481" s="254" t="s">
        <v>4521</v>
      </c>
      <c r="D4481" s="255" t="s">
        <v>16635</v>
      </c>
      <c r="E4481" s="253" t="s">
        <v>170</v>
      </c>
    </row>
    <row r="4482" spans="1:5" ht="30">
      <c r="A4482" s="254">
        <v>38910</v>
      </c>
      <c r="B4482" s="254" t="s">
        <v>25460</v>
      </c>
      <c r="C4482" s="254" t="s">
        <v>4521</v>
      </c>
      <c r="D4482" s="255" t="s">
        <v>25461</v>
      </c>
      <c r="E4482" s="253" t="s">
        <v>170</v>
      </c>
    </row>
    <row r="4483" spans="1:5" ht="30">
      <c r="A4483" s="254">
        <v>38897</v>
      </c>
      <c r="B4483" s="254" t="s">
        <v>25462</v>
      </c>
      <c r="C4483" s="254" t="s">
        <v>4521</v>
      </c>
      <c r="D4483" s="255" t="s">
        <v>25463</v>
      </c>
      <c r="E4483" s="253" t="s">
        <v>170</v>
      </c>
    </row>
    <row r="4484" spans="1:5" ht="30">
      <c r="A4484" s="254">
        <v>38899</v>
      </c>
      <c r="B4484" s="254" t="s">
        <v>25464</v>
      </c>
      <c r="C4484" s="254" t="s">
        <v>4521</v>
      </c>
      <c r="D4484" s="255" t="s">
        <v>16558</v>
      </c>
      <c r="E4484" s="253" t="s">
        <v>170</v>
      </c>
    </row>
    <row r="4485" spans="1:5" ht="30">
      <c r="A4485" s="254">
        <v>38900</v>
      </c>
      <c r="B4485" s="254" t="s">
        <v>25465</v>
      </c>
      <c r="C4485" s="254" t="s">
        <v>4521</v>
      </c>
      <c r="D4485" s="256" t="s">
        <v>17603</v>
      </c>
      <c r="E4485" s="253" t="s">
        <v>170</v>
      </c>
    </row>
    <row r="4486" spans="1:5" ht="30">
      <c r="A4486" s="254">
        <v>38901</v>
      </c>
      <c r="B4486" s="254" t="s">
        <v>25466</v>
      </c>
      <c r="C4486" s="254" t="s">
        <v>4521</v>
      </c>
      <c r="D4486" s="255" t="s">
        <v>15856</v>
      </c>
      <c r="E4486" s="253" t="s">
        <v>170</v>
      </c>
    </row>
    <row r="4487" spans="1:5" ht="30">
      <c r="A4487" s="254">
        <v>38904</v>
      </c>
      <c r="B4487" s="254" t="s">
        <v>25467</v>
      </c>
      <c r="C4487" s="254" t="s">
        <v>4521</v>
      </c>
      <c r="D4487" s="255" t="s">
        <v>25468</v>
      </c>
      <c r="E4487" s="253" t="s">
        <v>170</v>
      </c>
    </row>
    <row r="4488" spans="1:5" ht="30">
      <c r="A4488" s="254">
        <v>38903</v>
      </c>
      <c r="B4488" s="254" t="s">
        <v>25469</v>
      </c>
      <c r="C4488" s="254" t="s">
        <v>4521</v>
      </c>
      <c r="D4488" s="255" t="s">
        <v>25470</v>
      </c>
      <c r="E4488" s="253" t="s">
        <v>170</v>
      </c>
    </row>
    <row r="4489" spans="1:5" ht="15">
      <c r="A4489" s="254">
        <v>7091</v>
      </c>
      <c r="B4489" s="254" t="s">
        <v>25471</v>
      </c>
      <c r="C4489" s="254" t="s">
        <v>4521</v>
      </c>
      <c r="D4489" s="255" t="s">
        <v>17922</v>
      </c>
      <c r="E4489" s="253" t="s">
        <v>170</v>
      </c>
    </row>
    <row r="4490" spans="1:5" ht="15">
      <c r="A4490" s="254">
        <v>11655</v>
      </c>
      <c r="B4490" s="254" t="s">
        <v>25472</v>
      </c>
      <c r="C4490" s="254" t="s">
        <v>4521</v>
      </c>
      <c r="D4490" s="255" t="s">
        <v>16634</v>
      </c>
      <c r="E4490" s="253" t="s">
        <v>170</v>
      </c>
    </row>
    <row r="4491" spans="1:5" ht="15">
      <c r="A4491" s="254">
        <v>11656</v>
      </c>
      <c r="B4491" s="254" t="s">
        <v>25473</v>
      </c>
      <c r="C4491" s="254" t="s">
        <v>4521</v>
      </c>
      <c r="D4491" s="255" t="s">
        <v>15504</v>
      </c>
      <c r="E4491" s="253" t="s">
        <v>170</v>
      </c>
    </row>
    <row r="4492" spans="1:5" ht="15">
      <c r="A4492" s="254">
        <v>37948</v>
      </c>
      <c r="B4492" s="254" t="s">
        <v>25474</v>
      </c>
      <c r="C4492" s="254" t="s">
        <v>4521</v>
      </c>
      <c r="D4492" s="255" t="s">
        <v>13665</v>
      </c>
      <c r="E4492" s="253" t="s">
        <v>170</v>
      </c>
    </row>
    <row r="4493" spans="1:5" ht="15">
      <c r="A4493" s="254">
        <v>7097</v>
      </c>
      <c r="B4493" s="254" t="s">
        <v>25475</v>
      </c>
      <c r="C4493" s="254" t="s">
        <v>4521</v>
      </c>
      <c r="D4493" s="255" t="s">
        <v>17527</v>
      </c>
      <c r="E4493" s="253" t="s">
        <v>170</v>
      </c>
    </row>
    <row r="4494" spans="1:5" ht="15">
      <c r="A4494" s="254">
        <v>11657</v>
      </c>
      <c r="B4494" s="254" t="s">
        <v>25476</v>
      </c>
      <c r="C4494" s="254" t="s">
        <v>4521</v>
      </c>
      <c r="D4494" s="255" t="s">
        <v>16590</v>
      </c>
      <c r="E4494" s="253" t="s">
        <v>170</v>
      </c>
    </row>
    <row r="4495" spans="1:5" ht="15">
      <c r="A4495" s="254">
        <v>11658</v>
      </c>
      <c r="B4495" s="254" t="s">
        <v>25477</v>
      </c>
      <c r="C4495" s="254" t="s">
        <v>4521</v>
      </c>
      <c r="D4495" s="255" t="s">
        <v>17624</v>
      </c>
      <c r="E4495" s="253" t="s">
        <v>170</v>
      </c>
    </row>
    <row r="4496" spans="1:5" ht="15">
      <c r="A4496" s="254">
        <v>7146</v>
      </c>
      <c r="B4496" s="254" t="s">
        <v>25478</v>
      </c>
      <c r="C4496" s="254" t="s">
        <v>4521</v>
      </c>
      <c r="D4496" s="255" t="s">
        <v>25479</v>
      </c>
      <c r="E4496" s="253" t="s">
        <v>170</v>
      </c>
    </row>
    <row r="4497" spans="1:5" ht="15">
      <c r="A4497" s="254">
        <v>7138</v>
      </c>
      <c r="B4497" s="254" t="s">
        <v>25480</v>
      </c>
      <c r="C4497" s="254" t="s">
        <v>4521</v>
      </c>
      <c r="D4497" s="255" t="s">
        <v>14355</v>
      </c>
      <c r="E4497" s="253" t="s">
        <v>170</v>
      </c>
    </row>
    <row r="4498" spans="1:5" ht="15">
      <c r="A4498" s="254">
        <v>7139</v>
      </c>
      <c r="B4498" s="254" t="s">
        <v>25481</v>
      </c>
      <c r="C4498" s="254" t="s">
        <v>4521</v>
      </c>
      <c r="D4498" s="255" t="s">
        <v>24991</v>
      </c>
      <c r="E4498" s="253" t="s">
        <v>170</v>
      </c>
    </row>
    <row r="4499" spans="1:5" ht="15">
      <c r="A4499" s="254">
        <v>7140</v>
      </c>
      <c r="B4499" s="254" t="s">
        <v>25482</v>
      </c>
      <c r="C4499" s="254" t="s">
        <v>4521</v>
      </c>
      <c r="D4499" s="255" t="s">
        <v>14201</v>
      </c>
      <c r="E4499" s="253" t="s">
        <v>170</v>
      </c>
    </row>
    <row r="4500" spans="1:5" ht="15">
      <c r="A4500" s="254">
        <v>7141</v>
      </c>
      <c r="B4500" s="254" t="s">
        <v>25483</v>
      </c>
      <c r="C4500" s="254" t="s">
        <v>4521</v>
      </c>
      <c r="D4500" s="255" t="s">
        <v>14932</v>
      </c>
      <c r="E4500" s="253" t="s">
        <v>170</v>
      </c>
    </row>
    <row r="4501" spans="1:5" ht="15">
      <c r="A4501" s="254">
        <v>7143</v>
      </c>
      <c r="B4501" s="254" t="s">
        <v>25484</v>
      </c>
      <c r="C4501" s="254" t="s">
        <v>4521</v>
      </c>
      <c r="D4501" s="255" t="s">
        <v>15941</v>
      </c>
      <c r="E4501" s="253" t="s">
        <v>170</v>
      </c>
    </row>
    <row r="4502" spans="1:5" ht="15">
      <c r="A4502" s="254">
        <v>7144</v>
      </c>
      <c r="B4502" s="254" t="s">
        <v>25485</v>
      </c>
      <c r="C4502" s="254" t="s">
        <v>4521</v>
      </c>
      <c r="D4502" s="255" t="s">
        <v>25486</v>
      </c>
      <c r="E4502" s="253" t="s">
        <v>170</v>
      </c>
    </row>
    <row r="4503" spans="1:5" ht="15">
      <c r="A4503" s="254">
        <v>7145</v>
      </c>
      <c r="B4503" s="254" t="s">
        <v>25487</v>
      </c>
      <c r="C4503" s="254" t="s">
        <v>4521</v>
      </c>
      <c r="D4503" s="255" t="s">
        <v>20141</v>
      </c>
      <c r="E4503" s="253" t="s">
        <v>170</v>
      </c>
    </row>
    <row r="4504" spans="1:5" ht="15">
      <c r="A4504" s="254">
        <v>7142</v>
      </c>
      <c r="B4504" s="254" t="s">
        <v>25488</v>
      </c>
      <c r="C4504" s="254" t="s">
        <v>4521</v>
      </c>
      <c r="D4504" s="255" t="s">
        <v>16054</v>
      </c>
      <c r="E4504" s="253" t="s">
        <v>170</v>
      </c>
    </row>
    <row r="4505" spans="1:5" ht="15">
      <c r="A4505" s="254">
        <v>3593</v>
      </c>
      <c r="B4505" s="254" t="s">
        <v>25489</v>
      </c>
      <c r="C4505" s="254" t="s">
        <v>4521</v>
      </c>
      <c r="D4505" s="255" t="s">
        <v>15246</v>
      </c>
      <c r="E4505" s="253" t="s">
        <v>170</v>
      </c>
    </row>
    <row r="4506" spans="1:5" ht="15">
      <c r="A4506" s="254">
        <v>3588</v>
      </c>
      <c r="B4506" s="254" t="s">
        <v>25490</v>
      </c>
      <c r="C4506" s="254" t="s">
        <v>4521</v>
      </c>
      <c r="D4506" s="255" t="s">
        <v>25491</v>
      </c>
      <c r="E4506" s="253" t="s">
        <v>170</v>
      </c>
    </row>
    <row r="4507" spans="1:5" ht="15">
      <c r="A4507" s="254">
        <v>3585</v>
      </c>
      <c r="B4507" s="254" t="s">
        <v>25492</v>
      </c>
      <c r="C4507" s="254" t="s">
        <v>4521</v>
      </c>
      <c r="D4507" s="255" t="s">
        <v>25493</v>
      </c>
      <c r="E4507" s="253" t="s">
        <v>170</v>
      </c>
    </row>
    <row r="4508" spans="1:5" ht="15">
      <c r="A4508" s="254">
        <v>3587</v>
      </c>
      <c r="B4508" s="254" t="s">
        <v>25494</v>
      </c>
      <c r="C4508" s="254" t="s">
        <v>4521</v>
      </c>
      <c r="D4508" s="255" t="s">
        <v>17521</v>
      </c>
      <c r="E4508" s="253" t="s">
        <v>170</v>
      </c>
    </row>
    <row r="4509" spans="1:5" ht="15">
      <c r="A4509" s="254">
        <v>3590</v>
      </c>
      <c r="B4509" s="254" t="s">
        <v>25495</v>
      </c>
      <c r="C4509" s="254" t="s">
        <v>4521</v>
      </c>
      <c r="D4509" s="255" t="s">
        <v>25496</v>
      </c>
      <c r="E4509" s="253" t="s">
        <v>170</v>
      </c>
    </row>
    <row r="4510" spans="1:5" ht="15">
      <c r="A4510" s="254">
        <v>3589</v>
      </c>
      <c r="B4510" s="254" t="s">
        <v>25497</v>
      </c>
      <c r="C4510" s="254" t="s">
        <v>4521</v>
      </c>
      <c r="D4510" s="255" t="s">
        <v>25498</v>
      </c>
      <c r="E4510" s="253" t="s">
        <v>170</v>
      </c>
    </row>
    <row r="4511" spans="1:5" ht="15">
      <c r="A4511" s="254">
        <v>3586</v>
      </c>
      <c r="B4511" s="254" t="s">
        <v>25499</v>
      </c>
      <c r="C4511" s="254" t="s">
        <v>4521</v>
      </c>
      <c r="D4511" s="255" t="s">
        <v>15747</v>
      </c>
      <c r="E4511" s="253" t="s">
        <v>170</v>
      </c>
    </row>
    <row r="4512" spans="1:5" ht="15">
      <c r="A4512" s="254">
        <v>3592</v>
      </c>
      <c r="B4512" s="254" t="s">
        <v>25500</v>
      </c>
      <c r="C4512" s="254" t="s">
        <v>4521</v>
      </c>
      <c r="D4512" s="255" t="s">
        <v>25501</v>
      </c>
      <c r="E4512" s="253" t="s">
        <v>170</v>
      </c>
    </row>
    <row r="4513" spans="1:5" ht="15">
      <c r="A4513" s="254">
        <v>3591</v>
      </c>
      <c r="B4513" s="254" t="s">
        <v>25502</v>
      </c>
      <c r="C4513" s="254" t="s">
        <v>4521</v>
      </c>
      <c r="D4513" s="255" t="s">
        <v>25503</v>
      </c>
      <c r="E4513" s="253" t="s">
        <v>170</v>
      </c>
    </row>
    <row r="4514" spans="1:5" ht="15">
      <c r="A4514" s="254">
        <v>40396</v>
      </c>
      <c r="B4514" s="254" t="s">
        <v>25504</v>
      </c>
      <c r="C4514" s="254" t="s">
        <v>4521</v>
      </c>
      <c r="D4514" s="255" t="s">
        <v>25505</v>
      </c>
      <c r="E4514" s="253" t="s">
        <v>170</v>
      </c>
    </row>
    <row r="4515" spans="1:5" ht="15">
      <c r="A4515" s="254">
        <v>40395</v>
      </c>
      <c r="B4515" s="254" t="s">
        <v>25506</v>
      </c>
      <c r="C4515" s="254" t="s">
        <v>4521</v>
      </c>
      <c r="D4515" s="255" t="s">
        <v>25507</v>
      </c>
      <c r="E4515" s="253" t="s">
        <v>170</v>
      </c>
    </row>
    <row r="4516" spans="1:5" ht="15">
      <c r="A4516" s="254">
        <v>40392</v>
      </c>
      <c r="B4516" s="254" t="s">
        <v>25508</v>
      </c>
      <c r="C4516" s="254" t="s">
        <v>4521</v>
      </c>
      <c r="D4516" s="255" t="s">
        <v>18573</v>
      </c>
      <c r="E4516" s="253" t="s">
        <v>170</v>
      </c>
    </row>
    <row r="4517" spans="1:5" ht="15">
      <c r="A4517" s="254">
        <v>40394</v>
      </c>
      <c r="B4517" s="254" t="s">
        <v>25509</v>
      </c>
      <c r="C4517" s="254" t="s">
        <v>4521</v>
      </c>
      <c r="D4517" s="255" t="s">
        <v>16504</v>
      </c>
      <c r="E4517" s="253" t="s">
        <v>170</v>
      </c>
    </row>
    <row r="4518" spans="1:5" ht="15">
      <c r="A4518" s="254">
        <v>40398</v>
      </c>
      <c r="B4518" s="254" t="s">
        <v>25510</v>
      </c>
      <c r="C4518" s="254" t="s">
        <v>4521</v>
      </c>
      <c r="D4518" s="255" t="s">
        <v>25511</v>
      </c>
      <c r="E4518" s="253" t="s">
        <v>170</v>
      </c>
    </row>
    <row r="4519" spans="1:5" ht="15">
      <c r="A4519" s="254">
        <v>40397</v>
      </c>
      <c r="B4519" s="254" t="s">
        <v>25512</v>
      </c>
      <c r="C4519" s="254" t="s">
        <v>4521</v>
      </c>
      <c r="D4519" s="255" t="s">
        <v>25513</v>
      </c>
      <c r="E4519" s="253" t="s">
        <v>170</v>
      </c>
    </row>
    <row r="4520" spans="1:5" ht="15">
      <c r="A4520" s="254">
        <v>40393</v>
      </c>
      <c r="B4520" s="254" t="s">
        <v>25514</v>
      </c>
      <c r="C4520" s="254" t="s">
        <v>4521</v>
      </c>
      <c r="D4520" s="255" t="s">
        <v>25515</v>
      </c>
      <c r="E4520" s="253" t="s">
        <v>170</v>
      </c>
    </row>
    <row r="4521" spans="1:5" ht="15">
      <c r="A4521" s="254">
        <v>40399</v>
      </c>
      <c r="B4521" s="254" t="s">
        <v>25516</v>
      </c>
      <c r="C4521" s="254" t="s">
        <v>4521</v>
      </c>
      <c r="D4521" s="255" t="s">
        <v>25517</v>
      </c>
      <c r="E4521" s="253" t="s">
        <v>170</v>
      </c>
    </row>
    <row r="4522" spans="1:5" ht="15">
      <c r="A4522" s="254">
        <v>39322</v>
      </c>
      <c r="B4522" s="254" t="s">
        <v>25518</v>
      </c>
      <c r="C4522" s="254" t="s">
        <v>4521</v>
      </c>
      <c r="D4522" s="255" t="s">
        <v>16618</v>
      </c>
      <c r="E4522" s="253" t="s">
        <v>170</v>
      </c>
    </row>
    <row r="4523" spans="1:5" ht="15">
      <c r="A4523" s="254">
        <v>39289</v>
      </c>
      <c r="B4523" s="254" t="s">
        <v>25519</v>
      </c>
      <c r="C4523" s="254" t="s">
        <v>4521</v>
      </c>
      <c r="D4523" s="255" t="s">
        <v>25520</v>
      </c>
      <c r="E4523" s="253" t="s">
        <v>170</v>
      </c>
    </row>
    <row r="4524" spans="1:5" ht="15">
      <c r="A4524" s="254">
        <v>39290</v>
      </c>
      <c r="B4524" s="254" t="s">
        <v>25521</v>
      </c>
      <c r="C4524" s="254" t="s">
        <v>4521</v>
      </c>
      <c r="D4524" s="255" t="s">
        <v>25522</v>
      </c>
      <c r="E4524" s="253" t="s">
        <v>170</v>
      </c>
    </row>
    <row r="4525" spans="1:5" ht="15">
      <c r="A4525" s="254">
        <v>39291</v>
      </c>
      <c r="B4525" s="254" t="s">
        <v>25523</v>
      </c>
      <c r="C4525" s="254" t="s">
        <v>4521</v>
      </c>
      <c r="D4525" s="255" t="s">
        <v>25524</v>
      </c>
      <c r="E4525" s="253" t="s">
        <v>170</v>
      </c>
    </row>
    <row r="4526" spans="1:5" ht="15">
      <c r="A4526" s="254">
        <v>20174</v>
      </c>
      <c r="B4526" s="254" t="s">
        <v>25525</v>
      </c>
      <c r="C4526" s="254" t="s">
        <v>4521</v>
      </c>
      <c r="D4526" s="255" t="s">
        <v>18069</v>
      </c>
      <c r="E4526" s="253" t="s">
        <v>170</v>
      </c>
    </row>
    <row r="4527" spans="1:5" ht="15">
      <c r="A4527" s="254">
        <v>41892</v>
      </c>
      <c r="B4527" s="254" t="s">
        <v>25526</v>
      </c>
      <c r="C4527" s="254" t="s">
        <v>4521</v>
      </c>
      <c r="D4527" s="255" t="s">
        <v>13739</v>
      </c>
      <c r="E4527" s="253" t="s">
        <v>170</v>
      </c>
    </row>
    <row r="4528" spans="1:5" ht="15">
      <c r="A4528" s="254">
        <v>7048</v>
      </c>
      <c r="B4528" s="254" t="s">
        <v>25527</v>
      </c>
      <c r="C4528" s="254" t="s">
        <v>4521</v>
      </c>
      <c r="D4528" s="255" t="s">
        <v>17526</v>
      </c>
      <c r="E4528" s="253" t="s">
        <v>170</v>
      </c>
    </row>
    <row r="4529" spans="1:5" ht="15">
      <c r="A4529" s="254">
        <v>7088</v>
      </c>
      <c r="B4529" s="254" t="s">
        <v>25528</v>
      </c>
      <c r="C4529" s="254" t="s">
        <v>4521</v>
      </c>
      <c r="D4529" s="255" t="s">
        <v>25529</v>
      </c>
      <c r="E4529" s="253" t="s">
        <v>170</v>
      </c>
    </row>
    <row r="4530" spans="1:5" ht="15">
      <c r="A4530" s="254">
        <v>20179</v>
      </c>
      <c r="B4530" s="254" t="s">
        <v>25530</v>
      </c>
      <c r="C4530" s="254" t="s">
        <v>4521</v>
      </c>
      <c r="D4530" s="255" t="s">
        <v>17443</v>
      </c>
      <c r="E4530" s="253" t="s">
        <v>170</v>
      </c>
    </row>
    <row r="4531" spans="1:5" ht="15">
      <c r="A4531" s="254">
        <v>20178</v>
      </c>
      <c r="B4531" s="254" t="s">
        <v>25531</v>
      </c>
      <c r="C4531" s="254" t="s">
        <v>4521</v>
      </c>
      <c r="D4531" s="255" t="s">
        <v>17855</v>
      </c>
      <c r="E4531" s="253" t="s">
        <v>170</v>
      </c>
    </row>
    <row r="4532" spans="1:5" ht="15">
      <c r="A4532" s="254">
        <v>20180</v>
      </c>
      <c r="B4532" s="254" t="s">
        <v>25532</v>
      </c>
      <c r="C4532" s="254" t="s">
        <v>4521</v>
      </c>
      <c r="D4532" s="255" t="s">
        <v>17850</v>
      </c>
      <c r="E4532" s="253" t="s">
        <v>170</v>
      </c>
    </row>
    <row r="4533" spans="1:5" ht="15">
      <c r="A4533" s="254">
        <v>20181</v>
      </c>
      <c r="B4533" s="254" t="s">
        <v>25533</v>
      </c>
      <c r="C4533" s="254" t="s">
        <v>4521</v>
      </c>
      <c r="D4533" s="255" t="s">
        <v>16936</v>
      </c>
      <c r="E4533" s="253" t="s">
        <v>170</v>
      </c>
    </row>
    <row r="4534" spans="1:5" ht="15">
      <c r="A4534" s="254">
        <v>20177</v>
      </c>
      <c r="B4534" s="254" t="s">
        <v>25534</v>
      </c>
      <c r="C4534" s="254" t="s">
        <v>4521</v>
      </c>
      <c r="D4534" s="255" t="s">
        <v>25535</v>
      </c>
      <c r="E4534" s="253" t="s">
        <v>170</v>
      </c>
    </row>
    <row r="4535" spans="1:5" ht="15">
      <c r="A4535" s="254">
        <v>7082</v>
      </c>
      <c r="B4535" s="254" t="s">
        <v>25536</v>
      </c>
      <c r="C4535" s="254" t="s">
        <v>4521</v>
      </c>
      <c r="D4535" s="255" t="s">
        <v>25537</v>
      </c>
      <c r="E4535" s="253" t="s">
        <v>170</v>
      </c>
    </row>
    <row r="4536" spans="1:5" ht="30">
      <c r="A4536" s="254">
        <v>42707</v>
      </c>
      <c r="B4536" s="254" t="s">
        <v>25538</v>
      </c>
      <c r="C4536" s="254" t="s">
        <v>4521</v>
      </c>
      <c r="D4536" s="255" t="s">
        <v>25539</v>
      </c>
      <c r="E4536" s="253" t="s">
        <v>170</v>
      </c>
    </row>
    <row r="4537" spans="1:5" ht="15">
      <c r="A4537" s="254">
        <v>7069</v>
      </c>
      <c r="B4537" s="254" t="s">
        <v>25540</v>
      </c>
      <c r="C4537" s="254" t="s">
        <v>4521</v>
      </c>
      <c r="D4537" s="255" t="s">
        <v>25541</v>
      </c>
      <c r="E4537" s="253" t="s">
        <v>170</v>
      </c>
    </row>
    <row r="4538" spans="1:5" ht="30">
      <c r="A4538" s="254">
        <v>42708</v>
      </c>
      <c r="B4538" s="254" t="s">
        <v>25542</v>
      </c>
      <c r="C4538" s="254" t="s">
        <v>4521</v>
      </c>
      <c r="D4538" s="255" t="s">
        <v>25543</v>
      </c>
      <c r="E4538" s="253" t="s">
        <v>170</v>
      </c>
    </row>
    <row r="4539" spans="1:5" ht="15">
      <c r="A4539" s="254">
        <v>7070</v>
      </c>
      <c r="B4539" s="254" t="s">
        <v>25544</v>
      </c>
      <c r="C4539" s="254" t="s">
        <v>4521</v>
      </c>
      <c r="D4539" s="255" t="s">
        <v>25545</v>
      </c>
      <c r="E4539" s="253" t="s">
        <v>170</v>
      </c>
    </row>
    <row r="4540" spans="1:5" ht="30">
      <c r="A4540" s="254">
        <v>42709</v>
      </c>
      <c r="B4540" s="254" t="s">
        <v>25546</v>
      </c>
      <c r="C4540" s="254" t="s">
        <v>4521</v>
      </c>
      <c r="D4540" s="255" t="s">
        <v>25547</v>
      </c>
      <c r="E4540" s="253" t="s">
        <v>170</v>
      </c>
    </row>
    <row r="4541" spans="1:5" ht="30">
      <c r="A4541" s="254">
        <v>42710</v>
      </c>
      <c r="B4541" s="254" t="s">
        <v>25548</v>
      </c>
      <c r="C4541" s="254" t="s">
        <v>4521</v>
      </c>
      <c r="D4541" s="255" t="s">
        <v>25549</v>
      </c>
      <c r="E4541" s="253" t="s">
        <v>170</v>
      </c>
    </row>
    <row r="4542" spans="1:5" ht="30">
      <c r="A4542" s="254">
        <v>42716</v>
      </c>
      <c r="B4542" s="254" t="s">
        <v>25550</v>
      </c>
      <c r="C4542" s="254" t="s">
        <v>4521</v>
      </c>
      <c r="D4542" s="255" t="s">
        <v>25551</v>
      </c>
      <c r="E4542" s="253" t="s">
        <v>170</v>
      </c>
    </row>
    <row r="4543" spans="1:5" ht="15">
      <c r="A4543" s="254">
        <v>20172</v>
      </c>
      <c r="B4543" s="254" t="s">
        <v>25552</v>
      </c>
      <c r="C4543" s="254" t="s">
        <v>4521</v>
      </c>
      <c r="D4543" s="255" t="s">
        <v>16838</v>
      </c>
      <c r="E4543" s="253" t="s">
        <v>170</v>
      </c>
    </row>
    <row r="4544" spans="1:5" ht="15">
      <c r="A4544" s="254">
        <v>40945</v>
      </c>
      <c r="B4544" s="254" t="s">
        <v>25553</v>
      </c>
      <c r="C4544" s="254" t="s">
        <v>4520</v>
      </c>
      <c r="D4544" s="255" t="s">
        <v>18504</v>
      </c>
      <c r="E4544" s="253" t="s">
        <v>8722</v>
      </c>
    </row>
    <row r="4545" spans="1:5" ht="15">
      <c r="A4545" s="254">
        <v>40946</v>
      </c>
      <c r="B4545" s="254" t="s">
        <v>25554</v>
      </c>
      <c r="C4545" s="254" t="s">
        <v>4528</v>
      </c>
      <c r="D4545" s="255" t="s">
        <v>25555</v>
      </c>
      <c r="E4545" s="253" t="s">
        <v>8722</v>
      </c>
    </row>
    <row r="4546" spans="1:5" ht="15">
      <c r="A4546" s="254">
        <v>7153</v>
      </c>
      <c r="B4546" s="254" t="s">
        <v>25556</v>
      </c>
      <c r="C4546" s="254" t="s">
        <v>4520</v>
      </c>
      <c r="D4546" s="255" t="s">
        <v>25557</v>
      </c>
      <c r="E4546" s="253" t="s">
        <v>8722</v>
      </c>
    </row>
    <row r="4547" spans="1:5" ht="15">
      <c r="A4547" s="254">
        <v>41089</v>
      </c>
      <c r="B4547" s="254" t="s">
        <v>25558</v>
      </c>
      <c r="C4547" s="254" t="s">
        <v>4528</v>
      </c>
      <c r="D4547" s="255" t="s">
        <v>25559</v>
      </c>
      <c r="E4547" s="253" t="s">
        <v>8722</v>
      </c>
    </row>
    <row r="4548" spans="1:5" ht="15">
      <c r="A4548" s="254">
        <v>40943</v>
      </c>
      <c r="B4548" s="254" t="s">
        <v>25560</v>
      </c>
      <c r="C4548" s="254" t="s">
        <v>4520</v>
      </c>
      <c r="D4548" s="255" t="s">
        <v>25561</v>
      </c>
      <c r="E4548" s="253" t="s">
        <v>8722</v>
      </c>
    </row>
    <row r="4549" spans="1:5" ht="15">
      <c r="A4549" s="254">
        <v>40944</v>
      </c>
      <c r="B4549" s="254" t="s">
        <v>25562</v>
      </c>
      <c r="C4549" s="254" t="s">
        <v>4528</v>
      </c>
      <c r="D4549" s="255" t="s">
        <v>25563</v>
      </c>
      <c r="E4549" s="253" t="s">
        <v>8722</v>
      </c>
    </row>
    <row r="4550" spans="1:5" ht="15">
      <c r="A4550" s="254">
        <v>6175</v>
      </c>
      <c r="B4550" s="254" t="s">
        <v>25564</v>
      </c>
      <c r="C4550" s="254" t="s">
        <v>4520</v>
      </c>
      <c r="D4550" s="255" t="s">
        <v>25565</v>
      </c>
      <c r="E4550" s="253" t="s">
        <v>8722</v>
      </c>
    </row>
    <row r="4551" spans="1:5" ht="15">
      <c r="A4551" s="254">
        <v>41092</v>
      </c>
      <c r="B4551" s="254" t="s">
        <v>25566</v>
      </c>
      <c r="C4551" s="254" t="s">
        <v>4528</v>
      </c>
      <c r="D4551" s="255" t="s">
        <v>25567</v>
      </c>
      <c r="E4551" s="253" t="s">
        <v>8722</v>
      </c>
    </row>
    <row r="4552" spans="1:5" ht="30">
      <c r="A4552" s="254">
        <v>37712</v>
      </c>
      <c r="B4552" s="254" t="s">
        <v>25568</v>
      </c>
      <c r="C4552" s="254" t="s">
        <v>4523</v>
      </c>
      <c r="D4552" s="255" t="s">
        <v>25569</v>
      </c>
      <c r="E4552" s="253" t="s">
        <v>170</v>
      </c>
    </row>
    <row r="4553" spans="1:5" ht="30">
      <c r="A4553" s="254">
        <v>34547</v>
      </c>
      <c r="B4553" s="254" t="s">
        <v>25570</v>
      </c>
      <c r="C4553" s="254" t="s">
        <v>4524</v>
      </c>
      <c r="D4553" s="255" t="s">
        <v>14552</v>
      </c>
      <c r="E4553" s="253" t="s">
        <v>170</v>
      </c>
    </row>
    <row r="4554" spans="1:5" ht="30">
      <c r="A4554" s="254">
        <v>34548</v>
      </c>
      <c r="B4554" s="254" t="s">
        <v>25571</v>
      </c>
      <c r="C4554" s="254" t="s">
        <v>4524</v>
      </c>
      <c r="D4554" s="255" t="s">
        <v>18541</v>
      </c>
      <c r="E4554" s="253" t="s">
        <v>170</v>
      </c>
    </row>
    <row r="4555" spans="1:5" ht="30">
      <c r="A4555" s="254">
        <v>34558</v>
      </c>
      <c r="B4555" s="254" t="s">
        <v>25572</v>
      </c>
      <c r="C4555" s="254" t="s">
        <v>4524</v>
      </c>
      <c r="D4555" s="255" t="s">
        <v>18445</v>
      </c>
      <c r="E4555" s="253" t="s">
        <v>170</v>
      </c>
    </row>
    <row r="4556" spans="1:5" ht="30">
      <c r="A4556" s="254">
        <v>34550</v>
      </c>
      <c r="B4556" s="254" t="s">
        <v>25573</v>
      </c>
      <c r="C4556" s="254" t="s">
        <v>4524</v>
      </c>
      <c r="D4556" s="255" t="s">
        <v>14402</v>
      </c>
      <c r="E4556" s="253" t="s">
        <v>170</v>
      </c>
    </row>
    <row r="4557" spans="1:5" ht="30">
      <c r="A4557" s="254">
        <v>34557</v>
      </c>
      <c r="B4557" s="254" t="s">
        <v>25574</v>
      </c>
      <c r="C4557" s="254" t="s">
        <v>4524</v>
      </c>
      <c r="D4557" s="255" t="s">
        <v>18507</v>
      </c>
      <c r="E4557" s="253" t="s">
        <v>170</v>
      </c>
    </row>
    <row r="4558" spans="1:5" ht="30">
      <c r="A4558" s="254">
        <v>37411</v>
      </c>
      <c r="B4558" s="254" t="s">
        <v>25575</v>
      </c>
      <c r="C4558" s="254" t="s">
        <v>4523</v>
      </c>
      <c r="D4558" s="255" t="s">
        <v>25053</v>
      </c>
      <c r="E4558" s="253" t="s">
        <v>170</v>
      </c>
    </row>
    <row r="4559" spans="1:5" ht="30">
      <c r="A4559" s="254">
        <v>39508</v>
      </c>
      <c r="B4559" s="254" t="s">
        <v>25576</v>
      </c>
      <c r="C4559" s="254" t="s">
        <v>4523</v>
      </c>
      <c r="D4559" s="255" t="s">
        <v>15772</v>
      </c>
      <c r="E4559" s="253" t="s">
        <v>170</v>
      </c>
    </row>
    <row r="4560" spans="1:5" ht="30">
      <c r="A4560" s="254">
        <v>39507</v>
      </c>
      <c r="B4560" s="254" t="s">
        <v>25577</v>
      </c>
      <c r="C4560" s="254" t="s">
        <v>4523</v>
      </c>
      <c r="D4560" s="255" t="s">
        <v>16580</v>
      </c>
      <c r="E4560" s="253" t="s">
        <v>170</v>
      </c>
    </row>
    <row r="4561" spans="1:5" ht="30">
      <c r="A4561" s="254">
        <v>7155</v>
      </c>
      <c r="B4561" s="254" t="s">
        <v>25578</v>
      </c>
      <c r="C4561" s="254" t="s">
        <v>4523</v>
      </c>
      <c r="D4561" s="255" t="s">
        <v>15261</v>
      </c>
      <c r="E4561" s="253" t="s">
        <v>170</v>
      </c>
    </row>
    <row r="4562" spans="1:5" ht="30">
      <c r="A4562" s="254">
        <v>42406</v>
      </c>
      <c r="B4562" s="254" t="s">
        <v>25579</v>
      </c>
      <c r="C4562" s="254" t="s">
        <v>4523</v>
      </c>
      <c r="D4562" s="255" t="s">
        <v>18157</v>
      </c>
      <c r="E4562" s="253" t="s">
        <v>170</v>
      </c>
    </row>
    <row r="4563" spans="1:5" ht="30">
      <c r="A4563" s="254">
        <v>7156</v>
      </c>
      <c r="B4563" s="254" t="s">
        <v>25580</v>
      </c>
      <c r="C4563" s="254" t="s">
        <v>4523</v>
      </c>
      <c r="D4563" s="255" t="s">
        <v>18895</v>
      </c>
      <c r="E4563" s="253" t="s">
        <v>170</v>
      </c>
    </row>
    <row r="4564" spans="1:5" ht="45">
      <c r="A4564" s="254">
        <v>43127</v>
      </c>
      <c r="B4564" s="254" t="s">
        <v>25581</v>
      </c>
      <c r="C4564" s="254" t="s">
        <v>4523</v>
      </c>
      <c r="D4564" s="256" t="s">
        <v>13998</v>
      </c>
      <c r="E4564" s="253" t="s">
        <v>170</v>
      </c>
    </row>
    <row r="4565" spans="1:5" ht="30">
      <c r="A4565" s="254">
        <v>10917</v>
      </c>
      <c r="B4565" s="254" t="s">
        <v>25582</v>
      </c>
      <c r="C4565" s="254" t="s">
        <v>4523</v>
      </c>
      <c r="D4565" s="256" t="s">
        <v>16471</v>
      </c>
      <c r="E4565" s="253" t="s">
        <v>170</v>
      </c>
    </row>
    <row r="4566" spans="1:5" ht="45">
      <c r="A4566" s="254">
        <v>21141</v>
      </c>
      <c r="B4566" s="254" t="s">
        <v>25583</v>
      </c>
      <c r="C4566" s="254" t="s">
        <v>4523</v>
      </c>
      <c r="D4566" s="256" t="s">
        <v>15481</v>
      </c>
      <c r="E4566" s="253" t="s">
        <v>170</v>
      </c>
    </row>
    <row r="4567" spans="1:5" ht="30">
      <c r="A4567" s="254">
        <v>39509</v>
      </c>
      <c r="B4567" s="254" t="s">
        <v>25584</v>
      </c>
      <c r="C4567" s="254" t="s">
        <v>4523</v>
      </c>
      <c r="D4567" s="256" t="s">
        <v>17520</v>
      </c>
      <c r="E4567" s="253" t="s">
        <v>170</v>
      </c>
    </row>
    <row r="4568" spans="1:5" ht="15">
      <c r="A4568" s="254">
        <v>25988</v>
      </c>
      <c r="B4568" s="254" t="s">
        <v>25585</v>
      </c>
      <c r="C4568" s="254" t="s">
        <v>4523</v>
      </c>
      <c r="D4568" s="256" t="s">
        <v>16466</v>
      </c>
      <c r="E4568" s="253" t="s">
        <v>170</v>
      </c>
    </row>
    <row r="4569" spans="1:5" ht="30">
      <c r="A4569" s="254">
        <v>7167</v>
      </c>
      <c r="B4569" s="254" t="s">
        <v>25586</v>
      </c>
      <c r="C4569" s="254" t="s">
        <v>4523</v>
      </c>
      <c r="D4569" s="256" t="s">
        <v>18493</v>
      </c>
      <c r="E4569" s="253" t="s">
        <v>170</v>
      </c>
    </row>
    <row r="4570" spans="1:5" ht="30">
      <c r="A4570" s="254">
        <v>10928</v>
      </c>
      <c r="B4570" s="254" t="s">
        <v>25587</v>
      </c>
      <c r="C4570" s="254" t="s">
        <v>4523</v>
      </c>
      <c r="D4570" s="256" t="s">
        <v>20844</v>
      </c>
      <c r="E4570" s="253" t="s">
        <v>170</v>
      </c>
    </row>
    <row r="4571" spans="1:5" ht="30">
      <c r="A4571" s="254">
        <v>10933</v>
      </c>
      <c r="B4571" s="254" t="s">
        <v>25588</v>
      </c>
      <c r="C4571" s="254" t="s">
        <v>4523</v>
      </c>
      <c r="D4571" s="256" t="s">
        <v>25589</v>
      </c>
      <c r="E4571" s="253" t="s">
        <v>170</v>
      </c>
    </row>
    <row r="4572" spans="1:5" ht="30">
      <c r="A4572" s="254">
        <v>7158</v>
      </c>
      <c r="B4572" s="254" t="s">
        <v>25590</v>
      </c>
      <c r="C4572" s="254" t="s">
        <v>4523</v>
      </c>
      <c r="D4572" s="256" t="s">
        <v>14958</v>
      </c>
      <c r="E4572" s="253" t="s">
        <v>170</v>
      </c>
    </row>
    <row r="4573" spans="1:5" ht="30">
      <c r="A4573" s="254">
        <v>10927</v>
      </c>
      <c r="B4573" s="254" t="s">
        <v>25591</v>
      </c>
      <c r="C4573" s="254" t="s">
        <v>4523</v>
      </c>
      <c r="D4573" s="256" t="s">
        <v>16615</v>
      </c>
      <c r="E4573" s="253" t="s">
        <v>170</v>
      </c>
    </row>
    <row r="4574" spans="1:5" ht="30">
      <c r="A4574" s="254">
        <v>7162</v>
      </c>
      <c r="B4574" s="254" t="s">
        <v>25592</v>
      </c>
      <c r="C4574" s="254" t="s">
        <v>4523</v>
      </c>
      <c r="D4574" s="256" t="s">
        <v>25593</v>
      </c>
      <c r="E4574" s="253" t="s">
        <v>170</v>
      </c>
    </row>
    <row r="4575" spans="1:5" ht="30">
      <c r="A4575" s="254">
        <v>10932</v>
      </c>
      <c r="B4575" s="254" t="s">
        <v>25594</v>
      </c>
      <c r="C4575" s="254" t="s">
        <v>4523</v>
      </c>
      <c r="D4575" s="256" t="s">
        <v>16937</v>
      </c>
      <c r="E4575" s="253" t="s">
        <v>170</v>
      </c>
    </row>
    <row r="4576" spans="1:5" ht="30">
      <c r="A4576" s="254">
        <v>10937</v>
      </c>
      <c r="B4576" s="254" t="s">
        <v>25595</v>
      </c>
      <c r="C4576" s="254" t="s">
        <v>4523</v>
      </c>
      <c r="D4576" s="256" t="s">
        <v>14360</v>
      </c>
      <c r="E4576" s="253" t="s">
        <v>170</v>
      </c>
    </row>
    <row r="4577" spans="1:5" ht="30">
      <c r="A4577" s="254">
        <v>10935</v>
      </c>
      <c r="B4577" s="254" t="s">
        <v>25596</v>
      </c>
      <c r="C4577" s="254" t="s">
        <v>4523</v>
      </c>
      <c r="D4577" s="256" t="s">
        <v>18065</v>
      </c>
      <c r="E4577" s="253" t="s">
        <v>170</v>
      </c>
    </row>
    <row r="4578" spans="1:5" ht="30">
      <c r="A4578" s="254">
        <v>10931</v>
      </c>
      <c r="B4578" s="254" t="s">
        <v>25597</v>
      </c>
      <c r="C4578" s="254" t="s">
        <v>4523</v>
      </c>
      <c r="D4578" s="256" t="s">
        <v>15462</v>
      </c>
      <c r="E4578" s="253" t="s">
        <v>170</v>
      </c>
    </row>
    <row r="4579" spans="1:5" ht="15">
      <c r="A4579" s="254">
        <v>7164</v>
      </c>
      <c r="B4579" s="254" t="s">
        <v>25598</v>
      </c>
      <c r="C4579" s="254" t="s">
        <v>4523</v>
      </c>
      <c r="D4579" s="256" t="s">
        <v>15839</v>
      </c>
      <c r="E4579" s="253" t="s">
        <v>170</v>
      </c>
    </row>
    <row r="4580" spans="1:5" ht="15">
      <c r="A4580" s="254">
        <v>36887</v>
      </c>
      <c r="B4580" s="254" t="s">
        <v>25599</v>
      </c>
      <c r="C4580" s="254" t="s">
        <v>4523</v>
      </c>
      <c r="D4580" s="256" t="s">
        <v>16416</v>
      </c>
      <c r="E4580" s="253" t="s">
        <v>170</v>
      </c>
    </row>
    <row r="4581" spans="1:5" ht="45">
      <c r="A4581" s="254">
        <v>34630</v>
      </c>
      <c r="B4581" s="254" t="s">
        <v>25600</v>
      </c>
      <c r="C4581" s="254" t="s">
        <v>4521</v>
      </c>
      <c r="D4581" s="256" t="s">
        <v>25601</v>
      </c>
      <c r="E4581" s="253" t="s">
        <v>170</v>
      </c>
    </row>
    <row r="4582" spans="1:5" ht="15">
      <c r="A4582" s="254">
        <v>7161</v>
      </c>
      <c r="B4582" s="254" t="s">
        <v>25602</v>
      </c>
      <c r="C4582" s="254" t="s">
        <v>4523</v>
      </c>
      <c r="D4582" s="256" t="s">
        <v>15810</v>
      </c>
      <c r="E4582" s="253" t="s">
        <v>170</v>
      </c>
    </row>
    <row r="4583" spans="1:5" ht="30">
      <c r="A4583" s="254">
        <v>7170</v>
      </c>
      <c r="B4583" s="254" t="s">
        <v>25603</v>
      </c>
      <c r="C4583" s="254" t="s">
        <v>4523</v>
      </c>
      <c r="D4583" s="256" t="s">
        <v>18439</v>
      </c>
      <c r="E4583" s="253" t="s">
        <v>170</v>
      </c>
    </row>
    <row r="4584" spans="1:5" ht="30">
      <c r="A4584" s="254">
        <v>37524</v>
      </c>
      <c r="B4584" s="254" t="s">
        <v>25604</v>
      </c>
      <c r="C4584" s="254" t="s">
        <v>4524</v>
      </c>
      <c r="D4584" s="256" t="s">
        <v>17924</v>
      </c>
      <c r="E4584" s="253" t="s">
        <v>170</v>
      </c>
    </row>
    <row r="4585" spans="1:5" ht="30">
      <c r="A4585" s="254">
        <v>37525</v>
      </c>
      <c r="B4585" s="254" t="s">
        <v>25605</v>
      </c>
      <c r="C4585" s="254" t="s">
        <v>4524</v>
      </c>
      <c r="D4585" s="256" t="s">
        <v>14232</v>
      </c>
      <c r="E4585" s="253" t="s">
        <v>170</v>
      </c>
    </row>
    <row r="4586" spans="1:5" ht="30">
      <c r="A4586" s="254">
        <v>36789</v>
      </c>
      <c r="B4586" s="254" t="s">
        <v>25606</v>
      </c>
      <c r="C4586" s="254" t="s">
        <v>4521</v>
      </c>
      <c r="D4586" s="256" t="s">
        <v>14148</v>
      </c>
      <c r="E4586" s="253" t="s">
        <v>170</v>
      </c>
    </row>
    <row r="4587" spans="1:5" ht="45">
      <c r="A4587" s="254">
        <v>7173</v>
      </c>
      <c r="B4587" s="254" t="s">
        <v>25607</v>
      </c>
      <c r="C4587" s="254" t="s">
        <v>4532</v>
      </c>
      <c r="D4587" s="256" t="s">
        <v>25608</v>
      </c>
      <c r="E4587" s="253" t="s">
        <v>170</v>
      </c>
    </row>
    <row r="4588" spans="1:5" ht="30">
      <c r="A4588" s="254">
        <v>7175</v>
      </c>
      <c r="B4588" s="254" t="s">
        <v>25609</v>
      </c>
      <c r="C4588" s="254" t="s">
        <v>4521</v>
      </c>
      <c r="D4588" s="256" t="s">
        <v>13750</v>
      </c>
      <c r="E4588" s="253" t="s">
        <v>170</v>
      </c>
    </row>
    <row r="4589" spans="1:5" ht="30">
      <c r="A4589" s="254">
        <v>40865</v>
      </c>
      <c r="B4589" s="254" t="s">
        <v>25610</v>
      </c>
      <c r="C4589" s="254" t="s">
        <v>4521</v>
      </c>
      <c r="D4589" s="256" t="s">
        <v>18738</v>
      </c>
      <c r="E4589" s="253" t="s">
        <v>170</v>
      </c>
    </row>
    <row r="4590" spans="1:5" ht="15">
      <c r="A4590" s="254">
        <v>7184</v>
      </c>
      <c r="B4590" s="254" t="s">
        <v>25611</v>
      </c>
      <c r="C4590" s="254" t="s">
        <v>4523</v>
      </c>
      <c r="D4590" s="256" t="s">
        <v>25612</v>
      </c>
      <c r="E4590" s="253" t="s">
        <v>170</v>
      </c>
    </row>
    <row r="4591" spans="1:5" ht="15">
      <c r="A4591" s="254">
        <v>34458</v>
      </c>
      <c r="B4591" s="254" t="s">
        <v>25613</v>
      </c>
      <c r="C4591" s="254" t="s">
        <v>4521</v>
      </c>
      <c r="D4591" s="255" t="s">
        <v>25614</v>
      </c>
      <c r="E4591" s="253" t="s">
        <v>170</v>
      </c>
    </row>
    <row r="4592" spans="1:5" ht="15">
      <c r="A4592" s="254">
        <v>34464</v>
      </c>
      <c r="B4592" s="254" t="s">
        <v>25615</v>
      </c>
      <c r="C4592" s="254" t="s">
        <v>4521</v>
      </c>
      <c r="D4592" s="255" t="s">
        <v>25616</v>
      </c>
      <c r="E4592" s="253" t="s">
        <v>170</v>
      </c>
    </row>
    <row r="4593" spans="1:5" ht="15">
      <c r="A4593" s="254">
        <v>34468</v>
      </c>
      <c r="B4593" s="254" t="s">
        <v>25617</v>
      </c>
      <c r="C4593" s="254" t="s">
        <v>4521</v>
      </c>
      <c r="D4593" s="255" t="s">
        <v>25618</v>
      </c>
      <c r="E4593" s="253" t="s">
        <v>170</v>
      </c>
    </row>
    <row r="4594" spans="1:5" ht="15">
      <c r="A4594" s="254">
        <v>34473</v>
      </c>
      <c r="B4594" s="254" t="s">
        <v>25619</v>
      </c>
      <c r="C4594" s="254" t="s">
        <v>4521</v>
      </c>
      <c r="D4594" s="255" t="s">
        <v>25620</v>
      </c>
      <c r="E4594" s="253" t="s">
        <v>170</v>
      </c>
    </row>
    <row r="4595" spans="1:5" ht="15">
      <c r="A4595" s="254">
        <v>34480</v>
      </c>
      <c r="B4595" s="254" t="s">
        <v>25621</v>
      </c>
      <c r="C4595" s="254" t="s">
        <v>4521</v>
      </c>
      <c r="D4595" s="255" t="s">
        <v>25622</v>
      </c>
      <c r="E4595" s="253" t="s">
        <v>170</v>
      </c>
    </row>
    <row r="4596" spans="1:5" ht="15">
      <c r="A4596" s="254">
        <v>34486</v>
      </c>
      <c r="B4596" s="254" t="s">
        <v>25623</v>
      </c>
      <c r="C4596" s="254" t="s">
        <v>4521</v>
      </c>
      <c r="D4596" s="255" t="s">
        <v>25624</v>
      </c>
      <c r="E4596" s="253" t="s">
        <v>170</v>
      </c>
    </row>
    <row r="4597" spans="1:5" ht="15">
      <c r="A4597" s="254">
        <v>7202</v>
      </c>
      <c r="B4597" s="254" t="s">
        <v>25625</v>
      </c>
      <c r="C4597" s="254" t="s">
        <v>4523</v>
      </c>
      <c r="D4597" s="255" t="s">
        <v>14564</v>
      </c>
      <c r="E4597" s="253" t="s">
        <v>170</v>
      </c>
    </row>
    <row r="4598" spans="1:5" ht="15">
      <c r="A4598" s="254">
        <v>7190</v>
      </c>
      <c r="B4598" s="254" t="s">
        <v>25626</v>
      </c>
      <c r="C4598" s="254" t="s">
        <v>4521</v>
      </c>
      <c r="D4598" s="255" t="s">
        <v>13621</v>
      </c>
      <c r="E4598" s="253" t="s">
        <v>170</v>
      </c>
    </row>
    <row r="4599" spans="1:5" ht="15">
      <c r="A4599" s="254">
        <v>34417</v>
      </c>
      <c r="B4599" s="254" t="s">
        <v>25627</v>
      </c>
      <c r="C4599" s="254" t="s">
        <v>4521</v>
      </c>
      <c r="D4599" s="255" t="s">
        <v>18447</v>
      </c>
      <c r="E4599" s="253" t="s">
        <v>170</v>
      </c>
    </row>
    <row r="4600" spans="1:5" ht="15">
      <c r="A4600" s="254">
        <v>7191</v>
      </c>
      <c r="B4600" s="254" t="s">
        <v>25628</v>
      </c>
      <c r="C4600" s="254" t="s">
        <v>4521</v>
      </c>
      <c r="D4600" s="255" t="s">
        <v>25629</v>
      </c>
      <c r="E4600" s="253" t="s">
        <v>170</v>
      </c>
    </row>
    <row r="4601" spans="1:5" ht="15">
      <c r="A4601" s="254">
        <v>7213</v>
      </c>
      <c r="B4601" s="254" t="s">
        <v>25628</v>
      </c>
      <c r="C4601" s="254" t="s">
        <v>4523</v>
      </c>
      <c r="D4601" s="255" t="s">
        <v>14271</v>
      </c>
      <c r="E4601" s="253" t="s">
        <v>170</v>
      </c>
    </row>
    <row r="4602" spans="1:5" ht="15">
      <c r="A4602" s="254">
        <v>7195</v>
      </c>
      <c r="B4602" s="254" t="s">
        <v>25630</v>
      </c>
      <c r="C4602" s="254" t="s">
        <v>4521</v>
      </c>
      <c r="D4602" s="255" t="s">
        <v>18243</v>
      </c>
      <c r="E4602" s="253" t="s">
        <v>170</v>
      </c>
    </row>
    <row r="4603" spans="1:5" ht="15">
      <c r="A4603" s="254">
        <v>7186</v>
      </c>
      <c r="B4603" s="254" t="s">
        <v>25631</v>
      </c>
      <c r="C4603" s="254" t="s">
        <v>4521</v>
      </c>
      <c r="D4603" s="255" t="s">
        <v>25632</v>
      </c>
      <c r="E4603" s="253" t="s">
        <v>170</v>
      </c>
    </row>
    <row r="4604" spans="1:5" ht="15">
      <c r="A4604" s="254">
        <v>7194</v>
      </c>
      <c r="B4604" s="254" t="s">
        <v>25633</v>
      </c>
      <c r="C4604" s="254" t="s">
        <v>4523</v>
      </c>
      <c r="D4604" s="255" t="s">
        <v>14508</v>
      </c>
      <c r="E4604" s="253" t="s">
        <v>170</v>
      </c>
    </row>
    <row r="4605" spans="1:5" ht="15">
      <c r="A4605" s="254">
        <v>7207</v>
      </c>
      <c r="B4605" s="254" t="s">
        <v>25633</v>
      </c>
      <c r="C4605" s="254" t="s">
        <v>4521</v>
      </c>
      <c r="D4605" s="255" t="s">
        <v>16160</v>
      </c>
      <c r="E4605" s="253" t="s">
        <v>170</v>
      </c>
    </row>
    <row r="4606" spans="1:5" ht="15">
      <c r="A4606" s="254">
        <v>7197</v>
      </c>
      <c r="B4606" s="254" t="s">
        <v>25634</v>
      </c>
      <c r="C4606" s="254" t="s">
        <v>4521</v>
      </c>
      <c r="D4606" s="255" t="s">
        <v>25635</v>
      </c>
      <c r="E4606" s="253" t="s">
        <v>170</v>
      </c>
    </row>
    <row r="4607" spans="1:5" ht="15">
      <c r="A4607" s="254">
        <v>7192</v>
      </c>
      <c r="B4607" s="254" t="s">
        <v>25636</v>
      </c>
      <c r="C4607" s="254" t="s">
        <v>4521</v>
      </c>
      <c r="D4607" s="255" t="s">
        <v>25637</v>
      </c>
      <c r="E4607" s="253" t="s">
        <v>170</v>
      </c>
    </row>
    <row r="4608" spans="1:5" ht="15">
      <c r="A4608" s="254">
        <v>7193</v>
      </c>
      <c r="B4608" s="254" t="s">
        <v>25638</v>
      </c>
      <c r="C4608" s="254" t="s">
        <v>4521</v>
      </c>
      <c r="D4608" s="255" t="s">
        <v>25639</v>
      </c>
      <c r="E4608" s="253" t="s">
        <v>170</v>
      </c>
    </row>
    <row r="4609" spans="1:5" ht="15">
      <c r="A4609" s="254">
        <v>7189</v>
      </c>
      <c r="B4609" s="254" t="s">
        <v>25640</v>
      </c>
      <c r="C4609" s="254" t="s">
        <v>4521</v>
      </c>
      <c r="D4609" s="255" t="s">
        <v>25641</v>
      </c>
      <c r="E4609" s="253" t="s">
        <v>170</v>
      </c>
    </row>
    <row r="4610" spans="1:5" ht="15">
      <c r="A4610" s="254">
        <v>7198</v>
      </c>
      <c r="B4610" s="254" t="s">
        <v>25642</v>
      </c>
      <c r="C4610" s="254" t="s">
        <v>4523</v>
      </c>
      <c r="D4610" s="255" t="s">
        <v>25643</v>
      </c>
      <c r="E4610" s="253" t="s">
        <v>170</v>
      </c>
    </row>
    <row r="4611" spans="1:5" ht="15">
      <c r="A4611" s="254">
        <v>34402</v>
      </c>
      <c r="B4611" s="254" t="s">
        <v>25642</v>
      </c>
      <c r="C4611" s="254" t="s">
        <v>4521</v>
      </c>
      <c r="D4611" s="255" t="s">
        <v>25644</v>
      </c>
      <c r="E4611" s="253" t="s">
        <v>170</v>
      </c>
    </row>
    <row r="4612" spans="1:5" ht="15">
      <c r="A4612" s="254">
        <v>7245</v>
      </c>
      <c r="B4612" s="254" t="s">
        <v>25645</v>
      </c>
      <c r="C4612" s="254" t="s">
        <v>4521</v>
      </c>
      <c r="D4612" s="255" t="s">
        <v>14450</v>
      </c>
      <c r="E4612" s="253" t="s">
        <v>170</v>
      </c>
    </row>
    <row r="4613" spans="1:5" ht="15">
      <c r="A4613" s="254">
        <v>34425</v>
      </c>
      <c r="B4613" s="254" t="s">
        <v>25646</v>
      </c>
      <c r="C4613" s="254" t="s">
        <v>4521</v>
      </c>
      <c r="D4613" s="255" t="s">
        <v>25647</v>
      </c>
      <c r="E4613" s="253" t="s">
        <v>170</v>
      </c>
    </row>
    <row r="4614" spans="1:5" ht="15">
      <c r="A4614" s="254">
        <v>7223</v>
      </c>
      <c r="B4614" s="254" t="s">
        <v>25648</v>
      </c>
      <c r="C4614" s="254" t="s">
        <v>4521</v>
      </c>
      <c r="D4614" s="255" t="s">
        <v>21399</v>
      </c>
      <c r="E4614" s="253" t="s">
        <v>170</v>
      </c>
    </row>
    <row r="4615" spans="1:5" ht="15">
      <c r="A4615" s="254">
        <v>7234</v>
      </c>
      <c r="B4615" s="254" t="s">
        <v>25649</v>
      </c>
      <c r="C4615" s="254" t="s">
        <v>4521</v>
      </c>
      <c r="D4615" s="255" t="s">
        <v>25650</v>
      </c>
      <c r="E4615" s="253" t="s">
        <v>170</v>
      </c>
    </row>
    <row r="4616" spans="1:5" ht="15">
      <c r="A4616" s="254">
        <v>7224</v>
      </c>
      <c r="B4616" s="254" t="s">
        <v>25651</v>
      </c>
      <c r="C4616" s="254" t="s">
        <v>4521</v>
      </c>
      <c r="D4616" s="255" t="s">
        <v>25652</v>
      </c>
      <c r="E4616" s="253" t="s">
        <v>170</v>
      </c>
    </row>
    <row r="4617" spans="1:5" ht="15">
      <c r="A4617" s="254">
        <v>7221</v>
      </c>
      <c r="B4617" s="254" t="s">
        <v>25653</v>
      </c>
      <c r="C4617" s="254" t="s">
        <v>4523</v>
      </c>
      <c r="D4617" s="255" t="s">
        <v>25654</v>
      </c>
      <c r="E4617" s="253" t="s">
        <v>170</v>
      </c>
    </row>
    <row r="4618" spans="1:5" ht="15">
      <c r="A4618" s="254">
        <v>7210</v>
      </c>
      <c r="B4618" s="254" t="s">
        <v>25653</v>
      </c>
      <c r="C4618" s="254" t="s">
        <v>4521</v>
      </c>
      <c r="D4618" s="255" t="s">
        <v>25655</v>
      </c>
      <c r="E4618" s="253" t="s">
        <v>170</v>
      </c>
    </row>
    <row r="4619" spans="1:5" ht="15">
      <c r="A4619" s="254">
        <v>7225</v>
      </c>
      <c r="B4619" s="254" t="s">
        <v>25656</v>
      </c>
      <c r="C4619" s="254" t="s">
        <v>4521</v>
      </c>
      <c r="D4619" s="255" t="s">
        <v>25657</v>
      </c>
      <c r="E4619" s="253" t="s">
        <v>170</v>
      </c>
    </row>
    <row r="4620" spans="1:5" ht="15">
      <c r="A4620" s="254">
        <v>7226</v>
      </c>
      <c r="B4620" s="254" t="s">
        <v>25658</v>
      </c>
      <c r="C4620" s="254" t="s">
        <v>4521</v>
      </c>
      <c r="D4620" s="255" t="s">
        <v>25659</v>
      </c>
      <c r="E4620" s="253" t="s">
        <v>170</v>
      </c>
    </row>
    <row r="4621" spans="1:5" ht="15">
      <c r="A4621" s="254">
        <v>7236</v>
      </c>
      <c r="B4621" s="254" t="s">
        <v>25660</v>
      </c>
      <c r="C4621" s="254" t="s">
        <v>4521</v>
      </c>
      <c r="D4621" s="255" t="s">
        <v>15312</v>
      </c>
      <c r="E4621" s="253" t="s">
        <v>170</v>
      </c>
    </row>
    <row r="4622" spans="1:5" ht="15">
      <c r="A4622" s="254">
        <v>7227</v>
      </c>
      <c r="B4622" s="254" t="s">
        <v>25661</v>
      </c>
      <c r="C4622" s="254" t="s">
        <v>4521</v>
      </c>
      <c r="D4622" s="255" t="s">
        <v>25662</v>
      </c>
      <c r="E4622" s="253" t="s">
        <v>170</v>
      </c>
    </row>
    <row r="4623" spans="1:5" ht="15">
      <c r="A4623" s="254">
        <v>7212</v>
      </c>
      <c r="B4623" s="254" t="s">
        <v>25663</v>
      </c>
      <c r="C4623" s="254" t="s">
        <v>4521</v>
      </c>
      <c r="D4623" s="255" t="s">
        <v>25664</v>
      </c>
      <c r="E4623" s="253" t="s">
        <v>170</v>
      </c>
    </row>
    <row r="4624" spans="1:5" ht="15">
      <c r="A4624" s="254">
        <v>7229</v>
      </c>
      <c r="B4624" s="254" t="s">
        <v>25665</v>
      </c>
      <c r="C4624" s="254" t="s">
        <v>4521</v>
      </c>
      <c r="D4624" s="255" t="s">
        <v>25666</v>
      </c>
      <c r="E4624" s="253" t="s">
        <v>170</v>
      </c>
    </row>
    <row r="4625" spans="1:5" ht="15">
      <c r="A4625" s="254">
        <v>7230</v>
      </c>
      <c r="B4625" s="254" t="s">
        <v>25667</v>
      </c>
      <c r="C4625" s="254" t="s">
        <v>4521</v>
      </c>
      <c r="D4625" s="255" t="s">
        <v>25668</v>
      </c>
      <c r="E4625" s="253" t="s">
        <v>170</v>
      </c>
    </row>
    <row r="4626" spans="1:5" ht="15">
      <c r="A4626" s="254">
        <v>7231</v>
      </c>
      <c r="B4626" s="254" t="s">
        <v>25669</v>
      </c>
      <c r="C4626" s="254" t="s">
        <v>4521</v>
      </c>
      <c r="D4626" s="255" t="s">
        <v>25670</v>
      </c>
      <c r="E4626" s="253" t="s">
        <v>170</v>
      </c>
    </row>
    <row r="4627" spans="1:5" ht="15">
      <c r="A4627" s="254">
        <v>7220</v>
      </c>
      <c r="B4627" s="254" t="s">
        <v>25671</v>
      </c>
      <c r="C4627" s="254" t="s">
        <v>4521</v>
      </c>
      <c r="D4627" s="255" t="s">
        <v>25672</v>
      </c>
      <c r="E4627" s="253" t="s">
        <v>170</v>
      </c>
    </row>
    <row r="4628" spans="1:5" ht="15">
      <c r="A4628" s="254">
        <v>34447</v>
      </c>
      <c r="B4628" s="254" t="s">
        <v>25673</v>
      </c>
      <c r="C4628" s="254" t="s">
        <v>4521</v>
      </c>
      <c r="D4628" s="255" t="s">
        <v>25674</v>
      </c>
      <c r="E4628" s="253" t="s">
        <v>170</v>
      </c>
    </row>
    <row r="4629" spans="1:5" ht="15">
      <c r="A4629" s="254">
        <v>7233</v>
      </c>
      <c r="B4629" s="254" t="s">
        <v>25675</v>
      </c>
      <c r="C4629" s="254" t="s">
        <v>4521</v>
      </c>
      <c r="D4629" s="255" t="s">
        <v>25676</v>
      </c>
      <c r="E4629" s="253" t="s">
        <v>170</v>
      </c>
    </row>
    <row r="4630" spans="1:5" ht="60">
      <c r="A4630" s="254">
        <v>42172</v>
      </c>
      <c r="B4630" s="254" t="s">
        <v>25677</v>
      </c>
      <c r="C4630" s="254" t="s">
        <v>4523</v>
      </c>
      <c r="D4630" s="255" t="s">
        <v>25678</v>
      </c>
      <c r="E4630" s="253" t="s">
        <v>170</v>
      </c>
    </row>
    <row r="4631" spans="1:5" ht="30">
      <c r="A4631" s="254">
        <v>25007</v>
      </c>
      <c r="B4631" s="254" t="s">
        <v>25679</v>
      </c>
      <c r="C4631" s="254" t="s">
        <v>4523</v>
      </c>
      <c r="D4631" s="256" t="s">
        <v>15554</v>
      </c>
      <c r="E4631" s="253" t="s">
        <v>170</v>
      </c>
    </row>
    <row r="4632" spans="1:5" ht="75">
      <c r="A4632" s="254">
        <v>43071</v>
      </c>
      <c r="B4632" s="254" t="s">
        <v>25680</v>
      </c>
      <c r="C4632" s="254" t="s">
        <v>4523</v>
      </c>
      <c r="D4632" s="255" t="s">
        <v>22006</v>
      </c>
      <c r="E4632" s="253" t="s">
        <v>170</v>
      </c>
    </row>
    <row r="4633" spans="1:5" ht="60">
      <c r="A4633" s="254">
        <v>39520</v>
      </c>
      <c r="B4633" s="254" t="s">
        <v>25681</v>
      </c>
      <c r="C4633" s="254" t="s">
        <v>4523</v>
      </c>
      <c r="D4633" s="255" t="s">
        <v>25682</v>
      </c>
      <c r="E4633" s="253" t="s">
        <v>170</v>
      </c>
    </row>
    <row r="4634" spans="1:5" ht="60">
      <c r="A4634" s="254">
        <v>39521</v>
      </c>
      <c r="B4634" s="254" t="s">
        <v>25683</v>
      </c>
      <c r="C4634" s="254" t="s">
        <v>4523</v>
      </c>
      <c r="D4634" s="255" t="s">
        <v>25684</v>
      </c>
      <c r="E4634" s="253" t="s">
        <v>170</v>
      </c>
    </row>
    <row r="4635" spans="1:5" ht="60">
      <c r="A4635" s="254">
        <v>39522</v>
      </c>
      <c r="B4635" s="254" t="s">
        <v>25685</v>
      </c>
      <c r="C4635" s="254" t="s">
        <v>4523</v>
      </c>
      <c r="D4635" s="255" t="s">
        <v>25686</v>
      </c>
      <c r="E4635" s="253" t="s">
        <v>170</v>
      </c>
    </row>
    <row r="4636" spans="1:5" ht="30">
      <c r="A4636" s="254">
        <v>7243</v>
      </c>
      <c r="B4636" s="254" t="s">
        <v>25687</v>
      </c>
      <c r="C4636" s="254" t="s">
        <v>4523</v>
      </c>
      <c r="D4636" s="255" t="s">
        <v>25688</v>
      </c>
      <c r="E4636" s="253" t="s">
        <v>170</v>
      </c>
    </row>
    <row r="4637" spans="1:5" ht="30">
      <c r="A4637" s="254">
        <v>11067</v>
      </c>
      <c r="B4637" s="254" t="s">
        <v>25689</v>
      </c>
      <c r="C4637" s="254" t="s">
        <v>4521</v>
      </c>
      <c r="D4637" s="255" t="s">
        <v>25690</v>
      </c>
      <c r="E4637" s="253" t="s">
        <v>170</v>
      </c>
    </row>
    <row r="4638" spans="1:5" ht="30">
      <c r="A4638" s="254">
        <v>11068</v>
      </c>
      <c r="B4638" s="254" t="s">
        <v>25691</v>
      </c>
      <c r="C4638" s="254" t="s">
        <v>4521</v>
      </c>
      <c r="D4638" s="255" t="s">
        <v>25692</v>
      </c>
      <c r="E4638" s="253" t="s">
        <v>170</v>
      </c>
    </row>
    <row r="4639" spans="1:5" ht="15">
      <c r="A4639" s="254">
        <v>7246</v>
      </c>
      <c r="B4639" s="254" t="s">
        <v>25693</v>
      </c>
      <c r="C4639" s="254" t="s">
        <v>4521</v>
      </c>
      <c r="D4639" s="255" t="s">
        <v>16543</v>
      </c>
      <c r="E4639" s="253" t="s">
        <v>170</v>
      </c>
    </row>
    <row r="4640" spans="1:5" ht="15">
      <c r="A4640" s="254">
        <v>12869</v>
      </c>
      <c r="B4640" s="254" t="s">
        <v>25694</v>
      </c>
      <c r="C4640" s="254" t="s">
        <v>4520</v>
      </c>
      <c r="D4640" s="255" t="s">
        <v>18574</v>
      </c>
      <c r="E4640" s="253" t="s">
        <v>8722</v>
      </c>
    </row>
    <row r="4641" spans="1:5" ht="15">
      <c r="A4641" s="254">
        <v>41097</v>
      </c>
      <c r="B4641" s="254" t="s">
        <v>25695</v>
      </c>
      <c r="C4641" s="254" t="s">
        <v>4528</v>
      </c>
      <c r="D4641" s="255" t="s">
        <v>24104</v>
      </c>
      <c r="E4641" s="253" t="s">
        <v>8722</v>
      </c>
    </row>
    <row r="4642" spans="1:5" ht="30">
      <c r="A4642" s="254">
        <v>1574</v>
      </c>
      <c r="B4642" s="254" t="s">
        <v>25696</v>
      </c>
      <c r="C4642" s="254" t="s">
        <v>4521</v>
      </c>
      <c r="D4642" s="255" t="s">
        <v>17655</v>
      </c>
      <c r="E4642" s="253" t="s">
        <v>170</v>
      </c>
    </row>
    <row r="4643" spans="1:5" ht="30">
      <c r="A4643" s="254">
        <v>1581</v>
      </c>
      <c r="B4643" s="254" t="s">
        <v>25697</v>
      </c>
      <c r="C4643" s="254" t="s">
        <v>4521</v>
      </c>
      <c r="D4643" s="255" t="s">
        <v>14628</v>
      </c>
      <c r="E4643" s="253" t="s">
        <v>170</v>
      </c>
    </row>
    <row r="4644" spans="1:5" ht="30">
      <c r="A4644" s="254">
        <v>1575</v>
      </c>
      <c r="B4644" s="254" t="s">
        <v>25698</v>
      </c>
      <c r="C4644" s="254" t="s">
        <v>4521</v>
      </c>
      <c r="D4644" s="255" t="s">
        <v>13643</v>
      </c>
      <c r="E4644" s="253" t="s">
        <v>170</v>
      </c>
    </row>
    <row r="4645" spans="1:5" ht="30">
      <c r="A4645" s="254">
        <v>1570</v>
      </c>
      <c r="B4645" s="254" t="s">
        <v>25699</v>
      </c>
      <c r="C4645" s="254" t="s">
        <v>4521</v>
      </c>
      <c r="D4645" s="255" t="s">
        <v>14013</v>
      </c>
      <c r="E4645" s="253" t="s">
        <v>170</v>
      </c>
    </row>
    <row r="4646" spans="1:5" ht="30">
      <c r="A4646" s="254">
        <v>1576</v>
      </c>
      <c r="B4646" s="254" t="s">
        <v>25700</v>
      </c>
      <c r="C4646" s="254" t="s">
        <v>4521</v>
      </c>
      <c r="D4646" s="255" t="s">
        <v>14274</v>
      </c>
      <c r="E4646" s="253" t="s">
        <v>170</v>
      </c>
    </row>
    <row r="4647" spans="1:5" ht="30">
      <c r="A4647" s="254">
        <v>1577</v>
      </c>
      <c r="B4647" s="254" t="s">
        <v>25701</v>
      </c>
      <c r="C4647" s="254" t="s">
        <v>4521</v>
      </c>
      <c r="D4647" s="255" t="s">
        <v>14277</v>
      </c>
      <c r="E4647" s="253" t="s">
        <v>170</v>
      </c>
    </row>
    <row r="4648" spans="1:5" ht="30">
      <c r="A4648" s="254">
        <v>1571</v>
      </c>
      <c r="B4648" s="254" t="s">
        <v>25702</v>
      </c>
      <c r="C4648" s="254" t="s">
        <v>4521</v>
      </c>
      <c r="D4648" s="255" t="s">
        <v>14190</v>
      </c>
      <c r="E4648" s="253" t="s">
        <v>170</v>
      </c>
    </row>
    <row r="4649" spans="1:5" ht="30">
      <c r="A4649" s="254">
        <v>1578</v>
      </c>
      <c r="B4649" s="254" t="s">
        <v>25703</v>
      </c>
      <c r="C4649" s="254" t="s">
        <v>4521</v>
      </c>
      <c r="D4649" s="255" t="s">
        <v>17524</v>
      </c>
      <c r="E4649" s="253" t="s">
        <v>170</v>
      </c>
    </row>
    <row r="4650" spans="1:5" ht="30">
      <c r="A4650" s="254">
        <v>1573</v>
      </c>
      <c r="B4650" s="254" t="s">
        <v>25704</v>
      </c>
      <c r="C4650" s="254" t="s">
        <v>4521</v>
      </c>
      <c r="D4650" s="255" t="s">
        <v>24991</v>
      </c>
      <c r="E4650" s="253" t="s">
        <v>170</v>
      </c>
    </row>
    <row r="4651" spans="1:5" ht="30">
      <c r="A4651" s="254">
        <v>1579</v>
      </c>
      <c r="B4651" s="254" t="s">
        <v>25705</v>
      </c>
      <c r="C4651" s="254" t="s">
        <v>4521</v>
      </c>
      <c r="D4651" s="255" t="s">
        <v>24244</v>
      </c>
      <c r="E4651" s="253" t="s">
        <v>170</v>
      </c>
    </row>
    <row r="4652" spans="1:5" ht="30">
      <c r="A4652" s="254">
        <v>1580</v>
      </c>
      <c r="B4652" s="254" t="s">
        <v>25706</v>
      </c>
      <c r="C4652" s="254" t="s">
        <v>4521</v>
      </c>
      <c r="D4652" s="255" t="s">
        <v>16187</v>
      </c>
      <c r="E4652" s="253" t="s">
        <v>170</v>
      </c>
    </row>
    <row r="4653" spans="1:5" ht="30">
      <c r="A4653" s="254">
        <v>7571</v>
      </c>
      <c r="B4653" s="254" t="s">
        <v>25707</v>
      </c>
      <c r="C4653" s="254" t="s">
        <v>4521</v>
      </c>
      <c r="D4653" s="255" t="s">
        <v>25708</v>
      </c>
      <c r="E4653" s="253" t="s">
        <v>170</v>
      </c>
    </row>
    <row r="4654" spans="1:5" ht="15">
      <c r="A4654" s="254">
        <v>39321</v>
      </c>
      <c r="B4654" s="254" t="s">
        <v>25709</v>
      </c>
      <c r="C4654" s="254" t="s">
        <v>4521</v>
      </c>
      <c r="D4654" s="255" t="s">
        <v>20056</v>
      </c>
      <c r="E4654" s="253" t="s">
        <v>170</v>
      </c>
    </row>
    <row r="4655" spans="1:5" ht="15">
      <c r="A4655" s="254">
        <v>39319</v>
      </c>
      <c r="B4655" s="254" t="s">
        <v>25710</v>
      </c>
      <c r="C4655" s="254" t="s">
        <v>4521</v>
      </c>
      <c r="D4655" s="255" t="s">
        <v>13761</v>
      </c>
      <c r="E4655" s="253" t="s">
        <v>170</v>
      </c>
    </row>
    <row r="4656" spans="1:5" ht="15">
      <c r="A4656" s="254">
        <v>39320</v>
      </c>
      <c r="B4656" s="254" t="s">
        <v>25711</v>
      </c>
      <c r="C4656" s="254" t="s">
        <v>4521</v>
      </c>
      <c r="D4656" s="255" t="s">
        <v>15425</v>
      </c>
      <c r="E4656" s="253" t="s">
        <v>170</v>
      </c>
    </row>
    <row r="4657" spans="1:5" ht="15">
      <c r="A4657" s="254">
        <v>1591</v>
      </c>
      <c r="B4657" s="254" t="s">
        <v>25712</v>
      </c>
      <c r="C4657" s="254" t="s">
        <v>4521</v>
      </c>
      <c r="D4657" s="255" t="s">
        <v>23341</v>
      </c>
      <c r="E4657" s="253" t="s">
        <v>170</v>
      </c>
    </row>
    <row r="4658" spans="1:5" ht="30">
      <c r="A4658" s="254">
        <v>1547</v>
      </c>
      <c r="B4658" s="254" t="s">
        <v>25713</v>
      </c>
      <c r="C4658" s="254" t="s">
        <v>4521</v>
      </c>
      <c r="D4658" s="255" t="s">
        <v>13739</v>
      </c>
      <c r="E4658" s="253" t="s">
        <v>170</v>
      </c>
    </row>
    <row r="4659" spans="1:5" ht="15">
      <c r="A4659" s="254">
        <v>38196</v>
      </c>
      <c r="B4659" s="254" t="s">
        <v>25714</v>
      </c>
      <c r="C4659" s="254" t="s">
        <v>4521</v>
      </c>
      <c r="D4659" s="255" t="s">
        <v>15787</v>
      </c>
      <c r="E4659" s="253" t="s">
        <v>170</v>
      </c>
    </row>
    <row r="4660" spans="1:5" ht="30">
      <c r="A4660" s="254">
        <v>1543</v>
      </c>
      <c r="B4660" s="254" t="s">
        <v>25715</v>
      </c>
      <c r="C4660" s="254" t="s">
        <v>4521</v>
      </c>
      <c r="D4660" s="255" t="s">
        <v>15393</v>
      </c>
      <c r="E4660" s="253" t="s">
        <v>170</v>
      </c>
    </row>
    <row r="4661" spans="1:5" ht="15">
      <c r="A4661" s="254">
        <v>1585</v>
      </c>
      <c r="B4661" s="254" t="s">
        <v>25716</v>
      </c>
      <c r="C4661" s="254" t="s">
        <v>4521</v>
      </c>
      <c r="D4661" s="255" t="s">
        <v>17524</v>
      </c>
      <c r="E4661" s="253" t="s">
        <v>170</v>
      </c>
    </row>
    <row r="4662" spans="1:5" ht="15">
      <c r="A4662" s="254">
        <v>1593</v>
      </c>
      <c r="B4662" s="254" t="s">
        <v>25717</v>
      </c>
      <c r="C4662" s="254" t="s">
        <v>4521</v>
      </c>
      <c r="D4662" s="255" t="s">
        <v>17053</v>
      </c>
      <c r="E4662" s="253" t="s">
        <v>170</v>
      </c>
    </row>
    <row r="4663" spans="1:5" ht="15">
      <c r="A4663" s="254">
        <v>11838</v>
      </c>
      <c r="B4663" s="254" t="s">
        <v>25718</v>
      </c>
      <c r="C4663" s="254" t="s">
        <v>4521</v>
      </c>
      <c r="D4663" s="255" t="s">
        <v>17058</v>
      </c>
      <c r="E4663" s="253" t="s">
        <v>170</v>
      </c>
    </row>
    <row r="4664" spans="1:5" ht="30">
      <c r="A4664" s="254">
        <v>1594</v>
      </c>
      <c r="B4664" s="254" t="s">
        <v>25719</v>
      </c>
      <c r="C4664" s="254" t="s">
        <v>4521</v>
      </c>
      <c r="D4664" s="255" t="s">
        <v>18631</v>
      </c>
      <c r="E4664" s="253" t="s">
        <v>170</v>
      </c>
    </row>
    <row r="4665" spans="1:5" ht="15">
      <c r="A4665" s="254">
        <v>1586</v>
      </c>
      <c r="B4665" s="254" t="s">
        <v>25720</v>
      </c>
      <c r="C4665" s="254" t="s">
        <v>4521</v>
      </c>
      <c r="D4665" s="255" t="s">
        <v>14191</v>
      </c>
      <c r="E4665" s="253" t="s">
        <v>170</v>
      </c>
    </row>
    <row r="4666" spans="1:5" ht="15">
      <c r="A4666" s="254">
        <v>11839</v>
      </c>
      <c r="B4666" s="254" t="s">
        <v>25721</v>
      </c>
      <c r="C4666" s="254" t="s">
        <v>4521</v>
      </c>
      <c r="D4666" s="255" t="s">
        <v>16002</v>
      </c>
      <c r="E4666" s="253" t="s">
        <v>170</v>
      </c>
    </row>
    <row r="4667" spans="1:5" ht="15">
      <c r="A4667" s="254">
        <v>1587</v>
      </c>
      <c r="B4667" s="254" t="s">
        <v>25722</v>
      </c>
      <c r="C4667" s="254" t="s">
        <v>4521</v>
      </c>
      <c r="D4667" s="255" t="s">
        <v>13627</v>
      </c>
      <c r="E4667" s="253" t="s">
        <v>170</v>
      </c>
    </row>
    <row r="4668" spans="1:5" ht="30">
      <c r="A4668" s="254">
        <v>1545</v>
      </c>
      <c r="B4668" s="254" t="s">
        <v>25723</v>
      </c>
      <c r="C4668" s="254" t="s">
        <v>4521</v>
      </c>
      <c r="D4668" s="255" t="s">
        <v>23208</v>
      </c>
      <c r="E4668" s="253" t="s">
        <v>170</v>
      </c>
    </row>
    <row r="4669" spans="1:5" ht="15">
      <c r="A4669" s="254">
        <v>1588</v>
      </c>
      <c r="B4669" s="254" t="s">
        <v>25724</v>
      </c>
      <c r="C4669" s="254" t="s">
        <v>4521</v>
      </c>
      <c r="D4669" s="255" t="s">
        <v>17000</v>
      </c>
      <c r="E4669" s="253" t="s">
        <v>170</v>
      </c>
    </row>
    <row r="4670" spans="1:5" ht="30">
      <c r="A4670" s="254">
        <v>1535</v>
      </c>
      <c r="B4670" s="254" t="s">
        <v>25725</v>
      </c>
      <c r="C4670" s="254" t="s">
        <v>4521</v>
      </c>
      <c r="D4670" s="255" t="s">
        <v>14451</v>
      </c>
      <c r="E4670" s="253" t="s">
        <v>170</v>
      </c>
    </row>
    <row r="4671" spans="1:5" ht="15">
      <c r="A4671" s="254">
        <v>1589</v>
      </c>
      <c r="B4671" s="254" t="s">
        <v>25726</v>
      </c>
      <c r="C4671" s="254" t="s">
        <v>4521</v>
      </c>
      <c r="D4671" s="255" t="s">
        <v>16429</v>
      </c>
      <c r="E4671" s="253" t="s">
        <v>170</v>
      </c>
    </row>
    <row r="4672" spans="1:5" ht="30">
      <c r="A4672" s="254">
        <v>1546</v>
      </c>
      <c r="B4672" s="254" t="s">
        <v>25727</v>
      </c>
      <c r="C4672" s="254" t="s">
        <v>4521</v>
      </c>
      <c r="D4672" s="255" t="s">
        <v>25728</v>
      </c>
      <c r="E4672" s="253" t="s">
        <v>170</v>
      </c>
    </row>
    <row r="4673" spans="1:5" ht="15">
      <c r="A4673" s="254">
        <v>1590</v>
      </c>
      <c r="B4673" s="254" t="s">
        <v>25729</v>
      </c>
      <c r="C4673" s="254" t="s">
        <v>4521</v>
      </c>
      <c r="D4673" s="255" t="s">
        <v>13545</v>
      </c>
      <c r="E4673" s="253" t="s">
        <v>170</v>
      </c>
    </row>
    <row r="4674" spans="1:5" ht="30">
      <c r="A4674" s="254">
        <v>1542</v>
      </c>
      <c r="B4674" s="254" t="s">
        <v>25730</v>
      </c>
      <c r="C4674" s="254" t="s">
        <v>4521</v>
      </c>
      <c r="D4674" s="255" t="s">
        <v>14371</v>
      </c>
      <c r="E4674" s="253" t="s">
        <v>170</v>
      </c>
    </row>
    <row r="4675" spans="1:5" ht="30">
      <c r="A4675" s="254">
        <v>38415</v>
      </c>
      <c r="B4675" s="254" t="s">
        <v>25731</v>
      </c>
      <c r="C4675" s="254" t="s">
        <v>4521</v>
      </c>
      <c r="D4675" s="255" t="s">
        <v>25732</v>
      </c>
      <c r="E4675" s="253" t="s">
        <v>170</v>
      </c>
    </row>
    <row r="4676" spans="1:5" ht="30">
      <c r="A4676" s="254">
        <v>38414</v>
      </c>
      <c r="B4676" s="254" t="s">
        <v>25733</v>
      </c>
      <c r="C4676" s="254" t="s">
        <v>4521</v>
      </c>
      <c r="D4676" s="255" t="s">
        <v>25734</v>
      </c>
      <c r="E4676" s="253" t="s">
        <v>170</v>
      </c>
    </row>
    <row r="4677" spans="1:5" ht="15">
      <c r="A4677" s="254">
        <v>38128</v>
      </c>
      <c r="B4677" s="254" t="s">
        <v>25735</v>
      </c>
      <c r="C4677" s="254" t="s">
        <v>4525</v>
      </c>
      <c r="D4677" s="255" t="s">
        <v>18618</v>
      </c>
      <c r="E4677" s="253" t="s">
        <v>170</v>
      </c>
    </row>
    <row r="4678" spans="1:5" ht="15">
      <c r="A4678" s="254">
        <v>7253</v>
      </c>
      <c r="B4678" s="254" t="s">
        <v>25736</v>
      </c>
      <c r="C4678" s="254" t="s">
        <v>4522</v>
      </c>
      <c r="D4678" s="255" t="s">
        <v>25737</v>
      </c>
      <c r="E4678" s="253" t="s">
        <v>170</v>
      </c>
    </row>
    <row r="4679" spans="1:5" ht="15">
      <c r="A4679" s="254">
        <v>4806</v>
      </c>
      <c r="B4679" s="254" t="s">
        <v>25738</v>
      </c>
      <c r="C4679" s="254" t="s">
        <v>4524</v>
      </c>
      <c r="D4679" s="255" t="s">
        <v>14444</v>
      </c>
      <c r="E4679" s="253" t="s">
        <v>170</v>
      </c>
    </row>
    <row r="4680" spans="1:5" ht="15">
      <c r="A4680" s="254">
        <v>34401</v>
      </c>
      <c r="B4680" s="254" t="s">
        <v>25739</v>
      </c>
      <c r="C4680" s="254" t="s">
        <v>4521</v>
      </c>
      <c r="D4680" s="255" t="s">
        <v>19978</v>
      </c>
      <c r="E4680" s="253" t="s">
        <v>170</v>
      </c>
    </row>
    <row r="4681" spans="1:5" ht="15">
      <c r="A4681" s="254">
        <v>7258</v>
      </c>
      <c r="B4681" s="254" t="s">
        <v>25740</v>
      </c>
      <c r="C4681" s="254" t="s">
        <v>4521</v>
      </c>
      <c r="D4681" s="256" t="s">
        <v>14181</v>
      </c>
      <c r="E4681" s="253" t="s">
        <v>170</v>
      </c>
    </row>
    <row r="4682" spans="1:5" ht="15">
      <c r="A4682" s="254">
        <v>7260</v>
      </c>
      <c r="B4682" s="254" t="s">
        <v>25741</v>
      </c>
      <c r="C4682" s="254" t="s">
        <v>4521</v>
      </c>
      <c r="D4682" s="255" t="s">
        <v>13668</v>
      </c>
      <c r="E4682" s="253" t="s">
        <v>170</v>
      </c>
    </row>
    <row r="4683" spans="1:5" ht="15">
      <c r="A4683" s="254">
        <v>7256</v>
      </c>
      <c r="B4683" s="254" t="s">
        <v>25742</v>
      </c>
      <c r="C4683" s="254" t="s">
        <v>4521</v>
      </c>
      <c r="D4683" s="255" t="s">
        <v>14389</v>
      </c>
      <c r="E4683" s="253" t="s">
        <v>170</v>
      </c>
    </row>
    <row r="4684" spans="1:5" ht="15">
      <c r="A4684" s="254">
        <v>34400</v>
      </c>
      <c r="B4684" s="254" t="s">
        <v>25743</v>
      </c>
      <c r="C4684" s="254" t="s">
        <v>4521</v>
      </c>
      <c r="D4684" s="255" t="s">
        <v>22724</v>
      </c>
      <c r="E4684" s="253" t="s">
        <v>170</v>
      </c>
    </row>
    <row r="4685" spans="1:5" ht="15">
      <c r="A4685" s="254">
        <v>10617</v>
      </c>
      <c r="B4685" s="254" t="s">
        <v>25744</v>
      </c>
      <c r="C4685" s="254" t="s">
        <v>4521</v>
      </c>
      <c r="D4685" s="255" t="s">
        <v>14014</v>
      </c>
      <c r="E4685" s="253" t="s">
        <v>170</v>
      </c>
    </row>
    <row r="4686" spans="1:5" ht="30">
      <c r="A4686" s="254">
        <v>7274</v>
      </c>
      <c r="B4686" s="254" t="s">
        <v>25745</v>
      </c>
      <c r="C4686" s="254" t="s">
        <v>4521</v>
      </c>
      <c r="D4686" s="255" t="s">
        <v>25746</v>
      </c>
      <c r="E4686" s="253" t="s">
        <v>170</v>
      </c>
    </row>
    <row r="4687" spans="1:5" ht="30">
      <c r="A4687" s="254">
        <v>11663</v>
      </c>
      <c r="B4687" s="254" t="s">
        <v>25747</v>
      </c>
      <c r="C4687" s="254" t="s">
        <v>4521</v>
      </c>
      <c r="D4687" s="255" t="s">
        <v>25748</v>
      </c>
      <c r="E4687" s="253" t="s">
        <v>170</v>
      </c>
    </row>
    <row r="4688" spans="1:5" ht="15">
      <c r="A4688" s="254">
        <v>154</v>
      </c>
      <c r="B4688" s="254" t="s">
        <v>25749</v>
      </c>
      <c r="C4688" s="254" t="s">
        <v>4526</v>
      </c>
      <c r="D4688" s="255" t="s">
        <v>23286</v>
      </c>
      <c r="E4688" s="253" t="s">
        <v>170</v>
      </c>
    </row>
    <row r="4689" spans="1:5" ht="30">
      <c r="A4689" s="254">
        <v>38121</v>
      </c>
      <c r="B4689" s="254" t="s">
        <v>25750</v>
      </c>
      <c r="C4689" s="254" t="s">
        <v>4526</v>
      </c>
      <c r="D4689" s="255" t="s">
        <v>15802</v>
      </c>
      <c r="E4689" s="253" t="s">
        <v>170</v>
      </c>
    </row>
    <row r="4690" spans="1:5" ht="30">
      <c r="A4690" s="254">
        <v>7343</v>
      </c>
      <c r="B4690" s="254" t="s">
        <v>25751</v>
      </c>
      <c r="C4690" s="254" t="s">
        <v>4526</v>
      </c>
      <c r="D4690" s="255" t="s">
        <v>18455</v>
      </c>
      <c r="E4690" s="253" t="s">
        <v>170</v>
      </c>
    </row>
    <row r="4691" spans="1:5" ht="15">
      <c r="A4691" s="254">
        <v>7287</v>
      </c>
      <c r="B4691" s="254" t="s">
        <v>25752</v>
      </c>
      <c r="C4691" s="254" t="s">
        <v>4539</v>
      </c>
      <c r="D4691" s="255" t="s">
        <v>16277</v>
      </c>
      <c r="E4691" s="253" t="s">
        <v>170</v>
      </c>
    </row>
    <row r="4692" spans="1:5" ht="15">
      <c r="A4692" s="254">
        <v>7350</v>
      </c>
      <c r="B4692" s="254" t="s">
        <v>25753</v>
      </c>
      <c r="C4692" s="254" t="s">
        <v>4526</v>
      </c>
      <c r="D4692" s="255" t="s">
        <v>14939</v>
      </c>
      <c r="E4692" s="253" t="s">
        <v>170</v>
      </c>
    </row>
    <row r="4693" spans="1:5" ht="15">
      <c r="A4693" s="254">
        <v>7348</v>
      </c>
      <c r="B4693" s="254" t="s">
        <v>25754</v>
      </c>
      <c r="C4693" s="254" t="s">
        <v>4526</v>
      </c>
      <c r="D4693" s="255" t="s">
        <v>18670</v>
      </c>
      <c r="E4693" s="253" t="s">
        <v>170</v>
      </c>
    </row>
    <row r="4694" spans="1:5" ht="15">
      <c r="A4694" s="254">
        <v>7347</v>
      </c>
      <c r="B4694" s="254" t="s">
        <v>25754</v>
      </c>
      <c r="C4694" s="254" t="s">
        <v>4539</v>
      </c>
      <c r="D4694" s="255" t="s">
        <v>25755</v>
      </c>
      <c r="E4694" s="253" t="s">
        <v>170</v>
      </c>
    </row>
    <row r="4695" spans="1:5" ht="15">
      <c r="A4695" s="254">
        <v>7355</v>
      </c>
      <c r="B4695" s="254" t="s">
        <v>25756</v>
      </c>
      <c r="C4695" s="254" t="s">
        <v>4539</v>
      </c>
      <c r="D4695" s="255" t="s">
        <v>25757</v>
      </c>
      <c r="E4695" s="253" t="s">
        <v>170</v>
      </c>
    </row>
    <row r="4696" spans="1:5" ht="15">
      <c r="A4696" s="254">
        <v>7356</v>
      </c>
      <c r="B4696" s="254" t="s">
        <v>25758</v>
      </c>
      <c r="C4696" s="254" t="s">
        <v>4526</v>
      </c>
      <c r="D4696" s="255" t="s">
        <v>25759</v>
      </c>
      <c r="E4696" s="253" t="s">
        <v>170</v>
      </c>
    </row>
    <row r="4697" spans="1:5" ht="30">
      <c r="A4697" s="254">
        <v>7313</v>
      </c>
      <c r="B4697" s="254" t="s">
        <v>25760</v>
      </c>
      <c r="C4697" s="254" t="s">
        <v>4526</v>
      </c>
      <c r="D4697" s="255" t="s">
        <v>23175</v>
      </c>
      <c r="E4697" s="253" t="s">
        <v>170</v>
      </c>
    </row>
    <row r="4698" spans="1:5" ht="30">
      <c r="A4698" s="254">
        <v>7319</v>
      </c>
      <c r="B4698" s="254" t="s">
        <v>25761</v>
      </c>
      <c r="C4698" s="254" t="s">
        <v>4526</v>
      </c>
      <c r="D4698" s="255" t="s">
        <v>18932</v>
      </c>
      <c r="E4698" s="253" t="s">
        <v>170</v>
      </c>
    </row>
    <row r="4699" spans="1:5" ht="15">
      <c r="A4699" s="254">
        <v>38119</v>
      </c>
      <c r="B4699" s="254" t="s">
        <v>25762</v>
      </c>
      <c r="C4699" s="254" t="s">
        <v>4526</v>
      </c>
      <c r="D4699" s="255" t="s">
        <v>25763</v>
      </c>
      <c r="E4699" s="253" t="s">
        <v>170</v>
      </c>
    </row>
    <row r="4700" spans="1:5" ht="15">
      <c r="A4700" s="254">
        <v>7314</v>
      </c>
      <c r="B4700" s="254" t="s">
        <v>25764</v>
      </c>
      <c r="C4700" s="254" t="s">
        <v>4526</v>
      </c>
      <c r="D4700" s="255" t="s">
        <v>13800</v>
      </c>
      <c r="E4700" s="253" t="s">
        <v>170</v>
      </c>
    </row>
    <row r="4701" spans="1:5" ht="15">
      <c r="A4701" s="254">
        <v>38131</v>
      </c>
      <c r="B4701" s="254" t="s">
        <v>25765</v>
      </c>
      <c r="C4701" s="254" t="s">
        <v>4526</v>
      </c>
      <c r="D4701" s="255" t="s">
        <v>25766</v>
      </c>
      <c r="E4701" s="253" t="s">
        <v>170</v>
      </c>
    </row>
    <row r="4702" spans="1:5" ht="15">
      <c r="A4702" s="254">
        <v>7304</v>
      </c>
      <c r="B4702" s="254" t="s">
        <v>25767</v>
      </c>
      <c r="C4702" s="254" t="s">
        <v>4526</v>
      </c>
      <c r="D4702" s="256" t="s">
        <v>17762</v>
      </c>
      <c r="E4702" s="253" t="s">
        <v>170</v>
      </c>
    </row>
    <row r="4703" spans="1:5" ht="15">
      <c r="A4703" s="254">
        <v>7293</v>
      </c>
      <c r="B4703" s="254" t="s">
        <v>25768</v>
      </c>
      <c r="C4703" s="254" t="s">
        <v>4526</v>
      </c>
      <c r="D4703" s="255" t="s">
        <v>16831</v>
      </c>
      <c r="E4703" s="253" t="s">
        <v>170</v>
      </c>
    </row>
    <row r="4704" spans="1:5" ht="15">
      <c r="A4704" s="254">
        <v>7311</v>
      </c>
      <c r="B4704" s="254" t="s">
        <v>25769</v>
      </c>
      <c r="C4704" s="254" t="s">
        <v>4526</v>
      </c>
      <c r="D4704" s="255" t="s">
        <v>16780</v>
      </c>
      <c r="E4704" s="253" t="s">
        <v>170</v>
      </c>
    </row>
    <row r="4705" spans="1:5" ht="15">
      <c r="A4705" s="254">
        <v>7292</v>
      </c>
      <c r="B4705" s="254" t="s">
        <v>25770</v>
      </c>
      <c r="C4705" s="254" t="s">
        <v>4526</v>
      </c>
      <c r="D4705" s="255" t="s">
        <v>13552</v>
      </c>
      <c r="E4705" s="253" t="s">
        <v>170</v>
      </c>
    </row>
    <row r="4706" spans="1:5" ht="15">
      <c r="A4706" s="254">
        <v>7288</v>
      </c>
      <c r="B4706" s="254" t="s">
        <v>25771</v>
      </c>
      <c r="C4706" s="254" t="s">
        <v>4526</v>
      </c>
      <c r="D4706" s="255" t="s">
        <v>25772</v>
      </c>
      <c r="E4706" s="253" t="s">
        <v>170</v>
      </c>
    </row>
    <row r="4707" spans="1:5" ht="15">
      <c r="A4707" s="254">
        <v>35693</v>
      </c>
      <c r="B4707" s="254" t="s">
        <v>25773</v>
      </c>
      <c r="C4707" s="254" t="s">
        <v>4526</v>
      </c>
      <c r="D4707" s="255" t="s">
        <v>14364</v>
      </c>
      <c r="E4707" s="253" t="s">
        <v>170</v>
      </c>
    </row>
    <row r="4708" spans="1:5" ht="15">
      <c r="A4708" s="254">
        <v>35692</v>
      </c>
      <c r="B4708" s="254" t="s">
        <v>25774</v>
      </c>
      <c r="C4708" s="254" t="s">
        <v>4526</v>
      </c>
      <c r="D4708" s="255" t="s">
        <v>25775</v>
      </c>
      <c r="E4708" s="253" t="s">
        <v>170</v>
      </c>
    </row>
    <row r="4709" spans="1:5" ht="15">
      <c r="A4709" s="254">
        <v>7344</v>
      </c>
      <c r="B4709" s="254" t="s">
        <v>25776</v>
      </c>
      <c r="C4709" s="254" t="s">
        <v>4539</v>
      </c>
      <c r="D4709" s="255" t="s">
        <v>14432</v>
      </c>
      <c r="E4709" s="253" t="s">
        <v>170</v>
      </c>
    </row>
    <row r="4710" spans="1:5" ht="15">
      <c r="A4710" s="254">
        <v>7345</v>
      </c>
      <c r="B4710" s="254" t="s">
        <v>25777</v>
      </c>
      <c r="C4710" s="254" t="s">
        <v>4526</v>
      </c>
      <c r="D4710" s="255" t="s">
        <v>24278</v>
      </c>
      <c r="E4710" s="253" t="s">
        <v>170</v>
      </c>
    </row>
    <row r="4711" spans="1:5" ht="15">
      <c r="A4711" s="254">
        <v>35691</v>
      </c>
      <c r="B4711" s="254" t="s">
        <v>25778</v>
      </c>
      <c r="C4711" s="254" t="s">
        <v>4526</v>
      </c>
      <c r="D4711" s="255" t="s">
        <v>18459</v>
      </c>
      <c r="E4711" s="253" t="s">
        <v>170</v>
      </c>
    </row>
    <row r="4712" spans="1:5" ht="15">
      <c r="A4712" s="254">
        <v>7342</v>
      </c>
      <c r="B4712" s="254" t="s">
        <v>25779</v>
      </c>
      <c r="C4712" s="254" t="s">
        <v>4525</v>
      </c>
      <c r="D4712" s="255" t="s">
        <v>14216</v>
      </c>
      <c r="E4712" s="253" t="s">
        <v>170</v>
      </c>
    </row>
    <row r="4713" spans="1:5" ht="15">
      <c r="A4713" s="254">
        <v>7306</v>
      </c>
      <c r="B4713" s="254" t="s">
        <v>25780</v>
      </c>
      <c r="C4713" s="254" t="s">
        <v>4526</v>
      </c>
      <c r="D4713" s="255" t="s">
        <v>23611</v>
      </c>
      <c r="E4713" s="253" t="s">
        <v>170</v>
      </c>
    </row>
    <row r="4714" spans="1:5" ht="30">
      <c r="A4714" s="254">
        <v>39574</v>
      </c>
      <c r="B4714" s="254" t="s">
        <v>25781</v>
      </c>
      <c r="C4714" s="254" t="s">
        <v>4521</v>
      </c>
      <c r="D4714" s="255" t="s">
        <v>14361</v>
      </c>
      <c r="E4714" s="253" t="s">
        <v>170</v>
      </c>
    </row>
    <row r="4715" spans="1:5" ht="30">
      <c r="A4715" s="254">
        <v>11060</v>
      </c>
      <c r="B4715" s="254" t="s">
        <v>25782</v>
      </c>
      <c r="C4715" s="254" t="s">
        <v>4521</v>
      </c>
      <c r="D4715" s="255" t="s">
        <v>16805</v>
      </c>
      <c r="E4715" s="253" t="s">
        <v>170</v>
      </c>
    </row>
    <row r="4716" spans="1:5" ht="15">
      <c r="A4716" s="254">
        <v>37401</v>
      </c>
      <c r="B4716" s="254" t="s">
        <v>25783</v>
      </c>
      <c r="C4716" s="254" t="s">
        <v>4521</v>
      </c>
      <c r="D4716" s="255" t="s">
        <v>23990</v>
      </c>
      <c r="E4716" s="253" t="s">
        <v>170</v>
      </c>
    </row>
    <row r="4717" spans="1:5" ht="15">
      <c r="A4717" s="254">
        <v>7525</v>
      </c>
      <c r="B4717" s="254" t="s">
        <v>25784</v>
      </c>
      <c r="C4717" s="254" t="s">
        <v>4521</v>
      </c>
      <c r="D4717" s="255" t="s">
        <v>13575</v>
      </c>
      <c r="E4717" s="253" t="s">
        <v>170</v>
      </c>
    </row>
    <row r="4718" spans="1:5" ht="15">
      <c r="A4718" s="254">
        <v>7524</v>
      </c>
      <c r="B4718" s="254" t="s">
        <v>25785</v>
      </c>
      <c r="C4718" s="254" t="s">
        <v>4521</v>
      </c>
      <c r="D4718" s="255" t="s">
        <v>25786</v>
      </c>
      <c r="E4718" s="253" t="s">
        <v>170</v>
      </c>
    </row>
    <row r="4719" spans="1:5" ht="15">
      <c r="A4719" s="254">
        <v>38105</v>
      </c>
      <c r="B4719" s="254" t="s">
        <v>25787</v>
      </c>
      <c r="C4719" s="254" t="s">
        <v>4521</v>
      </c>
      <c r="D4719" s="255" t="s">
        <v>20823</v>
      </c>
      <c r="E4719" s="253" t="s">
        <v>170</v>
      </c>
    </row>
    <row r="4720" spans="1:5" ht="30">
      <c r="A4720" s="254">
        <v>38084</v>
      </c>
      <c r="B4720" s="254" t="s">
        <v>25788</v>
      </c>
      <c r="C4720" s="254" t="s">
        <v>4521</v>
      </c>
      <c r="D4720" s="255" t="s">
        <v>17015</v>
      </c>
      <c r="E4720" s="253" t="s">
        <v>170</v>
      </c>
    </row>
    <row r="4721" spans="1:5" ht="15">
      <c r="A4721" s="254">
        <v>38103</v>
      </c>
      <c r="B4721" s="254" t="s">
        <v>25789</v>
      </c>
      <c r="C4721" s="254" t="s">
        <v>4521</v>
      </c>
      <c r="D4721" s="255" t="s">
        <v>17930</v>
      </c>
      <c r="E4721" s="253" t="s">
        <v>170</v>
      </c>
    </row>
    <row r="4722" spans="1:5" ht="30">
      <c r="A4722" s="254">
        <v>38082</v>
      </c>
      <c r="B4722" s="254" t="s">
        <v>25790</v>
      </c>
      <c r="C4722" s="254" t="s">
        <v>4521</v>
      </c>
      <c r="D4722" s="255" t="s">
        <v>14062</v>
      </c>
      <c r="E4722" s="253" t="s">
        <v>170</v>
      </c>
    </row>
    <row r="4723" spans="1:5" ht="15">
      <c r="A4723" s="254">
        <v>38104</v>
      </c>
      <c r="B4723" s="254" t="s">
        <v>25791</v>
      </c>
      <c r="C4723" s="254" t="s">
        <v>4521</v>
      </c>
      <c r="D4723" s="255" t="s">
        <v>25792</v>
      </c>
      <c r="E4723" s="253" t="s">
        <v>170</v>
      </c>
    </row>
    <row r="4724" spans="1:5" ht="30">
      <c r="A4724" s="254">
        <v>38083</v>
      </c>
      <c r="B4724" s="254" t="s">
        <v>25793</v>
      </c>
      <c r="C4724" s="254" t="s">
        <v>4521</v>
      </c>
      <c r="D4724" s="255" t="s">
        <v>21335</v>
      </c>
      <c r="E4724" s="253" t="s">
        <v>170</v>
      </c>
    </row>
    <row r="4725" spans="1:5" ht="15">
      <c r="A4725" s="254">
        <v>38101</v>
      </c>
      <c r="B4725" s="254" t="s">
        <v>25794</v>
      </c>
      <c r="C4725" s="254" t="s">
        <v>4521</v>
      </c>
      <c r="D4725" s="255" t="s">
        <v>16460</v>
      </c>
      <c r="E4725" s="253" t="s">
        <v>170</v>
      </c>
    </row>
    <row r="4726" spans="1:5" ht="30">
      <c r="A4726" s="254">
        <v>7528</v>
      </c>
      <c r="B4726" s="254" t="s">
        <v>25795</v>
      </c>
      <c r="C4726" s="254" t="s">
        <v>4521</v>
      </c>
      <c r="D4726" s="255" t="s">
        <v>15509</v>
      </c>
      <c r="E4726" s="253" t="s">
        <v>170</v>
      </c>
    </row>
    <row r="4727" spans="1:5" ht="30">
      <c r="A4727" s="254">
        <v>12147</v>
      </c>
      <c r="B4727" s="254" t="s">
        <v>25796</v>
      </c>
      <c r="C4727" s="254" t="s">
        <v>4521</v>
      </c>
      <c r="D4727" s="255" t="s">
        <v>25797</v>
      </c>
      <c r="E4727" s="253" t="s">
        <v>170</v>
      </c>
    </row>
    <row r="4728" spans="1:5" ht="30">
      <c r="A4728" s="254">
        <v>38075</v>
      </c>
      <c r="B4728" s="254" t="s">
        <v>25798</v>
      </c>
      <c r="C4728" s="254" t="s">
        <v>4521</v>
      </c>
      <c r="D4728" s="255" t="s">
        <v>16633</v>
      </c>
      <c r="E4728" s="253" t="s">
        <v>170</v>
      </c>
    </row>
    <row r="4729" spans="1:5" ht="15">
      <c r="A4729" s="254">
        <v>38102</v>
      </c>
      <c r="B4729" s="254" t="s">
        <v>25799</v>
      </c>
      <c r="C4729" s="254" t="s">
        <v>4521</v>
      </c>
      <c r="D4729" s="255" t="s">
        <v>25800</v>
      </c>
      <c r="E4729" s="253" t="s">
        <v>170</v>
      </c>
    </row>
    <row r="4730" spans="1:5" ht="30">
      <c r="A4730" s="254">
        <v>38076</v>
      </c>
      <c r="B4730" s="254" t="s">
        <v>25801</v>
      </c>
      <c r="C4730" s="254" t="s">
        <v>4521</v>
      </c>
      <c r="D4730" s="255" t="s">
        <v>19818</v>
      </c>
      <c r="E4730" s="253" t="s">
        <v>170</v>
      </c>
    </row>
    <row r="4731" spans="1:5" ht="15">
      <c r="A4731" s="254">
        <v>7592</v>
      </c>
      <c r="B4731" s="254" t="s">
        <v>25802</v>
      </c>
      <c r="C4731" s="254" t="s">
        <v>4520</v>
      </c>
      <c r="D4731" s="255" t="s">
        <v>19250</v>
      </c>
      <c r="E4731" s="253" t="s">
        <v>8722</v>
      </c>
    </row>
    <row r="4732" spans="1:5" ht="15">
      <c r="A4732" s="254">
        <v>40820</v>
      </c>
      <c r="B4732" s="254" t="s">
        <v>25803</v>
      </c>
      <c r="C4732" s="254" t="s">
        <v>4528</v>
      </c>
      <c r="D4732" s="255" t="s">
        <v>19252</v>
      </c>
      <c r="E4732" s="253" t="s">
        <v>8722</v>
      </c>
    </row>
    <row r="4733" spans="1:5" ht="15">
      <c r="A4733" s="254">
        <v>11762</v>
      </c>
      <c r="B4733" s="254" t="s">
        <v>25804</v>
      </c>
      <c r="C4733" s="254" t="s">
        <v>4521</v>
      </c>
      <c r="D4733" s="255" t="s">
        <v>25805</v>
      </c>
      <c r="E4733" s="253" t="s">
        <v>170</v>
      </c>
    </row>
    <row r="4734" spans="1:5" ht="30">
      <c r="A4734" s="254">
        <v>13418</v>
      </c>
      <c r="B4734" s="254" t="s">
        <v>25806</v>
      </c>
      <c r="C4734" s="254" t="s">
        <v>4521</v>
      </c>
      <c r="D4734" s="255" t="s">
        <v>25807</v>
      </c>
      <c r="E4734" s="253" t="s">
        <v>170</v>
      </c>
    </row>
    <row r="4735" spans="1:5" ht="15">
      <c r="A4735" s="254">
        <v>13984</v>
      </c>
      <c r="B4735" s="254" t="s">
        <v>25808</v>
      </c>
      <c r="C4735" s="254" t="s">
        <v>4521</v>
      </c>
      <c r="D4735" s="255" t="s">
        <v>17080</v>
      </c>
      <c r="E4735" s="253" t="s">
        <v>170</v>
      </c>
    </row>
    <row r="4736" spans="1:5" ht="30">
      <c r="A4736" s="254">
        <v>11772</v>
      </c>
      <c r="B4736" s="254" t="s">
        <v>25809</v>
      </c>
      <c r="C4736" s="254" t="s">
        <v>4521</v>
      </c>
      <c r="D4736" s="255" t="s">
        <v>25810</v>
      </c>
      <c r="E4736" s="253" t="s">
        <v>170</v>
      </c>
    </row>
    <row r="4737" spans="1:5" ht="15">
      <c r="A4737" s="254">
        <v>36795</v>
      </c>
      <c r="B4737" s="254" t="s">
        <v>25811</v>
      </c>
      <c r="C4737" s="254" t="s">
        <v>4521</v>
      </c>
      <c r="D4737" s="255" t="s">
        <v>25812</v>
      </c>
      <c r="E4737" s="253" t="s">
        <v>170</v>
      </c>
    </row>
    <row r="4738" spans="1:5" ht="30">
      <c r="A4738" s="254">
        <v>36796</v>
      </c>
      <c r="B4738" s="254" t="s">
        <v>25813</v>
      </c>
      <c r="C4738" s="254" t="s">
        <v>4521</v>
      </c>
      <c r="D4738" s="255" t="s">
        <v>25814</v>
      </c>
      <c r="E4738" s="253" t="s">
        <v>170</v>
      </c>
    </row>
    <row r="4739" spans="1:5" ht="15">
      <c r="A4739" s="254">
        <v>36791</v>
      </c>
      <c r="B4739" s="254" t="s">
        <v>25815</v>
      </c>
      <c r="C4739" s="254" t="s">
        <v>4521</v>
      </c>
      <c r="D4739" s="255" t="s">
        <v>16400</v>
      </c>
      <c r="E4739" s="253" t="s">
        <v>170</v>
      </c>
    </row>
    <row r="4740" spans="1:5" ht="30">
      <c r="A4740" s="254">
        <v>13415</v>
      </c>
      <c r="B4740" s="254" t="s">
        <v>25816</v>
      </c>
      <c r="C4740" s="254" t="s">
        <v>4521</v>
      </c>
      <c r="D4740" s="255" t="s">
        <v>25817</v>
      </c>
      <c r="E4740" s="253" t="s">
        <v>170</v>
      </c>
    </row>
    <row r="4741" spans="1:5" ht="15">
      <c r="A4741" s="254">
        <v>36792</v>
      </c>
      <c r="B4741" s="254" t="s">
        <v>25818</v>
      </c>
      <c r="C4741" s="254" t="s">
        <v>4521</v>
      </c>
      <c r="D4741" s="255" t="s">
        <v>16057</v>
      </c>
      <c r="E4741" s="253" t="s">
        <v>170</v>
      </c>
    </row>
    <row r="4742" spans="1:5" ht="30">
      <c r="A4742" s="254">
        <v>11773</v>
      </c>
      <c r="B4742" s="254" t="s">
        <v>25819</v>
      </c>
      <c r="C4742" s="254" t="s">
        <v>4521</v>
      </c>
      <c r="D4742" s="255" t="s">
        <v>25820</v>
      </c>
      <c r="E4742" s="253" t="s">
        <v>170</v>
      </c>
    </row>
    <row r="4743" spans="1:5" ht="30">
      <c r="A4743" s="254">
        <v>11775</v>
      </c>
      <c r="B4743" s="254" t="s">
        <v>25821</v>
      </c>
      <c r="C4743" s="254" t="s">
        <v>4521</v>
      </c>
      <c r="D4743" s="255" t="s">
        <v>25822</v>
      </c>
      <c r="E4743" s="253" t="s">
        <v>170</v>
      </c>
    </row>
    <row r="4744" spans="1:5" ht="30">
      <c r="A4744" s="254">
        <v>13983</v>
      </c>
      <c r="B4744" s="254" t="s">
        <v>25823</v>
      </c>
      <c r="C4744" s="254" t="s">
        <v>4521</v>
      </c>
      <c r="D4744" s="255" t="s">
        <v>25824</v>
      </c>
      <c r="E4744" s="253" t="s">
        <v>170</v>
      </c>
    </row>
    <row r="4745" spans="1:5" ht="30">
      <c r="A4745" s="254">
        <v>13416</v>
      </c>
      <c r="B4745" s="254" t="s">
        <v>25825</v>
      </c>
      <c r="C4745" s="254" t="s">
        <v>4521</v>
      </c>
      <c r="D4745" s="255" t="s">
        <v>25826</v>
      </c>
      <c r="E4745" s="253" t="s">
        <v>170</v>
      </c>
    </row>
    <row r="4746" spans="1:5" ht="15">
      <c r="A4746" s="254">
        <v>13417</v>
      </c>
      <c r="B4746" s="254" t="s">
        <v>25827</v>
      </c>
      <c r="C4746" s="254" t="s">
        <v>4521</v>
      </c>
      <c r="D4746" s="255" t="s">
        <v>25828</v>
      </c>
      <c r="E4746" s="253" t="s">
        <v>170</v>
      </c>
    </row>
    <row r="4747" spans="1:5" ht="30">
      <c r="A4747" s="254">
        <v>7604</v>
      </c>
      <c r="B4747" s="254" t="s">
        <v>25829</v>
      </c>
      <c r="C4747" s="254" t="s">
        <v>4521</v>
      </c>
      <c r="D4747" s="255" t="s">
        <v>16571</v>
      </c>
      <c r="E4747" s="253" t="s">
        <v>170</v>
      </c>
    </row>
    <row r="4748" spans="1:5" ht="30">
      <c r="A4748" s="254">
        <v>11763</v>
      </c>
      <c r="B4748" s="254" t="s">
        <v>25830</v>
      </c>
      <c r="C4748" s="254" t="s">
        <v>4521</v>
      </c>
      <c r="D4748" s="255" t="s">
        <v>25831</v>
      </c>
      <c r="E4748" s="253" t="s">
        <v>170</v>
      </c>
    </row>
    <row r="4749" spans="1:5" ht="30">
      <c r="A4749" s="254">
        <v>11764</v>
      </c>
      <c r="B4749" s="254" t="s">
        <v>25832</v>
      </c>
      <c r="C4749" s="254" t="s">
        <v>4521</v>
      </c>
      <c r="D4749" s="255" t="s">
        <v>25833</v>
      </c>
      <c r="E4749" s="253" t="s">
        <v>170</v>
      </c>
    </row>
    <row r="4750" spans="1:5" ht="30">
      <c r="A4750" s="254">
        <v>11829</v>
      </c>
      <c r="B4750" s="254" t="s">
        <v>25834</v>
      </c>
      <c r="C4750" s="254" t="s">
        <v>4521</v>
      </c>
      <c r="D4750" s="255" t="s">
        <v>16393</v>
      </c>
      <c r="E4750" s="253" t="s">
        <v>170</v>
      </c>
    </row>
    <row r="4751" spans="1:5" ht="30">
      <c r="A4751" s="254">
        <v>11825</v>
      </c>
      <c r="B4751" s="254" t="s">
        <v>25835</v>
      </c>
      <c r="C4751" s="254" t="s">
        <v>4521</v>
      </c>
      <c r="D4751" s="255" t="s">
        <v>15794</v>
      </c>
      <c r="E4751" s="253" t="s">
        <v>170</v>
      </c>
    </row>
    <row r="4752" spans="1:5" ht="30">
      <c r="A4752" s="254">
        <v>11767</v>
      </c>
      <c r="B4752" s="254" t="s">
        <v>25836</v>
      </c>
      <c r="C4752" s="254" t="s">
        <v>4521</v>
      </c>
      <c r="D4752" s="255" t="s">
        <v>25837</v>
      </c>
      <c r="E4752" s="253" t="s">
        <v>170</v>
      </c>
    </row>
    <row r="4753" spans="1:5" ht="30">
      <c r="A4753" s="254">
        <v>11830</v>
      </c>
      <c r="B4753" s="254" t="s">
        <v>25838</v>
      </c>
      <c r="C4753" s="254" t="s">
        <v>4521</v>
      </c>
      <c r="D4753" s="255" t="s">
        <v>18173</v>
      </c>
      <c r="E4753" s="253" t="s">
        <v>170</v>
      </c>
    </row>
    <row r="4754" spans="1:5" ht="30">
      <c r="A4754" s="254">
        <v>11766</v>
      </c>
      <c r="B4754" s="254" t="s">
        <v>25839</v>
      </c>
      <c r="C4754" s="254" t="s">
        <v>4521</v>
      </c>
      <c r="D4754" s="255" t="s">
        <v>25840</v>
      </c>
      <c r="E4754" s="253" t="s">
        <v>170</v>
      </c>
    </row>
    <row r="4755" spans="1:5" ht="30">
      <c r="A4755" s="254">
        <v>11765</v>
      </c>
      <c r="B4755" s="254" t="s">
        <v>25841</v>
      </c>
      <c r="C4755" s="254" t="s">
        <v>4521</v>
      </c>
      <c r="D4755" s="255" t="s">
        <v>25842</v>
      </c>
      <c r="E4755" s="253" t="s">
        <v>170</v>
      </c>
    </row>
    <row r="4756" spans="1:5" ht="30">
      <c r="A4756" s="254">
        <v>11824</v>
      </c>
      <c r="B4756" s="254" t="s">
        <v>25843</v>
      </c>
      <c r="C4756" s="254" t="s">
        <v>4521</v>
      </c>
      <c r="D4756" s="255" t="s">
        <v>25844</v>
      </c>
      <c r="E4756" s="253" t="s">
        <v>170</v>
      </c>
    </row>
    <row r="4757" spans="1:5" ht="15">
      <c r="A4757" s="254">
        <v>11777</v>
      </c>
      <c r="B4757" s="254" t="s">
        <v>25845</v>
      </c>
      <c r="C4757" s="254" t="s">
        <v>4521</v>
      </c>
      <c r="D4757" s="255" t="s">
        <v>25846</v>
      </c>
      <c r="E4757" s="253" t="s">
        <v>170</v>
      </c>
    </row>
    <row r="4758" spans="1:5" ht="30">
      <c r="A4758" s="254">
        <v>7602</v>
      </c>
      <c r="B4758" s="254" t="s">
        <v>25847</v>
      </c>
      <c r="C4758" s="254" t="s">
        <v>4521</v>
      </c>
      <c r="D4758" s="255" t="s">
        <v>13623</v>
      </c>
      <c r="E4758" s="253" t="s">
        <v>170</v>
      </c>
    </row>
    <row r="4759" spans="1:5" ht="30">
      <c r="A4759" s="254">
        <v>7603</v>
      </c>
      <c r="B4759" s="254" t="s">
        <v>25848</v>
      </c>
      <c r="C4759" s="254" t="s">
        <v>4521</v>
      </c>
      <c r="D4759" s="255" t="s">
        <v>15259</v>
      </c>
      <c r="E4759" s="253" t="s">
        <v>170</v>
      </c>
    </row>
    <row r="4760" spans="1:5" ht="30">
      <c r="A4760" s="254">
        <v>11826</v>
      </c>
      <c r="B4760" s="254" t="s">
        <v>25849</v>
      </c>
      <c r="C4760" s="254" t="s">
        <v>4521</v>
      </c>
      <c r="D4760" s="255" t="s">
        <v>25850</v>
      </c>
      <c r="E4760" s="253" t="s">
        <v>170</v>
      </c>
    </row>
    <row r="4761" spans="1:5" ht="30">
      <c r="A4761" s="254">
        <v>7606</v>
      </c>
      <c r="B4761" s="254" t="s">
        <v>25851</v>
      </c>
      <c r="C4761" s="254" t="s">
        <v>4521</v>
      </c>
      <c r="D4761" s="255" t="s">
        <v>25852</v>
      </c>
      <c r="E4761" s="253" t="s">
        <v>170</v>
      </c>
    </row>
    <row r="4762" spans="1:5" ht="30">
      <c r="A4762" s="254">
        <v>40329</v>
      </c>
      <c r="B4762" s="254" t="s">
        <v>25853</v>
      </c>
      <c r="C4762" s="254" t="s">
        <v>4521</v>
      </c>
      <c r="D4762" s="255" t="s">
        <v>20857</v>
      </c>
      <c r="E4762" s="253" t="s">
        <v>170</v>
      </c>
    </row>
    <row r="4763" spans="1:5" ht="30">
      <c r="A4763" s="254">
        <v>11823</v>
      </c>
      <c r="B4763" s="254" t="s">
        <v>25854</v>
      </c>
      <c r="C4763" s="254" t="s">
        <v>4521</v>
      </c>
      <c r="D4763" s="255" t="s">
        <v>15503</v>
      </c>
      <c r="E4763" s="253" t="s">
        <v>170</v>
      </c>
    </row>
    <row r="4764" spans="1:5" ht="15">
      <c r="A4764" s="254">
        <v>11822</v>
      </c>
      <c r="B4764" s="254" t="s">
        <v>25855</v>
      </c>
      <c r="C4764" s="254" t="s">
        <v>4521</v>
      </c>
      <c r="D4764" s="255" t="s">
        <v>18570</v>
      </c>
      <c r="E4764" s="253" t="s">
        <v>170</v>
      </c>
    </row>
    <row r="4765" spans="1:5" ht="15">
      <c r="A4765" s="254">
        <v>11831</v>
      </c>
      <c r="B4765" s="254" t="s">
        <v>25856</v>
      </c>
      <c r="C4765" s="254" t="s">
        <v>4521</v>
      </c>
      <c r="D4765" s="255" t="s">
        <v>18820</v>
      </c>
      <c r="E4765" s="253" t="s">
        <v>170</v>
      </c>
    </row>
    <row r="4766" spans="1:5" ht="45">
      <c r="A4766" s="254">
        <v>7613</v>
      </c>
      <c r="B4766" s="254" t="s">
        <v>25857</v>
      </c>
      <c r="C4766" s="254" t="s">
        <v>4521</v>
      </c>
      <c r="D4766" s="255" t="s">
        <v>25858</v>
      </c>
      <c r="E4766" s="253" t="s">
        <v>170</v>
      </c>
    </row>
    <row r="4767" spans="1:5" ht="45">
      <c r="A4767" s="254">
        <v>7619</v>
      </c>
      <c r="B4767" s="254" t="s">
        <v>25859</v>
      </c>
      <c r="C4767" s="254" t="s">
        <v>4521</v>
      </c>
      <c r="D4767" s="255" t="s">
        <v>25860</v>
      </c>
      <c r="E4767" s="253" t="s">
        <v>170</v>
      </c>
    </row>
    <row r="4768" spans="1:5" ht="45">
      <c r="A4768" s="254">
        <v>12076</v>
      </c>
      <c r="B4768" s="254" t="s">
        <v>25861</v>
      </c>
      <c r="C4768" s="254" t="s">
        <v>4521</v>
      </c>
      <c r="D4768" s="255" t="s">
        <v>25862</v>
      </c>
      <c r="E4768" s="253" t="s">
        <v>170</v>
      </c>
    </row>
    <row r="4769" spans="1:5" ht="45">
      <c r="A4769" s="254">
        <v>7614</v>
      </c>
      <c r="B4769" s="254" t="s">
        <v>25863</v>
      </c>
      <c r="C4769" s="254" t="s">
        <v>4521</v>
      </c>
      <c r="D4769" s="255" t="s">
        <v>25864</v>
      </c>
      <c r="E4769" s="253" t="s">
        <v>170</v>
      </c>
    </row>
    <row r="4770" spans="1:5" ht="45">
      <c r="A4770" s="254">
        <v>7618</v>
      </c>
      <c r="B4770" s="254" t="s">
        <v>25865</v>
      </c>
      <c r="C4770" s="254" t="s">
        <v>4521</v>
      </c>
      <c r="D4770" s="255" t="s">
        <v>25866</v>
      </c>
      <c r="E4770" s="253" t="s">
        <v>170</v>
      </c>
    </row>
    <row r="4771" spans="1:5" ht="45">
      <c r="A4771" s="254">
        <v>7620</v>
      </c>
      <c r="B4771" s="254" t="s">
        <v>25867</v>
      </c>
      <c r="C4771" s="254" t="s">
        <v>4521</v>
      </c>
      <c r="D4771" s="255" t="s">
        <v>25868</v>
      </c>
      <c r="E4771" s="253" t="s">
        <v>170</v>
      </c>
    </row>
    <row r="4772" spans="1:5" ht="45">
      <c r="A4772" s="254">
        <v>7610</v>
      </c>
      <c r="B4772" s="254" t="s">
        <v>25869</v>
      </c>
      <c r="C4772" s="254" t="s">
        <v>4521</v>
      </c>
      <c r="D4772" s="256" t="s">
        <v>25870</v>
      </c>
      <c r="E4772" s="253" t="s">
        <v>170</v>
      </c>
    </row>
    <row r="4773" spans="1:5" ht="45">
      <c r="A4773" s="254">
        <v>7615</v>
      </c>
      <c r="B4773" s="254" t="s">
        <v>25871</v>
      </c>
      <c r="C4773" s="254" t="s">
        <v>4521</v>
      </c>
      <c r="D4773" s="255" t="s">
        <v>25872</v>
      </c>
      <c r="E4773" s="253" t="s">
        <v>170</v>
      </c>
    </row>
    <row r="4774" spans="1:5" ht="45">
      <c r="A4774" s="254">
        <v>7617</v>
      </c>
      <c r="B4774" s="254" t="s">
        <v>25873</v>
      </c>
      <c r="C4774" s="254" t="s">
        <v>4521</v>
      </c>
      <c r="D4774" s="256" t="s">
        <v>25874</v>
      </c>
      <c r="E4774" s="253" t="s">
        <v>170</v>
      </c>
    </row>
    <row r="4775" spans="1:5" ht="45">
      <c r="A4775" s="254">
        <v>7616</v>
      </c>
      <c r="B4775" s="254" t="s">
        <v>25875</v>
      </c>
      <c r="C4775" s="254" t="s">
        <v>4521</v>
      </c>
      <c r="D4775" s="256" t="s">
        <v>25876</v>
      </c>
      <c r="E4775" s="253" t="s">
        <v>170</v>
      </c>
    </row>
    <row r="4776" spans="1:5" ht="45">
      <c r="A4776" s="254">
        <v>7611</v>
      </c>
      <c r="B4776" s="254" t="s">
        <v>25877</v>
      </c>
      <c r="C4776" s="254" t="s">
        <v>4521</v>
      </c>
      <c r="D4776" s="255" t="s">
        <v>25878</v>
      </c>
      <c r="E4776" s="253" t="s">
        <v>170</v>
      </c>
    </row>
    <row r="4777" spans="1:5" ht="45">
      <c r="A4777" s="254">
        <v>7612</v>
      </c>
      <c r="B4777" s="254" t="s">
        <v>25879</v>
      </c>
      <c r="C4777" s="254" t="s">
        <v>4521</v>
      </c>
      <c r="D4777" s="256" t="s">
        <v>25880</v>
      </c>
      <c r="E4777" s="253" t="s">
        <v>170</v>
      </c>
    </row>
    <row r="4778" spans="1:5" ht="15">
      <c r="A4778" s="254">
        <v>37371</v>
      </c>
      <c r="B4778" s="254" t="s">
        <v>25881</v>
      </c>
      <c r="C4778" s="254" t="s">
        <v>4520</v>
      </c>
      <c r="D4778" s="256" t="s">
        <v>14006</v>
      </c>
      <c r="E4778" s="253" t="s">
        <v>8722</v>
      </c>
    </row>
    <row r="4779" spans="1:5" ht="15">
      <c r="A4779" s="254">
        <v>40861</v>
      </c>
      <c r="B4779" s="254" t="s">
        <v>25882</v>
      </c>
      <c r="C4779" s="254" t="s">
        <v>4528</v>
      </c>
      <c r="D4779" s="255" t="s">
        <v>25883</v>
      </c>
      <c r="E4779" s="253" t="s">
        <v>8722</v>
      </c>
    </row>
    <row r="4780" spans="1:5" ht="30">
      <c r="A4780" s="254">
        <v>36510</v>
      </c>
      <c r="B4780" s="254" t="s">
        <v>25884</v>
      </c>
      <c r="C4780" s="254" t="s">
        <v>4521</v>
      </c>
      <c r="D4780" s="255" t="s">
        <v>25885</v>
      </c>
      <c r="E4780" s="253" t="s">
        <v>6305</v>
      </c>
    </row>
    <row r="4781" spans="1:5" ht="30">
      <c r="A4781" s="254">
        <v>25020</v>
      </c>
      <c r="B4781" s="254" t="s">
        <v>25886</v>
      </c>
      <c r="C4781" s="254" t="s">
        <v>4521</v>
      </c>
      <c r="D4781" s="255" t="s">
        <v>25887</v>
      </c>
      <c r="E4781" s="253" t="s">
        <v>6305</v>
      </c>
    </row>
    <row r="4782" spans="1:5" ht="30">
      <c r="A4782" s="254">
        <v>7622</v>
      </c>
      <c r="B4782" s="254" t="s">
        <v>25888</v>
      </c>
      <c r="C4782" s="254" t="s">
        <v>4521</v>
      </c>
      <c r="D4782" s="255" t="s">
        <v>25889</v>
      </c>
      <c r="E4782" s="253" t="s">
        <v>6305</v>
      </c>
    </row>
    <row r="4783" spans="1:5" ht="30">
      <c r="A4783" s="254">
        <v>7624</v>
      </c>
      <c r="B4783" s="254" t="s">
        <v>25890</v>
      </c>
      <c r="C4783" s="254" t="s">
        <v>4521</v>
      </c>
      <c r="D4783" s="256" t="s">
        <v>25891</v>
      </c>
      <c r="E4783" s="253" t="s">
        <v>6305</v>
      </c>
    </row>
    <row r="4784" spans="1:5" ht="30">
      <c r="A4784" s="254">
        <v>7625</v>
      </c>
      <c r="B4784" s="254" t="s">
        <v>25892</v>
      </c>
      <c r="C4784" s="254" t="s">
        <v>4521</v>
      </c>
      <c r="D4784" s="256" t="s">
        <v>25893</v>
      </c>
      <c r="E4784" s="253" t="s">
        <v>6305</v>
      </c>
    </row>
    <row r="4785" spans="1:5" ht="30">
      <c r="A4785" s="254">
        <v>7623</v>
      </c>
      <c r="B4785" s="254" t="s">
        <v>25894</v>
      </c>
      <c r="C4785" s="254" t="s">
        <v>4521</v>
      </c>
      <c r="D4785" s="256" t="s">
        <v>25887</v>
      </c>
      <c r="E4785" s="253" t="s">
        <v>6305</v>
      </c>
    </row>
    <row r="4786" spans="1:5" ht="30">
      <c r="A4786" s="254">
        <v>36508</v>
      </c>
      <c r="B4786" s="254" t="s">
        <v>25895</v>
      </c>
      <c r="C4786" s="254" t="s">
        <v>4521</v>
      </c>
      <c r="D4786" s="255" t="s">
        <v>25896</v>
      </c>
      <c r="E4786" s="253" t="s">
        <v>6305</v>
      </c>
    </row>
    <row r="4787" spans="1:5" ht="30">
      <c r="A4787" s="254">
        <v>36509</v>
      </c>
      <c r="B4787" s="254" t="s">
        <v>25897</v>
      </c>
      <c r="C4787" s="254" t="s">
        <v>4521</v>
      </c>
      <c r="D4787" s="256" t="s">
        <v>25898</v>
      </c>
      <c r="E4787" s="253" t="s">
        <v>6305</v>
      </c>
    </row>
    <row r="4788" spans="1:5" ht="30">
      <c r="A4788" s="254">
        <v>13238</v>
      </c>
      <c r="B4788" s="254" t="s">
        <v>25899</v>
      </c>
      <c r="C4788" s="254" t="s">
        <v>4521</v>
      </c>
      <c r="D4788" s="255" t="s">
        <v>25900</v>
      </c>
      <c r="E4788" s="253" t="s">
        <v>6305</v>
      </c>
    </row>
    <row r="4789" spans="1:5" ht="30">
      <c r="A4789" s="254">
        <v>36511</v>
      </c>
      <c r="B4789" s="254" t="s">
        <v>25901</v>
      </c>
      <c r="C4789" s="254" t="s">
        <v>4521</v>
      </c>
      <c r="D4789" s="255" t="s">
        <v>25902</v>
      </c>
      <c r="E4789" s="253" t="s">
        <v>6305</v>
      </c>
    </row>
    <row r="4790" spans="1:5" ht="15">
      <c r="A4790" s="254">
        <v>36515</v>
      </c>
      <c r="B4790" s="254" t="s">
        <v>25903</v>
      </c>
      <c r="C4790" s="254" t="s">
        <v>4521</v>
      </c>
      <c r="D4790" s="255" t="s">
        <v>25904</v>
      </c>
      <c r="E4790" s="253" t="s">
        <v>6305</v>
      </c>
    </row>
    <row r="4791" spans="1:5" ht="30">
      <c r="A4791" s="254">
        <v>10598</v>
      </c>
      <c r="B4791" s="254" t="s">
        <v>25905</v>
      </c>
      <c r="C4791" s="254" t="s">
        <v>4521</v>
      </c>
      <c r="D4791" s="255" t="s">
        <v>25906</v>
      </c>
      <c r="E4791" s="253" t="s">
        <v>6305</v>
      </c>
    </row>
    <row r="4792" spans="1:5" ht="30">
      <c r="A4792" s="254">
        <v>7640</v>
      </c>
      <c r="B4792" s="254" t="s">
        <v>25907</v>
      </c>
      <c r="C4792" s="254" t="s">
        <v>4521</v>
      </c>
      <c r="D4792" s="255" t="s">
        <v>25908</v>
      </c>
      <c r="E4792" s="253" t="s">
        <v>6305</v>
      </c>
    </row>
    <row r="4793" spans="1:5" ht="15">
      <c r="A4793" s="254">
        <v>36513</v>
      </c>
      <c r="B4793" s="254" t="s">
        <v>25909</v>
      </c>
      <c r="C4793" s="254" t="s">
        <v>4521</v>
      </c>
      <c r="D4793" s="256" t="s">
        <v>25910</v>
      </c>
      <c r="E4793" s="253" t="s">
        <v>6305</v>
      </c>
    </row>
    <row r="4794" spans="1:5" ht="15">
      <c r="A4794" s="254">
        <v>36514</v>
      </c>
      <c r="B4794" s="254" t="s">
        <v>25911</v>
      </c>
      <c r="C4794" s="254" t="s">
        <v>4521</v>
      </c>
      <c r="D4794" s="256" t="s">
        <v>25912</v>
      </c>
      <c r="E4794" s="253" t="s">
        <v>6305</v>
      </c>
    </row>
    <row r="4795" spans="1:5" ht="30">
      <c r="A4795" s="254">
        <v>36149</v>
      </c>
      <c r="B4795" s="254" t="s">
        <v>25913</v>
      </c>
      <c r="C4795" s="254" t="s">
        <v>4521</v>
      </c>
      <c r="D4795" s="256" t="s">
        <v>25914</v>
      </c>
      <c r="E4795" s="253" t="s">
        <v>170</v>
      </c>
    </row>
    <row r="4796" spans="1:5" ht="30">
      <c r="A4796" s="254">
        <v>42407</v>
      </c>
      <c r="B4796" s="254" t="s">
        <v>25915</v>
      </c>
      <c r="C4796" s="254" t="s">
        <v>4524</v>
      </c>
      <c r="D4796" s="255" t="s">
        <v>24642</v>
      </c>
      <c r="E4796" s="253" t="s">
        <v>170</v>
      </c>
    </row>
    <row r="4797" spans="1:5" ht="30">
      <c r="A4797" s="254">
        <v>11581</v>
      </c>
      <c r="B4797" s="254" t="s">
        <v>25916</v>
      </c>
      <c r="C4797" s="254" t="s">
        <v>4524</v>
      </c>
      <c r="D4797" s="255" t="s">
        <v>17068</v>
      </c>
      <c r="E4797" s="253" t="s">
        <v>170</v>
      </c>
    </row>
    <row r="4798" spans="1:5" ht="30">
      <c r="A4798" s="254">
        <v>11580</v>
      </c>
      <c r="B4798" s="254" t="s">
        <v>25917</v>
      </c>
      <c r="C4798" s="254" t="s">
        <v>4524</v>
      </c>
      <c r="D4798" s="255" t="s">
        <v>16587</v>
      </c>
      <c r="E4798" s="253" t="s">
        <v>170</v>
      </c>
    </row>
    <row r="4799" spans="1:5" ht="30">
      <c r="A4799" s="254">
        <v>38177</v>
      </c>
      <c r="B4799" s="254" t="s">
        <v>25918</v>
      </c>
      <c r="C4799" s="254" t="s">
        <v>4521</v>
      </c>
      <c r="D4799" s="255" t="s">
        <v>16579</v>
      </c>
      <c r="E4799" s="253" t="s">
        <v>170</v>
      </c>
    </row>
    <row r="4800" spans="1:5" ht="15">
      <c r="A4800" s="254">
        <v>10743</v>
      </c>
      <c r="B4800" s="254" t="s">
        <v>25919</v>
      </c>
      <c r="C4800" s="254" t="s">
        <v>4521</v>
      </c>
      <c r="D4800" s="255" t="s">
        <v>25920</v>
      </c>
      <c r="E4800" s="253" t="s">
        <v>170</v>
      </c>
    </row>
    <row r="4801" spans="1:5" ht="30">
      <c r="A4801" s="254">
        <v>39848</v>
      </c>
      <c r="B4801" s="254" t="s">
        <v>25921</v>
      </c>
      <c r="C4801" s="254" t="s">
        <v>4524</v>
      </c>
      <c r="D4801" s="255" t="s">
        <v>14009</v>
      </c>
      <c r="E4801" s="253" t="s">
        <v>170</v>
      </c>
    </row>
    <row r="4802" spans="1:5" ht="30">
      <c r="A4802" s="254">
        <v>20999</v>
      </c>
      <c r="B4802" s="254" t="s">
        <v>25922</v>
      </c>
      <c r="C4802" s="254" t="s">
        <v>4524</v>
      </c>
      <c r="D4802" s="255" t="s">
        <v>16498</v>
      </c>
      <c r="E4802" s="253" t="s">
        <v>170</v>
      </c>
    </row>
    <row r="4803" spans="1:5" ht="30">
      <c r="A4803" s="254">
        <v>21001</v>
      </c>
      <c r="B4803" s="254" t="s">
        <v>25923</v>
      </c>
      <c r="C4803" s="254" t="s">
        <v>4524</v>
      </c>
      <c r="D4803" s="255" t="s">
        <v>25924</v>
      </c>
      <c r="E4803" s="253" t="s">
        <v>170</v>
      </c>
    </row>
    <row r="4804" spans="1:5" ht="30">
      <c r="A4804" s="254">
        <v>21003</v>
      </c>
      <c r="B4804" s="254" t="s">
        <v>25925</v>
      </c>
      <c r="C4804" s="254" t="s">
        <v>4524</v>
      </c>
      <c r="D4804" s="255" t="s">
        <v>25926</v>
      </c>
      <c r="E4804" s="253" t="s">
        <v>170</v>
      </c>
    </row>
    <row r="4805" spans="1:5" ht="30">
      <c r="A4805" s="254">
        <v>21006</v>
      </c>
      <c r="B4805" s="254" t="s">
        <v>25927</v>
      </c>
      <c r="C4805" s="254" t="s">
        <v>4524</v>
      </c>
      <c r="D4805" s="255" t="s">
        <v>24879</v>
      </c>
      <c r="E4805" s="253" t="s">
        <v>170</v>
      </c>
    </row>
    <row r="4806" spans="1:5" ht="30">
      <c r="A4806" s="254">
        <v>21019</v>
      </c>
      <c r="B4806" s="254" t="s">
        <v>25928</v>
      </c>
      <c r="C4806" s="254" t="s">
        <v>4524</v>
      </c>
      <c r="D4806" s="255" t="s">
        <v>17603</v>
      </c>
      <c r="E4806" s="253" t="s">
        <v>170</v>
      </c>
    </row>
    <row r="4807" spans="1:5" ht="30">
      <c r="A4807" s="254">
        <v>21021</v>
      </c>
      <c r="B4807" s="254" t="s">
        <v>25929</v>
      </c>
      <c r="C4807" s="254" t="s">
        <v>4524</v>
      </c>
      <c r="D4807" s="255" t="s">
        <v>25930</v>
      </c>
      <c r="E4807" s="253" t="s">
        <v>170</v>
      </c>
    </row>
    <row r="4808" spans="1:5" ht="30">
      <c r="A4808" s="254">
        <v>21024</v>
      </c>
      <c r="B4808" s="254" t="s">
        <v>25931</v>
      </c>
      <c r="C4808" s="254" t="s">
        <v>4524</v>
      </c>
      <c r="D4808" s="255" t="s">
        <v>25932</v>
      </c>
      <c r="E4808" s="253" t="s">
        <v>170</v>
      </c>
    </row>
    <row r="4809" spans="1:5" ht="15">
      <c r="A4809" s="254">
        <v>40624</v>
      </c>
      <c r="B4809" s="254" t="s">
        <v>25933</v>
      </c>
      <c r="C4809" s="254" t="s">
        <v>4524</v>
      </c>
      <c r="D4809" s="255" t="s">
        <v>25934</v>
      </c>
      <c r="E4809" s="253" t="s">
        <v>170</v>
      </c>
    </row>
    <row r="4810" spans="1:5" ht="15">
      <c r="A4810" s="254">
        <v>13127</v>
      </c>
      <c r="B4810" s="254" t="s">
        <v>25935</v>
      </c>
      <c r="C4810" s="254" t="s">
        <v>4524</v>
      </c>
      <c r="D4810" s="255" t="s">
        <v>25936</v>
      </c>
      <c r="E4810" s="253" t="s">
        <v>170</v>
      </c>
    </row>
    <row r="4811" spans="1:5" ht="15">
      <c r="A4811" s="254">
        <v>13137</v>
      </c>
      <c r="B4811" s="254" t="s">
        <v>25937</v>
      </c>
      <c r="C4811" s="254" t="s">
        <v>4524</v>
      </c>
      <c r="D4811" s="255" t="s">
        <v>25938</v>
      </c>
      <c r="E4811" s="253" t="s">
        <v>170</v>
      </c>
    </row>
    <row r="4812" spans="1:5" ht="15">
      <c r="A4812" s="254">
        <v>20989</v>
      </c>
      <c r="B4812" s="254" t="s">
        <v>25939</v>
      </c>
      <c r="C4812" s="254" t="s">
        <v>4524</v>
      </c>
      <c r="D4812" s="255" t="s">
        <v>25940</v>
      </c>
      <c r="E4812" s="253" t="s">
        <v>170</v>
      </c>
    </row>
    <row r="4813" spans="1:5" ht="15">
      <c r="A4813" s="254">
        <v>21147</v>
      </c>
      <c r="B4813" s="254" t="s">
        <v>25941</v>
      </c>
      <c r="C4813" s="254" t="s">
        <v>4524</v>
      </c>
      <c r="D4813" s="255" t="s">
        <v>25942</v>
      </c>
      <c r="E4813" s="253" t="s">
        <v>170</v>
      </c>
    </row>
    <row r="4814" spans="1:5" ht="15">
      <c r="A4814" s="254">
        <v>21148</v>
      </c>
      <c r="B4814" s="254" t="s">
        <v>25943</v>
      </c>
      <c r="C4814" s="254" t="s">
        <v>4524</v>
      </c>
      <c r="D4814" s="255" t="s">
        <v>25944</v>
      </c>
      <c r="E4814" s="253" t="s">
        <v>170</v>
      </c>
    </row>
    <row r="4815" spans="1:5" ht="15">
      <c r="A4815" s="254">
        <v>20984</v>
      </c>
      <c r="B4815" s="254" t="s">
        <v>25945</v>
      </c>
      <c r="C4815" s="254" t="s">
        <v>4524</v>
      </c>
      <c r="D4815" s="255" t="s">
        <v>25946</v>
      </c>
      <c r="E4815" s="253" t="s">
        <v>170</v>
      </c>
    </row>
    <row r="4816" spans="1:5" ht="15">
      <c r="A4816" s="254">
        <v>13042</v>
      </c>
      <c r="B4816" s="254" t="s">
        <v>25947</v>
      </c>
      <c r="C4816" s="254" t="s">
        <v>4524</v>
      </c>
      <c r="D4816" s="255" t="s">
        <v>25948</v>
      </c>
      <c r="E4816" s="253" t="s">
        <v>170</v>
      </c>
    </row>
    <row r="4817" spans="1:5" ht="15">
      <c r="A4817" s="254">
        <v>21150</v>
      </c>
      <c r="B4817" s="254" t="s">
        <v>25949</v>
      </c>
      <c r="C4817" s="254" t="s">
        <v>4524</v>
      </c>
      <c r="D4817" s="255" t="s">
        <v>25950</v>
      </c>
      <c r="E4817" s="253" t="s">
        <v>170</v>
      </c>
    </row>
    <row r="4818" spans="1:5" ht="15">
      <c r="A4818" s="254">
        <v>13141</v>
      </c>
      <c r="B4818" s="254" t="s">
        <v>25951</v>
      </c>
      <c r="C4818" s="254" t="s">
        <v>4524</v>
      </c>
      <c r="D4818" s="255" t="s">
        <v>18458</v>
      </c>
      <c r="E4818" s="253" t="s">
        <v>170</v>
      </c>
    </row>
    <row r="4819" spans="1:5" ht="15">
      <c r="A4819" s="254">
        <v>21151</v>
      </c>
      <c r="B4819" s="254" t="s">
        <v>25952</v>
      </c>
      <c r="C4819" s="254" t="s">
        <v>4524</v>
      </c>
      <c r="D4819" s="255" t="s">
        <v>25953</v>
      </c>
      <c r="E4819" s="253" t="s">
        <v>170</v>
      </c>
    </row>
    <row r="4820" spans="1:5" ht="15">
      <c r="A4820" s="254">
        <v>13142</v>
      </c>
      <c r="B4820" s="254" t="s">
        <v>25954</v>
      </c>
      <c r="C4820" s="254" t="s">
        <v>4524</v>
      </c>
      <c r="D4820" s="255" t="s">
        <v>25955</v>
      </c>
      <c r="E4820" s="253" t="s">
        <v>170</v>
      </c>
    </row>
    <row r="4821" spans="1:5" ht="15">
      <c r="A4821" s="254">
        <v>20994</v>
      </c>
      <c r="B4821" s="254" t="s">
        <v>25956</v>
      </c>
      <c r="C4821" s="254" t="s">
        <v>4524</v>
      </c>
      <c r="D4821" s="255" t="s">
        <v>25957</v>
      </c>
      <c r="E4821" s="253" t="s">
        <v>170</v>
      </c>
    </row>
    <row r="4822" spans="1:5" ht="15">
      <c r="A4822" s="254">
        <v>7672</v>
      </c>
      <c r="B4822" s="254" t="s">
        <v>25958</v>
      </c>
      <c r="C4822" s="254" t="s">
        <v>4524</v>
      </c>
      <c r="D4822" s="255" t="s">
        <v>25959</v>
      </c>
      <c r="E4822" s="253" t="s">
        <v>170</v>
      </c>
    </row>
    <row r="4823" spans="1:5" ht="15">
      <c r="A4823" s="254">
        <v>20995</v>
      </c>
      <c r="B4823" s="254" t="s">
        <v>25960</v>
      </c>
      <c r="C4823" s="254" t="s">
        <v>4524</v>
      </c>
      <c r="D4823" s="255" t="s">
        <v>25961</v>
      </c>
      <c r="E4823" s="253" t="s">
        <v>170</v>
      </c>
    </row>
    <row r="4824" spans="1:5" ht="15">
      <c r="A4824" s="254">
        <v>7690</v>
      </c>
      <c r="B4824" s="254" t="s">
        <v>25962</v>
      </c>
      <c r="C4824" s="254" t="s">
        <v>4524</v>
      </c>
      <c r="D4824" s="255" t="s">
        <v>25963</v>
      </c>
      <c r="E4824" s="253" t="s">
        <v>170</v>
      </c>
    </row>
    <row r="4825" spans="1:5" ht="15">
      <c r="A4825" s="254">
        <v>20980</v>
      </c>
      <c r="B4825" s="254" t="s">
        <v>25964</v>
      </c>
      <c r="C4825" s="254" t="s">
        <v>4524</v>
      </c>
      <c r="D4825" s="255" t="s">
        <v>25965</v>
      </c>
      <c r="E4825" s="253" t="s">
        <v>170</v>
      </c>
    </row>
    <row r="4826" spans="1:5" ht="15">
      <c r="A4826" s="254">
        <v>7661</v>
      </c>
      <c r="B4826" s="254" t="s">
        <v>25966</v>
      </c>
      <c r="C4826" s="254" t="s">
        <v>4524</v>
      </c>
      <c r="D4826" s="255" t="s">
        <v>25967</v>
      </c>
      <c r="E4826" s="253" t="s">
        <v>170</v>
      </c>
    </row>
    <row r="4827" spans="1:5" ht="30">
      <c r="A4827" s="254">
        <v>21016</v>
      </c>
      <c r="B4827" s="254" t="s">
        <v>25968</v>
      </c>
      <c r="C4827" s="254" t="s">
        <v>4524</v>
      </c>
      <c r="D4827" s="255" t="s">
        <v>25969</v>
      </c>
      <c r="E4827" s="253" t="s">
        <v>170</v>
      </c>
    </row>
    <row r="4828" spans="1:5" ht="30">
      <c r="A4828" s="254">
        <v>21008</v>
      </c>
      <c r="B4828" s="254" t="s">
        <v>25970</v>
      </c>
      <c r="C4828" s="254" t="s">
        <v>4524</v>
      </c>
      <c r="D4828" s="255" t="s">
        <v>25971</v>
      </c>
      <c r="E4828" s="253" t="s">
        <v>170</v>
      </c>
    </row>
    <row r="4829" spans="1:5" ht="30">
      <c r="A4829" s="254">
        <v>21009</v>
      </c>
      <c r="B4829" s="254" t="s">
        <v>25972</v>
      </c>
      <c r="C4829" s="254" t="s">
        <v>4524</v>
      </c>
      <c r="D4829" s="255" t="s">
        <v>25973</v>
      </c>
      <c r="E4829" s="253" t="s">
        <v>170</v>
      </c>
    </row>
    <row r="4830" spans="1:5" ht="30">
      <c r="A4830" s="254">
        <v>21010</v>
      </c>
      <c r="B4830" s="254" t="s">
        <v>25974</v>
      </c>
      <c r="C4830" s="254" t="s">
        <v>4524</v>
      </c>
      <c r="D4830" s="255" t="s">
        <v>25975</v>
      </c>
      <c r="E4830" s="253" t="s">
        <v>170</v>
      </c>
    </row>
    <row r="4831" spans="1:5" ht="30">
      <c r="A4831" s="254">
        <v>21011</v>
      </c>
      <c r="B4831" s="254" t="s">
        <v>25976</v>
      </c>
      <c r="C4831" s="254" t="s">
        <v>4524</v>
      </c>
      <c r="D4831" s="255" t="s">
        <v>16336</v>
      </c>
      <c r="E4831" s="253" t="s">
        <v>170</v>
      </c>
    </row>
    <row r="4832" spans="1:5" ht="30">
      <c r="A4832" s="254">
        <v>21012</v>
      </c>
      <c r="B4832" s="254" t="s">
        <v>25977</v>
      </c>
      <c r="C4832" s="254" t="s">
        <v>4524</v>
      </c>
      <c r="D4832" s="255" t="s">
        <v>25978</v>
      </c>
      <c r="E4832" s="253" t="s">
        <v>170</v>
      </c>
    </row>
    <row r="4833" spans="1:5" ht="30">
      <c r="A4833" s="254">
        <v>21013</v>
      </c>
      <c r="B4833" s="254" t="s">
        <v>25979</v>
      </c>
      <c r="C4833" s="254" t="s">
        <v>4524</v>
      </c>
      <c r="D4833" s="255" t="s">
        <v>25980</v>
      </c>
      <c r="E4833" s="253" t="s">
        <v>170</v>
      </c>
    </row>
    <row r="4834" spans="1:5" ht="30">
      <c r="A4834" s="254">
        <v>21014</v>
      </c>
      <c r="B4834" s="254" t="s">
        <v>25981</v>
      </c>
      <c r="C4834" s="254" t="s">
        <v>4524</v>
      </c>
      <c r="D4834" s="255" t="s">
        <v>25982</v>
      </c>
      <c r="E4834" s="253" t="s">
        <v>170</v>
      </c>
    </row>
    <row r="4835" spans="1:5" ht="30">
      <c r="A4835" s="254">
        <v>21015</v>
      </c>
      <c r="B4835" s="254" t="s">
        <v>25983</v>
      </c>
      <c r="C4835" s="254" t="s">
        <v>4524</v>
      </c>
      <c r="D4835" s="255" t="s">
        <v>25984</v>
      </c>
      <c r="E4835" s="253" t="s">
        <v>170</v>
      </c>
    </row>
    <row r="4836" spans="1:5" ht="30">
      <c r="A4836" s="254">
        <v>7697</v>
      </c>
      <c r="B4836" s="254" t="s">
        <v>25985</v>
      </c>
      <c r="C4836" s="254" t="s">
        <v>4524</v>
      </c>
      <c r="D4836" s="255" t="s">
        <v>20137</v>
      </c>
      <c r="E4836" s="253" t="s">
        <v>170</v>
      </c>
    </row>
    <row r="4837" spans="1:5" ht="30">
      <c r="A4837" s="254">
        <v>7698</v>
      </c>
      <c r="B4837" s="254" t="s">
        <v>25986</v>
      </c>
      <c r="C4837" s="254" t="s">
        <v>4524</v>
      </c>
      <c r="D4837" s="255" t="s">
        <v>18243</v>
      </c>
      <c r="E4837" s="253" t="s">
        <v>170</v>
      </c>
    </row>
    <row r="4838" spans="1:5" ht="30">
      <c r="A4838" s="254">
        <v>7691</v>
      </c>
      <c r="B4838" s="254" t="s">
        <v>25987</v>
      </c>
      <c r="C4838" s="254" t="s">
        <v>4524</v>
      </c>
      <c r="D4838" s="255" t="s">
        <v>16622</v>
      </c>
      <c r="E4838" s="253" t="s">
        <v>170</v>
      </c>
    </row>
    <row r="4839" spans="1:5" ht="30">
      <c r="A4839" s="254">
        <v>40626</v>
      </c>
      <c r="B4839" s="254" t="s">
        <v>25988</v>
      </c>
      <c r="C4839" s="254" t="s">
        <v>4524</v>
      </c>
      <c r="D4839" s="255" t="s">
        <v>25989</v>
      </c>
      <c r="E4839" s="253" t="s">
        <v>170</v>
      </c>
    </row>
    <row r="4840" spans="1:5" ht="30">
      <c r="A4840" s="254">
        <v>7701</v>
      </c>
      <c r="B4840" s="254" t="s">
        <v>25990</v>
      </c>
      <c r="C4840" s="254" t="s">
        <v>4524</v>
      </c>
      <c r="D4840" s="255" t="s">
        <v>25991</v>
      </c>
      <c r="E4840" s="253" t="s">
        <v>170</v>
      </c>
    </row>
    <row r="4841" spans="1:5" ht="30">
      <c r="A4841" s="254">
        <v>7696</v>
      </c>
      <c r="B4841" s="254" t="s">
        <v>25992</v>
      </c>
      <c r="C4841" s="254" t="s">
        <v>4524</v>
      </c>
      <c r="D4841" s="255" t="s">
        <v>25993</v>
      </c>
      <c r="E4841" s="253" t="s">
        <v>170</v>
      </c>
    </row>
    <row r="4842" spans="1:5" ht="30">
      <c r="A4842" s="254">
        <v>7700</v>
      </c>
      <c r="B4842" s="254" t="s">
        <v>25994</v>
      </c>
      <c r="C4842" s="254" t="s">
        <v>4524</v>
      </c>
      <c r="D4842" s="255" t="s">
        <v>21794</v>
      </c>
      <c r="E4842" s="253" t="s">
        <v>170</v>
      </c>
    </row>
    <row r="4843" spans="1:5" ht="30">
      <c r="A4843" s="254">
        <v>7694</v>
      </c>
      <c r="B4843" s="254" t="s">
        <v>25995</v>
      </c>
      <c r="C4843" s="254" t="s">
        <v>4524</v>
      </c>
      <c r="D4843" s="255" t="s">
        <v>25996</v>
      </c>
      <c r="E4843" s="253" t="s">
        <v>170</v>
      </c>
    </row>
    <row r="4844" spans="1:5" ht="30">
      <c r="A4844" s="254">
        <v>7693</v>
      </c>
      <c r="B4844" s="254" t="s">
        <v>25997</v>
      </c>
      <c r="C4844" s="254" t="s">
        <v>4524</v>
      </c>
      <c r="D4844" s="255" t="s">
        <v>25998</v>
      </c>
      <c r="E4844" s="253" t="s">
        <v>170</v>
      </c>
    </row>
    <row r="4845" spans="1:5" ht="30">
      <c r="A4845" s="254">
        <v>7692</v>
      </c>
      <c r="B4845" s="254" t="s">
        <v>25999</v>
      </c>
      <c r="C4845" s="254" t="s">
        <v>4524</v>
      </c>
      <c r="D4845" s="255" t="s">
        <v>26000</v>
      </c>
      <c r="E4845" s="253" t="s">
        <v>170</v>
      </c>
    </row>
    <row r="4846" spans="1:5" ht="30">
      <c r="A4846" s="254">
        <v>7695</v>
      </c>
      <c r="B4846" s="254" t="s">
        <v>26001</v>
      </c>
      <c r="C4846" s="254" t="s">
        <v>4524</v>
      </c>
      <c r="D4846" s="255" t="s">
        <v>26002</v>
      </c>
      <c r="E4846" s="253" t="s">
        <v>170</v>
      </c>
    </row>
    <row r="4847" spans="1:5" ht="15">
      <c r="A4847" s="254">
        <v>13356</v>
      </c>
      <c r="B4847" s="254" t="s">
        <v>26003</v>
      </c>
      <c r="C4847" s="254" t="s">
        <v>4524</v>
      </c>
      <c r="D4847" s="255" t="s">
        <v>26004</v>
      </c>
      <c r="E4847" s="253" t="s">
        <v>170</v>
      </c>
    </row>
    <row r="4848" spans="1:5" ht="15">
      <c r="A4848" s="254">
        <v>36365</v>
      </c>
      <c r="B4848" s="254" t="s">
        <v>26005</v>
      </c>
      <c r="C4848" s="254" t="s">
        <v>4524</v>
      </c>
      <c r="D4848" s="255" t="s">
        <v>17600</v>
      </c>
      <c r="E4848" s="253" t="s">
        <v>170</v>
      </c>
    </row>
    <row r="4849" spans="1:5" ht="15">
      <c r="A4849" s="254">
        <v>41930</v>
      </c>
      <c r="B4849" s="254" t="s">
        <v>26006</v>
      </c>
      <c r="C4849" s="254" t="s">
        <v>4524</v>
      </c>
      <c r="D4849" s="255" t="s">
        <v>26007</v>
      </c>
      <c r="E4849" s="253" t="s">
        <v>170</v>
      </c>
    </row>
    <row r="4850" spans="1:5" ht="15">
      <c r="A4850" s="254">
        <v>41931</v>
      </c>
      <c r="B4850" s="254" t="s">
        <v>26008</v>
      </c>
      <c r="C4850" s="254" t="s">
        <v>4524</v>
      </c>
      <c r="D4850" s="255" t="s">
        <v>26009</v>
      </c>
      <c r="E4850" s="253" t="s">
        <v>170</v>
      </c>
    </row>
    <row r="4851" spans="1:5" ht="15">
      <c r="A4851" s="254">
        <v>41932</v>
      </c>
      <c r="B4851" s="254" t="s">
        <v>26010</v>
      </c>
      <c r="C4851" s="254" t="s">
        <v>4524</v>
      </c>
      <c r="D4851" s="255" t="s">
        <v>26011</v>
      </c>
      <c r="E4851" s="253" t="s">
        <v>170</v>
      </c>
    </row>
    <row r="4852" spans="1:5" ht="15">
      <c r="A4852" s="254">
        <v>41933</v>
      </c>
      <c r="B4852" s="254" t="s">
        <v>26012</v>
      </c>
      <c r="C4852" s="254" t="s">
        <v>4524</v>
      </c>
      <c r="D4852" s="255" t="s">
        <v>26013</v>
      </c>
      <c r="E4852" s="253" t="s">
        <v>170</v>
      </c>
    </row>
    <row r="4853" spans="1:5" ht="15">
      <c r="A4853" s="254">
        <v>41934</v>
      </c>
      <c r="B4853" s="254" t="s">
        <v>26014</v>
      </c>
      <c r="C4853" s="254" t="s">
        <v>4524</v>
      </c>
      <c r="D4853" s="255" t="s">
        <v>26015</v>
      </c>
      <c r="E4853" s="253" t="s">
        <v>170</v>
      </c>
    </row>
    <row r="4854" spans="1:5" ht="15">
      <c r="A4854" s="254">
        <v>41936</v>
      </c>
      <c r="B4854" s="254" t="s">
        <v>26016</v>
      </c>
      <c r="C4854" s="254" t="s">
        <v>4524</v>
      </c>
      <c r="D4854" s="255" t="s">
        <v>13950</v>
      </c>
      <c r="E4854" s="253" t="s">
        <v>170</v>
      </c>
    </row>
    <row r="4855" spans="1:5" ht="30">
      <c r="A4855" s="254">
        <v>7720</v>
      </c>
      <c r="B4855" s="254" t="s">
        <v>26017</v>
      </c>
      <c r="C4855" s="254" t="s">
        <v>4524</v>
      </c>
      <c r="D4855" s="255" t="s">
        <v>26018</v>
      </c>
      <c r="E4855" s="253" t="s">
        <v>170</v>
      </c>
    </row>
    <row r="4856" spans="1:5" ht="30">
      <c r="A4856" s="254">
        <v>40335</v>
      </c>
      <c r="B4856" s="254" t="s">
        <v>26019</v>
      </c>
      <c r="C4856" s="254" t="s">
        <v>4524</v>
      </c>
      <c r="D4856" s="255" t="s">
        <v>26020</v>
      </c>
      <c r="E4856" s="253" t="s">
        <v>170</v>
      </c>
    </row>
    <row r="4857" spans="1:5" ht="30">
      <c r="A4857" s="254">
        <v>7740</v>
      </c>
      <c r="B4857" s="254" t="s">
        <v>26021</v>
      </c>
      <c r="C4857" s="254" t="s">
        <v>4524</v>
      </c>
      <c r="D4857" s="255" t="s">
        <v>26022</v>
      </c>
      <c r="E4857" s="253" t="s">
        <v>170</v>
      </c>
    </row>
    <row r="4858" spans="1:5" ht="30">
      <c r="A4858" s="254">
        <v>7741</v>
      </c>
      <c r="B4858" s="254" t="s">
        <v>26023</v>
      </c>
      <c r="C4858" s="254" t="s">
        <v>4524</v>
      </c>
      <c r="D4858" s="255" t="s">
        <v>26024</v>
      </c>
      <c r="E4858" s="253" t="s">
        <v>170</v>
      </c>
    </row>
    <row r="4859" spans="1:5" ht="30">
      <c r="A4859" s="254">
        <v>7774</v>
      </c>
      <c r="B4859" s="254" t="s">
        <v>26025</v>
      </c>
      <c r="C4859" s="254" t="s">
        <v>4524</v>
      </c>
      <c r="D4859" s="255" t="s">
        <v>26026</v>
      </c>
      <c r="E4859" s="253" t="s">
        <v>170</v>
      </c>
    </row>
    <row r="4860" spans="1:5" ht="30">
      <c r="A4860" s="254">
        <v>7744</v>
      </c>
      <c r="B4860" s="254" t="s">
        <v>26027</v>
      </c>
      <c r="C4860" s="254" t="s">
        <v>4524</v>
      </c>
      <c r="D4860" s="255" t="s">
        <v>26028</v>
      </c>
      <c r="E4860" s="253" t="s">
        <v>170</v>
      </c>
    </row>
    <row r="4861" spans="1:5" ht="30">
      <c r="A4861" s="254">
        <v>7773</v>
      </c>
      <c r="B4861" s="254" t="s">
        <v>26029</v>
      </c>
      <c r="C4861" s="254" t="s">
        <v>4524</v>
      </c>
      <c r="D4861" s="255" t="s">
        <v>26030</v>
      </c>
      <c r="E4861" s="253" t="s">
        <v>170</v>
      </c>
    </row>
    <row r="4862" spans="1:5" ht="30">
      <c r="A4862" s="254">
        <v>7754</v>
      </c>
      <c r="B4862" s="254" t="s">
        <v>26031</v>
      </c>
      <c r="C4862" s="254" t="s">
        <v>4524</v>
      </c>
      <c r="D4862" s="255" t="s">
        <v>26032</v>
      </c>
      <c r="E4862" s="253" t="s">
        <v>170</v>
      </c>
    </row>
    <row r="4863" spans="1:5" ht="30">
      <c r="A4863" s="254">
        <v>7735</v>
      </c>
      <c r="B4863" s="254" t="s">
        <v>26033</v>
      </c>
      <c r="C4863" s="254" t="s">
        <v>4524</v>
      </c>
      <c r="D4863" s="255" t="s">
        <v>26034</v>
      </c>
      <c r="E4863" s="253" t="s">
        <v>170</v>
      </c>
    </row>
    <row r="4864" spans="1:5" ht="30">
      <c r="A4864" s="254">
        <v>7755</v>
      </c>
      <c r="B4864" s="254" t="s">
        <v>26035</v>
      </c>
      <c r="C4864" s="254" t="s">
        <v>4524</v>
      </c>
      <c r="D4864" s="255" t="s">
        <v>26036</v>
      </c>
      <c r="E4864" s="253" t="s">
        <v>170</v>
      </c>
    </row>
    <row r="4865" spans="1:5" ht="30">
      <c r="A4865" s="254">
        <v>7776</v>
      </c>
      <c r="B4865" s="254" t="s">
        <v>26037</v>
      </c>
      <c r="C4865" s="254" t="s">
        <v>4524</v>
      </c>
      <c r="D4865" s="255" t="s">
        <v>26038</v>
      </c>
      <c r="E4865" s="253" t="s">
        <v>170</v>
      </c>
    </row>
    <row r="4866" spans="1:5" ht="30">
      <c r="A4866" s="254">
        <v>7743</v>
      </c>
      <c r="B4866" s="254" t="s">
        <v>26039</v>
      </c>
      <c r="C4866" s="254" t="s">
        <v>4524</v>
      </c>
      <c r="D4866" s="255" t="s">
        <v>26040</v>
      </c>
      <c r="E4866" s="253" t="s">
        <v>170</v>
      </c>
    </row>
    <row r="4867" spans="1:5" ht="30">
      <c r="A4867" s="254">
        <v>7733</v>
      </c>
      <c r="B4867" s="254" t="s">
        <v>26041</v>
      </c>
      <c r="C4867" s="254" t="s">
        <v>4524</v>
      </c>
      <c r="D4867" s="255" t="s">
        <v>26042</v>
      </c>
      <c r="E4867" s="253" t="s">
        <v>170</v>
      </c>
    </row>
    <row r="4868" spans="1:5" ht="30">
      <c r="A4868" s="254">
        <v>7775</v>
      </c>
      <c r="B4868" s="254" t="s">
        <v>26043</v>
      </c>
      <c r="C4868" s="254" t="s">
        <v>4524</v>
      </c>
      <c r="D4868" s="255" t="s">
        <v>26044</v>
      </c>
      <c r="E4868" s="253" t="s">
        <v>170</v>
      </c>
    </row>
    <row r="4869" spans="1:5" ht="30">
      <c r="A4869" s="254">
        <v>7734</v>
      </c>
      <c r="B4869" s="254" t="s">
        <v>26045</v>
      </c>
      <c r="C4869" s="254" t="s">
        <v>4524</v>
      </c>
      <c r="D4869" s="255" t="s">
        <v>26046</v>
      </c>
      <c r="E4869" s="253" t="s">
        <v>170</v>
      </c>
    </row>
    <row r="4870" spans="1:5" ht="30">
      <c r="A4870" s="254">
        <v>7753</v>
      </c>
      <c r="B4870" s="254" t="s">
        <v>26047</v>
      </c>
      <c r="C4870" s="254" t="s">
        <v>4524</v>
      </c>
      <c r="D4870" s="255" t="s">
        <v>26048</v>
      </c>
      <c r="E4870" s="253" t="s">
        <v>170</v>
      </c>
    </row>
    <row r="4871" spans="1:5" ht="30">
      <c r="A4871" s="254">
        <v>13256</v>
      </c>
      <c r="B4871" s="254" t="s">
        <v>26049</v>
      </c>
      <c r="C4871" s="254" t="s">
        <v>4524</v>
      </c>
      <c r="D4871" s="255" t="s">
        <v>26050</v>
      </c>
      <c r="E4871" s="253" t="s">
        <v>170</v>
      </c>
    </row>
    <row r="4872" spans="1:5" ht="30">
      <c r="A4872" s="254">
        <v>7757</v>
      </c>
      <c r="B4872" s="254" t="s">
        <v>26051</v>
      </c>
      <c r="C4872" s="254" t="s">
        <v>4524</v>
      </c>
      <c r="D4872" s="255" t="s">
        <v>26052</v>
      </c>
      <c r="E4872" s="253" t="s">
        <v>170</v>
      </c>
    </row>
    <row r="4873" spans="1:5" ht="30">
      <c r="A4873" s="254">
        <v>7758</v>
      </c>
      <c r="B4873" s="254" t="s">
        <v>26053</v>
      </c>
      <c r="C4873" s="254" t="s">
        <v>4524</v>
      </c>
      <c r="D4873" s="255" t="s">
        <v>26054</v>
      </c>
      <c r="E4873" s="253" t="s">
        <v>170</v>
      </c>
    </row>
    <row r="4874" spans="1:5" ht="30">
      <c r="A4874" s="254">
        <v>7759</v>
      </c>
      <c r="B4874" s="254" t="s">
        <v>26055</v>
      </c>
      <c r="C4874" s="254" t="s">
        <v>4524</v>
      </c>
      <c r="D4874" s="255" t="s">
        <v>26056</v>
      </c>
      <c r="E4874" s="253" t="s">
        <v>170</v>
      </c>
    </row>
    <row r="4875" spans="1:5" ht="30">
      <c r="A4875" s="254">
        <v>40334</v>
      </c>
      <c r="B4875" s="254" t="s">
        <v>26057</v>
      </c>
      <c r="C4875" s="254" t="s">
        <v>4524</v>
      </c>
      <c r="D4875" s="255" t="s">
        <v>26058</v>
      </c>
      <c r="E4875" s="253" t="s">
        <v>170</v>
      </c>
    </row>
    <row r="4876" spans="1:5" ht="30">
      <c r="A4876" s="254">
        <v>7745</v>
      </c>
      <c r="B4876" s="254" t="s">
        <v>26059</v>
      </c>
      <c r="C4876" s="254" t="s">
        <v>4524</v>
      </c>
      <c r="D4876" s="255" t="s">
        <v>26060</v>
      </c>
      <c r="E4876" s="253" t="s">
        <v>170</v>
      </c>
    </row>
    <row r="4877" spans="1:5" ht="30">
      <c r="A4877" s="254">
        <v>7714</v>
      </c>
      <c r="B4877" s="254" t="s">
        <v>26061</v>
      </c>
      <c r="C4877" s="254" t="s">
        <v>4524</v>
      </c>
      <c r="D4877" s="255" t="s">
        <v>26062</v>
      </c>
      <c r="E4877" s="253" t="s">
        <v>170</v>
      </c>
    </row>
    <row r="4878" spans="1:5" ht="30">
      <c r="A4878" s="254">
        <v>7725</v>
      </c>
      <c r="B4878" s="254" t="s">
        <v>26063</v>
      </c>
      <c r="C4878" s="254" t="s">
        <v>4524</v>
      </c>
      <c r="D4878" s="255" t="s">
        <v>16705</v>
      </c>
      <c r="E4878" s="253" t="s">
        <v>170</v>
      </c>
    </row>
    <row r="4879" spans="1:5" ht="30">
      <c r="A4879" s="254">
        <v>7742</v>
      </c>
      <c r="B4879" s="254" t="s">
        <v>26064</v>
      </c>
      <c r="C4879" s="254" t="s">
        <v>4524</v>
      </c>
      <c r="D4879" s="255" t="s">
        <v>26065</v>
      </c>
      <c r="E4879" s="253" t="s">
        <v>170</v>
      </c>
    </row>
    <row r="4880" spans="1:5" ht="30">
      <c r="A4880" s="254">
        <v>7750</v>
      </c>
      <c r="B4880" s="254" t="s">
        <v>26066</v>
      </c>
      <c r="C4880" s="254" t="s">
        <v>4524</v>
      </c>
      <c r="D4880" s="255" t="s">
        <v>26067</v>
      </c>
      <c r="E4880" s="253" t="s">
        <v>170</v>
      </c>
    </row>
    <row r="4881" spans="1:5" ht="30">
      <c r="A4881" s="254">
        <v>7756</v>
      </c>
      <c r="B4881" s="254" t="s">
        <v>26068</v>
      </c>
      <c r="C4881" s="254" t="s">
        <v>4524</v>
      </c>
      <c r="D4881" s="255" t="s">
        <v>26069</v>
      </c>
      <c r="E4881" s="253" t="s">
        <v>170</v>
      </c>
    </row>
    <row r="4882" spans="1:5" ht="30">
      <c r="A4882" s="254">
        <v>7765</v>
      </c>
      <c r="B4882" s="254" t="s">
        <v>26070</v>
      </c>
      <c r="C4882" s="254" t="s">
        <v>4524</v>
      </c>
      <c r="D4882" s="255" t="s">
        <v>26071</v>
      </c>
      <c r="E4882" s="253" t="s">
        <v>170</v>
      </c>
    </row>
    <row r="4883" spans="1:5" ht="30">
      <c r="A4883" s="254">
        <v>12569</v>
      </c>
      <c r="B4883" s="254" t="s">
        <v>26072</v>
      </c>
      <c r="C4883" s="254" t="s">
        <v>4524</v>
      </c>
      <c r="D4883" s="255" t="s">
        <v>26073</v>
      </c>
      <c r="E4883" s="253" t="s">
        <v>170</v>
      </c>
    </row>
    <row r="4884" spans="1:5" ht="30">
      <c r="A4884" s="254">
        <v>7766</v>
      </c>
      <c r="B4884" s="254" t="s">
        <v>26074</v>
      </c>
      <c r="C4884" s="254" t="s">
        <v>4524</v>
      </c>
      <c r="D4884" s="255" t="s">
        <v>26075</v>
      </c>
      <c r="E4884" s="253" t="s">
        <v>170</v>
      </c>
    </row>
    <row r="4885" spans="1:5" ht="30">
      <c r="A4885" s="254">
        <v>7767</v>
      </c>
      <c r="B4885" s="254" t="s">
        <v>26076</v>
      </c>
      <c r="C4885" s="254" t="s">
        <v>4524</v>
      </c>
      <c r="D4885" s="255" t="s">
        <v>26077</v>
      </c>
      <c r="E4885" s="253" t="s">
        <v>170</v>
      </c>
    </row>
    <row r="4886" spans="1:5" ht="30">
      <c r="A4886" s="254">
        <v>7727</v>
      </c>
      <c r="B4886" s="254" t="s">
        <v>26078</v>
      </c>
      <c r="C4886" s="254" t="s">
        <v>4524</v>
      </c>
      <c r="D4886" s="255" t="s">
        <v>26079</v>
      </c>
      <c r="E4886" s="253" t="s">
        <v>170</v>
      </c>
    </row>
    <row r="4887" spans="1:5" ht="30">
      <c r="A4887" s="254">
        <v>7760</v>
      </c>
      <c r="B4887" s="254" t="s">
        <v>26080</v>
      </c>
      <c r="C4887" s="254" t="s">
        <v>4524</v>
      </c>
      <c r="D4887" s="255" t="s">
        <v>26081</v>
      </c>
      <c r="E4887" s="253" t="s">
        <v>170</v>
      </c>
    </row>
    <row r="4888" spans="1:5" ht="30">
      <c r="A4888" s="254">
        <v>7761</v>
      </c>
      <c r="B4888" s="254" t="s">
        <v>26082</v>
      </c>
      <c r="C4888" s="254" t="s">
        <v>4524</v>
      </c>
      <c r="D4888" s="255" t="s">
        <v>26083</v>
      </c>
      <c r="E4888" s="253" t="s">
        <v>170</v>
      </c>
    </row>
    <row r="4889" spans="1:5" ht="30">
      <c r="A4889" s="254">
        <v>7752</v>
      </c>
      <c r="B4889" s="254" t="s">
        <v>26084</v>
      </c>
      <c r="C4889" s="254" t="s">
        <v>4524</v>
      </c>
      <c r="D4889" s="256" t="s">
        <v>21631</v>
      </c>
      <c r="E4889" s="253" t="s">
        <v>170</v>
      </c>
    </row>
    <row r="4890" spans="1:5" ht="30">
      <c r="A4890" s="254">
        <v>7762</v>
      </c>
      <c r="B4890" s="254" t="s">
        <v>26085</v>
      </c>
      <c r="C4890" s="254" t="s">
        <v>4524</v>
      </c>
      <c r="D4890" s="256" t="s">
        <v>26086</v>
      </c>
      <c r="E4890" s="253" t="s">
        <v>170</v>
      </c>
    </row>
    <row r="4891" spans="1:5" ht="30">
      <c r="A4891" s="254">
        <v>7722</v>
      </c>
      <c r="B4891" s="254" t="s">
        <v>26087</v>
      </c>
      <c r="C4891" s="254" t="s">
        <v>4524</v>
      </c>
      <c r="D4891" s="256" t="s">
        <v>26088</v>
      </c>
      <c r="E4891" s="253" t="s">
        <v>170</v>
      </c>
    </row>
    <row r="4892" spans="1:5" ht="30">
      <c r="A4892" s="254">
        <v>7763</v>
      </c>
      <c r="B4892" s="254" t="s">
        <v>26089</v>
      </c>
      <c r="C4892" s="254" t="s">
        <v>4524</v>
      </c>
      <c r="D4892" s="255" t="s">
        <v>26090</v>
      </c>
      <c r="E4892" s="253" t="s">
        <v>170</v>
      </c>
    </row>
    <row r="4893" spans="1:5" ht="30">
      <c r="A4893" s="254">
        <v>7764</v>
      </c>
      <c r="B4893" s="254" t="s">
        <v>26091</v>
      </c>
      <c r="C4893" s="254" t="s">
        <v>4524</v>
      </c>
      <c r="D4893" s="255" t="s">
        <v>26092</v>
      </c>
      <c r="E4893" s="253" t="s">
        <v>170</v>
      </c>
    </row>
    <row r="4894" spans="1:5" ht="30">
      <c r="A4894" s="254">
        <v>12572</v>
      </c>
      <c r="B4894" s="254" t="s">
        <v>26093</v>
      </c>
      <c r="C4894" s="254" t="s">
        <v>4524</v>
      </c>
      <c r="D4894" s="255" t="s">
        <v>26094</v>
      </c>
      <c r="E4894" s="253" t="s">
        <v>170</v>
      </c>
    </row>
    <row r="4895" spans="1:5" ht="30">
      <c r="A4895" s="254">
        <v>12573</v>
      </c>
      <c r="B4895" s="254" t="s">
        <v>26095</v>
      </c>
      <c r="C4895" s="254" t="s">
        <v>4524</v>
      </c>
      <c r="D4895" s="255" t="s">
        <v>26096</v>
      </c>
      <c r="E4895" s="253" t="s">
        <v>170</v>
      </c>
    </row>
    <row r="4896" spans="1:5" ht="30">
      <c r="A4896" s="254">
        <v>12574</v>
      </c>
      <c r="B4896" s="254" t="s">
        <v>26097</v>
      </c>
      <c r="C4896" s="254" t="s">
        <v>4524</v>
      </c>
      <c r="D4896" s="255" t="s">
        <v>26098</v>
      </c>
      <c r="E4896" s="253" t="s">
        <v>170</v>
      </c>
    </row>
    <row r="4897" spans="1:5" ht="30">
      <c r="A4897" s="254">
        <v>12575</v>
      </c>
      <c r="B4897" s="254" t="s">
        <v>26099</v>
      </c>
      <c r="C4897" s="254" t="s">
        <v>4524</v>
      </c>
      <c r="D4897" s="255" t="s">
        <v>26100</v>
      </c>
      <c r="E4897" s="253" t="s">
        <v>170</v>
      </c>
    </row>
    <row r="4898" spans="1:5" ht="30">
      <c r="A4898" s="254">
        <v>12576</v>
      </c>
      <c r="B4898" s="254" t="s">
        <v>26101</v>
      </c>
      <c r="C4898" s="254" t="s">
        <v>4524</v>
      </c>
      <c r="D4898" s="255" t="s">
        <v>26102</v>
      </c>
      <c r="E4898" s="253" t="s">
        <v>170</v>
      </c>
    </row>
    <row r="4899" spans="1:5" ht="30">
      <c r="A4899" s="254">
        <v>12577</v>
      </c>
      <c r="B4899" s="254" t="s">
        <v>26103</v>
      </c>
      <c r="C4899" s="254" t="s">
        <v>4524</v>
      </c>
      <c r="D4899" s="255" t="s">
        <v>26104</v>
      </c>
      <c r="E4899" s="253" t="s">
        <v>170</v>
      </c>
    </row>
    <row r="4900" spans="1:5" ht="30">
      <c r="A4900" s="254">
        <v>12578</v>
      </c>
      <c r="B4900" s="254" t="s">
        <v>26105</v>
      </c>
      <c r="C4900" s="254" t="s">
        <v>4524</v>
      </c>
      <c r="D4900" s="255" t="s">
        <v>26106</v>
      </c>
      <c r="E4900" s="253" t="s">
        <v>170</v>
      </c>
    </row>
    <row r="4901" spans="1:5" ht="30">
      <c r="A4901" s="254">
        <v>12579</v>
      </c>
      <c r="B4901" s="254" t="s">
        <v>26107</v>
      </c>
      <c r="C4901" s="254" t="s">
        <v>4524</v>
      </c>
      <c r="D4901" s="255" t="s">
        <v>26108</v>
      </c>
      <c r="E4901" s="253" t="s">
        <v>170</v>
      </c>
    </row>
    <row r="4902" spans="1:5" ht="30">
      <c r="A4902" s="254">
        <v>12580</v>
      </c>
      <c r="B4902" s="254" t="s">
        <v>26109</v>
      </c>
      <c r="C4902" s="254" t="s">
        <v>4524</v>
      </c>
      <c r="D4902" s="255" t="s">
        <v>26110</v>
      </c>
      <c r="E4902" s="253" t="s">
        <v>170</v>
      </c>
    </row>
    <row r="4903" spans="1:5" ht="30">
      <c r="A4903" s="254">
        <v>12581</v>
      </c>
      <c r="B4903" s="254" t="s">
        <v>26111</v>
      </c>
      <c r="C4903" s="254" t="s">
        <v>4524</v>
      </c>
      <c r="D4903" s="255" t="s">
        <v>26112</v>
      </c>
      <c r="E4903" s="253" t="s">
        <v>170</v>
      </c>
    </row>
    <row r="4904" spans="1:5" ht="30">
      <c r="A4904" s="254">
        <v>41785</v>
      </c>
      <c r="B4904" s="254" t="s">
        <v>26113</v>
      </c>
      <c r="C4904" s="254" t="s">
        <v>4524</v>
      </c>
      <c r="D4904" s="255" t="s">
        <v>26114</v>
      </c>
      <c r="E4904" s="253" t="s">
        <v>170</v>
      </c>
    </row>
    <row r="4905" spans="1:5" ht="30">
      <c r="A4905" s="254">
        <v>41781</v>
      </c>
      <c r="B4905" s="254" t="s">
        <v>26115</v>
      </c>
      <c r="C4905" s="254" t="s">
        <v>4524</v>
      </c>
      <c r="D4905" s="255" t="s">
        <v>26116</v>
      </c>
      <c r="E4905" s="253" t="s">
        <v>170</v>
      </c>
    </row>
    <row r="4906" spans="1:5" ht="30">
      <c r="A4906" s="254">
        <v>41783</v>
      </c>
      <c r="B4906" s="254" t="s">
        <v>26117</v>
      </c>
      <c r="C4906" s="254" t="s">
        <v>4524</v>
      </c>
      <c r="D4906" s="255" t="s">
        <v>26118</v>
      </c>
      <c r="E4906" s="253" t="s">
        <v>170</v>
      </c>
    </row>
    <row r="4907" spans="1:5" ht="30">
      <c r="A4907" s="254">
        <v>41786</v>
      </c>
      <c r="B4907" s="254" t="s">
        <v>26119</v>
      </c>
      <c r="C4907" s="254" t="s">
        <v>4524</v>
      </c>
      <c r="D4907" s="255" t="s">
        <v>26120</v>
      </c>
      <c r="E4907" s="253" t="s">
        <v>170</v>
      </c>
    </row>
    <row r="4908" spans="1:5" ht="30">
      <c r="A4908" s="254">
        <v>41779</v>
      </c>
      <c r="B4908" s="254" t="s">
        <v>26121</v>
      </c>
      <c r="C4908" s="254" t="s">
        <v>4524</v>
      </c>
      <c r="D4908" s="255" t="s">
        <v>13740</v>
      </c>
      <c r="E4908" s="253" t="s">
        <v>170</v>
      </c>
    </row>
    <row r="4909" spans="1:5" ht="30">
      <c r="A4909" s="254">
        <v>41780</v>
      </c>
      <c r="B4909" s="254" t="s">
        <v>26122</v>
      </c>
      <c r="C4909" s="254" t="s">
        <v>4524</v>
      </c>
      <c r="D4909" s="255" t="s">
        <v>26123</v>
      </c>
      <c r="E4909" s="253" t="s">
        <v>170</v>
      </c>
    </row>
    <row r="4910" spans="1:5" ht="30">
      <c r="A4910" s="254">
        <v>41782</v>
      </c>
      <c r="B4910" s="254" t="s">
        <v>26124</v>
      </c>
      <c r="C4910" s="254" t="s">
        <v>4524</v>
      </c>
      <c r="D4910" s="255" t="s">
        <v>26125</v>
      </c>
      <c r="E4910" s="253" t="s">
        <v>170</v>
      </c>
    </row>
    <row r="4911" spans="1:5" ht="15">
      <c r="A4911" s="254">
        <v>38130</v>
      </c>
      <c r="B4911" s="254" t="s">
        <v>26126</v>
      </c>
      <c r="C4911" s="254" t="s">
        <v>4524</v>
      </c>
      <c r="D4911" s="255" t="s">
        <v>16848</v>
      </c>
      <c r="E4911" s="253" t="s">
        <v>170</v>
      </c>
    </row>
    <row r="4912" spans="1:5" ht="15">
      <c r="A4912" s="254">
        <v>21123</v>
      </c>
      <c r="B4912" s="254" t="s">
        <v>26127</v>
      </c>
      <c r="C4912" s="254" t="s">
        <v>4524</v>
      </c>
      <c r="D4912" s="255" t="s">
        <v>13849</v>
      </c>
      <c r="E4912" s="253" t="s">
        <v>170</v>
      </c>
    </row>
    <row r="4913" spans="1:5" ht="15">
      <c r="A4913" s="254">
        <v>21124</v>
      </c>
      <c r="B4913" s="254" t="s">
        <v>26128</v>
      </c>
      <c r="C4913" s="254" t="s">
        <v>4524</v>
      </c>
      <c r="D4913" s="255" t="s">
        <v>16473</v>
      </c>
      <c r="E4913" s="253" t="s">
        <v>170</v>
      </c>
    </row>
    <row r="4914" spans="1:5" ht="15">
      <c r="A4914" s="254">
        <v>21125</v>
      </c>
      <c r="B4914" s="254" t="s">
        <v>26129</v>
      </c>
      <c r="C4914" s="254" t="s">
        <v>4524</v>
      </c>
      <c r="D4914" s="255" t="s">
        <v>15785</v>
      </c>
      <c r="E4914" s="253" t="s">
        <v>170</v>
      </c>
    </row>
    <row r="4915" spans="1:5" ht="15">
      <c r="A4915" s="254">
        <v>38028</v>
      </c>
      <c r="B4915" s="254" t="s">
        <v>26130</v>
      </c>
      <c r="C4915" s="254" t="s">
        <v>4524</v>
      </c>
      <c r="D4915" s="255" t="s">
        <v>18565</v>
      </c>
      <c r="E4915" s="253" t="s">
        <v>170</v>
      </c>
    </row>
    <row r="4916" spans="1:5" ht="15">
      <c r="A4916" s="254">
        <v>38029</v>
      </c>
      <c r="B4916" s="254" t="s">
        <v>26131</v>
      </c>
      <c r="C4916" s="254" t="s">
        <v>4524</v>
      </c>
      <c r="D4916" s="255" t="s">
        <v>26132</v>
      </c>
      <c r="E4916" s="253" t="s">
        <v>170</v>
      </c>
    </row>
    <row r="4917" spans="1:5" ht="15">
      <c r="A4917" s="254">
        <v>38030</v>
      </c>
      <c r="B4917" s="254" t="s">
        <v>26133</v>
      </c>
      <c r="C4917" s="254" t="s">
        <v>4524</v>
      </c>
      <c r="D4917" s="255" t="s">
        <v>24125</v>
      </c>
      <c r="E4917" s="253" t="s">
        <v>170</v>
      </c>
    </row>
    <row r="4918" spans="1:5" ht="15">
      <c r="A4918" s="254">
        <v>38031</v>
      </c>
      <c r="B4918" s="254" t="s">
        <v>26134</v>
      </c>
      <c r="C4918" s="254" t="s">
        <v>4524</v>
      </c>
      <c r="D4918" s="255" t="s">
        <v>26135</v>
      </c>
      <c r="E4918" s="253" t="s">
        <v>170</v>
      </c>
    </row>
    <row r="4919" spans="1:5" ht="45">
      <c r="A4919" s="254">
        <v>39735</v>
      </c>
      <c r="B4919" s="254" t="s">
        <v>26136</v>
      </c>
      <c r="C4919" s="254" t="s">
        <v>4524</v>
      </c>
      <c r="D4919" s="255" t="s">
        <v>26137</v>
      </c>
      <c r="E4919" s="253" t="s">
        <v>170</v>
      </c>
    </row>
    <row r="4920" spans="1:5" ht="45">
      <c r="A4920" s="254">
        <v>39734</v>
      </c>
      <c r="B4920" s="254" t="s">
        <v>26138</v>
      </c>
      <c r="C4920" s="254" t="s">
        <v>4524</v>
      </c>
      <c r="D4920" s="255" t="s">
        <v>26139</v>
      </c>
      <c r="E4920" s="253" t="s">
        <v>170</v>
      </c>
    </row>
    <row r="4921" spans="1:5" ht="45">
      <c r="A4921" s="254">
        <v>39736</v>
      </c>
      <c r="B4921" s="254" t="s">
        <v>26140</v>
      </c>
      <c r="C4921" s="254" t="s">
        <v>4524</v>
      </c>
      <c r="D4921" s="255" t="s">
        <v>26141</v>
      </c>
      <c r="E4921" s="253" t="s">
        <v>170</v>
      </c>
    </row>
    <row r="4922" spans="1:5" ht="45">
      <c r="A4922" s="254">
        <v>39737</v>
      </c>
      <c r="B4922" s="254" t="s">
        <v>26142</v>
      </c>
      <c r="C4922" s="254" t="s">
        <v>4524</v>
      </c>
      <c r="D4922" s="255" t="s">
        <v>16557</v>
      </c>
      <c r="E4922" s="253" t="s">
        <v>170</v>
      </c>
    </row>
    <row r="4923" spans="1:5" ht="45">
      <c r="A4923" s="254">
        <v>39738</v>
      </c>
      <c r="B4923" s="254" t="s">
        <v>26143</v>
      </c>
      <c r="C4923" s="254" t="s">
        <v>4524</v>
      </c>
      <c r="D4923" s="255" t="s">
        <v>14054</v>
      </c>
      <c r="E4923" s="253" t="s">
        <v>170</v>
      </c>
    </row>
    <row r="4924" spans="1:5" ht="45">
      <c r="A4924" s="254">
        <v>39739</v>
      </c>
      <c r="B4924" s="254" t="s">
        <v>26144</v>
      </c>
      <c r="C4924" s="254" t="s">
        <v>4524</v>
      </c>
      <c r="D4924" s="255" t="s">
        <v>26145</v>
      </c>
      <c r="E4924" s="253" t="s">
        <v>170</v>
      </c>
    </row>
    <row r="4925" spans="1:5" ht="45">
      <c r="A4925" s="254">
        <v>39733</v>
      </c>
      <c r="B4925" s="254" t="s">
        <v>26146</v>
      </c>
      <c r="C4925" s="254" t="s">
        <v>4524</v>
      </c>
      <c r="D4925" s="255" t="s">
        <v>19059</v>
      </c>
      <c r="E4925" s="253" t="s">
        <v>170</v>
      </c>
    </row>
    <row r="4926" spans="1:5" ht="45">
      <c r="A4926" s="254">
        <v>39854</v>
      </c>
      <c r="B4926" s="254" t="s">
        <v>26147</v>
      </c>
      <c r="C4926" s="254" t="s">
        <v>4524</v>
      </c>
      <c r="D4926" s="255" t="s">
        <v>26148</v>
      </c>
      <c r="E4926" s="253" t="s">
        <v>170</v>
      </c>
    </row>
    <row r="4927" spans="1:5" ht="45">
      <c r="A4927" s="254">
        <v>39740</v>
      </c>
      <c r="B4927" s="254" t="s">
        <v>26149</v>
      </c>
      <c r="C4927" s="254" t="s">
        <v>4524</v>
      </c>
      <c r="D4927" s="255" t="s">
        <v>26150</v>
      </c>
      <c r="E4927" s="253" t="s">
        <v>170</v>
      </c>
    </row>
    <row r="4928" spans="1:5" ht="45">
      <c r="A4928" s="254">
        <v>39741</v>
      </c>
      <c r="B4928" s="254" t="s">
        <v>26151</v>
      </c>
      <c r="C4928" s="254" t="s">
        <v>4524</v>
      </c>
      <c r="D4928" s="255" t="s">
        <v>21080</v>
      </c>
      <c r="E4928" s="253" t="s">
        <v>170</v>
      </c>
    </row>
    <row r="4929" spans="1:5" ht="45">
      <c r="A4929" s="254">
        <v>39853</v>
      </c>
      <c r="B4929" s="254" t="s">
        <v>26152</v>
      </c>
      <c r="C4929" s="254" t="s">
        <v>4524</v>
      </c>
      <c r="D4929" s="255" t="s">
        <v>16194</v>
      </c>
      <c r="E4929" s="253" t="s">
        <v>170</v>
      </c>
    </row>
    <row r="4930" spans="1:5" ht="45">
      <c r="A4930" s="254">
        <v>39742</v>
      </c>
      <c r="B4930" s="254" t="s">
        <v>26153</v>
      </c>
      <c r="C4930" s="254" t="s">
        <v>4524</v>
      </c>
      <c r="D4930" s="255" t="s">
        <v>26154</v>
      </c>
      <c r="E4930" s="253" t="s">
        <v>170</v>
      </c>
    </row>
    <row r="4931" spans="1:5" ht="30">
      <c r="A4931" s="254">
        <v>39749</v>
      </c>
      <c r="B4931" s="254" t="s">
        <v>26155</v>
      </c>
      <c r="C4931" s="254" t="s">
        <v>4524</v>
      </c>
      <c r="D4931" s="255" t="s">
        <v>16191</v>
      </c>
      <c r="E4931" s="253" t="s">
        <v>170</v>
      </c>
    </row>
    <row r="4932" spans="1:5" ht="30">
      <c r="A4932" s="254">
        <v>39751</v>
      </c>
      <c r="B4932" s="254" t="s">
        <v>26156</v>
      </c>
      <c r="C4932" s="254" t="s">
        <v>4524</v>
      </c>
      <c r="D4932" s="255" t="s">
        <v>26157</v>
      </c>
      <c r="E4932" s="253" t="s">
        <v>170</v>
      </c>
    </row>
    <row r="4933" spans="1:5" ht="30">
      <c r="A4933" s="254">
        <v>39750</v>
      </c>
      <c r="B4933" s="254" t="s">
        <v>26158</v>
      </c>
      <c r="C4933" s="254" t="s">
        <v>4524</v>
      </c>
      <c r="D4933" s="255" t="s">
        <v>26159</v>
      </c>
      <c r="E4933" s="253" t="s">
        <v>170</v>
      </c>
    </row>
    <row r="4934" spans="1:5" ht="30">
      <c r="A4934" s="254">
        <v>39747</v>
      </c>
      <c r="B4934" s="254" t="s">
        <v>26160</v>
      </c>
      <c r="C4934" s="254" t="s">
        <v>4524</v>
      </c>
      <c r="D4934" s="255" t="s">
        <v>22047</v>
      </c>
      <c r="E4934" s="253" t="s">
        <v>170</v>
      </c>
    </row>
    <row r="4935" spans="1:5" ht="30">
      <c r="A4935" s="254">
        <v>39753</v>
      </c>
      <c r="B4935" s="254" t="s">
        <v>26161</v>
      </c>
      <c r="C4935" s="254" t="s">
        <v>4524</v>
      </c>
      <c r="D4935" s="255" t="s">
        <v>26162</v>
      </c>
      <c r="E4935" s="253" t="s">
        <v>170</v>
      </c>
    </row>
    <row r="4936" spans="1:5" ht="30">
      <c r="A4936" s="254">
        <v>39754</v>
      </c>
      <c r="B4936" s="254" t="s">
        <v>26163</v>
      </c>
      <c r="C4936" s="254" t="s">
        <v>4524</v>
      </c>
      <c r="D4936" s="255" t="s">
        <v>26164</v>
      </c>
      <c r="E4936" s="253" t="s">
        <v>170</v>
      </c>
    </row>
    <row r="4937" spans="1:5" ht="30">
      <c r="A4937" s="254">
        <v>39748</v>
      </c>
      <c r="B4937" s="254" t="s">
        <v>26165</v>
      </c>
      <c r="C4937" s="254" t="s">
        <v>4524</v>
      </c>
      <c r="D4937" s="255" t="s">
        <v>14067</v>
      </c>
      <c r="E4937" s="253" t="s">
        <v>170</v>
      </c>
    </row>
    <row r="4938" spans="1:5" ht="30">
      <c r="A4938" s="254">
        <v>39755</v>
      </c>
      <c r="B4938" s="254" t="s">
        <v>26166</v>
      </c>
      <c r="C4938" s="254" t="s">
        <v>4524</v>
      </c>
      <c r="D4938" s="255" t="s">
        <v>26167</v>
      </c>
      <c r="E4938" s="253" t="s">
        <v>170</v>
      </c>
    </row>
    <row r="4939" spans="1:5" ht="15">
      <c r="A4939" s="254">
        <v>12742</v>
      </c>
      <c r="B4939" s="254" t="s">
        <v>26168</v>
      </c>
      <c r="C4939" s="254" t="s">
        <v>4524</v>
      </c>
      <c r="D4939" s="255" t="s">
        <v>26169</v>
      </c>
      <c r="E4939" s="253" t="s">
        <v>170</v>
      </c>
    </row>
    <row r="4940" spans="1:5" ht="15">
      <c r="A4940" s="254">
        <v>12713</v>
      </c>
      <c r="B4940" s="254" t="s">
        <v>26170</v>
      </c>
      <c r="C4940" s="254" t="s">
        <v>4524</v>
      </c>
      <c r="D4940" s="255" t="s">
        <v>24278</v>
      </c>
      <c r="E4940" s="253" t="s">
        <v>170</v>
      </c>
    </row>
    <row r="4941" spans="1:5" ht="15">
      <c r="A4941" s="254">
        <v>12743</v>
      </c>
      <c r="B4941" s="254" t="s">
        <v>26171</v>
      </c>
      <c r="C4941" s="254" t="s">
        <v>4524</v>
      </c>
      <c r="D4941" s="255" t="s">
        <v>14395</v>
      </c>
      <c r="E4941" s="253" t="s">
        <v>170</v>
      </c>
    </row>
    <row r="4942" spans="1:5" ht="15">
      <c r="A4942" s="254">
        <v>12744</v>
      </c>
      <c r="B4942" s="254" t="s">
        <v>26172</v>
      </c>
      <c r="C4942" s="254" t="s">
        <v>4524</v>
      </c>
      <c r="D4942" s="255" t="s">
        <v>24975</v>
      </c>
      <c r="E4942" s="253" t="s">
        <v>170</v>
      </c>
    </row>
    <row r="4943" spans="1:5" ht="15">
      <c r="A4943" s="254">
        <v>12745</v>
      </c>
      <c r="B4943" s="254" t="s">
        <v>26173</v>
      </c>
      <c r="C4943" s="254" t="s">
        <v>4524</v>
      </c>
      <c r="D4943" s="255" t="s">
        <v>26174</v>
      </c>
      <c r="E4943" s="253" t="s">
        <v>170</v>
      </c>
    </row>
    <row r="4944" spans="1:5" ht="15">
      <c r="A4944" s="254">
        <v>12746</v>
      </c>
      <c r="B4944" s="254" t="s">
        <v>26175</v>
      </c>
      <c r="C4944" s="254" t="s">
        <v>4524</v>
      </c>
      <c r="D4944" s="255" t="s">
        <v>23085</v>
      </c>
      <c r="E4944" s="253" t="s">
        <v>170</v>
      </c>
    </row>
    <row r="4945" spans="1:5" ht="15">
      <c r="A4945" s="254">
        <v>12747</v>
      </c>
      <c r="B4945" s="254" t="s">
        <v>26176</v>
      </c>
      <c r="C4945" s="254" t="s">
        <v>4524</v>
      </c>
      <c r="D4945" s="255" t="s">
        <v>26177</v>
      </c>
      <c r="E4945" s="253" t="s">
        <v>170</v>
      </c>
    </row>
    <row r="4946" spans="1:5" ht="15">
      <c r="A4946" s="254">
        <v>12748</v>
      </c>
      <c r="B4946" s="254" t="s">
        <v>26178</v>
      </c>
      <c r="C4946" s="254" t="s">
        <v>4524</v>
      </c>
      <c r="D4946" s="255" t="s">
        <v>26179</v>
      </c>
      <c r="E4946" s="253" t="s">
        <v>170</v>
      </c>
    </row>
    <row r="4947" spans="1:5" ht="15">
      <c r="A4947" s="254">
        <v>12749</v>
      </c>
      <c r="B4947" s="254" t="s">
        <v>26180</v>
      </c>
      <c r="C4947" s="254" t="s">
        <v>4524</v>
      </c>
      <c r="D4947" s="255" t="s">
        <v>26181</v>
      </c>
      <c r="E4947" s="253" t="s">
        <v>170</v>
      </c>
    </row>
    <row r="4948" spans="1:5" ht="30">
      <c r="A4948" s="254">
        <v>39726</v>
      </c>
      <c r="B4948" s="254" t="s">
        <v>26182</v>
      </c>
      <c r="C4948" s="254" t="s">
        <v>4524</v>
      </c>
      <c r="D4948" s="255" t="s">
        <v>18219</v>
      </c>
      <c r="E4948" s="253" t="s">
        <v>170</v>
      </c>
    </row>
    <row r="4949" spans="1:5" ht="30">
      <c r="A4949" s="254">
        <v>39728</v>
      </c>
      <c r="B4949" s="254" t="s">
        <v>26183</v>
      </c>
      <c r="C4949" s="254" t="s">
        <v>4524</v>
      </c>
      <c r="D4949" s="255" t="s">
        <v>26184</v>
      </c>
      <c r="E4949" s="253" t="s">
        <v>170</v>
      </c>
    </row>
    <row r="4950" spans="1:5" ht="30">
      <c r="A4950" s="254">
        <v>39727</v>
      </c>
      <c r="B4950" s="254" t="s">
        <v>26185</v>
      </c>
      <c r="C4950" s="254" t="s">
        <v>4524</v>
      </c>
      <c r="D4950" s="255" t="s">
        <v>26186</v>
      </c>
      <c r="E4950" s="253" t="s">
        <v>170</v>
      </c>
    </row>
    <row r="4951" spans="1:5" ht="30">
      <c r="A4951" s="254">
        <v>39724</v>
      </c>
      <c r="B4951" s="254" t="s">
        <v>26187</v>
      </c>
      <c r="C4951" s="254" t="s">
        <v>4524</v>
      </c>
      <c r="D4951" s="255" t="s">
        <v>19851</v>
      </c>
      <c r="E4951" s="253" t="s">
        <v>170</v>
      </c>
    </row>
    <row r="4952" spans="1:5" ht="30">
      <c r="A4952" s="254">
        <v>39729</v>
      </c>
      <c r="B4952" s="254" t="s">
        <v>26188</v>
      </c>
      <c r="C4952" s="254" t="s">
        <v>4524</v>
      </c>
      <c r="D4952" s="255" t="s">
        <v>26189</v>
      </c>
      <c r="E4952" s="253" t="s">
        <v>170</v>
      </c>
    </row>
    <row r="4953" spans="1:5" ht="30">
      <c r="A4953" s="254">
        <v>39730</v>
      </c>
      <c r="B4953" s="254" t="s">
        <v>26190</v>
      </c>
      <c r="C4953" s="254" t="s">
        <v>4524</v>
      </c>
      <c r="D4953" s="255" t="s">
        <v>26191</v>
      </c>
      <c r="E4953" s="253" t="s">
        <v>170</v>
      </c>
    </row>
    <row r="4954" spans="1:5" ht="30">
      <c r="A4954" s="254">
        <v>39731</v>
      </c>
      <c r="B4954" s="254" t="s">
        <v>26192</v>
      </c>
      <c r="C4954" s="254" t="s">
        <v>4524</v>
      </c>
      <c r="D4954" s="255" t="s">
        <v>26193</v>
      </c>
      <c r="E4954" s="253" t="s">
        <v>170</v>
      </c>
    </row>
    <row r="4955" spans="1:5" ht="30">
      <c r="A4955" s="254">
        <v>39725</v>
      </c>
      <c r="B4955" s="254" t="s">
        <v>26194</v>
      </c>
      <c r="C4955" s="254" t="s">
        <v>4524</v>
      </c>
      <c r="D4955" s="255" t="s">
        <v>26195</v>
      </c>
      <c r="E4955" s="253" t="s">
        <v>170</v>
      </c>
    </row>
    <row r="4956" spans="1:5" ht="30">
      <c r="A4956" s="254">
        <v>39732</v>
      </c>
      <c r="B4956" s="254" t="s">
        <v>26196</v>
      </c>
      <c r="C4956" s="254" t="s">
        <v>4524</v>
      </c>
      <c r="D4956" s="255" t="s">
        <v>26197</v>
      </c>
      <c r="E4956" s="253" t="s">
        <v>170</v>
      </c>
    </row>
    <row r="4957" spans="1:5" ht="30">
      <c r="A4957" s="254">
        <v>39660</v>
      </c>
      <c r="B4957" s="254" t="s">
        <v>26198</v>
      </c>
      <c r="C4957" s="254" t="s">
        <v>4524</v>
      </c>
      <c r="D4957" s="255" t="s">
        <v>26199</v>
      </c>
      <c r="E4957" s="253" t="s">
        <v>170</v>
      </c>
    </row>
    <row r="4958" spans="1:5" ht="30">
      <c r="A4958" s="254">
        <v>39662</v>
      </c>
      <c r="B4958" s="254" t="s">
        <v>26200</v>
      </c>
      <c r="C4958" s="254" t="s">
        <v>4524</v>
      </c>
      <c r="D4958" s="256" t="s">
        <v>15774</v>
      </c>
      <c r="E4958" s="253" t="s">
        <v>170</v>
      </c>
    </row>
    <row r="4959" spans="1:5" ht="30">
      <c r="A4959" s="254">
        <v>39661</v>
      </c>
      <c r="B4959" s="254" t="s">
        <v>26201</v>
      </c>
      <c r="C4959" s="254" t="s">
        <v>4524</v>
      </c>
      <c r="D4959" s="256" t="s">
        <v>15425</v>
      </c>
      <c r="E4959" s="253" t="s">
        <v>170</v>
      </c>
    </row>
    <row r="4960" spans="1:5" ht="30">
      <c r="A4960" s="254">
        <v>39666</v>
      </c>
      <c r="B4960" s="254" t="s">
        <v>26202</v>
      </c>
      <c r="C4960" s="254" t="s">
        <v>4524</v>
      </c>
      <c r="D4960" s="256" t="s">
        <v>26203</v>
      </c>
      <c r="E4960" s="253" t="s">
        <v>170</v>
      </c>
    </row>
    <row r="4961" spans="1:5" ht="30">
      <c r="A4961" s="254">
        <v>39664</v>
      </c>
      <c r="B4961" s="254" t="s">
        <v>26204</v>
      </c>
      <c r="C4961" s="254" t="s">
        <v>4524</v>
      </c>
      <c r="D4961" s="256" t="s">
        <v>26205</v>
      </c>
      <c r="E4961" s="253" t="s">
        <v>170</v>
      </c>
    </row>
    <row r="4962" spans="1:5" ht="30">
      <c r="A4962" s="254">
        <v>39663</v>
      </c>
      <c r="B4962" s="254" t="s">
        <v>26206</v>
      </c>
      <c r="C4962" s="254" t="s">
        <v>4524</v>
      </c>
      <c r="D4962" s="256" t="s">
        <v>26207</v>
      </c>
      <c r="E4962" s="253" t="s">
        <v>170</v>
      </c>
    </row>
    <row r="4963" spans="1:5" ht="30">
      <c r="A4963" s="254">
        <v>39665</v>
      </c>
      <c r="B4963" s="254" t="s">
        <v>26208</v>
      </c>
      <c r="C4963" s="254" t="s">
        <v>4524</v>
      </c>
      <c r="D4963" s="256" t="s">
        <v>26209</v>
      </c>
      <c r="E4963" s="253" t="s">
        <v>170</v>
      </c>
    </row>
    <row r="4964" spans="1:5" ht="30">
      <c r="A4964" s="254">
        <v>39752</v>
      </c>
      <c r="B4964" s="254" t="s">
        <v>26210</v>
      </c>
      <c r="C4964" s="254" t="s">
        <v>4524</v>
      </c>
      <c r="D4964" s="256" t="s">
        <v>26211</v>
      </c>
      <c r="E4964" s="253" t="s">
        <v>170</v>
      </c>
    </row>
    <row r="4965" spans="1:5" ht="15">
      <c r="A4965" s="254">
        <v>12583</v>
      </c>
      <c r="B4965" s="254" t="s">
        <v>26212</v>
      </c>
      <c r="C4965" s="254" t="s">
        <v>4524</v>
      </c>
      <c r="D4965" s="256" t="s">
        <v>26213</v>
      </c>
      <c r="E4965" s="253" t="s">
        <v>170</v>
      </c>
    </row>
    <row r="4966" spans="1:5" ht="15">
      <c r="A4966" s="254">
        <v>12584</v>
      </c>
      <c r="B4966" s="254" t="s">
        <v>26214</v>
      </c>
      <c r="C4966" s="254" t="s">
        <v>4524</v>
      </c>
      <c r="D4966" s="256" t="s">
        <v>14634</v>
      </c>
      <c r="E4966" s="253" t="s">
        <v>170</v>
      </c>
    </row>
    <row r="4967" spans="1:5" ht="30">
      <c r="A4967" s="254">
        <v>13159</v>
      </c>
      <c r="B4967" s="254" t="s">
        <v>26215</v>
      </c>
      <c r="C4967" s="254" t="s">
        <v>4524</v>
      </c>
      <c r="D4967" s="256" t="s">
        <v>26216</v>
      </c>
      <c r="E4967" s="253" t="s">
        <v>170</v>
      </c>
    </row>
    <row r="4968" spans="1:5" ht="30">
      <c r="A4968" s="254">
        <v>13168</v>
      </c>
      <c r="B4968" s="254" t="s">
        <v>26217</v>
      </c>
      <c r="C4968" s="254" t="s">
        <v>4524</v>
      </c>
      <c r="D4968" s="256" t="s">
        <v>26218</v>
      </c>
      <c r="E4968" s="253" t="s">
        <v>170</v>
      </c>
    </row>
    <row r="4969" spans="1:5" ht="30">
      <c r="A4969" s="254">
        <v>13173</v>
      </c>
      <c r="B4969" s="254" t="s">
        <v>26219</v>
      </c>
      <c r="C4969" s="254" t="s">
        <v>4524</v>
      </c>
      <c r="D4969" s="255" t="s">
        <v>26220</v>
      </c>
      <c r="E4969" s="253" t="s">
        <v>170</v>
      </c>
    </row>
    <row r="4970" spans="1:5" ht="30">
      <c r="A4970" s="254">
        <v>37449</v>
      </c>
      <c r="B4970" s="254" t="s">
        <v>26221</v>
      </c>
      <c r="C4970" s="254" t="s">
        <v>4524</v>
      </c>
      <c r="D4970" s="255" t="s">
        <v>14099</v>
      </c>
      <c r="E4970" s="253" t="s">
        <v>170</v>
      </c>
    </row>
    <row r="4971" spans="1:5" ht="30">
      <c r="A4971" s="254">
        <v>37450</v>
      </c>
      <c r="B4971" s="254" t="s">
        <v>26222</v>
      </c>
      <c r="C4971" s="254" t="s">
        <v>4524</v>
      </c>
      <c r="D4971" s="255" t="s">
        <v>26223</v>
      </c>
      <c r="E4971" s="253" t="s">
        <v>170</v>
      </c>
    </row>
    <row r="4972" spans="1:5" ht="30">
      <c r="A4972" s="254">
        <v>37451</v>
      </c>
      <c r="B4972" s="254" t="s">
        <v>26224</v>
      </c>
      <c r="C4972" s="254" t="s">
        <v>4524</v>
      </c>
      <c r="D4972" s="255" t="s">
        <v>26225</v>
      </c>
      <c r="E4972" s="253" t="s">
        <v>170</v>
      </c>
    </row>
    <row r="4973" spans="1:5" ht="30">
      <c r="A4973" s="254">
        <v>37452</v>
      </c>
      <c r="B4973" s="254" t="s">
        <v>26226</v>
      </c>
      <c r="C4973" s="254" t="s">
        <v>4524</v>
      </c>
      <c r="D4973" s="255" t="s">
        <v>26227</v>
      </c>
      <c r="E4973" s="253" t="s">
        <v>170</v>
      </c>
    </row>
    <row r="4974" spans="1:5" ht="30">
      <c r="A4974" s="254">
        <v>37453</v>
      </c>
      <c r="B4974" s="254" t="s">
        <v>26228</v>
      </c>
      <c r="C4974" s="254" t="s">
        <v>4524</v>
      </c>
      <c r="D4974" s="255" t="s">
        <v>26229</v>
      </c>
      <c r="E4974" s="253" t="s">
        <v>170</v>
      </c>
    </row>
    <row r="4975" spans="1:5" ht="30">
      <c r="A4975" s="254">
        <v>7778</v>
      </c>
      <c r="B4975" s="254" t="s">
        <v>26230</v>
      </c>
      <c r="C4975" s="254" t="s">
        <v>4524</v>
      </c>
      <c r="D4975" s="255" t="s">
        <v>17052</v>
      </c>
      <c r="E4975" s="253" t="s">
        <v>170</v>
      </c>
    </row>
    <row r="4976" spans="1:5" ht="30">
      <c r="A4976" s="254">
        <v>7796</v>
      </c>
      <c r="B4976" s="254" t="s">
        <v>26231</v>
      </c>
      <c r="C4976" s="254" t="s">
        <v>4524</v>
      </c>
      <c r="D4976" s="255" t="s">
        <v>26232</v>
      </c>
      <c r="E4976" s="253" t="s">
        <v>170</v>
      </c>
    </row>
    <row r="4977" spans="1:5" ht="30">
      <c r="A4977" s="254">
        <v>7781</v>
      </c>
      <c r="B4977" s="254" t="s">
        <v>26233</v>
      </c>
      <c r="C4977" s="254" t="s">
        <v>4524</v>
      </c>
      <c r="D4977" s="255" t="s">
        <v>26234</v>
      </c>
      <c r="E4977" s="253" t="s">
        <v>170</v>
      </c>
    </row>
    <row r="4978" spans="1:5" ht="30">
      <c r="A4978" s="254">
        <v>7795</v>
      </c>
      <c r="B4978" s="254" t="s">
        <v>26235</v>
      </c>
      <c r="C4978" s="254" t="s">
        <v>4524</v>
      </c>
      <c r="D4978" s="255" t="s">
        <v>16395</v>
      </c>
      <c r="E4978" s="253" t="s">
        <v>170</v>
      </c>
    </row>
    <row r="4979" spans="1:5" ht="30">
      <c r="A4979" s="254">
        <v>7791</v>
      </c>
      <c r="B4979" s="254" t="s">
        <v>26236</v>
      </c>
      <c r="C4979" s="254" t="s">
        <v>4524</v>
      </c>
      <c r="D4979" s="255" t="s">
        <v>26237</v>
      </c>
      <c r="E4979" s="253" t="s">
        <v>170</v>
      </c>
    </row>
    <row r="4980" spans="1:5" ht="30">
      <c r="A4980" s="254">
        <v>7783</v>
      </c>
      <c r="B4980" s="254" t="s">
        <v>26238</v>
      </c>
      <c r="C4980" s="254" t="s">
        <v>4524</v>
      </c>
      <c r="D4980" s="255" t="s">
        <v>26239</v>
      </c>
      <c r="E4980" s="253" t="s">
        <v>170</v>
      </c>
    </row>
    <row r="4981" spans="1:5" ht="30">
      <c r="A4981" s="254">
        <v>7790</v>
      </c>
      <c r="B4981" s="254" t="s">
        <v>26240</v>
      </c>
      <c r="C4981" s="254" t="s">
        <v>4524</v>
      </c>
      <c r="D4981" s="255" t="s">
        <v>26241</v>
      </c>
      <c r="E4981" s="253" t="s">
        <v>170</v>
      </c>
    </row>
    <row r="4982" spans="1:5" ht="30">
      <c r="A4982" s="254">
        <v>7785</v>
      </c>
      <c r="B4982" s="254" t="s">
        <v>26242</v>
      </c>
      <c r="C4982" s="254" t="s">
        <v>4524</v>
      </c>
      <c r="D4982" s="255" t="s">
        <v>16387</v>
      </c>
      <c r="E4982" s="253" t="s">
        <v>170</v>
      </c>
    </row>
    <row r="4983" spans="1:5" ht="30">
      <c r="A4983" s="254">
        <v>7792</v>
      </c>
      <c r="B4983" s="254" t="s">
        <v>26243</v>
      </c>
      <c r="C4983" s="254" t="s">
        <v>4524</v>
      </c>
      <c r="D4983" s="255" t="s">
        <v>26244</v>
      </c>
      <c r="E4983" s="253" t="s">
        <v>170</v>
      </c>
    </row>
    <row r="4984" spans="1:5" ht="30">
      <c r="A4984" s="254">
        <v>7793</v>
      </c>
      <c r="B4984" s="254" t="s">
        <v>26245</v>
      </c>
      <c r="C4984" s="254" t="s">
        <v>4524</v>
      </c>
      <c r="D4984" s="255" t="s">
        <v>26246</v>
      </c>
      <c r="E4984" s="253" t="s">
        <v>170</v>
      </c>
    </row>
    <row r="4985" spans="1:5" ht="30">
      <c r="A4985" s="254">
        <v>12613</v>
      </c>
      <c r="B4985" s="254" t="s">
        <v>26247</v>
      </c>
      <c r="C4985" s="254" t="s">
        <v>4521</v>
      </c>
      <c r="D4985" s="255" t="s">
        <v>17983</v>
      </c>
      <c r="E4985" s="253" t="s">
        <v>170</v>
      </c>
    </row>
    <row r="4986" spans="1:5" ht="30">
      <c r="A4986" s="254">
        <v>1031</v>
      </c>
      <c r="B4986" s="254" t="s">
        <v>26248</v>
      </c>
      <c r="C4986" s="254" t="s">
        <v>4521</v>
      </c>
      <c r="D4986" s="255" t="s">
        <v>26249</v>
      </c>
      <c r="E4986" s="253" t="s">
        <v>170</v>
      </c>
    </row>
    <row r="4987" spans="1:5" ht="30">
      <c r="A4987" s="254">
        <v>39707</v>
      </c>
      <c r="B4987" s="254" t="s">
        <v>26250</v>
      </c>
      <c r="C4987" s="254" t="s">
        <v>4524</v>
      </c>
      <c r="D4987" s="255" t="s">
        <v>13996</v>
      </c>
      <c r="E4987" s="253" t="s">
        <v>170</v>
      </c>
    </row>
    <row r="4988" spans="1:5" ht="30">
      <c r="A4988" s="254">
        <v>39708</v>
      </c>
      <c r="B4988" s="254" t="s">
        <v>26251</v>
      </c>
      <c r="C4988" s="254" t="s">
        <v>4524</v>
      </c>
      <c r="D4988" s="255" t="s">
        <v>18443</v>
      </c>
      <c r="E4988" s="253" t="s">
        <v>170</v>
      </c>
    </row>
    <row r="4989" spans="1:5" ht="30">
      <c r="A4989" s="254">
        <v>39710</v>
      </c>
      <c r="B4989" s="254" t="s">
        <v>26252</v>
      </c>
      <c r="C4989" s="254" t="s">
        <v>4524</v>
      </c>
      <c r="D4989" s="255" t="s">
        <v>14354</v>
      </c>
      <c r="E4989" s="253" t="s">
        <v>170</v>
      </c>
    </row>
    <row r="4990" spans="1:5" ht="30">
      <c r="A4990" s="254">
        <v>39709</v>
      </c>
      <c r="B4990" s="254" t="s">
        <v>26253</v>
      </c>
      <c r="C4990" s="254" t="s">
        <v>4524</v>
      </c>
      <c r="D4990" s="255" t="s">
        <v>14457</v>
      </c>
      <c r="E4990" s="253" t="s">
        <v>170</v>
      </c>
    </row>
    <row r="4991" spans="1:5" ht="30">
      <c r="A4991" s="254">
        <v>39711</v>
      </c>
      <c r="B4991" s="254" t="s">
        <v>26254</v>
      </c>
      <c r="C4991" s="254" t="s">
        <v>4524</v>
      </c>
      <c r="D4991" s="255" t="s">
        <v>26255</v>
      </c>
      <c r="E4991" s="253" t="s">
        <v>170</v>
      </c>
    </row>
    <row r="4992" spans="1:5" ht="30">
      <c r="A4992" s="254">
        <v>39712</v>
      </c>
      <c r="B4992" s="254" t="s">
        <v>26256</v>
      </c>
      <c r="C4992" s="254" t="s">
        <v>4524</v>
      </c>
      <c r="D4992" s="255" t="s">
        <v>17655</v>
      </c>
      <c r="E4992" s="253" t="s">
        <v>170</v>
      </c>
    </row>
    <row r="4993" spans="1:5" ht="30">
      <c r="A4993" s="254">
        <v>39713</v>
      </c>
      <c r="B4993" s="254" t="s">
        <v>26257</v>
      </c>
      <c r="C4993" s="254" t="s">
        <v>4524</v>
      </c>
      <c r="D4993" s="255" t="s">
        <v>14186</v>
      </c>
      <c r="E4993" s="253" t="s">
        <v>170</v>
      </c>
    </row>
    <row r="4994" spans="1:5" ht="30">
      <c r="A4994" s="254">
        <v>39714</v>
      </c>
      <c r="B4994" s="254" t="s">
        <v>26258</v>
      </c>
      <c r="C4994" s="254" t="s">
        <v>4524</v>
      </c>
      <c r="D4994" s="255" t="s">
        <v>13856</v>
      </c>
      <c r="E4994" s="253" t="s">
        <v>170</v>
      </c>
    </row>
    <row r="4995" spans="1:5" ht="30">
      <c r="A4995" s="254">
        <v>39715</v>
      </c>
      <c r="B4995" s="254" t="s">
        <v>26259</v>
      </c>
      <c r="C4995" s="254" t="s">
        <v>4524</v>
      </c>
      <c r="D4995" s="255" t="s">
        <v>13853</v>
      </c>
      <c r="E4995" s="253" t="s">
        <v>170</v>
      </c>
    </row>
    <row r="4996" spans="1:5" ht="30">
      <c r="A4996" s="254">
        <v>39716</v>
      </c>
      <c r="B4996" s="254" t="s">
        <v>26260</v>
      </c>
      <c r="C4996" s="254" t="s">
        <v>4524</v>
      </c>
      <c r="D4996" s="255" t="s">
        <v>13668</v>
      </c>
      <c r="E4996" s="253" t="s">
        <v>170</v>
      </c>
    </row>
    <row r="4997" spans="1:5" ht="30">
      <c r="A4997" s="254">
        <v>39718</v>
      </c>
      <c r="B4997" s="254" t="s">
        <v>26261</v>
      </c>
      <c r="C4997" s="254" t="s">
        <v>4524</v>
      </c>
      <c r="D4997" s="255" t="s">
        <v>17875</v>
      </c>
      <c r="E4997" s="253" t="s">
        <v>170</v>
      </c>
    </row>
    <row r="4998" spans="1:5" ht="30">
      <c r="A4998" s="254">
        <v>9813</v>
      </c>
      <c r="B4998" s="254" t="s">
        <v>26262</v>
      </c>
      <c r="C4998" s="254" t="s">
        <v>4524</v>
      </c>
      <c r="D4998" s="255" t="s">
        <v>18520</v>
      </c>
      <c r="E4998" s="253" t="s">
        <v>170</v>
      </c>
    </row>
    <row r="4999" spans="1:5" ht="30">
      <c r="A4999" s="254">
        <v>9815</v>
      </c>
      <c r="B4999" s="254" t="s">
        <v>26263</v>
      </c>
      <c r="C4999" s="254" t="s">
        <v>4524</v>
      </c>
      <c r="D4999" s="255" t="s">
        <v>13906</v>
      </c>
      <c r="E4999" s="253" t="s">
        <v>170</v>
      </c>
    </row>
    <row r="5000" spans="1:5" ht="30">
      <c r="A5000" s="254">
        <v>25876</v>
      </c>
      <c r="B5000" s="254" t="s">
        <v>26264</v>
      </c>
      <c r="C5000" s="254" t="s">
        <v>4524</v>
      </c>
      <c r="D5000" s="255" t="s">
        <v>26265</v>
      </c>
      <c r="E5000" s="253" t="s">
        <v>170</v>
      </c>
    </row>
    <row r="5001" spans="1:5" ht="30">
      <c r="A5001" s="254">
        <v>25888</v>
      </c>
      <c r="B5001" s="254" t="s">
        <v>26266</v>
      </c>
      <c r="C5001" s="254" t="s">
        <v>4524</v>
      </c>
      <c r="D5001" s="255" t="s">
        <v>15967</v>
      </c>
      <c r="E5001" s="253" t="s">
        <v>170</v>
      </c>
    </row>
    <row r="5002" spans="1:5" ht="30">
      <c r="A5002" s="254">
        <v>25874</v>
      </c>
      <c r="B5002" s="254" t="s">
        <v>26267</v>
      </c>
      <c r="C5002" s="254" t="s">
        <v>4524</v>
      </c>
      <c r="D5002" s="255" t="s">
        <v>26268</v>
      </c>
      <c r="E5002" s="253" t="s">
        <v>170</v>
      </c>
    </row>
    <row r="5003" spans="1:5" ht="30">
      <c r="A5003" s="254">
        <v>25877</v>
      </c>
      <c r="B5003" s="254" t="s">
        <v>26269</v>
      </c>
      <c r="C5003" s="254" t="s">
        <v>4524</v>
      </c>
      <c r="D5003" s="255" t="s">
        <v>26270</v>
      </c>
      <c r="E5003" s="253" t="s">
        <v>170</v>
      </c>
    </row>
    <row r="5004" spans="1:5" ht="30">
      <c r="A5004" s="254">
        <v>25878</v>
      </c>
      <c r="B5004" s="254" t="s">
        <v>26271</v>
      </c>
      <c r="C5004" s="254" t="s">
        <v>4524</v>
      </c>
      <c r="D5004" s="255" t="s">
        <v>26272</v>
      </c>
      <c r="E5004" s="253" t="s">
        <v>170</v>
      </c>
    </row>
    <row r="5005" spans="1:5" ht="30">
      <c r="A5005" s="254">
        <v>25879</v>
      </c>
      <c r="B5005" s="254" t="s">
        <v>26273</v>
      </c>
      <c r="C5005" s="254" t="s">
        <v>4524</v>
      </c>
      <c r="D5005" s="255" t="s">
        <v>26274</v>
      </c>
      <c r="E5005" s="253" t="s">
        <v>170</v>
      </c>
    </row>
    <row r="5006" spans="1:5" ht="30">
      <c r="A5006" s="254">
        <v>25887</v>
      </c>
      <c r="B5006" s="254" t="s">
        <v>26275</v>
      </c>
      <c r="C5006" s="254" t="s">
        <v>4524</v>
      </c>
      <c r="D5006" s="255" t="s">
        <v>26276</v>
      </c>
      <c r="E5006" s="253" t="s">
        <v>170</v>
      </c>
    </row>
    <row r="5007" spans="1:5" ht="30">
      <c r="A5007" s="254">
        <v>25880</v>
      </c>
      <c r="B5007" s="254" t="s">
        <v>26277</v>
      </c>
      <c r="C5007" s="254" t="s">
        <v>4524</v>
      </c>
      <c r="D5007" s="255" t="s">
        <v>26278</v>
      </c>
      <c r="E5007" s="253" t="s">
        <v>170</v>
      </c>
    </row>
    <row r="5008" spans="1:5" ht="30">
      <c r="A5008" s="254">
        <v>25881</v>
      </c>
      <c r="B5008" s="254" t="s">
        <v>26279</v>
      </c>
      <c r="C5008" s="254" t="s">
        <v>4524</v>
      </c>
      <c r="D5008" s="255" t="s">
        <v>26280</v>
      </c>
      <c r="E5008" s="253" t="s">
        <v>170</v>
      </c>
    </row>
    <row r="5009" spans="1:5" ht="30">
      <c r="A5009" s="254">
        <v>25882</v>
      </c>
      <c r="B5009" s="254" t="s">
        <v>26281</v>
      </c>
      <c r="C5009" s="254" t="s">
        <v>4524</v>
      </c>
      <c r="D5009" s="255" t="s">
        <v>26282</v>
      </c>
      <c r="E5009" s="253" t="s">
        <v>170</v>
      </c>
    </row>
    <row r="5010" spans="1:5" ht="30">
      <c r="A5010" s="254">
        <v>25883</v>
      </c>
      <c r="B5010" s="254" t="s">
        <v>26283</v>
      </c>
      <c r="C5010" s="254" t="s">
        <v>4524</v>
      </c>
      <c r="D5010" s="255" t="s">
        <v>26284</v>
      </c>
      <c r="E5010" s="253" t="s">
        <v>170</v>
      </c>
    </row>
    <row r="5011" spans="1:5" ht="30">
      <c r="A5011" s="254">
        <v>25884</v>
      </c>
      <c r="B5011" s="254" t="s">
        <v>26285</v>
      </c>
      <c r="C5011" s="254" t="s">
        <v>4524</v>
      </c>
      <c r="D5011" s="255" t="s">
        <v>26286</v>
      </c>
      <c r="E5011" s="253" t="s">
        <v>170</v>
      </c>
    </row>
    <row r="5012" spans="1:5" ht="30">
      <c r="A5012" s="254">
        <v>25885</v>
      </c>
      <c r="B5012" s="254" t="s">
        <v>26287</v>
      </c>
      <c r="C5012" s="254" t="s">
        <v>4524</v>
      </c>
      <c r="D5012" s="255" t="s">
        <v>26288</v>
      </c>
      <c r="E5012" s="253" t="s">
        <v>170</v>
      </c>
    </row>
    <row r="5013" spans="1:5" ht="30">
      <c r="A5013" s="254">
        <v>25889</v>
      </c>
      <c r="B5013" s="254" t="s">
        <v>26289</v>
      </c>
      <c r="C5013" s="254" t="s">
        <v>4524</v>
      </c>
      <c r="D5013" s="255" t="s">
        <v>26290</v>
      </c>
      <c r="E5013" s="253" t="s">
        <v>170</v>
      </c>
    </row>
    <row r="5014" spans="1:5" ht="30">
      <c r="A5014" s="254">
        <v>25886</v>
      </c>
      <c r="B5014" s="254" t="s">
        <v>26291</v>
      </c>
      <c r="C5014" s="254" t="s">
        <v>4524</v>
      </c>
      <c r="D5014" s="255" t="s">
        <v>19754</v>
      </c>
      <c r="E5014" s="253" t="s">
        <v>170</v>
      </c>
    </row>
    <row r="5015" spans="1:5" ht="30">
      <c r="A5015" s="254">
        <v>25875</v>
      </c>
      <c r="B5015" s="254" t="s">
        <v>26292</v>
      </c>
      <c r="C5015" s="254" t="s">
        <v>4524</v>
      </c>
      <c r="D5015" s="255" t="s">
        <v>26293</v>
      </c>
      <c r="E5015" s="253" t="s">
        <v>170</v>
      </c>
    </row>
    <row r="5016" spans="1:5" ht="15">
      <c r="A5016" s="254">
        <v>9876</v>
      </c>
      <c r="B5016" s="254" t="s">
        <v>26294</v>
      </c>
      <c r="C5016" s="254" t="s">
        <v>4524</v>
      </c>
      <c r="D5016" s="255" t="s">
        <v>17902</v>
      </c>
      <c r="E5016" s="253" t="s">
        <v>170</v>
      </c>
    </row>
    <row r="5017" spans="1:5" ht="15">
      <c r="A5017" s="254">
        <v>9877</v>
      </c>
      <c r="B5017" s="254" t="s">
        <v>26295</v>
      </c>
      <c r="C5017" s="254" t="s">
        <v>4524</v>
      </c>
      <c r="D5017" s="255" t="s">
        <v>26296</v>
      </c>
      <c r="E5017" s="253" t="s">
        <v>170</v>
      </c>
    </row>
    <row r="5018" spans="1:5" ht="15">
      <c r="A5018" s="254">
        <v>9878</v>
      </c>
      <c r="B5018" s="254" t="s">
        <v>26297</v>
      </c>
      <c r="C5018" s="254" t="s">
        <v>4524</v>
      </c>
      <c r="D5018" s="255" t="s">
        <v>26298</v>
      </c>
      <c r="E5018" s="253" t="s">
        <v>170</v>
      </c>
    </row>
    <row r="5019" spans="1:5" ht="15">
      <c r="A5019" s="254">
        <v>9879</v>
      </c>
      <c r="B5019" s="254" t="s">
        <v>26299</v>
      </c>
      <c r="C5019" s="254" t="s">
        <v>4524</v>
      </c>
      <c r="D5019" s="255" t="s">
        <v>26300</v>
      </c>
      <c r="E5019" s="253" t="s">
        <v>170</v>
      </c>
    </row>
    <row r="5020" spans="1:5" ht="45">
      <c r="A5020" s="254">
        <v>42001</v>
      </c>
      <c r="B5020" s="254" t="s">
        <v>26301</v>
      </c>
      <c r="C5020" s="254" t="s">
        <v>4524</v>
      </c>
      <c r="D5020" s="255" t="s">
        <v>26302</v>
      </c>
      <c r="E5020" s="253" t="s">
        <v>170</v>
      </c>
    </row>
    <row r="5021" spans="1:5" ht="45">
      <c r="A5021" s="254">
        <v>41998</v>
      </c>
      <c r="B5021" s="254" t="s">
        <v>26303</v>
      </c>
      <c r="C5021" s="254" t="s">
        <v>4524</v>
      </c>
      <c r="D5021" s="255" t="s">
        <v>26304</v>
      </c>
      <c r="E5021" s="253" t="s">
        <v>170</v>
      </c>
    </row>
    <row r="5022" spans="1:5" ht="45">
      <c r="A5022" s="254">
        <v>41999</v>
      </c>
      <c r="B5022" s="254" t="s">
        <v>26305</v>
      </c>
      <c r="C5022" s="254" t="s">
        <v>4524</v>
      </c>
      <c r="D5022" s="255" t="s">
        <v>26306</v>
      </c>
      <c r="E5022" s="253" t="s">
        <v>170</v>
      </c>
    </row>
    <row r="5023" spans="1:5" ht="45">
      <c r="A5023" s="254">
        <v>42000</v>
      </c>
      <c r="B5023" s="254" t="s">
        <v>26307</v>
      </c>
      <c r="C5023" s="254" t="s">
        <v>4524</v>
      </c>
      <c r="D5023" s="255" t="s">
        <v>26308</v>
      </c>
      <c r="E5023" s="253" t="s">
        <v>170</v>
      </c>
    </row>
    <row r="5024" spans="1:5" ht="45">
      <c r="A5024" s="254">
        <v>38053</v>
      </c>
      <c r="B5024" s="254" t="s">
        <v>26309</v>
      </c>
      <c r="C5024" s="254" t="s">
        <v>4524</v>
      </c>
      <c r="D5024" s="255" t="s">
        <v>16587</v>
      </c>
      <c r="E5024" s="253" t="s">
        <v>170</v>
      </c>
    </row>
    <row r="5025" spans="1:5" ht="45">
      <c r="A5025" s="254">
        <v>38054</v>
      </c>
      <c r="B5025" s="254" t="s">
        <v>26310</v>
      </c>
      <c r="C5025" s="254" t="s">
        <v>4524</v>
      </c>
      <c r="D5025" s="256" t="s">
        <v>26311</v>
      </c>
      <c r="E5025" s="253" t="s">
        <v>170</v>
      </c>
    </row>
    <row r="5026" spans="1:5" ht="45">
      <c r="A5026" s="254">
        <v>38052</v>
      </c>
      <c r="B5026" s="254" t="s">
        <v>26312</v>
      </c>
      <c r="C5026" s="254" t="s">
        <v>4524</v>
      </c>
      <c r="D5026" s="255" t="s">
        <v>16632</v>
      </c>
      <c r="E5026" s="253" t="s">
        <v>170</v>
      </c>
    </row>
    <row r="5027" spans="1:5" ht="45">
      <c r="A5027" s="254">
        <v>38051</v>
      </c>
      <c r="B5027" s="254" t="s">
        <v>26313</v>
      </c>
      <c r="C5027" s="254" t="s">
        <v>4524</v>
      </c>
      <c r="D5027" s="255" t="s">
        <v>18716</v>
      </c>
      <c r="E5027" s="253" t="s">
        <v>170</v>
      </c>
    </row>
    <row r="5028" spans="1:5" ht="15">
      <c r="A5028" s="254">
        <v>38787</v>
      </c>
      <c r="B5028" s="254" t="s">
        <v>26314</v>
      </c>
      <c r="C5028" s="254" t="s">
        <v>4524</v>
      </c>
      <c r="D5028" s="255" t="s">
        <v>19705</v>
      </c>
      <c r="E5028" s="253" t="s">
        <v>170</v>
      </c>
    </row>
    <row r="5029" spans="1:5" ht="15">
      <c r="A5029" s="254">
        <v>38825</v>
      </c>
      <c r="B5029" s="254" t="s">
        <v>26315</v>
      </c>
      <c r="C5029" s="254" t="s">
        <v>4524</v>
      </c>
      <c r="D5029" s="256" t="s">
        <v>15797</v>
      </c>
      <c r="E5029" s="253" t="s">
        <v>170</v>
      </c>
    </row>
    <row r="5030" spans="1:5" ht="15">
      <c r="A5030" s="254">
        <v>38826</v>
      </c>
      <c r="B5030" s="254" t="s">
        <v>26316</v>
      </c>
      <c r="C5030" s="254" t="s">
        <v>4524</v>
      </c>
      <c r="D5030" s="256" t="s">
        <v>24984</v>
      </c>
      <c r="E5030" s="253" t="s">
        <v>170</v>
      </c>
    </row>
    <row r="5031" spans="1:5" ht="15">
      <c r="A5031" s="254">
        <v>38827</v>
      </c>
      <c r="B5031" s="254" t="s">
        <v>26317</v>
      </c>
      <c r="C5031" s="254" t="s">
        <v>4524</v>
      </c>
      <c r="D5031" s="256" t="s">
        <v>18288</v>
      </c>
      <c r="E5031" s="253" t="s">
        <v>170</v>
      </c>
    </row>
    <row r="5032" spans="1:5" ht="15">
      <c r="A5032" s="254">
        <v>38830</v>
      </c>
      <c r="B5032" s="254" t="s">
        <v>26318</v>
      </c>
      <c r="C5032" s="254" t="s">
        <v>4524</v>
      </c>
      <c r="D5032" s="255" t="s">
        <v>18571</v>
      </c>
      <c r="E5032" s="253" t="s">
        <v>170</v>
      </c>
    </row>
    <row r="5033" spans="1:5" ht="15">
      <c r="A5033" s="254">
        <v>38828</v>
      </c>
      <c r="B5033" s="254" t="s">
        <v>26319</v>
      </c>
      <c r="C5033" s="254" t="s">
        <v>4524</v>
      </c>
      <c r="D5033" s="255" t="s">
        <v>14410</v>
      </c>
      <c r="E5033" s="253" t="s">
        <v>170</v>
      </c>
    </row>
    <row r="5034" spans="1:5" ht="15">
      <c r="A5034" s="254">
        <v>38829</v>
      </c>
      <c r="B5034" s="254" t="s">
        <v>26320</v>
      </c>
      <c r="C5034" s="254" t="s">
        <v>4524</v>
      </c>
      <c r="D5034" s="255" t="s">
        <v>15938</v>
      </c>
      <c r="E5034" s="253" t="s">
        <v>170</v>
      </c>
    </row>
    <row r="5035" spans="1:5" ht="15">
      <c r="A5035" s="254">
        <v>38831</v>
      </c>
      <c r="B5035" s="254" t="s">
        <v>26321</v>
      </c>
      <c r="C5035" s="254" t="s">
        <v>4524</v>
      </c>
      <c r="D5035" s="255" t="s">
        <v>15821</v>
      </c>
      <c r="E5035" s="253" t="s">
        <v>170</v>
      </c>
    </row>
    <row r="5036" spans="1:5" ht="15">
      <c r="A5036" s="254">
        <v>36274</v>
      </c>
      <c r="B5036" s="254" t="s">
        <v>26322</v>
      </c>
      <c r="C5036" s="254" t="s">
        <v>4524</v>
      </c>
      <c r="D5036" s="255" t="s">
        <v>14467</v>
      </c>
      <c r="E5036" s="253" t="s">
        <v>170</v>
      </c>
    </row>
    <row r="5037" spans="1:5" ht="15">
      <c r="A5037" s="254">
        <v>36278</v>
      </c>
      <c r="B5037" s="254" t="s">
        <v>26323</v>
      </c>
      <c r="C5037" s="254" t="s">
        <v>4524</v>
      </c>
      <c r="D5037" s="255" t="s">
        <v>15432</v>
      </c>
      <c r="E5037" s="253" t="s">
        <v>170</v>
      </c>
    </row>
    <row r="5038" spans="1:5" ht="15">
      <c r="A5038" s="254">
        <v>38977</v>
      </c>
      <c r="B5038" s="254" t="s">
        <v>26324</v>
      </c>
      <c r="C5038" s="254" t="s">
        <v>4524</v>
      </c>
      <c r="D5038" s="255" t="s">
        <v>26325</v>
      </c>
      <c r="E5038" s="253" t="s">
        <v>170</v>
      </c>
    </row>
    <row r="5039" spans="1:5" ht="15">
      <c r="A5039" s="254">
        <v>38971</v>
      </c>
      <c r="B5039" s="254" t="s">
        <v>26326</v>
      </c>
      <c r="C5039" s="254" t="s">
        <v>4524</v>
      </c>
      <c r="D5039" s="255" t="s">
        <v>13754</v>
      </c>
      <c r="E5039" s="253" t="s">
        <v>170</v>
      </c>
    </row>
    <row r="5040" spans="1:5" ht="15">
      <c r="A5040" s="254">
        <v>38972</v>
      </c>
      <c r="B5040" s="254" t="s">
        <v>26327</v>
      </c>
      <c r="C5040" s="254" t="s">
        <v>4524</v>
      </c>
      <c r="D5040" s="255" t="s">
        <v>16860</v>
      </c>
      <c r="E5040" s="253" t="s">
        <v>170</v>
      </c>
    </row>
    <row r="5041" spans="1:5" ht="15">
      <c r="A5041" s="254">
        <v>38973</v>
      </c>
      <c r="B5041" s="254" t="s">
        <v>26328</v>
      </c>
      <c r="C5041" s="254" t="s">
        <v>4524</v>
      </c>
      <c r="D5041" s="255" t="s">
        <v>16775</v>
      </c>
      <c r="E5041" s="253" t="s">
        <v>170</v>
      </c>
    </row>
    <row r="5042" spans="1:5" ht="15">
      <c r="A5042" s="254">
        <v>38974</v>
      </c>
      <c r="B5042" s="254" t="s">
        <v>26329</v>
      </c>
      <c r="C5042" s="254" t="s">
        <v>4524</v>
      </c>
      <c r="D5042" s="256" t="s">
        <v>18831</v>
      </c>
      <c r="E5042" s="253" t="s">
        <v>170</v>
      </c>
    </row>
    <row r="5043" spans="1:5" ht="15">
      <c r="A5043" s="254">
        <v>38975</v>
      </c>
      <c r="B5043" s="254" t="s">
        <v>26330</v>
      </c>
      <c r="C5043" s="254" t="s">
        <v>4524</v>
      </c>
      <c r="D5043" s="256" t="s">
        <v>24719</v>
      </c>
      <c r="E5043" s="253" t="s">
        <v>170</v>
      </c>
    </row>
    <row r="5044" spans="1:5" ht="15">
      <c r="A5044" s="254">
        <v>38976</v>
      </c>
      <c r="B5044" s="254" t="s">
        <v>26331</v>
      </c>
      <c r="C5044" s="254" t="s">
        <v>4524</v>
      </c>
      <c r="D5044" s="256" t="s">
        <v>26332</v>
      </c>
      <c r="E5044" s="253" t="s">
        <v>170</v>
      </c>
    </row>
    <row r="5045" spans="1:5" ht="15">
      <c r="A5045" s="254">
        <v>38986</v>
      </c>
      <c r="B5045" s="254" t="s">
        <v>26333</v>
      </c>
      <c r="C5045" s="254" t="s">
        <v>4524</v>
      </c>
      <c r="D5045" s="256" t="s">
        <v>26334</v>
      </c>
      <c r="E5045" s="253" t="s">
        <v>170</v>
      </c>
    </row>
    <row r="5046" spans="1:5" ht="15">
      <c r="A5046" s="254">
        <v>38978</v>
      </c>
      <c r="B5046" s="254" t="s">
        <v>26335</v>
      </c>
      <c r="C5046" s="254" t="s">
        <v>4524</v>
      </c>
      <c r="D5046" s="256" t="s">
        <v>14467</v>
      </c>
      <c r="E5046" s="253" t="s">
        <v>170</v>
      </c>
    </row>
    <row r="5047" spans="1:5" ht="15">
      <c r="A5047" s="254">
        <v>38979</v>
      </c>
      <c r="B5047" s="254" t="s">
        <v>26336</v>
      </c>
      <c r="C5047" s="254" t="s">
        <v>4524</v>
      </c>
      <c r="D5047" s="256" t="s">
        <v>15432</v>
      </c>
      <c r="E5047" s="253" t="s">
        <v>170</v>
      </c>
    </row>
    <row r="5048" spans="1:5" ht="15">
      <c r="A5048" s="254">
        <v>38980</v>
      </c>
      <c r="B5048" s="254" t="s">
        <v>26337</v>
      </c>
      <c r="C5048" s="254" t="s">
        <v>4524</v>
      </c>
      <c r="D5048" s="256" t="s">
        <v>26338</v>
      </c>
      <c r="E5048" s="253" t="s">
        <v>170</v>
      </c>
    </row>
    <row r="5049" spans="1:5" ht="15">
      <c r="A5049" s="254">
        <v>38981</v>
      </c>
      <c r="B5049" s="254" t="s">
        <v>26339</v>
      </c>
      <c r="C5049" s="254" t="s">
        <v>4524</v>
      </c>
      <c r="D5049" s="256" t="s">
        <v>16329</v>
      </c>
      <c r="E5049" s="253" t="s">
        <v>170</v>
      </c>
    </row>
    <row r="5050" spans="1:5" ht="15">
      <c r="A5050" s="254">
        <v>38982</v>
      </c>
      <c r="B5050" s="254" t="s">
        <v>26340</v>
      </c>
      <c r="C5050" s="254" t="s">
        <v>4524</v>
      </c>
      <c r="D5050" s="255" t="s">
        <v>15240</v>
      </c>
      <c r="E5050" s="253" t="s">
        <v>170</v>
      </c>
    </row>
    <row r="5051" spans="1:5" ht="15">
      <c r="A5051" s="254">
        <v>38983</v>
      </c>
      <c r="B5051" s="254" t="s">
        <v>26341</v>
      </c>
      <c r="C5051" s="254" t="s">
        <v>4524</v>
      </c>
      <c r="D5051" s="255" t="s">
        <v>26342</v>
      </c>
      <c r="E5051" s="253" t="s">
        <v>170</v>
      </c>
    </row>
    <row r="5052" spans="1:5" ht="15">
      <c r="A5052" s="254">
        <v>38984</v>
      </c>
      <c r="B5052" s="254" t="s">
        <v>26343</v>
      </c>
      <c r="C5052" s="254" t="s">
        <v>4524</v>
      </c>
      <c r="D5052" s="256" t="s">
        <v>26344</v>
      </c>
      <c r="E5052" s="253" t="s">
        <v>170</v>
      </c>
    </row>
    <row r="5053" spans="1:5" ht="15">
      <c r="A5053" s="254">
        <v>38985</v>
      </c>
      <c r="B5053" s="254" t="s">
        <v>26345</v>
      </c>
      <c r="C5053" s="254" t="s">
        <v>4524</v>
      </c>
      <c r="D5053" s="256" t="s">
        <v>26346</v>
      </c>
      <c r="E5053" s="253" t="s">
        <v>170</v>
      </c>
    </row>
    <row r="5054" spans="1:5" ht="15">
      <c r="A5054" s="254">
        <v>9836</v>
      </c>
      <c r="B5054" s="254" t="s">
        <v>26347</v>
      </c>
      <c r="C5054" s="254" t="s">
        <v>4524</v>
      </c>
      <c r="D5054" s="255" t="s">
        <v>22804</v>
      </c>
      <c r="E5054" s="253" t="s">
        <v>170</v>
      </c>
    </row>
    <row r="5055" spans="1:5" ht="15">
      <c r="A5055" s="254">
        <v>20065</v>
      </c>
      <c r="B5055" s="254" t="s">
        <v>26348</v>
      </c>
      <c r="C5055" s="254" t="s">
        <v>4524</v>
      </c>
      <c r="D5055" s="255" t="s">
        <v>26349</v>
      </c>
      <c r="E5055" s="253" t="s">
        <v>170</v>
      </c>
    </row>
    <row r="5056" spans="1:5" ht="15">
      <c r="A5056" s="254">
        <v>9835</v>
      </c>
      <c r="B5056" s="254" t="s">
        <v>26350</v>
      </c>
      <c r="C5056" s="254" t="s">
        <v>4524</v>
      </c>
      <c r="D5056" s="255" t="s">
        <v>26351</v>
      </c>
      <c r="E5056" s="253" t="s">
        <v>170</v>
      </c>
    </row>
    <row r="5057" spans="1:5" ht="15">
      <c r="A5057" s="254">
        <v>38032</v>
      </c>
      <c r="B5057" s="254" t="s">
        <v>26352</v>
      </c>
      <c r="C5057" s="254" t="s">
        <v>4524</v>
      </c>
      <c r="D5057" s="255" t="s">
        <v>21748</v>
      </c>
      <c r="E5057" s="253" t="s">
        <v>170</v>
      </c>
    </row>
    <row r="5058" spans="1:5" ht="15">
      <c r="A5058" s="254">
        <v>38033</v>
      </c>
      <c r="B5058" s="254" t="s">
        <v>26353</v>
      </c>
      <c r="C5058" s="254" t="s">
        <v>4524</v>
      </c>
      <c r="D5058" s="255" t="s">
        <v>26354</v>
      </c>
      <c r="E5058" s="253" t="s">
        <v>170</v>
      </c>
    </row>
    <row r="5059" spans="1:5" ht="15">
      <c r="A5059" s="254">
        <v>38034</v>
      </c>
      <c r="B5059" s="254" t="s">
        <v>26355</v>
      </c>
      <c r="C5059" s="254" t="s">
        <v>4524</v>
      </c>
      <c r="D5059" s="255" t="s">
        <v>26356</v>
      </c>
      <c r="E5059" s="253" t="s">
        <v>170</v>
      </c>
    </row>
    <row r="5060" spans="1:5" ht="15">
      <c r="A5060" s="254">
        <v>38035</v>
      </c>
      <c r="B5060" s="254" t="s">
        <v>26357</v>
      </c>
      <c r="C5060" s="254" t="s">
        <v>4524</v>
      </c>
      <c r="D5060" s="255" t="s">
        <v>16358</v>
      </c>
      <c r="E5060" s="253" t="s">
        <v>170</v>
      </c>
    </row>
    <row r="5061" spans="1:5" ht="15">
      <c r="A5061" s="254">
        <v>38036</v>
      </c>
      <c r="B5061" s="254" t="s">
        <v>26358</v>
      </c>
      <c r="C5061" s="254" t="s">
        <v>4524</v>
      </c>
      <c r="D5061" s="255" t="s">
        <v>26359</v>
      </c>
      <c r="E5061" s="253" t="s">
        <v>170</v>
      </c>
    </row>
    <row r="5062" spans="1:5" ht="15">
      <c r="A5062" s="254">
        <v>38037</v>
      </c>
      <c r="B5062" s="254" t="s">
        <v>26360</v>
      </c>
      <c r="C5062" s="254" t="s">
        <v>4524</v>
      </c>
      <c r="D5062" s="255" t="s">
        <v>26361</v>
      </c>
      <c r="E5062" s="253" t="s">
        <v>170</v>
      </c>
    </row>
    <row r="5063" spans="1:5" ht="30">
      <c r="A5063" s="254">
        <v>9850</v>
      </c>
      <c r="B5063" s="254" t="s">
        <v>26362</v>
      </c>
      <c r="C5063" s="254" t="s">
        <v>4524</v>
      </c>
      <c r="D5063" s="255" t="s">
        <v>26363</v>
      </c>
      <c r="E5063" s="253" t="s">
        <v>170</v>
      </c>
    </row>
    <row r="5064" spans="1:5" ht="30">
      <c r="A5064" s="254">
        <v>9853</v>
      </c>
      <c r="B5064" s="254" t="s">
        <v>26364</v>
      </c>
      <c r="C5064" s="254" t="s">
        <v>4524</v>
      </c>
      <c r="D5064" s="255" t="s">
        <v>26365</v>
      </c>
      <c r="E5064" s="253" t="s">
        <v>170</v>
      </c>
    </row>
    <row r="5065" spans="1:5" ht="30">
      <c r="A5065" s="254">
        <v>9854</v>
      </c>
      <c r="B5065" s="254" t="s">
        <v>26366</v>
      </c>
      <c r="C5065" s="254" t="s">
        <v>4524</v>
      </c>
      <c r="D5065" s="255" t="s">
        <v>18890</v>
      </c>
      <c r="E5065" s="253" t="s">
        <v>170</v>
      </c>
    </row>
    <row r="5066" spans="1:5" ht="30">
      <c r="A5066" s="254">
        <v>9851</v>
      </c>
      <c r="B5066" s="254" t="s">
        <v>26367</v>
      </c>
      <c r="C5066" s="254" t="s">
        <v>4524</v>
      </c>
      <c r="D5066" s="255" t="s">
        <v>26368</v>
      </c>
      <c r="E5066" s="253" t="s">
        <v>170</v>
      </c>
    </row>
    <row r="5067" spans="1:5" ht="30">
      <c r="A5067" s="254">
        <v>9855</v>
      </c>
      <c r="B5067" s="254" t="s">
        <v>26369</v>
      </c>
      <c r="C5067" s="254" t="s">
        <v>4524</v>
      </c>
      <c r="D5067" s="255" t="s">
        <v>26370</v>
      </c>
      <c r="E5067" s="253" t="s">
        <v>170</v>
      </c>
    </row>
    <row r="5068" spans="1:5" ht="15">
      <c r="A5068" s="254">
        <v>9825</v>
      </c>
      <c r="B5068" s="254" t="s">
        <v>26371</v>
      </c>
      <c r="C5068" s="254" t="s">
        <v>4524</v>
      </c>
      <c r="D5068" s="255" t="s">
        <v>26372</v>
      </c>
      <c r="E5068" s="253" t="s">
        <v>170</v>
      </c>
    </row>
    <row r="5069" spans="1:5" ht="15">
      <c r="A5069" s="254">
        <v>9828</v>
      </c>
      <c r="B5069" s="254" t="s">
        <v>26373</v>
      </c>
      <c r="C5069" s="254" t="s">
        <v>4524</v>
      </c>
      <c r="D5069" s="255" t="s">
        <v>19660</v>
      </c>
      <c r="E5069" s="253" t="s">
        <v>170</v>
      </c>
    </row>
    <row r="5070" spans="1:5" ht="15">
      <c r="A5070" s="254">
        <v>9829</v>
      </c>
      <c r="B5070" s="254" t="s">
        <v>26374</v>
      </c>
      <c r="C5070" s="254" t="s">
        <v>4524</v>
      </c>
      <c r="D5070" s="255" t="s">
        <v>26375</v>
      </c>
      <c r="E5070" s="253" t="s">
        <v>170</v>
      </c>
    </row>
    <row r="5071" spans="1:5" ht="15">
      <c r="A5071" s="254">
        <v>9826</v>
      </c>
      <c r="B5071" s="254" t="s">
        <v>26376</v>
      </c>
      <c r="C5071" s="254" t="s">
        <v>4524</v>
      </c>
      <c r="D5071" s="255" t="s">
        <v>26377</v>
      </c>
      <c r="E5071" s="253" t="s">
        <v>170</v>
      </c>
    </row>
    <row r="5072" spans="1:5" ht="15">
      <c r="A5072" s="254">
        <v>9827</v>
      </c>
      <c r="B5072" s="254" t="s">
        <v>26378</v>
      </c>
      <c r="C5072" s="254" t="s">
        <v>4524</v>
      </c>
      <c r="D5072" s="255" t="s">
        <v>26379</v>
      </c>
      <c r="E5072" s="253" t="s">
        <v>170</v>
      </c>
    </row>
    <row r="5073" spans="1:5" ht="15">
      <c r="A5073" s="254">
        <v>36374</v>
      </c>
      <c r="B5073" s="254" t="s">
        <v>26380</v>
      </c>
      <c r="C5073" s="254" t="s">
        <v>4524</v>
      </c>
      <c r="D5073" s="255" t="s">
        <v>26381</v>
      </c>
      <c r="E5073" s="253" t="s">
        <v>170</v>
      </c>
    </row>
    <row r="5074" spans="1:5" ht="15">
      <c r="A5074" s="254">
        <v>36084</v>
      </c>
      <c r="B5074" s="254" t="s">
        <v>26382</v>
      </c>
      <c r="C5074" s="254" t="s">
        <v>4524</v>
      </c>
      <c r="D5074" s="255" t="s">
        <v>26383</v>
      </c>
      <c r="E5074" s="253" t="s">
        <v>170</v>
      </c>
    </row>
    <row r="5075" spans="1:5" ht="15">
      <c r="A5075" s="254">
        <v>36373</v>
      </c>
      <c r="B5075" s="254" t="s">
        <v>26384</v>
      </c>
      <c r="C5075" s="254" t="s">
        <v>4524</v>
      </c>
      <c r="D5075" s="255" t="s">
        <v>26385</v>
      </c>
      <c r="E5075" s="253" t="s">
        <v>170</v>
      </c>
    </row>
    <row r="5076" spans="1:5" ht="15">
      <c r="A5076" s="254">
        <v>36377</v>
      </c>
      <c r="B5076" s="254" t="s">
        <v>26386</v>
      </c>
      <c r="C5076" s="254" t="s">
        <v>4524</v>
      </c>
      <c r="D5076" s="255" t="s">
        <v>24733</v>
      </c>
      <c r="E5076" s="253" t="s">
        <v>170</v>
      </c>
    </row>
    <row r="5077" spans="1:5" ht="15">
      <c r="A5077" s="254">
        <v>36375</v>
      </c>
      <c r="B5077" s="254" t="s">
        <v>26387</v>
      </c>
      <c r="C5077" s="254" t="s">
        <v>4524</v>
      </c>
      <c r="D5077" s="255" t="s">
        <v>13680</v>
      </c>
      <c r="E5077" s="253" t="s">
        <v>170</v>
      </c>
    </row>
    <row r="5078" spans="1:5" ht="15">
      <c r="A5078" s="254">
        <v>36376</v>
      </c>
      <c r="B5078" s="254" t="s">
        <v>26388</v>
      </c>
      <c r="C5078" s="254" t="s">
        <v>4524</v>
      </c>
      <c r="D5078" s="255" t="s">
        <v>14075</v>
      </c>
      <c r="E5078" s="253" t="s">
        <v>170</v>
      </c>
    </row>
    <row r="5079" spans="1:5" ht="15">
      <c r="A5079" s="254">
        <v>36380</v>
      </c>
      <c r="B5079" s="254" t="s">
        <v>26389</v>
      </c>
      <c r="C5079" s="254" t="s">
        <v>4524</v>
      </c>
      <c r="D5079" s="255" t="s">
        <v>18475</v>
      </c>
      <c r="E5079" s="253" t="s">
        <v>170</v>
      </c>
    </row>
    <row r="5080" spans="1:5" ht="15">
      <c r="A5080" s="254">
        <v>36378</v>
      </c>
      <c r="B5080" s="254" t="s">
        <v>26390</v>
      </c>
      <c r="C5080" s="254" t="s">
        <v>4524</v>
      </c>
      <c r="D5080" s="255" t="s">
        <v>26391</v>
      </c>
      <c r="E5080" s="253" t="s">
        <v>170</v>
      </c>
    </row>
    <row r="5081" spans="1:5" ht="15">
      <c r="A5081" s="254">
        <v>36379</v>
      </c>
      <c r="B5081" s="254" t="s">
        <v>26392</v>
      </c>
      <c r="C5081" s="254" t="s">
        <v>4524</v>
      </c>
      <c r="D5081" s="255" t="s">
        <v>15824</v>
      </c>
      <c r="E5081" s="253" t="s">
        <v>170</v>
      </c>
    </row>
    <row r="5082" spans="1:5" ht="15">
      <c r="A5082" s="254">
        <v>9859</v>
      </c>
      <c r="B5082" s="254" t="s">
        <v>26393</v>
      </c>
      <c r="C5082" s="254" t="s">
        <v>4524</v>
      </c>
      <c r="D5082" s="255" t="s">
        <v>15448</v>
      </c>
      <c r="E5082" s="253" t="s">
        <v>170</v>
      </c>
    </row>
    <row r="5083" spans="1:5" ht="15">
      <c r="A5083" s="254">
        <v>9838</v>
      </c>
      <c r="B5083" s="254" t="s">
        <v>26394</v>
      </c>
      <c r="C5083" s="254" t="s">
        <v>4524</v>
      </c>
      <c r="D5083" s="255" t="s">
        <v>16626</v>
      </c>
      <c r="E5083" s="253" t="s">
        <v>170</v>
      </c>
    </row>
    <row r="5084" spans="1:5" ht="15">
      <c r="A5084" s="254">
        <v>9837</v>
      </c>
      <c r="B5084" s="254" t="s">
        <v>26395</v>
      </c>
      <c r="C5084" s="254" t="s">
        <v>4524</v>
      </c>
      <c r="D5084" s="255" t="s">
        <v>15495</v>
      </c>
      <c r="E5084" s="253" t="s">
        <v>170</v>
      </c>
    </row>
    <row r="5085" spans="1:5" ht="30">
      <c r="A5085" s="254">
        <v>9833</v>
      </c>
      <c r="B5085" s="254" t="s">
        <v>26396</v>
      </c>
      <c r="C5085" s="254" t="s">
        <v>4524</v>
      </c>
      <c r="D5085" s="255" t="s">
        <v>15736</v>
      </c>
      <c r="E5085" s="253" t="s">
        <v>170</v>
      </c>
    </row>
    <row r="5086" spans="1:5" ht="30">
      <c r="A5086" s="254">
        <v>9830</v>
      </c>
      <c r="B5086" s="254" t="s">
        <v>26397</v>
      </c>
      <c r="C5086" s="254" t="s">
        <v>4524</v>
      </c>
      <c r="D5086" s="254" t="s">
        <v>16632</v>
      </c>
      <c r="E5086" s="254" t="s">
        <v>170</v>
      </c>
    </row>
    <row r="5087" spans="1:5" ht="30">
      <c r="A5087" s="254">
        <v>9834</v>
      </c>
      <c r="B5087" s="254" t="s">
        <v>26398</v>
      </c>
      <c r="C5087" s="254" t="s">
        <v>4524</v>
      </c>
      <c r="D5087" s="254" t="s">
        <v>18057</v>
      </c>
      <c r="E5087" s="254" t="s">
        <v>170</v>
      </c>
    </row>
    <row r="5088" spans="1:5" ht="15">
      <c r="A5088" s="254">
        <v>9863</v>
      </c>
      <c r="B5088" s="254" t="s">
        <v>26399</v>
      </c>
      <c r="C5088" s="254" t="s">
        <v>4524</v>
      </c>
      <c r="D5088" s="254" t="s">
        <v>26400</v>
      </c>
      <c r="E5088" s="254" t="s">
        <v>170</v>
      </c>
    </row>
    <row r="5089" spans="1:5" ht="15">
      <c r="A5089" s="254">
        <v>9860</v>
      </c>
      <c r="B5089" s="254" t="s">
        <v>26401</v>
      </c>
      <c r="C5089" s="254" t="s">
        <v>4524</v>
      </c>
      <c r="D5089" s="254" t="s">
        <v>26402</v>
      </c>
      <c r="E5089" s="254" t="s">
        <v>170</v>
      </c>
    </row>
    <row r="5090" spans="1:5">
      <c r="A5090" s="211">
        <v>9862</v>
      </c>
      <c r="B5090" s="211" t="s">
        <v>26403</v>
      </c>
      <c r="C5090" s="211" t="s">
        <v>4524</v>
      </c>
      <c r="D5090" s="213" t="s">
        <v>26404</v>
      </c>
      <c r="E5090" s="211" t="s">
        <v>170</v>
      </c>
    </row>
    <row r="5091" spans="1:5">
      <c r="A5091" s="211">
        <v>9861</v>
      </c>
      <c r="B5091" s="211" t="s">
        <v>26405</v>
      </c>
      <c r="C5091" s="211" t="s">
        <v>4524</v>
      </c>
      <c r="D5091" s="213" t="s">
        <v>26406</v>
      </c>
      <c r="E5091" s="211" t="s">
        <v>170</v>
      </c>
    </row>
    <row r="5092" spans="1:5">
      <c r="A5092" s="211">
        <v>9856</v>
      </c>
      <c r="B5092" s="211" t="s">
        <v>26407</v>
      </c>
      <c r="C5092" s="211" t="s">
        <v>4524</v>
      </c>
      <c r="D5092" s="213" t="s">
        <v>16488</v>
      </c>
      <c r="E5092" s="211" t="s">
        <v>170</v>
      </c>
    </row>
    <row r="5093" spans="1:5">
      <c r="A5093" s="211">
        <v>9866</v>
      </c>
      <c r="B5093" s="211" t="s">
        <v>26408</v>
      </c>
      <c r="C5093" s="211" t="s">
        <v>4524</v>
      </c>
      <c r="D5093" s="213" t="s">
        <v>15968</v>
      </c>
      <c r="E5093" s="211" t="s">
        <v>170</v>
      </c>
    </row>
    <row r="5094" spans="1:5">
      <c r="A5094" s="211">
        <v>9857</v>
      </c>
      <c r="B5094" s="211" t="s">
        <v>26409</v>
      </c>
      <c r="C5094" s="211" t="s">
        <v>4524</v>
      </c>
      <c r="D5094" s="213" t="s">
        <v>25984</v>
      </c>
      <c r="E5094" s="211" t="s">
        <v>170</v>
      </c>
    </row>
    <row r="5095" spans="1:5">
      <c r="A5095" s="211">
        <v>9864</v>
      </c>
      <c r="B5095" s="211" t="s">
        <v>26410</v>
      </c>
      <c r="C5095" s="211" t="s">
        <v>4524</v>
      </c>
      <c r="D5095" s="213" t="s">
        <v>26411</v>
      </c>
      <c r="E5095" s="211" t="s">
        <v>170</v>
      </c>
    </row>
    <row r="5096" spans="1:5">
      <c r="A5096" s="211">
        <v>9865</v>
      </c>
      <c r="B5096" s="211" t="s">
        <v>26412</v>
      </c>
      <c r="C5096" s="211" t="s">
        <v>4524</v>
      </c>
      <c r="D5096" s="213" t="s">
        <v>26413</v>
      </c>
      <c r="E5096" s="211" t="s">
        <v>170</v>
      </c>
    </row>
    <row r="5097" spans="1:5">
      <c r="A5097" s="211">
        <v>9858</v>
      </c>
      <c r="B5097" s="211" t="s">
        <v>26414</v>
      </c>
      <c r="C5097" s="211" t="s">
        <v>4524</v>
      </c>
      <c r="D5097" s="213" t="s">
        <v>26415</v>
      </c>
      <c r="E5097" s="211" t="s">
        <v>170</v>
      </c>
    </row>
    <row r="5098" spans="1:5" ht="25.5">
      <c r="A5098" s="211">
        <v>9841</v>
      </c>
      <c r="B5098" s="211" t="s">
        <v>26416</v>
      </c>
      <c r="C5098" s="211" t="s">
        <v>4524</v>
      </c>
      <c r="D5098" s="213" t="s">
        <v>26385</v>
      </c>
      <c r="E5098" s="211" t="s">
        <v>170</v>
      </c>
    </row>
    <row r="5099" spans="1:5" ht="25.5">
      <c r="A5099" s="211">
        <v>9840</v>
      </c>
      <c r="B5099" s="211" t="s">
        <v>26417</v>
      </c>
      <c r="C5099" s="211" t="s">
        <v>4524</v>
      </c>
      <c r="D5099" s="213" t="s">
        <v>26418</v>
      </c>
      <c r="E5099" s="211" t="s">
        <v>170</v>
      </c>
    </row>
    <row r="5100" spans="1:5" ht="25.5">
      <c r="A5100" s="211">
        <v>20067</v>
      </c>
      <c r="B5100" s="211" t="s">
        <v>26419</v>
      </c>
      <c r="C5100" s="211" t="s">
        <v>4524</v>
      </c>
      <c r="D5100" s="213" t="s">
        <v>24106</v>
      </c>
      <c r="E5100" s="211" t="s">
        <v>170</v>
      </c>
    </row>
    <row r="5101" spans="1:5" ht="25.5">
      <c r="A5101" s="211">
        <v>20068</v>
      </c>
      <c r="B5101" s="211" t="s">
        <v>26420</v>
      </c>
      <c r="C5101" s="211" t="s">
        <v>4524</v>
      </c>
      <c r="D5101" s="213" t="s">
        <v>15781</v>
      </c>
      <c r="E5101" s="211" t="s">
        <v>170</v>
      </c>
    </row>
    <row r="5102" spans="1:5" ht="25.5">
      <c r="A5102" s="211">
        <v>9839</v>
      </c>
      <c r="B5102" s="211" t="s">
        <v>26421</v>
      </c>
      <c r="C5102" s="211" t="s">
        <v>4524</v>
      </c>
      <c r="D5102" s="213" t="s">
        <v>15775</v>
      </c>
      <c r="E5102" s="211" t="s">
        <v>170</v>
      </c>
    </row>
    <row r="5103" spans="1:5">
      <c r="A5103" s="211">
        <v>9870</v>
      </c>
      <c r="B5103" s="211" t="s">
        <v>26422</v>
      </c>
      <c r="C5103" s="211" t="s">
        <v>4524</v>
      </c>
      <c r="D5103" s="213" t="s">
        <v>16247</v>
      </c>
      <c r="E5103" s="211" t="s">
        <v>170</v>
      </c>
    </row>
    <row r="5104" spans="1:5">
      <c r="A5104" s="211">
        <v>9867</v>
      </c>
      <c r="B5104" s="211" t="s">
        <v>26423</v>
      </c>
      <c r="C5104" s="211" t="s">
        <v>4524</v>
      </c>
      <c r="D5104" s="213" t="s">
        <v>13897</v>
      </c>
      <c r="E5104" s="211" t="s">
        <v>170</v>
      </c>
    </row>
    <row r="5105" spans="1:5">
      <c r="A5105" s="211">
        <v>9868</v>
      </c>
      <c r="B5105" s="211" t="s">
        <v>26424</v>
      </c>
      <c r="C5105" s="211" t="s">
        <v>4524</v>
      </c>
      <c r="D5105" s="213" t="s">
        <v>17931</v>
      </c>
      <c r="E5105" s="211" t="s">
        <v>170</v>
      </c>
    </row>
    <row r="5106" spans="1:5">
      <c r="A5106" s="211">
        <v>9869</v>
      </c>
      <c r="B5106" s="211" t="s">
        <v>26425</v>
      </c>
      <c r="C5106" s="211" t="s">
        <v>4524</v>
      </c>
      <c r="D5106" s="213" t="s">
        <v>13633</v>
      </c>
      <c r="E5106" s="211" t="s">
        <v>170</v>
      </c>
    </row>
    <row r="5107" spans="1:5">
      <c r="A5107" s="211">
        <v>9874</v>
      </c>
      <c r="B5107" s="211" t="s">
        <v>26426</v>
      </c>
      <c r="C5107" s="211" t="s">
        <v>4524</v>
      </c>
      <c r="D5107" s="213" t="s">
        <v>21776</v>
      </c>
      <c r="E5107" s="211" t="s">
        <v>170</v>
      </c>
    </row>
    <row r="5108" spans="1:5">
      <c r="A5108" s="211">
        <v>9875</v>
      </c>
      <c r="B5108" s="211" t="s">
        <v>26427</v>
      </c>
      <c r="C5108" s="211" t="s">
        <v>4524</v>
      </c>
      <c r="D5108" s="213" t="s">
        <v>26428</v>
      </c>
      <c r="E5108" s="211" t="s">
        <v>170</v>
      </c>
    </row>
    <row r="5109" spans="1:5">
      <c r="A5109" s="211">
        <v>9873</v>
      </c>
      <c r="B5109" s="211" t="s">
        <v>26429</v>
      </c>
      <c r="C5109" s="211" t="s">
        <v>4524</v>
      </c>
      <c r="D5109" s="213" t="s">
        <v>26430</v>
      </c>
      <c r="E5109" s="211" t="s">
        <v>170</v>
      </c>
    </row>
    <row r="5110" spans="1:5">
      <c r="A5110" s="211">
        <v>9871</v>
      </c>
      <c r="B5110" s="211" t="s">
        <v>26431</v>
      </c>
      <c r="C5110" s="211" t="s">
        <v>4524</v>
      </c>
      <c r="D5110" s="213" t="s">
        <v>26432</v>
      </c>
      <c r="E5110" s="211" t="s">
        <v>170</v>
      </c>
    </row>
    <row r="5111" spans="1:5">
      <c r="A5111" s="211">
        <v>9872</v>
      </c>
      <c r="B5111" s="211" t="s">
        <v>26433</v>
      </c>
      <c r="C5111" s="211" t="s">
        <v>4524</v>
      </c>
      <c r="D5111" s="213" t="s">
        <v>16251</v>
      </c>
      <c r="E5111" s="211" t="s">
        <v>170</v>
      </c>
    </row>
    <row r="5112" spans="1:5">
      <c r="A5112" s="211">
        <v>7667</v>
      </c>
      <c r="B5112" s="211" t="s">
        <v>26434</v>
      </c>
      <c r="C5112" s="211" t="s">
        <v>4524</v>
      </c>
      <c r="D5112" s="213" t="s">
        <v>26435</v>
      </c>
      <c r="E5112" s="211" t="s">
        <v>170</v>
      </c>
    </row>
    <row r="5113" spans="1:5">
      <c r="A5113" s="211">
        <v>7660</v>
      </c>
      <c r="B5113" s="211" t="s">
        <v>26436</v>
      </c>
      <c r="C5113" s="211" t="s">
        <v>4524</v>
      </c>
      <c r="D5113" s="213" t="s">
        <v>26437</v>
      </c>
      <c r="E5113" s="211" t="s">
        <v>170</v>
      </c>
    </row>
    <row r="5114" spans="1:5">
      <c r="A5114" s="211">
        <v>7676</v>
      </c>
      <c r="B5114" s="211" t="s">
        <v>26438</v>
      </c>
      <c r="C5114" s="211" t="s">
        <v>4524</v>
      </c>
      <c r="D5114" s="213" t="s">
        <v>26439</v>
      </c>
      <c r="E5114" s="211" t="s">
        <v>170</v>
      </c>
    </row>
    <row r="5115" spans="1:5">
      <c r="A5115" s="211">
        <v>12426</v>
      </c>
      <c r="B5115" s="211" t="s">
        <v>26440</v>
      </c>
      <c r="C5115" s="211" t="s">
        <v>4521</v>
      </c>
      <c r="D5115" s="213" t="s">
        <v>16594</v>
      </c>
      <c r="E5115" s="211" t="s">
        <v>170</v>
      </c>
    </row>
    <row r="5116" spans="1:5">
      <c r="A5116" s="211">
        <v>12425</v>
      </c>
      <c r="B5116" s="211" t="s">
        <v>26441</v>
      </c>
      <c r="C5116" s="211" t="s">
        <v>4521</v>
      </c>
      <c r="D5116" s="213" t="s">
        <v>26442</v>
      </c>
      <c r="E5116" s="211" t="s">
        <v>170</v>
      </c>
    </row>
    <row r="5117" spans="1:5">
      <c r="A5117" s="211">
        <v>12427</v>
      </c>
      <c r="B5117" s="211" t="s">
        <v>26443</v>
      </c>
      <c r="C5117" s="211" t="s">
        <v>4521</v>
      </c>
      <c r="D5117" s="213" t="s">
        <v>21340</v>
      </c>
      <c r="E5117" s="211" t="s">
        <v>170</v>
      </c>
    </row>
    <row r="5118" spans="1:5">
      <c r="A5118" s="211">
        <v>12428</v>
      </c>
      <c r="B5118" s="211" t="s">
        <v>26444</v>
      </c>
      <c r="C5118" s="211" t="s">
        <v>4521</v>
      </c>
      <c r="D5118" s="213" t="s">
        <v>26445</v>
      </c>
      <c r="E5118" s="211" t="s">
        <v>170</v>
      </c>
    </row>
    <row r="5119" spans="1:5">
      <c r="A5119" s="211">
        <v>12430</v>
      </c>
      <c r="B5119" s="211" t="s">
        <v>26446</v>
      </c>
      <c r="C5119" s="211" t="s">
        <v>4521</v>
      </c>
      <c r="D5119" s="213" t="s">
        <v>26447</v>
      </c>
      <c r="E5119" s="211" t="s">
        <v>170</v>
      </c>
    </row>
    <row r="5120" spans="1:5">
      <c r="A5120" s="211">
        <v>12429</v>
      </c>
      <c r="B5120" s="211" t="s">
        <v>26448</v>
      </c>
      <c r="C5120" s="211" t="s">
        <v>4521</v>
      </c>
      <c r="D5120" s="213" t="s">
        <v>26449</v>
      </c>
      <c r="E5120" s="211" t="s">
        <v>170</v>
      </c>
    </row>
    <row r="5121" spans="1:5">
      <c r="A5121" s="211">
        <v>12431</v>
      </c>
      <c r="B5121" s="211" t="s">
        <v>26450</v>
      </c>
      <c r="C5121" s="211" t="s">
        <v>4521</v>
      </c>
      <c r="D5121" s="213" t="s">
        <v>26451</v>
      </c>
      <c r="E5121" s="211" t="s">
        <v>170</v>
      </c>
    </row>
    <row r="5122" spans="1:5" ht="25.5">
      <c r="A5122" s="211">
        <v>12432</v>
      </c>
      <c r="B5122" s="211" t="s">
        <v>26452</v>
      </c>
      <c r="C5122" s="211" t="s">
        <v>4521</v>
      </c>
      <c r="D5122" s="213" t="s">
        <v>13800</v>
      </c>
      <c r="E5122" s="211" t="s">
        <v>170</v>
      </c>
    </row>
    <row r="5123" spans="1:5" ht="25.5">
      <c r="A5123" s="211">
        <v>12434</v>
      </c>
      <c r="B5123" s="211" t="s">
        <v>26453</v>
      </c>
      <c r="C5123" s="211" t="s">
        <v>4521</v>
      </c>
      <c r="D5123" s="213" t="s">
        <v>16730</v>
      </c>
      <c r="E5123" s="211" t="s">
        <v>170</v>
      </c>
    </row>
    <row r="5124" spans="1:5">
      <c r="A5124" s="211">
        <v>12433</v>
      </c>
      <c r="B5124" s="211" t="s">
        <v>26454</v>
      </c>
      <c r="C5124" s="211" t="s">
        <v>4521</v>
      </c>
      <c r="D5124" s="213" t="s">
        <v>26455</v>
      </c>
      <c r="E5124" s="211" t="s">
        <v>170</v>
      </c>
    </row>
    <row r="5125" spans="1:5" ht="25.5">
      <c r="A5125" s="211">
        <v>12435</v>
      </c>
      <c r="B5125" s="211" t="s">
        <v>26456</v>
      </c>
      <c r="C5125" s="211" t="s">
        <v>4521</v>
      </c>
      <c r="D5125" s="213" t="s">
        <v>26457</v>
      </c>
      <c r="E5125" s="211" t="s">
        <v>170</v>
      </c>
    </row>
    <row r="5126" spans="1:5">
      <c r="A5126" s="211">
        <v>12437</v>
      </c>
      <c r="B5126" s="211" t="s">
        <v>26458</v>
      </c>
      <c r="C5126" s="211" t="s">
        <v>4521</v>
      </c>
      <c r="D5126" s="213" t="s">
        <v>26459</v>
      </c>
      <c r="E5126" s="211" t="s">
        <v>170</v>
      </c>
    </row>
    <row r="5127" spans="1:5" ht="25.5">
      <c r="A5127" s="211">
        <v>12439</v>
      </c>
      <c r="B5127" s="211" t="s">
        <v>26460</v>
      </c>
      <c r="C5127" s="211" t="s">
        <v>4521</v>
      </c>
      <c r="D5127" s="213" t="s">
        <v>26461</v>
      </c>
      <c r="E5127" s="211" t="s">
        <v>170</v>
      </c>
    </row>
    <row r="5128" spans="1:5">
      <c r="A5128" s="211">
        <v>12438</v>
      </c>
      <c r="B5128" s="211" t="s">
        <v>26462</v>
      </c>
      <c r="C5128" s="211" t="s">
        <v>4521</v>
      </c>
      <c r="D5128" s="213" t="s">
        <v>26463</v>
      </c>
      <c r="E5128" s="211" t="s">
        <v>170</v>
      </c>
    </row>
    <row r="5129" spans="1:5">
      <c r="A5129" s="211">
        <v>12436</v>
      </c>
      <c r="B5129" s="211" t="s">
        <v>26464</v>
      </c>
      <c r="C5129" s="211" t="s">
        <v>4521</v>
      </c>
      <c r="D5129" s="213" t="s">
        <v>26465</v>
      </c>
      <c r="E5129" s="211" t="s">
        <v>170</v>
      </c>
    </row>
    <row r="5130" spans="1:5">
      <c r="A5130" s="211">
        <v>36357</v>
      </c>
      <c r="B5130" s="211" t="s">
        <v>26466</v>
      </c>
      <c r="C5130" s="211" t="s">
        <v>4521</v>
      </c>
      <c r="D5130" s="213" t="s">
        <v>18638</v>
      </c>
      <c r="E5130" s="211" t="s">
        <v>170</v>
      </c>
    </row>
    <row r="5131" spans="1:5">
      <c r="A5131" s="211">
        <v>12424</v>
      </c>
      <c r="B5131" s="211" t="s">
        <v>26467</v>
      </c>
      <c r="C5131" s="211" t="s">
        <v>4521</v>
      </c>
      <c r="D5131" s="213" t="s">
        <v>17150</v>
      </c>
      <c r="E5131" s="211" t="s">
        <v>170</v>
      </c>
    </row>
    <row r="5132" spans="1:5">
      <c r="A5132" s="211">
        <v>12440</v>
      </c>
      <c r="B5132" s="211" t="s">
        <v>26468</v>
      </c>
      <c r="C5132" s="211" t="s">
        <v>4521</v>
      </c>
      <c r="D5132" s="213" t="s">
        <v>26469</v>
      </c>
      <c r="E5132" s="211" t="s">
        <v>170</v>
      </c>
    </row>
    <row r="5133" spans="1:5" ht="25.5">
      <c r="A5133" s="211">
        <v>9884</v>
      </c>
      <c r="B5133" s="211" t="s">
        <v>26470</v>
      </c>
      <c r="C5133" s="211" t="s">
        <v>4521</v>
      </c>
      <c r="D5133" s="213" t="s">
        <v>26471</v>
      </c>
      <c r="E5133" s="211" t="s">
        <v>170</v>
      </c>
    </row>
    <row r="5134" spans="1:5" ht="25.5">
      <c r="A5134" s="211">
        <v>9888</v>
      </c>
      <c r="B5134" s="211" t="s">
        <v>26472</v>
      </c>
      <c r="C5134" s="211" t="s">
        <v>4521</v>
      </c>
      <c r="D5134" s="213" t="s">
        <v>16355</v>
      </c>
      <c r="E5134" s="211" t="s">
        <v>170</v>
      </c>
    </row>
    <row r="5135" spans="1:5" ht="25.5">
      <c r="A5135" s="211">
        <v>9883</v>
      </c>
      <c r="B5135" s="211" t="s">
        <v>26473</v>
      </c>
      <c r="C5135" s="211" t="s">
        <v>4521</v>
      </c>
      <c r="D5135" s="213" t="s">
        <v>14541</v>
      </c>
      <c r="E5135" s="211" t="s">
        <v>170</v>
      </c>
    </row>
    <row r="5136" spans="1:5">
      <c r="A5136" s="211">
        <v>9886</v>
      </c>
      <c r="B5136" s="211" t="s">
        <v>26474</v>
      </c>
      <c r="C5136" s="211" t="s">
        <v>4521</v>
      </c>
      <c r="D5136" s="213" t="s">
        <v>15392</v>
      </c>
      <c r="E5136" s="211" t="s">
        <v>170</v>
      </c>
    </row>
    <row r="5137" spans="1:5" ht="25.5">
      <c r="A5137" s="211">
        <v>9889</v>
      </c>
      <c r="B5137" s="211" t="s">
        <v>26475</v>
      </c>
      <c r="C5137" s="211" t="s">
        <v>4521</v>
      </c>
      <c r="D5137" s="213" t="s">
        <v>26476</v>
      </c>
      <c r="E5137" s="211" t="s">
        <v>170</v>
      </c>
    </row>
    <row r="5138" spans="1:5">
      <c r="A5138" s="211">
        <v>9887</v>
      </c>
      <c r="B5138" s="211" t="s">
        <v>26477</v>
      </c>
      <c r="C5138" s="211" t="s">
        <v>4521</v>
      </c>
      <c r="D5138" s="213" t="s">
        <v>26478</v>
      </c>
      <c r="E5138" s="211" t="s">
        <v>170</v>
      </c>
    </row>
    <row r="5139" spans="1:5" ht="25.5">
      <c r="A5139" s="211">
        <v>9885</v>
      </c>
      <c r="B5139" s="211" t="s">
        <v>26479</v>
      </c>
      <c r="C5139" s="211" t="s">
        <v>4521</v>
      </c>
      <c r="D5139" s="213" t="s">
        <v>15816</v>
      </c>
      <c r="E5139" s="211" t="s">
        <v>170</v>
      </c>
    </row>
    <row r="5140" spans="1:5">
      <c r="A5140" s="211">
        <v>9890</v>
      </c>
      <c r="B5140" s="211" t="s">
        <v>26480</v>
      </c>
      <c r="C5140" s="211" t="s">
        <v>4521</v>
      </c>
      <c r="D5140" s="213" t="s">
        <v>26481</v>
      </c>
      <c r="E5140" s="211" t="s">
        <v>170</v>
      </c>
    </row>
    <row r="5141" spans="1:5">
      <c r="A5141" s="211">
        <v>9891</v>
      </c>
      <c r="B5141" s="211" t="s">
        <v>26482</v>
      </c>
      <c r="C5141" s="211" t="s">
        <v>4521</v>
      </c>
      <c r="D5141" s="213" t="s">
        <v>26483</v>
      </c>
      <c r="E5141" s="211" t="s">
        <v>170</v>
      </c>
    </row>
    <row r="5142" spans="1:5" ht="25.5">
      <c r="A5142" s="211">
        <v>39292</v>
      </c>
      <c r="B5142" s="211" t="s">
        <v>26484</v>
      </c>
      <c r="C5142" s="211" t="s">
        <v>4521</v>
      </c>
      <c r="D5142" s="213" t="s">
        <v>15218</v>
      </c>
      <c r="E5142" s="211" t="s">
        <v>170</v>
      </c>
    </row>
    <row r="5143" spans="1:5" ht="25.5">
      <c r="A5143" s="211">
        <v>39293</v>
      </c>
      <c r="B5143" s="211" t="s">
        <v>26485</v>
      </c>
      <c r="C5143" s="211" t="s">
        <v>4521</v>
      </c>
      <c r="D5143" s="213" t="s">
        <v>15840</v>
      </c>
      <c r="E5143" s="211" t="s">
        <v>170</v>
      </c>
    </row>
    <row r="5144" spans="1:5" ht="25.5">
      <c r="A5144" s="211">
        <v>39294</v>
      </c>
      <c r="B5144" s="211" t="s">
        <v>26486</v>
      </c>
      <c r="C5144" s="211" t="s">
        <v>4521</v>
      </c>
      <c r="D5144" s="213" t="s">
        <v>15840</v>
      </c>
      <c r="E5144" s="211" t="s">
        <v>170</v>
      </c>
    </row>
    <row r="5145" spans="1:5" ht="25.5">
      <c r="A5145" s="211">
        <v>39295</v>
      </c>
      <c r="B5145" s="211" t="s">
        <v>26487</v>
      </c>
      <c r="C5145" s="211" t="s">
        <v>4521</v>
      </c>
      <c r="D5145" s="213" t="s">
        <v>22540</v>
      </c>
      <c r="E5145" s="211" t="s">
        <v>170</v>
      </c>
    </row>
    <row r="5146" spans="1:5">
      <c r="A5146" s="211">
        <v>36313</v>
      </c>
      <c r="B5146" s="211" t="s">
        <v>26488</v>
      </c>
      <c r="C5146" s="211" t="s">
        <v>4521</v>
      </c>
      <c r="D5146" s="213" t="s">
        <v>26489</v>
      </c>
      <c r="E5146" s="211" t="s">
        <v>170</v>
      </c>
    </row>
    <row r="5147" spans="1:5">
      <c r="A5147" s="211">
        <v>36316</v>
      </c>
      <c r="B5147" s="211" t="s">
        <v>26490</v>
      </c>
      <c r="C5147" s="211" t="s">
        <v>4521</v>
      </c>
      <c r="D5147" s="213" t="s">
        <v>13712</v>
      </c>
      <c r="E5147" s="211" t="s">
        <v>170</v>
      </c>
    </row>
    <row r="5148" spans="1:5" ht="25.5">
      <c r="A5148" s="211">
        <v>64</v>
      </c>
      <c r="B5148" s="211" t="s">
        <v>26491</v>
      </c>
      <c r="C5148" s="211" t="s">
        <v>4521</v>
      </c>
      <c r="D5148" s="213" t="s">
        <v>16477</v>
      </c>
      <c r="E5148" s="211" t="s">
        <v>170</v>
      </c>
    </row>
    <row r="5149" spans="1:5" ht="25.5">
      <c r="A5149" s="211">
        <v>37423</v>
      </c>
      <c r="B5149" s="211" t="s">
        <v>26492</v>
      </c>
      <c r="C5149" s="211" t="s">
        <v>4521</v>
      </c>
      <c r="D5149" s="213" t="s">
        <v>14474</v>
      </c>
      <c r="E5149" s="211" t="s">
        <v>170</v>
      </c>
    </row>
    <row r="5150" spans="1:5" ht="25.5">
      <c r="A5150" s="211">
        <v>39296</v>
      </c>
      <c r="B5150" s="211" t="s">
        <v>26493</v>
      </c>
      <c r="C5150" s="211" t="s">
        <v>4521</v>
      </c>
      <c r="D5150" s="213" t="s">
        <v>26494</v>
      </c>
      <c r="E5150" s="211" t="s">
        <v>170</v>
      </c>
    </row>
    <row r="5151" spans="1:5" ht="25.5">
      <c r="A5151" s="211">
        <v>39297</v>
      </c>
      <c r="B5151" s="211" t="s">
        <v>26495</v>
      </c>
      <c r="C5151" s="211" t="s">
        <v>4521</v>
      </c>
      <c r="D5151" s="213" t="s">
        <v>14318</v>
      </c>
      <c r="E5151" s="211" t="s">
        <v>170</v>
      </c>
    </row>
    <row r="5152" spans="1:5" ht="25.5">
      <c r="A5152" s="211">
        <v>39298</v>
      </c>
      <c r="B5152" s="211" t="s">
        <v>26496</v>
      </c>
      <c r="C5152" s="211" t="s">
        <v>4521</v>
      </c>
      <c r="D5152" s="213" t="s">
        <v>26497</v>
      </c>
      <c r="E5152" s="211" t="s">
        <v>170</v>
      </c>
    </row>
    <row r="5153" spans="1:5" ht="25.5">
      <c r="A5153" s="211">
        <v>39299</v>
      </c>
      <c r="B5153" s="211" t="s">
        <v>26498</v>
      </c>
      <c r="C5153" s="211" t="s">
        <v>4521</v>
      </c>
      <c r="D5153" s="213" t="s">
        <v>26499</v>
      </c>
      <c r="E5153" s="211" t="s">
        <v>170</v>
      </c>
    </row>
    <row r="5154" spans="1:5">
      <c r="A5154" s="211">
        <v>9892</v>
      </c>
      <c r="B5154" s="211" t="s">
        <v>26500</v>
      </c>
      <c r="C5154" s="211" t="s">
        <v>4521</v>
      </c>
      <c r="D5154" s="213" t="s">
        <v>16707</v>
      </c>
      <c r="E5154" s="211" t="s">
        <v>170</v>
      </c>
    </row>
    <row r="5155" spans="1:5">
      <c r="A5155" s="211">
        <v>9893</v>
      </c>
      <c r="B5155" s="211" t="s">
        <v>26501</v>
      </c>
      <c r="C5155" s="211" t="s">
        <v>4521</v>
      </c>
      <c r="D5155" s="213" t="s">
        <v>26502</v>
      </c>
      <c r="E5155" s="211" t="s">
        <v>170</v>
      </c>
    </row>
    <row r="5156" spans="1:5">
      <c r="A5156" s="211">
        <v>9901</v>
      </c>
      <c r="B5156" s="211" t="s">
        <v>26503</v>
      </c>
      <c r="C5156" s="211" t="s">
        <v>4521</v>
      </c>
      <c r="D5156" s="213" t="s">
        <v>21257</v>
      </c>
      <c r="E5156" s="211" t="s">
        <v>170</v>
      </c>
    </row>
    <row r="5157" spans="1:5">
      <c r="A5157" s="211">
        <v>9896</v>
      </c>
      <c r="B5157" s="211" t="s">
        <v>26504</v>
      </c>
      <c r="C5157" s="211" t="s">
        <v>4521</v>
      </c>
      <c r="D5157" s="213" t="s">
        <v>26505</v>
      </c>
      <c r="E5157" s="211" t="s">
        <v>170</v>
      </c>
    </row>
    <row r="5158" spans="1:5">
      <c r="A5158" s="211">
        <v>9900</v>
      </c>
      <c r="B5158" s="211" t="s">
        <v>26506</v>
      </c>
      <c r="C5158" s="211" t="s">
        <v>4521</v>
      </c>
      <c r="D5158" s="213" t="s">
        <v>26507</v>
      </c>
      <c r="E5158" s="211" t="s">
        <v>170</v>
      </c>
    </row>
    <row r="5159" spans="1:5">
      <c r="A5159" s="211">
        <v>9898</v>
      </c>
      <c r="B5159" s="211" t="s">
        <v>26508</v>
      </c>
      <c r="C5159" s="211" t="s">
        <v>4521</v>
      </c>
      <c r="D5159" s="213" t="s">
        <v>26509</v>
      </c>
      <c r="E5159" s="211" t="s">
        <v>170</v>
      </c>
    </row>
    <row r="5160" spans="1:5">
      <c r="A5160" s="211">
        <v>9899</v>
      </c>
      <c r="B5160" s="211" t="s">
        <v>26510</v>
      </c>
      <c r="C5160" s="211" t="s">
        <v>4521</v>
      </c>
      <c r="D5160" s="213" t="s">
        <v>16378</v>
      </c>
      <c r="E5160" s="211" t="s">
        <v>170</v>
      </c>
    </row>
    <row r="5161" spans="1:5">
      <c r="A5161" s="211">
        <v>9902</v>
      </c>
      <c r="B5161" s="211" t="s">
        <v>26511</v>
      </c>
      <c r="C5161" s="211" t="s">
        <v>4521</v>
      </c>
      <c r="D5161" s="213" t="s">
        <v>26512</v>
      </c>
      <c r="E5161" s="211" t="s">
        <v>170</v>
      </c>
    </row>
    <row r="5162" spans="1:5">
      <c r="A5162" s="211">
        <v>9908</v>
      </c>
      <c r="B5162" s="211" t="s">
        <v>26513</v>
      </c>
      <c r="C5162" s="211" t="s">
        <v>4521</v>
      </c>
      <c r="D5162" s="213" t="s">
        <v>26514</v>
      </c>
      <c r="E5162" s="211" t="s">
        <v>170</v>
      </c>
    </row>
    <row r="5163" spans="1:5">
      <c r="A5163" s="211">
        <v>9905</v>
      </c>
      <c r="B5163" s="211" t="s">
        <v>26515</v>
      </c>
      <c r="C5163" s="211" t="s">
        <v>4521</v>
      </c>
      <c r="D5163" s="213" t="s">
        <v>15435</v>
      </c>
      <c r="E5163" s="211" t="s">
        <v>170</v>
      </c>
    </row>
    <row r="5164" spans="1:5">
      <c r="A5164" s="211">
        <v>9906</v>
      </c>
      <c r="B5164" s="211" t="s">
        <v>26516</v>
      </c>
      <c r="C5164" s="211" t="s">
        <v>4521</v>
      </c>
      <c r="D5164" s="213" t="s">
        <v>15475</v>
      </c>
      <c r="E5164" s="211" t="s">
        <v>170</v>
      </c>
    </row>
    <row r="5165" spans="1:5">
      <c r="A5165" s="211">
        <v>9895</v>
      </c>
      <c r="B5165" s="211" t="s">
        <v>26517</v>
      </c>
      <c r="C5165" s="211" t="s">
        <v>4521</v>
      </c>
      <c r="D5165" s="213" t="s">
        <v>25184</v>
      </c>
      <c r="E5165" s="211" t="s">
        <v>170</v>
      </c>
    </row>
    <row r="5166" spans="1:5">
      <c r="A5166" s="211">
        <v>9894</v>
      </c>
      <c r="B5166" s="211" t="s">
        <v>26518</v>
      </c>
      <c r="C5166" s="211" t="s">
        <v>4521</v>
      </c>
      <c r="D5166" s="213" t="s">
        <v>26519</v>
      </c>
      <c r="E5166" s="211" t="s">
        <v>170</v>
      </c>
    </row>
    <row r="5167" spans="1:5">
      <c r="A5167" s="211">
        <v>9897</v>
      </c>
      <c r="B5167" s="211" t="s">
        <v>26520</v>
      </c>
      <c r="C5167" s="211" t="s">
        <v>4521</v>
      </c>
      <c r="D5167" s="213" t="s">
        <v>15839</v>
      </c>
      <c r="E5167" s="211" t="s">
        <v>170</v>
      </c>
    </row>
    <row r="5168" spans="1:5">
      <c r="A5168" s="211">
        <v>9910</v>
      </c>
      <c r="B5168" s="211" t="s">
        <v>26521</v>
      </c>
      <c r="C5168" s="211" t="s">
        <v>4521</v>
      </c>
      <c r="D5168" s="213" t="s">
        <v>24381</v>
      </c>
      <c r="E5168" s="211" t="s">
        <v>170</v>
      </c>
    </row>
    <row r="5169" spans="1:5">
      <c r="A5169" s="211">
        <v>9909</v>
      </c>
      <c r="B5169" s="211" t="s">
        <v>26522</v>
      </c>
      <c r="C5169" s="211" t="s">
        <v>4521</v>
      </c>
      <c r="D5169" s="213" t="s">
        <v>26523</v>
      </c>
      <c r="E5169" s="211" t="s">
        <v>170</v>
      </c>
    </row>
    <row r="5170" spans="1:5">
      <c r="A5170" s="211">
        <v>9907</v>
      </c>
      <c r="B5170" s="211" t="s">
        <v>26524</v>
      </c>
      <c r="C5170" s="211" t="s">
        <v>4521</v>
      </c>
      <c r="D5170" s="213" t="s">
        <v>15214</v>
      </c>
      <c r="E5170" s="211" t="s">
        <v>170</v>
      </c>
    </row>
    <row r="5171" spans="1:5" ht="25.5">
      <c r="A5171" s="211">
        <v>20973</v>
      </c>
      <c r="B5171" s="211" t="s">
        <v>26525</v>
      </c>
      <c r="C5171" s="211" t="s">
        <v>4521</v>
      </c>
      <c r="D5171" s="213" t="s">
        <v>26526</v>
      </c>
      <c r="E5171" s="211" t="s">
        <v>170</v>
      </c>
    </row>
    <row r="5172" spans="1:5" ht="25.5">
      <c r="A5172" s="211">
        <v>20974</v>
      </c>
      <c r="B5172" s="211" t="s">
        <v>26527</v>
      </c>
      <c r="C5172" s="211" t="s">
        <v>4521</v>
      </c>
      <c r="D5172" s="213" t="s">
        <v>26528</v>
      </c>
      <c r="E5172" s="211" t="s">
        <v>170</v>
      </c>
    </row>
    <row r="5173" spans="1:5">
      <c r="A5173" s="211">
        <v>37989</v>
      </c>
      <c r="B5173" s="211" t="s">
        <v>26529</v>
      </c>
      <c r="C5173" s="211" t="s">
        <v>4521</v>
      </c>
      <c r="D5173" s="213" t="s">
        <v>17605</v>
      </c>
      <c r="E5173" s="211" t="s">
        <v>170</v>
      </c>
    </row>
    <row r="5174" spans="1:5">
      <c r="A5174" s="211">
        <v>37990</v>
      </c>
      <c r="B5174" s="211" t="s">
        <v>26530</v>
      </c>
      <c r="C5174" s="211" t="s">
        <v>4521</v>
      </c>
      <c r="D5174" s="213" t="s">
        <v>15477</v>
      </c>
      <c r="E5174" s="211" t="s">
        <v>170</v>
      </c>
    </row>
    <row r="5175" spans="1:5">
      <c r="A5175" s="211">
        <v>37991</v>
      </c>
      <c r="B5175" s="211" t="s">
        <v>26531</v>
      </c>
      <c r="C5175" s="211" t="s">
        <v>4521</v>
      </c>
      <c r="D5175" s="213" t="s">
        <v>15452</v>
      </c>
      <c r="E5175" s="211" t="s">
        <v>170</v>
      </c>
    </row>
    <row r="5176" spans="1:5">
      <c r="A5176" s="211">
        <v>37992</v>
      </c>
      <c r="B5176" s="211" t="s">
        <v>26532</v>
      </c>
      <c r="C5176" s="211" t="s">
        <v>4521</v>
      </c>
      <c r="D5176" s="213" t="s">
        <v>23568</v>
      </c>
      <c r="E5176" s="211" t="s">
        <v>170</v>
      </c>
    </row>
    <row r="5177" spans="1:5">
      <c r="A5177" s="211">
        <v>37993</v>
      </c>
      <c r="B5177" s="211" t="s">
        <v>26533</v>
      </c>
      <c r="C5177" s="211" t="s">
        <v>4521</v>
      </c>
      <c r="D5177" s="213" t="s">
        <v>20517</v>
      </c>
      <c r="E5177" s="211" t="s">
        <v>170</v>
      </c>
    </row>
    <row r="5178" spans="1:5">
      <c r="A5178" s="211">
        <v>37994</v>
      </c>
      <c r="B5178" s="211" t="s">
        <v>26534</v>
      </c>
      <c r="C5178" s="211" t="s">
        <v>4521</v>
      </c>
      <c r="D5178" s="213" t="s">
        <v>26535</v>
      </c>
      <c r="E5178" s="211" t="s">
        <v>170</v>
      </c>
    </row>
    <row r="5179" spans="1:5">
      <c r="A5179" s="211">
        <v>37995</v>
      </c>
      <c r="B5179" s="211" t="s">
        <v>26536</v>
      </c>
      <c r="C5179" s="211" t="s">
        <v>4521</v>
      </c>
      <c r="D5179" s="213" t="s">
        <v>26537</v>
      </c>
      <c r="E5179" s="211" t="s">
        <v>170</v>
      </c>
    </row>
    <row r="5180" spans="1:5">
      <c r="A5180" s="211">
        <v>37996</v>
      </c>
      <c r="B5180" s="211" t="s">
        <v>26538</v>
      </c>
      <c r="C5180" s="211" t="s">
        <v>4521</v>
      </c>
      <c r="D5180" s="213" t="s">
        <v>26539</v>
      </c>
      <c r="E5180" s="211" t="s">
        <v>170</v>
      </c>
    </row>
    <row r="5181" spans="1:5" ht="25.5">
      <c r="A5181" s="211">
        <v>13883</v>
      </c>
      <c r="B5181" s="211" t="s">
        <v>26540</v>
      </c>
      <c r="C5181" s="211" t="s">
        <v>4521</v>
      </c>
      <c r="D5181" s="213" t="s">
        <v>26541</v>
      </c>
      <c r="E5181" s="211" t="s">
        <v>6305</v>
      </c>
    </row>
    <row r="5182" spans="1:5" ht="25.5">
      <c r="A5182" s="211">
        <v>38604</v>
      </c>
      <c r="B5182" s="211" t="s">
        <v>26542</v>
      </c>
      <c r="C5182" s="211" t="s">
        <v>4521</v>
      </c>
      <c r="D5182" s="213" t="s">
        <v>26543</v>
      </c>
      <c r="E5182" s="211" t="s">
        <v>6305</v>
      </c>
    </row>
    <row r="5183" spans="1:5" ht="25.5">
      <c r="A5183" s="211">
        <v>10601</v>
      </c>
      <c r="B5183" s="211" t="s">
        <v>26544</v>
      </c>
      <c r="C5183" s="211" t="s">
        <v>4521</v>
      </c>
      <c r="D5183" s="213" t="s">
        <v>26545</v>
      </c>
      <c r="E5183" s="211" t="s">
        <v>6305</v>
      </c>
    </row>
    <row r="5184" spans="1:5" ht="25.5">
      <c r="A5184" s="211">
        <v>26034</v>
      </c>
      <c r="B5184" s="211" t="s">
        <v>26546</v>
      </c>
      <c r="C5184" s="211" t="s">
        <v>4521</v>
      </c>
      <c r="D5184" s="213" t="s">
        <v>26547</v>
      </c>
      <c r="E5184" s="211" t="s">
        <v>6305</v>
      </c>
    </row>
    <row r="5185" spans="1:5">
      <c r="A5185" s="211">
        <v>13894</v>
      </c>
      <c r="B5185" s="211" t="s">
        <v>26548</v>
      </c>
      <c r="C5185" s="211" t="s">
        <v>4521</v>
      </c>
      <c r="D5185" s="213" t="s">
        <v>26549</v>
      </c>
      <c r="E5185" s="211" t="s">
        <v>6305</v>
      </c>
    </row>
    <row r="5186" spans="1:5">
      <c r="A5186" s="211">
        <v>13895</v>
      </c>
      <c r="B5186" s="211" t="s">
        <v>26550</v>
      </c>
      <c r="C5186" s="211" t="s">
        <v>4521</v>
      </c>
      <c r="D5186" s="213" t="s">
        <v>26551</v>
      </c>
      <c r="E5186" s="211" t="s">
        <v>6305</v>
      </c>
    </row>
    <row r="5187" spans="1:5">
      <c r="A5187" s="211">
        <v>13892</v>
      </c>
      <c r="B5187" s="211" t="s">
        <v>26552</v>
      </c>
      <c r="C5187" s="211" t="s">
        <v>4521</v>
      </c>
      <c r="D5187" s="213" t="s">
        <v>26553</v>
      </c>
      <c r="E5187" s="211" t="s">
        <v>6305</v>
      </c>
    </row>
    <row r="5188" spans="1:5">
      <c r="A5188" s="211">
        <v>9914</v>
      </c>
      <c r="B5188" s="211" t="s">
        <v>26554</v>
      </c>
      <c r="C5188" s="211" t="s">
        <v>4521</v>
      </c>
      <c r="D5188" s="213" t="s">
        <v>26555</v>
      </c>
      <c r="E5188" s="211" t="s">
        <v>6305</v>
      </c>
    </row>
    <row r="5189" spans="1:5" ht="38.25">
      <c r="A5189" s="211">
        <v>36485</v>
      </c>
      <c r="B5189" s="211" t="s">
        <v>26556</v>
      </c>
      <c r="C5189" s="211" t="s">
        <v>4521</v>
      </c>
      <c r="D5189" s="213" t="s">
        <v>26557</v>
      </c>
      <c r="E5189" s="211" t="s">
        <v>6305</v>
      </c>
    </row>
    <row r="5190" spans="1:5" ht="25.5">
      <c r="A5190" s="211">
        <v>9912</v>
      </c>
      <c r="B5190" s="211" t="s">
        <v>26558</v>
      </c>
      <c r="C5190" s="211" t="s">
        <v>4521</v>
      </c>
      <c r="D5190" s="213" t="s">
        <v>26559</v>
      </c>
      <c r="E5190" s="211" t="s">
        <v>6305</v>
      </c>
    </row>
    <row r="5191" spans="1:5" ht="25.5">
      <c r="A5191" s="211">
        <v>9921</v>
      </c>
      <c r="B5191" s="211" t="s">
        <v>26560</v>
      </c>
      <c r="C5191" s="211" t="s">
        <v>4521</v>
      </c>
      <c r="D5191" s="213" t="s">
        <v>26561</v>
      </c>
      <c r="E5191" s="211" t="s">
        <v>6305</v>
      </c>
    </row>
    <row r="5192" spans="1:5" ht="25.5">
      <c r="A5192" s="211">
        <v>21112</v>
      </c>
      <c r="B5192" s="211" t="s">
        <v>26562</v>
      </c>
      <c r="C5192" s="211" t="s">
        <v>4521</v>
      </c>
      <c r="D5192" s="213" t="s">
        <v>26563</v>
      </c>
      <c r="E5192" s="211" t="s">
        <v>170</v>
      </c>
    </row>
    <row r="5193" spans="1:5" ht="25.5">
      <c r="A5193" s="211">
        <v>10228</v>
      </c>
      <c r="B5193" s="211" t="s">
        <v>26564</v>
      </c>
      <c r="C5193" s="211" t="s">
        <v>4521</v>
      </c>
      <c r="D5193" s="213" t="s">
        <v>26565</v>
      </c>
      <c r="E5193" s="211" t="s">
        <v>170</v>
      </c>
    </row>
    <row r="5194" spans="1:5" ht="25.5">
      <c r="A5194" s="211">
        <v>11781</v>
      </c>
      <c r="B5194" s="211" t="s">
        <v>26566</v>
      </c>
      <c r="C5194" s="211" t="s">
        <v>4521</v>
      </c>
      <c r="D5194" s="213" t="s">
        <v>22287</v>
      </c>
      <c r="E5194" s="211" t="s">
        <v>170</v>
      </c>
    </row>
    <row r="5195" spans="1:5">
      <c r="A5195" s="211">
        <v>11746</v>
      </c>
      <c r="B5195" s="211" t="s">
        <v>26567</v>
      </c>
      <c r="C5195" s="211" t="s">
        <v>4521</v>
      </c>
      <c r="D5195" s="213" t="s">
        <v>26568</v>
      </c>
      <c r="E5195" s="211" t="s">
        <v>170</v>
      </c>
    </row>
    <row r="5196" spans="1:5">
      <c r="A5196" s="211">
        <v>11751</v>
      </c>
      <c r="B5196" s="211" t="s">
        <v>26569</v>
      </c>
      <c r="C5196" s="211" t="s">
        <v>4521</v>
      </c>
      <c r="D5196" s="213" t="s">
        <v>26570</v>
      </c>
      <c r="E5196" s="211" t="s">
        <v>170</v>
      </c>
    </row>
    <row r="5197" spans="1:5">
      <c r="A5197" s="211">
        <v>11750</v>
      </c>
      <c r="B5197" s="211" t="s">
        <v>26571</v>
      </c>
      <c r="C5197" s="211" t="s">
        <v>4521</v>
      </c>
      <c r="D5197" s="213" t="s">
        <v>13563</v>
      </c>
      <c r="E5197" s="211" t="s">
        <v>170</v>
      </c>
    </row>
    <row r="5198" spans="1:5">
      <c r="A5198" s="211">
        <v>11748</v>
      </c>
      <c r="B5198" s="211" t="s">
        <v>26572</v>
      </c>
      <c r="C5198" s="211" t="s">
        <v>4521</v>
      </c>
      <c r="D5198" s="213" t="s">
        <v>17552</v>
      </c>
      <c r="E5198" s="211" t="s">
        <v>170</v>
      </c>
    </row>
    <row r="5199" spans="1:5">
      <c r="A5199" s="211">
        <v>11747</v>
      </c>
      <c r="B5199" s="211" t="s">
        <v>26573</v>
      </c>
      <c r="C5199" s="211" t="s">
        <v>4521</v>
      </c>
      <c r="D5199" s="213" t="s">
        <v>26574</v>
      </c>
      <c r="E5199" s="211" t="s">
        <v>170</v>
      </c>
    </row>
    <row r="5200" spans="1:5">
      <c r="A5200" s="211">
        <v>11749</v>
      </c>
      <c r="B5200" s="211" t="s">
        <v>26575</v>
      </c>
      <c r="C5200" s="211" t="s">
        <v>4521</v>
      </c>
      <c r="D5200" s="213" t="s">
        <v>26576</v>
      </c>
      <c r="E5200" s="211" t="s">
        <v>170</v>
      </c>
    </row>
    <row r="5201" spans="1:5" ht="25.5">
      <c r="A5201" s="211">
        <v>10236</v>
      </c>
      <c r="B5201" s="211" t="s">
        <v>26577</v>
      </c>
      <c r="C5201" s="211" t="s">
        <v>4521</v>
      </c>
      <c r="D5201" s="213" t="s">
        <v>26578</v>
      </c>
      <c r="E5201" s="211" t="s">
        <v>170</v>
      </c>
    </row>
    <row r="5202" spans="1:5" ht="25.5">
      <c r="A5202" s="211">
        <v>10233</v>
      </c>
      <c r="B5202" s="211" t="s">
        <v>26579</v>
      </c>
      <c r="C5202" s="211" t="s">
        <v>4521</v>
      </c>
      <c r="D5202" s="213" t="s">
        <v>22144</v>
      </c>
      <c r="E5202" s="211" t="s">
        <v>170</v>
      </c>
    </row>
    <row r="5203" spans="1:5" ht="25.5">
      <c r="A5203" s="211">
        <v>10234</v>
      </c>
      <c r="B5203" s="211" t="s">
        <v>26580</v>
      </c>
      <c r="C5203" s="211" t="s">
        <v>4521</v>
      </c>
      <c r="D5203" s="213" t="s">
        <v>24165</v>
      </c>
      <c r="E5203" s="211" t="s">
        <v>170</v>
      </c>
    </row>
    <row r="5204" spans="1:5" ht="25.5">
      <c r="A5204" s="211">
        <v>10231</v>
      </c>
      <c r="B5204" s="211" t="s">
        <v>26581</v>
      </c>
      <c r="C5204" s="211" t="s">
        <v>4521</v>
      </c>
      <c r="D5204" s="213" t="s">
        <v>26582</v>
      </c>
      <c r="E5204" s="211" t="s">
        <v>170</v>
      </c>
    </row>
    <row r="5205" spans="1:5" ht="25.5">
      <c r="A5205" s="211">
        <v>10232</v>
      </c>
      <c r="B5205" s="211" t="s">
        <v>26583</v>
      </c>
      <c r="C5205" s="211" t="s">
        <v>4521</v>
      </c>
      <c r="D5205" s="213" t="s">
        <v>26584</v>
      </c>
      <c r="E5205" s="211" t="s">
        <v>170</v>
      </c>
    </row>
    <row r="5206" spans="1:5" ht="25.5">
      <c r="A5206" s="211">
        <v>10229</v>
      </c>
      <c r="B5206" s="211" t="s">
        <v>26585</v>
      </c>
      <c r="C5206" s="211" t="s">
        <v>4521</v>
      </c>
      <c r="D5206" s="213" t="s">
        <v>15842</v>
      </c>
      <c r="E5206" s="211" t="s">
        <v>170</v>
      </c>
    </row>
    <row r="5207" spans="1:5" ht="25.5">
      <c r="A5207" s="211">
        <v>10235</v>
      </c>
      <c r="B5207" s="211" t="s">
        <v>26586</v>
      </c>
      <c r="C5207" s="211" t="s">
        <v>4521</v>
      </c>
      <c r="D5207" s="213" t="s">
        <v>26587</v>
      </c>
      <c r="E5207" s="211" t="s">
        <v>170</v>
      </c>
    </row>
    <row r="5208" spans="1:5" ht="25.5">
      <c r="A5208" s="211">
        <v>10230</v>
      </c>
      <c r="B5208" s="211" t="s">
        <v>26588</v>
      </c>
      <c r="C5208" s="211" t="s">
        <v>4521</v>
      </c>
      <c r="D5208" s="213" t="s">
        <v>26589</v>
      </c>
      <c r="E5208" s="211" t="s">
        <v>170</v>
      </c>
    </row>
    <row r="5209" spans="1:5" ht="25.5">
      <c r="A5209" s="211">
        <v>10409</v>
      </c>
      <c r="B5209" s="211" t="s">
        <v>26590</v>
      </c>
      <c r="C5209" s="211" t="s">
        <v>4521</v>
      </c>
      <c r="D5209" s="213" t="s">
        <v>26591</v>
      </c>
      <c r="E5209" s="211" t="s">
        <v>170</v>
      </c>
    </row>
    <row r="5210" spans="1:5" ht="25.5">
      <c r="A5210" s="211">
        <v>10411</v>
      </c>
      <c r="B5210" s="211" t="s">
        <v>26592</v>
      </c>
      <c r="C5210" s="211" t="s">
        <v>4521</v>
      </c>
      <c r="D5210" s="213" t="s">
        <v>13719</v>
      </c>
      <c r="E5210" s="211" t="s">
        <v>170</v>
      </c>
    </row>
    <row r="5211" spans="1:5" ht="25.5">
      <c r="A5211" s="211">
        <v>10404</v>
      </c>
      <c r="B5211" s="211" t="s">
        <v>26593</v>
      </c>
      <c r="C5211" s="211" t="s">
        <v>4521</v>
      </c>
      <c r="D5211" s="213" t="s">
        <v>26594</v>
      </c>
      <c r="E5211" s="211" t="s">
        <v>170</v>
      </c>
    </row>
    <row r="5212" spans="1:5" ht="25.5">
      <c r="A5212" s="211">
        <v>10410</v>
      </c>
      <c r="B5212" s="211" t="s">
        <v>26595</v>
      </c>
      <c r="C5212" s="211" t="s">
        <v>4521</v>
      </c>
      <c r="D5212" s="213" t="s">
        <v>26596</v>
      </c>
      <c r="E5212" s="211" t="s">
        <v>170</v>
      </c>
    </row>
    <row r="5213" spans="1:5" ht="25.5">
      <c r="A5213" s="211">
        <v>10405</v>
      </c>
      <c r="B5213" s="211" t="s">
        <v>26597</v>
      </c>
      <c r="C5213" s="211" t="s">
        <v>4521</v>
      </c>
      <c r="D5213" s="213" t="s">
        <v>26598</v>
      </c>
      <c r="E5213" s="211" t="s">
        <v>170</v>
      </c>
    </row>
    <row r="5214" spans="1:5" ht="25.5">
      <c r="A5214" s="211">
        <v>10408</v>
      </c>
      <c r="B5214" s="211" t="s">
        <v>26599</v>
      </c>
      <c r="C5214" s="211" t="s">
        <v>4521</v>
      </c>
      <c r="D5214" s="213" t="s">
        <v>26600</v>
      </c>
      <c r="E5214" s="211" t="s">
        <v>170</v>
      </c>
    </row>
    <row r="5215" spans="1:5" ht="25.5">
      <c r="A5215" s="211">
        <v>10412</v>
      </c>
      <c r="B5215" s="211" t="s">
        <v>26601</v>
      </c>
      <c r="C5215" s="211" t="s">
        <v>4521</v>
      </c>
      <c r="D5215" s="213" t="s">
        <v>26602</v>
      </c>
      <c r="E5215" s="211" t="s">
        <v>170</v>
      </c>
    </row>
    <row r="5216" spans="1:5" ht="25.5">
      <c r="A5216" s="211">
        <v>10406</v>
      </c>
      <c r="B5216" s="211" t="s">
        <v>26603</v>
      </c>
      <c r="C5216" s="211" t="s">
        <v>4521</v>
      </c>
      <c r="D5216" s="213" t="s">
        <v>26604</v>
      </c>
      <c r="E5216" s="211" t="s">
        <v>170</v>
      </c>
    </row>
    <row r="5217" spans="1:5" ht="25.5">
      <c r="A5217" s="211">
        <v>10407</v>
      </c>
      <c r="B5217" s="211" t="s">
        <v>26605</v>
      </c>
      <c r="C5217" s="211" t="s">
        <v>4521</v>
      </c>
      <c r="D5217" s="213" t="s">
        <v>26606</v>
      </c>
      <c r="E5217" s="211" t="s">
        <v>170</v>
      </c>
    </row>
    <row r="5218" spans="1:5" ht="25.5">
      <c r="A5218" s="211">
        <v>10416</v>
      </c>
      <c r="B5218" s="211" t="s">
        <v>26607</v>
      </c>
      <c r="C5218" s="211" t="s">
        <v>4521</v>
      </c>
      <c r="D5218" s="213" t="s">
        <v>26608</v>
      </c>
      <c r="E5218" s="211" t="s">
        <v>170</v>
      </c>
    </row>
    <row r="5219" spans="1:5" ht="25.5">
      <c r="A5219" s="211">
        <v>10419</v>
      </c>
      <c r="B5219" s="211" t="s">
        <v>26609</v>
      </c>
      <c r="C5219" s="211" t="s">
        <v>4521</v>
      </c>
      <c r="D5219" s="213" t="s">
        <v>26610</v>
      </c>
      <c r="E5219" s="211" t="s">
        <v>170</v>
      </c>
    </row>
    <row r="5220" spans="1:5" ht="25.5">
      <c r="A5220" s="211">
        <v>21092</v>
      </c>
      <c r="B5220" s="211" t="s">
        <v>26611</v>
      </c>
      <c r="C5220" s="211" t="s">
        <v>4521</v>
      </c>
      <c r="D5220" s="213" t="s">
        <v>14413</v>
      </c>
      <c r="E5220" s="211" t="s">
        <v>170</v>
      </c>
    </row>
    <row r="5221" spans="1:5" ht="25.5">
      <c r="A5221" s="211">
        <v>10418</v>
      </c>
      <c r="B5221" s="211" t="s">
        <v>26612</v>
      </c>
      <c r="C5221" s="211" t="s">
        <v>4521</v>
      </c>
      <c r="D5221" s="213" t="s">
        <v>26613</v>
      </c>
      <c r="E5221" s="211" t="s">
        <v>170</v>
      </c>
    </row>
    <row r="5222" spans="1:5" ht="25.5">
      <c r="A5222" s="211">
        <v>12657</v>
      </c>
      <c r="B5222" s="211" t="s">
        <v>26614</v>
      </c>
      <c r="C5222" s="211" t="s">
        <v>4521</v>
      </c>
      <c r="D5222" s="213" t="s">
        <v>26615</v>
      </c>
      <c r="E5222" s="211" t="s">
        <v>170</v>
      </c>
    </row>
    <row r="5223" spans="1:5" ht="25.5">
      <c r="A5223" s="211">
        <v>10417</v>
      </c>
      <c r="B5223" s="211" t="s">
        <v>26616</v>
      </c>
      <c r="C5223" s="211" t="s">
        <v>4521</v>
      </c>
      <c r="D5223" s="213" t="s">
        <v>13800</v>
      </c>
      <c r="E5223" s="211" t="s">
        <v>170</v>
      </c>
    </row>
    <row r="5224" spans="1:5" ht="25.5">
      <c r="A5224" s="211">
        <v>10413</v>
      </c>
      <c r="B5224" s="211" t="s">
        <v>26617</v>
      </c>
      <c r="C5224" s="211" t="s">
        <v>4521</v>
      </c>
      <c r="D5224" s="213" t="s">
        <v>26618</v>
      </c>
      <c r="E5224" s="211" t="s">
        <v>170</v>
      </c>
    </row>
    <row r="5225" spans="1:5" ht="25.5">
      <c r="A5225" s="211">
        <v>10414</v>
      </c>
      <c r="B5225" s="211" t="s">
        <v>26619</v>
      </c>
      <c r="C5225" s="211" t="s">
        <v>4521</v>
      </c>
      <c r="D5225" s="213" t="s">
        <v>26620</v>
      </c>
      <c r="E5225" s="211" t="s">
        <v>170</v>
      </c>
    </row>
    <row r="5226" spans="1:5" ht="25.5">
      <c r="A5226" s="211">
        <v>10415</v>
      </c>
      <c r="B5226" s="211" t="s">
        <v>26621</v>
      </c>
      <c r="C5226" s="211" t="s">
        <v>4521</v>
      </c>
      <c r="D5226" s="213" t="s">
        <v>26622</v>
      </c>
      <c r="E5226" s="211" t="s">
        <v>170</v>
      </c>
    </row>
    <row r="5227" spans="1:5">
      <c r="A5227" s="211">
        <v>38643</v>
      </c>
      <c r="B5227" s="211" t="s">
        <v>26623</v>
      </c>
      <c r="C5227" s="211" t="s">
        <v>4521</v>
      </c>
      <c r="D5227" s="213" t="s">
        <v>16427</v>
      </c>
      <c r="E5227" s="211" t="s">
        <v>170</v>
      </c>
    </row>
    <row r="5228" spans="1:5">
      <c r="A5228" s="211">
        <v>6157</v>
      </c>
      <c r="B5228" s="211" t="s">
        <v>26624</v>
      </c>
      <c r="C5228" s="211" t="s">
        <v>4521</v>
      </c>
      <c r="D5228" s="213" t="s">
        <v>18181</v>
      </c>
      <c r="E5228" s="211" t="s">
        <v>170</v>
      </c>
    </row>
    <row r="5229" spans="1:5">
      <c r="A5229" s="211">
        <v>37588</v>
      </c>
      <c r="B5229" s="211" t="s">
        <v>26625</v>
      </c>
      <c r="C5229" s="211" t="s">
        <v>4521</v>
      </c>
      <c r="D5229" s="213" t="s">
        <v>26626</v>
      </c>
      <c r="E5229" s="211" t="s">
        <v>170</v>
      </c>
    </row>
    <row r="5230" spans="1:5">
      <c r="A5230" s="211">
        <v>6152</v>
      </c>
      <c r="B5230" s="211" t="s">
        <v>26627</v>
      </c>
      <c r="C5230" s="211" t="s">
        <v>4521</v>
      </c>
      <c r="D5230" s="213" t="s">
        <v>13850</v>
      </c>
      <c r="E5230" s="211" t="s">
        <v>170</v>
      </c>
    </row>
    <row r="5231" spans="1:5">
      <c r="A5231" s="211">
        <v>6158</v>
      </c>
      <c r="B5231" s="211" t="s">
        <v>26628</v>
      </c>
      <c r="C5231" s="211" t="s">
        <v>4521</v>
      </c>
      <c r="D5231" s="213" t="s">
        <v>14125</v>
      </c>
      <c r="E5231" s="211" t="s">
        <v>170</v>
      </c>
    </row>
    <row r="5232" spans="1:5" ht="25.5">
      <c r="A5232" s="211">
        <v>6153</v>
      </c>
      <c r="B5232" s="211" t="s">
        <v>26629</v>
      </c>
      <c r="C5232" s="211" t="s">
        <v>4521</v>
      </c>
      <c r="D5232" s="213" t="s">
        <v>14322</v>
      </c>
      <c r="E5232" s="211" t="s">
        <v>170</v>
      </c>
    </row>
    <row r="5233" spans="1:5" ht="25.5">
      <c r="A5233" s="211">
        <v>6156</v>
      </c>
      <c r="B5233" s="211" t="s">
        <v>26630</v>
      </c>
      <c r="C5233" s="211" t="s">
        <v>4521</v>
      </c>
      <c r="D5233" s="213" t="s">
        <v>14397</v>
      </c>
      <c r="E5233" s="211" t="s">
        <v>170</v>
      </c>
    </row>
    <row r="5234" spans="1:5" ht="25.5">
      <c r="A5234" s="211">
        <v>6154</v>
      </c>
      <c r="B5234" s="211" t="s">
        <v>26631</v>
      </c>
      <c r="C5234" s="211" t="s">
        <v>4521</v>
      </c>
      <c r="D5234" s="213" t="s">
        <v>16626</v>
      </c>
      <c r="E5234" s="211" t="s">
        <v>170</v>
      </c>
    </row>
    <row r="5235" spans="1:5" ht="25.5">
      <c r="A5235" s="211">
        <v>6155</v>
      </c>
      <c r="B5235" s="211" t="s">
        <v>26632</v>
      </c>
      <c r="C5235" s="211" t="s">
        <v>4521</v>
      </c>
      <c r="D5235" s="213" t="s">
        <v>17854</v>
      </c>
      <c r="E5235" s="211" t="s">
        <v>170</v>
      </c>
    </row>
    <row r="5236" spans="1:5" ht="25.5">
      <c r="A5236" s="211">
        <v>3115</v>
      </c>
      <c r="B5236" s="211" t="s">
        <v>26633</v>
      </c>
      <c r="C5236" s="211" t="s">
        <v>4521</v>
      </c>
      <c r="D5236" s="213" t="s">
        <v>26634</v>
      </c>
      <c r="E5236" s="211" t="s">
        <v>170</v>
      </c>
    </row>
    <row r="5237" spans="1:5" ht="25.5">
      <c r="A5237" s="211">
        <v>3116</v>
      </c>
      <c r="B5237" s="211" t="s">
        <v>26635</v>
      </c>
      <c r="C5237" s="211" t="s">
        <v>4521</v>
      </c>
      <c r="D5237" s="213" t="s">
        <v>20319</v>
      </c>
      <c r="E5237" s="211" t="s">
        <v>170</v>
      </c>
    </row>
    <row r="5238" spans="1:5">
      <c r="A5238" s="211">
        <v>38166</v>
      </c>
      <c r="B5238" s="211" t="s">
        <v>26636</v>
      </c>
      <c r="C5238" s="211" t="s">
        <v>4521</v>
      </c>
      <c r="D5238" s="213" t="s">
        <v>16342</v>
      </c>
      <c r="E5238" s="211" t="s">
        <v>170</v>
      </c>
    </row>
    <row r="5239" spans="1:5" ht="25.5">
      <c r="A5239" s="211">
        <v>38108</v>
      </c>
      <c r="B5239" s="211" t="s">
        <v>26637</v>
      </c>
      <c r="C5239" s="211" t="s">
        <v>4521</v>
      </c>
      <c r="D5239" s="213" t="s">
        <v>26638</v>
      </c>
      <c r="E5239" s="211" t="s">
        <v>170</v>
      </c>
    </row>
    <row r="5240" spans="1:5" ht="25.5">
      <c r="A5240" s="211">
        <v>38087</v>
      </c>
      <c r="B5240" s="211" t="s">
        <v>26639</v>
      </c>
      <c r="C5240" s="211" t="s">
        <v>4521</v>
      </c>
      <c r="D5240" s="213" t="s">
        <v>26640</v>
      </c>
      <c r="E5240" s="211" t="s">
        <v>170</v>
      </c>
    </row>
    <row r="5241" spans="1:5" ht="25.5">
      <c r="A5241" s="211">
        <v>38109</v>
      </c>
      <c r="B5241" s="211" t="s">
        <v>26641</v>
      </c>
      <c r="C5241" s="211" t="s">
        <v>4521</v>
      </c>
      <c r="D5241" s="213" t="s">
        <v>26642</v>
      </c>
      <c r="E5241" s="211" t="s">
        <v>170</v>
      </c>
    </row>
    <row r="5242" spans="1:5" ht="25.5">
      <c r="A5242" s="211">
        <v>38088</v>
      </c>
      <c r="B5242" s="211" t="s">
        <v>26643</v>
      </c>
      <c r="C5242" s="211" t="s">
        <v>4521</v>
      </c>
      <c r="D5242" s="213" t="s">
        <v>26644</v>
      </c>
      <c r="E5242" s="211" t="s">
        <v>170</v>
      </c>
    </row>
    <row r="5243" spans="1:5">
      <c r="A5243" s="211">
        <v>38110</v>
      </c>
      <c r="B5243" s="211" t="s">
        <v>26645</v>
      </c>
      <c r="C5243" s="211" t="s">
        <v>4521</v>
      </c>
      <c r="D5243" s="213" t="s">
        <v>15973</v>
      </c>
      <c r="E5243" s="211" t="s">
        <v>170</v>
      </c>
    </row>
    <row r="5244" spans="1:5" ht="38.25">
      <c r="A5244" s="211">
        <v>38089</v>
      </c>
      <c r="B5244" s="211" t="s">
        <v>26646</v>
      </c>
      <c r="C5244" s="211" t="s">
        <v>4521</v>
      </c>
      <c r="D5244" s="213" t="s">
        <v>26647</v>
      </c>
      <c r="E5244" s="211" t="s">
        <v>170</v>
      </c>
    </row>
    <row r="5245" spans="1:5">
      <c r="A5245" s="211">
        <v>38111</v>
      </c>
      <c r="B5245" s="211" t="s">
        <v>26648</v>
      </c>
      <c r="C5245" s="211" t="s">
        <v>4521</v>
      </c>
      <c r="D5245" s="213" t="s">
        <v>17070</v>
      </c>
      <c r="E5245" s="211" t="s">
        <v>170</v>
      </c>
    </row>
    <row r="5246" spans="1:5" ht="38.25">
      <c r="A5246" s="211">
        <v>38090</v>
      </c>
      <c r="B5246" s="211" t="s">
        <v>26649</v>
      </c>
      <c r="C5246" s="211" t="s">
        <v>4521</v>
      </c>
      <c r="D5246" s="213" t="s">
        <v>16339</v>
      </c>
      <c r="E5246" s="211" t="s">
        <v>170</v>
      </c>
    </row>
    <row r="5247" spans="1:5">
      <c r="A5247" s="211">
        <v>11786</v>
      </c>
      <c r="B5247" s="211" t="s">
        <v>26650</v>
      </c>
      <c r="C5247" s="211" t="s">
        <v>4521</v>
      </c>
      <c r="D5247" s="213" t="s">
        <v>26651</v>
      </c>
      <c r="E5247" s="211" t="s">
        <v>170</v>
      </c>
    </row>
    <row r="5248" spans="1:5" ht="25.5">
      <c r="A5248" s="211">
        <v>13726</v>
      </c>
      <c r="B5248" s="211" t="s">
        <v>26652</v>
      </c>
      <c r="C5248" s="211" t="s">
        <v>4521</v>
      </c>
      <c r="D5248" s="213" t="s">
        <v>26653</v>
      </c>
      <c r="E5248" s="211" t="s">
        <v>170</v>
      </c>
    </row>
    <row r="5249" spans="1:5">
      <c r="A5249" s="211">
        <v>38400</v>
      </c>
      <c r="B5249" s="211" t="s">
        <v>26654</v>
      </c>
      <c r="C5249" s="211" t="s">
        <v>4521</v>
      </c>
      <c r="D5249" s="213" t="s">
        <v>16994</v>
      </c>
      <c r="E5249" s="211" t="s">
        <v>170</v>
      </c>
    </row>
    <row r="5250" spans="1:5" ht="25.5">
      <c r="A5250" s="211">
        <v>12627</v>
      </c>
      <c r="B5250" s="211" t="s">
        <v>26655</v>
      </c>
      <c r="C5250" s="211" t="s">
        <v>4521</v>
      </c>
      <c r="D5250" s="213" t="s">
        <v>14307</v>
      </c>
      <c r="E5250" s="211" t="s">
        <v>170</v>
      </c>
    </row>
    <row r="5251" spans="1:5">
      <c r="A5251" s="211">
        <v>6138</v>
      </c>
      <c r="B5251" s="211" t="s">
        <v>26656</v>
      </c>
      <c r="C5251" s="211" t="s">
        <v>4521</v>
      </c>
      <c r="D5251" s="213" t="s">
        <v>14376</v>
      </c>
      <c r="E5251" s="211" t="s">
        <v>170</v>
      </c>
    </row>
    <row r="5252" spans="1:5">
      <c r="A5252" s="211">
        <v>39996</v>
      </c>
      <c r="B5252" s="211" t="s">
        <v>26657</v>
      </c>
      <c r="C5252" s="211" t="s">
        <v>4524</v>
      </c>
      <c r="D5252" s="213" t="s">
        <v>18751</v>
      </c>
      <c r="E5252" s="211" t="s">
        <v>170</v>
      </c>
    </row>
    <row r="5253" spans="1:5" ht="25.5">
      <c r="A5253" s="211">
        <v>10478</v>
      </c>
      <c r="B5253" s="211" t="s">
        <v>26658</v>
      </c>
      <c r="C5253" s="211" t="s">
        <v>4526</v>
      </c>
      <c r="D5253" s="213" t="s">
        <v>26659</v>
      </c>
      <c r="E5253" s="211" t="s">
        <v>170</v>
      </c>
    </row>
    <row r="5254" spans="1:5" ht="25.5">
      <c r="A5254" s="211">
        <v>40514</v>
      </c>
      <c r="B5254" s="211" t="s">
        <v>26660</v>
      </c>
      <c r="C5254" s="211" t="s">
        <v>4526</v>
      </c>
      <c r="D5254" s="213" t="s">
        <v>13998</v>
      </c>
      <c r="E5254" s="211" t="s">
        <v>170</v>
      </c>
    </row>
    <row r="5255" spans="1:5">
      <c r="A5255" s="211">
        <v>10475</v>
      </c>
      <c r="B5255" s="211" t="s">
        <v>26661</v>
      </c>
      <c r="C5255" s="211" t="s">
        <v>4526</v>
      </c>
      <c r="D5255" s="213" t="s">
        <v>26662</v>
      </c>
      <c r="E5255" s="211" t="s">
        <v>170</v>
      </c>
    </row>
    <row r="5256" spans="1:5" ht="25.5">
      <c r="A5256" s="211">
        <v>10481</v>
      </c>
      <c r="B5256" s="211" t="s">
        <v>26663</v>
      </c>
      <c r="C5256" s="211" t="s">
        <v>4526</v>
      </c>
      <c r="D5256" s="213" t="s">
        <v>14077</v>
      </c>
      <c r="E5256" s="211" t="s">
        <v>170</v>
      </c>
    </row>
    <row r="5257" spans="1:5">
      <c r="A5257" s="211">
        <v>4031</v>
      </c>
      <c r="B5257" s="211" t="s">
        <v>26664</v>
      </c>
      <c r="C5257" s="211" t="s">
        <v>4523</v>
      </c>
      <c r="D5257" s="213" t="s">
        <v>26665</v>
      </c>
      <c r="E5257" s="211" t="s">
        <v>170</v>
      </c>
    </row>
    <row r="5258" spans="1:5">
      <c r="A5258" s="211">
        <v>4030</v>
      </c>
      <c r="B5258" s="211" t="s">
        <v>26666</v>
      </c>
      <c r="C5258" s="211" t="s">
        <v>4523</v>
      </c>
      <c r="D5258" s="213" t="s">
        <v>17543</v>
      </c>
      <c r="E5258" s="211" t="s">
        <v>170</v>
      </c>
    </row>
    <row r="5259" spans="1:5" ht="25.5">
      <c r="A5259" s="211">
        <v>39399</v>
      </c>
      <c r="B5259" s="211" t="s">
        <v>26667</v>
      </c>
      <c r="C5259" s="211" t="s">
        <v>4521</v>
      </c>
      <c r="D5259" s="213" t="s">
        <v>26668</v>
      </c>
      <c r="E5259" s="211" t="s">
        <v>170</v>
      </c>
    </row>
    <row r="5260" spans="1:5" ht="25.5">
      <c r="A5260" s="211">
        <v>39400</v>
      </c>
      <c r="B5260" s="211" t="s">
        <v>26669</v>
      </c>
      <c r="C5260" s="211" t="s">
        <v>4521</v>
      </c>
      <c r="D5260" s="213" t="s">
        <v>26670</v>
      </c>
      <c r="E5260" s="211" t="s">
        <v>170</v>
      </c>
    </row>
    <row r="5261" spans="1:5" ht="25.5">
      <c r="A5261" s="211">
        <v>39401</v>
      </c>
      <c r="B5261" s="211" t="s">
        <v>26671</v>
      </c>
      <c r="C5261" s="211" t="s">
        <v>4521</v>
      </c>
      <c r="D5261" s="213" t="s">
        <v>26672</v>
      </c>
      <c r="E5261" s="211" t="s">
        <v>170</v>
      </c>
    </row>
    <row r="5262" spans="1:5" ht="25.5">
      <c r="A5262" s="211">
        <v>11652</v>
      </c>
      <c r="B5262" s="211" t="s">
        <v>26673</v>
      </c>
      <c r="C5262" s="211" t="s">
        <v>4521</v>
      </c>
      <c r="D5262" s="213" t="s">
        <v>26674</v>
      </c>
      <c r="E5262" s="211" t="s">
        <v>170</v>
      </c>
    </row>
    <row r="5263" spans="1:5" ht="25.5">
      <c r="A5263" s="211">
        <v>13896</v>
      </c>
      <c r="B5263" s="211" t="s">
        <v>26675</v>
      </c>
      <c r="C5263" s="211" t="s">
        <v>4521</v>
      </c>
      <c r="D5263" s="213" t="s">
        <v>26676</v>
      </c>
      <c r="E5263" s="211" t="s">
        <v>170</v>
      </c>
    </row>
    <row r="5264" spans="1:5" ht="25.5">
      <c r="A5264" s="211">
        <v>13475</v>
      </c>
      <c r="B5264" s="211" t="s">
        <v>26677</v>
      </c>
      <c r="C5264" s="211" t="s">
        <v>4521</v>
      </c>
      <c r="D5264" s="213" t="s">
        <v>26678</v>
      </c>
      <c r="E5264" s="211" t="s">
        <v>170</v>
      </c>
    </row>
    <row r="5265" spans="1:5" ht="25.5">
      <c r="A5265" s="211">
        <v>25971</v>
      </c>
      <c r="B5265" s="211" t="s">
        <v>26679</v>
      </c>
      <c r="C5265" s="211" t="s">
        <v>4521</v>
      </c>
      <c r="D5265" s="213" t="s">
        <v>26680</v>
      </c>
      <c r="E5265" s="211" t="s">
        <v>6305</v>
      </c>
    </row>
    <row r="5266" spans="1:5" ht="25.5">
      <c r="A5266" s="211">
        <v>25970</v>
      </c>
      <c r="B5266" s="211" t="s">
        <v>26681</v>
      </c>
      <c r="C5266" s="211" t="s">
        <v>4521</v>
      </c>
      <c r="D5266" s="213" t="s">
        <v>26682</v>
      </c>
      <c r="E5266" s="211" t="s">
        <v>6305</v>
      </c>
    </row>
    <row r="5267" spans="1:5" ht="25.5">
      <c r="A5267" s="211">
        <v>13476</v>
      </c>
      <c r="B5267" s="211" t="s">
        <v>26683</v>
      </c>
      <c r="C5267" s="211" t="s">
        <v>4521</v>
      </c>
      <c r="D5267" s="213" t="s">
        <v>26684</v>
      </c>
      <c r="E5267" s="211" t="s">
        <v>6305</v>
      </c>
    </row>
    <row r="5268" spans="1:5" ht="25.5">
      <c r="A5268" s="211">
        <v>10488</v>
      </c>
      <c r="B5268" s="211" t="s">
        <v>26685</v>
      </c>
      <c r="C5268" s="211" t="s">
        <v>4521</v>
      </c>
      <c r="D5268" s="213" t="s">
        <v>26686</v>
      </c>
      <c r="E5268" s="211" t="s">
        <v>6305</v>
      </c>
    </row>
    <row r="5269" spans="1:5" ht="25.5">
      <c r="A5269" s="211">
        <v>13606</v>
      </c>
      <c r="B5269" s="211" t="s">
        <v>26687</v>
      </c>
      <c r="C5269" s="211" t="s">
        <v>4521</v>
      </c>
      <c r="D5269" s="213" t="s">
        <v>26688</v>
      </c>
      <c r="E5269" s="211" t="s">
        <v>6305</v>
      </c>
    </row>
    <row r="5270" spans="1:5">
      <c r="A5270" s="211">
        <v>10489</v>
      </c>
      <c r="B5270" s="211" t="s">
        <v>26689</v>
      </c>
      <c r="C5270" s="211" t="s">
        <v>4520</v>
      </c>
      <c r="D5270" s="213" t="s">
        <v>22269</v>
      </c>
      <c r="E5270" s="211" t="s">
        <v>8722</v>
      </c>
    </row>
    <row r="5271" spans="1:5">
      <c r="A5271" s="211">
        <v>41073</v>
      </c>
      <c r="B5271" s="211" t="s">
        <v>26690</v>
      </c>
      <c r="C5271" s="211" t="s">
        <v>4528</v>
      </c>
      <c r="D5271" s="213" t="s">
        <v>26691</v>
      </c>
      <c r="E5271" s="211" t="s">
        <v>8722</v>
      </c>
    </row>
    <row r="5272" spans="1:5" ht="25.5">
      <c r="A5272" s="211">
        <v>34391</v>
      </c>
      <c r="B5272" s="211" t="s">
        <v>26692</v>
      </c>
      <c r="C5272" s="211" t="s">
        <v>4523</v>
      </c>
      <c r="D5272" s="213" t="s">
        <v>26693</v>
      </c>
      <c r="E5272" s="211" t="s">
        <v>170</v>
      </c>
    </row>
    <row r="5273" spans="1:5" ht="25.5">
      <c r="A5273" s="211">
        <v>10496</v>
      </c>
      <c r="B5273" s="211" t="s">
        <v>26694</v>
      </c>
      <c r="C5273" s="211" t="s">
        <v>4523</v>
      </c>
      <c r="D5273" s="213" t="s">
        <v>26695</v>
      </c>
      <c r="E5273" s="211" t="s">
        <v>170</v>
      </c>
    </row>
    <row r="5274" spans="1:5" ht="25.5">
      <c r="A5274" s="211">
        <v>10497</v>
      </c>
      <c r="B5274" s="211" t="s">
        <v>26696</v>
      </c>
      <c r="C5274" s="211" t="s">
        <v>4523</v>
      </c>
      <c r="D5274" s="213" t="s">
        <v>26697</v>
      </c>
      <c r="E5274" s="211" t="s">
        <v>170</v>
      </c>
    </row>
    <row r="5275" spans="1:5" ht="25.5">
      <c r="A5275" s="211">
        <v>10504</v>
      </c>
      <c r="B5275" s="211" t="s">
        <v>26698</v>
      </c>
      <c r="C5275" s="211" t="s">
        <v>4523</v>
      </c>
      <c r="D5275" s="213" t="s">
        <v>26699</v>
      </c>
      <c r="E5275" s="211" t="s">
        <v>170</v>
      </c>
    </row>
    <row r="5276" spans="1:5">
      <c r="A5276" s="211">
        <v>34390</v>
      </c>
      <c r="B5276" s="211" t="s">
        <v>26700</v>
      </c>
      <c r="C5276" s="211" t="s">
        <v>4523</v>
      </c>
      <c r="D5276" s="213" t="s">
        <v>26701</v>
      </c>
      <c r="E5276" s="211" t="s">
        <v>170</v>
      </c>
    </row>
    <row r="5277" spans="1:5">
      <c r="A5277" s="211">
        <v>34389</v>
      </c>
      <c r="B5277" s="211" t="s">
        <v>26702</v>
      </c>
      <c r="C5277" s="211" t="s">
        <v>4523</v>
      </c>
      <c r="D5277" s="213" t="s">
        <v>26703</v>
      </c>
      <c r="E5277" s="211" t="s">
        <v>170</v>
      </c>
    </row>
    <row r="5278" spans="1:5">
      <c r="A5278" s="211">
        <v>34388</v>
      </c>
      <c r="B5278" s="211" t="s">
        <v>26704</v>
      </c>
      <c r="C5278" s="211" t="s">
        <v>4523</v>
      </c>
      <c r="D5278" s="213" t="s">
        <v>26705</v>
      </c>
      <c r="E5278" s="211" t="s">
        <v>170</v>
      </c>
    </row>
    <row r="5279" spans="1:5">
      <c r="A5279" s="211">
        <v>34387</v>
      </c>
      <c r="B5279" s="211" t="s">
        <v>26706</v>
      </c>
      <c r="C5279" s="211" t="s">
        <v>4523</v>
      </c>
      <c r="D5279" s="213" t="s">
        <v>26707</v>
      </c>
      <c r="E5279" s="211" t="s">
        <v>170</v>
      </c>
    </row>
    <row r="5280" spans="1:5">
      <c r="A5280" s="211">
        <v>11188</v>
      </c>
      <c r="B5280" s="211" t="s">
        <v>26708</v>
      </c>
      <c r="C5280" s="211" t="s">
        <v>4523</v>
      </c>
      <c r="D5280" s="213" t="s">
        <v>26709</v>
      </c>
      <c r="E5280" s="211" t="s">
        <v>170</v>
      </c>
    </row>
    <row r="5281" spans="1:5">
      <c r="A5281" s="211">
        <v>11189</v>
      </c>
      <c r="B5281" s="211" t="s">
        <v>26710</v>
      </c>
      <c r="C5281" s="211" t="s">
        <v>4523</v>
      </c>
      <c r="D5281" s="213" t="s">
        <v>26711</v>
      </c>
      <c r="E5281" s="211" t="s">
        <v>170</v>
      </c>
    </row>
    <row r="5282" spans="1:5">
      <c r="A5282" s="211">
        <v>21107</v>
      </c>
      <c r="B5282" s="211" t="s">
        <v>26712</v>
      </c>
      <c r="C5282" s="211" t="s">
        <v>4523</v>
      </c>
      <c r="D5282" s="213" t="s">
        <v>13890</v>
      </c>
      <c r="E5282" s="211" t="s">
        <v>170</v>
      </c>
    </row>
    <row r="5283" spans="1:5">
      <c r="A5283" s="211">
        <v>34386</v>
      </c>
      <c r="B5283" s="211" t="s">
        <v>26713</v>
      </c>
      <c r="C5283" s="211" t="s">
        <v>4523</v>
      </c>
      <c r="D5283" s="213" t="s">
        <v>26714</v>
      </c>
      <c r="E5283" s="211" t="s">
        <v>170</v>
      </c>
    </row>
    <row r="5284" spans="1:5">
      <c r="A5284" s="211">
        <v>10490</v>
      </c>
      <c r="B5284" s="211" t="s">
        <v>26715</v>
      </c>
      <c r="C5284" s="211" t="s">
        <v>4523</v>
      </c>
      <c r="D5284" s="213" t="s">
        <v>22216</v>
      </c>
      <c r="E5284" s="211" t="s">
        <v>170</v>
      </c>
    </row>
    <row r="5285" spans="1:5">
      <c r="A5285" s="211">
        <v>10492</v>
      </c>
      <c r="B5285" s="211" t="s">
        <v>26716</v>
      </c>
      <c r="C5285" s="211" t="s">
        <v>4523</v>
      </c>
      <c r="D5285" s="213" t="s">
        <v>26717</v>
      </c>
      <c r="E5285" s="211" t="s">
        <v>170</v>
      </c>
    </row>
    <row r="5286" spans="1:5">
      <c r="A5286" s="211">
        <v>10493</v>
      </c>
      <c r="B5286" s="211" t="s">
        <v>26718</v>
      </c>
      <c r="C5286" s="211" t="s">
        <v>4523</v>
      </c>
      <c r="D5286" s="213" t="s">
        <v>26703</v>
      </c>
      <c r="E5286" s="211" t="s">
        <v>170</v>
      </c>
    </row>
    <row r="5287" spans="1:5">
      <c r="A5287" s="211">
        <v>10491</v>
      </c>
      <c r="B5287" s="211" t="s">
        <v>26719</v>
      </c>
      <c r="C5287" s="211" t="s">
        <v>4523</v>
      </c>
      <c r="D5287" s="213" t="s">
        <v>26720</v>
      </c>
      <c r="E5287" s="211" t="s">
        <v>170</v>
      </c>
    </row>
    <row r="5288" spans="1:5">
      <c r="A5288" s="211">
        <v>34385</v>
      </c>
      <c r="B5288" s="211" t="s">
        <v>26721</v>
      </c>
      <c r="C5288" s="211" t="s">
        <v>4523</v>
      </c>
      <c r="D5288" s="213" t="s">
        <v>26722</v>
      </c>
      <c r="E5288" s="211" t="s">
        <v>170</v>
      </c>
    </row>
    <row r="5289" spans="1:5">
      <c r="A5289" s="211">
        <v>10499</v>
      </c>
      <c r="B5289" s="211" t="s">
        <v>26723</v>
      </c>
      <c r="C5289" s="211" t="s">
        <v>4523</v>
      </c>
      <c r="D5289" s="213" t="s">
        <v>26724</v>
      </c>
      <c r="E5289" s="211" t="s">
        <v>170</v>
      </c>
    </row>
    <row r="5290" spans="1:5">
      <c r="A5290" s="211">
        <v>34384</v>
      </c>
      <c r="B5290" s="211" t="s">
        <v>26725</v>
      </c>
      <c r="C5290" s="211" t="s">
        <v>4523</v>
      </c>
      <c r="D5290" s="213" t="s">
        <v>26714</v>
      </c>
      <c r="E5290" s="211" t="s">
        <v>170</v>
      </c>
    </row>
    <row r="5291" spans="1:5">
      <c r="A5291" s="211">
        <v>11185</v>
      </c>
      <c r="B5291" s="211" t="s">
        <v>26726</v>
      </c>
      <c r="C5291" s="211" t="s">
        <v>4523</v>
      </c>
      <c r="D5291" s="213" t="s">
        <v>26727</v>
      </c>
      <c r="E5291" s="211" t="s">
        <v>170</v>
      </c>
    </row>
    <row r="5292" spans="1:5">
      <c r="A5292" s="211">
        <v>10507</v>
      </c>
      <c r="B5292" s="211" t="s">
        <v>26728</v>
      </c>
      <c r="C5292" s="211" t="s">
        <v>4523</v>
      </c>
      <c r="D5292" s="213" t="s">
        <v>26729</v>
      </c>
      <c r="E5292" s="211" t="s">
        <v>170</v>
      </c>
    </row>
    <row r="5293" spans="1:5">
      <c r="A5293" s="211">
        <v>10505</v>
      </c>
      <c r="B5293" s="211" t="s">
        <v>26730</v>
      </c>
      <c r="C5293" s="211" t="s">
        <v>4523</v>
      </c>
      <c r="D5293" s="213" t="s">
        <v>26731</v>
      </c>
      <c r="E5293" s="211" t="s">
        <v>170</v>
      </c>
    </row>
    <row r="5294" spans="1:5">
      <c r="A5294" s="211">
        <v>10506</v>
      </c>
      <c r="B5294" s="211" t="s">
        <v>26732</v>
      </c>
      <c r="C5294" s="211" t="s">
        <v>4523</v>
      </c>
      <c r="D5294" s="213" t="s">
        <v>26733</v>
      </c>
      <c r="E5294" s="211" t="s">
        <v>170</v>
      </c>
    </row>
    <row r="5295" spans="1:5" ht="25.5">
      <c r="A5295" s="211">
        <v>5031</v>
      </c>
      <c r="B5295" s="211" t="s">
        <v>26734</v>
      </c>
      <c r="C5295" s="211" t="s">
        <v>4523</v>
      </c>
      <c r="D5295" s="213" t="s">
        <v>26735</v>
      </c>
      <c r="E5295" s="211" t="s">
        <v>170</v>
      </c>
    </row>
    <row r="5296" spans="1:5">
      <c r="A5296" s="211">
        <v>10502</v>
      </c>
      <c r="B5296" s="211" t="s">
        <v>26736</v>
      </c>
      <c r="C5296" s="211" t="s">
        <v>4523</v>
      </c>
      <c r="D5296" s="213" t="s">
        <v>26737</v>
      </c>
      <c r="E5296" s="211" t="s">
        <v>170</v>
      </c>
    </row>
    <row r="5297" spans="1:5">
      <c r="A5297" s="211">
        <v>10501</v>
      </c>
      <c r="B5297" s="211" t="s">
        <v>26738</v>
      </c>
      <c r="C5297" s="211" t="s">
        <v>4523</v>
      </c>
      <c r="D5297" s="213" t="s">
        <v>14704</v>
      </c>
      <c r="E5297" s="211" t="s">
        <v>170</v>
      </c>
    </row>
    <row r="5298" spans="1:5">
      <c r="A5298" s="211">
        <v>10503</v>
      </c>
      <c r="B5298" s="211" t="s">
        <v>26739</v>
      </c>
      <c r="C5298" s="211" t="s">
        <v>4523</v>
      </c>
      <c r="D5298" s="213" t="s">
        <v>26740</v>
      </c>
      <c r="E5298" s="211" t="s">
        <v>170</v>
      </c>
    </row>
    <row r="5299" spans="1:5" ht="25.5">
      <c r="A5299" s="211">
        <v>40270</v>
      </c>
      <c r="B5299" s="211" t="s">
        <v>26741</v>
      </c>
      <c r="C5299" s="211" t="s">
        <v>4524</v>
      </c>
      <c r="D5299" s="213" t="s">
        <v>26742</v>
      </c>
      <c r="E5299" s="211" t="s">
        <v>170</v>
      </c>
    </row>
    <row r="5300" spans="1:5" ht="25.5">
      <c r="A5300" s="211">
        <v>20213</v>
      </c>
      <c r="B5300" s="211" t="s">
        <v>26743</v>
      </c>
      <c r="C5300" s="211" t="s">
        <v>4524</v>
      </c>
      <c r="D5300" s="213" t="s">
        <v>18578</v>
      </c>
      <c r="E5300" s="211" t="s">
        <v>170</v>
      </c>
    </row>
    <row r="5301" spans="1:5" ht="25.5">
      <c r="A5301" s="211">
        <v>20211</v>
      </c>
      <c r="B5301" s="211" t="s">
        <v>26744</v>
      </c>
      <c r="C5301" s="211" t="s">
        <v>4524</v>
      </c>
      <c r="D5301" s="213" t="s">
        <v>26239</v>
      </c>
      <c r="E5301" s="211" t="s">
        <v>170</v>
      </c>
    </row>
    <row r="5302" spans="1:5" ht="25.5">
      <c r="A5302" s="211">
        <v>4472</v>
      </c>
      <c r="B5302" s="211" t="s">
        <v>26745</v>
      </c>
      <c r="C5302" s="211" t="s">
        <v>4524</v>
      </c>
      <c r="D5302" s="213" t="s">
        <v>15608</v>
      </c>
      <c r="E5302" s="211" t="s">
        <v>170</v>
      </c>
    </row>
    <row r="5303" spans="1:5" ht="25.5">
      <c r="A5303" s="211">
        <v>35272</v>
      </c>
      <c r="B5303" s="211" t="s">
        <v>26746</v>
      </c>
      <c r="C5303" s="211" t="s">
        <v>4524</v>
      </c>
      <c r="D5303" s="213" t="s">
        <v>26747</v>
      </c>
      <c r="E5303" s="211" t="s">
        <v>170</v>
      </c>
    </row>
    <row r="5304" spans="1:5" ht="25.5">
      <c r="A5304" s="211">
        <v>4448</v>
      </c>
      <c r="B5304" s="211" t="s">
        <v>26748</v>
      </c>
      <c r="C5304" s="211" t="s">
        <v>4524</v>
      </c>
      <c r="D5304" s="213" t="s">
        <v>26749</v>
      </c>
      <c r="E5304" s="211" t="s">
        <v>170</v>
      </c>
    </row>
    <row r="5305" spans="1:5" ht="25.5">
      <c r="A5305" s="211">
        <v>4425</v>
      </c>
      <c r="B5305" s="211" t="s">
        <v>26750</v>
      </c>
      <c r="C5305" s="211" t="s">
        <v>4524</v>
      </c>
      <c r="D5305" s="213" t="s">
        <v>16241</v>
      </c>
      <c r="E5305" s="211" t="s">
        <v>170</v>
      </c>
    </row>
    <row r="5306" spans="1:5" ht="25.5">
      <c r="A5306" s="211">
        <v>4481</v>
      </c>
      <c r="B5306" s="211" t="s">
        <v>26751</v>
      </c>
      <c r="C5306" s="211" t="s">
        <v>4524</v>
      </c>
      <c r="D5306" s="213" t="s">
        <v>26752</v>
      </c>
      <c r="E5306" s="211" t="s">
        <v>170</v>
      </c>
    </row>
    <row r="5307" spans="1:5">
      <c r="A5307" s="211">
        <v>34345</v>
      </c>
      <c r="B5307" s="211" t="s">
        <v>26753</v>
      </c>
      <c r="C5307" s="211" t="s">
        <v>4520</v>
      </c>
      <c r="D5307" s="213" t="s">
        <v>14178</v>
      </c>
      <c r="E5307" s="211" t="s">
        <v>8722</v>
      </c>
    </row>
    <row r="5308" spans="1:5">
      <c r="A5308" s="211">
        <v>41096</v>
      </c>
      <c r="B5308" s="211" t="s">
        <v>26754</v>
      </c>
      <c r="C5308" s="211" t="s">
        <v>4528</v>
      </c>
      <c r="D5308" s="213" t="s">
        <v>26755</v>
      </c>
      <c r="E5308" s="211" t="s">
        <v>8722</v>
      </c>
    </row>
    <row r="5309" spans="1:5" ht="25.5">
      <c r="A5309" s="211">
        <v>41776</v>
      </c>
      <c r="B5309" s="211" t="s">
        <v>26756</v>
      </c>
      <c r="C5309" s="211" t="s">
        <v>4520</v>
      </c>
      <c r="D5309" s="213" t="s">
        <v>26757</v>
      </c>
      <c r="E5309" s="211" t="s">
        <v>8722</v>
      </c>
    </row>
    <row r="5310" spans="1:5" ht="25.5">
      <c r="A5310" s="211">
        <v>4487</v>
      </c>
      <c r="B5310" s="211" t="s">
        <v>26758</v>
      </c>
      <c r="C5310" s="211" t="s">
        <v>4524</v>
      </c>
      <c r="D5310" s="213" t="s">
        <v>26759</v>
      </c>
      <c r="E5310" s="211" t="s">
        <v>170</v>
      </c>
    </row>
    <row r="5311" spans="1:5">
      <c r="A5311" s="211">
        <v>11157</v>
      </c>
      <c r="B5311" s="211" t="s">
        <v>26760</v>
      </c>
      <c r="C5311" s="211" t="s">
        <v>4539</v>
      </c>
      <c r="D5311" s="213" t="s">
        <v>26761</v>
      </c>
      <c r="E5311" s="211" t="s">
        <v>170</v>
      </c>
    </row>
    <row r="5312" spans="1:5">
      <c r="A5312" s="211"/>
      <c r="B5312" s="211"/>
      <c r="C5312" s="211"/>
      <c r="D5312" s="213"/>
      <c r="E5312" s="211"/>
    </row>
    <row r="5313" spans="1:6">
      <c r="A5313" s="211"/>
      <c r="B5313" s="211"/>
      <c r="C5313" s="211"/>
      <c r="D5313" s="213"/>
      <c r="E5313" s="211"/>
    </row>
    <row r="5314" spans="1:6" ht="19.5">
      <c r="A5314" s="704" t="s">
        <v>26762</v>
      </c>
      <c r="B5314" s="704"/>
      <c r="C5314" s="704"/>
      <c r="D5314" s="704"/>
      <c r="E5314" s="704"/>
    </row>
    <row r="5315" spans="1:6" s="475" customFormat="1" ht="15">
      <c r="A5315" s="472" t="s">
        <v>10071</v>
      </c>
      <c r="B5315" s="472" t="s">
        <v>10072</v>
      </c>
      <c r="C5315" s="472" t="s">
        <v>89</v>
      </c>
      <c r="D5315" s="472">
        <v>3.6560999999999999</v>
      </c>
      <c r="E5315" s="472" t="s">
        <v>170</v>
      </c>
      <c r="F5315" s="474"/>
    </row>
    <row r="5316" spans="1:6" s="475" customFormat="1" ht="15">
      <c r="A5316" s="472" t="s">
        <v>10073</v>
      </c>
      <c r="B5316" s="472" t="s">
        <v>10074</v>
      </c>
      <c r="C5316" s="472" t="s">
        <v>89</v>
      </c>
      <c r="D5316" s="472">
        <v>3.4388000000000001</v>
      </c>
      <c r="E5316" s="472" t="s">
        <v>170</v>
      </c>
      <c r="F5316" s="474"/>
    </row>
    <row r="5317" spans="1:6" s="475" customFormat="1" ht="15">
      <c r="A5317" s="472" t="s">
        <v>8045</v>
      </c>
      <c r="B5317" s="472" t="s">
        <v>8048</v>
      </c>
      <c r="C5317" s="472" t="s">
        <v>10075</v>
      </c>
      <c r="D5317" s="472">
        <v>126.6837</v>
      </c>
      <c r="E5317" s="472" t="s">
        <v>170</v>
      </c>
      <c r="F5317" s="474"/>
    </row>
    <row r="5318" spans="1:6" s="475" customFormat="1" ht="15">
      <c r="A5318" s="472" t="s">
        <v>10076</v>
      </c>
      <c r="B5318" s="472" t="s">
        <v>10077</v>
      </c>
      <c r="C5318" s="472" t="s">
        <v>89</v>
      </c>
      <c r="D5318" s="472">
        <v>14.715400000000001</v>
      </c>
      <c r="E5318" s="472" t="s">
        <v>170</v>
      </c>
      <c r="F5318" s="474"/>
    </row>
    <row r="5319" spans="1:6" s="475" customFormat="1" ht="15">
      <c r="A5319" s="472" t="s">
        <v>10078</v>
      </c>
      <c r="B5319" s="472" t="s">
        <v>10079</v>
      </c>
      <c r="C5319" s="472" t="s">
        <v>89</v>
      </c>
      <c r="D5319" s="472">
        <v>6.5122999999999998</v>
      </c>
      <c r="E5319" s="472" t="s">
        <v>170</v>
      </c>
      <c r="F5319" s="474"/>
    </row>
    <row r="5320" spans="1:6" s="475" customFormat="1" ht="15">
      <c r="A5320" s="472" t="s">
        <v>10080</v>
      </c>
      <c r="B5320" s="472" t="s">
        <v>10081</v>
      </c>
      <c r="C5320" s="472" t="s">
        <v>4</v>
      </c>
      <c r="D5320" s="472">
        <v>2.9588999999999999</v>
      </c>
      <c r="E5320" s="472" t="s">
        <v>170</v>
      </c>
      <c r="F5320" s="474"/>
    </row>
    <row r="5321" spans="1:6" s="475" customFormat="1" ht="15">
      <c r="A5321" s="472" t="s">
        <v>10082</v>
      </c>
      <c r="B5321" s="472" t="s">
        <v>10083</v>
      </c>
      <c r="C5321" s="472" t="s">
        <v>89</v>
      </c>
      <c r="D5321" s="472">
        <v>8.1987000000000005</v>
      </c>
      <c r="E5321" s="472" t="s">
        <v>170</v>
      </c>
      <c r="F5321" s="474"/>
    </row>
    <row r="5322" spans="1:6" s="475" customFormat="1" ht="15">
      <c r="A5322" s="472" t="s">
        <v>10084</v>
      </c>
      <c r="B5322" s="472" t="s">
        <v>10085</v>
      </c>
      <c r="C5322" s="472" t="s">
        <v>4</v>
      </c>
      <c r="D5322" s="472">
        <v>11.041399999999999</v>
      </c>
      <c r="E5322" s="472" t="s">
        <v>170</v>
      </c>
      <c r="F5322" s="474"/>
    </row>
    <row r="5323" spans="1:6" s="475" customFormat="1" ht="15">
      <c r="A5323" s="472" t="s">
        <v>10086</v>
      </c>
      <c r="B5323" s="472" t="s">
        <v>10087</v>
      </c>
      <c r="C5323" s="472" t="s">
        <v>89</v>
      </c>
      <c r="D5323" s="472">
        <v>6.4938000000000002</v>
      </c>
      <c r="E5323" s="472" t="s">
        <v>170</v>
      </c>
      <c r="F5323" s="474"/>
    </row>
    <row r="5324" spans="1:6" s="475" customFormat="1" ht="15">
      <c r="A5324" s="472" t="s">
        <v>10088</v>
      </c>
      <c r="B5324" s="472" t="s">
        <v>10089</v>
      </c>
      <c r="C5324" s="472" t="s">
        <v>89</v>
      </c>
      <c r="D5324" s="472">
        <v>1.2432000000000001</v>
      </c>
      <c r="E5324" s="472" t="s">
        <v>170</v>
      </c>
      <c r="F5324" s="474"/>
    </row>
    <row r="5325" spans="1:6" s="475" customFormat="1" ht="15">
      <c r="A5325" s="472" t="s">
        <v>10090</v>
      </c>
      <c r="B5325" s="472" t="s">
        <v>10091</v>
      </c>
      <c r="C5325" s="472" t="s">
        <v>89</v>
      </c>
      <c r="D5325" s="472">
        <v>3.4388000000000001</v>
      </c>
      <c r="E5325" s="472" t="s">
        <v>170</v>
      </c>
      <c r="F5325" s="474"/>
    </row>
    <row r="5326" spans="1:6" s="475" customFormat="1" ht="15">
      <c r="A5326" s="472" t="s">
        <v>10092</v>
      </c>
      <c r="B5326" s="472" t="s">
        <v>10093</v>
      </c>
      <c r="C5326" s="472" t="s">
        <v>89</v>
      </c>
      <c r="D5326" s="472">
        <v>4.0303000000000004</v>
      </c>
      <c r="E5326" s="472" t="s">
        <v>170</v>
      </c>
      <c r="F5326" s="474"/>
    </row>
    <row r="5327" spans="1:6" s="475" customFormat="1" ht="15">
      <c r="A5327" s="472" t="s">
        <v>10094</v>
      </c>
      <c r="B5327" s="472" t="s">
        <v>10095</v>
      </c>
      <c r="C5327" s="472" t="s">
        <v>90</v>
      </c>
      <c r="D5327" s="472">
        <v>17.370899999999999</v>
      </c>
      <c r="E5327" s="472" t="s">
        <v>170</v>
      </c>
      <c r="F5327" s="474"/>
    </row>
    <row r="5328" spans="1:6" s="475" customFormat="1" ht="15">
      <c r="A5328" s="472" t="s">
        <v>10096</v>
      </c>
      <c r="B5328" s="472" t="s">
        <v>10097</v>
      </c>
      <c r="C5328" s="472" t="s">
        <v>90</v>
      </c>
      <c r="D5328" s="472">
        <v>30.332000000000001</v>
      </c>
      <c r="E5328" s="472" t="s">
        <v>170</v>
      </c>
      <c r="F5328" s="474"/>
    </row>
    <row r="5329" spans="1:6" s="475" customFormat="1" ht="15">
      <c r="A5329" s="472" t="s">
        <v>10098</v>
      </c>
      <c r="B5329" s="472" t="s">
        <v>10099</v>
      </c>
      <c r="C5329" s="472" t="s">
        <v>90</v>
      </c>
      <c r="D5329" s="472">
        <v>1.5469999999999999</v>
      </c>
      <c r="E5329" s="472" t="s">
        <v>170</v>
      </c>
      <c r="F5329" s="474"/>
    </row>
    <row r="5330" spans="1:6" s="475" customFormat="1" ht="15">
      <c r="A5330" s="472" t="s">
        <v>6868</v>
      </c>
      <c r="B5330" s="472" t="s">
        <v>7821</v>
      </c>
      <c r="C5330" s="472" t="s">
        <v>90</v>
      </c>
      <c r="D5330" s="472">
        <v>12.2537</v>
      </c>
      <c r="E5330" s="472" t="s">
        <v>170</v>
      </c>
      <c r="F5330" s="474"/>
    </row>
    <row r="5331" spans="1:6" s="475" customFormat="1" ht="15">
      <c r="A5331" s="472" t="s">
        <v>6869</v>
      </c>
      <c r="B5331" s="472" t="s">
        <v>7822</v>
      </c>
      <c r="C5331" s="472" t="s">
        <v>90</v>
      </c>
      <c r="D5331" s="472">
        <v>80.767899999999997</v>
      </c>
      <c r="E5331" s="472" t="s">
        <v>170</v>
      </c>
      <c r="F5331" s="474"/>
    </row>
    <row r="5332" spans="1:6" s="475" customFormat="1" ht="15">
      <c r="A5332" s="472" t="s">
        <v>10100</v>
      </c>
      <c r="B5332" s="472" t="s">
        <v>10101</v>
      </c>
      <c r="C5332" s="472" t="s">
        <v>89</v>
      </c>
      <c r="D5332" s="472">
        <v>3.9217</v>
      </c>
      <c r="E5332" s="472" t="s">
        <v>170</v>
      </c>
      <c r="F5332" s="474"/>
    </row>
    <row r="5333" spans="1:6" s="475" customFormat="1" ht="15">
      <c r="A5333" s="472" t="s">
        <v>10102</v>
      </c>
      <c r="B5333" s="472" t="s">
        <v>10103</v>
      </c>
      <c r="C5333" s="472" t="s">
        <v>4</v>
      </c>
      <c r="D5333" s="472">
        <v>20.0732</v>
      </c>
      <c r="E5333" s="472" t="s">
        <v>170</v>
      </c>
      <c r="F5333" s="474"/>
    </row>
    <row r="5334" spans="1:6" s="475" customFormat="1" ht="15">
      <c r="A5334" s="472" t="s">
        <v>10104</v>
      </c>
      <c r="B5334" s="472" t="s">
        <v>10105</v>
      </c>
      <c r="C5334" s="472" t="s">
        <v>89</v>
      </c>
      <c r="D5334" s="472">
        <v>35.224400000000003</v>
      </c>
      <c r="E5334" s="472" t="s">
        <v>170</v>
      </c>
      <c r="F5334" s="474"/>
    </row>
    <row r="5335" spans="1:6" s="475" customFormat="1" ht="15">
      <c r="A5335" s="472" t="s">
        <v>10106</v>
      </c>
      <c r="B5335" s="472" t="s">
        <v>10107</v>
      </c>
      <c r="C5335" s="472" t="s">
        <v>4</v>
      </c>
      <c r="D5335" s="472">
        <v>5.2476000000000003</v>
      </c>
      <c r="E5335" s="472" t="s">
        <v>170</v>
      </c>
      <c r="F5335" s="474"/>
    </row>
    <row r="5336" spans="1:6" s="475" customFormat="1" ht="15">
      <c r="A5336" s="472" t="s">
        <v>10108</v>
      </c>
      <c r="B5336" s="472" t="s">
        <v>10109</v>
      </c>
      <c r="C5336" s="472" t="s">
        <v>10075</v>
      </c>
      <c r="D5336" s="472">
        <v>115.72539999999999</v>
      </c>
      <c r="E5336" s="472" t="s">
        <v>170</v>
      </c>
      <c r="F5336" s="474"/>
    </row>
    <row r="5337" spans="1:6" s="475" customFormat="1" ht="15">
      <c r="A5337" s="472" t="s">
        <v>10110</v>
      </c>
      <c r="B5337" s="472" t="s">
        <v>10111</v>
      </c>
      <c r="C5337" s="472" t="s">
        <v>89</v>
      </c>
      <c r="D5337" s="472">
        <v>1.2753000000000001</v>
      </c>
      <c r="E5337" s="472" t="s">
        <v>170</v>
      </c>
      <c r="F5337" s="474"/>
    </row>
    <row r="5338" spans="1:6" s="475" customFormat="1" ht="15">
      <c r="A5338" s="472" t="s">
        <v>7977</v>
      </c>
      <c r="B5338" s="472" t="s">
        <v>8004</v>
      </c>
      <c r="C5338" s="472" t="s">
        <v>89</v>
      </c>
      <c r="D5338" s="472">
        <v>5.0128000000000004</v>
      </c>
      <c r="E5338" s="472" t="s">
        <v>170</v>
      </c>
      <c r="F5338" s="474"/>
    </row>
    <row r="5339" spans="1:6" s="475" customFormat="1" ht="15">
      <c r="A5339" s="472" t="s">
        <v>10112</v>
      </c>
      <c r="B5339" s="472" t="s">
        <v>10113</v>
      </c>
      <c r="C5339" s="472" t="s">
        <v>89</v>
      </c>
      <c r="D5339" s="472">
        <v>17.3673</v>
      </c>
      <c r="E5339" s="472" t="s">
        <v>170</v>
      </c>
      <c r="F5339" s="474"/>
    </row>
    <row r="5340" spans="1:6" s="475" customFormat="1" ht="15">
      <c r="A5340" s="472" t="s">
        <v>10114</v>
      </c>
      <c r="B5340" s="472" t="s">
        <v>10115</v>
      </c>
      <c r="C5340" s="472" t="s">
        <v>4</v>
      </c>
      <c r="D5340" s="472">
        <v>4.3426999999999998</v>
      </c>
      <c r="E5340" s="472" t="s">
        <v>170</v>
      </c>
      <c r="F5340" s="474"/>
    </row>
    <row r="5341" spans="1:6" s="475" customFormat="1" ht="15">
      <c r="A5341" s="472" t="s">
        <v>10116</v>
      </c>
      <c r="B5341" s="472" t="s">
        <v>10117</v>
      </c>
      <c r="C5341" s="472" t="s">
        <v>90</v>
      </c>
      <c r="D5341" s="472">
        <v>35266.222199999997</v>
      </c>
      <c r="E5341" s="472" t="s">
        <v>170</v>
      </c>
      <c r="F5341" s="474"/>
    </row>
    <row r="5342" spans="1:6" s="475" customFormat="1" ht="15">
      <c r="A5342" s="472" t="s">
        <v>10118</v>
      </c>
      <c r="B5342" s="472" t="s">
        <v>10119</v>
      </c>
      <c r="C5342" s="472" t="s">
        <v>90</v>
      </c>
      <c r="D5342" s="472">
        <v>26788.8613</v>
      </c>
      <c r="E5342" s="472" t="s">
        <v>170</v>
      </c>
      <c r="F5342" s="474"/>
    </row>
    <row r="5343" spans="1:6" s="475" customFormat="1" ht="15">
      <c r="A5343" s="472" t="s">
        <v>10120</v>
      </c>
      <c r="B5343" s="472" t="s">
        <v>10121</v>
      </c>
      <c r="C5343" s="472" t="s">
        <v>4</v>
      </c>
      <c r="D5343" s="472">
        <v>3.49</v>
      </c>
      <c r="E5343" s="472" t="s">
        <v>170</v>
      </c>
      <c r="F5343" s="474"/>
    </row>
    <row r="5344" spans="1:6" s="475" customFormat="1" ht="15">
      <c r="A5344" s="472" t="s">
        <v>10122</v>
      </c>
      <c r="B5344" s="472" t="s">
        <v>10123</v>
      </c>
      <c r="C5344" s="472" t="s">
        <v>89</v>
      </c>
      <c r="D5344" s="472">
        <v>5.7351000000000001</v>
      </c>
      <c r="E5344" s="472" t="s">
        <v>170</v>
      </c>
      <c r="F5344" s="474"/>
    </row>
    <row r="5345" spans="1:6" s="475" customFormat="1" ht="15">
      <c r="A5345" s="472" t="s">
        <v>10124</v>
      </c>
      <c r="B5345" s="472" t="s">
        <v>10125</v>
      </c>
      <c r="C5345" s="472" t="s">
        <v>90</v>
      </c>
      <c r="D5345" s="472">
        <v>845.02</v>
      </c>
      <c r="E5345" s="472" t="s">
        <v>170</v>
      </c>
      <c r="F5345" s="474"/>
    </row>
    <row r="5346" spans="1:6" s="475" customFormat="1" ht="15">
      <c r="A5346" s="472" t="s">
        <v>10126</v>
      </c>
      <c r="B5346" s="472" t="s">
        <v>10127</v>
      </c>
      <c r="C5346" s="472" t="s">
        <v>90</v>
      </c>
      <c r="D5346" s="472">
        <v>361.08</v>
      </c>
      <c r="E5346" s="472" t="s">
        <v>170</v>
      </c>
      <c r="F5346" s="474"/>
    </row>
    <row r="5347" spans="1:6" s="475" customFormat="1" ht="15">
      <c r="A5347" s="472" t="s">
        <v>6826</v>
      </c>
      <c r="B5347" s="472" t="s">
        <v>7814</v>
      </c>
      <c r="C5347" s="472" t="s">
        <v>90</v>
      </c>
      <c r="D5347" s="472">
        <v>49.809100000000001</v>
      </c>
      <c r="E5347" s="472" t="s">
        <v>170</v>
      </c>
      <c r="F5347" s="474"/>
    </row>
    <row r="5348" spans="1:6" s="475" customFormat="1" ht="15">
      <c r="A5348" s="472" t="s">
        <v>10128</v>
      </c>
      <c r="B5348" s="472" t="s">
        <v>10129</v>
      </c>
      <c r="C5348" s="472" t="s">
        <v>90</v>
      </c>
      <c r="D5348" s="472">
        <v>126.3973</v>
      </c>
      <c r="E5348" s="472" t="s">
        <v>170</v>
      </c>
      <c r="F5348" s="474"/>
    </row>
    <row r="5349" spans="1:6" s="475" customFormat="1" ht="15">
      <c r="A5349" s="472" t="s">
        <v>10130</v>
      </c>
      <c r="B5349" s="472" t="s">
        <v>10131</v>
      </c>
      <c r="C5349" s="472" t="s">
        <v>90</v>
      </c>
      <c r="D5349" s="472">
        <v>120</v>
      </c>
      <c r="E5349" s="472" t="s">
        <v>170</v>
      </c>
      <c r="F5349" s="474"/>
    </row>
    <row r="5350" spans="1:6" s="475" customFormat="1" ht="15">
      <c r="A5350" s="472" t="s">
        <v>10132</v>
      </c>
      <c r="B5350" s="472" t="s">
        <v>10133</v>
      </c>
      <c r="C5350" s="472" t="s">
        <v>89</v>
      </c>
      <c r="D5350" s="472">
        <v>28.3828</v>
      </c>
      <c r="E5350" s="472" t="s">
        <v>170</v>
      </c>
      <c r="F5350" s="474"/>
    </row>
    <row r="5351" spans="1:6" s="475" customFormat="1" ht="15">
      <c r="A5351" s="472" t="s">
        <v>10134</v>
      </c>
      <c r="B5351" s="472" t="s">
        <v>10135</v>
      </c>
      <c r="C5351" s="472" t="s">
        <v>90</v>
      </c>
      <c r="D5351" s="472">
        <v>260.77999999999997</v>
      </c>
      <c r="E5351" s="472" t="s">
        <v>170</v>
      </c>
      <c r="F5351" s="474"/>
    </row>
    <row r="5352" spans="1:6" s="475" customFormat="1" ht="15">
      <c r="A5352" s="472" t="s">
        <v>10136</v>
      </c>
      <c r="B5352" s="472" t="s">
        <v>10137</v>
      </c>
      <c r="C5352" s="472" t="s">
        <v>5</v>
      </c>
      <c r="D5352" s="472">
        <v>9.8000000000000004E-2</v>
      </c>
      <c r="E5352" s="472" t="s">
        <v>170</v>
      </c>
      <c r="F5352" s="474"/>
    </row>
    <row r="5353" spans="1:6" s="475" customFormat="1" ht="15">
      <c r="A5353" s="472" t="s">
        <v>10138</v>
      </c>
      <c r="B5353" s="472" t="s">
        <v>10139</v>
      </c>
      <c r="C5353" s="472" t="s">
        <v>5</v>
      </c>
      <c r="D5353" s="472">
        <v>1.1837</v>
      </c>
      <c r="E5353" s="472" t="s">
        <v>170</v>
      </c>
      <c r="F5353" s="474"/>
    </row>
    <row r="5354" spans="1:6" s="475" customFormat="1" ht="15">
      <c r="A5354" s="472" t="s">
        <v>10140</v>
      </c>
      <c r="B5354" s="472" t="s">
        <v>10141</v>
      </c>
      <c r="C5354" s="472" t="s">
        <v>5</v>
      </c>
      <c r="D5354" s="472">
        <v>8.72E-2</v>
      </c>
      <c r="E5354" s="472" t="s">
        <v>170</v>
      </c>
      <c r="F5354" s="474"/>
    </row>
    <row r="5355" spans="1:6" s="475" customFormat="1" ht="15">
      <c r="A5355" s="472" t="s">
        <v>10142</v>
      </c>
      <c r="B5355" s="472" t="s">
        <v>10143</v>
      </c>
      <c r="C5355" s="472" t="s">
        <v>90</v>
      </c>
      <c r="D5355" s="472">
        <v>1818.1422</v>
      </c>
      <c r="E5355" s="472" t="s">
        <v>170</v>
      </c>
      <c r="F5355" s="474"/>
    </row>
    <row r="5356" spans="1:6" s="475" customFormat="1" ht="15">
      <c r="A5356" s="472" t="s">
        <v>10144</v>
      </c>
      <c r="B5356" s="472" t="s">
        <v>10145</v>
      </c>
      <c r="C5356" s="472" t="s">
        <v>90</v>
      </c>
      <c r="D5356" s="472">
        <v>5108.4197000000004</v>
      </c>
      <c r="E5356" s="472" t="s">
        <v>170</v>
      </c>
      <c r="F5356" s="474"/>
    </row>
    <row r="5357" spans="1:6" s="475" customFormat="1" ht="15">
      <c r="A5357" s="472" t="s">
        <v>10146</v>
      </c>
      <c r="B5357" s="472" t="s">
        <v>10147</v>
      </c>
      <c r="C5357" s="472" t="s">
        <v>90</v>
      </c>
      <c r="D5357" s="472">
        <v>49638.705900000001</v>
      </c>
      <c r="E5357" s="472" t="s">
        <v>170</v>
      </c>
      <c r="F5357" s="474"/>
    </row>
    <row r="5358" spans="1:6" s="475" customFormat="1" ht="15">
      <c r="A5358" s="472" t="s">
        <v>10148</v>
      </c>
      <c r="B5358" s="472" t="s">
        <v>10149</v>
      </c>
      <c r="C5358" s="472" t="s">
        <v>90</v>
      </c>
      <c r="D5358" s="472">
        <v>52857.15</v>
      </c>
      <c r="E5358" s="472" t="s">
        <v>170</v>
      </c>
      <c r="F5358" s="474"/>
    </row>
    <row r="5359" spans="1:6" s="475" customFormat="1" ht="15">
      <c r="A5359" s="472" t="s">
        <v>10150</v>
      </c>
      <c r="B5359" s="472" t="s">
        <v>10151</v>
      </c>
      <c r="C5359" s="472" t="s">
        <v>90</v>
      </c>
      <c r="D5359" s="472">
        <v>31749.032599999999</v>
      </c>
      <c r="E5359" s="472" t="s">
        <v>170</v>
      </c>
      <c r="F5359" s="474"/>
    </row>
    <row r="5360" spans="1:6" s="475" customFormat="1" ht="15">
      <c r="A5360" s="472" t="s">
        <v>10152</v>
      </c>
      <c r="B5360" s="472" t="s">
        <v>10153</v>
      </c>
      <c r="C5360" s="472" t="s">
        <v>90</v>
      </c>
      <c r="D5360" s="472">
        <v>20574.307400000002</v>
      </c>
      <c r="E5360" s="472" t="s">
        <v>170</v>
      </c>
      <c r="F5360" s="474"/>
    </row>
    <row r="5361" spans="1:6" s="475" customFormat="1" ht="15">
      <c r="A5361" s="472" t="s">
        <v>10154</v>
      </c>
      <c r="B5361" s="472" t="s">
        <v>10155</v>
      </c>
      <c r="C5361" s="472" t="s">
        <v>90</v>
      </c>
      <c r="D5361" s="472">
        <v>21.491199999999999</v>
      </c>
      <c r="E5361" s="472" t="s">
        <v>170</v>
      </c>
      <c r="F5361" s="474"/>
    </row>
    <row r="5362" spans="1:6" s="475" customFormat="1" ht="15">
      <c r="A5362" s="472" t="s">
        <v>10156</v>
      </c>
      <c r="B5362" s="472" t="s">
        <v>10157</v>
      </c>
      <c r="C5362" s="472" t="s">
        <v>90</v>
      </c>
      <c r="D5362" s="472">
        <v>782.90949999999998</v>
      </c>
      <c r="E5362" s="472" t="s">
        <v>170</v>
      </c>
      <c r="F5362" s="474"/>
    </row>
    <row r="5363" spans="1:6" s="475" customFormat="1" ht="15">
      <c r="A5363" s="472" t="s">
        <v>10158</v>
      </c>
      <c r="B5363" s="472" t="s">
        <v>10159</v>
      </c>
      <c r="C5363" s="472" t="s">
        <v>90</v>
      </c>
      <c r="D5363" s="472">
        <v>1196.8800000000001</v>
      </c>
      <c r="E5363" s="472" t="s">
        <v>170</v>
      </c>
      <c r="F5363" s="474"/>
    </row>
    <row r="5364" spans="1:6" s="475" customFormat="1" ht="15">
      <c r="A5364" s="472" t="s">
        <v>10160</v>
      </c>
      <c r="B5364" s="472" t="s">
        <v>10161</v>
      </c>
      <c r="C5364" s="472" t="s">
        <v>90</v>
      </c>
      <c r="D5364" s="472">
        <v>80.602800000000002</v>
      </c>
      <c r="E5364" s="472" t="s">
        <v>170</v>
      </c>
      <c r="F5364" s="474"/>
    </row>
    <row r="5365" spans="1:6" s="475" customFormat="1" ht="15">
      <c r="A5365" s="472" t="s">
        <v>10162</v>
      </c>
      <c r="B5365" s="472" t="s">
        <v>10163</v>
      </c>
      <c r="C5365" s="472" t="s">
        <v>90</v>
      </c>
      <c r="D5365" s="472">
        <v>23854.327700000002</v>
      </c>
      <c r="E5365" s="472" t="s">
        <v>170</v>
      </c>
      <c r="F5365" s="474"/>
    </row>
    <row r="5366" spans="1:6" s="475" customFormat="1" ht="15">
      <c r="A5366" s="472" t="s">
        <v>10164</v>
      </c>
      <c r="B5366" s="472" t="s">
        <v>10165</v>
      </c>
      <c r="C5366" s="472" t="s">
        <v>90</v>
      </c>
      <c r="D5366" s="472">
        <v>42961.363799999999</v>
      </c>
      <c r="E5366" s="472" t="s">
        <v>170</v>
      </c>
      <c r="F5366" s="474"/>
    </row>
    <row r="5367" spans="1:6" s="475" customFormat="1" ht="15">
      <c r="A5367" s="472" t="s">
        <v>10166</v>
      </c>
      <c r="B5367" s="472" t="s">
        <v>10167</v>
      </c>
      <c r="C5367" s="472" t="s">
        <v>5</v>
      </c>
      <c r="D5367" s="472">
        <v>116.46769999999999</v>
      </c>
      <c r="E5367" s="472" t="s">
        <v>170</v>
      </c>
      <c r="F5367" s="474"/>
    </row>
    <row r="5368" spans="1:6" s="475" customFormat="1" ht="15">
      <c r="A5368" s="472" t="s">
        <v>10168</v>
      </c>
      <c r="B5368" s="472" t="s">
        <v>10169</v>
      </c>
      <c r="C5368" s="472" t="s">
        <v>5</v>
      </c>
      <c r="D5368" s="472">
        <v>38.098399999999998</v>
      </c>
      <c r="E5368" s="472" t="s">
        <v>170</v>
      </c>
      <c r="F5368" s="474"/>
    </row>
    <row r="5369" spans="1:6" s="475" customFormat="1" ht="15">
      <c r="A5369" s="472" t="s">
        <v>10170</v>
      </c>
      <c r="B5369" s="472" t="s">
        <v>10171</v>
      </c>
      <c r="C5369" s="472" t="s">
        <v>5</v>
      </c>
      <c r="D5369" s="472">
        <v>0.57569999999999999</v>
      </c>
      <c r="E5369" s="472" t="s">
        <v>170</v>
      </c>
      <c r="F5369" s="474"/>
    </row>
    <row r="5370" spans="1:6" s="475" customFormat="1" ht="15">
      <c r="A5370" s="472" t="s">
        <v>10172</v>
      </c>
      <c r="B5370" s="472" t="s">
        <v>10173</v>
      </c>
      <c r="C5370" s="472" t="s">
        <v>89</v>
      </c>
      <c r="D5370" s="472">
        <v>8.0096000000000007</v>
      </c>
      <c r="E5370" s="472" t="s">
        <v>170</v>
      </c>
      <c r="F5370" s="474"/>
    </row>
    <row r="5371" spans="1:6" s="475" customFormat="1" ht="15">
      <c r="A5371" s="472" t="s">
        <v>10174</v>
      </c>
      <c r="B5371" s="472" t="s">
        <v>10175</v>
      </c>
      <c r="C5371" s="472" t="s">
        <v>90</v>
      </c>
      <c r="D5371" s="472">
        <v>17432.203699999998</v>
      </c>
      <c r="E5371" s="472" t="s">
        <v>170</v>
      </c>
      <c r="F5371" s="474"/>
    </row>
    <row r="5372" spans="1:6" s="475" customFormat="1" ht="15">
      <c r="A5372" s="472" t="s">
        <v>10176</v>
      </c>
      <c r="B5372" s="472" t="s">
        <v>10177</v>
      </c>
      <c r="C5372" s="472" t="s">
        <v>89</v>
      </c>
      <c r="D5372" s="472">
        <v>9.43</v>
      </c>
      <c r="E5372" s="472" t="s">
        <v>170</v>
      </c>
      <c r="F5372" s="474"/>
    </row>
    <row r="5373" spans="1:6" s="475" customFormat="1" ht="15">
      <c r="A5373" s="472" t="s">
        <v>10178</v>
      </c>
      <c r="B5373" s="472" t="s">
        <v>10179</v>
      </c>
      <c r="C5373" s="472" t="s">
        <v>90</v>
      </c>
      <c r="D5373" s="472">
        <v>3.5</v>
      </c>
      <c r="E5373" s="472" t="s">
        <v>170</v>
      </c>
      <c r="F5373" s="474"/>
    </row>
    <row r="5374" spans="1:6" s="475" customFormat="1" ht="15">
      <c r="A5374" s="472" t="s">
        <v>10180</v>
      </c>
      <c r="B5374" s="472" t="s">
        <v>10181</v>
      </c>
      <c r="C5374" s="472" t="s">
        <v>90</v>
      </c>
      <c r="D5374" s="472">
        <v>8.2385000000000002</v>
      </c>
      <c r="E5374" s="472" t="s">
        <v>170</v>
      </c>
      <c r="F5374" s="474"/>
    </row>
    <row r="5375" spans="1:6" s="475" customFormat="1" ht="15">
      <c r="A5375" s="472" t="s">
        <v>10182</v>
      </c>
      <c r="B5375" s="472" t="s">
        <v>10183</v>
      </c>
      <c r="C5375" s="472" t="s">
        <v>89</v>
      </c>
      <c r="D5375" s="472">
        <v>3.8062</v>
      </c>
      <c r="E5375" s="472" t="s">
        <v>170</v>
      </c>
      <c r="F5375" s="474"/>
    </row>
    <row r="5376" spans="1:6" s="475" customFormat="1" ht="15">
      <c r="A5376" s="472" t="s">
        <v>7493</v>
      </c>
      <c r="B5376" s="472" t="s">
        <v>7839</v>
      </c>
      <c r="C5376" s="472" t="s">
        <v>90</v>
      </c>
      <c r="D5376" s="472">
        <v>13.0052</v>
      </c>
      <c r="E5376" s="472" t="s">
        <v>170</v>
      </c>
      <c r="F5376" s="474"/>
    </row>
    <row r="5377" spans="1:6" s="475" customFormat="1" ht="15">
      <c r="A5377" s="472" t="s">
        <v>10184</v>
      </c>
      <c r="B5377" s="472" t="s">
        <v>10185</v>
      </c>
      <c r="C5377" s="472" t="s">
        <v>10075</v>
      </c>
      <c r="D5377" s="472">
        <v>116.70489999999999</v>
      </c>
      <c r="E5377" s="472" t="s">
        <v>170</v>
      </c>
      <c r="F5377" s="474"/>
    </row>
    <row r="5378" spans="1:6" s="475" customFormat="1" ht="15">
      <c r="A5378" s="472" t="s">
        <v>8044</v>
      </c>
      <c r="B5378" s="472" t="s">
        <v>8047</v>
      </c>
      <c r="C5378" s="472" t="s">
        <v>10075</v>
      </c>
      <c r="D5378" s="472">
        <v>106.5488</v>
      </c>
      <c r="E5378" s="472" t="s">
        <v>170</v>
      </c>
      <c r="F5378" s="474"/>
    </row>
    <row r="5379" spans="1:6" s="475" customFormat="1" ht="15">
      <c r="A5379" s="472" t="s">
        <v>7978</v>
      </c>
      <c r="B5379" s="472" t="s">
        <v>8005</v>
      </c>
      <c r="C5379" s="472" t="s">
        <v>10075</v>
      </c>
      <c r="D5379" s="472">
        <v>130.20490000000001</v>
      </c>
      <c r="E5379" s="472" t="s">
        <v>170</v>
      </c>
      <c r="F5379" s="474"/>
    </row>
    <row r="5380" spans="1:6" s="475" customFormat="1" ht="15">
      <c r="A5380" s="472" t="s">
        <v>7360</v>
      </c>
      <c r="B5380" s="472" t="s">
        <v>7832</v>
      </c>
      <c r="C5380" s="472" t="s">
        <v>89</v>
      </c>
      <c r="D5380" s="472">
        <v>1.5210999999999999</v>
      </c>
      <c r="E5380" s="472" t="s">
        <v>170</v>
      </c>
      <c r="F5380" s="474"/>
    </row>
    <row r="5381" spans="1:6" s="475" customFormat="1" ht="15">
      <c r="A5381" s="472" t="s">
        <v>10186</v>
      </c>
      <c r="B5381" s="472" t="s">
        <v>10187</v>
      </c>
      <c r="C5381" s="472" t="s">
        <v>89</v>
      </c>
      <c r="D5381" s="472">
        <v>1.6226</v>
      </c>
      <c r="E5381" s="472" t="s">
        <v>170</v>
      </c>
      <c r="F5381" s="474"/>
    </row>
    <row r="5382" spans="1:6" s="475" customFormat="1" ht="15">
      <c r="A5382" s="472" t="s">
        <v>10188</v>
      </c>
      <c r="B5382" s="472" t="s">
        <v>10189</v>
      </c>
      <c r="C5382" s="472" t="s">
        <v>90</v>
      </c>
      <c r="D5382" s="472">
        <v>152.7824</v>
      </c>
      <c r="E5382" s="472" t="s">
        <v>170</v>
      </c>
      <c r="F5382" s="474"/>
    </row>
    <row r="5383" spans="1:6" s="475" customFormat="1" ht="15">
      <c r="A5383" s="472" t="s">
        <v>10190</v>
      </c>
      <c r="B5383" s="472" t="s">
        <v>10191</v>
      </c>
      <c r="C5383" s="472" t="s">
        <v>90</v>
      </c>
      <c r="D5383" s="472">
        <v>230.27019999999999</v>
      </c>
      <c r="E5383" s="472" t="s">
        <v>170</v>
      </c>
      <c r="F5383" s="474"/>
    </row>
    <row r="5384" spans="1:6" s="475" customFormat="1" ht="15">
      <c r="A5384" s="472" t="s">
        <v>10192</v>
      </c>
      <c r="B5384" s="472" t="s">
        <v>10193</v>
      </c>
      <c r="C5384" s="472" t="s">
        <v>90</v>
      </c>
      <c r="D5384" s="472">
        <v>247.78030000000001</v>
      </c>
      <c r="E5384" s="472" t="s">
        <v>170</v>
      </c>
      <c r="F5384" s="474"/>
    </row>
    <row r="5385" spans="1:6" s="475" customFormat="1" ht="15">
      <c r="A5385" s="472" t="s">
        <v>10194</v>
      </c>
      <c r="B5385" s="472" t="s">
        <v>10195</v>
      </c>
      <c r="C5385" s="472" t="s">
        <v>90</v>
      </c>
      <c r="D5385" s="472">
        <v>268.7</v>
      </c>
      <c r="E5385" s="472" t="s">
        <v>170</v>
      </c>
      <c r="F5385" s="474"/>
    </row>
    <row r="5386" spans="1:6" s="475" customFormat="1" ht="15">
      <c r="A5386" s="472" t="s">
        <v>10196</v>
      </c>
      <c r="B5386" s="472" t="s">
        <v>10197</v>
      </c>
      <c r="C5386" s="472" t="s">
        <v>90</v>
      </c>
      <c r="D5386" s="472">
        <v>287.00889999999998</v>
      </c>
      <c r="E5386" s="472" t="s">
        <v>170</v>
      </c>
      <c r="F5386" s="474"/>
    </row>
    <row r="5387" spans="1:6" s="475" customFormat="1" ht="15">
      <c r="A5387" s="472" t="s">
        <v>10198</v>
      </c>
      <c r="B5387" s="472" t="s">
        <v>10199</v>
      </c>
      <c r="C5387" s="472" t="s">
        <v>90</v>
      </c>
      <c r="D5387" s="472">
        <v>348.46640000000002</v>
      </c>
      <c r="E5387" s="472" t="s">
        <v>170</v>
      </c>
      <c r="F5387" s="474"/>
    </row>
    <row r="5388" spans="1:6" s="475" customFormat="1" ht="15">
      <c r="A5388" s="472" t="s">
        <v>10200</v>
      </c>
      <c r="B5388" s="472" t="s">
        <v>10201</v>
      </c>
      <c r="C5388" s="472" t="s">
        <v>90</v>
      </c>
      <c r="D5388" s="472">
        <v>409.49169999999998</v>
      </c>
      <c r="E5388" s="472" t="s">
        <v>170</v>
      </c>
      <c r="F5388" s="474"/>
    </row>
    <row r="5389" spans="1:6" s="475" customFormat="1" ht="15">
      <c r="A5389" s="472" t="s">
        <v>10202</v>
      </c>
      <c r="B5389" s="472" t="s">
        <v>10203</v>
      </c>
      <c r="C5389" s="472" t="s">
        <v>90</v>
      </c>
      <c r="D5389" s="472">
        <v>754.20240000000001</v>
      </c>
      <c r="E5389" s="472" t="s">
        <v>170</v>
      </c>
      <c r="F5389" s="474"/>
    </row>
    <row r="5390" spans="1:6" s="475" customFormat="1" ht="15">
      <c r="A5390" s="472" t="s">
        <v>10204</v>
      </c>
      <c r="B5390" s="472" t="s">
        <v>10205</v>
      </c>
      <c r="C5390" s="472" t="s">
        <v>90</v>
      </c>
      <c r="D5390" s="472">
        <v>861.05899999999997</v>
      </c>
      <c r="E5390" s="472" t="s">
        <v>170</v>
      </c>
      <c r="F5390" s="474"/>
    </row>
    <row r="5391" spans="1:6" s="475" customFormat="1" ht="15">
      <c r="A5391" s="472" t="s">
        <v>10206</v>
      </c>
      <c r="B5391" s="472" t="s">
        <v>10207</v>
      </c>
      <c r="C5391" s="472" t="s">
        <v>5</v>
      </c>
      <c r="D5391" s="472">
        <v>12.3147</v>
      </c>
      <c r="E5391" s="472" t="s">
        <v>170</v>
      </c>
      <c r="F5391" s="474"/>
    </row>
    <row r="5392" spans="1:6" s="475" customFormat="1" ht="15">
      <c r="A5392" s="472" t="s">
        <v>10208</v>
      </c>
      <c r="B5392" s="472" t="s">
        <v>10209</v>
      </c>
      <c r="C5392" s="472" t="s">
        <v>10210</v>
      </c>
      <c r="D5392" s="472">
        <v>317.69299999999998</v>
      </c>
      <c r="E5392" s="472" t="s">
        <v>170</v>
      </c>
      <c r="F5392" s="474"/>
    </row>
    <row r="5393" spans="1:6" s="475" customFormat="1" ht="15">
      <c r="A5393" s="472" t="s">
        <v>10211</v>
      </c>
      <c r="B5393" s="472" t="s">
        <v>10212</v>
      </c>
      <c r="C5393" s="472" t="s">
        <v>90</v>
      </c>
      <c r="D5393" s="472">
        <v>1068.3739</v>
      </c>
      <c r="E5393" s="472" t="s">
        <v>170</v>
      </c>
      <c r="F5393" s="474"/>
    </row>
    <row r="5394" spans="1:6" s="475" customFormat="1" ht="15">
      <c r="A5394" s="472" t="s">
        <v>10213</v>
      </c>
      <c r="B5394" s="472" t="s">
        <v>10214</v>
      </c>
      <c r="C5394" s="472" t="s">
        <v>90</v>
      </c>
      <c r="D5394" s="472">
        <v>1415.3712</v>
      </c>
      <c r="E5394" s="472" t="s">
        <v>170</v>
      </c>
      <c r="F5394" s="474"/>
    </row>
    <row r="5395" spans="1:6" s="475" customFormat="1" ht="15">
      <c r="A5395" s="472" t="s">
        <v>10215</v>
      </c>
      <c r="B5395" s="472" t="s">
        <v>10216</v>
      </c>
      <c r="C5395" s="472" t="s">
        <v>90</v>
      </c>
      <c r="D5395" s="472">
        <v>1851.2950000000001</v>
      </c>
      <c r="E5395" s="472" t="s">
        <v>170</v>
      </c>
      <c r="F5395" s="474"/>
    </row>
    <row r="5396" spans="1:6" s="475" customFormat="1" ht="15">
      <c r="A5396" s="472" t="s">
        <v>10217</v>
      </c>
      <c r="B5396" s="472" t="s">
        <v>10218</v>
      </c>
      <c r="C5396" s="472" t="s">
        <v>89</v>
      </c>
      <c r="D5396" s="472">
        <v>5.4252000000000002</v>
      </c>
      <c r="E5396" s="472" t="s">
        <v>170</v>
      </c>
      <c r="F5396" s="474"/>
    </row>
    <row r="5397" spans="1:6" s="475" customFormat="1" ht="15">
      <c r="A5397" s="472" t="s">
        <v>10219</v>
      </c>
      <c r="B5397" s="472" t="s">
        <v>10220</v>
      </c>
      <c r="C5397" s="472" t="s">
        <v>3495</v>
      </c>
      <c r="D5397" s="472" t="s">
        <v>191</v>
      </c>
      <c r="E5397" s="472" t="s">
        <v>170</v>
      </c>
      <c r="F5397" s="474"/>
    </row>
    <row r="5398" spans="1:6" s="475" customFormat="1" ht="15">
      <c r="A5398" s="472" t="s">
        <v>10221</v>
      </c>
      <c r="B5398" s="472" t="s">
        <v>10222</v>
      </c>
      <c r="C5398" s="472" t="s">
        <v>90</v>
      </c>
      <c r="D5398" s="472">
        <v>190.4016</v>
      </c>
      <c r="E5398" s="472" t="s">
        <v>170</v>
      </c>
      <c r="F5398" s="474"/>
    </row>
    <row r="5399" spans="1:6" s="475" customFormat="1" ht="15">
      <c r="A5399" s="472" t="s">
        <v>10223</v>
      </c>
      <c r="B5399" s="472" t="s">
        <v>10224</v>
      </c>
      <c r="C5399" s="472" t="s">
        <v>90</v>
      </c>
      <c r="D5399" s="472">
        <v>290.51179999999999</v>
      </c>
      <c r="E5399" s="472" t="s">
        <v>170</v>
      </c>
      <c r="F5399" s="474"/>
    </row>
    <row r="5400" spans="1:6" s="475" customFormat="1" ht="15">
      <c r="A5400" s="472" t="s">
        <v>10225</v>
      </c>
      <c r="B5400" s="472" t="s">
        <v>10226</v>
      </c>
      <c r="C5400" s="472" t="s">
        <v>10227</v>
      </c>
      <c r="D5400" s="472">
        <v>15.723699999999999</v>
      </c>
      <c r="E5400" s="472" t="s">
        <v>170</v>
      </c>
      <c r="F5400" s="474"/>
    </row>
    <row r="5401" spans="1:6" s="475" customFormat="1" ht="15">
      <c r="A5401" s="472" t="s">
        <v>10228</v>
      </c>
      <c r="B5401" s="472" t="s">
        <v>10229</v>
      </c>
      <c r="C5401" s="472" t="s">
        <v>90</v>
      </c>
      <c r="D5401" s="472">
        <v>316.6671</v>
      </c>
      <c r="E5401" s="472" t="s">
        <v>170</v>
      </c>
      <c r="F5401" s="474"/>
    </row>
    <row r="5402" spans="1:6" s="475" customFormat="1" ht="15">
      <c r="A5402" s="472" t="s">
        <v>10230</v>
      </c>
      <c r="B5402" s="472" t="s">
        <v>10231</v>
      </c>
      <c r="C5402" s="472" t="s">
        <v>5</v>
      </c>
      <c r="D5402" s="472">
        <v>2.4188999999999998</v>
      </c>
      <c r="E5402" s="472" t="s">
        <v>170</v>
      </c>
      <c r="F5402" s="474"/>
    </row>
    <row r="5403" spans="1:6" s="475" customFormat="1" ht="15">
      <c r="A5403" s="472" t="s">
        <v>10232</v>
      </c>
      <c r="B5403" s="472" t="s">
        <v>10233</v>
      </c>
      <c r="C5403" s="472" t="s">
        <v>90</v>
      </c>
      <c r="D5403" s="472">
        <v>454.23689999999999</v>
      </c>
      <c r="E5403" s="472" t="s">
        <v>170</v>
      </c>
      <c r="F5403" s="474"/>
    </row>
    <row r="5404" spans="1:6" s="475" customFormat="1" ht="15">
      <c r="A5404" s="472" t="s">
        <v>10234</v>
      </c>
      <c r="B5404" s="472" t="s">
        <v>10235</v>
      </c>
      <c r="C5404" s="472" t="s">
        <v>90</v>
      </c>
      <c r="D5404" s="472">
        <v>427.26170000000002</v>
      </c>
      <c r="E5404" s="472" t="s">
        <v>170</v>
      </c>
      <c r="F5404" s="474"/>
    </row>
    <row r="5405" spans="1:6" s="475" customFormat="1" ht="15">
      <c r="A5405" s="472" t="s">
        <v>10236</v>
      </c>
      <c r="B5405" s="472" t="s">
        <v>10237</v>
      </c>
      <c r="C5405" s="472" t="s">
        <v>90</v>
      </c>
      <c r="D5405" s="472">
        <v>3635.1842000000001</v>
      </c>
      <c r="E5405" s="472" t="s">
        <v>170</v>
      </c>
      <c r="F5405" s="474"/>
    </row>
    <row r="5406" spans="1:6" s="475" customFormat="1" ht="15">
      <c r="A5406" s="472" t="s">
        <v>10238</v>
      </c>
      <c r="B5406" s="472" t="s">
        <v>10239</v>
      </c>
      <c r="C5406" s="472" t="s">
        <v>90</v>
      </c>
      <c r="D5406" s="472">
        <v>601.6318</v>
      </c>
      <c r="E5406" s="472" t="s">
        <v>170</v>
      </c>
      <c r="F5406" s="474"/>
    </row>
    <row r="5407" spans="1:6" s="475" customFormat="1" ht="15">
      <c r="A5407" s="472" t="s">
        <v>10240</v>
      </c>
      <c r="B5407" s="472" t="s">
        <v>10241</v>
      </c>
      <c r="C5407" s="472" t="s">
        <v>90</v>
      </c>
      <c r="D5407" s="472">
        <v>17007.804700000001</v>
      </c>
      <c r="E5407" s="472" t="s">
        <v>170</v>
      </c>
      <c r="F5407" s="474"/>
    </row>
    <row r="5408" spans="1:6" s="475" customFormat="1" ht="15">
      <c r="A5408" s="472" t="s">
        <v>10242</v>
      </c>
      <c r="B5408" s="472" t="s">
        <v>10243</v>
      </c>
      <c r="C5408" s="472" t="s">
        <v>10227</v>
      </c>
      <c r="D5408" s="472">
        <v>4.1172000000000004</v>
      </c>
      <c r="E5408" s="472" t="s">
        <v>170</v>
      </c>
      <c r="F5408" s="474"/>
    </row>
    <row r="5409" spans="1:6" s="475" customFormat="1" ht="15">
      <c r="A5409" s="472" t="s">
        <v>10244</v>
      </c>
      <c r="B5409" s="472" t="s">
        <v>10245</v>
      </c>
      <c r="C5409" s="472" t="s">
        <v>90</v>
      </c>
      <c r="D5409" s="472">
        <v>10856.448700000001</v>
      </c>
      <c r="E5409" s="472" t="s">
        <v>170</v>
      </c>
      <c r="F5409" s="474"/>
    </row>
    <row r="5410" spans="1:6" s="475" customFormat="1" ht="15">
      <c r="A5410" s="472" t="s">
        <v>10246</v>
      </c>
      <c r="B5410" s="472" t="s">
        <v>10247</v>
      </c>
      <c r="C5410" s="472" t="s">
        <v>90</v>
      </c>
      <c r="D5410" s="472">
        <v>11834.6877</v>
      </c>
      <c r="E5410" s="472" t="s">
        <v>170</v>
      </c>
      <c r="F5410" s="474"/>
    </row>
    <row r="5411" spans="1:6" s="475" customFormat="1" ht="15">
      <c r="A5411" s="472" t="s">
        <v>10248</v>
      </c>
      <c r="B5411" s="472" t="s">
        <v>10249</v>
      </c>
      <c r="C5411" s="472" t="s">
        <v>90</v>
      </c>
      <c r="D5411" s="472">
        <v>14253.4485</v>
      </c>
      <c r="E5411" s="472" t="s">
        <v>170</v>
      </c>
      <c r="F5411" s="474"/>
    </row>
    <row r="5412" spans="1:6" s="475" customFormat="1" ht="15">
      <c r="A5412" s="472" t="s">
        <v>10250</v>
      </c>
      <c r="B5412" s="472" t="s">
        <v>10251</v>
      </c>
      <c r="C5412" s="472" t="s">
        <v>90</v>
      </c>
      <c r="D5412" s="472">
        <v>16701.249599999999</v>
      </c>
      <c r="E5412" s="472" t="s">
        <v>170</v>
      </c>
      <c r="F5412" s="474"/>
    </row>
    <row r="5413" spans="1:6" s="475" customFormat="1" ht="15">
      <c r="A5413" s="472" t="s">
        <v>10252</v>
      </c>
      <c r="B5413" s="472" t="s">
        <v>10253</v>
      </c>
      <c r="C5413" s="472" t="s">
        <v>5</v>
      </c>
      <c r="D5413" s="472">
        <v>275.42849999999999</v>
      </c>
      <c r="E5413" s="472" t="s">
        <v>170</v>
      </c>
      <c r="F5413" s="474"/>
    </row>
    <row r="5414" spans="1:6" s="475" customFormat="1" ht="15">
      <c r="A5414" s="472" t="s">
        <v>10254</v>
      </c>
      <c r="B5414" s="472" t="s">
        <v>10255</v>
      </c>
      <c r="C5414" s="472" t="s">
        <v>5</v>
      </c>
      <c r="D5414" s="472">
        <v>1889.2935</v>
      </c>
      <c r="E5414" s="472" t="s">
        <v>170</v>
      </c>
      <c r="F5414" s="474"/>
    </row>
    <row r="5415" spans="1:6" s="475" customFormat="1" ht="15">
      <c r="A5415" s="472" t="s">
        <v>10256</v>
      </c>
      <c r="B5415" s="472" t="s">
        <v>10257</v>
      </c>
      <c r="C5415" s="472" t="s">
        <v>5</v>
      </c>
      <c r="D5415" s="472">
        <v>2373.8353999999999</v>
      </c>
      <c r="E5415" s="472" t="s">
        <v>170</v>
      </c>
      <c r="F5415" s="474"/>
    </row>
    <row r="5416" spans="1:6" s="475" customFormat="1" ht="15">
      <c r="A5416" s="472" t="s">
        <v>10258</v>
      </c>
      <c r="B5416" s="472" t="s">
        <v>10259</v>
      </c>
      <c r="C5416" s="472" t="s">
        <v>5</v>
      </c>
      <c r="D5416" s="472">
        <v>2649.9549999999999</v>
      </c>
      <c r="E5416" s="472" t="s">
        <v>170</v>
      </c>
      <c r="F5416" s="474"/>
    </row>
    <row r="5417" spans="1:6" s="475" customFormat="1" ht="15">
      <c r="A5417" s="472" t="s">
        <v>10260</v>
      </c>
      <c r="B5417" s="472" t="s">
        <v>10261</v>
      </c>
      <c r="C5417" s="472" t="s">
        <v>90</v>
      </c>
      <c r="D5417" s="472">
        <v>2386.6271000000002</v>
      </c>
      <c r="E5417" s="472" t="s">
        <v>170</v>
      </c>
      <c r="F5417" s="474"/>
    </row>
    <row r="5418" spans="1:6" s="475" customFormat="1" ht="15">
      <c r="A5418" s="472" t="s">
        <v>10262</v>
      </c>
      <c r="B5418" s="472" t="s">
        <v>10263</v>
      </c>
      <c r="C5418" s="472" t="s">
        <v>90</v>
      </c>
      <c r="D5418" s="472">
        <v>3450.9259000000002</v>
      </c>
      <c r="E5418" s="472" t="s">
        <v>170</v>
      </c>
      <c r="F5418" s="474"/>
    </row>
    <row r="5419" spans="1:6" s="475" customFormat="1" ht="15">
      <c r="A5419" s="472" t="s">
        <v>10264</v>
      </c>
      <c r="B5419" s="472" t="s">
        <v>10265</v>
      </c>
      <c r="C5419" s="472" t="s">
        <v>90</v>
      </c>
      <c r="D5419" s="472">
        <v>3958.7242999999999</v>
      </c>
      <c r="E5419" s="472" t="s">
        <v>170</v>
      </c>
      <c r="F5419" s="474"/>
    </row>
    <row r="5420" spans="1:6" s="475" customFormat="1" ht="15">
      <c r="A5420" s="472" t="s">
        <v>10266</v>
      </c>
      <c r="B5420" s="472" t="s">
        <v>10267</v>
      </c>
      <c r="C5420" s="472" t="s">
        <v>90</v>
      </c>
      <c r="D5420" s="472">
        <v>4273.4516000000003</v>
      </c>
      <c r="E5420" s="472" t="s">
        <v>170</v>
      </c>
      <c r="F5420" s="474"/>
    </row>
    <row r="5421" spans="1:6" s="475" customFormat="1" ht="15">
      <c r="A5421" s="472" t="s">
        <v>7370</v>
      </c>
      <c r="B5421" s="472" t="s">
        <v>7834</v>
      </c>
      <c r="C5421" s="472" t="s">
        <v>10227</v>
      </c>
      <c r="D5421" s="472">
        <v>3.7812999999999999</v>
      </c>
      <c r="E5421" s="472" t="s">
        <v>170</v>
      </c>
      <c r="F5421" s="474"/>
    </row>
    <row r="5422" spans="1:6" s="475" customFormat="1" ht="15">
      <c r="A5422" s="472" t="s">
        <v>10268</v>
      </c>
      <c r="B5422" s="472" t="s">
        <v>10269</v>
      </c>
      <c r="C5422" s="472" t="s">
        <v>5</v>
      </c>
      <c r="D5422" s="472">
        <v>48.0824</v>
      </c>
      <c r="E5422" s="472" t="s">
        <v>170</v>
      </c>
      <c r="F5422" s="474"/>
    </row>
    <row r="5423" spans="1:6" s="475" customFormat="1" ht="15">
      <c r="A5423" s="472" t="s">
        <v>10270</v>
      </c>
      <c r="B5423" s="472" t="s">
        <v>10271</v>
      </c>
      <c r="C5423" s="472" t="s">
        <v>90</v>
      </c>
      <c r="D5423" s="472">
        <v>917.98109999999997</v>
      </c>
      <c r="E5423" s="472" t="s">
        <v>170</v>
      </c>
      <c r="F5423" s="474"/>
    </row>
    <row r="5424" spans="1:6" s="475" customFormat="1" ht="15">
      <c r="A5424" s="472" t="s">
        <v>6617</v>
      </c>
      <c r="B5424" s="472" t="s">
        <v>10272</v>
      </c>
      <c r="C5424" s="472" t="s">
        <v>5</v>
      </c>
      <c r="D5424" s="472">
        <v>136.82740000000001</v>
      </c>
      <c r="E5424" s="472" t="s">
        <v>170</v>
      </c>
      <c r="F5424" s="474"/>
    </row>
    <row r="5425" spans="1:6" s="475" customFormat="1" ht="15">
      <c r="A5425" s="472" t="s">
        <v>10273</v>
      </c>
      <c r="B5425" s="472" t="s">
        <v>10274</v>
      </c>
      <c r="C5425" s="472" t="s">
        <v>5</v>
      </c>
      <c r="D5425" s="472">
        <v>186.6026</v>
      </c>
      <c r="E5425" s="472" t="s">
        <v>170</v>
      </c>
      <c r="F5425" s="474"/>
    </row>
    <row r="5426" spans="1:6" s="475" customFormat="1" ht="15">
      <c r="A5426" s="472" t="s">
        <v>10275</v>
      </c>
      <c r="B5426" s="472" t="s">
        <v>10276</v>
      </c>
      <c r="C5426" s="472" t="s">
        <v>5</v>
      </c>
      <c r="D5426" s="472">
        <v>226.43209999999999</v>
      </c>
      <c r="E5426" s="472" t="s">
        <v>170</v>
      </c>
      <c r="F5426" s="474"/>
    </row>
    <row r="5427" spans="1:6" s="475" customFormat="1" ht="15">
      <c r="A5427" s="472" t="s">
        <v>10277</v>
      </c>
      <c r="B5427" s="472" t="s">
        <v>10278</v>
      </c>
      <c r="C5427" s="472" t="s">
        <v>5</v>
      </c>
      <c r="D5427" s="472">
        <v>335.93860000000001</v>
      </c>
      <c r="E5427" s="472" t="s">
        <v>170</v>
      </c>
      <c r="F5427" s="474"/>
    </row>
    <row r="5428" spans="1:6" s="475" customFormat="1" ht="15">
      <c r="A5428" s="472" t="s">
        <v>10279</v>
      </c>
      <c r="B5428" s="472" t="s">
        <v>10280</v>
      </c>
      <c r="C5428" s="472" t="s">
        <v>5</v>
      </c>
      <c r="D5428" s="472">
        <v>526.54729999999995</v>
      </c>
      <c r="E5428" s="472" t="s">
        <v>170</v>
      </c>
      <c r="F5428" s="474"/>
    </row>
    <row r="5429" spans="1:6" s="475" customFormat="1" ht="15">
      <c r="A5429" s="472" t="s">
        <v>10281</v>
      </c>
      <c r="B5429" s="472" t="s">
        <v>10282</v>
      </c>
      <c r="C5429" s="472" t="s">
        <v>5</v>
      </c>
      <c r="D5429" s="472">
        <v>529.03039999999999</v>
      </c>
      <c r="E5429" s="472" t="s">
        <v>170</v>
      </c>
      <c r="F5429" s="474"/>
    </row>
    <row r="5430" spans="1:6" s="475" customFormat="1" ht="15">
      <c r="A5430" s="472" t="s">
        <v>10283</v>
      </c>
      <c r="B5430" s="472" t="s">
        <v>10284</v>
      </c>
      <c r="C5430" s="472" t="s">
        <v>5</v>
      </c>
      <c r="D5430" s="472">
        <v>589.6336</v>
      </c>
      <c r="E5430" s="472" t="s">
        <v>170</v>
      </c>
      <c r="F5430" s="474"/>
    </row>
    <row r="5431" spans="1:6" s="475" customFormat="1" ht="15">
      <c r="A5431" s="472" t="s">
        <v>10285</v>
      </c>
      <c r="B5431" s="472" t="s">
        <v>10286</v>
      </c>
      <c r="C5431" s="472" t="s">
        <v>90</v>
      </c>
      <c r="D5431" s="472">
        <v>1115.1364000000001</v>
      </c>
      <c r="E5431" s="472" t="s">
        <v>170</v>
      </c>
      <c r="F5431" s="474"/>
    </row>
    <row r="5432" spans="1:6" s="475" customFormat="1" ht="15">
      <c r="A5432" s="472" t="s">
        <v>10287</v>
      </c>
      <c r="B5432" s="472" t="s">
        <v>10288</v>
      </c>
      <c r="C5432" s="472" t="s">
        <v>5</v>
      </c>
      <c r="D5432" s="472">
        <v>837.55849999999998</v>
      </c>
      <c r="E5432" s="472" t="s">
        <v>170</v>
      </c>
      <c r="F5432" s="474"/>
    </row>
    <row r="5433" spans="1:6" s="475" customFormat="1" ht="15">
      <c r="A5433" s="472" t="s">
        <v>10289</v>
      </c>
      <c r="B5433" s="472" t="s">
        <v>10290</v>
      </c>
      <c r="C5433" s="472" t="s">
        <v>89</v>
      </c>
      <c r="D5433" s="472">
        <v>1.4279999999999999</v>
      </c>
      <c r="E5433" s="472" t="s">
        <v>170</v>
      </c>
      <c r="F5433" s="474"/>
    </row>
    <row r="5434" spans="1:6" s="475" customFormat="1" ht="15">
      <c r="A5434" s="472" t="s">
        <v>10291</v>
      </c>
      <c r="B5434" s="472" t="s">
        <v>10292</v>
      </c>
      <c r="C5434" s="472" t="s">
        <v>5</v>
      </c>
      <c r="D5434" s="472">
        <v>822.12180000000001</v>
      </c>
      <c r="E5434" s="472" t="s">
        <v>170</v>
      </c>
      <c r="F5434" s="474"/>
    </row>
    <row r="5435" spans="1:6" s="475" customFormat="1" ht="15">
      <c r="A5435" s="472" t="s">
        <v>10293</v>
      </c>
      <c r="B5435" s="472" t="s">
        <v>10294</v>
      </c>
      <c r="C5435" s="472" t="s">
        <v>5</v>
      </c>
      <c r="D5435" s="472">
        <v>1173.9082000000001</v>
      </c>
      <c r="E5435" s="472" t="s">
        <v>170</v>
      </c>
      <c r="F5435" s="474"/>
    </row>
    <row r="5436" spans="1:6" s="475" customFormat="1" ht="15">
      <c r="A5436" s="472" t="s">
        <v>10295</v>
      </c>
      <c r="B5436" s="472" t="s">
        <v>10296</v>
      </c>
      <c r="C5436" s="472" t="s">
        <v>5</v>
      </c>
      <c r="D5436" s="472">
        <v>1441.2864999999999</v>
      </c>
      <c r="E5436" s="472" t="s">
        <v>170</v>
      </c>
      <c r="F5436" s="474"/>
    </row>
    <row r="5437" spans="1:6" s="475" customFormat="1" ht="15">
      <c r="A5437" s="472" t="s">
        <v>10297</v>
      </c>
      <c r="B5437" s="472" t="s">
        <v>10298</v>
      </c>
      <c r="C5437" s="472" t="s">
        <v>5</v>
      </c>
      <c r="D5437" s="472">
        <v>4046.6983</v>
      </c>
      <c r="E5437" s="472" t="s">
        <v>170</v>
      </c>
      <c r="F5437" s="474"/>
    </row>
    <row r="5438" spans="1:6" s="475" customFormat="1" ht="15">
      <c r="A5438" s="472" t="s">
        <v>10299</v>
      </c>
      <c r="B5438" s="472" t="s">
        <v>10300</v>
      </c>
      <c r="C5438" s="472" t="s">
        <v>90</v>
      </c>
      <c r="D5438" s="472">
        <v>1458.9614999999999</v>
      </c>
      <c r="E5438" s="472" t="s">
        <v>170</v>
      </c>
      <c r="F5438" s="474"/>
    </row>
    <row r="5439" spans="1:6" s="475" customFormat="1" ht="15">
      <c r="A5439" s="472" t="s">
        <v>10301</v>
      </c>
      <c r="B5439" s="472" t="s">
        <v>10302</v>
      </c>
      <c r="C5439" s="472" t="s">
        <v>90</v>
      </c>
      <c r="D5439" s="472">
        <v>1923.7184999999999</v>
      </c>
      <c r="E5439" s="472" t="s">
        <v>170</v>
      </c>
      <c r="F5439" s="474"/>
    </row>
    <row r="5440" spans="1:6" s="475" customFormat="1" ht="15">
      <c r="A5440" s="472" t="s">
        <v>10303</v>
      </c>
      <c r="B5440" s="472" t="s">
        <v>10304</v>
      </c>
      <c r="C5440" s="472" t="s">
        <v>5</v>
      </c>
      <c r="D5440" s="472">
        <v>4850.8549999999996</v>
      </c>
      <c r="E5440" s="472" t="s">
        <v>170</v>
      </c>
      <c r="F5440" s="474"/>
    </row>
    <row r="5441" spans="1:6" s="475" customFormat="1" ht="15">
      <c r="A5441" s="472" t="s">
        <v>10305</v>
      </c>
      <c r="B5441" s="472" t="s">
        <v>10306</v>
      </c>
      <c r="C5441" s="472" t="s">
        <v>90</v>
      </c>
      <c r="D5441" s="472">
        <v>107.121</v>
      </c>
      <c r="E5441" s="472" t="s">
        <v>170</v>
      </c>
      <c r="F5441" s="474"/>
    </row>
    <row r="5442" spans="1:6" s="475" customFormat="1" ht="15">
      <c r="A5442" s="472" t="s">
        <v>10307</v>
      </c>
      <c r="B5442" s="472" t="s">
        <v>10308</v>
      </c>
      <c r="C5442" s="472" t="s">
        <v>5</v>
      </c>
      <c r="D5442" s="472">
        <v>7952.6039000000001</v>
      </c>
      <c r="E5442" s="472" t="s">
        <v>170</v>
      </c>
      <c r="F5442" s="474"/>
    </row>
    <row r="5443" spans="1:6" s="475" customFormat="1" ht="15">
      <c r="A5443" s="472" t="s">
        <v>10309</v>
      </c>
      <c r="B5443" s="472" t="s">
        <v>10310</v>
      </c>
      <c r="C5443" s="472" t="s">
        <v>5</v>
      </c>
      <c r="D5443" s="472">
        <v>11080.564</v>
      </c>
      <c r="E5443" s="472" t="s">
        <v>170</v>
      </c>
      <c r="F5443" s="474"/>
    </row>
    <row r="5444" spans="1:6" s="475" customFormat="1" ht="15">
      <c r="A5444" s="472" t="s">
        <v>10311</v>
      </c>
      <c r="B5444" s="472" t="s">
        <v>10312</v>
      </c>
      <c r="C5444" s="472" t="s">
        <v>90</v>
      </c>
      <c r="D5444" s="472">
        <v>244.5924</v>
      </c>
      <c r="E5444" s="472" t="s">
        <v>170</v>
      </c>
      <c r="F5444" s="474"/>
    </row>
    <row r="5445" spans="1:6" s="475" customFormat="1" ht="15">
      <c r="A5445" s="472" t="s">
        <v>10313</v>
      </c>
      <c r="B5445" s="472" t="s">
        <v>10314</v>
      </c>
      <c r="C5445" s="472" t="s">
        <v>90</v>
      </c>
      <c r="D5445" s="472">
        <v>488.8734</v>
      </c>
      <c r="E5445" s="472" t="s">
        <v>170</v>
      </c>
      <c r="F5445" s="474"/>
    </row>
    <row r="5446" spans="1:6" s="475" customFormat="1" ht="15">
      <c r="A5446" s="472" t="s">
        <v>10315</v>
      </c>
      <c r="B5446" s="472" t="s">
        <v>10316</v>
      </c>
      <c r="C5446" s="472" t="s">
        <v>90</v>
      </c>
      <c r="D5446" s="472">
        <v>534.97190000000001</v>
      </c>
      <c r="E5446" s="472" t="s">
        <v>170</v>
      </c>
      <c r="F5446" s="474"/>
    </row>
    <row r="5447" spans="1:6" s="475" customFormat="1" ht="15">
      <c r="A5447" s="472" t="s">
        <v>10317</v>
      </c>
      <c r="B5447" s="472" t="s">
        <v>10318</v>
      </c>
      <c r="C5447" s="472" t="s">
        <v>90</v>
      </c>
      <c r="D5447" s="472">
        <v>0.95450000000000002</v>
      </c>
      <c r="E5447" s="472" t="s">
        <v>170</v>
      </c>
      <c r="F5447" s="474"/>
    </row>
    <row r="5448" spans="1:6" s="475" customFormat="1" ht="15">
      <c r="A5448" s="472" t="s">
        <v>10319</v>
      </c>
      <c r="B5448" s="472" t="s">
        <v>26780</v>
      </c>
      <c r="C5448" s="472" t="s">
        <v>90</v>
      </c>
      <c r="D5448" s="472">
        <v>2.7395</v>
      </c>
      <c r="E5448" s="472" t="s">
        <v>170</v>
      </c>
      <c r="F5448" s="474"/>
    </row>
    <row r="5449" spans="1:6" s="475" customFormat="1" ht="15">
      <c r="A5449" s="472" t="s">
        <v>10320</v>
      </c>
      <c r="B5449" s="472" t="s">
        <v>10321</v>
      </c>
      <c r="C5449" s="472" t="s">
        <v>10075</v>
      </c>
      <c r="D5449" s="472">
        <v>739.95600000000002</v>
      </c>
      <c r="E5449" s="472" t="s">
        <v>170</v>
      </c>
      <c r="F5449" s="474"/>
    </row>
    <row r="5450" spans="1:6" s="475" customFormat="1" ht="15">
      <c r="A5450" s="472" t="s">
        <v>10322</v>
      </c>
      <c r="B5450" s="472" t="s">
        <v>10323</v>
      </c>
      <c r="C5450" s="472" t="s">
        <v>90</v>
      </c>
      <c r="D5450" s="472">
        <v>208.79</v>
      </c>
      <c r="E5450" s="472" t="s">
        <v>170</v>
      </c>
      <c r="F5450" s="474"/>
    </row>
    <row r="5451" spans="1:6" s="475" customFormat="1" ht="15">
      <c r="A5451" s="472" t="s">
        <v>10324</v>
      </c>
      <c r="B5451" s="472" t="s">
        <v>10325</v>
      </c>
      <c r="C5451" s="472" t="s">
        <v>90</v>
      </c>
      <c r="D5451" s="472">
        <v>460.245</v>
      </c>
      <c r="E5451" s="472" t="s">
        <v>170</v>
      </c>
      <c r="F5451" s="474"/>
    </row>
    <row r="5452" spans="1:6" s="475" customFormat="1" ht="15">
      <c r="A5452" s="472" t="s">
        <v>10326</v>
      </c>
      <c r="B5452" s="472" t="s">
        <v>10327</v>
      </c>
      <c r="C5452" s="472" t="s">
        <v>5</v>
      </c>
      <c r="D5452" s="472">
        <v>31.6539</v>
      </c>
      <c r="E5452" s="472" t="s">
        <v>170</v>
      </c>
      <c r="F5452" s="474"/>
    </row>
    <row r="5453" spans="1:6" s="475" customFormat="1" ht="15">
      <c r="A5453" s="472" t="s">
        <v>10328</v>
      </c>
      <c r="B5453" s="472" t="s">
        <v>10329</v>
      </c>
      <c r="C5453" s="472" t="s">
        <v>5</v>
      </c>
      <c r="D5453" s="472">
        <v>5.1683000000000003</v>
      </c>
      <c r="E5453" s="472" t="s">
        <v>170</v>
      </c>
      <c r="F5453" s="474"/>
    </row>
    <row r="5454" spans="1:6" s="475" customFormat="1" ht="15">
      <c r="A5454" s="472" t="s">
        <v>10330</v>
      </c>
      <c r="B5454" s="472" t="s">
        <v>10331</v>
      </c>
      <c r="C5454" s="472" t="s">
        <v>90</v>
      </c>
      <c r="D5454" s="472">
        <v>1.02</v>
      </c>
      <c r="E5454" s="472" t="s">
        <v>170</v>
      </c>
      <c r="F5454" s="474"/>
    </row>
    <row r="5455" spans="1:6" s="475" customFormat="1" ht="15">
      <c r="A5455" s="472" t="s">
        <v>10332</v>
      </c>
      <c r="B5455" s="472" t="s">
        <v>10333</v>
      </c>
      <c r="C5455" s="472" t="s">
        <v>5</v>
      </c>
      <c r="D5455" s="472">
        <v>6.9082999999999997</v>
      </c>
      <c r="E5455" s="472" t="s">
        <v>170</v>
      </c>
      <c r="F5455" s="474"/>
    </row>
    <row r="5456" spans="1:6" s="475" customFormat="1" ht="15">
      <c r="A5456" s="472" t="s">
        <v>10334</v>
      </c>
      <c r="B5456" s="472" t="s">
        <v>10335</v>
      </c>
      <c r="C5456" s="472" t="s">
        <v>5</v>
      </c>
      <c r="D5456" s="472">
        <v>5.9904999999999999</v>
      </c>
      <c r="E5456" s="472" t="s">
        <v>170</v>
      </c>
      <c r="F5456" s="474"/>
    </row>
    <row r="5457" spans="1:6" s="475" customFormat="1" ht="15">
      <c r="A5457" s="472" t="s">
        <v>10336</v>
      </c>
      <c r="B5457" s="472" t="s">
        <v>10337</v>
      </c>
      <c r="C5457" s="472" t="s">
        <v>5</v>
      </c>
      <c r="D5457" s="472">
        <v>13.9594</v>
      </c>
      <c r="E5457" s="472" t="s">
        <v>170</v>
      </c>
      <c r="F5457" s="474"/>
    </row>
    <row r="5458" spans="1:6" s="475" customFormat="1" ht="15">
      <c r="A5458" s="472" t="s">
        <v>10338</v>
      </c>
      <c r="B5458" s="472" t="s">
        <v>10339</v>
      </c>
      <c r="C5458" s="472" t="s">
        <v>10227</v>
      </c>
      <c r="D5458" s="472">
        <v>8.9499999999999993</v>
      </c>
      <c r="E5458" s="472" t="s">
        <v>170</v>
      </c>
      <c r="F5458" s="474"/>
    </row>
    <row r="5459" spans="1:6" s="475" customFormat="1" ht="15">
      <c r="A5459" s="472" t="s">
        <v>10340</v>
      </c>
      <c r="B5459" s="472" t="s">
        <v>10341</v>
      </c>
      <c r="C5459" s="472" t="s">
        <v>90</v>
      </c>
      <c r="D5459" s="472">
        <v>0.14230000000000001</v>
      </c>
      <c r="E5459" s="472" t="s">
        <v>170</v>
      </c>
      <c r="F5459" s="474"/>
    </row>
    <row r="5460" spans="1:6" s="475" customFormat="1" ht="15">
      <c r="A5460" s="472" t="s">
        <v>10342</v>
      </c>
      <c r="B5460" s="472" t="s">
        <v>10343</v>
      </c>
      <c r="C5460" s="472" t="s">
        <v>90</v>
      </c>
      <c r="D5460" s="472">
        <v>65.756600000000006</v>
      </c>
      <c r="E5460" s="472" t="s">
        <v>170</v>
      </c>
      <c r="F5460" s="474"/>
    </row>
    <row r="5461" spans="1:6" s="475" customFormat="1" ht="15">
      <c r="A5461" s="472" t="s">
        <v>10344</v>
      </c>
      <c r="B5461" s="472" t="s">
        <v>10345</v>
      </c>
      <c r="C5461" s="472" t="s">
        <v>90</v>
      </c>
      <c r="D5461" s="472">
        <v>137.803</v>
      </c>
      <c r="E5461" s="472" t="s">
        <v>170</v>
      </c>
      <c r="F5461" s="474"/>
    </row>
    <row r="5462" spans="1:6" s="475" customFormat="1" ht="15">
      <c r="A5462" s="472" t="s">
        <v>10346</v>
      </c>
      <c r="B5462" s="472" t="s">
        <v>10347</v>
      </c>
      <c r="C5462" s="472" t="s">
        <v>90</v>
      </c>
      <c r="D5462" s="472">
        <v>321.19209999999998</v>
      </c>
      <c r="E5462" s="472" t="s">
        <v>170</v>
      </c>
      <c r="F5462" s="474"/>
    </row>
    <row r="5463" spans="1:6" s="475" customFormat="1" ht="15">
      <c r="A5463" s="472" t="s">
        <v>10348</v>
      </c>
      <c r="B5463" s="472" t="s">
        <v>10349</v>
      </c>
      <c r="C5463" s="472" t="s">
        <v>90</v>
      </c>
      <c r="D5463" s="472">
        <v>611.42089999999996</v>
      </c>
      <c r="E5463" s="472" t="s">
        <v>170</v>
      </c>
      <c r="F5463" s="474"/>
    </row>
    <row r="5464" spans="1:6" s="475" customFormat="1" ht="15">
      <c r="A5464" s="472" t="s">
        <v>10350</v>
      </c>
      <c r="B5464" s="472" t="s">
        <v>10351</v>
      </c>
      <c r="C5464" s="472" t="s">
        <v>90</v>
      </c>
      <c r="D5464" s="472">
        <v>657.34849999999994</v>
      </c>
      <c r="E5464" s="472" t="s">
        <v>170</v>
      </c>
      <c r="F5464" s="474"/>
    </row>
    <row r="5465" spans="1:6" s="475" customFormat="1" ht="15">
      <c r="A5465" s="472" t="s">
        <v>7979</v>
      </c>
      <c r="B5465" s="472" t="s">
        <v>8006</v>
      </c>
      <c r="C5465" s="472" t="s">
        <v>10075</v>
      </c>
      <c r="D5465" s="472">
        <v>90.977500000000006</v>
      </c>
      <c r="E5465" s="472" t="s">
        <v>170</v>
      </c>
      <c r="F5465" s="474"/>
    </row>
    <row r="5466" spans="1:6" s="475" customFormat="1" ht="15">
      <c r="A5466" s="472" t="s">
        <v>10352</v>
      </c>
      <c r="B5466" s="472" t="s">
        <v>10353</v>
      </c>
      <c r="C5466" s="472" t="s">
        <v>10075</v>
      </c>
      <c r="D5466" s="472">
        <v>87.512100000000004</v>
      </c>
      <c r="E5466" s="472" t="s">
        <v>170</v>
      </c>
      <c r="F5466" s="474"/>
    </row>
    <row r="5467" spans="1:6" s="475" customFormat="1" ht="15">
      <c r="A5467" s="472" t="s">
        <v>10354</v>
      </c>
      <c r="B5467" s="472" t="s">
        <v>10355</v>
      </c>
      <c r="C5467" s="472" t="s">
        <v>10075</v>
      </c>
      <c r="D5467" s="472">
        <v>86.752200000000002</v>
      </c>
      <c r="E5467" s="472" t="s">
        <v>170</v>
      </c>
      <c r="F5467" s="474"/>
    </row>
    <row r="5468" spans="1:6" s="475" customFormat="1" ht="15">
      <c r="A5468" s="472" t="s">
        <v>10356</v>
      </c>
      <c r="B5468" s="472" t="s">
        <v>8008</v>
      </c>
      <c r="C5468" s="472" t="s">
        <v>10075</v>
      </c>
      <c r="D5468" s="472">
        <v>19.171500000000002</v>
      </c>
      <c r="E5468" s="472" t="s">
        <v>170</v>
      </c>
      <c r="F5468" s="474"/>
    </row>
    <row r="5469" spans="1:6" s="475" customFormat="1" ht="15">
      <c r="A5469" s="472" t="s">
        <v>10357</v>
      </c>
      <c r="B5469" s="472" t="s">
        <v>10358</v>
      </c>
      <c r="C5469" s="472" t="s">
        <v>90</v>
      </c>
      <c r="D5469" s="472">
        <v>0.26840000000000003</v>
      </c>
      <c r="E5469" s="472" t="s">
        <v>170</v>
      </c>
      <c r="F5469" s="474"/>
    </row>
    <row r="5470" spans="1:6" s="475" customFormat="1" ht="15">
      <c r="A5470" s="472" t="s">
        <v>10359</v>
      </c>
      <c r="B5470" s="472" t="s">
        <v>10360</v>
      </c>
      <c r="C5470" s="472" t="s">
        <v>89</v>
      </c>
      <c r="D5470" s="472">
        <v>4.7466999999999997</v>
      </c>
      <c r="E5470" s="472" t="s">
        <v>170</v>
      </c>
      <c r="F5470" s="474"/>
    </row>
    <row r="5471" spans="1:6" s="475" customFormat="1" ht="15">
      <c r="A5471" s="472" t="s">
        <v>10361</v>
      </c>
      <c r="B5471" s="472" t="s">
        <v>10362</v>
      </c>
      <c r="C5471" s="472" t="s">
        <v>90</v>
      </c>
      <c r="D5471" s="472">
        <v>1080.9653000000001</v>
      </c>
      <c r="E5471" s="472" t="s">
        <v>170</v>
      </c>
      <c r="F5471" s="474"/>
    </row>
    <row r="5472" spans="1:6" s="475" customFormat="1" ht="15">
      <c r="A5472" s="472" t="s">
        <v>10363</v>
      </c>
      <c r="B5472" s="472" t="s">
        <v>10364</v>
      </c>
      <c r="C5472" s="472" t="s">
        <v>90</v>
      </c>
      <c r="D5472" s="472">
        <v>549.69299999999998</v>
      </c>
      <c r="E5472" s="472" t="s">
        <v>170</v>
      </c>
      <c r="F5472" s="474"/>
    </row>
    <row r="5473" spans="1:6" s="475" customFormat="1" ht="15">
      <c r="A5473" s="472" t="s">
        <v>10365</v>
      </c>
      <c r="B5473" s="472" t="s">
        <v>10366</v>
      </c>
      <c r="C5473" s="472" t="s">
        <v>10367</v>
      </c>
      <c r="D5473" s="472">
        <v>1310.45</v>
      </c>
      <c r="E5473" s="472" t="s">
        <v>170</v>
      </c>
      <c r="F5473" s="474"/>
    </row>
    <row r="5474" spans="1:6" s="475" customFormat="1" ht="15">
      <c r="A5474" s="472" t="s">
        <v>10368</v>
      </c>
      <c r="B5474" s="472" t="s">
        <v>10369</v>
      </c>
      <c r="C5474" s="472" t="s">
        <v>89</v>
      </c>
      <c r="D5474" s="472">
        <v>1.5811999999999999</v>
      </c>
      <c r="E5474" s="472" t="s">
        <v>170</v>
      </c>
      <c r="F5474" s="474"/>
    </row>
    <row r="5475" spans="1:6" s="475" customFormat="1" ht="15">
      <c r="A5475" s="472" t="s">
        <v>10370</v>
      </c>
      <c r="B5475" s="472" t="s">
        <v>10371</v>
      </c>
      <c r="C5475" s="472" t="s">
        <v>89</v>
      </c>
      <c r="D5475" s="472">
        <v>1.0813999999999999</v>
      </c>
      <c r="E5475" s="472" t="s">
        <v>170</v>
      </c>
      <c r="F5475" s="474"/>
    </row>
    <row r="5476" spans="1:6" s="475" customFormat="1" ht="15">
      <c r="A5476" s="472" t="s">
        <v>10372</v>
      </c>
      <c r="B5476" s="472" t="s">
        <v>10373</v>
      </c>
      <c r="C5476" s="472" t="s">
        <v>89</v>
      </c>
      <c r="D5476" s="472">
        <v>1.5640000000000001</v>
      </c>
      <c r="E5476" s="472" t="s">
        <v>170</v>
      </c>
      <c r="F5476" s="474"/>
    </row>
    <row r="5477" spans="1:6" s="475" customFormat="1" ht="15">
      <c r="A5477" s="472" t="s">
        <v>10374</v>
      </c>
      <c r="B5477" s="472" t="s">
        <v>10375</v>
      </c>
      <c r="C5477" s="472" t="s">
        <v>89</v>
      </c>
      <c r="D5477" s="472">
        <v>1.3085</v>
      </c>
      <c r="E5477" s="472" t="s">
        <v>170</v>
      </c>
      <c r="F5477" s="474"/>
    </row>
    <row r="5478" spans="1:6" s="475" customFormat="1" ht="15">
      <c r="A5478" s="472" t="s">
        <v>10376</v>
      </c>
      <c r="B5478" s="472" t="s">
        <v>10377</v>
      </c>
      <c r="C5478" s="472" t="s">
        <v>89</v>
      </c>
      <c r="D5478" s="472">
        <v>0.17</v>
      </c>
      <c r="E5478" s="472" t="s">
        <v>170</v>
      </c>
      <c r="F5478" s="474"/>
    </row>
    <row r="5479" spans="1:6" s="475" customFormat="1" ht="15">
      <c r="A5479" s="472" t="s">
        <v>10378</v>
      </c>
      <c r="B5479" s="472" t="s">
        <v>10379</v>
      </c>
      <c r="C5479" s="472" t="s">
        <v>89</v>
      </c>
      <c r="D5479" s="472">
        <v>16.5</v>
      </c>
      <c r="E5479" s="472" t="s">
        <v>170</v>
      </c>
      <c r="F5479" s="474"/>
    </row>
    <row r="5480" spans="1:6" s="475" customFormat="1" ht="15">
      <c r="A5480" s="472" t="s">
        <v>10380</v>
      </c>
      <c r="B5480" s="472" t="s">
        <v>10381</v>
      </c>
      <c r="C5480" s="472" t="s">
        <v>90</v>
      </c>
      <c r="D5480" s="472">
        <v>38.701999999999998</v>
      </c>
      <c r="E5480" s="472" t="s">
        <v>170</v>
      </c>
      <c r="F5480" s="474"/>
    </row>
    <row r="5481" spans="1:6" s="475" customFormat="1" ht="15">
      <c r="A5481" s="472" t="s">
        <v>10382</v>
      </c>
      <c r="B5481" s="472" t="s">
        <v>10383</v>
      </c>
      <c r="C5481" s="472" t="s">
        <v>89</v>
      </c>
      <c r="D5481" s="472">
        <v>0.17430000000000001</v>
      </c>
      <c r="E5481" s="472" t="s">
        <v>170</v>
      </c>
      <c r="F5481" s="474"/>
    </row>
    <row r="5482" spans="1:6" s="475" customFormat="1" ht="15">
      <c r="A5482" s="472" t="s">
        <v>10384</v>
      </c>
      <c r="B5482" s="472" t="s">
        <v>10385</v>
      </c>
      <c r="C5482" s="472" t="s">
        <v>10227</v>
      </c>
      <c r="D5482" s="472">
        <v>132.78530000000001</v>
      </c>
      <c r="E5482" s="472" t="s">
        <v>170</v>
      </c>
      <c r="F5482" s="474"/>
    </row>
    <row r="5483" spans="1:6" s="475" customFormat="1" ht="15">
      <c r="A5483" s="472" t="s">
        <v>10386</v>
      </c>
      <c r="B5483" s="472" t="s">
        <v>10387</v>
      </c>
      <c r="C5483" s="472" t="s">
        <v>90</v>
      </c>
      <c r="D5483" s="472">
        <v>292.98270000000002</v>
      </c>
      <c r="E5483" s="472" t="s">
        <v>170</v>
      </c>
      <c r="F5483" s="474"/>
    </row>
    <row r="5484" spans="1:6" s="475" customFormat="1" ht="15">
      <c r="A5484" s="472" t="s">
        <v>10388</v>
      </c>
      <c r="B5484" s="472" t="s">
        <v>10389</v>
      </c>
      <c r="C5484" s="472" t="s">
        <v>90</v>
      </c>
      <c r="D5484" s="472">
        <v>504.14609999999999</v>
      </c>
      <c r="E5484" s="472" t="s">
        <v>170</v>
      </c>
      <c r="F5484" s="474"/>
    </row>
    <row r="5485" spans="1:6" s="475" customFormat="1" ht="15">
      <c r="A5485" s="472" t="s">
        <v>10390</v>
      </c>
      <c r="B5485" s="472" t="s">
        <v>10391</v>
      </c>
      <c r="C5485" s="472" t="s">
        <v>90</v>
      </c>
      <c r="D5485" s="472">
        <v>366.93389999999999</v>
      </c>
      <c r="E5485" s="472" t="s">
        <v>170</v>
      </c>
      <c r="F5485" s="474"/>
    </row>
    <row r="5486" spans="1:6" s="475" customFormat="1" ht="15">
      <c r="A5486" s="472" t="s">
        <v>10392</v>
      </c>
      <c r="B5486" s="472" t="s">
        <v>10393</v>
      </c>
      <c r="C5486" s="472" t="s">
        <v>90</v>
      </c>
      <c r="D5486" s="472">
        <v>513.3546</v>
      </c>
      <c r="E5486" s="472" t="s">
        <v>170</v>
      </c>
      <c r="F5486" s="474"/>
    </row>
    <row r="5487" spans="1:6" s="475" customFormat="1" ht="15">
      <c r="A5487" s="472" t="s">
        <v>10394</v>
      </c>
      <c r="B5487" s="472" t="s">
        <v>10395</v>
      </c>
      <c r="C5487" s="472" t="s">
        <v>10075</v>
      </c>
      <c r="D5487" s="472">
        <v>368.17700000000002</v>
      </c>
      <c r="E5487" s="472" t="s">
        <v>170</v>
      </c>
      <c r="F5487" s="474"/>
    </row>
    <row r="5488" spans="1:6" s="475" customFormat="1" ht="15">
      <c r="A5488" s="472" t="s">
        <v>10396</v>
      </c>
      <c r="B5488" s="472" t="s">
        <v>10397</v>
      </c>
      <c r="C5488" s="472" t="s">
        <v>10227</v>
      </c>
      <c r="D5488" s="472">
        <v>142.6302</v>
      </c>
      <c r="E5488" s="472" t="s">
        <v>170</v>
      </c>
      <c r="F5488" s="474"/>
    </row>
    <row r="5489" spans="1:6" s="475" customFormat="1" ht="15">
      <c r="A5489" s="472" t="s">
        <v>10398</v>
      </c>
      <c r="B5489" s="472" t="s">
        <v>10399</v>
      </c>
      <c r="C5489" s="472" t="s">
        <v>10227</v>
      </c>
      <c r="D5489" s="472">
        <v>156.15940000000001</v>
      </c>
      <c r="E5489" s="472" t="s">
        <v>170</v>
      </c>
      <c r="F5489" s="474"/>
    </row>
    <row r="5490" spans="1:6" s="475" customFormat="1" ht="15">
      <c r="A5490" s="472" t="s">
        <v>10400</v>
      </c>
      <c r="B5490" s="472" t="s">
        <v>6450</v>
      </c>
      <c r="C5490" s="472" t="s">
        <v>10401</v>
      </c>
      <c r="D5490" s="472">
        <v>0.65080000000000005</v>
      </c>
      <c r="E5490" s="472" t="s">
        <v>170</v>
      </c>
      <c r="F5490" s="474"/>
    </row>
    <row r="5491" spans="1:6" s="475" customFormat="1" ht="15">
      <c r="A5491" s="472" t="s">
        <v>10402</v>
      </c>
      <c r="B5491" s="472" t="s">
        <v>10403</v>
      </c>
      <c r="C5491" s="472" t="s">
        <v>5</v>
      </c>
      <c r="D5491" s="472">
        <v>8.8617000000000008</v>
      </c>
      <c r="E5491" s="472" t="s">
        <v>170</v>
      </c>
      <c r="F5491" s="474"/>
    </row>
    <row r="5492" spans="1:6" s="475" customFormat="1" ht="15">
      <c r="A5492" s="472" t="s">
        <v>10404</v>
      </c>
      <c r="B5492" s="472" t="s">
        <v>10405</v>
      </c>
      <c r="C5492" s="472" t="s">
        <v>10075</v>
      </c>
      <c r="D5492" s="472">
        <v>27.227399999999999</v>
      </c>
      <c r="E5492" s="472" t="s">
        <v>170</v>
      </c>
      <c r="F5492" s="474"/>
    </row>
    <row r="5493" spans="1:6" s="475" customFormat="1" ht="15">
      <c r="A5493" s="472" t="s">
        <v>10406</v>
      </c>
      <c r="B5493" s="472" t="s">
        <v>10407</v>
      </c>
      <c r="C5493" s="472" t="s">
        <v>89</v>
      </c>
      <c r="D5493" s="472">
        <v>6.4390000000000001</v>
      </c>
      <c r="E5493" s="472" t="s">
        <v>170</v>
      </c>
      <c r="F5493" s="474"/>
    </row>
    <row r="5494" spans="1:6" s="475" customFormat="1" ht="15">
      <c r="A5494" s="472" t="s">
        <v>10408</v>
      </c>
      <c r="B5494" s="472" t="s">
        <v>10409</v>
      </c>
      <c r="C5494" s="472" t="s">
        <v>4</v>
      </c>
      <c r="D5494" s="472">
        <v>66.6828</v>
      </c>
      <c r="E5494" s="472" t="s">
        <v>170</v>
      </c>
      <c r="F5494" s="474"/>
    </row>
    <row r="5495" spans="1:6" s="475" customFormat="1" ht="15">
      <c r="A5495" s="472" t="s">
        <v>10410</v>
      </c>
      <c r="B5495" s="472" t="s">
        <v>10411</v>
      </c>
      <c r="C5495" s="472" t="s">
        <v>4</v>
      </c>
      <c r="D5495" s="472">
        <v>17.3064</v>
      </c>
      <c r="E5495" s="472" t="s">
        <v>170</v>
      </c>
      <c r="F5495" s="474"/>
    </row>
    <row r="5496" spans="1:6" s="475" customFormat="1" ht="15">
      <c r="A5496" s="472" t="s">
        <v>10412</v>
      </c>
      <c r="B5496" s="472" t="s">
        <v>10413</v>
      </c>
      <c r="C5496" s="472" t="s">
        <v>5</v>
      </c>
      <c r="D5496" s="472">
        <v>2.6865999999999999</v>
      </c>
      <c r="E5496" s="472" t="s">
        <v>170</v>
      </c>
      <c r="F5496" s="474"/>
    </row>
    <row r="5497" spans="1:6" s="475" customFormat="1" ht="15">
      <c r="A5497" s="472" t="s">
        <v>10414</v>
      </c>
      <c r="B5497" s="472" t="s">
        <v>10415</v>
      </c>
      <c r="C5497" s="472" t="s">
        <v>90</v>
      </c>
      <c r="D5497" s="472">
        <v>17902.060000000001</v>
      </c>
      <c r="E5497" s="472" t="s">
        <v>170</v>
      </c>
      <c r="F5497" s="474"/>
    </row>
    <row r="5498" spans="1:6" s="475" customFormat="1" ht="15">
      <c r="A5498" s="472" t="s">
        <v>10416</v>
      </c>
      <c r="B5498" s="472" t="s">
        <v>10417</v>
      </c>
      <c r="C5498" s="472" t="s">
        <v>90</v>
      </c>
      <c r="D5498" s="472">
        <v>12800</v>
      </c>
      <c r="E5498" s="472" t="s">
        <v>170</v>
      </c>
      <c r="F5498" s="474"/>
    </row>
    <row r="5499" spans="1:6" s="475" customFormat="1" ht="15">
      <c r="A5499" s="472" t="s">
        <v>10418</v>
      </c>
      <c r="B5499" s="472" t="s">
        <v>10419</v>
      </c>
      <c r="C5499" s="472" t="s">
        <v>5</v>
      </c>
      <c r="D5499" s="472">
        <v>82.257999999999996</v>
      </c>
      <c r="E5499" s="472" t="s">
        <v>170</v>
      </c>
      <c r="F5499" s="474"/>
    </row>
    <row r="5500" spans="1:6" s="475" customFormat="1" ht="15">
      <c r="A5500" s="472" t="s">
        <v>10420</v>
      </c>
      <c r="B5500" s="472" t="s">
        <v>10421</v>
      </c>
      <c r="C5500" s="472" t="s">
        <v>5</v>
      </c>
      <c r="D5500" s="472">
        <v>17.828299999999999</v>
      </c>
      <c r="E5500" s="472" t="s">
        <v>170</v>
      </c>
      <c r="F5500" s="474"/>
    </row>
    <row r="5501" spans="1:6" s="475" customFormat="1" ht="15">
      <c r="A5501" s="472" t="s">
        <v>6870</v>
      </c>
      <c r="B5501" s="472" t="s">
        <v>7823</v>
      </c>
      <c r="C5501" s="472" t="s">
        <v>5</v>
      </c>
      <c r="D5501" s="472">
        <v>26.3032</v>
      </c>
      <c r="E5501" s="472" t="s">
        <v>170</v>
      </c>
      <c r="F5501" s="474"/>
    </row>
    <row r="5502" spans="1:6" s="475" customFormat="1" ht="15">
      <c r="A5502" s="472" t="s">
        <v>10422</v>
      </c>
      <c r="B5502" s="472" t="s">
        <v>10423</v>
      </c>
      <c r="C5502" s="472" t="s">
        <v>5</v>
      </c>
      <c r="D5502" s="472">
        <v>10.6107</v>
      </c>
      <c r="E5502" s="472" t="s">
        <v>170</v>
      </c>
      <c r="F5502" s="474"/>
    </row>
    <row r="5503" spans="1:6" s="475" customFormat="1" ht="15">
      <c r="A5503" s="472" t="s">
        <v>6871</v>
      </c>
      <c r="B5503" s="472" t="s">
        <v>7824</v>
      </c>
      <c r="C5503" s="472" t="s">
        <v>5</v>
      </c>
      <c r="D5503" s="472">
        <v>9.7302</v>
      </c>
      <c r="E5503" s="472" t="s">
        <v>170</v>
      </c>
      <c r="F5503" s="474"/>
    </row>
    <row r="5504" spans="1:6" s="475" customFormat="1" ht="15">
      <c r="A5504" s="472" t="s">
        <v>10424</v>
      </c>
      <c r="B5504" s="472" t="s">
        <v>10425</v>
      </c>
      <c r="C5504" s="472" t="s">
        <v>5</v>
      </c>
      <c r="D5504" s="472">
        <v>2.6295999999999999</v>
      </c>
      <c r="E5504" s="472" t="s">
        <v>170</v>
      </c>
      <c r="F5504" s="474"/>
    </row>
    <row r="5505" spans="1:6" s="475" customFormat="1" ht="15">
      <c r="A5505" s="472" t="s">
        <v>10426</v>
      </c>
      <c r="B5505" s="472" t="s">
        <v>10427</v>
      </c>
      <c r="C5505" s="472" t="s">
        <v>5</v>
      </c>
      <c r="D5505" s="472">
        <v>2.3744999999999998</v>
      </c>
      <c r="E5505" s="472" t="s">
        <v>170</v>
      </c>
      <c r="F5505" s="474"/>
    </row>
    <row r="5506" spans="1:6" s="475" customFormat="1" ht="15">
      <c r="A5506" s="472" t="s">
        <v>10428</v>
      </c>
      <c r="B5506" s="472" t="s">
        <v>10429</v>
      </c>
      <c r="C5506" s="472" t="s">
        <v>5</v>
      </c>
      <c r="D5506" s="472">
        <v>7.1242999999999999</v>
      </c>
      <c r="E5506" s="472" t="s">
        <v>170</v>
      </c>
      <c r="F5506" s="474"/>
    </row>
    <row r="5507" spans="1:6" s="475" customFormat="1" ht="15">
      <c r="A5507" s="472" t="s">
        <v>6827</v>
      </c>
      <c r="B5507" s="472" t="s">
        <v>7815</v>
      </c>
      <c r="C5507" s="472" t="s">
        <v>5</v>
      </c>
      <c r="D5507" s="472">
        <v>3.3033999999999999</v>
      </c>
      <c r="E5507" s="472" t="s">
        <v>170</v>
      </c>
      <c r="F5507" s="474"/>
    </row>
    <row r="5508" spans="1:6" s="475" customFormat="1" ht="15">
      <c r="A5508" s="472" t="s">
        <v>10430</v>
      </c>
      <c r="B5508" s="472" t="s">
        <v>10431</v>
      </c>
      <c r="C5508" s="472" t="s">
        <v>89</v>
      </c>
      <c r="D5508" s="472">
        <v>0.52449999999999997</v>
      </c>
      <c r="E5508" s="472" t="s">
        <v>170</v>
      </c>
      <c r="F5508" s="474"/>
    </row>
    <row r="5509" spans="1:6" s="475" customFormat="1" ht="15">
      <c r="A5509" s="472" t="s">
        <v>10432</v>
      </c>
      <c r="B5509" s="472" t="s">
        <v>10433</v>
      </c>
      <c r="C5509" s="472" t="s">
        <v>89</v>
      </c>
      <c r="D5509" s="472">
        <v>4.4539999999999997</v>
      </c>
      <c r="E5509" s="472" t="s">
        <v>170</v>
      </c>
      <c r="F5509" s="474"/>
    </row>
    <row r="5510" spans="1:6" s="475" customFormat="1" ht="15">
      <c r="A5510" s="472" t="s">
        <v>10434</v>
      </c>
      <c r="B5510" s="472" t="s">
        <v>10435</v>
      </c>
      <c r="C5510" s="472" t="s">
        <v>89</v>
      </c>
      <c r="D5510" s="472">
        <v>4.7508999999999997</v>
      </c>
      <c r="E5510" s="472" t="s">
        <v>170</v>
      </c>
      <c r="F5510" s="474"/>
    </row>
    <row r="5511" spans="1:6" s="475" customFormat="1" ht="15">
      <c r="A5511" s="472" t="s">
        <v>10436</v>
      </c>
      <c r="B5511" s="472" t="s">
        <v>10437</v>
      </c>
      <c r="C5511" s="472" t="s">
        <v>4</v>
      </c>
      <c r="D5511" s="472">
        <v>8.4693000000000005</v>
      </c>
      <c r="E5511" s="472" t="s">
        <v>170</v>
      </c>
      <c r="F5511" s="474"/>
    </row>
    <row r="5512" spans="1:6" s="475" customFormat="1" ht="15">
      <c r="A5512" s="472" t="s">
        <v>10438</v>
      </c>
      <c r="B5512" s="472" t="s">
        <v>10439</v>
      </c>
      <c r="C5512" s="472" t="s">
        <v>10227</v>
      </c>
      <c r="D5512" s="472">
        <v>133.11000000000001</v>
      </c>
      <c r="E5512" s="472" t="s">
        <v>170</v>
      </c>
      <c r="F5512" s="474"/>
    </row>
    <row r="5513" spans="1:6" s="475" customFormat="1" ht="15">
      <c r="A5513" s="472" t="s">
        <v>6876</v>
      </c>
      <c r="B5513" s="472" t="s">
        <v>7826</v>
      </c>
      <c r="C5513" s="472" t="s">
        <v>90</v>
      </c>
      <c r="D5513" s="472">
        <v>5.2050000000000001</v>
      </c>
      <c r="E5513" s="472" t="s">
        <v>170</v>
      </c>
      <c r="F5513" s="474"/>
    </row>
    <row r="5514" spans="1:6" s="475" customFormat="1" ht="15">
      <c r="A5514" s="472" t="s">
        <v>10440</v>
      </c>
      <c r="B5514" s="472" t="s">
        <v>10441</v>
      </c>
      <c r="C5514" s="472" t="s">
        <v>90</v>
      </c>
      <c r="D5514" s="472">
        <v>0.8</v>
      </c>
      <c r="E5514" s="472" t="s">
        <v>170</v>
      </c>
      <c r="F5514" s="474"/>
    </row>
    <row r="5515" spans="1:6" s="475" customFormat="1" ht="15">
      <c r="A5515" s="472" t="s">
        <v>10442</v>
      </c>
      <c r="B5515" s="472" t="s">
        <v>10443</v>
      </c>
      <c r="C5515" s="472" t="s">
        <v>90</v>
      </c>
      <c r="D5515" s="472">
        <v>13.345000000000001</v>
      </c>
      <c r="E5515" s="472" t="s">
        <v>170</v>
      </c>
      <c r="F5515" s="474"/>
    </row>
    <row r="5516" spans="1:6" s="475" customFormat="1" ht="15">
      <c r="A5516" s="472" t="s">
        <v>10444</v>
      </c>
      <c r="B5516" s="472" t="s">
        <v>10445</v>
      </c>
      <c r="C5516" s="472" t="s">
        <v>90</v>
      </c>
      <c r="D5516" s="472">
        <v>1.7054</v>
      </c>
      <c r="E5516" s="472" t="s">
        <v>170</v>
      </c>
      <c r="F5516" s="474"/>
    </row>
    <row r="5517" spans="1:6" s="475" customFormat="1" ht="15">
      <c r="A5517" s="472" t="s">
        <v>10446</v>
      </c>
      <c r="B5517" s="472" t="s">
        <v>10447</v>
      </c>
      <c r="C5517" s="472" t="s">
        <v>90</v>
      </c>
      <c r="D5517" s="472">
        <v>8.08</v>
      </c>
      <c r="E5517" s="472" t="s">
        <v>170</v>
      </c>
      <c r="F5517" s="474"/>
    </row>
    <row r="5518" spans="1:6" s="475" customFormat="1" ht="15">
      <c r="A5518" s="472" t="s">
        <v>10448</v>
      </c>
      <c r="B5518" s="472" t="s">
        <v>10449</v>
      </c>
      <c r="C5518" s="472" t="s">
        <v>90</v>
      </c>
      <c r="D5518" s="472">
        <v>41.2</v>
      </c>
      <c r="E5518" s="472" t="s">
        <v>170</v>
      </c>
      <c r="F5518" s="474"/>
    </row>
    <row r="5519" spans="1:6" s="475" customFormat="1" ht="15">
      <c r="A5519" s="472" t="s">
        <v>10450</v>
      </c>
      <c r="B5519" s="472" t="s">
        <v>10451</v>
      </c>
      <c r="C5519" s="472" t="s">
        <v>89</v>
      </c>
      <c r="D5519" s="472">
        <v>5.5103999999999997</v>
      </c>
      <c r="E5519" s="472" t="s">
        <v>170</v>
      </c>
      <c r="F5519" s="474"/>
    </row>
    <row r="5520" spans="1:6" s="475" customFormat="1" ht="15">
      <c r="A5520" s="472" t="s">
        <v>7350</v>
      </c>
      <c r="B5520" s="472" t="s">
        <v>10452</v>
      </c>
      <c r="C5520" s="472" t="s">
        <v>89</v>
      </c>
      <c r="D5520" s="472">
        <v>0.44140000000000001</v>
      </c>
      <c r="E5520" s="472" t="s">
        <v>170</v>
      </c>
      <c r="F5520" s="474"/>
    </row>
    <row r="5521" spans="1:6" s="475" customFormat="1" ht="15">
      <c r="A5521" s="472" t="s">
        <v>10453</v>
      </c>
      <c r="B5521" s="472" t="s">
        <v>10454</v>
      </c>
      <c r="C5521" s="472" t="s">
        <v>89</v>
      </c>
      <c r="D5521" s="472">
        <v>0.50719999999999998</v>
      </c>
      <c r="E5521" s="472" t="s">
        <v>170</v>
      </c>
      <c r="F5521" s="474"/>
    </row>
    <row r="5522" spans="1:6" s="475" customFormat="1" ht="15">
      <c r="A5522" s="472" t="s">
        <v>10455</v>
      </c>
      <c r="B5522" s="472" t="s">
        <v>10456</v>
      </c>
      <c r="C5522" s="472" t="s">
        <v>89</v>
      </c>
      <c r="D5522" s="472">
        <v>8.5329999999999995</v>
      </c>
      <c r="E5522" s="472" t="s">
        <v>170</v>
      </c>
      <c r="F5522" s="474"/>
    </row>
    <row r="5523" spans="1:6" s="475" customFormat="1" ht="15">
      <c r="A5523" s="472" t="s">
        <v>10457</v>
      </c>
      <c r="B5523" s="472" t="s">
        <v>10458</v>
      </c>
      <c r="C5523" s="472" t="s">
        <v>89</v>
      </c>
      <c r="D5523" s="472">
        <v>8.7128999999999994</v>
      </c>
      <c r="E5523" s="472" t="s">
        <v>170</v>
      </c>
      <c r="F5523" s="474"/>
    </row>
    <row r="5524" spans="1:6" s="475" customFormat="1" ht="15">
      <c r="A5524" s="472" t="s">
        <v>10459</v>
      </c>
      <c r="B5524" s="472" t="s">
        <v>10460</v>
      </c>
      <c r="C5524" s="472" t="s">
        <v>5</v>
      </c>
      <c r="D5524" s="472">
        <v>9.8649000000000004</v>
      </c>
      <c r="E5524" s="472" t="s">
        <v>170</v>
      </c>
      <c r="F5524" s="474"/>
    </row>
    <row r="5525" spans="1:6" s="475" customFormat="1" ht="15">
      <c r="A5525" s="472" t="s">
        <v>10461</v>
      </c>
      <c r="B5525" s="472" t="s">
        <v>10462</v>
      </c>
      <c r="C5525" s="472" t="s">
        <v>89</v>
      </c>
      <c r="D5525" s="472">
        <v>20.508099999999999</v>
      </c>
      <c r="E5525" s="472" t="s">
        <v>170</v>
      </c>
      <c r="F5525" s="474"/>
    </row>
    <row r="5526" spans="1:6" s="475" customFormat="1" ht="15">
      <c r="A5526" s="472" t="s">
        <v>7998</v>
      </c>
      <c r="B5526" s="472" t="s">
        <v>8012</v>
      </c>
      <c r="C5526" s="472" t="s">
        <v>5</v>
      </c>
      <c r="D5526" s="472">
        <v>81.427099999999996</v>
      </c>
      <c r="E5526" s="472" t="s">
        <v>170</v>
      </c>
      <c r="F5526" s="474"/>
    </row>
    <row r="5527" spans="1:6" s="475" customFormat="1" ht="15">
      <c r="A5527" s="472" t="s">
        <v>10463</v>
      </c>
      <c r="B5527" s="472" t="s">
        <v>10464</v>
      </c>
      <c r="C5527" s="472" t="s">
        <v>90</v>
      </c>
      <c r="D5527" s="472">
        <v>33.590200000000003</v>
      </c>
      <c r="E5527" s="472" t="s">
        <v>170</v>
      </c>
      <c r="F5527" s="474"/>
    </row>
    <row r="5528" spans="1:6" s="475" customFormat="1" ht="15">
      <c r="A5528" s="472" t="s">
        <v>10465</v>
      </c>
      <c r="B5528" s="472" t="s">
        <v>10466</v>
      </c>
      <c r="C5528" s="472" t="s">
        <v>10227</v>
      </c>
      <c r="D5528" s="472">
        <v>23.1404</v>
      </c>
      <c r="E5528" s="472" t="s">
        <v>170</v>
      </c>
      <c r="F5528" s="474"/>
    </row>
    <row r="5529" spans="1:6" s="475" customFormat="1" ht="15">
      <c r="A5529" s="472" t="s">
        <v>10467</v>
      </c>
      <c r="B5529" s="472" t="s">
        <v>10468</v>
      </c>
      <c r="C5529" s="472" t="s">
        <v>10227</v>
      </c>
      <c r="D5529" s="472">
        <v>25.619800000000001</v>
      </c>
      <c r="E5529" s="472" t="s">
        <v>170</v>
      </c>
      <c r="F5529" s="474"/>
    </row>
    <row r="5530" spans="1:6" s="475" customFormat="1" ht="15">
      <c r="A5530" s="472" t="s">
        <v>10469</v>
      </c>
      <c r="B5530" s="472" t="s">
        <v>10470</v>
      </c>
      <c r="C5530" s="472" t="s">
        <v>90</v>
      </c>
      <c r="D5530" s="472">
        <v>10.65</v>
      </c>
      <c r="E5530" s="472" t="s">
        <v>170</v>
      </c>
      <c r="F5530" s="474"/>
    </row>
    <row r="5531" spans="1:6" s="475" customFormat="1" ht="15">
      <c r="A5531" s="472" t="s">
        <v>10471</v>
      </c>
      <c r="B5531" s="472" t="s">
        <v>10472</v>
      </c>
      <c r="C5531" s="472" t="s">
        <v>90</v>
      </c>
      <c r="D5531" s="472">
        <v>14.6229</v>
      </c>
      <c r="E5531" s="472" t="s">
        <v>170</v>
      </c>
      <c r="F5531" s="474"/>
    </row>
    <row r="5532" spans="1:6" s="475" customFormat="1" ht="15">
      <c r="A5532" s="472" t="s">
        <v>10473</v>
      </c>
      <c r="B5532" s="472" t="s">
        <v>10474</v>
      </c>
      <c r="C5532" s="472" t="s">
        <v>10227</v>
      </c>
      <c r="D5532" s="472">
        <v>16.197500000000002</v>
      </c>
      <c r="E5532" s="472" t="s">
        <v>170</v>
      </c>
      <c r="F5532" s="474"/>
    </row>
    <row r="5533" spans="1:6" s="475" customFormat="1" ht="15">
      <c r="A5533" s="472" t="s">
        <v>10475</v>
      </c>
      <c r="B5533" s="472" t="s">
        <v>10476</v>
      </c>
      <c r="C5533" s="472" t="s">
        <v>10227</v>
      </c>
      <c r="D5533" s="472">
        <v>17.334700000000002</v>
      </c>
      <c r="E5533" s="472" t="s">
        <v>170</v>
      </c>
      <c r="F5533" s="474"/>
    </row>
    <row r="5534" spans="1:6" s="475" customFormat="1" ht="15">
      <c r="A5534" s="472" t="s">
        <v>10477</v>
      </c>
      <c r="B5534" s="472" t="s">
        <v>10478</v>
      </c>
      <c r="C5534" s="472" t="s">
        <v>10227</v>
      </c>
      <c r="D5534" s="472">
        <v>23.744700000000002</v>
      </c>
      <c r="E5534" s="472" t="s">
        <v>170</v>
      </c>
      <c r="F5534" s="474"/>
    </row>
    <row r="5535" spans="1:6" s="475" customFormat="1" ht="15">
      <c r="A5535" s="472" t="s">
        <v>10479</v>
      </c>
      <c r="B5535" s="472" t="s">
        <v>10480</v>
      </c>
      <c r="C5535" s="472" t="s">
        <v>10227</v>
      </c>
      <c r="D5535" s="472">
        <v>27.6921</v>
      </c>
      <c r="E5535" s="472" t="s">
        <v>170</v>
      </c>
      <c r="F5535" s="474"/>
    </row>
    <row r="5536" spans="1:6" s="475" customFormat="1" ht="15">
      <c r="A5536" s="472" t="s">
        <v>10481</v>
      </c>
      <c r="B5536" s="472" t="s">
        <v>10482</v>
      </c>
      <c r="C5536" s="472" t="s">
        <v>10227</v>
      </c>
      <c r="D5536" s="472">
        <v>20.5473</v>
      </c>
      <c r="E5536" s="472" t="s">
        <v>170</v>
      </c>
      <c r="F5536" s="474"/>
    </row>
    <row r="5537" spans="1:6" s="475" customFormat="1" ht="15">
      <c r="A5537" s="472" t="s">
        <v>10483</v>
      </c>
      <c r="B5537" s="472" t="s">
        <v>10484</v>
      </c>
      <c r="C5537" s="472" t="s">
        <v>10075</v>
      </c>
      <c r="D5537" s="472" t="s">
        <v>191</v>
      </c>
      <c r="E5537" s="472" t="s">
        <v>170</v>
      </c>
      <c r="F5537" s="474"/>
    </row>
    <row r="5538" spans="1:6" s="475" customFormat="1" ht="15">
      <c r="A5538" s="472" t="s">
        <v>10485</v>
      </c>
      <c r="B5538" s="472" t="s">
        <v>10486</v>
      </c>
      <c r="C5538" s="472" t="s">
        <v>10075</v>
      </c>
      <c r="D5538" s="472" t="s">
        <v>191</v>
      </c>
      <c r="E5538" s="472" t="s">
        <v>170</v>
      </c>
      <c r="F5538" s="474"/>
    </row>
    <row r="5539" spans="1:6" s="475" customFormat="1" ht="15">
      <c r="A5539" s="472" t="s">
        <v>10487</v>
      </c>
      <c r="B5539" s="472" t="s">
        <v>10488</v>
      </c>
      <c r="C5539" s="472" t="s">
        <v>10075</v>
      </c>
      <c r="D5539" s="472" t="s">
        <v>191</v>
      </c>
      <c r="E5539" s="472" t="s">
        <v>170</v>
      </c>
      <c r="F5539" s="474"/>
    </row>
    <row r="5540" spans="1:6" s="475" customFormat="1" ht="15">
      <c r="A5540" s="472" t="s">
        <v>10489</v>
      </c>
      <c r="B5540" s="472" t="s">
        <v>10490</v>
      </c>
      <c r="C5540" s="472" t="s">
        <v>10075</v>
      </c>
      <c r="D5540" s="472" t="s">
        <v>191</v>
      </c>
      <c r="E5540" s="472" t="s">
        <v>170</v>
      </c>
      <c r="F5540" s="474"/>
    </row>
    <row r="5541" spans="1:6" s="475" customFormat="1" ht="15">
      <c r="A5541" s="472" t="s">
        <v>10491</v>
      </c>
      <c r="B5541" s="472" t="s">
        <v>10492</v>
      </c>
      <c r="C5541" s="472" t="s">
        <v>10227</v>
      </c>
      <c r="D5541" s="472">
        <v>29.751999999999999</v>
      </c>
      <c r="E5541" s="472" t="s">
        <v>170</v>
      </c>
      <c r="F5541" s="474"/>
    </row>
    <row r="5542" spans="1:6" s="475" customFormat="1" ht="15">
      <c r="A5542" s="472" t="s">
        <v>10493</v>
      </c>
      <c r="B5542" s="472" t="s">
        <v>10494</v>
      </c>
      <c r="C5542" s="472" t="s">
        <v>90</v>
      </c>
      <c r="D5542" s="472">
        <v>28.5565</v>
      </c>
      <c r="E5542" s="472" t="s">
        <v>170</v>
      </c>
      <c r="F5542" s="474"/>
    </row>
    <row r="5543" spans="1:6" s="475" customFormat="1" ht="15">
      <c r="A5543" s="472" t="s">
        <v>10495</v>
      </c>
      <c r="B5543" s="472" t="s">
        <v>10496</v>
      </c>
      <c r="C5543" s="472" t="s">
        <v>90</v>
      </c>
      <c r="D5543" s="472">
        <v>42.274700000000003</v>
      </c>
      <c r="E5543" s="472" t="s">
        <v>170</v>
      </c>
      <c r="F5543" s="474"/>
    </row>
    <row r="5544" spans="1:6" s="475" customFormat="1" ht="15">
      <c r="A5544" s="472" t="s">
        <v>10497</v>
      </c>
      <c r="B5544" s="472" t="s">
        <v>10498</v>
      </c>
      <c r="C5544" s="472" t="s">
        <v>90</v>
      </c>
      <c r="D5544" s="472">
        <v>74.931700000000006</v>
      </c>
      <c r="E5544" s="472" t="s">
        <v>170</v>
      </c>
      <c r="F5544" s="474"/>
    </row>
    <row r="5545" spans="1:6" s="475" customFormat="1" ht="15">
      <c r="A5545" s="472" t="s">
        <v>10499</v>
      </c>
      <c r="B5545" s="472" t="s">
        <v>10500</v>
      </c>
      <c r="C5545" s="472" t="s">
        <v>90</v>
      </c>
      <c r="D5545" s="472">
        <v>9.16</v>
      </c>
      <c r="E5545" s="472" t="s">
        <v>170</v>
      </c>
      <c r="F5545" s="474"/>
    </row>
    <row r="5546" spans="1:6" s="475" customFormat="1" ht="15">
      <c r="A5546" s="472" t="s">
        <v>10501</v>
      </c>
      <c r="B5546" s="472" t="s">
        <v>10502</v>
      </c>
      <c r="C5546" s="472" t="s">
        <v>90</v>
      </c>
      <c r="D5546" s="472">
        <v>13.3119</v>
      </c>
      <c r="E5546" s="472" t="s">
        <v>170</v>
      </c>
      <c r="F5546" s="474"/>
    </row>
    <row r="5547" spans="1:6" s="475" customFormat="1" ht="15">
      <c r="A5547" s="472" t="s">
        <v>10503</v>
      </c>
      <c r="B5547" s="472" t="s">
        <v>10504</v>
      </c>
      <c r="C5547" s="472" t="s">
        <v>90</v>
      </c>
      <c r="D5547" s="472">
        <v>17.920000000000002</v>
      </c>
      <c r="E5547" s="472" t="s">
        <v>170</v>
      </c>
      <c r="F5547" s="474"/>
    </row>
    <row r="5548" spans="1:6" s="475" customFormat="1" ht="15">
      <c r="A5548" s="472" t="s">
        <v>10505</v>
      </c>
      <c r="B5548" s="472" t="s">
        <v>10506</v>
      </c>
      <c r="C5548" s="472" t="s">
        <v>90</v>
      </c>
      <c r="D5548" s="472">
        <v>29.2</v>
      </c>
      <c r="E5548" s="472" t="s">
        <v>170</v>
      </c>
      <c r="F5548" s="474"/>
    </row>
    <row r="5549" spans="1:6" s="475" customFormat="1" ht="15">
      <c r="A5549" s="472" t="s">
        <v>10507</v>
      </c>
      <c r="B5549" s="472" t="s">
        <v>10508</v>
      </c>
      <c r="C5549" s="472" t="s">
        <v>10227</v>
      </c>
      <c r="D5549" s="472">
        <v>45.661900000000003</v>
      </c>
      <c r="E5549" s="472" t="s">
        <v>170</v>
      </c>
      <c r="F5549" s="474"/>
    </row>
    <row r="5550" spans="1:6" s="475" customFormat="1" ht="15">
      <c r="A5550" s="472" t="s">
        <v>10509</v>
      </c>
      <c r="B5550" s="472" t="s">
        <v>10510</v>
      </c>
      <c r="C5550" s="472" t="s">
        <v>90</v>
      </c>
      <c r="D5550" s="472">
        <v>46.55</v>
      </c>
      <c r="E5550" s="472" t="s">
        <v>170</v>
      </c>
      <c r="F5550" s="474"/>
    </row>
    <row r="5551" spans="1:6" s="475" customFormat="1" ht="15">
      <c r="A5551" s="472" t="s">
        <v>10511</v>
      </c>
      <c r="B5551" s="472" t="s">
        <v>10512</v>
      </c>
      <c r="C5551" s="472" t="s">
        <v>90</v>
      </c>
      <c r="D5551" s="472">
        <v>5.3240999999999996</v>
      </c>
      <c r="E5551" s="472" t="s">
        <v>170</v>
      </c>
      <c r="F5551" s="474"/>
    </row>
    <row r="5552" spans="1:6" s="475" customFormat="1" ht="15">
      <c r="A5552" s="472" t="s">
        <v>7352</v>
      </c>
      <c r="B5552" s="472" t="s">
        <v>7831</v>
      </c>
      <c r="C5552" s="472" t="s">
        <v>89</v>
      </c>
      <c r="D5552" s="472">
        <v>5.09</v>
      </c>
      <c r="E5552" s="472" t="s">
        <v>170</v>
      </c>
      <c r="F5552" s="474"/>
    </row>
    <row r="5553" spans="1:6" s="475" customFormat="1" ht="15">
      <c r="A5553" s="472" t="s">
        <v>10513</v>
      </c>
      <c r="B5553" s="472" t="s">
        <v>10514</v>
      </c>
      <c r="C5553" s="472" t="s">
        <v>90</v>
      </c>
      <c r="D5553" s="472">
        <v>528.27160000000003</v>
      </c>
      <c r="E5553" s="472" t="s">
        <v>170</v>
      </c>
      <c r="F5553" s="474"/>
    </row>
    <row r="5554" spans="1:6" s="475" customFormat="1" ht="15">
      <c r="A5554" s="472" t="s">
        <v>10515</v>
      </c>
      <c r="B5554" s="472" t="s">
        <v>10516</v>
      </c>
      <c r="C5554" s="472" t="s">
        <v>10227</v>
      </c>
      <c r="D5554" s="472">
        <v>247.40770000000001</v>
      </c>
      <c r="E5554" s="472" t="s">
        <v>170</v>
      </c>
      <c r="F5554" s="474"/>
    </row>
    <row r="5555" spans="1:6" s="475" customFormat="1" ht="15">
      <c r="A5555" s="472" t="s">
        <v>10517</v>
      </c>
      <c r="B5555" s="472" t="s">
        <v>10518</v>
      </c>
      <c r="C5555" s="472" t="s">
        <v>89</v>
      </c>
      <c r="D5555" s="472">
        <v>11.6023</v>
      </c>
      <c r="E5555" s="472" t="s">
        <v>170</v>
      </c>
      <c r="F5555" s="474"/>
    </row>
    <row r="5556" spans="1:6" s="475" customFormat="1" ht="15">
      <c r="A5556" s="472" t="s">
        <v>10519</v>
      </c>
      <c r="B5556" s="472" t="s">
        <v>10520</v>
      </c>
      <c r="C5556" s="472" t="s">
        <v>90</v>
      </c>
      <c r="D5556" s="472">
        <v>97.912800000000004</v>
      </c>
      <c r="E5556" s="472" t="s">
        <v>170</v>
      </c>
      <c r="F5556" s="474"/>
    </row>
    <row r="5557" spans="1:6" s="475" customFormat="1" ht="15">
      <c r="A5557" s="472" t="s">
        <v>10521</v>
      </c>
      <c r="B5557" s="472" t="s">
        <v>10522</v>
      </c>
      <c r="C5557" s="472" t="s">
        <v>90</v>
      </c>
      <c r="D5557" s="472">
        <v>82.772099999999995</v>
      </c>
      <c r="E5557" s="472" t="s">
        <v>170</v>
      </c>
      <c r="F5557" s="474"/>
    </row>
    <row r="5558" spans="1:6" s="475" customFormat="1" ht="15">
      <c r="A5558" s="472" t="s">
        <v>10523</v>
      </c>
      <c r="B5558" s="472" t="s">
        <v>10524</v>
      </c>
      <c r="C5558" s="472" t="s">
        <v>90</v>
      </c>
      <c r="D5558" s="472">
        <v>386.00720000000001</v>
      </c>
      <c r="E5558" s="472" t="s">
        <v>170</v>
      </c>
      <c r="F5558" s="474"/>
    </row>
    <row r="5559" spans="1:6" s="475" customFormat="1" ht="15">
      <c r="A5559" s="472" t="s">
        <v>26781</v>
      </c>
      <c r="B5559" s="472" t="s">
        <v>26782</v>
      </c>
      <c r="C5559" s="472" t="s">
        <v>90</v>
      </c>
      <c r="D5559" s="472">
        <v>44.9</v>
      </c>
      <c r="E5559" s="472" t="s">
        <v>170</v>
      </c>
      <c r="F5559" s="474"/>
    </row>
    <row r="5560" spans="1:6" s="475" customFormat="1" ht="15">
      <c r="A5560" s="472" t="s">
        <v>26783</v>
      </c>
      <c r="B5560" s="472" t="s">
        <v>26784</v>
      </c>
      <c r="C5560" s="472" t="s">
        <v>5</v>
      </c>
      <c r="D5560" s="472">
        <v>66</v>
      </c>
      <c r="E5560" s="472" t="s">
        <v>170</v>
      </c>
      <c r="F5560" s="474"/>
    </row>
    <row r="5561" spans="1:6" s="475" customFormat="1" ht="15">
      <c r="A5561" s="472" t="s">
        <v>26785</v>
      </c>
      <c r="B5561" s="472" t="s">
        <v>26786</v>
      </c>
      <c r="C5561" s="472" t="s">
        <v>90</v>
      </c>
      <c r="D5561" s="472">
        <v>82.5</v>
      </c>
      <c r="E5561" s="472" t="s">
        <v>170</v>
      </c>
      <c r="F5561" s="474"/>
    </row>
    <row r="5562" spans="1:6" s="475" customFormat="1" ht="15">
      <c r="A5562" s="472" t="s">
        <v>26787</v>
      </c>
      <c r="B5562" s="472" t="s">
        <v>26788</v>
      </c>
      <c r="C5562" s="472" t="s">
        <v>90</v>
      </c>
      <c r="D5562" s="472">
        <v>100.7</v>
      </c>
      <c r="E5562" s="472" t="s">
        <v>170</v>
      </c>
      <c r="F5562" s="474"/>
    </row>
    <row r="5563" spans="1:6" s="475" customFormat="1" ht="15">
      <c r="A5563" s="472" t="s">
        <v>26789</v>
      </c>
      <c r="B5563" s="472" t="s">
        <v>26790</v>
      </c>
      <c r="C5563" s="472" t="s">
        <v>90</v>
      </c>
      <c r="D5563" s="472">
        <v>135</v>
      </c>
      <c r="E5563" s="472" t="s">
        <v>170</v>
      </c>
      <c r="F5563" s="474"/>
    </row>
    <row r="5564" spans="1:6" s="475" customFormat="1" ht="15">
      <c r="A5564" s="472" t="s">
        <v>26791</v>
      </c>
      <c r="B5564" s="472" t="s">
        <v>26792</v>
      </c>
      <c r="C5564" s="472" t="s">
        <v>90</v>
      </c>
      <c r="D5564" s="472">
        <v>35</v>
      </c>
      <c r="E5564" s="472" t="s">
        <v>170</v>
      </c>
      <c r="F5564" s="474"/>
    </row>
    <row r="5565" spans="1:6" s="475" customFormat="1" ht="15">
      <c r="A5565" s="472" t="s">
        <v>26793</v>
      </c>
      <c r="B5565" s="472" t="s">
        <v>26794</v>
      </c>
      <c r="C5565" s="472" t="s">
        <v>90</v>
      </c>
      <c r="D5565" s="472">
        <v>38.1</v>
      </c>
      <c r="E5565" s="472" t="s">
        <v>170</v>
      </c>
      <c r="F5565" s="474"/>
    </row>
    <row r="5566" spans="1:6" s="475" customFormat="1" ht="15">
      <c r="A5566" s="472" t="s">
        <v>26795</v>
      </c>
      <c r="B5566" s="472" t="s">
        <v>26796</v>
      </c>
      <c r="C5566" s="472" t="s">
        <v>90</v>
      </c>
      <c r="D5566" s="472">
        <v>49</v>
      </c>
      <c r="E5566" s="472" t="s">
        <v>170</v>
      </c>
      <c r="F5566" s="474"/>
    </row>
    <row r="5567" spans="1:6" s="475" customFormat="1" ht="15">
      <c r="A5567" s="472" t="s">
        <v>26797</v>
      </c>
      <c r="B5567" s="472" t="s">
        <v>26798</v>
      </c>
      <c r="C5567" s="472" t="s">
        <v>90</v>
      </c>
      <c r="D5567" s="472">
        <v>122</v>
      </c>
      <c r="E5567" s="472" t="s">
        <v>170</v>
      </c>
      <c r="F5567" s="474"/>
    </row>
    <row r="5568" spans="1:6" s="475" customFormat="1" ht="15">
      <c r="A5568" s="472" t="s">
        <v>26799</v>
      </c>
      <c r="B5568" s="472" t="s">
        <v>26800</v>
      </c>
      <c r="C5568" s="472" t="s">
        <v>90</v>
      </c>
      <c r="D5568" s="472">
        <v>132</v>
      </c>
      <c r="E5568" s="472" t="s">
        <v>170</v>
      </c>
      <c r="F5568" s="474"/>
    </row>
    <row r="5569" spans="1:6" s="475" customFormat="1" ht="15">
      <c r="A5569" s="472" t="s">
        <v>26801</v>
      </c>
      <c r="B5569" s="472" t="s">
        <v>26802</v>
      </c>
      <c r="C5569" s="472" t="s">
        <v>90</v>
      </c>
      <c r="D5569" s="472">
        <v>169</v>
      </c>
      <c r="E5569" s="472" t="s">
        <v>170</v>
      </c>
      <c r="F5569" s="474"/>
    </row>
    <row r="5570" spans="1:6" s="475" customFormat="1" ht="15">
      <c r="A5570" s="472" t="s">
        <v>26803</v>
      </c>
      <c r="B5570" s="472" t="s">
        <v>26804</v>
      </c>
      <c r="C5570" s="472" t="s">
        <v>90</v>
      </c>
      <c r="D5570" s="472">
        <v>99</v>
      </c>
      <c r="E5570" s="472" t="s">
        <v>170</v>
      </c>
      <c r="F5570" s="474"/>
    </row>
    <row r="5571" spans="1:6" s="475" customFormat="1" ht="15">
      <c r="A5571" s="472" t="s">
        <v>26805</v>
      </c>
      <c r="B5571" s="472" t="s">
        <v>26806</v>
      </c>
      <c r="C5571" s="472" t="s">
        <v>90</v>
      </c>
      <c r="D5571" s="472">
        <v>167.5</v>
      </c>
      <c r="E5571" s="472" t="s">
        <v>170</v>
      </c>
      <c r="F5571" s="474"/>
    </row>
    <row r="5572" spans="1:6" s="475" customFormat="1" ht="15">
      <c r="A5572" s="472" t="s">
        <v>26807</v>
      </c>
      <c r="B5572" s="472" t="s">
        <v>26808</v>
      </c>
      <c r="C5572" s="472" t="s">
        <v>90</v>
      </c>
      <c r="D5572" s="472">
        <v>222.5</v>
      </c>
      <c r="E5572" s="472" t="s">
        <v>170</v>
      </c>
      <c r="F5572" s="474"/>
    </row>
    <row r="5573" spans="1:6" s="475" customFormat="1" ht="15">
      <c r="A5573" s="472" t="s">
        <v>10525</v>
      </c>
      <c r="B5573" s="472" t="s">
        <v>10526</v>
      </c>
      <c r="C5573" s="472" t="s">
        <v>4</v>
      </c>
      <c r="D5573" s="472">
        <v>8.7956000000000003</v>
      </c>
      <c r="E5573" s="472" t="s">
        <v>170</v>
      </c>
      <c r="F5573" s="474"/>
    </row>
    <row r="5574" spans="1:6" s="475" customFormat="1" ht="15">
      <c r="A5574" s="472" t="s">
        <v>10527</v>
      </c>
      <c r="B5574" s="472" t="s">
        <v>10528</v>
      </c>
      <c r="C5574" s="472" t="s">
        <v>90</v>
      </c>
      <c r="D5574" s="472">
        <v>61.539099999999998</v>
      </c>
      <c r="E5574" s="472" t="s">
        <v>170</v>
      </c>
      <c r="F5574" s="474"/>
    </row>
    <row r="5575" spans="1:6" s="475" customFormat="1" ht="15">
      <c r="A5575" s="472" t="s">
        <v>10529</v>
      </c>
      <c r="B5575" s="472" t="s">
        <v>10530</v>
      </c>
      <c r="C5575" s="472" t="s">
        <v>10075</v>
      </c>
      <c r="D5575" s="472" t="s">
        <v>191</v>
      </c>
      <c r="E5575" s="472" t="s">
        <v>170</v>
      </c>
      <c r="F5575" s="474"/>
    </row>
    <row r="5576" spans="1:6" s="475" customFormat="1" ht="15">
      <c r="A5576" s="472" t="s">
        <v>10531</v>
      </c>
      <c r="B5576" s="472" t="s">
        <v>10532</v>
      </c>
      <c r="C5576" s="472" t="s">
        <v>89</v>
      </c>
      <c r="D5576" s="472">
        <v>4.5057</v>
      </c>
      <c r="E5576" s="472" t="s">
        <v>170</v>
      </c>
      <c r="F5576" s="474"/>
    </row>
    <row r="5577" spans="1:6" s="475" customFormat="1" ht="15">
      <c r="A5577" s="472" t="s">
        <v>10533</v>
      </c>
      <c r="B5577" s="472" t="s">
        <v>10534</v>
      </c>
      <c r="C5577" s="472" t="s">
        <v>5</v>
      </c>
      <c r="D5577" s="472">
        <v>172.04179999999999</v>
      </c>
      <c r="E5577" s="472" t="s">
        <v>170</v>
      </c>
      <c r="F5577" s="474"/>
    </row>
    <row r="5578" spans="1:6" s="475" customFormat="1" ht="15">
      <c r="A5578" s="472" t="s">
        <v>10535</v>
      </c>
      <c r="B5578" s="472" t="s">
        <v>10536</v>
      </c>
      <c r="C5578" s="472" t="s">
        <v>5</v>
      </c>
      <c r="D5578" s="472">
        <v>65.539699999999996</v>
      </c>
      <c r="E5578" s="472" t="s">
        <v>170</v>
      </c>
      <c r="F5578" s="474"/>
    </row>
    <row r="5579" spans="1:6" s="475" customFormat="1" ht="15">
      <c r="A5579" s="472" t="s">
        <v>10537</v>
      </c>
      <c r="B5579" s="472" t="s">
        <v>10538</v>
      </c>
      <c r="C5579" s="472" t="s">
        <v>5</v>
      </c>
      <c r="D5579" s="472">
        <v>88.296599999999998</v>
      </c>
      <c r="E5579" s="472" t="s">
        <v>170</v>
      </c>
      <c r="F5579" s="474"/>
    </row>
    <row r="5580" spans="1:6" s="475" customFormat="1" ht="15">
      <c r="A5580" s="472" t="s">
        <v>10539</v>
      </c>
      <c r="B5580" s="472" t="s">
        <v>10540</v>
      </c>
      <c r="C5580" s="472" t="s">
        <v>5</v>
      </c>
      <c r="D5580" s="472">
        <v>112.7805</v>
      </c>
      <c r="E5580" s="472" t="s">
        <v>170</v>
      </c>
      <c r="F5580" s="474"/>
    </row>
    <row r="5581" spans="1:6" s="475" customFormat="1" ht="15">
      <c r="A5581" s="472" t="s">
        <v>10541</v>
      </c>
      <c r="B5581" s="472" t="s">
        <v>10542</v>
      </c>
      <c r="C5581" s="472" t="s">
        <v>5</v>
      </c>
      <c r="D5581" s="472">
        <v>172.04179999999999</v>
      </c>
      <c r="E5581" s="472" t="s">
        <v>170</v>
      </c>
      <c r="F5581" s="474"/>
    </row>
    <row r="5582" spans="1:6" s="475" customFormat="1" ht="15">
      <c r="A5582" s="472" t="s">
        <v>10543</v>
      </c>
      <c r="B5582" s="472" t="s">
        <v>10544</v>
      </c>
      <c r="C5582" s="472" t="s">
        <v>90</v>
      </c>
      <c r="D5582" s="472">
        <v>7406.1594999999998</v>
      </c>
      <c r="E5582" s="472" t="s">
        <v>170</v>
      </c>
      <c r="F5582" s="474"/>
    </row>
    <row r="5583" spans="1:6" s="475" customFormat="1" ht="15">
      <c r="A5583" s="472" t="s">
        <v>10545</v>
      </c>
      <c r="B5583" s="472" t="s">
        <v>10546</v>
      </c>
      <c r="C5583" s="472" t="s">
        <v>90</v>
      </c>
      <c r="D5583" s="472">
        <v>9017.6823999999997</v>
      </c>
      <c r="E5583" s="472" t="s">
        <v>170</v>
      </c>
      <c r="F5583" s="474"/>
    </row>
    <row r="5584" spans="1:6" s="475" customFormat="1" ht="15">
      <c r="A5584" s="472" t="s">
        <v>10547</v>
      </c>
      <c r="B5584" s="472" t="s">
        <v>10548</v>
      </c>
      <c r="C5584" s="472" t="s">
        <v>90</v>
      </c>
      <c r="D5584" s="472">
        <v>12350.102800000001</v>
      </c>
      <c r="E5584" s="472" t="s">
        <v>170</v>
      </c>
      <c r="F5584" s="474"/>
    </row>
    <row r="5585" spans="1:6" s="475" customFormat="1" ht="15">
      <c r="A5585" s="472" t="s">
        <v>10549</v>
      </c>
      <c r="B5585" s="472" t="s">
        <v>10550</v>
      </c>
      <c r="C5585" s="472" t="s">
        <v>90</v>
      </c>
      <c r="D5585" s="472">
        <v>24701.6276</v>
      </c>
      <c r="E5585" s="472" t="s">
        <v>170</v>
      </c>
      <c r="F5585" s="474"/>
    </row>
    <row r="5586" spans="1:6" s="475" customFormat="1" ht="15">
      <c r="A5586" s="472" t="s">
        <v>10551</v>
      </c>
      <c r="B5586" s="472" t="s">
        <v>10552</v>
      </c>
      <c r="C5586" s="472" t="s">
        <v>5</v>
      </c>
      <c r="D5586" s="472">
        <v>112.73739999999999</v>
      </c>
      <c r="E5586" s="472" t="s">
        <v>170</v>
      </c>
      <c r="F5586" s="474"/>
    </row>
    <row r="5587" spans="1:6" s="475" customFormat="1" ht="15">
      <c r="A5587" s="472" t="s">
        <v>10553</v>
      </c>
      <c r="B5587" s="472" t="s">
        <v>10554</v>
      </c>
      <c r="C5587" s="472" t="s">
        <v>5</v>
      </c>
      <c r="D5587" s="472">
        <v>129.59710000000001</v>
      </c>
      <c r="E5587" s="472" t="s">
        <v>170</v>
      </c>
      <c r="F5587" s="474"/>
    </row>
    <row r="5588" spans="1:6" s="475" customFormat="1" ht="15">
      <c r="A5588" s="472" t="s">
        <v>6317</v>
      </c>
      <c r="B5588" s="472" t="s">
        <v>6765</v>
      </c>
      <c r="C5588" s="472" t="s">
        <v>89</v>
      </c>
      <c r="D5588" s="472">
        <v>5.1818</v>
      </c>
      <c r="E5588" s="472" t="s">
        <v>170</v>
      </c>
      <c r="F5588" s="474"/>
    </row>
    <row r="5589" spans="1:6" s="475" customFormat="1" ht="15">
      <c r="A5589" s="472" t="s">
        <v>10555</v>
      </c>
      <c r="B5589" s="472" t="s">
        <v>10556</v>
      </c>
      <c r="C5589" s="472" t="s">
        <v>5</v>
      </c>
      <c r="D5589" s="472">
        <v>180.14750000000001</v>
      </c>
      <c r="E5589" s="472" t="s">
        <v>170</v>
      </c>
      <c r="F5589" s="474"/>
    </row>
    <row r="5590" spans="1:6" s="475" customFormat="1" ht="15">
      <c r="A5590" s="472" t="s">
        <v>10557</v>
      </c>
      <c r="B5590" s="472" t="s">
        <v>10558</v>
      </c>
      <c r="C5590" s="472" t="s">
        <v>4</v>
      </c>
      <c r="D5590" s="472">
        <v>28.466000000000001</v>
      </c>
      <c r="E5590" s="472" t="s">
        <v>170</v>
      </c>
      <c r="F5590" s="474"/>
    </row>
    <row r="5591" spans="1:6" s="475" customFormat="1" ht="15">
      <c r="A5591" s="472" t="s">
        <v>10559</v>
      </c>
      <c r="B5591" s="472" t="s">
        <v>10560</v>
      </c>
      <c r="C5591" s="472" t="s">
        <v>4</v>
      </c>
      <c r="D5591" s="472">
        <v>40.533299999999997</v>
      </c>
      <c r="E5591" s="472" t="s">
        <v>170</v>
      </c>
      <c r="F5591" s="474"/>
    </row>
    <row r="5592" spans="1:6" s="475" customFormat="1" ht="15">
      <c r="A5592" s="472" t="s">
        <v>10561</v>
      </c>
      <c r="B5592" s="472" t="s">
        <v>10562</v>
      </c>
      <c r="C5592" s="472" t="s">
        <v>4</v>
      </c>
      <c r="D5592" s="472">
        <v>26.769400000000001</v>
      </c>
      <c r="E5592" s="472" t="s">
        <v>170</v>
      </c>
      <c r="F5592" s="474"/>
    </row>
    <row r="5593" spans="1:6" s="475" customFormat="1" ht="15">
      <c r="A5593" s="472" t="s">
        <v>10563</v>
      </c>
      <c r="B5593" s="472" t="s">
        <v>10564</v>
      </c>
      <c r="C5593" s="472" t="s">
        <v>5</v>
      </c>
      <c r="D5593" s="472">
        <v>184.85849999999999</v>
      </c>
      <c r="E5593" s="472" t="s">
        <v>170</v>
      </c>
      <c r="F5593" s="474"/>
    </row>
    <row r="5594" spans="1:6" s="475" customFormat="1" ht="15">
      <c r="A5594" s="472" t="s">
        <v>10565</v>
      </c>
      <c r="B5594" s="472" t="s">
        <v>10566</v>
      </c>
      <c r="C5594" s="472" t="s">
        <v>4</v>
      </c>
      <c r="D5594" s="472">
        <v>6.5270000000000001</v>
      </c>
      <c r="E5594" s="472" t="s">
        <v>170</v>
      </c>
      <c r="F5594" s="474"/>
    </row>
    <row r="5595" spans="1:6" s="475" customFormat="1" ht="15">
      <c r="A5595" s="472" t="s">
        <v>10567</v>
      </c>
      <c r="B5595" s="472" t="s">
        <v>10568</v>
      </c>
      <c r="C5595" s="472" t="s">
        <v>5</v>
      </c>
      <c r="D5595" s="472">
        <v>293.75</v>
      </c>
      <c r="E5595" s="472" t="s">
        <v>170</v>
      </c>
      <c r="F5595" s="474"/>
    </row>
    <row r="5596" spans="1:6" s="475" customFormat="1" ht="15">
      <c r="A5596" s="472" t="s">
        <v>10569</v>
      </c>
      <c r="B5596" s="472" t="s">
        <v>10570</v>
      </c>
      <c r="C5596" s="472" t="s">
        <v>10227</v>
      </c>
      <c r="D5596" s="472">
        <v>0.9506</v>
      </c>
      <c r="E5596" s="472" t="s">
        <v>170</v>
      </c>
      <c r="F5596" s="474"/>
    </row>
    <row r="5597" spans="1:6" s="475" customFormat="1" ht="15">
      <c r="A5597" s="472" t="s">
        <v>10571</v>
      </c>
      <c r="B5597" s="472" t="s">
        <v>10572</v>
      </c>
      <c r="C5597" s="472" t="s">
        <v>10227</v>
      </c>
      <c r="D5597" s="472">
        <v>4.1100000000000003</v>
      </c>
      <c r="E5597" s="472" t="s">
        <v>170</v>
      </c>
      <c r="F5597" s="474"/>
    </row>
    <row r="5598" spans="1:6" s="475" customFormat="1" ht="15">
      <c r="A5598" s="472" t="s">
        <v>10573</v>
      </c>
      <c r="B5598" s="472" t="s">
        <v>10574</v>
      </c>
      <c r="C5598" s="472" t="s">
        <v>90</v>
      </c>
      <c r="D5598" s="472">
        <v>0.52090000000000003</v>
      </c>
      <c r="E5598" s="472" t="s">
        <v>170</v>
      </c>
      <c r="F5598" s="474"/>
    </row>
    <row r="5599" spans="1:6" s="475" customFormat="1" ht="15">
      <c r="A5599" s="472" t="s">
        <v>10575</v>
      </c>
      <c r="B5599" s="472" t="s">
        <v>10576</v>
      </c>
      <c r="C5599" s="472" t="s">
        <v>89</v>
      </c>
      <c r="D5599" s="472">
        <v>6.1265000000000001</v>
      </c>
      <c r="E5599" s="472" t="s">
        <v>170</v>
      </c>
      <c r="F5599" s="474"/>
    </row>
    <row r="5600" spans="1:6" s="475" customFormat="1" ht="15">
      <c r="A5600" s="472" t="s">
        <v>10577</v>
      </c>
      <c r="B5600" s="472" t="s">
        <v>10578</v>
      </c>
      <c r="C5600" s="472" t="s">
        <v>10227</v>
      </c>
      <c r="D5600" s="472">
        <v>0.98360000000000003</v>
      </c>
      <c r="E5600" s="472" t="s">
        <v>170</v>
      </c>
      <c r="F5600" s="474"/>
    </row>
    <row r="5601" spans="1:6" s="475" customFormat="1" ht="15">
      <c r="A5601" s="472" t="s">
        <v>10579</v>
      </c>
      <c r="B5601" s="472" t="s">
        <v>10580</v>
      </c>
      <c r="C5601" s="472" t="s">
        <v>5</v>
      </c>
      <c r="D5601" s="472">
        <v>299.18869999999998</v>
      </c>
      <c r="E5601" s="472" t="s">
        <v>170</v>
      </c>
      <c r="F5601" s="474"/>
    </row>
    <row r="5602" spans="1:6" s="475" customFormat="1" ht="15">
      <c r="A5602" s="472" t="s">
        <v>10581</v>
      </c>
      <c r="B5602" s="472" t="s">
        <v>10582</v>
      </c>
      <c r="C5602" s="472" t="s">
        <v>5</v>
      </c>
      <c r="D5602" s="472">
        <v>547.45889999999997</v>
      </c>
      <c r="E5602" s="472" t="s">
        <v>170</v>
      </c>
      <c r="F5602" s="474"/>
    </row>
    <row r="5603" spans="1:6" s="475" customFormat="1" ht="15">
      <c r="A5603" s="472" t="s">
        <v>10583</v>
      </c>
      <c r="B5603" s="472" t="s">
        <v>10584</v>
      </c>
      <c r="C5603" s="472" t="s">
        <v>90</v>
      </c>
      <c r="D5603" s="472">
        <v>15699.687</v>
      </c>
      <c r="E5603" s="472" t="s">
        <v>170</v>
      </c>
      <c r="F5603" s="474"/>
    </row>
    <row r="5604" spans="1:6" s="475" customFormat="1" ht="15">
      <c r="A5604" s="472" t="s">
        <v>10585</v>
      </c>
      <c r="B5604" s="472" t="s">
        <v>10586</v>
      </c>
      <c r="C5604" s="472" t="s">
        <v>90</v>
      </c>
      <c r="D5604" s="472">
        <v>154.77940000000001</v>
      </c>
      <c r="E5604" s="472" t="s">
        <v>170</v>
      </c>
      <c r="F5604" s="474"/>
    </row>
    <row r="5605" spans="1:6" s="475" customFormat="1" ht="15">
      <c r="A5605" s="472" t="s">
        <v>10587</v>
      </c>
      <c r="B5605" s="472" t="s">
        <v>10588</v>
      </c>
      <c r="C5605" s="472" t="s">
        <v>10227</v>
      </c>
      <c r="D5605" s="472">
        <v>0.97470000000000001</v>
      </c>
      <c r="E5605" s="472" t="s">
        <v>170</v>
      </c>
      <c r="F5605" s="474"/>
    </row>
    <row r="5606" spans="1:6" s="475" customFormat="1" ht="15">
      <c r="A5606" s="472" t="s">
        <v>10589</v>
      </c>
      <c r="B5606" s="472" t="s">
        <v>10590</v>
      </c>
      <c r="C5606" s="472" t="s">
        <v>90</v>
      </c>
      <c r="D5606" s="472">
        <v>260.04000000000002</v>
      </c>
      <c r="E5606" s="472" t="s">
        <v>170</v>
      </c>
      <c r="F5606" s="474"/>
    </row>
    <row r="5607" spans="1:6" s="475" customFormat="1" ht="15">
      <c r="A5607" s="472" t="s">
        <v>10591</v>
      </c>
      <c r="B5607" s="472" t="s">
        <v>10592</v>
      </c>
      <c r="C5607" s="472" t="s">
        <v>5</v>
      </c>
      <c r="D5607" s="472">
        <v>33.680199999999999</v>
      </c>
      <c r="E5607" s="472" t="s">
        <v>170</v>
      </c>
      <c r="F5607" s="474"/>
    </row>
    <row r="5608" spans="1:6" s="475" customFormat="1" ht="15">
      <c r="A5608" s="472" t="s">
        <v>10593</v>
      </c>
      <c r="B5608" s="472" t="s">
        <v>10594</v>
      </c>
      <c r="C5608" s="472" t="s">
        <v>3495</v>
      </c>
      <c r="D5608" s="472" t="s">
        <v>191</v>
      </c>
      <c r="E5608" s="472" t="s">
        <v>170</v>
      </c>
      <c r="F5608" s="474"/>
    </row>
    <row r="5609" spans="1:6" s="475" customFormat="1" ht="15">
      <c r="A5609" s="472" t="s">
        <v>10595</v>
      </c>
      <c r="B5609" s="472" t="s">
        <v>10596</v>
      </c>
      <c r="C5609" s="472" t="s">
        <v>3495</v>
      </c>
      <c r="D5609" s="472" t="s">
        <v>191</v>
      </c>
      <c r="E5609" s="472" t="s">
        <v>170</v>
      </c>
      <c r="F5609" s="474"/>
    </row>
    <row r="5610" spans="1:6" s="475" customFormat="1" ht="15">
      <c r="A5610" s="472" t="s">
        <v>10597</v>
      </c>
      <c r="B5610" s="472" t="s">
        <v>10598</v>
      </c>
      <c r="C5610" s="472" t="s">
        <v>10075</v>
      </c>
      <c r="D5610" s="472">
        <v>200</v>
      </c>
      <c r="E5610" s="472" t="s">
        <v>170</v>
      </c>
      <c r="F5610" s="474"/>
    </row>
    <row r="5611" spans="1:6" s="475" customFormat="1" ht="15">
      <c r="A5611" s="472" t="s">
        <v>6307</v>
      </c>
      <c r="B5611" s="472" t="s">
        <v>6762</v>
      </c>
      <c r="C5611" s="472" t="s">
        <v>89</v>
      </c>
      <c r="D5611" s="472">
        <v>14.1</v>
      </c>
      <c r="E5611" s="472" t="s">
        <v>170</v>
      </c>
      <c r="F5611" s="474"/>
    </row>
    <row r="5612" spans="1:6" s="475" customFormat="1" ht="15">
      <c r="A5612" s="472" t="s">
        <v>6306</v>
      </c>
      <c r="B5612" s="472" t="s">
        <v>6761</v>
      </c>
      <c r="C5612" s="472" t="s">
        <v>89</v>
      </c>
      <c r="D5612" s="472">
        <v>9.5</v>
      </c>
      <c r="E5612" s="472" t="s">
        <v>170</v>
      </c>
      <c r="F5612" s="474"/>
    </row>
    <row r="5613" spans="1:6" s="475" customFormat="1" ht="15">
      <c r="A5613" s="472" t="s">
        <v>10599</v>
      </c>
      <c r="B5613" s="472" t="s">
        <v>10600</v>
      </c>
      <c r="C5613" s="472" t="s">
        <v>90</v>
      </c>
      <c r="D5613" s="472">
        <v>17414.805</v>
      </c>
      <c r="E5613" s="472" t="s">
        <v>170</v>
      </c>
      <c r="F5613" s="474"/>
    </row>
    <row r="5614" spans="1:6" s="475" customFormat="1" ht="15">
      <c r="A5614" s="472" t="s">
        <v>10601</v>
      </c>
      <c r="B5614" s="472" t="s">
        <v>10602</v>
      </c>
      <c r="C5614" s="472" t="s">
        <v>90</v>
      </c>
      <c r="D5614" s="472">
        <v>17487.394499999999</v>
      </c>
      <c r="E5614" s="472" t="s">
        <v>170</v>
      </c>
      <c r="F5614" s="474"/>
    </row>
    <row r="5615" spans="1:6" s="475" customFormat="1" ht="15">
      <c r="A5615" s="472" t="s">
        <v>10603</v>
      </c>
      <c r="B5615" s="472" t="s">
        <v>10604</v>
      </c>
      <c r="C5615" s="472" t="s">
        <v>90</v>
      </c>
      <c r="D5615" s="472">
        <v>18759.097699999998</v>
      </c>
      <c r="E5615" s="472" t="s">
        <v>170</v>
      </c>
      <c r="F5615" s="474"/>
    </row>
    <row r="5616" spans="1:6" s="475" customFormat="1" ht="15">
      <c r="A5616" s="472" t="s">
        <v>10605</v>
      </c>
      <c r="B5616" s="472" t="s">
        <v>10606</v>
      </c>
      <c r="C5616" s="472" t="s">
        <v>90</v>
      </c>
      <c r="D5616" s="472">
        <v>21560.894700000001</v>
      </c>
      <c r="E5616" s="472" t="s">
        <v>170</v>
      </c>
      <c r="F5616" s="474"/>
    </row>
    <row r="5617" spans="1:6" s="475" customFormat="1" ht="15">
      <c r="A5617" s="472" t="s">
        <v>10607</v>
      </c>
      <c r="B5617" s="472" t="s">
        <v>10608</v>
      </c>
      <c r="C5617" s="472" t="s">
        <v>90</v>
      </c>
      <c r="D5617" s="472">
        <v>24814.9928</v>
      </c>
      <c r="E5617" s="472" t="s">
        <v>170</v>
      </c>
      <c r="F5617" s="474"/>
    </row>
    <row r="5618" spans="1:6" s="475" customFormat="1" ht="15">
      <c r="A5618" s="472" t="s">
        <v>10609</v>
      </c>
      <c r="B5618" s="472" t="s">
        <v>10610</v>
      </c>
      <c r="C5618" s="472" t="s">
        <v>10611</v>
      </c>
      <c r="D5618" s="472">
        <v>60.207099999999997</v>
      </c>
      <c r="E5618" s="472" t="s">
        <v>170</v>
      </c>
      <c r="F5618" s="474"/>
    </row>
    <row r="5619" spans="1:6" s="475" customFormat="1" ht="15">
      <c r="A5619" s="472" t="s">
        <v>10612</v>
      </c>
      <c r="B5619" s="472" t="s">
        <v>10613</v>
      </c>
      <c r="C5619" s="472" t="s">
        <v>90</v>
      </c>
      <c r="D5619" s="472">
        <v>24086.887299999999</v>
      </c>
      <c r="E5619" s="472" t="s">
        <v>170</v>
      </c>
      <c r="F5619" s="474"/>
    </row>
    <row r="5620" spans="1:6" s="475" customFormat="1" ht="15">
      <c r="A5620" s="472" t="s">
        <v>10614</v>
      </c>
      <c r="B5620" s="472" t="s">
        <v>10615</v>
      </c>
      <c r="C5620" s="472" t="s">
        <v>90</v>
      </c>
      <c r="D5620" s="472">
        <v>26303.858</v>
      </c>
      <c r="E5620" s="472" t="s">
        <v>170</v>
      </c>
      <c r="F5620" s="474"/>
    </row>
    <row r="5621" spans="1:6" s="475" customFormat="1" ht="15">
      <c r="A5621" s="472" t="s">
        <v>10616</v>
      </c>
      <c r="B5621" s="472" t="s">
        <v>10617</v>
      </c>
      <c r="C5621" s="472" t="s">
        <v>90</v>
      </c>
      <c r="D5621" s="472">
        <v>27422.588100000001</v>
      </c>
      <c r="E5621" s="472" t="s">
        <v>170</v>
      </c>
      <c r="F5621" s="474"/>
    </row>
    <row r="5622" spans="1:6" s="475" customFormat="1" ht="15">
      <c r="A5622" s="472" t="s">
        <v>10618</v>
      </c>
      <c r="B5622" s="472" t="s">
        <v>10619</v>
      </c>
      <c r="C5622" s="472" t="s">
        <v>90</v>
      </c>
      <c r="D5622" s="472">
        <v>27581.834699999999</v>
      </c>
      <c r="E5622" s="472" t="s">
        <v>170</v>
      </c>
      <c r="F5622" s="474"/>
    </row>
    <row r="5623" spans="1:6" s="475" customFormat="1" ht="15">
      <c r="A5623" s="472" t="s">
        <v>10620</v>
      </c>
      <c r="B5623" s="472" t="s">
        <v>10621</v>
      </c>
      <c r="C5623" s="472" t="s">
        <v>90</v>
      </c>
      <c r="D5623" s="472">
        <v>33367.505499999999</v>
      </c>
      <c r="E5623" s="472" t="s">
        <v>170</v>
      </c>
      <c r="F5623" s="474"/>
    </row>
    <row r="5624" spans="1:6" s="475" customFormat="1" ht="15">
      <c r="A5624" s="472" t="s">
        <v>6872</v>
      </c>
      <c r="B5624" s="472" t="s">
        <v>7825</v>
      </c>
      <c r="C5624" s="472" t="s">
        <v>5</v>
      </c>
      <c r="D5624" s="472">
        <v>13.546900000000001</v>
      </c>
      <c r="E5624" s="472" t="s">
        <v>170</v>
      </c>
      <c r="F5624" s="474"/>
    </row>
    <row r="5625" spans="1:6" s="475" customFormat="1" ht="15">
      <c r="A5625" s="472" t="s">
        <v>10622</v>
      </c>
      <c r="B5625" s="472" t="s">
        <v>10623</v>
      </c>
      <c r="C5625" s="472" t="s">
        <v>90</v>
      </c>
      <c r="D5625" s="472">
        <v>38042.5772</v>
      </c>
      <c r="E5625" s="472" t="s">
        <v>170</v>
      </c>
      <c r="F5625" s="474"/>
    </row>
    <row r="5626" spans="1:6" s="475" customFormat="1" ht="15">
      <c r="A5626" s="472" t="s">
        <v>10624</v>
      </c>
      <c r="B5626" s="472" t="s">
        <v>10625</v>
      </c>
      <c r="C5626" s="472" t="s">
        <v>10075</v>
      </c>
      <c r="D5626" s="472">
        <v>84.151399999999995</v>
      </c>
      <c r="E5626" s="472" t="s">
        <v>170</v>
      </c>
      <c r="F5626" s="474"/>
    </row>
    <row r="5627" spans="1:6" s="475" customFormat="1" ht="15">
      <c r="A5627" s="472" t="s">
        <v>10626</v>
      </c>
      <c r="B5627" s="472" t="s">
        <v>10627</v>
      </c>
      <c r="C5627" s="472" t="s">
        <v>5</v>
      </c>
      <c r="D5627" s="472">
        <v>4.6466000000000003</v>
      </c>
      <c r="E5627" s="472" t="s">
        <v>170</v>
      </c>
      <c r="F5627" s="474"/>
    </row>
    <row r="5628" spans="1:6" s="475" customFormat="1" ht="15">
      <c r="A5628" s="472" t="s">
        <v>10628</v>
      </c>
      <c r="B5628" s="472" t="s">
        <v>10629</v>
      </c>
      <c r="C5628" s="472" t="s">
        <v>90</v>
      </c>
      <c r="D5628" s="472">
        <v>1.4267000000000001</v>
      </c>
      <c r="E5628" s="472" t="s">
        <v>170</v>
      </c>
      <c r="F5628" s="474"/>
    </row>
    <row r="5629" spans="1:6" s="475" customFormat="1" ht="15">
      <c r="A5629" s="472" t="s">
        <v>10630</v>
      </c>
      <c r="B5629" s="472" t="s">
        <v>10631</v>
      </c>
      <c r="C5629" s="472" t="s">
        <v>90</v>
      </c>
      <c r="D5629" s="472">
        <v>16198.921899999999</v>
      </c>
      <c r="E5629" s="472" t="s">
        <v>170</v>
      </c>
      <c r="F5629" s="474"/>
    </row>
    <row r="5630" spans="1:6" s="475" customFormat="1" ht="15">
      <c r="A5630" s="472" t="s">
        <v>10632</v>
      </c>
      <c r="B5630" s="472" t="s">
        <v>10633</v>
      </c>
      <c r="C5630" s="472" t="s">
        <v>90</v>
      </c>
      <c r="D5630" s="472">
        <v>16767.3809</v>
      </c>
      <c r="E5630" s="472" t="s">
        <v>170</v>
      </c>
      <c r="F5630" s="474"/>
    </row>
    <row r="5631" spans="1:6" s="475" customFormat="1" ht="15">
      <c r="A5631" s="472" t="s">
        <v>10634</v>
      </c>
      <c r="B5631" s="472" t="s">
        <v>10635</v>
      </c>
      <c r="C5631" s="472" t="s">
        <v>90</v>
      </c>
      <c r="D5631" s="472">
        <v>18876.8226</v>
      </c>
      <c r="E5631" s="472" t="s">
        <v>170</v>
      </c>
      <c r="F5631" s="474"/>
    </row>
    <row r="5632" spans="1:6" s="475" customFormat="1" ht="15">
      <c r="A5632" s="472" t="s">
        <v>10636</v>
      </c>
      <c r="B5632" s="472" t="s">
        <v>10637</v>
      </c>
      <c r="C5632" s="472" t="s">
        <v>90</v>
      </c>
      <c r="D5632" s="472">
        <v>19258.5419</v>
      </c>
      <c r="E5632" s="472" t="s">
        <v>170</v>
      </c>
      <c r="F5632" s="474"/>
    </row>
    <row r="5633" spans="1:6" s="475" customFormat="1" ht="15">
      <c r="A5633" s="472" t="s">
        <v>10638</v>
      </c>
      <c r="B5633" s="472" t="s">
        <v>10639</v>
      </c>
      <c r="C5633" s="472" t="s">
        <v>90</v>
      </c>
      <c r="D5633" s="472">
        <v>22006.761999999999</v>
      </c>
      <c r="E5633" s="472" t="s">
        <v>170</v>
      </c>
      <c r="F5633" s="474"/>
    </row>
    <row r="5634" spans="1:6" s="475" customFormat="1" ht="15">
      <c r="A5634" s="472" t="s">
        <v>10640</v>
      </c>
      <c r="B5634" s="472" t="s">
        <v>10641</v>
      </c>
      <c r="C5634" s="472" t="s">
        <v>90</v>
      </c>
      <c r="D5634" s="472">
        <v>25261.496999999999</v>
      </c>
      <c r="E5634" s="472" t="s">
        <v>170</v>
      </c>
      <c r="F5634" s="474"/>
    </row>
    <row r="5635" spans="1:6" s="475" customFormat="1" ht="15">
      <c r="A5635" s="472" t="s">
        <v>10642</v>
      </c>
      <c r="B5635" s="472" t="s">
        <v>10643</v>
      </c>
      <c r="C5635" s="472" t="s">
        <v>90</v>
      </c>
      <c r="D5635" s="472">
        <v>26728.351999999999</v>
      </c>
      <c r="E5635" s="472" t="s">
        <v>170</v>
      </c>
      <c r="F5635" s="474"/>
    </row>
    <row r="5636" spans="1:6" s="475" customFormat="1" ht="15">
      <c r="A5636" s="472" t="s">
        <v>10644</v>
      </c>
      <c r="B5636" s="472" t="s">
        <v>10645</v>
      </c>
      <c r="C5636" s="472" t="s">
        <v>90</v>
      </c>
      <c r="D5636" s="472">
        <v>29191.652699999999</v>
      </c>
      <c r="E5636" s="472" t="s">
        <v>170</v>
      </c>
      <c r="F5636" s="474"/>
    </row>
    <row r="5637" spans="1:6" s="475" customFormat="1" ht="15">
      <c r="A5637" s="472" t="s">
        <v>10646</v>
      </c>
      <c r="B5637" s="472" t="s">
        <v>10647</v>
      </c>
      <c r="C5637" s="472" t="s">
        <v>90</v>
      </c>
      <c r="D5637" s="472">
        <v>30434.686099999999</v>
      </c>
      <c r="E5637" s="472" t="s">
        <v>170</v>
      </c>
      <c r="F5637" s="474"/>
    </row>
    <row r="5638" spans="1:6" s="475" customFormat="1" ht="15">
      <c r="A5638" s="472" t="s">
        <v>10648</v>
      </c>
      <c r="B5638" s="472" t="s">
        <v>10649</v>
      </c>
      <c r="C5638" s="472" t="s">
        <v>90</v>
      </c>
      <c r="D5638" s="472">
        <v>30611.626899999999</v>
      </c>
      <c r="E5638" s="472" t="s">
        <v>170</v>
      </c>
      <c r="F5638" s="474"/>
    </row>
    <row r="5639" spans="1:6" s="475" customFormat="1" ht="15">
      <c r="A5639" s="472" t="s">
        <v>10650</v>
      </c>
      <c r="B5639" s="472" t="s">
        <v>10651</v>
      </c>
      <c r="C5639" s="472" t="s">
        <v>90</v>
      </c>
      <c r="D5639" s="472">
        <v>37040.149700000002</v>
      </c>
      <c r="E5639" s="472" t="s">
        <v>170</v>
      </c>
      <c r="F5639" s="474"/>
    </row>
    <row r="5640" spans="1:6" s="475" customFormat="1" ht="15">
      <c r="A5640" s="472" t="s">
        <v>10652</v>
      </c>
      <c r="B5640" s="472" t="s">
        <v>10653</v>
      </c>
      <c r="C5640" s="472" t="s">
        <v>90</v>
      </c>
      <c r="D5640" s="472">
        <v>42234.673999999999</v>
      </c>
      <c r="E5640" s="472" t="s">
        <v>170</v>
      </c>
      <c r="F5640" s="474"/>
    </row>
    <row r="5641" spans="1:6" s="475" customFormat="1" ht="15">
      <c r="A5641" s="472" t="s">
        <v>10654</v>
      </c>
      <c r="B5641" s="472" t="s">
        <v>10655</v>
      </c>
      <c r="C5641" s="472" t="s">
        <v>90</v>
      </c>
      <c r="D5641" s="472">
        <v>28842.146000000001</v>
      </c>
      <c r="E5641" s="472" t="s">
        <v>170</v>
      </c>
      <c r="F5641" s="474"/>
    </row>
    <row r="5642" spans="1:6" s="475" customFormat="1" ht="15">
      <c r="A5642" s="472" t="s">
        <v>10656</v>
      </c>
      <c r="B5642" s="472" t="s">
        <v>10657</v>
      </c>
      <c r="C5642" s="472" t="s">
        <v>90</v>
      </c>
      <c r="D5642" s="472">
        <v>38337.546999999999</v>
      </c>
      <c r="E5642" s="472" t="s">
        <v>170</v>
      </c>
      <c r="F5642" s="474"/>
    </row>
    <row r="5643" spans="1:6" s="475" customFormat="1" ht="15">
      <c r="A5643" s="472" t="s">
        <v>10658</v>
      </c>
      <c r="B5643" s="472" t="s">
        <v>10659</v>
      </c>
      <c r="C5643" s="472" t="s">
        <v>90</v>
      </c>
      <c r="D5643" s="472">
        <v>39090.800000000003</v>
      </c>
      <c r="E5643" s="472" t="s">
        <v>170</v>
      </c>
      <c r="F5643" s="474"/>
    </row>
    <row r="5644" spans="1:6" s="475" customFormat="1" ht="15">
      <c r="A5644" s="472" t="s">
        <v>10660</v>
      </c>
      <c r="B5644" s="472" t="s">
        <v>10661</v>
      </c>
      <c r="C5644" s="472" t="s">
        <v>90</v>
      </c>
      <c r="D5644" s="472">
        <v>39844.053</v>
      </c>
      <c r="E5644" s="472" t="s">
        <v>170</v>
      </c>
      <c r="F5644" s="474"/>
    </row>
    <row r="5645" spans="1:6" s="475" customFormat="1" ht="15">
      <c r="A5645" s="472" t="s">
        <v>10662</v>
      </c>
      <c r="B5645" s="472" t="s">
        <v>10663</v>
      </c>
      <c r="C5645" s="472" t="s">
        <v>90</v>
      </c>
      <c r="D5645" s="472">
        <v>41319.0605</v>
      </c>
      <c r="E5645" s="472" t="s">
        <v>170</v>
      </c>
      <c r="F5645" s="474"/>
    </row>
    <row r="5646" spans="1:6" s="475" customFormat="1" ht="15">
      <c r="A5646" s="472" t="s">
        <v>10664</v>
      </c>
      <c r="B5646" s="472" t="s">
        <v>10665</v>
      </c>
      <c r="C5646" s="472" t="s">
        <v>90</v>
      </c>
      <c r="D5646" s="472">
        <v>41677.536999999997</v>
      </c>
      <c r="E5646" s="472" t="s">
        <v>170</v>
      </c>
      <c r="F5646" s="474"/>
    </row>
    <row r="5647" spans="1:6" s="475" customFormat="1" ht="15">
      <c r="A5647" s="472" t="s">
        <v>10666</v>
      </c>
      <c r="B5647" s="472" t="s">
        <v>10667</v>
      </c>
      <c r="C5647" s="472" t="s">
        <v>90</v>
      </c>
      <c r="D5647" s="472">
        <v>42429.786999999997</v>
      </c>
      <c r="E5647" s="472" t="s">
        <v>170</v>
      </c>
      <c r="F5647" s="474"/>
    </row>
    <row r="5648" spans="1:6" s="475" customFormat="1" ht="15">
      <c r="A5648" s="472" t="s">
        <v>10668</v>
      </c>
      <c r="B5648" s="472" t="s">
        <v>10669</v>
      </c>
      <c r="C5648" s="472" t="s">
        <v>90</v>
      </c>
      <c r="D5648" s="472">
        <v>45157.947</v>
      </c>
      <c r="E5648" s="472" t="s">
        <v>170</v>
      </c>
      <c r="F5648" s="474"/>
    </row>
    <row r="5649" spans="1:6" s="475" customFormat="1" ht="15">
      <c r="A5649" s="472" t="s">
        <v>10670</v>
      </c>
      <c r="B5649" s="472" t="s">
        <v>10671</v>
      </c>
      <c r="C5649" s="472" t="s">
        <v>90</v>
      </c>
      <c r="D5649" s="472">
        <v>46048.610999999997</v>
      </c>
      <c r="E5649" s="472" t="s">
        <v>170</v>
      </c>
      <c r="F5649" s="474"/>
    </row>
    <row r="5650" spans="1:6" s="475" customFormat="1" ht="15">
      <c r="A5650" s="472" t="s">
        <v>10672</v>
      </c>
      <c r="B5650" s="472" t="s">
        <v>10673</v>
      </c>
      <c r="C5650" s="472" t="s">
        <v>90</v>
      </c>
      <c r="D5650" s="472">
        <v>47717.266600000003</v>
      </c>
      <c r="E5650" s="472" t="s">
        <v>170</v>
      </c>
      <c r="F5650" s="474"/>
    </row>
    <row r="5651" spans="1:6" s="475" customFormat="1" ht="15">
      <c r="A5651" s="472" t="s">
        <v>10674</v>
      </c>
      <c r="B5651" s="472" t="s">
        <v>10675</v>
      </c>
      <c r="C5651" s="472" t="s">
        <v>90</v>
      </c>
      <c r="D5651" s="472">
        <v>48154.911</v>
      </c>
      <c r="E5651" s="472" t="s">
        <v>170</v>
      </c>
      <c r="F5651" s="474"/>
    </row>
    <row r="5652" spans="1:6" s="475" customFormat="1" ht="15">
      <c r="A5652" s="472" t="s">
        <v>10676</v>
      </c>
      <c r="B5652" s="472" t="s">
        <v>10677</v>
      </c>
      <c r="C5652" s="472" t="s">
        <v>90</v>
      </c>
      <c r="D5652" s="472">
        <v>50640.345000000001</v>
      </c>
      <c r="E5652" s="472" t="s">
        <v>170</v>
      </c>
      <c r="F5652" s="474"/>
    </row>
    <row r="5653" spans="1:6" s="475" customFormat="1" ht="15">
      <c r="A5653" s="472" t="s">
        <v>10678</v>
      </c>
      <c r="B5653" s="472" t="s">
        <v>10679</v>
      </c>
      <c r="C5653" s="472" t="s">
        <v>90</v>
      </c>
      <c r="D5653" s="472">
        <v>52025.580900000001</v>
      </c>
      <c r="E5653" s="472" t="s">
        <v>170</v>
      </c>
      <c r="F5653" s="474"/>
    </row>
    <row r="5654" spans="1:6" s="475" customFormat="1" ht="15">
      <c r="A5654" s="472" t="s">
        <v>10680</v>
      </c>
      <c r="B5654" s="472" t="s">
        <v>10681</v>
      </c>
      <c r="C5654" s="472" t="s">
        <v>90</v>
      </c>
      <c r="D5654" s="472">
        <v>52421.673000000003</v>
      </c>
      <c r="E5654" s="472" t="s">
        <v>170</v>
      </c>
      <c r="F5654" s="474"/>
    </row>
    <row r="5655" spans="1:6" s="475" customFormat="1" ht="15">
      <c r="A5655" s="472" t="s">
        <v>10682</v>
      </c>
      <c r="B5655" s="472" t="s">
        <v>10683</v>
      </c>
      <c r="C5655" s="472" t="s">
        <v>90</v>
      </c>
      <c r="D5655" s="472">
        <v>58854.915000000001</v>
      </c>
      <c r="E5655" s="472" t="s">
        <v>170</v>
      </c>
      <c r="F5655" s="474"/>
    </row>
    <row r="5656" spans="1:6" s="475" customFormat="1" ht="15">
      <c r="A5656" s="472" t="s">
        <v>10684</v>
      </c>
      <c r="B5656" s="472" t="s">
        <v>10685</v>
      </c>
      <c r="C5656" s="472" t="s">
        <v>90</v>
      </c>
      <c r="D5656" s="472">
        <v>59981.284</v>
      </c>
      <c r="E5656" s="472" t="s">
        <v>170</v>
      </c>
      <c r="F5656" s="474"/>
    </row>
    <row r="5657" spans="1:6" s="475" customFormat="1" ht="15">
      <c r="A5657" s="472" t="s">
        <v>10686</v>
      </c>
      <c r="B5657" s="472" t="s">
        <v>10687</v>
      </c>
      <c r="C5657" s="472" t="s">
        <v>90</v>
      </c>
      <c r="D5657" s="472">
        <v>65367.490299999998</v>
      </c>
      <c r="E5657" s="472" t="s">
        <v>170</v>
      </c>
      <c r="F5657" s="474"/>
    </row>
    <row r="5658" spans="1:6" s="475" customFormat="1" ht="15">
      <c r="A5658" s="472" t="s">
        <v>10688</v>
      </c>
      <c r="B5658" s="472" t="s">
        <v>10689</v>
      </c>
      <c r="C5658" s="472" t="s">
        <v>90</v>
      </c>
      <c r="D5658" s="472">
        <v>17747.372299999999</v>
      </c>
      <c r="E5658" s="472" t="s">
        <v>170</v>
      </c>
      <c r="F5658" s="474"/>
    </row>
    <row r="5659" spans="1:6" s="475" customFormat="1" ht="15">
      <c r="A5659" s="472" t="s">
        <v>10690</v>
      </c>
      <c r="B5659" s="472" t="s">
        <v>10691</v>
      </c>
      <c r="C5659" s="472" t="s">
        <v>90</v>
      </c>
      <c r="D5659" s="472">
        <v>19788.538</v>
      </c>
      <c r="E5659" s="472" t="s">
        <v>170</v>
      </c>
      <c r="F5659" s="474"/>
    </row>
    <row r="5660" spans="1:6" s="475" customFormat="1" ht="15">
      <c r="A5660" s="472" t="s">
        <v>10692</v>
      </c>
      <c r="B5660" s="472" t="s">
        <v>10693</v>
      </c>
      <c r="C5660" s="472" t="s">
        <v>90</v>
      </c>
      <c r="D5660" s="472">
        <v>20708.671900000001</v>
      </c>
      <c r="E5660" s="472" t="s">
        <v>170</v>
      </c>
      <c r="F5660" s="474"/>
    </row>
    <row r="5661" spans="1:6" s="475" customFormat="1" ht="15">
      <c r="A5661" s="472" t="s">
        <v>10694</v>
      </c>
      <c r="B5661" s="472" t="s">
        <v>10695</v>
      </c>
      <c r="C5661" s="472" t="s">
        <v>90</v>
      </c>
      <c r="D5661" s="472">
        <v>21255.860199999999</v>
      </c>
      <c r="E5661" s="472" t="s">
        <v>170</v>
      </c>
      <c r="F5661" s="474"/>
    </row>
    <row r="5662" spans="1:6" s="475" customFormat="1" ht="15">
      <c r="A5662" s="472" t="s">
        <v>10696</v>
      </c>
      <c r="B5662" s="472" t="s">
        <v>10697</v>
      </c>
      <c r="C5662" s="472" t="s">
        <v>90</v>
      </c>
      <c r="D5662" s="472">
        <v>24369.017800000001</v>
      </c>
      <c r="E5662" s="472" t="s">
        <v>170</v>
      </c>
      <c r="F5662" s="474"/>
    </row>
    <row r="5663" spans="1:6" s="475" customFormat="1" ht="15">
      <c r="A5663" s="472" t="s">
        <v>10698</v>
      </c>
      <c r="B5663" s="472" t="s">
        <v>10699</v>
      </c>
      <c r="C5663" s="472" t="s">
        <v>90</v>
      </c>
      <c r="D5663" s="472">
        <v>27981.544900000001</v>
      </c>
      <c r="E5663" s="472" t="s">
        <v>170</v>
      </c>
      <c r="F5663" s="474"/>
    </row>
    <row r="5664" spans="1:6" s="475" customFormat="1" ht="15">
      <c r="A5664" s="472" t="s">
        <v>10700</v>
      </c>
      <c r="B5664" s="472" t="s">
        <v>10701</v>
      </c>
      <c r="C5664" s="472" t="s">
        <v>5</v>
      </c>
      <c r="D5664" s="472">
        <v>2.2069999999999999</v>
      </c>
      <c r="E5664" s="472" t="s">
        <v>170</v>
      </c>
      <c r="F5664" s="474"/>
    </row>
    <row r="5665" spans="1:6" s="475" customFormat="1" ht="15">
      <c r="A5665" s="472" t="s">
        <v>10702</v>
      </c>
      <c r="B5665" s="472" t="s">
        <v>10703</v>
      </c>
      <c r="C5665" s="472" t="s">
        <v>90</v>
      </c>
      <c r="D5665" s="472">
        <v>29369.816599999998</v>
      </c>
      <c r="E5665" s="472" t="s">
        <v>170</v>
      </c>
      <c r="F5665" s="474"/>
    </row>
    <row r="5666" spans="1:6" s="475" customFormat="1" ht="15">
      <c r="A5666" s="472" t="s">
        <v>10704</v>
      </c>
      <c r="B5666" s="472" t="s">
        <v>10705</v>
      </c>
      <c r="C5666" s="472" t="s">
        <v>90</v>
      </c>
      <c r="D5666" s="472">
        <v>1.105</v>
      </c>
      <c r="E5666" s="472" t="s">
        <v>170</v>
      </c>
      <c r="F5666" s="474"/>
    </row>
    <row r="5667" spans="1:6" s="475" customFormat="1" ht="15">
      <c r="A5667" s="472" t="s">
        <v>10706</v>
      </c>
      <c r="B5667" s="472" t="s">
        <v>10707</v>
      </c>
      <c r="C5667" s="472" t="s">
        <v>90</v>
      </c>
      <c r="D5667" s="472">
        <v>4674.4093999999996</v>
      </c>
      <c r="E5667" s="472" t="s">
        <v>170</v>
      </c>
      <c r="F5667" s="474"/>
    </row>
    <row r="5668" spans="1:6" s="475" customFormat="1" ht="15">
      <c r="A5668" s="472" t="s">
        <v>10708</v>
      </c>
      <c r="B5668" s="472" t="s">
        <v>10709</v>
      </c>
      <c r="C5668" s="472" t="s">
        <v>5</v>
      </c>
      <c r="D5668" s="472">
        <v>1.8723000000000001</v>
      </c>
      <c r="E5668" s="472" t="s">
        <v>170</v>
      </c>
      <c r="F5668" s="474"/>
    </row>
    <row r="5669" spans="1:6" s="475" customFormat="1" ht="15">
      <c r="A5669" s="472" t="s">
        <v>10710</v>
      </c>
      <c r="B5669" s="472" t="s">
        <v>10711</v>
      </c>
      <c r="C5669" s="472" t="s">
        <v>90</v>
      </c>
      <c r="D5669" s="472">
        <v>32079.447199999999</v>
      </c>
      <c r="E5669" s="472" t="s">
        <v>170</v>
      </c>
      <c r="F5669" s="474"/>
    </row>
    <row r="5670" spans="1:6" s="475" customFormat="1" ht="15">
      <c r="A5670" s="472" t="s">
        <v>10712</v>
      </c>
      <c r="B5670" s="472" t="s">
        <v>10713</v>
      </c>
      <c r="C5670" s="472" t="s">
        <v>90</v>
      </c>
      <c r="D5670" s="472">
        <v>33446.784200000002</v>
      </c>
      <c r="E5670" s="472" t="s">
        <v>170</v>
      </c>
      <c r="F5670" s="474"/>
    </row>
    <row r="5671" spans="1:6" s="475" customFormat="1" ht="15">
      <c r="A5671" s="472" t="s">
        <v>10714</v>
      </c>
      <c r="B5671" s="472" t="s">
        <v>10715</v>
      </c>
      <c r="C5671" s="472" t="s">
        <v>90</v>
      </c>
      <c r="D5671" s="472">
        <v>33641.418899999997</v>
      </c>
      <c r="E5671" s="472" t="s">
        <v>170</v>
      </c>
      <c r="F5671" s="474"/>
    </row>
    <row r="5672" spans="1:6" s="475" customFormat="1" ht="15">
      <c r="A5672" s="472" t="s">
        <v>10716</v>
      </c>
      <c r="B5672" s="472" t="s">
        <v>10717</v>
      </c>
      <c r="C5672" s="472" t="s">
        <v>90</v>
      </c>
      <c r="D5672" s="472">
        <v>40712.794099999999</v>
      </c>
      <c r="E5672" s="472" t="s">
        <v>170</v>
      </c>
      <c r="F5672" s="474"/>
    </row>
    <row r="5673" spans="1:6" s="475" customFormat="1" ht="15">
      <c r="A5673" s="472" t="s">
        <v>10718</v>
      </c>
      <c r="B5673" s="472" t="s">
        <v>10719</v>
      </c>
      <c r="C5673" s="472" t="s">
        <v>90</v>
      </c>
      <c r="D5673" s="472">
        <v>46430.932000000001</v>
      </c>
      <c r="E5673" s="472" t="s">
        <v>170</v>
      </c>
      <c r="F5673" s="474"/>
    </row>
    <row r="5674" spans="1:6" s="475" customFormat="1" ht="15">
      <c r="A5674" s="472" t="s">
        <v>10720</v>
      </c>
      <c r="B5674" s="472" t="s">
        <v>10721</v>
      </c>
      <c r="C5674" s="472" t="s">
        <v>90</v>
      </c>
      <c r="D5674" s="472">
        <v>31898.872100000001</v>
      </c>
      <c r="E5674" s="472" t="s">
        <v>170</v>
      </c>
      <c r="F5674" s="474"/>
    </row>
    <row r="5675" spans="1:6" s="475" customFormat="1" ht="15">
      <c r="A5675" s="472" t="s">
        <v>10722</v>
      </c>
      <c r="B5675" s="472" t="s">
        <v>10723</v>
      </c>
      <c r="C5675" s="472" t="s">
        <v>90</v>
      </c>
      <c r="D5675" s="472">
        <v>42438.100200000001</v>
      </c>
      <c r="E5675" s="472" t="s">
        <v>170</v>
      </c>
      <c r="F5675" s="474"/>
    </row>
    <row r="5676" spans="1:6" s="475" customFormat="1" ht="15">
      <c r="A5676" s="472" t="s">
        <v>10724</v>
      </c>
      <c r="B5676" s="472" t="s">
        <v>10725</v>
      </c>
      <c r="C5676" s="472" t="s">
        <v>90</v>
      </c>
      <c r="D5676" s="472">
        <v>43274.158000000003</v>
      </c>
      <c r="E5676" s="472" t="s">
        <v>170</v>
      </c>
      <c r="F5676" s="474"/>
    </row>
    <row r="5677" spans="1:6" s="475" customFormat="1" ht="15">
      <c r="A5677" s="472" t="s">
        <v>10726</v>
      </c>
      <c r="B5677" s="472" t="s">
        <v>10727</v>
      </c>
      <c r="C5677" s="472" t="s">
        <v>90</v>
      </c>
      <c r="D5677" s="472">
        <v>44110.215900000003</v>
      </c>
      <c r="E5677" s="472" t="s">
        <v>170</v>
      </c>
      <c r="F5677" s="474"/>
    </row>
    <row r="5678" spans="1:6" s="475" customFormat="1" ht="15">
      <c r="A5678" s="472" t="s">
        <v>10728</v>
      </c>
      <c r="B5678" s="472" t="s">
        <v>10729</v>
      </c>
      <c r="C5678" s="472" t="s">
        <v>90</v>
      </c>
      <c r="D5678" s="472">
        <v>45308.083100000003</v>
      </c>
      <c r="E5678" s="472" t="s">
        <v>170</v>
      </c>
      <c r="F5678" s="474"/>
    </row>
    <row r="5679" spans="1:6" s="475" customFormat="1" ht="15">
      <c r="A5679" s="472" t="s">
        <v>10730</v>
      </c>
      <c r="B5679" s="472" t="s">
        <v>10731</v>
      </c>
      <c r="C5679" s="472" t="s">
        <v>90</v>
      </c>
      <c r="D5679" s="472">
        <v>46145.254200000003</v>
      </c>
      <c r="E5679" s="472" t="s">
        <v>170</v>
      </c>
      <c r="F5679" s="474"/>
    </row>
    <row r="5680" spans="1:6" s="475" customFormat="1" ht="15">
      <c r="A5680" s="472" t="s">
        <v>10732</v>
      </c>
      <c r="B5680" s="472" t="s">
        <v>10733</v>
      </c>
      <c r="C5680" s="472" t="s">
        <v>90</v>
      </c>
      <c r="D5680" s="472">
        <v>46980.198900000003</v>
      </c>
      <c r="E5680" s="472" t="s">
        <v>170</v>
      </c>
      <c r="F5680" s="474"/>
    </row>
    <row r="5681" spans="1:6" s="475" customFormat="1" ht="15">
      <c r="A5681" s="472" t="s">
        <v>10734</v>
      </c>
      <c r="B5681" s="472" t="s">
        <v>10735</v>
      </c>
      <c r="C5681" s="472" t="s">
        <v>90</v>
      </c>
      <c r="D5681" s="472">
        <v>50008.264799999997</v>
      </c>
      <c r="E5681" s="472" t="s">
        <v>170</v>
      </c>
      <c r="F5681" s="474"/>
    </row>
    <row r="5682" spans="1:6" s="475" customFormat="1" ht="15">
      <c r="A5682" s="472" t="s">
        <v>10736</v>
      </c>
      <c r="B5682" s="472" t="s">
        <v>10737</v>
      </c>
      <c r="C5682" s="472" t="s">
        <v>90</v>
      </c>
      <c r="D5682" s="472">
        <v>50996.8393</v>
      </c>
      <c r="E5682" s="472" t="s">
        <v>170</v>
      </c>
      <c r="F5682" s="474"/>
    </row>
    <row r="5683" spans="1:6" s="475" customFormat="1" ht="15">
      <c r="A5683" s="472" t="s">
        <v>6828</v>
      </c>
      <c r="B5683" s="472" t="s">
        <v>7816</v>
      </c>
      <c r="C5683" s="472" t="s">
        <v>90</v>
      </c>
      <c r="D5683" s="472">
        <v>9.3046000000000006</v>
      </c>
      <c r="E5683" s="472" t="s">
        <v>170</v>
      </c>
      <c r="F5683" s="474"/>
    </row>
    <row r="5684" spans="1:6" s="475" customFormat="1" ht="15">
      <c r="A5684" s="472" t="s">
        <v>10738</v>
      </c>
      <c r="B5684" s="472" t="s">
        <v>10739</v>
      </c>
      <c r="C5684" s="472" t="s">
        <v>90</v>
      </c>
      <c r="D5684" s="472">
        <v>52346.109900000003</v>
      </c>
      <c r="E5684" s="472" t="s">
        <v>170</v>
      </c>
      <c r="F5684" s="474"/>
    </row>
    <row r="5685" spans="1:6" s="475" customFormat="1" ht="15">
      <c r="A5685" s="472" t="s">
        <v>10740</v>
      </c>
      <c r="B5685" s="472" t="s">
        <v>10741</v>
      </c>
      <c r="C5685" s="472" t="s">
        <v>90</v>
      </c>
      <c r="D5685" s="472">
        <v>53334.684300000001</v>
      </c>
      <c r="E5685" s="472" t="s">
        <v>170</v>
      </c>
      <c r="F5685" s="474"/>
    </row>
    <row r="5686" spans="1:6" s="475" customFormat="1" ht="15">
      <c r="A5686" s="472" t="s">
        <v>10742</v>
      </c>
      <c r="B5686" s="472" t="s">
        <v>10743</v>
      </c>
      <c r="C5686" s="472" t="s">
        <v>90</v>
      </c>
      <c r="D5686" s="472">
        <v>56093.3413</v>
      </c>
      <c r="E5686" s="472" t="s">
        <v>170</v>
      </c>
      <c r="F5686" s="474"/>
    </row>
    <row r="5687" spans="1:6" s="475" customFormat="1" ht="15">
      <c r="A5687" s="472" t="s">
        <v>10744</v>
      </c>
      <c r="B5687" s="472" t="s">
        <v>10745</v>
      </c>
      <c r="C5687" s="472" t="s">
        <v>90</v>
      </c>
      <c r="D5687" s="472">
        <v>57085.255599999997</v>
      </c>
      <c r="E5687" s="472" t="s">
        <v>170</v>
      </c>
      <c r="F5687" s="474"/>
    </row>
    <row r="5688" spans="1:6" s="475" customFormat="1" ht="15">
      <c r="A5688" s="472" t="s">
        <v>10746</v>
      </c>
      <c r="B5688" s="472" t="s">
        <v>10747</v>
      </c>
      <c r="C5688" s="472" t="s">
        <v>90</v>
      </c>
      <c r="D5688" s="472">
        <v>58070.4902</v>
      </c>
      <c r="E5688" s="472" t="s">
        <v>170</v>
      </c>
      <c r="F5688" s="474"/>
    </row>
    <row r="5689" spans="1:6" s="475" customFormat="1" ht="15">
      <c r="A5689" s="472" t="s">
        <v>10748</v>
      </c>
      <c r="B5689" s="472" t="s">
        <v>10749</v>
      </c>
      <c r="C5689" s="472" t="s">
        <v>90</v>
      </c>
      <c r="D5689" s="472">
        <v>65210.936800000003</v>
      </c>
      <c r="E5689" s="472" t="s">
        <v>170</v>
      </c>
      <c r="F5689" s="474"/>
    </row>
    <row r="5690" spans="1:6" s="475" customFormat="1" ht="15">
      <c r="A5690" s="472" t="s">
        <v>10750</v>
      </c>
      <c r="B5690" s="472" t="s">
        <v>10751</v>
      </c>
      <c r="C5690" s="472" t="s">
        <v>10227</v>
      </c>
      <c r="D5690" s="472">
        <v>38.43</v>
      </c>
      <c r="E5690" s="472" t="s">
        <v>170</v>
      </c>
      <c r="F5690" s="474"/>
    </row>
    <row r="5691" spans="1:6" s="475" customFormat="1" ht="15">
      <c r="A5691" s="472" t="s">
        <v>10752</v>
      </c>
      <c r="B5691" s="472" t="s">
        <v>10753</v>
      </c>
      <c r="C5691" s="472" t="s">
        <v>10227</v>
      </c>
      <c r="D5691" s="472">
        <v>70.362200000000001</v>
      </c>
      <c r="E5691" s="472" t="s">
        <v>170</v>
      </c>
      <c r="F5691" s="474"/>
    </row>
    <row r="5692" spans="1:6" s="475" customFormat="1" ht="15">
      <c r="A5692" s="472" t="s">
        <v>10754</v>
      </c>
      <c r="B5692" s="472" t="s">
        <v>10755</v>
      </c>
      <c r="C5692" s="472" t="s">
        <v>90</v>
      </c>
      <c r="D5692" s="472">
        <v>66461.127299999993</v>
      </c>
      <c r="E5692" s="472" t="s">
        <v>170</v>
      </c>
      <c r="F5692" s="474"/>
    </row>
    <row r="5693" spans="1:6" s="475" customFormat="1" ht="15">
      <c r="A5693" s="472" t="s">
        <v>10756</v>
      </c>
      <c r="B5693" s="472" t="s">
        <v>10757</v>
      </c>
      <c r="C5693" s="472" t="s">
        <v>90</v>
      </c>
      <c r="D5693" s="472">
        <v>71761.355800000005</v>
      </c>
      <c r="E5693" s="472" t="s">
        <v>170</v>
      </c>
      <c r="F5693" s="474"/>
    </row>
    <row r="5694" spans="1:6" s="475" customFormat="1" ht="15">
      <c r="A5694" s="472" t="s">
        <v>7528</v>
      </c>
      <c r="B5694" s="472" t="s">
        <v>7841</v>
      </c>
      <c r="C5694" s="472" t="s">
        <v>90</v>
      </c>
      <c r="D5694" s="472">
        <v>3.3073999999999999</v>
      </c>
      <c r="E5694" s="472" t="s">
        <v>170</v>
      </c>
      <c r="F5694" s="474"/>
    </row>
    <row r="5695" spans="1:6" s="475" customFormat="1" ht="15">
      <c r="A5695" s="472" t="s">
        <v>7533</v>
      </c>
      <c r="B5695" s="472" t="s">
        <v>7842</v>
      </c>
      <c r="C5695" s="472" t="s">
        <v>90</v>
      </c>
      <c r="D5695" s="472">
        <v>0.81589999999999996</v>
      </c>
      <c r="E5695" s="472" t="s">
        <v>170</v>
      </c>
      <c r="F5695" s="474"/>
    </row>
    <row r="5696" spans="1:6" s="475" customFormat="1" ht="15">
      <c r="A5696" s="472" t="s">
        <v>7891</v>
      </c>
      <c r="B5696" s="472" t="s">
        <v>7894</v>
      </c>
      <c r="C5696" s="472" t="s">
        <v>89</v>
      </c>
      <c r="D5696" s="472">
        <v>6.9</v>
      </c>
      <c r="E5696" s="472" t="s">
        <v>170</v>
      </c>
      <c r="F5696" s="474"/>
    </row>
    <row r="5697" spans="1:6" s="475" customFormat="1" ht="15">
      <c r="A5697" s="472" t="s">
        <v>6877</v>
      </c>
      <c r="B5697" s="472" t="s">
        <v>7843</v>
      </c>
      <c r="C5697" s="472" t="s">
        <v>6878</v>
      </c>
      <c r="D5697" s="472">
        <v>0.5141</v>
      </c>
      <c r="E5697" s="472" t="s">
        <v>170</v>
      </c>
      <c r="F5697" s="474"/>
    </row>
    <row r="5698" spans="1:6" s="475" customFormat="1" ht="15">
      <c r="A5698" s="472" t="s">
        <v>10758</v>
      </c>
      <c r="B5698" s="472" t="s">
        <v>10759</v>
      </c>
      <c r="C5698" s="472" t="s">
        <v>6878</v>
      </c>
      <c r="D5698" s="472">
        <v>1.3601000000000001</v>
      </c>
      <c r="E5698" s="472" t="s">
        <v>170</v>
      </c>
      <c r="F5698" s="474"/>
    </row>
    <row r="5699" spans="1:6" s="475" customFormat="1" ht="15">
      <c r="A5699" s="472" t="s">
        <v>10760</v>
      </c>
      <c r="B5699" s="472" t="s">
        <v>10761</v>
      </c>
      <c r="C5699" s="472" t="s">
        <v>10075</v>
      </c>
      <c r="D5699" s="472">
        <v>944.98950000000002</v>
      </c>
      <c r="E5699" s="472" t="s">
        <v>170</v>
      </c>
      <c r="F5699" s="474"/>
    </row>
    <row r="5700" spans="1:6" s="475" customFormat="1" ht="15">
      <c r="A5700" s="472" t="s">
        <v>10762</v>
      </c>
      <c r="B5700" s="472" t="s">
        <v>10763</v>
      </c>
      <c r="C5700" s="472" t="s">
        <v>89</v>
      </c>
      <c r="D5700" s="472">
        <v>4.6327999999999996</v>
      </c>
      <c r="E5700" s="472" t="s">
        <v>170</v>
      </c>
      <c r="F5700" s="474"/>
    </row>
    <row r="5701" spans="1:6" s="475" customFormat="1" ht="15">
      <c r="A5701" s="472" t="s">
        <v>10764</v>
      </c>
      <c r="B5701" s="472" t="s">
        <v>10765</v>
      </c>
      <c r="C5701" s="472" t="s">
        <v>10227</v>
      </c>
      <c r="D5701" s="472">
        <v>15.54</v>
      </c>
      <c r="E5701" s="472" t="s">
        <v>170</v>
      </c>
      <c r="F5701" s="474"/>
    </row>
    <row r="5702" spans="1:6" s="475" customFormat="1" ht="15">
      <c r="A5702" s="472" t="s">
        <v>10766</v>
      </c>
      <c r="B5702" s="472" t="s">
        <v>10767</v>
      </c>
      <c r="C5702" s="472" t="s">
        <v>10227</v>
      </c>
      <c r="D5702" s="472">
        <v>95.462000000000003</v>
      </c>
      <c r="E5702" s="472" t="s">
        <v>170</v>
      </c>
      <c r="F5702" s="474"/>
    </row>
    <row r="5703" spans="1:6" s="475" customFormat="1" ht="15">
      <c r="A5703" s="472" t="s">
        <v>10768</v>
      </c>
      <c r="B5703" s="472" t="s">
        <v>10769</v>
      </c>
      <c r="C5703" s="472" t="s">
        <v>10227</v>
      </c>
      <c r="D5703" s="472">
        <v>97.976699999999994</v>
      </c>
      <c r="E5703" s="472" t="s">
        <v>170</v>
      </c>
      <c r="F5703" s="474"/>
    </row>
    <row r="5704" spans="1:6" s="475" customFormat="1" ht="15">
      <c r="A5704" s="472" t="s">
        <v>10770</v>
      </c>
      <c r="B5704" s="472" t="s">
        <v>10771</v>
      </c>
      <c r="C5704" s="472" t="s">
        <v>89</v>
      </c>
      <c r="D5704" s="472">
        <v>1.8744000000000001</v>
      </c>
      <c r="E5704" s="472" t="s">
        <v>170</v>
      </c>
      <c r="F5704" s="474"/>
    </row>
    <row r="5705" spans="1:6" s="475" customFormat="1" ht="15">
      <c r="A5705" s="472" t="s">
        <v>10772</v>
      </c>
      <c r="B5705" s="472" t="s">
        <v>10773</v>
      </c>
      <c r="C5705" s="472" t="s">
        <v>89</v>
      </c>
      <c r="D5705" s="472">
        <v>13.507300000000001</v>
      </c>
      <c r="E5705" s="472" t="s">
        <v>170</v>
      </c>
      <c r="F5705" s="474"/>
    </row>
    <row r="5706" spans="1:6" s="475" customFormat="1" ht="15">
      <c r="A5706" s="472" t="s">
        <v>10774</v>
      </c>
      <c r="B5706" s="472" t="s">
        <v>10775</v>
      </c>
      <c r="C5706" s="472" t="s">
        <v>90</v>
      </c>
      <c r="D5706" s="472">
        <v>98.853700000000003</v>
      </c>
      <c r="E5706" s="472" t="s">
        <v>170</v>
      </c>
      <c r="F5706" s="474"/>
    </row>
    <row r="5707" spans="1:6" s="475" customFormat="1" ht="15">
      <c r="A5707" s="472" t="s">
        <v>10776</v>
      </c>
      <c r="B5707" s="472" t="s">
        <v>10777</v>
      </c>
      <c r="C5707" s="472" t="s">
        <v>90</v>
      </c>
      <c r="D5707" s="472">
        <v>87.264099999999999</v>
      </c>
      <c r="E5707" s="472" t="s">
        <v>170</v>
      </c>
      <c r="F5707" s="474"/>
    </row>
    <row r="5708" spans="1:6" s="475" customFormat="1" ht="15">
      <c r="A5708" s="472" t="s">
        <v>10778</v>
      </c>
      <c r="B5708" s="472" t="s">
        <v>10779</v>
      </c>
      <c r="C5708" s="472" t="s">
        <v>90</v>
      </c>
      <c r="D5708" s="472">
        <v>28.62</v>
      </c>
      <c r="E5708" s="472" t="s">
        <v>170</v>
      </c>
      <c r="F5708" s="474"/>
    </row>
    <row r="5709" spans="1:6" s="475" customFormat="1" ht="15">
      <c r="A5709" s="472" t="s">
        <v>7433</v>
      </c>
      <c r="B5709" s="472" t="s">
        <v>7838</v>
      </c>
      <c r="C5709" s="472" t="s">
        <v>89</v>
      </c>
      <c r="D5709" s="472">
        <v>11.1867</v>
      </c>
      <c r="E5709" s="472" t="s">
        <v>170</v>
      </c>
      <c r="F5709" s="474"/>
    </row>
    <row r="5710" spans="1:6" s="475" customFormat="1" ht="15">
      <c r="A5710" s="472" t="s">
        <v>10780</v>
      </c>
      <c r="B5710" s="472" t="s">
        <v>10781</v>
      </c>
      <c r="C5710" s="472" t="s">
        <v>90</v>
      </c>
      <c r="D5710" s="472">
        <v>3.0165999999999999</v>
      </c>
      <c r="E5710" s="472" t="s">
        <v>170</v>
      </c>
      <c r="F5710" s="474"/>
    </row>
    <row r="5711" spans="1:6" s="475" customFormat="1" ht="15">
      <c r="A5711" s="472" t="s">
        <v>10782</v>
      </c>
      <c r="B5711" s="472" t="s">
        <v>10783</v>
      </c>
      <c r="C5711" s="472" t="s">
        <v>90</v>
      </c>
      <c r="D5711" s="472">
        <v>0.3503</v>
      </c>
      <c r="E5711" s="472" t="s">
        <v>170</v>
      </c>
      <c r="F5711" s="474"/>
    </row>
    <row r="5712" spans="1:6" s="475" customFormat="1" ht="15">
      <c r="A5712" s="472" t="s">
        <v>10784</v>
      </c>
      <c r="B5712" s="472" t="s">
        <v>10785</v>
      </c>
      <c r="C5712" s="472" t="s">
        <v>90</v>
      </c>
      <c r="D5712" s="472">
        <v>1.0237000000000001</v>
      </c>
      <c r="E5712" s="472" t="s">
        <v>170</v>
      </c>
      <c r="F5712" s="474"/>
    </row>
    <row r="5713" spans="1:6" s="475" customFormat="1" ht="15">
      <c r="A5713" s="472" t="s">
        <v>10786</v>
      </c>
      <c r="B5713" s="472" t="s">
        <v>10787</v>
      </c>
      <c r="C5713" s="472" t="s">
        <v>10075</v>
      </c>
      <c r="D5713" s="472">
        <v>81.9559</v>
      </c>
      <c r="E5713" s="472" t="s">
        <v>170</v>
      </c>
      <c r="F5713" s="474"/>
    </row>
    <row r="5714" spans="1:6" s="475" customFormat="1" ht="15">
      <c r="A5714" s="472" t="s">
        <v>10788</v>
      </c>
      <c r="B5714" s="472" t="s">
        <v>10789</v>
      </c>
      <c r="C5714" s="472" t="s">
        <v>10075</v>
      </c>
      <c r="D5714" s="472">
        <v>124.4337</v>
      </c>
      <c r="E5714" s="472" t="s">
        <v>170</v>
      </c>
      <c r="F5714" s="474"/>
    </row>
    <row r="5715" spans="1:6" s="475" customFormat="1" ht="15">
      <c r="A5715" s="472" t="s">
        <v>10790</v>
      </c>
      <c r="B5715" s="472" t="s">
        <v>10791</v>
      </c>
      <c r="C5715" s="472" t="s">
        <v>4</v>
      </c>
      <c r="D5715" s="472">
        <v>18.0336</v>
      </c>
      <c r="E5715" s="472" t="s">
        <v>170</v>
      </c>
      <c r="F5715" s="474"/>
    </row>
    <row r="5716" spans="1:6" s="475" customFormat="1" ht="15">
      <c r="A5716" s="472" t="s">
        <v>10792</v>
      </c>
      <c r="B5716" s="472" t="s">
        <v>10793</v>
      </c>
      <c r="C5716" s="472" t="s">
        <v>90</v>
      </c>
      <c r="D5716" s="472">
        <v>90.034599999999998</v>
      </c>
      <c r="E5716" s="472" t="s">
        <v>170</v>
      </c>
      <c r="F5716" s="474"/>
    </row>
    <row r="5717" spans="1:6" s="475" customFormat="1" ht="15">
      <c r="A5717" s="472" t="s">
        <v>10794</v>
      </c>
      <c r="B5717" s="472" t="s">
        <v>10795</v>
      </c>
      <c r="C5717" s="472" t="s">
        <v>89</v>
      </c>
      <c r="D5717" s="472">
        <v>64.429500000000004</v>
      </c>
      <c r="E5717" s="472" t="s">
        <v>170</v>
      </c>
      <c r="F5717" s="474"/>
    </row>
    <row r="5718" spans="1:6" s="475" customFormat="1" ht="15">
      <c r="A5718" s="472" t="s">
        <v>10796</v>
      </c>
      <c r="B5718" s="472" t="s">
        <v>10797</v>
      </c>
      <c r="C5718" s="472" t="s">
        <v>5</v>
      </c>
      <c r="D5718" s="472">
        <v>0.1242</v>
      </c>
      <c r="E5718" s="472" t="s">
        <v>170</v>
      </c>
      <c r="F5718" s="474"/>
    </row>
    <row r="5719" spans="1:6" s="475" customFormat="1" ht="15">
      <c r="A5719" s="472" t="s">
        <v>10798</v>
      </c>
      <c r="B5719" s="472" t="s">
        <v>10799</v>
      </c>
      <c r="C5719" s="472" t="s">
        <v>5</v>
      </c>
      <c r="D5719" s="472">
        <v>267.33999999999997</v>
      </c>
      <c r="E5719" s="472" t="s">
        <v>170</v>
      </c>
      <c r="F5719" s="474"/>
    </row>
    <row r="5720" spans="1:6" s="475" customFormat="1" ht="15">
      <c r="A5720" s="472" t="s">
        <v>10800</v>
      </c>
      <c r="B5720" s="472" t="s">
        <v>10801</v>
      </c>
      <c r="C5720" s="472" t="s">
        <v>5</v>
      </c>
      <c r="D5720" s="472">
        <v>343.19499999999999</v>
      </c>
      <c r="E5720" s="472" t="s">
        <v>170</v>
      </c>
      <c r="F5720" s="474"/>
    </row>
    <row r="5721" spans="1:6" s="475" customFormat="1" ht="15">
      <c r="A5721" s="472" t="s">
        <v>10802</v>
      </c>
      <c r="B5721" s="472" t="s">
        <v>10803</v>
      </c>
      <c r="C5721" s="472" t="s">
        <v>10075</v>
      </c>
      <c r="D5721" s="472">
        <v>77.578500000000005</v>
      </c>
      <c r="E5721" s="472" t="s">
        <v>170</v>
      </c>
      <c r="F5721" s="474"/>
    </row>
    <row r="5722" spans="1:6" s="475" customFormat="1" ht="15">
      <c r="A5722" s="472" t="s">
        <v>10804</v>
      </c>
      <c r="B5722" s="472" t="s">
        <v>10805</v>
      </c>
      <c r="C5722" s="472" t="s">
        <v>5</v>
      </c>
      <c r="D5722" s="472">
        <v>632.99</v>
      </c>
      <c r="E5722" s="472" t="s">
        <v>170</v>
      </c>
      <c r="F5722" s="474"/>
    </row>
    <row r="5723" spans="1:6" s="475" customFormat="1" ht="15">
      <c r="A5723" s="472" t="s">
        <v>10806</v>
      </c>
      <c r="B5723" s="472" t="s">
        <v>10807</v>
      </c>
      <c r="C5723" s="472" t="s">
        <v>89</v>
      </c>
      <c r="D5723" s="472">
        <v>87.518100000000004</v>
      </c>
      <c r="E5723" s="472" t="s">
        <v>170</v>
      </c>
      <c r="F5723" s="474"/>
    </row>
    <row r="5724" spans="1:6" s="475" customFormat="1" ht="15">
      <c r="A5724" s="472" t="s">
        <v>10808</v>
      </c>
      <c r="B5724" s="472" t="s">
        <v>10809</v>
      </c>
      <c r="C5724" s="472" t="s">
        <v>5</v>
      </c>
      <c r="D5724" s="472">
        <v>895.17330000000004</v>
      </c>
      <c r="E5724" s="472" t="s">
        <v>170</v>
      </c>
      <c r="F5724" s="474"/>
    </row>
    <row r="5725" spans="1:6" s="475" customFormat="1" ht="15">
      <c r="A5725" s="472" t="s">
        <v>10810</v>
      </c>
      <c r="B5725" s="472" t="s">
        <v>10811</v>
      </c>
      <c r="C5725" s="472" t="s">
        <v>5</v>
      </c>
      <c r="D5725" s="472">
        <v>1088.56</v>
      </c>
      <c r="E5725" s="472" t="s">
        <v>170</v>
      </c>
      <c r="F5725" s="474"/>
    </row>
    <row r="5726" spans="1:6" s="475" customFormat="1" ht="15">
      <c r="A5726" s="472" t="s">
        <v>10812</v>
      </c>
      <c r="B5726" s="472" t="s">
        <v>10813</v>
      </c>
      <c r="C5726" s="472" t="s">
        <v>89</v>
      </c>
      <c r="D5726" s="472">
        <v>10.02</v>
      </c>
      <c r="E5726" s="472" t="s">
        <v>170</v>
      </c>
      <c r="F5726" s="474"/>
    </row>
    <row r="5727" spans="1:6" s="475" customFormat="1" ht="15">
      <c r="A5727" s="472" t="s">
        <v>10814</v>
      </c>
      <c r="B5727" s="472" t="s">
        <v>10815</v>
      </c>
      <c r="C5727" s="472" t="s">
        <v>90</v>
      </c>
      <c r="D5727" s="472">
        <v>26207.704000000002</v>
      </c>
      <c r="E5727" s="472" t="s">
        <v>170</v>
      </c>
      <c r="F5727" s="474"/>
    </row>
    <row r="5728" spans="1:6" s="475" customFormat="1" ht="15">
      <c r="A5728" s="472" t="s">
        <v>10816</v>
      </c>
      <c r="B5728" s="472" t="s">
        <v>10817</v>
      </c>
      <c r="C5728" s="472" t="s">
        <v>90</v>
      </c>
      <c r="D5728" s="472">
        <v>34830.708599999998</v>
      </c>
      <c r="E5728" s="472" t="s">
        <v>170</v>
      </c>
      <c r="F5728" s="474"/>
    </row>
    <row r="5729" spans="1:6" s="475" customFormat="1" ht="15">
      <c r="A5729" s="472" t="s">
        <v>10818</v>
      </c>
      <c r="B5729" s="472" t="s">
        <v>10819</v>
      </c>
      <c r="C5729" s="472" t="s">
        <v>90</v>
      </c>
      <c r="D5729" s="472">
        <v>35514.756000000001</v>
      </c>
      <c r="E5729" s="472" t="s">
        <v>170</v>
      </c>
      <c r="F5729" s="474"/>
    </row>
    <row r="5730" spans="1:6" s="475" customFormat="1" ht="15">
      <c r="A5730" s="472" t="s">
        <v>10820</v>
      </c>
      <c r="B5730" s="472" t="s">
        <v>10821</v>
      </c>
      <c r="C5730" s="472" t="s">
        <v>90</v>
      </c>
      <c r="D5730" s="472">
        <v>36198.803399999997</v>
      </c>
      <c r="E5730" s="472" t="s">
        <v>170</v>
      </c>
      <c r="F5730" s="474"/>
    </row>
    <row r="5731" spans="1:6" s="475" customFormat="1" ht="15">
      <c r="A5731" s="472" t="s">
        <v>10822</v>
      </c>
      <c r="B5731" s="472" t="s">
        <v>10823</v>
      </c>
      <c r="C5731" s="472" t="s">
        <v>90</v>
      </c>
      <c r="D5731" s="472">
        <v>37178.876600000003</v>
      </c>
      <c r="E5731" s="472" t="s">
        <v>170</v>
      </c>
      <c r="F5731" s="474"/>
    </row>
    <row r="5732" spans="1:6" s="475" customFormat="1" ht="15">
      <c r="A5732" s="472" t="s">
        <v>6829</v>
      </c>
      <c r="B5732" s="472" t="s">
        <v>7817</v>
      </c>
      <c r="C5732" s="472" t="s">
        <v>89</v>
      </c>
      <c r="D5732" s="472">
        <v>9.5221</v>
      </c>
      <c r="E5732" s="472" t="s">
        <v>170</v>
      </c>
      <c r="F5732" s="474"/>
    </row>
    <row r="5733" spans="1:6" s="475" customFormat="1" ht="15">
      <c r="A5733" s="472" t="s">
        <v>10824</v>
      </c>
      <c r="B5733" s="472" t="s">
        <v>10825</v>
      </c>
      <c r="C5733" s="472" t="s">
        <v>90</v>
      </c>
      <c r="D5733" s="472">
        <v>37863.834799999997</v>
      </c>
      <c r="E5733" s="472" t="s">
        <v>170</v>
      </c>
      <c r="F5733" s="474"/>
    </row>
    <row r="5734" spans="1:6" s="475" customFormat="1" ht="15">
      <c r="A5734" s="472" t="s">
        <v>10826</v>
      </c>
      <c r="B5734" s="472" t="s">
        <v>10827</v>
      </c>
      <c r="C5734" s="472" t="s">
        <v>4</v>
      </c>
      <c r="D5734" s="472">
        <v>81.133399999999995</v>
      </c>
      <c r="E5734" s="472" t="s">
        <v>170</v>
      </c>
      <c r="F5734" s="474"/>
    </row>
    <row r="5735" spans="1:6" s="475" customFormat="1" ht="15">
      <c r="A5735" s="472" t="s">
        <v>10828</v>
      </c>
      <c r="B5735" s="472" t="s">
        <v>10829</v>
      </c>
      <c r="C5735" s="472" t="s">
        <v>90</v>
      </c>
      <c r="D5735" s="472">
        <v>38546.971299999997</v>
      </c>
      <c r="E5735" s="472" t="s">
        <v>170</v>
      </c>
      <c r="F5735" s="474"/>
    </row>
    <row r="5736" spans="1:6" s="475" customFormat="1" ht="15">
      <c r="A5736" s="472" t="s">
        <v>10830</v>
      </c>
      <c r="B5736" s="472" t="s">
        <v>10831</v>
      </c>
      <c r="C5736" s="472" t="s">
        <v>90</v>
      </c>
      <c r="D5736" s="472">
        <v>41024.479800000001</v>
      </c>
      <c r="E5736" s="472" t="s">
        <v>170</v>
      </c>
      <c r="F5736" s="474"/>
    </row>
    <row r="5737" spans="1:6" s="475" customFormat="1" ht="15">
      <c r="A5737" s="472" t="s">
        <v>10832</v>
      </c>
      <c r="B5737" s="472" t="s">
        <v>10833</v>
      </c>
      <c r="C5737" s="472" t="s">
        <v>90</v>
      </c>
      <c r="D5737" s="472">
        <v>41833.313399999999</v>
      </c>
      <c r="E5737" s="472" t="s">
        <v>170</v>
      </c>
      <c r="F5737" s="474"/>
    </row>
    <row r="5738" spans="1:6" s="475" customFormat="1" ht="15">
      <c r="A5738" s="472" t="s">
        <v>10834</v>
      </c>
      <c r="B5738" s="472" t="s">
        <v>10835</v>
      </c>
      <c r="C5738" s="472" t="s">
        <v>90</v>
      </c>
      <c r="D5738" s="472">
        <v>42937.2621</v>
      </c>
      <c r="E5738" s="472" t="s">
        <v>170</v>
      </c>
      <c r="F5738" s="474"/>
    </row>
    <row r="5739" spans="1:6" s="475" customFormat="1" ht="15">
      <c r="A5739" s="472" t="s">
        <v>10836</v>
      </c>
      <c r="B5739" s="472" t="s">
        <v>10837</v>
      </c>
      <c r="C5739" s="472" t="s">
        <v>90</v>
      </c>
      <c r="D5739" s="472">
        <v>43746.095699999998</v>
      </c>
      <c r="E5739" s="472" t="s">
        <v>170</v>
      </c>
      <c r="F5739" s="474"/>
    </row>
    <row r="5740" spans="1:6" s="475" customFormat="1" ht="15">
      <c r="A5740" s="472" t="s">
        <v>10838</v>
      </c>
      <c r="B5740" s="472" t="s">
        <v>10839</v>
      </c>
      <c r="C5740" s="472" t="s">
        <v>90</v>
      </c>
      <c r="D5740" s="472">
        <v>46003.178699999997</v>
      </c>
      <c r="E5740" s="472" t="s">
        <v>170</v>
      </c>
      <c r="F5740" s="474"/>
    </row>
    <row r="5741" spans="1:6" s="475" customFormat="1" ht="15">
      <c r="A5741" s="472" t="s">
        <v>10840</v>
      </c>
      <c r="B5741" s="472" t="s">
        <v>10841</v>
      </c>
      <c r="C5741" s="472" t="s">
        <v>90</v>
      </c>
      <c r="D5741" s="472">
        <v>46814.745000000003</v>
      </c>
      <c r="E5741" s="472" t="s">
        <v>170</v>
      </c>
      <c r="F5741" s="474"/>
    </row>
    <row r="5742" spans="1:6" s="475" customFormat="1" ht="15">
      <c r="A5742" s="472" t="s">
        <v>10842</v>
      </c>
      <c r="B5742" s="472" t="s">
        <v>10843</v>
      </c>
      <c r="C5742" s="472" t="s">
        <v>90</v>
      </c>
      <c r="D5742" s="472">
        <v>47620.846100000002</v>
      </c>
      <c r="E5742" s="472" t="s">
        <v>170</v>
      </c>
      <c r="F5742" s="474"/>
    </row>
    <row r="5743" spans="1:6" s="475" customFormat="1" ht="15">
      <c r="A5743" s="472" t="s">
        <v>10844</v>
      </c>
      <c r="B5743" s="472" t="s">
        <v>10845</v>
      </c>
      <c r="C5743" s="472" t="s">
        <v>90</v>
      </c>
      <c r="D5743" s="472">
        <v>465.334</v>
      </c>
      <c r="E5743" s="472" t="s">
        <v>170</v>
      </c>
      <c r="F5743" s="474"/>
    </row>
    <row r="5744" spans="1:6" s="475" customFormat="1" ht="15">
      <c r="A5744" s="472" t="s">
        <v>10846</v>
      </c>
      <c r="B5744" s="472" t="s">
        <v>10847</v>
      </c>
      <c r="C5744" s="472" t="s">
        <v>90</v>
      </c>
      <c r="D5744" s="472">
        <v>53463.029600000002</v>
      </c>
      <c r="E5744" s="472" t="s">
        <v>170</v>
      </c>
      <c r="F5744" s="474"/>
    </row>
    <row r="5745" spans="1:6" s="475" customFormat="1" ht="15">
      <c r="A5745" s="472" t="s">
        <v>10848</v>
      </c>
      <c r="B5745" s="472" t="s">
        <v>10849</v>
      </c>
      <c r="C5745" s="472" t="s">
        <v>90</v>
      </c>
      <c r="D5745" s="472">
        <v>54485.912700000001</v>
      </c>
      <c r="E5745" s="472" t="s">
        <v>170</v>
      </c>
      <c r="F5745" s="474"/>
    </row>
    <row r="5746" spans="1:6" s="475" customFormat="1" ht="15">
      <c r="A5746" s="472" t="s">
        <v>10850</v>
      </c>
      <c r="B5746" s="472" t="s">
        <v>10851</v>
      </c>
      <c r="C5746" s="472" t="s">
        <v>90</v>
      </c>
      <c r="D5746" s="472">
        <v>58822.463400000001</v>
      </c>
      <c r="E5746" s="472" t="s">
        <v>170</v>
      </c>
      <c r="F5746" s="474"/>
    </row>
    <row r="5747" spans="1:6" s="475" customFormat="1" ht="15">
      <c r="A5747" s="472" t="s">
        <v>10852</v>
      </c>
      <c r="B5747" s="472" t="s">
        <v>10853</v>
      </c>
      <c r="C5747" s="472" t="s">
        <v>90</v>
      </c>
      <c r="D5747" s="472">
        <v>485.91359999999997</v>
      </c>
      <c r="E5747" s="472" t="s">
        <v>170</v>
      </c>
      <c r="F5747" s="474"/>
    </row>
    <row r="5748" spans="1:6" s="475" customFormat="1" ht="15">
      <c r="A5748" s="472" t="s">
        <v>10854</v>
      </c>
      <c r="B5748" s="472" t="s">
        <v>10855</v>
      </c>
      <c r="C5748" s="472" t="s">
        <v>90</v>
      </c>
      <c r="D5748" s="472">
        <v>497.34280000000001</v>
      </c>
      <c r="E5748" s="472" t="s">
        <v>170</v>
      </c>
      <c r="F5748" s="474"/>
    </row>
    <row r="5749" spans="1:6" s="475" customFormat="1" ht="15">
      <c r="A5749" s="472" t="s">
        <v>10856</v>
      </c>
      <c r="B5749" s="472" t="s">
        <v>10857</v>
      </c>
      <c r="C5749" s="472" t="s">
        <v>90</v>
      </c>
      <c r="D5749" s="472">
        <v>622.04079999999999</v>
      </c>
      <c r="E5749" s="472" t="s">
        <v>170</v>
      </c>
      <c r="F5749" s="474"/>
    </row>
    <row r="5750" spans="1:6" s="475" customFormat="1" ht="15">
      <c r="A5750" s="472" t="s">
        <v>10858</v>
      </c>
      <c r="B5750" s="472" t="s">
        <v>10859</v>
      </c>
      <c r="C5750" s="472" t="s">
        <v>5</v>
      </c>
      <c r="D5750" s="472">
        <v>4.6525999999999996</v>
      </c>
      <c r="E5750" s="472" t="s">
        <v>170</v>
      </c>
      <c r="F5750" s="474"/>
    </row>
    <row r="5751" spans="1:6" s="475" customFormat="1" ht="15">
      <c r="A5751" s="472" t="s">
        <v>10860</v>
      </c>
      <c r="B5751" s="472" t="s">
        <v>10861</v>
      </c>
      <c r="C5751" s="472" t="s">
        <v>90</v>
      </c>
      <c r="D5751" s="472">
        <v>14.7135</v>
      </c>
      <c r="E5751" s="472" t="s">
        <v>170</v>
      </c>
      <c r="F5751" s="474"/>
    </row>
    <row r="5752" spans="1:6" s="475" customFormat="1" ht="15">
      <c r="A5752" s="472" t="s">
        <v>10862</v>
      </c>
      <c r="B5752" s="472" t="s">
        <v>10863</v>
      </c>
      <c r="C5752" s="472" t="s">
        <v>90</v>
      </c>
      <c r="D5752" s="472">
        <v>188594.76180000001</v>
      </c>
      <c r="E5752" s="472" t="s">
        <v>170</v>
      </c>
      <c r="F5752" s="474"/>
    </row>
    <row r="5753" spans="1:6" s="475" customFormat="1" ht="15">
      <c r="A5753" s="472" t="s">
        <v>10864</v>
      </c>
      <c r="B5753" s="472" t="s">
        <v>10865</v>
      </c>
      <c r="C5753" s="472" t="s">
        <v>90</v>
      </c>
      <c r="D5753" s="472">
        <v>203869.48509999999</v>
      </c>
      <c r="E5753" s="472" t="s">
        <v>170</v>
      </c>
      <c r="F5753" s="474"/>
    </row>
    <row r="5754" spans="1:6" s="475" customFormat="1" ht="15">
      <c r="A5754" s="472" t="s">
        <v>10866</v>
      </c>
      <c r="B5754" s="472" t="s">
        <v>10867</v>
      </c>
      <c r="C5754" s="472" t="s">
        <v>90</v>
      </c>
      <c r="D5754" s="472">
        <v>219099.50409999999</v>
      </c>
      <c r="E5754" s="472" t="s">
        <v>170</v>
      </c>
      <c r="F5754" s="474"/>
    </row>
    <row r="5755" spans="1:6" s="475" customFormat="1" ht="15">
      <c r="A5755" s="472" t="s">
        <v>10868</v>
      </c>
      <c r="B5755" s="472" t="s">
        <v>10869</v>
      </c>
      <c r="C5755" s="472" t="s">
        <v>90</v>
      </c>
      <c r="D5755" s="472">
        <v>234381.2634</v>
      </c>
      <c r="E5755" s="472" t="s">
        <v>170</v>
      </c>
      <c r="F5755" s="474"/>
    </row>
    <row r="5756" spans="1:6" s="475" customFormat="1" ht="15">
      <c r="A5756" s="472" t="s">
        <v>10870</v>
      </c>
      <c r="B5756" s="472" t="s">
        <v>10871</v>
      </c>
      <c r="C5756" s="472" t="s">
        <v>90</v>
      </c>
      <c r="D5756" s="472">
        <v>261335.405</v>
      </c>
      <c r="E5756" s="472" t="s">
        <v>170</v>
      </c>
      <c r="F5756" s="474"/>
    </row>
    <row r="5757" spans="1:6" s="475" customFormat="1" ht="15">
      <c r="A5757" s="472" t="s">
        <v>10872</v>
      </c>
      <c r="B5757" s="472" t="s">
        <v>10873</v>
      </c>
      <c r="C5757" s="472" t="s">
        <v>90</v>
      </c>
      <c r="D5757" s="472">
        <v>289204.74420000002</v>
      </c>
      <c r="E5757" s="472" t="s">
        <v>170</v>
      </c>
      <c r="F5757" s="474"/>
    </row>
    <row r="5758" spans="1:6" s="475" customFormat="1" ht="15">
      <c r="A5758" s="472" t="s">
        <v>10874</v>
      </c>
      <c r="B5758" s="472" t="s">
        <v>10875</v>
      </c>
      <c r="C5758" s="472" t="s">
        <v>90</v>
      </c>
      <c r="D5758" s="472">
        <v>293672.17019999999</v>
      </c>
      <c r="E5758" s="472" t="s">
        <v>170</v>
      </c>
      <c r="F5758" s="474"/>
    </row>
    <row r="5759" spans="1:6" s="475" customFormat="1" ht="15">
      <c r="A5759" s="472" t="s">
        <v>10876</v>
      </c>
      <c r="B5759" s="472" t="s">
        <v>10877</v>
      </c>
      <c r="C5759" s="472" t="s">
        <v>90</v>
      </c>
      <c r="D5759" s="472">
        <v>377866.56589999999</v>
      </c>
      <c r="E5759" s="472" t="s">
        <v>170</v>
      </c>
      <c r="F5759" s="474"/>
    </row>
    <row r="5760" spans="1:6" s="475" customFormat="1" ht="15">
      <c r="A5760" s="472" t="s">
        <v>10878</v>
      </c>
      <c r="B5760" s="472" t="s">
        <v>10879</v>
      </c>
      <c r="C5760" s="472" t="s">
        <v>90</v>
      </c>
      <c r="D5760" s="472">
        <v>383973.59389999998</v>
      </c>
      <c r="E5760" s="472" t="s">
        <v>170</v>
      </c>
      <c r="F5760" s="474"/>
    </row>
    <row r="5761" spans="1:6" s="475" customFormat="1" ht="15">
      <c r="A5761" s="472" t="s">
        <v>10880</v>
      </c>
      <c r="B5761" s="472" t="s">
        <v>10881</v>
      </c>
      <c r="C5761" s="472" t="s">
        <v>90</v>
      </c>
      <c r="D5761" s="472">
        <v>430372.5478</v>
      </c>
      <c r="E5761" s="472" t="s">
        <v>170</v>
      </c>
      <c r="F5761" s="474"/>
    </row>
    <row r="5762" spans="1:6" s="475" customFormat="1" ht="15">
      <c r="A5762" s="472" t="s">
        <v>10882</v>
      </c>
      <c r="B5762" s="472" t="s">
        <v>10883</v>
      </c>
      <c r="C5762" s="472" t="s">
        <v>90</v>
      </c>
      <c r="D5762" s="472">
        <v>471572.04719999997</v>
      </c>
      <c r="E5762" s="472" t="s">
        <v>170</v>
      </c>
      <c r="F5762" s="474"/>
    </row>
    <row r="5763" spans="1:6" s="475" customFormat="1" ht="15">
      <c r="A5763" s="472" t="s">
        <v>10884</v>
      </c>
      <c r="B5763" s="472" t="s">
        <v>10885</v>
      </c>
      <c r="C5763" s="472" t="s">
        <v>90</v>
      </c>
      <c r="D5763" s="472">
        <v>484146.81270000001</v>
      </c>
      <c r="E5763" s="472" t="s">
        <v>170</v>
      </c>
      <c r="F5763" s="474"/>
    </row>
    <row r="5764" spans="1:6" s="475" customFormat="1" ht="15">
      <c r="A5764" s="472" t="s">
        <v>10886</v>
      </c>
      <c r="B5764" s="472" t="s">
        <v>10887</v>
      </c>
      <c r="C5764" s="472" t="s">
        <v>90</v>
      </c>
      <c r="D5764" s="472">
        <v>524053.76909999998</v>
      </c>
      <c r="E5764" s="472" t="s">
        <v>170</v>
      </c>
      <c r="F5764" s="474"/>
    </row>
    <row r="5765" spans="1:6" s="475" customFormat="1" ht="15">
      <c r="A5765" s="472" t="s">
        <v>10888</v>
      </c>
      <c r="B5765" s="472" t="s">
        <v>10889</v>
      </c>
      <c r="C5765" s="472" t="s">
        <v>90</v>
      </c>
      <c r="D5765" s="472">
        <v>181562.69270000001</v>
      </c>
      <c r="E5765" s="472" t="s">
        <v>170</v>
      </c>
      <c r="F5765" s="474"/>
    </row>
    <row r="5766" spans="1:6" s="475" customFormat="1" ht="15">
      <c r="A5766" s="472" t="s">
        <v>10890</v>
      </c>
      <c r="B5766" s="472" t="s">
        <v>10891</v>
      </c>
      <c r="C5766" s="472" t="s">
        <v>90</v>
      </c>
      <c r="D5766" s="472">
        <v>195404.95749999999</v>
      </c>
      <c r="E5766" s="472" t="s">
        <v>170</v>
      </c>
      <c r="F5766" s="474"/>
    </row>
    <row r="5767" spans="1:6" s="475" customFormat="1" ht="15">
      <c r="A5767" s="472" t="s">
        <v>10892</v>
      </c>
      <c r="B5767" s="472" t="s">
        <v>10893</v>
      </c>
      <c r="C5767" s="472" t="s">
        <v>90</v>
      </c>
      <c r="D5767" s="472">
        <v>209245.9258</v>
      </c>
      <c r="E5767" s="472" t="s">
        <v>170</v>
      </c>
      <c r="F5767" s="474"/>
    </row>
    <row r="5768" spans="1:6" s="475" customFormat="1" ht="15">
      <c r="A5768" s="472" t="s">
        <v>10894</v>
      </c>
      <c r="B5768" s="472" t="s">
        <v>10895</v>
      </c>
      <c r="C5768" s="472" t="s">
        <v>90</v>
      </c>
      <c r="D5768" s="472">
        <v>223095.22659999999</v>
      </c>
      <c r="E5768" s="472" t="s">
        <v>170</v>
      </c>
      <c r="F5768" s="474"/>
    </row>
    <row r="5769" spans="1:6" s="475" customFormat="1" ht="15">
      <c r="A5769" s="472" t="s">
        <v>10896</v>
      </c>
      <c r="B5769" s="472" t="s">
        <v>10897</v>
      </c>
      <c r="C5769" s="472" t="s">
        <v>90</v>
      </c>
      <c r="D5769" s="472">
        <v>247227.859</v>
      </c>
      <c r="E5769" s="472" t="s">
        <v>170</v>
      </c>
      <c r="F5769" s="474"/>
    </row>
    <row r="5770" spans="1:6" s="475" customFormat="1" ht="15">
      <c r="A5770" s="472" t="s">
        <v>10898</v>
      </c>
      <c r="B5770" s="472" t="s">
        <v>10899</v>
      </c>
      <c r="C5770" s="472" t="s">
        <v>90</v>
      </c>
      <c r="D5770" s="472">
        <v>272275.68890000001</v>
      </c>
      <c r="E5770" s="472" t="s">
        <v>170</v>
      </c>
      <c r="F5770" s="474"/>
    </row>
    <row r="5771" spans="1:6" s="475" customFormat="1" ht="15">
      <c r="A5771" s="472" t="s">
        <v>10900</v>
      </c>
      <c r="B5771" s="472" t="s">
        <v>10901</v>
      </c>
      <c r="C5771" s="472" t="s">
        <v>90</v>
      </c>
      <c r="D5771" s="472">
        <v>276743.11489999999</v>
      </c>
      <c r="E5771" s="472" t="s">
        <v>170</v>
      </c>
      <c r="F5771" s="474"/>
    </row>
    <row r="5772" spans="1:6" s="475" customFormat="1" ht="15">
      <c r="A5772" s="472" t="s">
        <v>10902</v>
      </c>
      <c r="B5772" s="472" t="s">
        <v>10903</v>
      </c>
      <c r="C5772" s="472" t="s">
        <v>90</v>
      </c>
      <c r="D5772" s="472">
        <v>296867.5477</v>
      </c>
      <c r="E5772" s="472" t="s">
        <v>170</v>
      </c>
      <c r="F5772" s="474"/>
    </row>
    <row r="5773" spans="1:6" s="475" customFormat="1" ht="15">
      <c r="A5773" s="472" t="s">
        <v>10904</v>
      </c>
      <c r="B5773" s="472" t="s">
        <v>10905</v>
      </c>
      <c r="C5773" s="472" t="s">
        <v>90</v>
      </c>
      <c r="D5773" s="472">
        <v>302974.57569999999</v>
      </c>
      <c r="E5773" s="472" t="s">
        <v>170</v>
      </c>
      <c r="F5773" s="474"/>
    </row>
    <row r="5774" spans="1:6" s="475" customFormat="1" ht="15">
      <c r="A5774" s="472" t="s">
        <v>10906</v>
      </c>
      <c r="B5774" s="472" t="s">
        <v>10907</v>
      </c>
      <c r="C5774" s="472" t="s">
        <v>90</v>
      </c>
      <c r="D5774" s="472">
        <v>323111.78999999998</v>
      </c>
      <c r="E5774" s="472" t="s">
        <v>170</v>
      </c>
      <c r="F5774" s="474"/>
    </row>
    <row r="5775" spans="1:6" s="475" customFormat="1" ht="15">
      <c r="A5775" s="472" t="s">
        <v>10908</v>
      </c>
      <c r="B5775" s="472" t="s">
        <v>10909</v>
      </c>
      <c r="C5775" s="472" t="s">
        <v>90</v>
      </c>
      <c r="D5775" s="472">
        <v>370301.57049999997</v>
      </c>
      <c r="E5775" s="472" t="s">
        <v>170</v>
      </c>
      <c r="F5775" s="474"/>
    </row>
    <row r="5776" spans="1:6" s="475" customFormat="1" ht="15">
      <c r="A5776" s="472" t="s">
        <v>10910</v>
      </c>
      <c r="B5776" s="472" t="s">
        <v>10911</v>
      </c>
      <c r="C5776" s="472" t="s">
        <v>90</v>
      </c>
      <c r="D5776" s="472">
        <v>382876.33590000001</v>
      </c>
      <c r="E5776" s="472" t="s">
        <v>170</v>
      </c>
      <c r="F5776" s="474"/>
    </row>
    <row r="5777" spans="1:6" s="475" customFormat="1" ht="15">
      <c r="A5777" s="472" t="s">
        <v>10912</v>
      </c>
      <c r="B5777" s="472" t="s">
        <v>10913</v>
      </c>
      <c r="C5777" s="472" t="s">
        <v>90</v>
      </c>
      <c r="D5777" s="472">
        <v>412669.2671</v>
      </c>
      <c r="E5777" s="472" t="s">
        <v>170</v>
      </c>
      <c r="F5777" s="474"/>
    </row>
    <row r="5778" spans="1:6" s="475" customFormat="1" ht="15">
      <c r="A5778" s="472" t="s">
        <v>10914</v>
      </c>
      <c r="B5778" s="472" t="s">
        <v>10915</v>
      </c>
      <c r="C5778" s="472" t="s">
        <v>5</v>
      </c>
      <c r="D5778" s="472">
        <v>1.7243999999999999</v>
      </c>
      <c r="E5778" s="472" t="s">
        <v>170</v>
      </c>
      <c r="F5778" s="474"/>
    </row>
    <row r="5779" spans="1:6" s="475" customFormat="1" ht="15">
      <c r="A5779" s="472" t="s">
        <v>10916</v>
      </c>
      <c r="B5779" s="472" t="s">
        <v>10917</v>
      </c>
      <c r="C5779" s="472" t="s">
        <v>90</v>
      </c>
      <c r="D5779" s="472">
        <v>430.41820000000001</v>
      </c>
      <c r="E5779" s="472" t="s">
        <v>170</v>
      </c>
      <c r="F5779" s="474"/>
    </row>
    <row r="5780" spans="1:6" s="475" customFormat="1" ht="15">
      <c r="A5780" s="472" t="s">
        <v>10918</v>
      </c>
      <c r="B5780" s="472" t="s">
        <v>10919</v>
      </c>
      <c r="C5780" s="472" t="s">
        <v>90</v>
      </c>
      <c r="D5780" s="472">
        <v>4.7999000000000001</v>
      </c>
      <c r="E5780" s="472" t="s">
        <v>170</v>
      </c>
      <c r="F5780" s="474"/>
    </row>
    <row r="5781" spans="1:6" s="475" customFormat="1" ht="15">
      <c r="A5781" s="472" t="s">
        <v>10920</v>
      </c>
      <c r="B5781" s="472" t="s">
        <v>10921</v>
      </c>
      <c r="C5781" s="472" t="s">
        <v>90</v>
      </c>
      <c r="D5781" s="472">
        <v>18.904</v>
      </c>
      <c r="E5781" s="472" t="s">
        <v>170</v>
      </c>
      <c r="F5781" s="474"/>
    </row>
    <row r="5782" spans="1:6" s="475" customFormat="1" ht="15">
      <c r="A5782" s="472" t="s">
        <v>10922</v>
      </c>
      <c r="B5782" s="472" t="s">
        <v>10923</v>
      </c>
      <c r="C5782" s="472" t="s">
        <v>90</v>
      </c>
      <c r="D5782" s="472">
        <v>85.809700000000007</v>
      </c>
      <c r="E5782" s="472" t="s">
        <v>170</v>
      </c>
      <c r="F5782" s="474"/>
    </row>
    <row r="5783" spans="1:6" s="475" customFormat="1" ht="15">
      <c r="A5783" s="472" t="s">
        <v>10924</v>
      </c>
      <c r="B5783" s="472" t="s">
        <v>10925</v>
      </c>
      <c r="C5783" s="472" t="s">
        <v>90</v>
      </c>
      <c r="D5783" s="472">
        <v>62.878900000000002</v>
      </c>
      <c r="E5783" s="472" t="s">
        <v>170</v>
      </c>
      <c r="F5783" s="474"/>
    </row>
    <row r="5784" spans="1:6" s="475" customFormat="1" ht="15">
      <c r="A5784" s="472" t="s">
        <v>10926</v>
      </c>
      <c r="B5784" s="472" t="s">
        <v>10927</v>
      </c>
      <c r="C5784" s="472" t="s">
        <v>90</v>
      </c>
      <c r="D5784" s="472">
        <v>32.4831</v>
      </c>
      <c r="E5784" s="472" t="s">
        <v>170</v>
      </c>
      <c r="F5784" s="474"/>
    </row>
    <row r="5785" spans="1:6" s="475" customFormat="1" ht="15">
      <c r="A5785" s="472" t="s">
        <v>10928</v>
      </c>
      <c r="B5785" s="472" t="s">
        <v>10929</v>
      </c>
      <c r="C5785" s="472" t="s">
        <v>5</v>
      </c>
      <c r="D5785" s="472">
        <v>1.5911999999999999</v>
      </c>
      <c r="E5785" s="472" t="s">
        <v>170</v>
      </c>
      <c r="F5785" s="474"/>
    </row>
    <row r="5786" spans="1:6" s="475" customFormat="1" ht="15">
      <c r="A5786" s="472" t="s">
        <v>10930</v>
      </c>
      <c r="B5786" s="472" t="s">
        <v>10931</v>
      </c>
      <c r="C5786" s="472" t="s">
        <v>90</v>
      </c>
      <c r="D5786" s="472">
        <v>122.8947</v>
      </c>
      <c r="E5786" s="472" t="s">
        <v>170</v>
      </c>
      <c r="F5786" s="474"/>
    </row>
    <row r="5787" spans="1:6" s="475" customFormat="1" ht="15">
      <c r="A5787" s="472" t="s">
        <v>10932</v>
      </c>
      <c r="B5787" s="472" t="s">
        <v>10933</v>
      </c>
      <c r="C5787" s="472" t="s">
        <v>90</v>
      </c>
      <c r="D5787" s="472">
        <v>71.619100000000003</v>
      </c>
      <c r="E5787" s="472" t="s">
        <v>170</v>
      </c>
      <c r="F5787" s="474"/>
    </row>
    <row r="5788" spans="1:6" s="475" customFormat="1" ht="15">
      <c r="A5788" s="472" t="s">
        <v>10934</v>
      </c>
      <c r="B5788" s="472" t="s">
        <v>10935</v>
      </c>
      <c r="C5788" s="472" t="s">
        <v>90</v>
      </c>
      <c r="D5788" s="472">
        <v>47.876300000000001</v>
      </c>
      <c r="E5788" s="472" t="s">
        <v>170</v>
      </c>
      <c r="F5788" s="474"/>
    </row>
    <row r="5789" spans="1:6" s="475" customFormat="1" ht="15">
      <c r="A5789" s="472" t="s">
        <v>10936</v>
      </c>
      <c r="B5789" s="472" t="s">
        <v>10937</v>
      </c>
      <c r="C5789" s="472" t="s">
        <v>10227</v>
      </c>
      <c r="D5789" s="472">
        <v>32.130000000000003</v>
      </c>
      <c r="E5789" s="472" t="s">
        <v>170</v>
      </c>
      <c r="F5789" s="474"/>
    </row>
    <row r="5790" spans="1:6" s="475" customFormat="1" ht="15">
      <c r="A5790" s="472" t="s">
        <v>10938</v>
      </c>
      <c r="B5790" s="472" t="s">
        <v>10939</v>
      </c>
      <c r="C5790" s="472" t="s">
        <v>4</v>
      </c>
      <c r="D5790" s="472">
        <v>22.2851</v>
      </c>
      <c r="E5790" s="472" t="s">
        <v>170</v>
      </c>
      <c r="F5790" s="474"/>
    </row>
    <row r="5791" spans="1:6" s="475" customFormat="1" ht="15">
      <c r="A5791" s="472" t="s">
        <v>10940</v>
      </c>
      <c r="B5791" s="472" t="s">
        <v>10941</v>
      </c>
      <c r="C5791" s="472" t="s">
        <v>4</v>
      </c>
      <c r="D5791" s="472">
        <v>19.411000000000001</v>
      </c>
      <c r="E5791" s="472" t="s">
        <v>170</v>
      </c>
      <c r="F5791" s="474"/>
    </row>
    <row r="5792" spans="1:6" s="475" customFormat="1" ht="15">
      <c r="A5792" s="472" t="s">
        <v>10942</v>
      </c>
      <c r="B5792" s="472" t="s">
        <v>10943</v>
      </c>
      <c r="C5792" s="472" t="s">
        <v>89</v>
      </c>
      <c r="D5792" s="472">
        <v>6.37</v>
      </c>
      <c r="E5792" s="472" t="s">
        <v>170</v>
      </c>
      <c r="F5792" s="474"/>
    </row>
    <row r="5793" spans="1:6" s="475" customFormat="1" ht="15">
      <c r="A5793" s="472" t="s">
        <v>10944</v>
      </c>
      <c r="B5793" s="472" t="s">
        <v>10945</v>
      </c>
      <c r="C5793" s="472" t="s">
        <v>5</v>
      </c>
      <c r="D5793" s="472">
        <v>166.1944</v>
      </c>
      <c r="E5793" s="472" t="s">
        <v>170</v>
      </c>
      <c r="F5793" s="474"/>
    </row>
    <row r="5794" spans="1:6" s="475" customFormat="1" ht="15">
      <c r="A5794" s="472" t="s">
        <v>10946</v>
      </c>
      <c r="B5794" s="472" t="s">
        <v>10947</v>
      </c>
      <c r="C5794" s="472" t="s">
        <v>4</v>
      </c>
      <c r="D5794" s="472">
        <v>4.9861000000000004</v>
      </c>
      <c r="E5794" s="472" t="s">
        <v>170</v>
      </c>
      <c r="F5794" s="474"/>
    </row>
    <row r="5795" spans="1:6" s="475" customFormat="1" ht="15">
      <c r="A5795" s="472" t="s">
        <v>10948</v>
      </c>
      <c r="B5795" s="472" t="s">
        <v>10949</v>
      </c>
      <c r="C5795" s="472" t="s">
        <v>4</v>
      </c>
      <c r="D5795" s="472">
        <v>6.34</v>
      </c>
      <c r="E5795" s="472" t="s">
        <v>170</v>
      </c>
      <c r="F5795" s="474"/>
    </row>
    <row r="5796" spans="1:6" s="475" customFormat="1" ht="15">
      <c r="A5796" s="472" t="s">
        <v>10950</v>
      </c>
      <c r="B5796" s="472" t="s">
        <v>10951</v>
      </c>
      <c r="C5796" s="472" t="s">
        <v>89</v>
      </c>
      <c r="D5796" s="472">
        <v>5.0999999999999996</v>
      </c>
      <c r="E5796" s="472" t="s">
        <v>170</v>
      </c>
      <c r="F5796" s="474"/>
    </row>
    <row r="5797" spans="1:6" s="475" customFormat="1" ht="15">
      <c r="A5797" s="472" t="s">
        <v>6336</v>
      </c>
      <c r="B5797" s="472" t="s">
        <v>6766</v>
      </c>
      <c r="C5797" s="472" t="s">
        <v>89</v>
      </c>
      <c r="D5797" s="472">
        <v>5.5800999999999998</v>
      </c>
      <c r="E5797" s="472" t="s">
        <v>170</v>
      </c>
      <c r="F5797" s="474"/>
    </row>
    <row r="5798" spans="1:6" s="475" customFormat="1" ht="15">
      <c r="A5798" s="472" t="s">
        <v>10952</v>
      </c>
      <c r="B5798" s="472" t="s">
        <v>10953</v>
      </c>
      <c r="C5798" s="472" t="s">
        <v>89</v>
      </c>
      <c r="D5798" s="472">
        <v>4.4469000000000003</v>
      </c>
      <c r="E5798" s="472" t="s">
        <v>170</v>
      </c>
      <c r="F5798" s="474"/>
    </row>
    <row r="5799" spans="1:6" s="475" customFormat="1" ht="15">
      <c r="A5799" s="472" t="s">
        <v>10954</v>
      </c>
      <c r="B5799" s="472" t="s">
        <v>10955</v>
      </c>
      <c r="C5799" s="472" t="s">
        <v>10075</v>
      </c>
      <c r="D5799" s="472">
        <v>110.7101</v>
      </c>
      <c r="E5799" s="472" t="s">
        <v>170</v>
      </c>
      <c r="F5799" s="474"/>
    </row>
    <row r="5800" spans="1:6" s="475" customFormat="1" ht="15">
      <c r="A5800" s="472" t="s">
        <v>10956</v>
      </c>
      <c r="B5800" s="472" t="s">
        <v>10957</v>
      </c>
      <c r="C5800" s="472" t="s">
        <v>10075</v>
      </c>
      <c r="D5800" s="472">
        <v>154.20490000000001</v>
      </c>
      <c r="E5800" s="472" t="s">
        <v>170</v>
      </c>
      <c r="F5800" s="474"/>
    </row>
    <row r="5801" spans="1:6" s="475" customFormat="1" ht="15">
      <c r="A5801" s="472" t="s">
        <v>10958</v>
      </c>
      <c r="B5801" s="472" t="s">
        <v>10959</v>
      </c>
      <c r="C5801" s="472" t="s">
        <v>89</v>
      </c>
      <c r="D5801" s="472">
        <v>5.4808000000000003</v>
      </c>
      <c r="E5801" s="472" t="s">
        <v>170</v>
      </c>
      <c r="F5801" s="474"/>
    </row>
    <row r="5802" spans="1:6" s="475" customFormat="1" ht="15">
      <c r="A5802" s="472" t="s">
        <v>10960</v>
      </c>
      <c r="B5802" s="472" t="s">
        <v>10961</v>
      </c>
      <c r="C5802" s="472" t="s">
        <v>90</v>
      </c>
      <c r="D5802" s="472">
        <v>243.33240000000001</v>
      </c>
      <c r="E5802" s="472" t="s">
        <v>170</v>
      </c>
      <c r="F5802" s="474"/>
    </row>
    <row r="5803" spans="1:6" s="475" customFormat="1" ht="15">
      <c r="A5803" s="472" t="s">
        <v>7351</v>
      </c>
      <c r="B5803" s="472" t="s">
        <v>7830</v>
      </c>
      <c r="C5803" s="472" t="s">
        <v>89</v>
      </c>
      <c r="D5803" s="472">
        <v>38.661999999999999</v>
      </c>
      <c r="E5803" s="472" t="s">
        <v>170</v>
      </c>
      <c r="F5803" s="474"/>
    </row>
    <row r="5804" spans="1:6" s="475" customFormat="1" ht="15">
      <c r="A5804" s="472" t="s">
        <v>7494</v>
      </c>
      <c r="B5804" s="472" t="s">
        <v>7840</v>
      </c>
      <c r="C5804" s="472" t="s">
        <v>89</v>
      </c>
      <c r="D5804" s="472">
        <v>22.345199999999998</v>
      </c>
      <c r="E5804" s="472" t="s">
        <v>170</v>
      </c>
      <c r="F5804" s="474"/>
    </row>
    <row r="5805" spans="1:6" s="475" customFormat="1" ht="15">
      <c r="A5805" s="472" t="s">
        <v>10962</v>
      </c>
      <c r="B5805" s="472" t="s">
        <v>10963</v>
      </c>
      <c r="C5805" s="472" t="s">
        <v>90</v>
      </c>
      <c r="D5805" s="472">
        <v>141.7611</v>
      </c>
      <c r="E5805" s="472" t="s">
        <v>170</v>
      </c>
      <c r="F5805" s="474"/>
    </row>
    <row r="5806" spans="1:6" s="475" customFormat="1" ht="15">
      <c r="A5806" s="472" t="s">
        <v>7362</v>
      </c>
      <c r="B5806" s="472" t="s">
        <v>7833</v>
      </c>
      <c r="C5806" s="472" t="s">
        <v>90</v>
      </c>
      <c r="D5806" s="472">
        <v>18.3841</v>
      </c>
      <c r="E5806" s="472" t="s">
        <v>170</v>
      </c>
      <c r="F5806" s="474"/>
    </row>
    <row r="5807" spans="1:6" s="475" customFormat="1" ht="15">
      <c r="A5807" s="472" t="s">
        <v>10964</v>
      </c>
      <c r="B5807" s="472" t="s">
        <v>10965</v>
      </c>
      <c r="C5807" s="472" t="s">
        <v>89</v>
      </c>
      <c r="D5807" s="472">
        <v>21.825500000000002</v>
      </c>
      <c r="E5807" s="472" t="s">
        <v>170</v>
      </c>
      <c r="F5807" s="474"/>
    </row>
    <row r="5808" spans="1:6" s="475" customFormat="1" ht="15">
      <c r="A5808" s="472" t="s">
        <v>10966</v>
      </c>
      <c r="B5808" s="472" t="s">
        <v>10967</v>
      </c>
      <c r="C5808" s="472" t="s">
        <v>89</v>
      </c>
      <c r="D5808" s="472">
        <v>23.5167</v>
      </c>
      <c r="E5808" s="472" t="s">
        <v>170</v>
      </c>
      <c r="F5808" s="474"/>
    </row>
    <row r="5809" spans="1:6" s="475" customFormat="1" ht="15">
      <c r="A5809" s="472" t="s">
        <v>10968</v>
      </c>
      <c r="B5809" s="472" t="s">
        <v>10969</v>
      </c>
      <c r="C5809" s="472" t="s">
        <v>90</v>
      </c>
      <c r="D5809" s="472">
        <v>216.3</v>
      </c>
      <c r="E5809" s="472" t="s">
        <v>170</v>
      </c>
      <c r="F5809" s="474"/>
    </row>
    <row r="5810" spans="1:6" s="475" customFormat="1" ht="15">
      <c r="A5810" s="472" t="s">
        <v>10970</v>
      </c>
      <c r="B5810" s="472" t="s">
        <v>10971</v>
      </c>
      <c r="C5810" s="472" t="s">
        <v>5</v>
      </c>
      <c r="D5810" s="472">
        <v>59.248899999999999</v>
      </c>
      <c r="E5810" s="472" t="s">
        <v>170</v>
      </c>
      <c r="F5810" s="474"/>
    </row>
    <row r="5811" spans="1:6" s="475" customFormat="1" ht="15">
      <c r="A5811" s="472" t="s">
        <v>10972</v>
      </c>
      <c r="B5811" s="472" t="s">
        <v>10973</v>
      </c>
      <c r="C5811" s="472" t="s">
        <v>10227</v>
      </c>
      <c r="D5811" s="472">
        <v>25.08</v>
      </c>
      <c r="E5811" s="472" t="s">
        <v>170</v>
      </c>
      <c r="F5811" s="474"/>
    </row>
    <row r="5812" spans="1:6" s="475" customFormat="1" ht="15">
      <c r="A5812" s="472" t="s">
        <v>10974</v>
      </c>
      <c r="B5812" s="472" t="s">
        <v>10975</v>
      </c>
      <c r="C5812" s="472" t="s">
        <v>90</v>
      </c>
      <c r="D5812" s="472">
        <v>432.6173</v>
      </c>
      <c r="E5812" s="472" t="s">
        <v>170</v>
      </c>
      <c r="F5812" s="474"/>
    </row>
    <row r="5813" spans="1:6" s="475" customFormat="1" ht="15">
      <c r="A5813" s="472" t="s">
        <v>10976</v>
      </c>
      <c r="B5813" s="472" t="s">
        <v>10977</v>
      </c>
      <c r="C5813" s="472" t="s">
        <v>90</v>
      </c>
      <c r="D5813" s="472">
        <v>154.99940000000001</v>
      </c>
      <c r="E5813" s="472" t="s">
        <v>170</v>
      </c>
      <c r="F5813" s="474"/>
    </row>
    <row r="5814" spans="1:6" s="475" customFormat="1" ht="15">
      <c r="A5814" s="472" t="s">
        <v>10978</v>
      </c>
      <c r="B5814" s="472" t="s">
        <v>10979</v>
      </c>
      <c r="C5814" s="472" t="s">
        <v>5</v>
      </c>
      <c r="D5814" s="472">
        <v>103.002</v>
      </c>
      <c r="E5814" s="472" t="s">
        <v>170</v>
      </c>
      <c r="F5814" s="474"/>
    </row>
    <row r="5815" spans="1:6" s="475" customFormat="1" ht="15">
      <c r="A5815" s="472" t="s">
        <v>10980</v>
      </c>
      <c r="B5815" s="472" t="s">
        <v>10981</v>
      </c>
      <c r="C5815" s="472" t="s">
        <v>10227</v>
      </c>
      <c r="D5815" s="472">
        <v>26.155100000000001</v>
      </c>
      <c r="E5815" s="472" t="s">
        <v>170</v>
      </c>
      <c r="F5815" s="474"/>
    </row>
    <row r="5816" spans="1:6" s="475" customFormat="1" ht="15">
      <c r="A5816" s="472" t="s">
        <v>10982</v>
      </c>
      <c r="B5816" s="472" t="s">
        <v>10983</v>
      </c>
      <c r="C5816" s="472" t="s">
        <v>10227</v>
      </c>
      <c r="D5816" s="472">
        <v>12.881500000000001</v>
      </c>
      <c r="E5816" s="472" t="s">
        <v>170</v>
      </c>
      <c r="F5816" s="474"/>
    </row>
    <row r="5817" spans="1:6" s="475" customFormat="1" ht="15">
      <c r="A5817" s="472" t="s">
        <v>10984</v>
      </c>
      <c r="B5817" s="472" t="s">
        <v>10985</v>
      </c>
      <c r="C5817" s="472" t="s">
        <v>10227</v>
      </c>
      <c r="D5817" s="472">
        <v>16.8565</v>
      </c>
      <c r="E5817" s="472" t="s">
        <v>170</v>
      </c>
      <c r="F5817" s="474"/>
    </row>
    <row r="5818" spans="1:6" s="475" customFormat="1" ht="15">
      <c r="A5818" s="472" t="s">
        <v>10986</v>
      </c>
      <c r="B5818" s="472" t="s">
        <v>10987</v>
      </c>
      <c r="C5818" s="472" t="s">
        <v>10227</v>
      </c>
      <c r="D5818" s="472">
        <v>17.440799999999999</v>
      </c>
      <c r="E5818" s="472" t="s">
        <v>170</v>
      </c>
      <c r="F5818" s="474"/>
    </row>
    <row r="5819" spans="1:6" s="475" customFormat="1" ht="15">
      <c r="A5819" s="472" t="s">
        <v>10988</v>
      </c>
      <c r="B5819" s="472" t="s">
        <v>10989</v>
      </c>
      <c r="C5819" s="472" t="s">
        <v>10227</v>
      </c>
      <c r="D5819" s="472">
        <v>18.7805</v>
      </c>
      <c r="E5819" s="472" t="s">
        <v>170</v>
      </c>
      <c r="F5819" s="474"/>
    </row>
    <row r="5820" spans="1:6" s="475" customFormat="1" ht="15">
      <c r="A5820" s="472" t="s">
        <v>10990</v>
      </c>
      <c r="B5820" s="472" t="s">
        <v>10991</v>
      </c>
      <c r="C5820" s="472" t="s">
        <v>10227</v>
      </c>
      <c r="D5820" s="472">
        <v>25.1312</v>
      </c>
      <c r="E5820" s="472" t="s">
        <v>170</v>
      </c>
      <c r="F5820" s="474"/>
    </row>
    <row r="5821" spans="1:6" s="475" customFormat="1" ht="15">
      <c r="A5821" s="472" t="s">
        <v>10992</v>
      </c>
      <c r="B5821" s="472" t="s">
        <v>10993</v>
      </c>
      <c r="C5821" s="472" t="s">
        <v>10227</v>
      </c>
      <c r="D5821" s="472">
        <v>37.720999999999997</v>
      </c>
      <c r="E5821" s="472" t="s">
        <v>170</v>
      </c>
      <c r="F5821" s="474"/>
    </row>
    <row r="5822" spans="1:6" s="475" customFormat="1" ht="15">
      <c r="A5822" s="472" t="s">
        <v>10994</v>
      </c>
      <c r="B5822" s="472" t="s">
        <v>10995</v>
      </c>
      <c r="C5822" s="472" t="s">
        <v>10227</v>
      </c>
      <c r="D5822" s="472">
        <v>50.341799999999999</v>
      </c>
      <c r="E5822" s="472" t="s">
        <v>170</v>
      </c>
      <c r="F5822" s="474"/>
    </row>
    <row r="5823" spans="1:6" s="475" customFormat="1" ht="15">
      <c r="A5823" s="472" t="s">
        <v>10996</v>
      </c>
      <c r="B5823" s="472" t="s">
        <v>10997</v>
      </c>
      <c r="C5823" s="472" t="s">
        <v>10227</v>
      </c>
      <c r="D5823" s="472">
        <v>33.551099999999998</v>
      </c>
      <c r="E5823" s="472" t="s">
        <v>170</v>
      </c>
      <c r="F5823" s="474"/>
    </row>
    <row r="5824" spans="1:6" s="475" customFormat="1" ht="15">
      <c r="A5824" s="472" t="s">
        <v>10998</v>
      </c>
      <c r="B5824" s="472" t="s">
        <v>10999</v>
      </c>
      <c r="C5824" s="472" t="s">
        <v>10227</v>
      </c>
      <c r="D5824" s="472">
        <v>42.002699999999997</v>
      </c>
      <c r="E5824" s="472" t="s">
        <v>170</v>
      </c>
      <c r="F5824" s="474"/>
    </row>
    <row r="5825" spans="1:6" s="475" customFormat="1" ht="15">
      <c r="A5825" s="472" t="s">
        <v>11000</v>
      </c>
      <c r="B5825" s="472" t="s">
        <v>11001</v>
      </c>
      <c r="C5825" s="472" t="s">
        <v>10227</v>
      </c>
      <c r="D5825" s="472">
        <v>50.403399999999998</v>
      </c>
      <c r="E5825" s="472" t="s">
        <v>170</v>
      </c>
      <c r="F5825" s="474"/>
    </row>
    <row r="5826" spans="1:6" s="475" customFormat="1" ht="15">
      <c r="A5826" s="472" t="s">
        <v>11002</v>
      </c>
      <c r="B5826" s="472" t="s">
        <v>11003</v>
      </c>
      <c r="C5826" s="472" t="s">
        <v>10227</v>
      </c>
      <c r="D5826" s="472">
        <v>59.119100000000003</v>
      </c>
      <c r="E5826" s="472" t="s">
        <v>170</v>
      </c>
      <c r="F5826" s="474"/>
    </row>
    <row r="5827" spans="1:6" s="475" customFormat="1" ht="15">
      <c r="A5827" s="472" t="s">
        <v>11004</v>
      </c>
      <c r="B5827" s="472" t="s">
        <v>11005</v>
      </c>
      <c r="C5827" s="472" t="s">
        <v>10227</v>
      </c>
      <c r="D5827" s="472">
        <v>27.729700000000001</v>
      </c>
      <c r="E5827" s="472" t="s">
        <v>170</v>
      </c>
      <c r="F5827" s="474"/>
    </row>
    <row r="5828" spans="1:6" s="475" customFormat="1" ht="15">
      <c r="A5828" s="472" t="s">
        <v>11006</v>
      </c>
      <c r="B5828" s="472" t="s">
        <v>11007</v>
      </c>
      <c r="C5828" s="472" t="s">
        <v>10227</v>
      </c>
      <c r="D5828" s="472">
        <v>30.811299999999999</v>
      </c>
      <c r="E5828" s="472" t="s">
        <v>170</v>
      </c>
      <c r="F5828" s="474"/>
    </row>
    <row r="5829" spans="1:6" s="475" customFormat="1" ht="15">
      <c r="A5829" s="472" t="s">
        <v>11008</v>
      </c>
      <c r="B5829" s="472" t="s">
        <v>11009</v>
      </c>
      <c r="C5829" s="472" t="s">
        <v>10227</v>
      </c>
      <c r="D5829" s="472">
        <v>41.141599999999997</v>
      </c>
      <c r="E5829" s="472" t="s">
        <v>170</v>
      </c>
      <c r="F5829" s="474"/>
    </row>
    <row r="5830" spans="1:6" s="475" customFormat="1" ht="15">
      <c r="A5830" s="472" t="s">
        <v>11010</v>
      </c>
      <c r="B5830" s="472" t="s">
        <v>11011</v>
      </c>
      <c r="C5830" s="472" t="s">
        <v>10227</v>
      </c>
      <c r="D5830" s="472">
        <v>48.000399999999999</v>
      </c>
      <c r="E5830" s="472" t="s">
        <v>170</v>
      </c>
      <c r="F5830" s="474"/>
    </row>
    <row r="5831" spans="1:6" s="475" customFormat="1" ht="15">
      <c r="A5831" s="472" t="s">
        <v>11012</v>
      </c>
      <c r="B5831" s="472" t="s">
        <v>11013</v>
      </c>
      <c r="C5831" s="472" t="s">
        <v>10227</v>
      </c>
      <c r="D5831" s="472">
        <v>24.798400000000001</v>
      </c>
      <c r="E5831" s="472" t="s">
        <v>170</v>
      </c>
      <c r="F5831" s="474"/>
    </row>
    <row r="5832" spans="1:6" s="475" customFormat="1" ht="15">
      <c r="A5832" s="472" t="s">
        <v>11014</v>
      </c>
      <c r="B5832" s="472" t="s">
        <v>11015</v>
      </c>
      <c r="C5832" s="472" t="s">
        <v>10227</v>
      </c>
      <c r="D5832" s="472">
        <v>32.336199999999998</v>
      </c>
      <c r="E5832" s="472" t="s">
        <v>170</v>
      </c>
      <c r="F5832" s="474"/>
    </row>
    <row r="5833" spans="1:6" s="475" customFormat="1" ht="15">
      <c r="A5833" s="472" t="s">
        <v>11016</v>
      </c>
      <c r="B5833" s="472" t="s">
        <v>11017</v>
      </c>
      <c r="C5833" s="472" t="s">
        <v>10227</v>
      </c>
      <c r="D5833" s="472">
        <v>38.413699999999999</v>
      </c>
      <c r="E5833" s="472" t="s">
        <v>170</v>
      </c>
      <c r="F5833" s="474"/>
    </row>
    <row r="5834" spans="1:6" s="475" customFormat="1" ht="15">
      <c r="A5834" s="472" t="s">
        <v>11018</v>
      </c>
      <c r="B5834" s="472" t="s">
        <v>11019</v>
      </c>
      <c r="C5834" s="472" t="s">
        <v>10227</v>
      </c>
      <c r="D5834" s="472">
        <v>45.216200000000001</v>
      </c>
      <c r="E5834" s="472" t="s">
        <v>170</v>
      </c>
      <c r="F5834" s="474"/>
    </row>
    <row r="5835" spans="1:6" s="475" customFormat="1" ht="15">
      <c r="A5835" s="472" t="s">
        <v>11020</v>
      </c>
      <c r="B5835" s="472" t="s">
        <v>11021</v>
      </c>
      <c r="C5835" s="472" t="s">
        <v>89</v>
      </c>
      <c r="D5835" s="472">
        <v>39.710500000000003</v>
      </c>
      <c r="E5835" s="472" t="s">
        <v>170</v>
      </c>
      <c r="F5835" s="474"/>
    </row>
    <row r="5836" spans="1:6" s="475" customFormat="1" ht="15">
      <c r="A5836" s="472" t="s">
        <v>11022</v>
      </c>
      <c r="B5836" s="472" t="s">
        <v>11023</v>
      </c>
      <c r="C5836" s="472" t="s">
        <v>5</v>
      </c>
      <c r="D5836" s="472">
        <v>63.825800000000001</v>
      </c>
      <c r="E5836" s="472" t="s">
        <v>170</v>
      </c>
      <c r="F5836" s="474"/>
    </row>
    <row r="5837" spans="1:6" s="475" customFormat="1" ht="15">
      <c r="A5837" s="472" t="s">
        <v>11024</v>
      </c>
      <c r="B5837" s="472" t="s">
        <v>11025</v>
      </c>
      <c r="C5837" s="472" t="s">
        <v>90</v>
      </c>
      <c r="D5837" s="472">
        <v>784.26229999999998</v>
      </c>
      <c r="E5837" s="472" t="s">
        <v>170</v>
      </c>
      <c r="F5837" s="474"/>
    </row>
    <row r="5838" spans="1:6" s="475" customFormat="1" ht="15">
      <c r="A5838" s="472" t="s">
        <v>11026</v>
      </c>
      <c r="B5838" s="472" t="s">
        <v>11027</v>
      </c>
      <c r="C5838" s="472" t="s">
        <v>90</v>
      </c>
      <c r="D5838" s="472">
        <v>788.62980000000005</v>
      </c>
      <c r="E5838" s="472" t="s">
        <v>170</v>
      </c>
      <c r="F5838" s="474"/>
    </row>
    <row r="5839" spans="1:6" s="475" customFormat="1" ht="15">
      <c r="A5839" s="472" t="s">
        <v>11028</v>
      </c>
      <c r="B5839" s="472" t="s">
        <v>11029</v>
      </c>
      <c r="C5839" s="472" t="s">
        <v>90</v>
      </c>
      <c r="D5839" s="472">
        <v>812.97429999999997</v>
      </c>
      <c r="E5839" s="472" t="s">
        <v>170</v>
      </c>
      <c r="F5839" s="474"/>
    </row>
    <row r="5840" spans="1:6" s="475" customFormat="1" ht="15">
      <c r="A5840" s="472" t="s">
        <v>11030</v>
      </c>
      <c r="B5840" s="472" t="s">
        <v>11031</v>
      </c>
      <c r="C5840" s="472" t="s">
        <v>90</v>
      </c>
      <c r="D5840" s="472">
        <v>867.02859999999998</v>
      </c>
      <c r="E5840" s="472" t="s">
        <v>170</v>
      </c>
      <c r="F5840" s="474"/>
    </row>
    <row r="5841" spans="1:6" s="475" customFormat="1" ht="15">
      <c r="A5841" s="472" t="s">
        <v>11032</v>
      </c>
      <c r="B5841" s="472" t="s">
        <v>11033</v>
      </c>
      <c r="C5841" s="472" t="s">
        <v>90</v>
      </c>
      <c r="D5841" s="472">
        <v>921.22619999999995</v>
      </c>
      <c r="E5841" s="472" t="s">
        <v>170</v>
      </c>
      <c r="F5841" s="474"/>
    </row>
    <row r="5842" spans="1:6" s="475" customFormat="1" ht="15">
      <c r="A5842" s="472" t="s">
        <v>11034</v>
      </c>
      <c r="B5842" s="472" t="s">
        <v>11035</v>
      </c>
      <c r="C5842" s="472" t="s">
        <v>90</v>
      </c>
      <c r="D5842" s="472">
        <v>1322.8023000000001</v>
      </c>
      <c r="E5842" s="472" t="s">
        <v>170</v>
      </c>
      <c r="F5842" s="474"/>
    </row>
    <row r="5843" spans="1:6" s="475" customFormat="1" ht="15">
      <c r="A5843" s="472" t="s">
        <v>11036</v>
      </c>
      <c r="B5843" s="472" t="s">
        <v>11037</v>
      </c>
      <c r="C5843" s="472" t="s">
        <v>90</v>
      </c>
      <c r="D5843" s="472">
        <v>1585.65</v>
      </c>
      <c r="E5843" s="472" t="s">
        <v>170</v>
      </c>
      <c r="F5843" s="474"/>
    </row>
    <row r="5844" spans="1:6" s="475" customFormat="1" ht="15">
      <c r="A5844" s="472" t="s">
        <v>11038</v>
      </c>
      <c r="B5844" s="472" t="s">
        <v>11039</v>
      </c>
      <c r="C5844" s="472" t="s">
        <v>90</v>
      </c>
      <c r="D5844" s="472">
        <v>7.4119000000000002</v>
      </c>
      <c r="E5844" s="472" t="s">
        <v>170</v>
      </c>
      <c r="F5844" s="474"/>
    </row>
    <row r="5845" spans="1:6" s="475" customFormat="1" ht="15">
      <c r="A5845" s="472" t="s">
        <v>11040</v>
      </c>
      <c r="B5845" s="472" t="s">
        <v>11041</v>
      </c>
      <c r="C5845" s="472" t="s">
        <v>90</v>
      </c>
      <c r="D5845" s="472">
        <v>15.546200000000001</v>
      </c>
      <c r="E5845" s="472" t="s">
        <v>170</v>
      </c>
      <c r="F5845" s="474"/>
    </row>
    <row r="5846" spans="1:6" s="475" customFormat="1" ht="15">
      <c r="A5846" s="472" t="s">
        <v>11042</v>
      </c>
      <c r="B5846" s="472" t="s">
        <v>11043</v>
      </c>
      <c r="C5846" s="472" t="s">
        <v>89</v>
      </c>
      <c r="D5846" s="472">
        <v>89.081999999999994</v>
      </c>
      <c r="E5846" s="472" t="s">
        <v>170</v>
      </c>
      <c r="F5846" s="474"/>
    </row>
    <row r="5847" spans="1:6" s="475" customFormat="1" ht="15">
      <c r="A5847" s="472" t="s">
        <v>11044</v>
      </c>
      <c r="B5847" s="472" t="s">
        <v>11045</v>
      </c>
      <c r="C5847" s="472" t="s">
        <v>89</v>
      </c>
      <c r="D5847" s="472">
        <v>1.8665</v>
      </c>
      <c r="E5847" s="472" t="s">
        <v>170</v>
      </c>
      <c r="F5847" s="474"/>
    </row>
    <row r="5848" spans="1:6" s="475" customFormat="1" ht="15">
      <c r="A5848" s="472" t="s">
        <v>11046</v>
      </c>
      <c r="B5848" s="472" t="s">
        <v>11047</v>
      </c>
      <c r="C5848" s="472" t="s">
        <v>10227</v>
      </c>
      <c r="D5848" s="472">
        <v>15.6442</v>
      </c>
      <c r="E5848" s="472" t="s">
        <v>170</v>
      </c>
      <c r="F5848" s="474"/>
    </row>
    <row r="5849" spans="1:6" s="475" customFormat="1" ht="15">
      <c r="A5849" s="472" t="s">
        <v>11048</v>
      </c>
      <c r="B5849" s="472" t="s">
        <v>11049</v>
      </c>
      <c r="C5849" s="472" t="s">
        <v>10227</v>
      </c>
      <c r="D5849" s="472">
        <v>27.5685</v>
      </c>
      <c r="E5849" s="472" t="s">
        <v>170</v>
      </c>
      <c r="F5849" s="474"/>
    </row>
    <row r="5850" spans="1:6" s="475" customFormat="1" ht="15">
      <c r="A5850" s="472" t="s">
        <v>11050</v>
      </c>
      <c r="B5850" s="472" t="s">
        <v>11051</v>
      </c>
      <c r="C5850" s="472" t="s">
        <v>10227</v>
      </c>
      <c r="D5850" s="472">
        <v>13.335900000000001</v>
      </c>
      <c r="E5850" s="472" t="s">
        <v>170</v>
      </c>
      <c r="F5850" s="474"/>
    </row>
    <row r="5851" spans="1:6" s="475" customFormat="1" ht="15">
      <c r="A5851" s="472" t="s">
        <v>11052</v>
      </c>
      <c r="B5851" s="472" t="s">
        <v>11053</v>
      </c>
      <c r="C5851" s="472" t="s">
        <v>90</v>
      </c>
      <c r="D5851" s="472">
        <v>0.5222</v>
      </c>
      <c r="E5851" s="472" t="s">
        <v>170</v>
      </c>
      <c r="F5851" s="474"/>
    </row>
    <row r="5852" spans="1:6" s="475" customFormat="1" ht="15">
      <c r="A5852" s="472" t="s">
        <v>11054</v>
      </c>
      <c r="B5852" s="472" t="s">
        <v>11055</v>
      </c>
      <c r="C5852" s="472" t="s">
        <v>90</v>
      </c>
      <c r="D5852" s="472">
        <v>19.728300000000001</v>
      </c>
      <c r="E5852" s="472" t="s">
        <v>170</v>
      </c>
      <c r="F5852" s="474"/>
    </row>
    <row r="5853" spans="1:6" s="475" customFormat="1" ht="15">
      <c r="A5853" s="472" t="s">
        <v>11056</v>
      </c>
      <c r="B5853" s="472" t="s">
        <v>11057</v>
      </c>
      <c r="C5853" s="472" t="s">
        <v>90</v>
      </c>
      <c r="D5853" s="472">
        <v>31.167400000000001</v>
      </c>
      <c r="E5853" s="472" t="s">
        <v>170</v>
      </c>
      <c r="F5853" s="474"/>
    </row>
    <row r="5854" spans="1:6" s="475" customFormat="1" ht="15">
      <c r="A5854" s="472" t="s">
        <v>11058</v>
      </c>
      <c r="B5854" s="472" t="s">
        <v>11059</v>
      </c>
      <c r="C5854" s="472" t="s">
        <v>4</v>
      </c>
      <c r="D5854" s="472">
        <v>44.248600000000003</v>
      </c>
      <c r="E5854" s="472" t="s">
        <v>170</v>
      </c>
      <c r="F5854" s="474"/>
    </row>
    <row r="5855" spans="1:6" s="475" customFormat="1" ht="15">
      <c r="A5855" s="472" t="s">
        <v>11060</v>
      </c>
      <c r="B5855" s="472" t="s">
        <v>11061</v>
      </c>
      <c r="C5855" s="472" t="s">
        <v>4</v>
      </c>
      <c r="D5855" s="472">
        <v>108.3972</v>
      </c>
      <c r="E5855" s="472" t="s">
        <v>170</v>
      </c>
      <c r="F5855" s="474"/>
    </row>
    <row r="5856" spans="1:6" s="475" customFormat="1" ht="15">
      <c r="A5856" s="472" t="s">
        <v>11062</v>
      </c>
      <c r="B5856" s="472" t="s">
        <v>11063</v>
      </c>
      <c r="C5856" s="472" t="s">
        <v>4</v>
      </c>
      <c r="D5856" s="472">
        <v>11.1111</v>
      </c>
      <c r="E5856" s="472" t="s">
        <v>170</v>
      </c>
      <c r="F5856" s="474"/>
    </row>
    <row r="5857" spans="1:6" s="475" customFormat="1" ht="15">
      <c r="A5857" s="472" t="s">
        <v>11064</v>
      </c>
      <c r="B5857" s="472" t="s">
        <v>11065</v>
      </c>
      <c r="C5857" s="472" t="s">
        <v>89</v>
      </c>
      <c r="D5857" s="472">
        <v>33.814999999999998</v>
      </c>
      <c r="E5857" s="472" t="s">
        <v>170</v>
      </c>
      <c r="F5857" s="474"/>
    </row>
    <row r="5858" spans="1:6" s="475" customFormat="1" ht="15">
      <c r="A5858" s="472" t="s">
        <v>11066</v>
      </c>
      <c r="B5858" s="472" t="s">
        <v>11067</v>
      </c>
      <c r="C5858" s="472" t="s">
        <v>89</v>
      </c>
      <c r="D5858" s="472">
        <v>34.918500000000002</v>
      </c>
      <c r="E5858" s="472" t="s">
        <v>170</v>
      </c>
      <c r="F5858" s="474"/>
    </row>
    <row r="5859" spans="1:6" s="475" customFormat="1" ht="15">
      <c r="A5859" s="472" t="s">
        <v>11068</v>
      </c>
      <c r="B5859" s="472" t="s">
        <v>11069</v>
      </c>
      <c r="C5859" s="472" t="s">
        <v>89</v>
      </c>
      <c r="D5859" s="472">
        <v>8.8747000000000007</v>
      </c>
      <c r="E5859" s="472" t="s">
        <v>170</v>
      </c>
      <c r="F5859" s="474"/>
    </row>
    <row r="5860" spans="1:6" s="475" customFormat="1" ht="15">
      <c r="A5860" s="472" t="s">
        <v>11070</v>
      </c>
      <c r="B5860" s="472" t="s">
        <v>11071</v>
      </c>
      <c r="C5860" s="472" t="s">
        <v>5</v>
      </c>
      <c r="D5860" s="472">
        <v>132.6514</v>
      </c>
      <c r="E5860" s="472" t="s">
        <v>170</v>
      </c>
      <c r="F5860" s="474"/>
    </row>
    <row r="5861" spans="1:6" s="475" customFormat="1" ht="15">
      <c r="A5861" s="472" t="s">
        <v>11072</v>
      </c>
      <c r="B5861" s="472" t="s">
        <v>11073</v>
      </c>
      <c r="C5861" s="472" t="s">
        <v>89</v>
      </c>
      <c r="D5861" s="472">
        <v>3.1048</v>
      </c>
      <c r="E5861" s="472" t="s">
        <v>170</v>
      </c>
      <c r="F5861" s="474"/>
    </row>
    <row r="5862" spans="1:6" s="475" customFormat="1" ht="15">
      <c r="A5862" s="472" t="s">
        <v>11074</v>
      </c>
      <c r="B5862" s="472" t="s">
        <v>11075</v>
      </c>
      <c r="C5862" s="472" t="s">
        <v>89</v>
      </c>
      <c r="D5862" s="472">
        <v>3.1048</v>
      </c>
      <c r="E5862" s="472" t="s">
        <v>170</v>
      </c>
      <c r="F5862" s="474"/>
    </row>
    <row r="5863" spans="1:6" s="475" customFormat="1" ht="15">
      <c r="A5863" s="472" t="s">
        <v>11076</v>
      </c>
      <c r="B5863" s="472" t="s">
        <v>11077</v>
      </c>
      <c r="C5863" s="472" t="s">
        <v>89</v>
      </c>
      <c r="D5863" s="472">
        <v>3.1048</v>
      </c>
      <c r="E5863" s="472" t="s">
        <v>170</v>
      </c>
      <c r="F5863" s="474"/>
    </row>
    <row r="5864" spans="1:6" s="475" customFormat="1" ht="15">
      <c r="A5864" s="472" t="s">
        <v>11078</v>
      </c>
      <c r="B5864" s="472" t="s">
        <v>11079</v>
      </c>
      <c r="C5864" s="472" t="s">
        <v>90</v>
      </c>
      <c r="D5864" s="472">
        <v>11.7882</v>
      </c>
      <c r="E5864" s="472" t="s">
        <v>170</v>
      </c>
      <c r="F5864" s="474"/>
    </row>
    <row r="5865" spans="1:6" s="475" customFormat="1" ht="15">
      <c r="A5865" s="472" t="s">
        <v>11080</v>
      </c>
      <c r="B5865" s="472" t="s">
        <v>11081</v>
      </c>
      <c r="C5865" s="472" t="s">
        <v>89</v>
      </c>
      <c r="D5865" s="472">
        <v>3.1048</v>
      </c>
      <c r="E5865" s="472" t="s">
        <v>170</v>
      </c>
      <c r="F5865" s="474"/>
    </row>
    <row r="5866" spans="1:6" s="475" customFormat="1" ht="15">
      <c r="A5866" s="472" t="s">
        <v>11082</v>
      </c>
      <c r="B5866" s="472" t="s">
        <v>11083</v>
      </c>
      <c r="C5866" s="472" t="s">
        <v>89</v>
      </c>
      <c r="D5866" s="472">
        <v>3.1049000000000002</v>
      </c>
      <c r="E5866" s="472" t="s">
        <v>170</v>
      </c>
      <c r="F5866" s="474"/>
    </row>
    <row r="5867" spans="1:6" s="475" customFormat="1" ht="15">
      <c r="A5867" s="472" t="s">
        <v>11084</v>
      </c>
      <c r="B5867" s="472" t="s">
        <v>11085</v>
      </c>
      <c r="C5867" s="472" t="s">
        <v>5</v>
      </c>
      <c r="D5867" s="472">
        <v>17.956600000000002</v>
      </c>
      <c r="E5867" s="472" t="s">
        <v>170</v>
      </c>
      <c r="F5867" s="474"/>
    </row>
    <row r="5868" spans="1:6" s="475" customFormat="1" ht="15">
      <c r="A5868" s="472" t="s">
        <v>11086</v>
      </c>
      <c r="B5868" s="472" t="s">
        <v>11087</v>
      </c>
      <c r="C5868" s="472" t="s">
        <v>5</v>
      </c>
      <c r="D5868" s="472">
        <v>25.28</v>
      </c>
      <c r="E5868" s="472" t="s">
        <v>170</v>
      </c>
      <c r="F5868" s="474"/>
    </row>
    <row r="5869" spans="1:6" s="475" customFormat="1" ht="15">
      <c r="A5869" s="472" t="s">
        <v>11088</v>
      </c>
      <c r="B5869" s="472" t="s">
        <v>11089</v>
      </c>
      <c r="C5869" s="472" t="s">
        <v>5</v>
      </c>
      <c r="D5869" s="472">
        <v>6.0354000000000001</v>
      </c>
      <c r="E5869" s="472" t="s">
        <v>170</v>
      </c>
      <c r="F5869" s="474"/>
    </row>
    <row r="5870" spans="1:6" s="475" customFormat="1" ht="15">
      <c r="A5870" s="472" t="s">
        <v>11090</v>
      </c>
      <c r="B5870" s="472" t="s">
        <v>11091</v>
      </c>
      <c r="C5870" s="472" t="s">
        <v>5</v>
      </c>
      <c r="D5870" s="472">
        <v>41.178600000000003</v>
      </c>
      <c r="E5870" s="472" t="s">
        <v>170</v>
      </c>
      <c r="F5870" s="474"/>
    </row>
    <row r="5871" spans="1:6" s="475" customFormat="1" ht="15">
      <c r="A5871" s="472" t="s">
        <v>11092</v>
      </c>
      <c r="B5871" s="472" t="s">
        <v>11093</v>
      </c>
      <c r="C5871" s="472" t="s">
        <v>5</v>
      </c>
      <c r="D5871" s="472">
        <v>56.218000000000004</v>
      </c>
      <c r="E5871" s="472" t="s">
        <v>170</v>
      </c>
      <c r="F5871" s="474"/>
    </row>
    <row r="5872" spans="1:6" s="475" customFormat="1" ht="15">
      <c r="A5872" s="472" t="s">
        <v>11094</v>
      </c>
      <c r="B5872" s="472" t="s">
        <v>11095</v>
      </c>
      <c r="C5872" s="472" t="s">
        <v>5</v>
      </c>
      <c r="D5872" s="472">
        <v>169.7938</v>
      </c>
      <c r="E5872" s="472" t="s">
        <v>170</v>
      </c>
      <c r="F5872" s="474"/>
    </row>
    <row r="5873" spans="1:6" s="475" customFormat="1" ht="15">
      <c r="A5873" s="472" t="s">
        <v>11096</v>
      </c>
      <c r="B5873" s="472" t="s">
        <v>11097</v>
      </c>
      <c r="C5873" s="472" t="s">
        <v>5</v>
      </c>
      <c r="D5873" s="472">
        <v>339.58769999999998</v>
      </c>
      <c r="E5873" s="472" t="s">
        <v>170</v>
      </c>
      <c r="F5873" s="474"/>
    </row>
    <row r="5874" spans="1:6" s="475" customFormat="1" ht="15">
      <c r="A5874" s="472" t="s">
        <v>11098</v>
      </c>
      <c r="B5874" s="472" t="s">
        <v>11099</v>
      </c>
      <c r="C5874" s="472" t="s">
        <v>90</v>
      </c>
      <c r="D5874" s="472">
        <v>17</v>
      </c>
      <c r="E5874" s="472" t="s">
        <v>170</v>
      </c>
      <c r="F5874" s="474"/>
    </row>
    <row r="5875" spans="1:6" s="475" customFormat="1" ht="15">
      <c r="A5875" s="472" t="s">
        <v>11100</v>
      </c>
      <c r="B5875" s="472" t="s">
        <v>11101</v>
      </c>
      <c r="C5875" s="472" t="s">
        <v>90</v>
      </c>
      <c r="D5875" s="472">
        <v>31.5657</v>
      </c>
      <c r="E5875" s="472" t="s">
        <v>170</v>
      </c>
      <c r="F5875" s="474"/>
    </row>
    <row r="5876" spans="1:6" s="475" customFormat="1" ht="15">
      <c r="A5876" s="472" t="s">
        <v>11102</v>
      </c>
      <c r="B5876" s="472" t="s">
        <v>11103</v>
      </c>
      <c r="C5876" s="472" t="s">
        <v>90</v>
      </c>
      <c r="D5876" s="472">
        <v>221.54</v>
      </c>
      <c r="E5876" s="472" t="s">
        <v>170</v>
      </c>
      <c r="F5876" s="474"/>
    </row>
    <row r="5877" spans="1:6" s="475" customFormat="1" ht="15">
      <c r="A5877" s="472" t="s">
        <v>11104</v>
      </c>
      <c r="B5877" s="472" t="s">
        <v>11105</v>
      </c>
      <c r="C5877" s="472" t="s">
        <v>90</v>
      </c>
      <c r="D5877" s="472">
        <v>1088.5434</v>
      </c>
      <c r="E5877" s="472" t="s">
        <v>170</v>
      </c>
      <c r="F5877" s="474"/>
    </row>
    <row r="5878" spans="1:6" s="475" customFormat="1" ht="15">
      <c r="A5878" s="472" t="s">
        <v>11106</v>
      </c>
      <c r="B5878" s="472" t="s">
        <v>11107</v>
      </c>
      <c r="C5878" s="472" t="s">
        <v>90</v>
      </c>
      <c r="D5878" s="472">
        <v>3514.4706000000001</v>
      </c>
      <c r="E5878" s="472" t="s">
        <v>170</v>
      </c>
      <c r="F5878" s="474"/>
    </row>
    <row r="5879" spans="1:6" s="475" customFormat="1" ht="15">
      <c r="A5879" s="472" t="s">
        <v>11108</v>
      </c>
      <c r="B5879" s="472" t="s">
        <v>11109</v>
      </c>
      <c r="C5879" s="472" t="s">
        <v>90</v>
      </c>
      <c r="D5879" s="472">
        <v>8114.7181</v>
      </c>
      <c r="E5879" s="472" t="s">
        <v>170</v>
      </c>
      <c r="F5879" s="474"/>
    </row>
    <row r="5880" spans="1:6" s="475" customFormat="1" ht="15">
      <c r="A5880" s="472" t="s">
        <v>11110</v>
      </c>
      <c r="B5880" s="472" t="s">
        <v>11111</v>
      </c>
      <c r="C5880" s="472" t="s">
        <v>90</v>
      </c>
      <c r="D5880" s="472">
        <v>9715.1535000000003</v>
      </c>
      <c r="E5880" s="472" t="s">
        <v>170</v>
      </c>
      <c r="F5880" s="474"/>
    </row>
    <row r="5881" spans="1:6" s="475" customFormat="1" ht="15">
      <c r="A5881" s="472" t="s">
        <v>11112</v>
      </c>
      <c r="B5881" s="472" t="s">
        <v>11113</v>
      </c>
      <c r="C5881" s="472" t="s">
        <v>90</v>
      </c>
      <c r="D5881" s="472">
        <v>3331.1507000000001</v>
      </c>
      <c r="E5881" s="472" t="s">
        <v>170</v>
      </c>
      <c r="F5881" s="474"/>
    </row>
    <row r="5882" spans="1:6" s="475" customFormat="1" ht="15">
      <c r="A5882" s="472" t="s">
        <v>11114</v>
      </c>
      <c r="B5882" s="472" t="s">
        <v>11115</v>
      </c>
      <c r="C5882" s="472" t="s">
        <v>90</v>
      </c>
      <c r="D5882" s="472">
        <v>1247.4079999999999</v>
      </c>
      <c r="E5882" s="472" t="s">
        <v>170</v>
      </c>
      <c r="F5882" s="474"/>
    </row>
    <row r="5883" spans="1:6" s="475" customFormat="1" ht="15">
      <c r="A5883" s="472" t="s">
        <v>11116</v>
      </c>
      <c r="B5883" s="472" t="s">
        <v>11117</v>
      </c>
      <c r="C5883" s="472" t="s">
        <v>5</v>
      </c>
      <c r="D5883" s="472">
        <v>7.1901000000000002</v>
      </c>
      <c r="E5883" s="472" t="s">
        <v>170</v>
      </c>
      <c r="F5883" s="474"/>
    </row>
    <row r="5884" spans="1:6" s="475" customFormat="1" ht="15">
      <c r="A5884" s="472" t="s">
        <v>6830</v>
      </c>
      <c r="B5884" s="472" t="s">
        <v>7818</v>
      </c>
      <c r="C5884" s="472" t="s">
        <v>5</v>
      </c>
      <c r="D5884" s="472">
        <v>9.7241</v>
      </c>
      <c r="E5884" s="472" t="s">
        <v>170</v>
      </c>
      <c r="F5884" s="474"/>
    </row>
    <row r="5885" spans="1:6" s="475" customFormat="1" ht="15">
      <c r="A5885" s="472" t="s">
        <v>11118</v>
      </c>
      <c r="B5885" s="472" t="s">
        <v>11119</v>
      </c>
      <c r="C5885" s="472" t="s">
        <v>5</v>
      </c>
      <c r="D5885" s="472">
        <v>12.9358</v>
      </c>
      <c r="E5885" s="472" t="s">
        <v>170</v>
      </c>
      <c r="F5885" s="474"/>
    </row>
    <row r="5886" spans="1:6" s="475" customFormat="1" ht="15">
      <c r="A5886" s="472" t="s">
        <v>11120</v>
      </c>
      <c r="B5886" s="472" t="s">
        <v>11121</v>
      </c>
      <c r="C5886" s="472" t="s">
        <v>90</v>
      </c>
      <c r="D5886" s="472">
        <v>1821.2886000000001</v>
      </c>
      <c r="E5886" s="472" t="s">
        <v>170</v>
      </c>
      <c r="F5886" s="474"/>
    </row>
    <row r="5887" spans="1:6" s="475" customFormat="1" ht="15">
      <c r="A5887" s="472" t="s">
        <v>11122</v>
      </c>
      <c r="B5887" s="472" t="s">
        <v>11123</v>
      </c>
      <c r="C5887" s="472" t="s">
        <v>5</v>
      </c>
      <c r="D5887" s="472">
        <v>19.843299999999999</v>
      </c>
      <c r="E5887" s="472" t="s">
        <v>170</v>
      </c>
      <c r="F5887" s="474"/>
    </row>
    <row r="5888" spans="1:6" s="475" customFormat="1" ht="15">
      <c r="A5888" s="472" t="s">
        <v>11124</v>
      </c>
      <c r="B5888" s="472" t="s">
        <v>11125</v>
      </c>
      <c r="C5888" s="472" t="s">
        <v>5</v>
      </c>
      <c r="D5888" s="472">
        <v>84.22</v>
      </c>
      <c r="E5888" s="472" t="s">
        <v>170</v>
      </c>
      <c r="F5888" s="474"/>
    </row>
    <row r="5889" spans="1:6" s="475" customFormat="1" ht="15">
      <c r="A5889" s="472" t="s">
        <v>11126</v>
      </c>
      <c r="B5889" s="472" t="s">
        <v>11127</v>
      </c>
      <c r="C5889" s="472" t="s">
        <v>90</v>
      </c>
      <c r="D5889" s="472">
        <v>49.018599999999999</v>
      </c>
      <c r="E5889" s="472" t="s">
        <v>170</v>
      </c>
      <c r="F5889" s="474"/>
    </row>
    <row r="5890" spans="1:6" s="475" customFormat="1" ht="15">
      <c r="A5890" s="472" t="s">
        <v>11128</v>
      </c>
      <c r="B5890" s="472" t="s">
        <v>11129</v>
      </c>
      <c r="C5890" s="472" t="s">
        <v>5</v>
      </c>
      <c r="D5890" s="472">
        <v>100.33</v>
      </c>
      <c r="E5890" s="472" t="s">
        <v>170</v>
      </c>
      <c r="F5890" s="474"/>
    </row>
    <row r="5891" spans="1:6" s="475" customFormat="1" ht="15">
      <c r="A5891" s="472" t="s">
        <v>11130</v>
      </c>
      <c r="B5891" s="472" t="s">
        <v>11131</v>
      </c>
      <c r="C5891" s="472" t="s">
        <v>5</v>
      </c>
      <c r="D5891" s="472">
        <v>138.36189999999999</v>
      </c>
      <c r="E5891" s="472" t="s">
        <v>170</v>
      </c>
      <c r="F5891" s="474"/>
    </row>
    <row r="5892" spans="1:6" s="475" customFormat="1" ht="15">
      <c r="A5892" s="472" t="s">
        <v>11132</v>
      </c>
      <c r="B5892" s="472" t="s">
        <v>11133</v>
      </c>
      <c r="C5892" s="472" t="s">
        <v>90</v>
      </c>
      <c r="D5892" s="472">
        <v>414.62279999999998</v>
      </c>
      <c r="E5892" s="472" t="s">
        <v>170</v>
      </c>
      <c r="F5892" s="474"/>
    </row>
    <row r="5893" spans="1:6" s="475" customFormat="1" ht="15">
      <c r="A5893" s="472" t="s">
        <v>11134</v>
      </c>
      <c r="B5893" s="472" t="s">
        <v>11135</v>
      </c>
      <c r="C5893" s="472" t="s">
        <v>10227</v>
      </c>
      <c r="D5893" s="472">
        <v>3.5464000000000002</v>
      </c>
      <c r="E5893" s="472" t="s">
        <v>170</v>
      </c>
      <c r="F5893" s="474"/>
    </row>
    <row r="5894" spans="1:6" s="475" customFormat="1" ht="15">
      <c r="A5894" s="472" t="s">
        <v>11136</v>
      </c>
      <c r="B5894" s="472" t="s">
        <v>11137</v>
      </c>
      <c r="C5894" s="472" t="s">
        <v>90</v>
      </c>
      <c r="D5894" s="472">
        <v>1727.059</v>
      </c>
      <c r="E5894" s="472" t="s">
        <v>170</v>
      </c>
      <c r="F5894" s="474"/>
    </row>
    <row r="5895" spans="1:6" s="475" customFormat="1" ht="15">
      <c r="A5895" s="472" t="s">
        <v>11138</v>
      </c>
      <c r="B5895" s="472" t="s">
        <v>11139</v>
      </c>
      <c r="C5895" s="472" t="s">
        <v>90</v>
      </c>
      <c r="D5895" s="472">
        <v>6.6574999999999998</v>
      </c>
      <c r="E5895" s="472" t="s">
        <v>170</v>
      </c>
      <c r="F5895" s="474"/>
    </row>
    <row r="5896" spans="1:6" s="475" customFormat="1" ht="15">
      <c r="A5896" s="472" t="s">
        <v>11140</v>
      </c>
      <c r="B5896" s="472" t="s">
        <v>11141</v>
      </c>
      <c r="C5896" s="472" t="s">
        <v>10227</v>
      </c>
      <c r="D5896" s="472">
        <v>23.981200000000001</v>
      </c>
      <c r="E5896" s="472" t="s">
        <v>170</v>
      </c>
      <c r="F5896" s="474"/>
    </row>
    <row r="5897" spans="1:6" s="475" customFormat="1" ht="15">
      <c r="A5897" s="472" t="s">
        <v>11142</v>
      </c>
      <c r="B5897" s="472" t="s">
        <v>11143</v>
      </c>
      <c r="C5897" s="472" t="s">
        <v>90</v>
      </c>
      <c r="D5897" s="472">
        <v>6105.1643999999997</v>
      </c>
      <c r="E5897" s="472" t="s">
        <v>170</v>
      </c>
      <c r="F5897" s="474"/>
    </row>
    <row r="5898" spans="1:6" s="475" customFormat="1" ht="15">
      <c r="A5898" s="472" t="s">
        <v>11144</v>
      </c>
      <c r="B5898" s="472" t="s">
        <v>11145</v>
      </c>
      <c r="C5898" s="472" t="s">
        <v>89</v>
      </c>
      <c r="D5898" s="472">
        <v>34.629399999999997</v>
      </c>
      <c r="E5898" s="472" t="s">
        <v>170</v>
      </c>
      <c r="F5898" s="474"/>
    </row>
    <row r="5899" spans="1:6" s="475" customFormat="1" ht="15">
      <c r="A5899" s="472" t="s">
        <v>11146</v>
      </c>
      <c r="B5899" s="472" t="s">
        <v>11147</v>
      </c>
      <c r="C5899" s="472" t="s">
        <v>5</v>
      </c>
      <c r="D5899" s="472">
        <v>41.218299999999999</v>
      </c>
      <c r="E5899" s="472" t="s">
        <v>170</v>
      </c>
      <c r="F5899" s="474"/>
    </row>
    <row r="5900" spans="1:6" s="475" customFormat="1" ht="15">
      <c r="A5900" s="472" t="s">
        <v>11148</v>
      </c>
      <c r="B5900" s="472" t="s">
        <v>11149</v>
      </c>
      <c r="C5900" s="472" t="s">
        <v>4</v>
      </c>
      <c r="D5900" s="472">
        <v>11.3965</v>
      </c>
      <c r="E5900" s="472" t="s">
        <v>170</v>
      </c>
      <c r="F5900" s="474"/>
    </row>
    <row r="5901" spans="1:6" s="475" customFormat="1" ht="15">
      <c r="A5901" s="472" t="s">
        <v>11150</v>
      </c>
      <c r="B5901" s="472" t="s">
        <v>11151</v>
      </c>
      <c r="C5901" s="472" t="s">
        <v>90</v>
      </c>
      <c r="D5901" s="472">
        <v>2937.9892</v>
      </c>
      <c r="E5901" s="472" t="s">
        <v>170</v>
      </c>
      <c r="F5901" s="474"/>
    </row>
    <row r="5902" spans="1:6" s="475" customFormat="1" ht="15">
      <c r="A5902" s="472" t="s">
        <v>11152</v>
      </c>
      <c r="B5902" s="472" t="s">
        <v>11153</v>
      </c>
      <c r="C5902" s="472" t="s">
        <v>90</v>
      </c>
      <c r="D5902" s="472">
        <v>1656.6108999999999</v>
      </c>
      <c r="E5902" s="472" t="s">
        <v>170</v>
      </c>
      <c r="F5902" s="474"/>
    </row>
    <row r="5903" spans="1:6" s="475" customFormat="1" ht="15">
      <c r="A5903" s="472" t="s">
        <v>11154</v>
      </c>
      <c r="B5903" s="472" t="s">
        <v>11155</v>
      </c>
      <c r="C5903" s="472" t="s">
        <v>90</v>
      </c>
      <c r="D5903" s="472">
        <v>468.76600000000002</v>
      </c>
      <c r="E5903" s="472" t="s">
        <v>170</v>
      </c>
      <c r="F5903" s="474"/>
    </row>
    <row r="5904" spans="1:6" s="475" customFormat="1" ht="15">
      <c r="A5904" s="472" t="s">
        <v>11156</v>
      </c>
      <c r="B5904" s="472" t="s">
        <v>11157</v>
      </c>
      <c r="C5904" s="472" t="s">
        <v>90</v>
      </c>
      <c r="D5904" s="472">
        <v>1241.5531000000001</v>
      </c>
      <c r="E5904" s="472" t="s">
        <v>170</v>
      </c>
      <c r="F5904" s="474"/>
    </row>
    <row r="5905" spans="1:6" s="475" customFormat="1" ht="15">
      <c r="A5905" s="472" t="s">
        <v>11158</v>
      </c>
      <c r="B5905" s="472" t="s">
        <v>11159</v>
      </c>
      <c r="C5905" s="472" t="s">
        <v>5</v>
      </c>
      <c r="D5905" s="472">
        <v>134.89340000000001</v>
      </c>
      <c r="E5905" s="472" t="s">
        <v>170</v>
      </c>
      <c r="F5905" s="474"/>
    </row>
    <row r="5906" spans="1:6" s="475" customFormat="1" ht="15">
      <c r="A5906" s="472" t="s">
        <v>11160</v>
      </c>
      <c r="B5906" s="472" t="s">
        <v>11161</v>
      </c>
      <c r="C5906" s="472" t="s">
        <v>90</v>
      </c>
      <c r="D5906" s="472">
        <v>1195.0999999999999</v>
      </c>
      <c r="E5906" s="472" t="s">
        <v>170</v>
      </c>
      <c r="F5906" s="474"/>
    </row>
    <row r="5907" spans="1:6" s="475" customFormat="1" ht="15">
      <c r="A5907" s="472" t="s">
        <v>11162</v>
      </c>
      <c r="B5907" s="472" t="s">
        <v>11163</v>
      </c>
      <c r="C5907" s="472" t="s">
        <v>90</v>
      </c>
      <c r="D5907" s="472">
        <v>6382.7246999999998</v>
      </c>
      <c r="E5907" s="472" t="s">
        <v>170</v>
      </c>
      <c r="F5907" s="474"/>
    </row>
    <row r="5908" spans="1:6" s="475" customFormat="1" ht="15">
      <c r="A5908" s="472" t="s">
        <v>11164</v>
      </c>
      <c r="B5908" s="472" t="s">
        <v>11165</v>
      </c>
      <c r="C5908" s="472" t="s">
        <v>90</v>
      </c>
      <c r="D5908" s="472">
        <v>6767.1837999999998</v>
      </c>
      <c r="E5908" s="472" t="s">
        <v>170</v>
      </c>
      <c r="F5908" s="474"/>
    </row>
    <row r="5909" spans="1:6" s="475" customFormat="1" ht="15">
      <c r="A5909" s="472" t="s">
        <v>11166</v>
      </c>
      <c r="B5909" s="472" t="s">
        <v>11167</v>
      </c>
      <c r="C5909" s="472" t="s">
        <v>90</v>
      </c>
      <c r="D5909" s="472">
        <v>4.2126000000000001</v>
      </c>
      <c r="E5909" s="472" t="s">
        <v>170</v>
      </c>
      <c r="F5909" s="474"/>
    </row>
    <row r="5910" spans="1:6" s="475" customFormat="1" ht="15">
      <c r="A5910" s="472" t="s">
        <v>11168</v>
      </c>
      <c r="B5910" s="472" t="s">
        <v>11169</v>
      </c>
      <c r="C5910" s="472" t="s">
        <v>90</v>
      </c>
      <c r="D5910" s="472">
        <v>280</v>
      </c>
      <c r="E5910" s="472" t="s">
        <v>170</v>
      </c>
      <c r="F5910" s="474"/>
    </row>
    <row r="5911" spans="1:6" s="475" customFormat="1" ht="15">
      <c r="A5911" s="472" t="s">
        <v>11170</v>
      </c>
      <c r="B5911" s="472" t="s">
        <v>11171</v>
      </c>
      <c r="C5911" s="472" t="s">
        <v>90</v>
      </c>
      <c r="D5911" s="472">
        <v>26.370699999999999</v>
      </c>
      <c r="E5911" s="472" t="s">
        <v>170</v>
      </c>
      <c r="F5911" s="474"/>
    </row>
    <row r="5912" spans="1:6" s="475" customFormat="1" ht="15">
      <c r="A5912" s="472" t="s">
        <v>11172</v>
      </c>
      <c r="B5912" s="472" t="s">
        <v>11173</v>
      </c>
      <c r="C5912" s="472" t="s">
        <v>89</v>
      </c>
      <c r="D5912" s="472">
        <v>0.17</v>
      </c>
      <c r="E5912" s="472" t="s">
        <v>170</v>
      </c>
      <c r="F5912" s="474"/>
    </row>
    <row r="5913" spans="1:6" s="475" customFormat="1" ht="15">
      <c r="A5913" s="472" t="s">
        <v>11174</v>
      </c>
      <c r="B5913" s="472" t="s">
        <v>11175</v>
      </c>
      <c r="C5913" s="472" t="s">
        <v>89</v>
      </c>
      <c r="D5913" s="472">
        <v>0.87970000000000004</v>
      </c>
      <c r="E5913" s="472" t="s">
        <v>170</v>
      </c>
      <c r="F5913" s="474"/>
    </row>
    <row r="5914" spans="1:6" s="475" customFormat="1" ht="15">
      <c r="A5914" s="472" t="s">
        <v>11176</v>
      </c>
      <c r="B5914" s="472" t="s">
        <v>11177</v>
      </c>
      <c r="C5914" s="472" t="s">
        <v>5</v>
      </c>
      <c r="D5914" s="472">
        <v>56.115600000000001</v>
      </c>
      <c r="E5914" s="472" t="s">
        <v>170</v>
      </c>
      <c r="F5914" s="474"/>
    </row>
    <row r="5915" spans="1:6" s="475" customFormat="1" ht="15">
      <c r="A5915" s="472" t="s">
        <v>11178</v>
      </c>
      <c r="B5915" s="472" t="s">
        <v>11179</v>
      </c>
      <c r="C5915" s="472" t="s">
        <v>90</v>
      </c>
      <c r="D5915" s="472">
        <v>13790.785400000001</v>
      </c>
      <c r="E5915" s="472" t="s">
        <v>170</v>
      </c>
      <c r="F5915" s="474"/>
    </row>
    <row r="5916" spans="1:6" s="475" customFormat="1" ht="15">
      <c r="A5916" s="472" t="s">
        <v>11180</v>
      </c>
      <c r="B5916" s="472" t="s">
        <v>11181</v>
      </c>
      <c r="C5916" s="472" t="s">
        <v>90</v>
      </c>
      <c r="D5916" s="472">
        <v>22523.569200000002</v>
      </c>
      <c r="E5916" s="472" t="s">
        <v>170</v>
      </c>
      <c r="F5916" s="474"/>
    </row>
    <row r="5917" spans="1:6" s="475" customFormat="1" ht="15">
      <c r="A5917" s="472" t="s">
        <v>11182</v>
      </c>
      <c r="B5917" s="472" t="s">
        <v>11183</v>
      </c>
      <c r="C5917" s="472" t="s">
        <v>90</v>
      </c>
      <c r="D5917" s="472">
        <v>26885.076099999998</v>
      </c>
      <c r="E5917" s="472" t="s">
        <v>170</v>
      </c>
      <c r="F5917" s="474"/>
    </row>
    <row r="5918" spans="1:6" s="475" customFormat="1" ht="15">
      <c r="A5918" s="472" t="s">
        <v>11184</v>
      </c>
      <c r="B5918" s="472" t="s">
        <v>11185</v>
      </c>
      <c r="C5918" s="472" t="s">
        <v>90</v>
      </c>
      <c r="D5918" s="472">
        <v>39979.7906</v>
      </c>
      <c r="E5918" s="472" t="s">
        <v>170</v>
      </c>
      <c r="F5918" s="474"/>
    </row>
    <row r="5919" spans="1:6" s="475" customFormat="1" ht="15">
      <c r="A5919" s="472" t="s">
        <v>11186</v>
      </c>
      <c r="B5919" s="472" t="s">
        <v>11187</v>
      </c>
      <c r="C5919" s="472" t="s">
        <v>90</v>
      </c>
      <c r="D5919" s="472">
        <v>45831.917300000001</v>
      </c>
      <c r="E5919" s="472" t="s">
        <v>170</v>
      </c>
      <c r="F5919" s="474"/>
    </row>
    <row r="5920" spans="1:6" s="475" customFormat="1" ht="15">
      <c r="A5920" s="472" t="s">
        <v>11188</v>
      </c>
      <c r="B5920" s="472" t="s">
        <v>11189</v>
      </c>
      <c r="C5920" s="472" t="s">
        <v>90</v>
      </c>
      <c r="D5920" s="472">
        <v>56956.636299999998</v>
      </c>
      <c r="E5920" s="472" t="s">
        <v>170</v>
      </c>
      <c r="F5920" s="474"/>
    </row>
    <row r="5921" spans="1:6" s="475" customFormat="1" ht="15">
      <c r="A5921" s="472" t="s">
        <v>11190</v>
      </c>
      <c r="B5921" s="472" t="s">
        <v>11191</v>
      </c>
      <c r="C5921" s="472" t="s">
        <v>90</v>
      </c>
      <c r="D5921" s="472">
        <v>80766.027600000001</v>
      </c>
      <c r="E5921" s="472" t="s">
        <v>170</v>
      </c>
      <c r="F5921" s="474"/>
    </row>
    <row r="5922" spans="1:6" s="475" customFormat="1" ht="15">
      <c r="A5922" s="472" t="s">
        <v>11192</v>
      </c>
      <c r="B5922" s="472" t="s">
        <v>11193</v>
      </c>
      <c r="C5922" s="472" t="s">
        <v>90</v>
      </c>
      <c r="D5922" s="472">
        <v>11875.349700000001</v>
      </c>
      <c r="E5922" s="472" t="s">
        <v>170</v>
      </c>
      <c r="F5922" s="474"/>
    </row>
    <row r="5923" spans="1:6" s="475" customFormat="1" ht="15">
      <c r="A5923" s="472" t="s">
        <v>11194</v>
      </c>
      <c r="B5923" s="472" t="s">
        <v>11195</v>
      </c>
      <c r="C5923" s="472" t="s">
        <v>90</v>
      </c>
      <c r="D5923" s="472">
        <v>19381.448100000001</v>
      </c>
      <c r="E5923" s="472" t="s">
        <v>170</v>
      </c>
      <c r="F5923" s="474"/>
    </row>
    <row r="5924" spans="1:6" s="475" customFormat="1" ht="15">
      <c r="A5924" s="472" t="s">
        <v>11196</v>
      </c>
      <c r="B5924" s="472" t="s">
        <v>11197</v>
      </c>
      <c r="C5924" s="472" t="s">
        <v>90</v>
      </c>
      <c r="D5924" s="472">
        <v>23129.669699999999</v>
      </c>
      <c r="E5924" s="472" t="s">
        <v>170</v>
      </c>
      <c r="F5924" s="474"/>
    </row>
    <row r="5925" spans="1:6" s="475" customFormat="1" ht="15">
      <c r="A5925" s="472" t="s">
        <v>11198</v>
      </c>
      <c r="B5925" s="472" t="s">
        <v>11199</v>
      </c>
      <c r="C5925" s="472" t="s">
        <v>90</v>
      </c>
      <c r="D5925" s="472">
        <v>34392.124600000003</v>
      </c>
      <c r="E5925" s="472" t="s">
        <v>170</v>
      </c>
      <c r="F5925" s="474"/>
    </row>
    <row r="5926" spans="1:6" s="475" customFormat="1" ht="15">
      <c r="A5926" s="472" t="s">
        <v>11200</v>
      </c>
      <c r="B5926" s="472" t="s">
        <v>11201</v>
      </c>
      <c r="C5926" s="472" t="s">
        <v>90</v>
      </c>
      <c r="D5926" s="472">
        <v>38508.552900000002</v>
      </c>
      <c r="E5926" s="472" t="s">
        <v>170</v>
      </c>
      <c r="F5926" s="474"/>
    </row>
    <row r="5927" spans="1:6" s="475" customFormat="1" ht="15">
      <c r="A5927" s="472" t="s">
        <v>11202</v>
      </c>
      <c r="B5927" s="472" t="s">
        <v>11203</v>
      </c>
      <c r="C5927" s="472" t="s">
        <v>90</v>
      </c>
      <c r="D5927" s="472">
        <v>50199.858099999998</v>
      </c>
      <c r="E5927" s="472" t="s">
        <v>170</v>
      </c>
      <c r="F5927" s="474"/>
    </row>
    <row r="5928" spans="1:6" s="475" customFormat="1" ht="15">
      <c r="A5928" s="472" t="s">
        <v>11204</v>
      </c>
      <c r="B5928" s="472" t="s">
        <v>11205</v>
      </c>
      <c r="C5928" s="472" t="s">
        <v>90</v>
      </c>
      <c r="D5928" s="472">
        <v>67688.386299999998</v>
      </c>
      <c r="E5928" s="472" t="s">
        <v>170</v>
      </c>
      <c r="F5928" s="474"/>
    </row>
    <row r="5929" spans="1:6" s="475" customFormat="1" ht="15">
      <c r="A5929" s="472" t="s">
        <v>11206</v>
      </c>
      <c r="B5929" s="472" t="s">
        <v>11207</v>
      </c>
      <c r="C5929" s="472" t="s">
        <v>90</v>
      </c>
      <c r="D5929" s="472">
        <v>4.9273999999999996</v>
      </c>
      <c r="E5929" s="472" t="s">
        <v>170</v>
      </c>
      <c r="F5929" s="474"/>
    </row>
    <row r="5930" spans="1:6" s="475" customFormat="1" ht="15">
      <c r="A5930" s="472" t="s">
        <v>11208</v>
      </c>
      <c r="B5930" s="472" t="s">
        <v>11209</v>
      </c>
      <c r="C5930" s="472" t="s">
        <v>90</v>
      </c>
      <c r="D5930" s="472">
        <v>2606.4272000000001</v>
      </c>
      <c r="E5930" s="472" t="s">
        <v>170</v>
      </c>
      <c r="F5930" s="474"/>
    </row>
    <row r="5931" spans="1:6" s="475" customFormat="1" ht="15">
      <c r="A5931" s="472" t="s">
        <v>11210</v>
      </c>
      <c r="B5931" s="472" t="s">
        <v>11211</v>
      </c>
      <c r="C5931" s="472" t="s">
        <v>89</v>
      </c>
      <c r="D5931" s="472">
        <v>5.7691999999999997</v>
      </c>
      <c r="E5931" s="472" t="s">
        <v>170</v>
      </c>
      <c r="F5931" s="474"/>
    </row>
    <row r="5932" spans="1:6" s="475" customFormat="1" ht="15">
      <c r="A5932" s="472" t="s">
        <v>11212</v>
      </c>
      <c r="B5932" s="472" t="s">
        <v>11213</v>
      </c>
      <c r="C5932" s="472" t="s">
        <v>10227</v>
      </c>
      <c r="D5932" s="472">
        <v>6.2117000000000004</v>
      </c>
      <c r="E5932" s="472" t="s">
        <v>170</v>
      </c>
      <c r="F5932" s="474"/>
    </row>
    <row r="5933" spans="1:6" s="475" customFormat="1" ht="15">
      <c r="A5933" s="472" t="s">
        <v>7393</v>
      </c>
      <c r="B5933" s="472" t="s">
        <v>7836</v>
      </c>
      <c r="C5933" s="472" t="s">
        <v>10075</v>
      </c>
      <c r="D5933" s="472">
        <v>10</v>
      </c>
      <c r="E5933" s="472" t="s">
        <v>170</v>
      </c>
      <c r="F5933" s="474"/>
    </row>
    <row r="5934" spans="1:6" s="475" customFormat="1" ht="15">
      <c r="A5934" s="472" t="s">
        <v>7394</v>
      </c>
      <c r="B5934" s="472" t="s">
        <v>7837</v>
      </c>
      <c r="C5934" s="472" t="s">
        <v>89</v>
      </c>
      <c r="D5934" s="472">
        <v>36.273099999999999</v>
      </c>
      <c r="E5934" s="472" t="s">
        <v>170</v>
      </c>
      <c r="F5934" s="474"/>
    </row>
    <row r="5935" spans="1:6" s="475" customFormat="1" ht="15">
      <c r="A5935" s="472" t="s">
        <v>11214</v>
      </c>
      <c r="B5935" s="472" t="s">
        <v>11215</v>
      </c>
      <c r="C5935" s="472" t="s">
        <v>5</v>
      </c>
      <c r="D5935" s="472">
        <v>2.5882000000000001</v>
      </c>
      <c r="E5935" s="472" t="s">
        <v>170</v>
      </c>
      <c r="F5935" s="474"/>
    </row>
    <row r="5936" spans="1:6" s="475" customFormat="1" ht="15">
      <c r="A5936" s="472" t="s">
        <v>11216</v>
      </c>
      <c r="B5936" s="472" t="s">
        <v>11217</v>
      </c>
      <c r="C5936" s="472" t="s">
        <v>89</v>
      </c>
      <c r="D5936" s="472">
        <v>16.959599999999998</v>
      </c>
      <c r="E5936" s="472" t="s">
        <v>170</v>
      </c>
      <c r="F5936" s="474"/>
    </row>
    <row r="5937" spans="1:6" s="475" customFormat="1" ht="15">
      <c r="A5937" s="472" t="s">
        <v>11218</v>
      </c>
      <c r="B5937" s="472" t="s">
        <v>11219</v>
      </c>
      <c r="C5937" s="472" t="s">
        <v>89</v>
      </c>
      <c r="D5937" s="472">
        <v>14.8444</v>
      </c>
      <c r="E5937" s="472" t="s">
        <v>170</v>
      </c>
      <c r="F5937" s="474"/>
    </row>
    <row r="5938" spans="1:6" s="475" customFormat="1" ht="15">
      <c r="A5938" s="472" t="s">
        <v>11220</v>
      </c>
      <c r="B5938" s="472" t="s">
        <v>11221</v>
      </c>
      <c r="C5938" s="472" t="s">
        <v>10227</v>
      </c>
      <c r="D5938" s="472">
        <v>46.198700000000002</v>
      </c>
      <c r="E5938" s="472" t="s">
        <v>170</v>
      </c>
      <c r="F5938" s="474"/>
    </row>
    <row r="5939" spans="1:6" s="475" customFormat="1" ht="15">
      <c r="A5939" s="472" t="s">
        <v>11222</v>
      </c>
      <c r="B5939" s="472" t="s">
        <v>11223</v>
      </c>
      <c r="C5939" s="472" t="s">
        <v>5</v>
      </c>
      <c r="D5939" s="472">
        <v>26.461400000000001</v>
      </c>
      <c r="E5939" s="472" t="s">
        <v>170</v>
      </c>
      <c r="F5939" s="474"/>
    </row>
    <row r="5940" spans="1:6" s="475" customFormat="1" ht="15">
      <c r="A5940" s="472" t="s">
        <v>11224</v>
      </c>
      <c r="B5940" s="472" t="s">
        <v>11225</v>
      </c>
      <c r="C5940" s="472" t="s">
        <v>5</v>
      </c>
      <c r="D5940" s="472">
        <v>18.028099999999998</v>
      </c>
      <c r="E5940" s="472" t="s">
        <v>170</v>
      </c>
      <c r="F5940" s="474"/>
    </row>
    <row r="5941" spans="1:6" s="475" customFormat="1" ht="15">
      <c r="A5941" s="472" t="s">
        <v>11226</v>
      </c>
      <c r="B5941" s="472" t="s">
        <v>11227</v>
      </c>
      <c r="C5941" s="472" t="s">
        <v>10227</v>
      </c>
      <c r="D5941" s="472">
        <v>68.900000000000006</v>
      </c>
      <c r="E5941" s="472" t="s">
        <v>170</v>
      </c>
      <c r="F5941" s="474"/>
    </row>
    <row r="5942" spans="1:6" s="475" customFormat="1" ht="15">
      <c r="A5942" s="472" t="s">
        <v>11228</v>
      </c>
      <c r="B5942" s="472" t="s">
        <v>11229</v>
      </c>
      <c r="C5942" s="472" t="s">
        <v>90</v>
      </c>
      <c r="D5942" s="472">
        <v>2.5247999999999999</v>
      </c>
      <c r="E5942" s="472" t="s">
        <v>170</v>
      </c>
      <c r="F5942" s="474"/>
    </row>
    <row r="5943" spans="1:6" s="475" customFormat="1" ht="15">
      <c r="A5943" s="472" t="s">
        <v>11230</v>
      </c>
      <c r="B5943" s="472" t="s">
        <v>11231</v>
      </c>
      <c r="C5943" s="472" t="s">
        <v>90</v>
      </c>
      <c r="D5943" s="472">
        <v>4.6628999999999996</v>
      </c>
      <c r="E5943" s="472" t="s">
        <v>170</v>
      </c>
      <c r="F5943" s="474"/>
    </row>
    <row r="5944" spans="1:6" s="475" customFormat="1" ht="15">
      <c r="A5944" s="472" t="s">
        <v>11232</v>
      </c>
      <c r="B5944" s="472" t="s">
        <v>11233</v>
      </c>
      <c r="C5944" s="472" t="s">
        <v>90</v>
      </c>
      <c r="D5944" s="472">
        <v>399.49489999999997</v>
      </c>
      <c r="E5944" s="472" t="s">
        <v>170</v>
      </c>
      <c r="F5944" s="474"/>
    </row>
    <row r="5945" spans="1:6" s="475" customFormat="1" ht="15">
      <c r="A5945" s="472" t="s">
        <v>11234</v>
      </c>
      <c r="B5945" s="472" t="s">
        <v>11235</v>
      </c>
      <c r="C5945" s="472" t="s">
        <v>90</v>
      </c>
      <c r="D5945" s="472">
        <v>219.15</v>
      </c>
      <c r="E5945" s="472" t="s">
        <v>170</v>
      </c>
      <c r="F5945" s="474"/>
    </row>
    <row r="5946" spans="1:6" s="475" customFormat="1" ht="15">
      <c r="A5946" s="472" t="s">
        <v>6831</v>
      </c>
      <c r="B5946" s="472" t="s">
        <v>7819</v>
      </c>
      <c r="C5946" s="472" t="s">
        <v>5</v>
      </c>
      <c r="D5946" s="472">
        <v>69.933199999999999</v>
      </c>
      <c r="E5946" s="472" t="s">
        <v>170</v>
      </c>
      <c r="F5946" s="474"/>
    </row>
    <row r="5947" spans="1:6" s="475" customFormat="1" ht="15">
      <c r="A5947" s="472" t="s">
        <v>11236</v>
      </c>
      <c r="B5947" s="472" t="s">
        <v>11237</v>
      </c>
      <c r="C5947" s="472" t="s">
        <v>89</v>
      </c>
      <c r="D5947" s="472">
        <v>12.412100000000001</v>
      </c>
      <c r="E5947" s="472" t="s">
        <v>170</v>
      </c>
      <c r="F5947" s="474"/>
    </row>
    <row r="5948" spans="1:6" s="475" customFormat="1" ht="15">
      <c r="A5948" s="472" t="s">
        <v>11238</v>
      </c>
      <c r="B5948" s="472" t="s">
        <v>11239</v>
      </c>
      <c r="C5948" s="472" t="s">
        <v>89</v>
      </c>
      <c r="D5948" s="472">
        <v>62.600999999999999</v>
      </c>
      <c r="E5948" s="472" t="s">
        <v>170</v>
      </c>
      <c r="F5948" s="474"/>
    </row>
    <row r="5949" spans="1:6" s="475" customFormat="1" ht="15">
      <c r="A5949" s="472" t="s">
        <v>11240</v>
      </c>
      <c r="B5949" s="472" t="s">
        <v>11241</v>
      </c>
      <c r="C5949" s="472" t="s">
        <v>90</v>
      </c>
      <c r="D5949" s="472">
        <v>1550.0547999999999</v>
      </c>
      <c r="E5949" s="472" t="s">
        <v>170</v>
      </c>
      <c r="F5949" s="474"/>
    </row>
    <row r="5950" spans="1:6" s="475" customFormat="1" ht="15">
      <c r="A5950" s="472" t="s">
        <v>11242</v>
      </c>
      <c r="B5950" s="472" t="s">
        <v>11243</v>
      </c>
      <c r="C5950" s="472" t="s">
        <v>90</v>
      </c>
      <c r="D5950" s="472">
        <v>5.3395000000000001</v>
      </c>
      <c r="E5950" s="472" t="s">
        <v>170</v>
      </c>
      <c r="F5950" s="474"/>
    </row>
    <row r="5951" spans="1:6" s="475" customFormat="1" ht="15">
      <c r="A5951" s="472" t="s">
        <v>11244</v>
      </c>
      <c r="B5951" s="472" t="s">
        <v>11245</v>
      </c>
      <c r="C5951" s="472" t="s">
        <v>90</v>
      </c>
      <c r="D5951" s="472">
        <v>13157.461300000001</v>
      </c>
      <c r="E5951" s="472" t="s">
        <v>170</v>
      </c>
      <c r="F5951" s="474"/>
    </row>
    <row r="5952" spans="1:6" s="475" customFormat="1" ht="15">
      <c r="A5952" s="472" t="s">
        <v>11246</v>
      </c>
      <c r="B5952" s="472" t="s">
        <v>11247</v>
      </c>
      <c r="C5952" s="472" t="s">
        <v>5</v>
      </c>
      <c r="D5952" s="472">
        <v>797.78030000000001</v>
      </c>
      <c r="E5952" s="472" t="s">
        <v>170</v>
      </c>
      <c r="F5952" s="474"/>
    </row>
    <row r="5953" spans="1:6" s="475" customFormat="1" ht="15">
      <c r="A5953" s="472" t="s">
        <v>11248</v>
      </c>
      <c r="B5953" s="472" t="s">
        <v>11249</v>
      </c>
      <c r="C5953" s="472" t="s">
        <v>90</v>
      </c>
      <c r="D5953" s="472">
        <v>1.6645000000000001</v>
      </c>
      <c r="E5953" s="472" t="s">
        <v>170</v>
      </c>
      <c r="F5953" s="474"/>
    </row>
    <row r="5954" spans="1:6" s="475" customFormat="1" ht="15">
      <c r="A5954" s="472" t="s">
        <v>11250</v>
      </c>
      <c r="B5954" s="472" t="s">
        <v>11251</v>
      </c>
      <c r="C5954" s="472" t="s">
        <v>90</v>
      </c>
      <c r="D5954" s="472">
        <v>1.8292999999999999</v>
      </c>
      <c r="E5954" s="472" t="s">
        <v>170</v>
      </c>
      <c r="F5954" s="474"/>
    </row>
    <row r="5955" spans="1:6" s="475" customFormat="1" ht="15">
      <c r="A5955" s="472" t="s">
        <v>11252</v>
      </c>
      <c r="B5955" s="472" t="s">
        <v>11253</v>
      </c>
      <c r="C5955" s="472" t="s">
        <v>5</v>
      </c>
      <c r="D5955" s="472">
        <v>5.1355000000000004</v>
      </c>
      <c r="E5955" s="472" t="s">
        <v>170</v>
      </c>
      <c r="F5955" s="474"/>
    </row>
    <row r="5956" spans="1:6" s="475" customFormat="1" ht="15">
      <c r="A5956" s="472" t="s">
        <v>7999</v>
      </c>
      <c r="B5956" s="472" t="s">
        <v>8013</v>
      </c>
      <c r="C5956" s="472" t="s">
        <v>5</v>
      </c>
      <c r="D5956" s="472">
        <v>5.4230999999999998</v>
      </c>
      <c r="E5956" s="472" t="s">
        <v>170</v>
      </c>
      <c r="F5956" s="474"/>
    </row>
    <row r="5957" spans="1:6" s="475" customFormat="1" ht="15">
      <c r="A5957" s="472" t="s">
        <v>8001</v>
      </c>
      <c r="B5957" s="472" t="s">
        <v>8015</v>
      </c>
      <c r="C5957" s="472" t="s">
        <v>5</v>
      </c>
      <c r="D5957" s="472">
        <v>3.0356000000000001</v>
      </c>
      <c r="E5957" s="472" t="s">
        <v>170</v>
      </c>
      <c r="F5957" s="474"/>
    </row>
    <row r="5958" spans="1:6" s="475" customFormat="1" ht="15">
      <c r="A5958" s="472" t="s">
        <v>11254</v>
      </c>
      <c r="B5958" s="472" t="s">
        <v>11255</v>
      </c>
      <c r="C5958" s="472" t="s">
        <v>5</v>
      </c>
      <c r="D5958" s="472">
        <v>4.0095000000000001</v>
      </c>
      <c r="E5958" s="472" t="s">
        <v>170</v>
      </c>
      <c r="F5958" s="474"/>
    </row>
    <row r="5959" spans="1:6" s="475" customFormat="1" ht="15">
      <c r="A5959" s="472" t="s">
        <v>11256</v>
      </c>
      <c r="B5959" s="472" t="s">
        <v>11257</v>
      </c>
      <c r="C5959" s="472" t="s">
        <v>5</v>
      </c>
      <c r="D5959" s="472">
        <v>7.0735000000000001</v>
      </c>
      <c r="E5959" s="472" t="s">
        <v>170</v>
      </c>
      <c r="F5959" s="474"/>
    </row>
    <row r="5960" spans="1:6" s="475" customFormat="1" ht="15">
      <c r="A5960" s="472" t="s">
        <v>11258</v>
      </c>
      <c r="B5960" s="472" t="s">
        <v>11259</v>
      </c>
      <c r="C5960" s="472" t="s">
        <v>5</v>
      </c>
      <c r="D5960" s="472">
        <v>10.8</v>
      </c>
      <c r="E5960" s="472" t="s">
        <v>170</v>
      </c>
      <c r="F5960" s="474"/>
    </row>
    <row r="5961" spans="1:6" s="475" customFormat="1" ht="15">
      <c r="A5961" s="472" t="s">
        <v>11260</v>
      </c>
      <c r="B5961" s="472" t="s">
        <v>11261</v>
      </c>
      <c r="C5961" s="472" t="s">
        <v>5</v>
      </c>
      <c r="D5961" s="472">
        <v>17.1313</v>
      </c>
      <c r="E5961" s="472" t="s">
        <v>170</v>
      </c>
      <c r="F5961" s="474"/>
    </row>
    <row r="5962" spans="1:6" s="475" customFormat="1" ht="15">
      <c r="A5962" s="472" t="s">
        <v>11262</v>
      </c>
      <c r="B5962" s="472" t="s">
        <v>11263</v>
      </c>
      <c r="C5962" s="472" t="s">
        <v>5</v>
      </c>
      <c r="D5962" s="472">
        <v>18.339200000000002</v>
      </c>
      <c r="E5962" s="472" t="s">
        <v>170</v>
      </c>
      <c r="F5962" s="474"/>
    </row>
    <row r="5963" spans="1:6" s="475" customFormat="1" ht="15">
      <c r="A5963" s="472" t="s">
        <v>8000</v>
      </c>
      <c r="B5963" s="472" t="s">
        <v>8014</v>
      </c>
      <c r="C5963" s="472" t="s">
        <v>5</v>
      </c>
      <c r="D5963" s="472">
        <v>37.279699999999998</v>
      </c>
      <c r="E5963" s="472" t="s">
        <v>170</v>
      </c>
      <c r="F5963" s="474"/>
    </row>
    <row r="5964" spans="1:6" s="475" customFormat="1" ht="15">
      <c r="A5964" s="472" t="s">
        <v>11264</v>
      </c>
      <c r="B5964" s="472" t="s">
        <v>11265</v>
      </c>
      <c r="C5964" s="472" t="s">
        <v>5</v>
      </c>
      <c r="D5964" s="472">
        <v>0.95620000000000005</v>
      </c>
      <c r="E5964" s="472" t="s">
        <v>170</v>
      </c>
      <c r="F5964" s="474"/>
    </row>
    <row r="5965" spans="1:6" s="475" customFormat="1" ht="15">
      <c r="A5965" s="472" t="s">
        <v>11266</v>
      </c>
      <c r="B5965" s="472" t="s">
        <v>11267</v>
      </c>
      <c r="C5965" s="472" t="s">
        <v>89</v>
      </c>
      <c r="D5965" s="472">
        <v>7.6555</v>
      </c>
      <c r="E5965" s="472" t="s">
        <v>170</v>
      </c>
      <c r="F5965" s="474"/>
    </row>
    <row r="5966" spans="1:6" s="475" customFormat="1" ht="15">
      <c r="A5966" s="472" t="s">
        <v>11268</v>
      </c>
      <c r="B5966" s="472" t="s">
        <v>11269</v>
      </c>
      <c r="C5966" s="472" t="s">
        <v>90</v>
      </c>
      <c r="D5966" s="472">
        <v>0.91049999999999998</v>
      </c>
      <c r="E5966" s="472" t="s">
        <v>170</v>
      </c>
      <c r="F5966" s="474"/>
    </row>
    <row r="5967" spans="1:6" s="475" customFormat="1" ht="15">
      <c r="A5967" s="472" t="s">
        <v>11270</v>
      </c>
      <c r="B5967" s="472" t="s">
        <v>11271</v>
      </c>
      <c r="C5967" s="472" t="s">
        <v>90</v>
      </c>
      <c r="D5967" s="472">
        <v>0.91049999999999998</v>
      </c>
      <c r="E5967" s="472" t="s">
        <v>170</v>
      </c>
      <c r="F5967" s="474"/>
    </row>
    <row r="5968" spans="1:6" s="475" customFormat="1" ht="15">
      <c r="A5968" s="472" t="s">
        <v>11272</v>
      </c>
      <c r="B5968" s="472" t="s">
        <v>11273</v>
      </c>
      <c r="C5968" s="472" t="s">
        <v>90</v>
      </c>
      <c r="D5968" s="472">
        <v>0.91049999999999998</v>
      </c>
      <c r="E5968" s="472" t="s">
        <v>170</v>
      </c>
      <c r="F5968" s="474"/>
    </row>
    <row r="5969" spans="1:6" s="475" customFormat="1" ht="15">
      <c r="A5969" s="472" t="s">
        <v>11274</v>
      </c>
      <c r="B5969" s="472" t="s">
        <v>11275</v>
      </c>
      <c r="C5969" s="472" t="s">
        <v>90</v>
      </c>
      <c r="D5969" s="472">
        <v>0.91049999999999998</v>
      </c>
      <c r="E5969" s="472" t="s">
        <v>170</v>
      </c>
      <c r="F5969" s="474"/>
    </row>
    <row r="5970" spans="1:6" s="475" customFormat="1" ht="15">
      <c r="A5970" s="472" t="s">
        <v>11276</v>
      </c>
      <c r="B5970" s="472" t="s">
        <v>11277</v>
      </c>
      <c r="C5970" s="472" t="s">
        <v>90</v>
      </c>
      <c r="D5970" s="472">
        <v>6.1220999999999997</v>
      </c>
      <c r="E5970" s="472" t="s">
        <v>170</v>
      </c>
      <c r="F5970" s="474"/>
    </row>
    <row r="5971" spans="1:6" s="475" customFormat="1" ht="15">
      <c r="A5971" s="472" t="s">
        <v>7996</v>
      </c>
      <c r="B5971" s="472" t="s">
        <v>8010</v>
      </c>
      <c r="C5971" s="472" t="s">
        <v>90</v>
      </c>
      <c r="D5971" s="472">
        <v>6.1284999999999998</v>
      </c>
      <c r="E5971" s="472" t="s">
        <v>170</v>
      </c>
      <c r="F5971" s="474"/>
    </row>
    <row r="5972" spans="1:6" s="475" customFormat="1" ht="15">
      <c r="A5972" s="472" t="s">
        <v>11278</v>
      </c>
      <c r="B5972" s="472" t="s">
        <v>11279</v>
      </c>
      <c r="C5972" s="472" t="s">
        <v>90</v>
      </c>
      <c r="D5972" s="472">
        <v>6.1272000000000002</v>
      </c>
      <c r="E5972" s="472" t="s">
        <v>170</v>
      </c>
      <c r="F5972" s="474"/>
    </row>
    <row r="5973" spans="1:6" s="475" customFormat="1" ht="15">
      <c r="A5973" s="472" t="s">
        <v>11280</v>
      </c>
      <c r="B5973" s="472" t="s">
        <v>11281</v>
      </c>
      <c r="C5973" s="472" t="s">
        <v>90</v>
      </c>
      <c r="D5973" s="472">
        <v>6.1334999999999997</v>
      </c>
      <c r="E5973" s="472" t="s">
        <v>170</v>
      </c>
      <c r="F5973" s="474"/>
    </row>
    <row r="5974" spans="1:6" s="475" customFormat="1" ht="15">
      <c r="A5974" s="472" t="s">
        <v>11282</v>
      </c>
      <c r="B5974" s="472" t="s">
        <v>11283</v>
      </c>
      <c r="C5974" s="472" t="s">
        <v>4</v>
      </c>
      <c r="D5974" s="472">
        <v>3.669</v>
      </c>
      <c r="E5974" s="472" t="s">
        <v>170</v>
      </c>
      <c r="F5974" s="474"/>
    </row>
    <row r="5975" spans="1:6" s="475" customFormat="1" ht="15">
      <c r="A5975" s="472" t="s">
        <v>11284</v>
      </c>
      <c r="B5975" s="472" t="s">
        <v>11285</v>
      </c>
      <c r="C5975" s="472" t="s">
        <v>90</v>
      </c>
      <c r="D5975" s="472">
        <v>6.1374000000000004</v>
      </c>
      <c r="E5975" s="472" t="s">
        <v>170</v>
      </c>
      <c r="F5975" s="474"/>
    </row>
    <row r="5976" spans="1:6" s="475" customFormat="1" ht="15">
      <c r="A5976" s="472" t="s">
        <v>11286</v>
      </c>
      <c r="B5976" s="472" t="s">
        <v>11287</v>
      </c>
      <c r="C5976" s="472" t="s">
        <v>3495</v>
      </c>
      <c r="D5976" s="472" t="s">
        <v>191</v>
      </c>
      <c r="E5976" s="472" t="s">
        <v>170</v>
      </c>
      <c r="F5976" s="474"/>
    </row>
    <row r="5977" spans="1:6" s="475" customFormat="1" ht="15">
      <c r="A5977" s="472" t="s">
        <v>11288</v>
      </c>
      <c r="B5977" s="472" t="s">
        <v>11289</v>
      </c>
      <c r="C5977" s="472" t="s">
        <v>3495</v>
      </c>
      <c r="D5977" s="472" t="s">
        <v>191</v>
      </c>
      <c r="E5977" s="472" t="s">
        <v>170</v>
      </c>
      <c r="F5977" s="474"/>
    </row>
    <row r="5978" spans="1:6" s="475" customFormat="1" ht="15">
      <c r="A5978" s="472" t="s">
        <v>11290</v>
      </c>
      <c r="B5978" s="472" t="s">
        <v>11291</v>
      </c>
      <c r="C5978" s="472" t="s">
        <v>3495</v>
      </c>
      <c r="D5978" s="472" t="s">
        <v>191</v>
      </c>
      <c r="E5978" s="472" t="s">
        <v>170</v>
      </c>
      <c r="F5978" s="474"/>
    </row>
    <row r="5979" spans="1:6" s="475" customFormat="1" ht="15">
      <c r="A5979" s="472" t="s">
        <v>11292</v>
      </c>
      <c r="B5979" s="472" t="s">
        <v>11293</v>
      </c>
      <c r="C5979" s="472" t="s">
        <v>3495</v>
      </c>
      <c r="D5979" s="472" t="s">
        <v>191</v>
      </c>
      <c r="E5979" s="472" t="s">
        <v>170</v>
      </c>
      <c r="F5979" s="474"/>
    </row>
    <row r="5980" spans="1:6" s="475" customFormat="1" ht="15">
      <c r="A5980" s="472" t="s">
        <v>11294</v>
      </c>
      <c r="B5980" s="472" t="s">
        <v>11295</v>
      </c>
      <c r="C5980" s="472" t="s">
        <v>3495</v>
      </c>
      <c r="D5980" s="472" t="s">
        <v>191</v>
      </c>
      <c r="E5980" s="472" t="s">
        <v>170</v>
      </c>
      <c r="F5980" s="474"/>
    </row>
    <row r="5981" spans="1:6" s="475" customFormat="1" ht="15">
      <c r="A5981" s="472" t="s">
        <v>11296</v>
      </c>
      <c r="B5981" s="472" t="s">
        <v>11297</v>
      </c>
      <c r="C5981" s="472" t="s">
        <v>90</v>
      </c>
      <c r="D5981" s="472">
        <v>6.1393000000000004</v>
      </c>
      <c r="E5981" s="472" t="s">
        <v>170</v>
      </c>
      <c r="F5981" s="474"/>
    </row>
    <row r="5982" spans="1:6" s="475" customFormat="1" ht="15">
      <c r="A5982" s="472" t="s">
        <v>11298</v>
      </c>
      <c r="B5982" s="472" t="s">
        <v>11299</v>
      </c>
      <c r="C5982" s="472" t="s">
        <v>3495</v>
      </c>
      <c r="D5982" s="472" t="s">
        <v>191</v>
      </c>
      <c r="E5982" s="472" t="s">
        <v>170</v>
      </c>
      <c r="F5982" s="474"/>
    </row>
    <row r="5983" spans="1:6" s="475" customFormat="1" ht="15">
      <c r="A5983" s="472" t="s">
        <v>11300</v>
      </c>
      <c r="B5983" s="472" t="s">
        <v>11301</v>
      </c>
      <c r="C5983" s="472" t="s">
        <v>3495</v>
      </c>
      <c r="D5983" s="472" t="s">
        <v>191</v>
      </c>
      <c r="E5983" s="472" t="s">
        <v>170</v>
      </c>
      <c r="F5983" s="474"/>
    </row>
    <row r="5984" spans="1:6" s="475" customFormat="1" ht="15">
      <c r="A5984" s="472" t="s">
        <v>11302</v>
      </c>
      <c r="B5984" s="472" t="s">
        <v>11303</v>
      </c>
      <c r="C5984" s="472" t="s">
        <v>3495</v>
      </c>
      <c r="D5984" s="472" t="s">
        <v>191</v>
      </c>
      <c r="E5984" s="472" t="s">
        <v>170</v>
      </c>
      <c r="F5984" s="474"/>
    </row>
    <row r="5985" spans="1:6" s="475" customFormat="1" ht="15">
      <c r="A5985" s="472" t="s">
        <v>11304</v>
      </c>
      <c r="B5985" s="472" t="s">
        <v>11305</v>
      </c>
      <c r="C5985" s="472" t="s">
        <v>3495</v>
      </c>
      <c r="D5985" s="472">
        <v>5008.2546000000002</v>
      </c>
      <c r="E5985" s="472" t="s">
        <v>170</v>
      </c>
      <c r="F5985" s="474"/>
    </row>
    <row r="5986" spans="1:6" s="475" customFormat="1" ht="15">
      <c r="A5986" s="472" t="s">
        <v>7980</v>
      </c>
      <c r="B5986" s="472" t="s">
        <v>8007</v>
      </c>
      <c r="C5986" s="472" t="s">
        <v>89</v>
      </c>
      <c r="D5986" s="472">
        <v>0.33289999999999997</v>
      </c>
      <c r="E5986" s="472" t="s">
        <v>170</v>
      </c>
      <c r="F5986" s="474"/>
    </row>
    <row r="5987" spans="1:6" s="475" customFormat="1" ht="15">
      <c r="A5987" s="472" t="s">
        <v>11306</v>
      </c>
      <c r="B5987" s="472" t="s">
        <v>7558</v>
      </c>
      <c r="C5987" s="472" t="s">
        <v>3495</v>
      </c>
      <c r="D5987" s="472" t="s">
        <v>191</v>
      </c>
      <c r="E5987" s="472" t="s">
        <v>170</v>
      </c>
      <c r="F5987" s="474"/>
    </row>
    <row r="5988" spans="1:6" s="475" customFormat="1" ht="15">
      <c r="A5988" s="472" t="s">
        <v>11307</v>
      </c>
      <c r="B5988" s="472" t="s">
        <v>11308</v>
      </c>
      <c r="C5988" s="472" t="s">
        <v>3495</v>
      </c>
      <c r="D5988" s="472" t="s">
        <v>191</v>
      </c>
      <c r="E5988" s="472" t="s">
        <v>170</v>
      </c>
      <c r="F5988" s="474"/>
    </row>
    <row r="5989" spans="1:6" s="475" customFormat="1" ht="15">
      <c r="A5989" s="472" t="s">
        <v>11309</v>
      </c>
      <c r="B5989" s="472" t="s">
        <v>11310</v>
      </c>
      <c r="C5989" s="472" t="s">
        <v>3495</v>
      </c>
      <c r="D5989" s="472" t="s">
        <v>191</v>
      </c>
      <c r="E5989" s="472" t="s">
        <v>170</v>
      </c>
      <c r="F5989" s="474"/>
    </row>
    <row r="5990" spans="1:6" s="475" customFormat="1" ht="15">
      <c r="A5990" s="472" t="s">
        <v>11311</v>
      </c>
      <c r="B5990" s="472" t="s">
        <v>11312</v>
      </c>
      <c r="C5990" s="472" t="s">
        <v>90</v>
      </c>
      <c r="D5990" s="472">
        <v>6.1410999999999998</v>
      </c>
      <c r="E5990" s="472" t="s">
        <v>170</v>
      </c>
      <c r="F5990" s="474"/>
    </row>
    <row r="5991" spans="1:6" s="475" customFormat="1" ht="15">
      <c r="A5991" s="472" t="s">
        <v>11313</v>
      </c>
      <c r="B5991" s="472" t="s">
        <v>11314</v>
      </c>
      <c r="C5991" s="472" t="s">
        <v>90</v>
      </c>
      <c r="D5991" s="472">
        <v>18.4511</v>
      </c>
      <c r="E5991" s="472" t="s">
        <v>170</v>
      </c>
      <c r="F5991" s="474"/>
    </row>
    <row r="5992" spans="1:6" s="475" customFormat="1" ht="15">
      <c r="A5992" s="472" t="s">
        <v>11315</v>
      </c>
      <c r="B5992" s="472" t="s">
        <v>11316</v>
      </c>
      <c r="C5992" s="472" t="s">
        <v>90</v>
      </c>
      <c r="D5992" s="472">
        <v>18.454899999999999</v>
      </c>
      <c r="E5992" s="472" t="s">
        <v>170</v>
      </c>
      <c r="F5992" s="474"/>
    </row>
    <row r="5993" spans="1:6" s="475" customFormat="1" ht="15">
      <c r="A5993" s="472" t="s">
        <v>11317</v>
      </c>
      <c r="B5993" s="472" t="s">
        <v>11318</v>
      </c>
      <c r="C5993" s="472" t="s">
        <v>90</v>
      </c>
      <c r="D5993" s="472">
        <v>18.4574</v>
      </c>
      <c r="E5993" s="472" t="s">
        <v>170</v>
      </c>
      <c r="F5993" s="474"/>
    </row>
    <row r="5994" spans="1:6" s="475" customFormat="1" ht="15">
      <c r="A5994" s="472" t="s">
        <v>11319</v>
      </c>
      <c r="B5994" s="472" t="s">
        <v>11320</v>
      </c>
      <c r="C5994" s="472" t="s">
        <v>90</v>
      </c>
      <c r="D5994" s="472">
        <v>0.15679999999999999</v>
      </c>
      <c r="E5994" s="472" t="s">
        <v>170</v>
      </c>
      <c r="F5994" s="474"/>
    </row>
    <row r="5995" spans="1:6" s="475" customFormat="1" ht="15">
      <c r="A5995" s="472" t="s">
        <v>11321</v>
      </c>
      <c r="B5995" s="472" t="s">
        <v>11322</v>
      </c>
      <c r="C5995" s="472" t="s">
        <v>90</v>
      </c>
      <c r="D5995" s="472">
        <v>0.7</v>
      </c>
      <c r="E5995" s="472" t="s">
        <v>170</v>
      </c>
      <c r="F5995" s="474"/>
    </row>
    <row r="5996" spans="1:6" s="475" customFormat="1" ht="15">
      <c r="A5996" s="472" t="s">
        <v>7375</v>
      </c>
      <c r="B5996" s="472" t="s">
        <v>7835</v>
      </c>
      <c r="C5996" s="472" t="s">
        <v>89</v>
      </c>
      <c r="D5996" s="472">
        <v>4.8011999999999997</v>
      </c>
      <c r="E5996" s="472" t="s">
        <v>170</v>
      </c>
      <c r="F5996" s="474"/>
    </row>
    <row r="5997" spans="1:6" s="475" customFormat="1" ht="15">
      <c r="A5997" s="472" t="s">
        <v>11323</v>
      </c>
      <c r="B5997" s="472" t="s">
        <v>11324</v>
      </c>
      <c r="C5997" s="472" t="s">
        <v>90</v>
      </c>
      <c r="D5997" s="472">
        <v>1348.0319999999999</v>
      </c>
      <c r="E5997" s="472" t="s">
        <v>170</v>
      </c>
      <c r="F5997" s="474"/>
    </row>
    <row r="5998" spans="1:6" s="475" customFormat="1" ht="15">
      <c r="A5998" s="472" t="s">
        <v>11325</v>
      </c>
      <c r="B5998" s="472" t="s">
        <v>11326</v>
      </c>
      <c r="C5998" s="472" t="s">
        <v>90</v>
      </c>
      <c r="D5998" s="472">
        <v>1673.0039999999999</v>
      </c>
      <c r="E5998" s="472" t="s">
        <v>170</v>
      </c>
      <c r="F5998" s="474"/>
    </row>
    <row r="5999" spans="1:6" s="475" customFormat="1" ht="15">
      <c r="A5999" s="472" t="s">
        <v>11327</v>
      </c>
      <c r="B5999" s="472" t="s">
        <v>11328</v>
      </c>
      <c r="C5999" s="472" t="s">
        <v>90</v>
      </c>
      <c r="D5999" s="472">
        <v>882.64</v>
      </c>
      <c r="E5999" s="472" t="s">
        <v>170</v>
      </c>
      <c r="F5999" s="474"/>
    </row>
    <row r="6000" spans="1:6" s="475" customFormat="1" ht="15">
      <c r="A6000" s="472" t="s">
        <v>11329</v>
      </c>
      <c r="B6000" s="472" t="s">
        <v>11330</v>
      </c>
      <c r="C6000" s="472" t="s">
        <v>90</v>
      </c>
      <c r="D6000" s="472">
        <v>1512.5239999999999</v>
      </c>
      <c r="E6000" s="472" t="s">
        <v>170</v>
      </c>
      <c r="F6000" s="474"/>
    </row>
    <row r="6001" spans="1:6" s="475" customFormat="1" ht="15">
      <c r="A6001" s="472" t="s">
        <v>11331</v>
      </c>
      <c r="B6001" s="472" t="s">
        <v>11332</v>
      </c>
      <c r="C6001" s="472" t="s">
        <v>90</v>
      </c>
      <c r="D6001" s="472">
        <v>30.872800000000002</v>
      </c>
      <c r="E6001" s="472" t="s">
        <v>170</v>
      </c>
      <c r="F6001" s="474"/>
    </row>
    <row r="6002" spans="1:6" s="475" customFormat="1" ht="15">
      <c r="A6002" s="472" t="s">
        <v>11333</v>
      </c>
      <c r="B6002" s="472" t="s">
        <v>11334</v>
      </c>
      <c r="C6002" s="472" t="s">
        <v>90</v>
      </c>
      <c r="D6002" s="472">
        <v>4945.8486999999996</v>
      </c>
      <c r="E6002" s="472" t="s">
        <v>170</v>
      </c>
      <c r="F6002" s="474"/>
    </row>
    <row r="6003" spans="1:6" s="475" customFormat="1" ht="15">
      <c r="A6003" s="472" t="s">
        <v>11335</v>
      </c>
      <c r="B6003" s="472" t="s">
        <v>11336</v>
      </c>
      <c r="C6003" s="472" t="s">
        <v>90</v>
      </c>
      <c r="D6003" s="472">
        <v>310.98469999999998</v>
      </c>
      <c r="E6003" s="472" t="s">
        <v>170</v>
      </c>
      <c r="F6003" s="474"/>
    </row>
    <row r="6004" spans="1:6" s="475" customFormat="1" ht="15">
      <c r="A6004" s="472" t="s">
        <v>11337</v>
      </c>
      <c r="B6004" s="472" t="s">
        <v>11338</v>
      </c>
      <c r="C6004" s="472" t="s">
        <v>90</v>
      </c>
      <c r="D6004" s="472">
        <v>2226.9686000000002</v>
      </c>
      <c r="E6004" s="472" t="s">
        <v>170</v>
      </c>
      <c r="F6004" s="474"/>
    </row>
    <row r="6005" spans="1:6" s="475" customFormat="1" ht="15">
      <c r="A6005" s="472" t="s">
        <v>11339</v>
      </c>
      <c r="B6005" s="472" t="s">
        <v>11340</v>
      </c>
      <c r="C6005" s="472" t="s">
        <v>90</v>
      </c>
      <c r="D6005" s="472">
        <v>31.3202</v>
      </c>
      <c r="E6005" s="472" t="s">
        <v>170</v>
      </c>
      <c r="F6005" s="474"/>
    </row>
    <row r="6006" spans="1:6" s="475" customFormat="1" ht="15">
      <c r="A6006" s="472" t="s">
        <v>11341</v>
      </c>
      <c r="B6006" s="472" t="s">
        <v>11342</v>
      </c>
      <c r="C6006" s="472" t="s">
        <v>90</v>
      </c>
      <c r="D6006" s="472">
        <v>337.14519999999999</v>
      </c>
      <c r="E6006" s="472" t="s">
        <v>170</v>
      </c>
      <c r="F6006" s="474"/>
    </row>
    <row r="6007" spans="1:6" s="475" customFormat="1" ht="15">
      <c r="A6007" s="472" t="s">
        <v>11343</v>
      </c>
      <c r="B6007" s="472" t="s">
        <v>11344</v>
      </c>
      <c r="C6007" s="472" t="s">
        <v>90</v>
      </c>
      <c r="D6007" s="472">
        <v>228.03559999999999</v>
      </c>
      <c r="E6007" s="472" t="s">
        <v>170</v>
      </c>
      <c r="F6007" s="474"/>
    </row>
    <row r="6008" spans="1:6" s="475" customFormat="1" ht="15">
      <c r="A6008" s="472" t="s">
        <v>11345</v>
      </c>
      <c r="B6008" s="472" t="s">
        <v>11346</v>
      </c>
      <c r="C6008" s="472" t="s">
        <v>90</v>
      </c>
      <c r="D6008" s="472">
        <v>228.03559999999999</v>
      </c>
      <c r="E6008" s="472" t="s">
        <v>170</v>
      </c>
      <c r="F6008" s="474"/>
    </row>
    <row r="6009" spans="1:6" s="475" customFormat="1" ht="15">
      <c r="A6009" s="472" t="s">
        <v>11347</v>
      </c>
      <c r="B6009" s="472" t="s">
        <v>11348</v>
      </c>
      <c r="C6009" s="472" t="s">
        <v>90</v>
      </c>
      <c r="D6009" s="472">
        <v>47.987200000000001</v>
      </c>
      <c r="E6009" s="472" t="s">
        <v>170</v>
      </c>
      <c r="F6009" s="474"/>
    </row>
    <row r="6010" spans="1:6" s="475" customFormat="1" ht="15">
      <c r="A6010" s="472" t="s">
        <v>11349</v>
      </c>
      <c r="B6010" s="472" t="s">
        <v>11350</v>
      </c>
      <c r="C6010" s="472" t="s">
        <v>90</v>
      </c>
      <c r="D6010" s="472">
        <v>48.405900000000003</v>
      </c>
      <c r="E6010" s="472" t="s">
        <v>170</v>
      </c>
      <c r="F6010" s="474"/>
    </row>
    <row r="6011" spans="1:6" s="475" customFormat="1" ht="15">
      <c r="A6011" s="472" t="s">
        <v>11351</v>
      </c>
      <c r="B6011" s="472" t="s">
        <v>11352</v>
      </c>
      <c r="C6011" s="472" t="s">
        <v>90</v>
      </c>
      <c r="D6011" s="472">
        <v>60.927199999999999</v>
      </c>
      <c r="E6011" s="472" t="s">
        <v>170</v>
      </c>
      <c r="F6011" s="474"/>
    </row>
    <row r="6012" spans="1:6" s="475" customFormat="1" ht="15">
      <c r="A6012" s="472" t="s">
        <v>11353</v>
      </c>
      <c r="B6012" s="472" t="s">
        <v>11354</v>
      </c>
      <c r="C6012" s="472" t="s">
        <v>90</v>
      </c>
      <c r="D6012" s="472">
        <v>51.948799999999999</v>
      </c>
      <c r="E6012" s="472" t="s">
        <v>170</v>
      </c>
      <c r="F6012" s="474"/>
    </row>
    <row r="6013" spans="1:6" s="475" customFormat="1" ht="15">
      <c r="A6013" s="472" t="s">
        <v>7997</v>
      </c>
      <c r="B6013" s="472" t="s">
        <v>8011</v>
      </c>
      <c r="C6013" s="472" t="s">
        <v>90</v>
      </c>
      <c r="D6013" s="472">
        <v>69.097700000000003</v>
      </c>
      <c r="E6013" s="472" t="s">
        <v>170</v>
      </c>
      <c r="F6013" s="474"/>
    </row>
    <row r="6014" spans="1:6" s="475" customFormat="1" ht="15">
      <c r="A6014" s="472" t="s">
        <v>11355</v>
      </c>
      <c r="B6014" s="472" t="s">
        <v>11356</v>
      </c>
      <c r="C6014" s="472" t="s">
        <v>90</v>
      </c>
      <c r="D6014" s="472">
        <v>92.745099999999994</v>
      </c>
      <c r="E6014" s="472" t="s">
        <v>170</v>
      </c>
      <c r="F6014" s="474"/>
    </row>
    <row r="6015" spans="1:6" s="475" customFormat="1" ht="15">
      <c r="A6015" s="472" t="s">
        <v>11357</v>
      </c>
      <c r="B6015" s="472" t="s">
        <v>11358</v>
      </c>
      <c r="C6015" s="472" t="s">
        <v>90</v>
      </c>
      <c r="D6015" s="472">
        <v>101.40009999999999</v>
      </c>
      <c r="E6015" s="472" t="s">
        <v>170</v>
      </c>
      <c r="F6015" s="474"/>
    </row>
    <row r="6016" spans="1:6" s="475" customFormat="1" ht="15">
      <c r="A6016" s="472" t="s">
        <v>11359</v>
      </c>
      <c r="B6016" s="472" t="s">
        <v>11360</v>
      </c>
      <c r="C6016" s="472" t="s">
        <v>90</v>
      </c>
      <c r="D6016" s="472">
        <v>132.9699</v>
      </c>
      <c r="E6016" s="472" t="s">
        <v>170</v>
      </c>
      <c r="F6016" s="474"/>
    </row>
    <row r="6017" spans="1:6" s="475" customFormat="1" ht="15">
      <c r="A6017" s="472" t="s">
        <v>11361</v>
      </c>
      <c r="B6017" s="472" t="s">
        <v>11362</v>
      </c>
      <c r="C6017" s="472" t="s">
        <v>90</v>
      </c>
      <c r="D6017" s="472">
        <v>155.21600000000001</v>
      </c>
      <c r="E6017" s="472" t="s">
        <v>170</v>
      </c>
      <c r="F6017" s="474"/>
    </row>
    <row r="6018" spans="1:6" s="475" customFormat="1" ht="15">
      <c r="A6018" s="472" t="s">
        <v>11363</v>
      </c>
      <c r="B6018" s="472" t="s">
        <v>11364</v>
      </c>
      <c r="C6018" s="472" t="s">
        <v>90</v>
      </c>
      <c r="D6018" s="472">
        <v>185.3022</v>
      </c>
      <c r="E6018" s="472" t="s">
        <v>170</v>
      </c>
      <c r="F6018" s="474"/>
    </row>
    <row r="6019" spans="1:6" s="475" customFormat="1" ht="15">
      <c r="A6019" s="472" t="s">
        <v>11365</v>
      </c>
      <c r="B6019" s="472" t="s">
        <v>11366</v>
      </c>
      <c r="C6019" s="472" t="s">
        <v>90</v>
      </c>
      <c r="D6019" s="472">
        <v>45.132300000000001</v>
      </c>
      <c r="E6019" s="472" t="s">
        <v>170</v>
      </c>
      <c r="F6019" s="474"/>
    </row>
    <row r="6020" spans="1:6" s="475" customFormat="1" ht="15">
      <c r="A6020" s="472" t="s">
        <v>11367</v>
      </c>
      <c r="B6020" s="472" t="s">
        <v>11368</v>
      </c>
      <c r="C6020" s="472" t="s">
        <v>90</v>
      </c>
      <c r="D6020" s="472">
        <v>60.029400000000003</v>
      </c>
      <c r="E6020" s="472" t="s">
        <v>170</v>
      </c>
      <c r="F6020" s="474"/>
    </row>
    <row r="6021" spans="1:6" s="475" customFormat="1" ht="15">
      <c r="A6021" s="472" t="s">
        <v>11369</v>
      </c>
      <c r="B6021" s="472" t="s">
        <v>11370</v>
      </c>
      <c r="C6021" s="472" t="s">
        <v>90</v>
      </c>
      <c r="D6021" s="472">
        <v>100.752</v>
      </c>
      <c r="E6021" s="472" t="s">
        <v>170</v>
      </c>
      <c r="F6021" s="474"/>
    </row>
    <row r="6022" spans="1:6" s="475" customFormat="1" ht="15">
      <c r="A6022" s="472" t="s">
        <v>11371</v>
      </c>
      <c r="B6022" s="472" t="s">
        <v>11372</v>
      </c>
      <c r="C6022" s="472" t="s">
        <v>90</v>
      </c>
      <c r="D6022" s="472">
        <v>74.075999999999993</v>
      </c>
      <c r="E6022" s="472" t="s">
        <v>170</v>
      </c>
      <c r="F6022" s="474"/>
    </row>
    <row r="6023" spans="1:6" s="475" customFormat="1" ht="15">
      <c r="A6023" s="472" t="s">
        <v>11373</v>
      </c>
      <c r="B6023" s="472" t="s">
        <v>11374</v>
      </c>
      <c r="C6023" s="472" t="s">
        <v>90</v>
      </c>
      <c r="D6023" s="472">
        <v>2309.6597999999999</v>
      </c>
      <c r="E6023" s="472" t="s">
        <v>170</v>
      </c>
      <c r="F6023" s="474"/>
    </row>
    <row r="6024" spans="1:6" s="475" customFormat="1" ht="15">
      <c r="A6024" s="472" t="s">
        <v>11375</v>
      </c>
      <c r="B6024" s="472" t="s">
        <v>11376</v>
      </c>
      <c r="C6024" s="472" t="s">
        <v>90</v>
      </c>
      <c r="D6024" s="472">
        <v>73182.051800000001</v>
      </c>
      <c r="E6024" s="472" t="s">
        <v>170</v>
      </c>
      <c r="F6024" s="474"/>
    </row>
    <row r="6025" spans="1:6" s="475" customFormat="1" ht="15">
      <c r="A6025" s="472" t="s">
        <v>11377</v>
      </c>
      <c r="B6025" s="472" t="s">
        <v>11378</v>
      </c>
      <c r="C6025" s="472" t="s">
        <v>90</v>
      </c>
      <c r="D6025" s="472">
        <v>78388.661099999998</v>
      </c>
      <c r="E6025" s="472" t="s">
        <v>170</v>
      </c>
      <c r="F6025" s="474"/>
    </row>
    <row r="6026" spans="1:6" s="475" customFormat="1" ht="15">
      <c r="A6026" s="472" t="s">
        <v>11379</v>
      </c>
      <c r="B6026" s="472" t="s">
        <v>11380</v>
      </c>
      <c r="C6026" s="472" t="s">
        <v>90</v>
      </c>
      <c r="D6026" s="472">
        <v>107272.9469</v>
      </c>
      <c r="E6026" s="472" t="s">
        <v>170</v>
      </c>
      <c r="F6026" s="474"/>
    </row>
    <row r="6027" spans="1:6" s="475" customFormat="1" ht="15">
      <c r="A6027" s="472" t="s">
        <v>11381</v>
      </c>
      <c r="B6027" s="472" t="s">
        <v>11382</v>
      </c>
      <c r="C6027" s="472" t="s">
        <v>90</v>
      </c>
      <c r="D6027" s="472">
        <v>113769.06050000001</v>
      </c>
      <c r="E6027" s="472" t="s">
        <v>170</v>
      </c>
      <c r="F6027" s="474"/>
    </row>
    <row r="6028" spans="1:6" s="475" customFormat="1" ht="15">
      <c r="A6028" s="472" t="s">
        <v>11383</v>
      </c>
      <c r="B6028" s="472" t="s">
        <v>11384</v>
      </c>
      <c r="C6028" s="472" t="s">
        <v>90</v>
      </c>
      <c r="D6028" s="472">
        <v>120506.03479999999</v>
      </c>
      <c r="E6028" s="472" t="s">
        <v>170</v>
      </c>
      <c r="F6028" s="474"/>
    </row>
    <row r="6029" spans="1:6" s="475" customFormat="1" ht="15">
      <c r="A6029" s="472" t="s">
        <v>11385</v>
      </c>
      <c r="B6029" s="472" t="s">
        <v>11386</v>
      </c>
      <c r="C6029" s="472" t="s">
        <v>90</v>
      </c>
      <c r="D6029" s="472">
        <v>8.5076999999999998</v>
      </c>
      <c r="E6029" s="472" t="s">
        <v>170</v>
      </c>
      <c r="F6029" s="474"/>
    </row>
    <row r="6030" spans="1:6" s="475" customFormat="1" ht="15">
      <c r="A6030" s="472" t="s">
        <v>11387</v>
      </c>
      <c r="B6030" s="472" t="s">
        <v>11388</v>
      </c>
      <c r="C6030" s="472" t="s">
        <v>90</v>
      </c>
      <c r="D6030" s="472">
        <v>135502.87340000001</v>
      </c>
      <c r="E6030" s="472" t="s">
        <v>170</v>
      </c>
      <c r="F6030" s="474"/>
    </row>
    <row r="6031" spans="1:6" s="475" customFormat="1" ht="15">
      <c r="A6031" s="472" t="s">
        <v>11389</v>
      </c>
      <c r="B6031" s="472" t="s">
        <v>11390</v>
      </c>
      <c r="C6031" s="472" t="s">
        <v>90</v>
      </c>
      <c r="D6031" s="472">
        <v>139580.06839999999</v>
      </c>
      <c r="E6031" s="472" t="s">
        <v>170</v>
      </c>
      <c r="F6031" s="474"/>
    </row>
    <row r="6032" spans="1:6" s="475" customFormat="1" ht="15">
      <c r="A6032" s="472" t="s">
        <v>11391</v>
      </c>
      <c r="B6032" s="472" t="s">
        <v>11392</v>
      </c>
      <c r="C6032" s="472" t="s">
        <v>90</v>
      </c>
      <c r="D6032" s="472">
        <v>147217.91339999999</v>
      </c>
      <c r="E6032" s="472" t="s">
        <v>170</v>
      </c>
      <c r="F6032" s="474"/>
    </row>
    <row r="6033" spans="1:6" s="475" customFormat="1" ht="15">
      <c r="A6033" s="472" t="s">
        <v>11393</v>
      </c>
      <c r="B6033" s="472" t="s">
        <v>11394</v>
      </c>
      <c r="C6033" s="472" t="s">
        <v>90</v>
      </c>
      <c r="D6033" s="472">
        <v>181.4752</v>
      </c>
      <c r="E6033" s="472" t="s">
        <v>170</v>
      </c>
      <c r="F6033" s="474"/>
    </row>
    <row r="6034" spans="1:6" s="475" customFormat="1" ht="15">
      <c r="A6034" s="472" t="s">
        <v>11395</v>
      </c>
      <c r="B6034" s="472" t="s">
        <v>11396</v>
      </c>
      <c r="C6034" s="472" t="s">
        <v>90</v>
      </c>
      <c r="D6034" s="472">
        <v>218.61359999999999</v>
      </c>
      <c r="E6034" s="472" t="s">
        <v>170</v>
      </c>
      <c r="F6034" s="474"/>
    </row>
    <row r="6035" spans="1:6" s="475" customFormat="1" ht="15">
      <c r="A6035" s="472" t="s">
        <v>11397</v>
      </c>
      <c r="B6035" s="472" t="s">
        <v>11398</v>
      </c>
      <c r="C6035" s="472" t="s">
        <v>90</v>
      </c>
      <c r="D6035" s="472">
        <v>420.77640000000002</v>
      </c>
      <c r="E6035" s="472" t="s">
        <v>170</v>
      </c>
      <c r="F6035" s="474"/>
    </row>
    <row r="6036" spans="1:6" s="475" customFormat="1" ht="15">
      <c r="A6036" s="472" t="s">
        <v>11399</v>
      </c>
      <c r="B6036" s="472" t="s">
        <v>11400</v>
      </c>
      <c r="C6036" s="472" t="s">
        <v>90</v>
      </c>
      <c r="D6036" s="472">
        <v>711.81219999999996</v>
      </c>
      <c r="E6036" s="472" t="s">
        <v>170</v>
      </c>
      <c r="F6036" s="474"/>
    </row>
    <row r="6037" spans="1:6" s="475" customFormat="1" ht="15">
      <c r="A6037" s="472" t="s">
        <v>11401</v>
      </c>
      <c r="B6037" s="472" t="s">
        <v>11402</v>
      </c>
      <c r="C6037" s="472" t="s">
        <v>90</v>
      </c>
      <c r="D6037" s="472">
        <v>118.5711</v>
      </c>
      <c r="E6037" s="472" t="s">
        <v>170</v>
      </c>
      <c r="F6037" s="474"/>
    </row>
    <row r="6038" spans="1:6" s="475" customFormat="1" ht="15">
      <c r="A6038" s="472" t="s">
        <v>11403</v>
      </c>
      <c r="B6038" s="472" t="s">
        <v>11404</v>
      </c>
      <c r="C6038" s="472" t="s">
        <v>90</v>
      </c>
      <c r="D6038" s="472">
        <v>155.95439999999999</v>
      </c>
      <c r="E6038" s="472" t="s">
        <v>170</v>
      </c>
      <c r="F6038" s="474"/>
    </row>
    <row r="6039" spans="1:6" s="475" customFormat="1" ht="15">
      <c r="A6039" s="472" t="s">
        <v>11405</v>
      </c>
      <c r="B6039" s="472" t="s">
        <v>11406</v>
      </c>
      <c r="C6039" s="472" t="s">
        <v>90</v>
      </c>
      <c r="D6039" s="472">
        <v>189.7277</v>
      </c>
      <c r="E6039" s="472" t="s">
        <v>170</v>
      </c>
      <c r="F6039" s="474"/>
    </row>
    <row r="6040" spans="1:6" s="475" customFormat="1" ht="15">
      <c r="A6040" s="472" t="s">
        <v>11407</v>
      </c>
      <c r="B6040" s="472" t="s">
        <v>11408</v>
      </c>
      <c r="C6040" s="472" t="s">
        <v>90</v>
      </c>
      <c r="D6040" s="472">
        <v>241.57230000000001</v>
      </c>
      <c r="E6040" s="472" t="s">
        <v>170</v>
      </c>
      <c r="F6040" s="474"/>
    </row>
    <row r="6041" spans="1:6" s="475" customFormat="1" ht="15">
      <c r="A6041" s="472" t="s">
        <v>11409</v>
      </c>
      <c r="B6041" s="472" t="s">
        <v>11410</v>
      </c>
      <c r="C6041" s="472" t="s">
        <v>90</v>
      </c>
      <c r="D6041" s="472">
        <v>48.084000000000003</v>
      </c>
      <c r="E6041" s="472" t="s">
        <v>170</v>
      </c>
      <c r="F6041" s="474"/>
    </row>
    <row r="6042" spans="1:6" s="475" customFormat="1" ht="15">
      <c r="A6042" s="472" t="s">
        <v>11411</v>
      </c>
      <c r="B6042" s="472" t="s">
        <v>11412</v>
      </c>
      <c r="C6042" s="472" t="s">
        <v>90</v>
      </c>
      <c r="D6042" s="472">
        <v>19.368600000000001</v>
      </c>
      <c r="E6042" s="472" t="s">
        <v>170</v>
      </c>
      <c r="F6042" s="474"/>
    </row>
    <row r="6043" spans="1:6" s="475" customFormat="1" ht="15">
      <c r="A6043" s="472" t="s">
        <v>11413</v>
      </c>
      <c r="B6043" s="472" t="s">
        <v>11414</v>
      </c>
      <c r="C6043" s="472" t="s">
        <v>90</v>
      </c>
      <c r="D6043" s="472">
        <v>38.247799999999998</v>
      </c>
      <c r="E6043" s="472" t="s">
        <v>170</v>
      </c>
      <c r="F6043" s="474"/>
    </row>
    <row r="6044" spans="1:6" s="475" customFormat="1" ht="15">
      <c r="A6044" s="472" t="s">
        <v>11415</v>
      </c>
      <c r="B6044" s="472" t="s">
        <v>11416</v>
      </c>
      <c r="C6044" s="472" t="s">
        <v>90</v>
      </c>
      <c r="D6044" s="472">
        <v>156718.4926</v>
      </c>
      <c r="E6044" s="472" t="s">
        <v>170</v>
      </c>
      <c r="F6044" s="474"/>
    </row>
    <row r="6045" spans="1:6" s="475" customFormat="1" ht="15">
      <c r="A6045" s="472" t="s">
        <v>11417</v>
      </c>
      <c r="B6045" s="472" t="s">
        <v>11418</v>
      </c>
      <c r="C6045" s="472" t="s">
        <v>90</v>
      </c>
      <c r="D6045" s="472">
        <v>26.7121</v>
      </c>
      <c r="E6045" s="472" t="s">
        <v>170</v>
      </c>
      <c r="F6045" s="474"/>
    </row>
    <row r="6046" spans="1:6" s="475" customFormat="1" ht="15">
      <c r="A6046" s="472" t="s">
        <v>11419</v>
      </c>
      <c r="B6046" s="472" t="s">
        <v>11420</v>
      </c>
      <c r="C6046" s="472" t="s">
        <v>5</v>
      </c>
      <c r="D6046" s="472">
        <v>2.6490999999999998</v>
      </c>
      <c r="E6046" s="472" t="s">
        <v>170</v>
      </c>
      <c r="F6046" s="474"/>
    </row>
    <row r="6047" spans="1:6" s="475" customFormat="1" ht="15">
      <c r="A6047" s="472" t="s">
        <v>11421</v>
      </c>
      <c r="B6047" s="472" t="s">
        <v>11422</v>
      </c>
      <c r="C6047" s="472" t="s">
        <v>90</v>
      </c>
      <c r="D6047" s="472">
        <v>38.628900000000002</v>
      </c>
      <c r="E6047" s="472" t="s">
        <v>170</v>
      </c>
      <c r="F6047" s="474"/>
    </row>
    <row r="6048" spans="1:6" s="475" customFormat="1" ht="15">
      <c r="A6048" s="472" t="s">
        <v>11423</v>
      </c>
      <c r="B6048" s="472" t="s">
        <v>11424</v>
      </c>
      <c r="C6048" s="472" t="s">
        <v>90</v>
      </c>
      <c r="D6048" s="472">
        <v>42.059100000000001</v>
      </c>
      <c r="E6048" s="472" t="s">
        <v>170</v>
      </c>
      <c r="F6048" s="474"/>
    </row>
    <row r="6049" spans="1:6" s="475" customFormat="1" ht="15">
      <c r="A6049" s="472" t="s">
        <v>11425</v>
      </c>
      <c r="B6049" s="472" t="s">
        <v>11426</v>
      </c>
      <c r="C6049" s="472" t="s">
        <v>90</v>
      </c>
      <c r="D6049" s="472">
        <v>159885.33350000001</v>
      </c>
      <c r="E6049" s="472" t="s">
        <v>170</v>
      </c>
      <c r="F6049" s="474"/>
    </row>
    <row r="6050" spans="1:6" s="475" customFormat="1" ht="15">
      <c r="A6050" s="472" t="s">
        <v>11427</v>
      </c>
      <c r="B6050" s="472" t="s">
        <v>11428</v>
      </c>
      <c r="C6050" s="472" t="s">
        <v>90</v>
      </c>
      <c r="D6050" s="472">
        <v>2.2713999999999999</v>
      </c>
      <c r="E6050" s="472" t="s">
        <v>170</v>
      </c>
      <c r="F6050" s="474"/>
    </row>
    <row r="6051" spans="1:6" s="475" customFormat="1" ht="15">
      <c r="A6051" s="472" t="s">
        <v>11429</v>
      </c>
      <c r="B6051" s="472" t="s">
        <v>11430</v>
      </c>
      <c r="C6051" s="472" t="s">
        <v>5</v>
      </c>
      <c r="D6051" s="472">
        <v>1.28</v>
      </c>
      <c r="E6051" s="472" t="s">
        <v>170</v>
      </c>
      <c r="F6051" s="474"/>
    </row>
    <row r="6052" spans="1:6" s="475" customFormat="1" ht="15">
      <c r="A6052" s="472" t="s">
        <v>11431</v>
      </c>
      <c r="B6052" s="472" t="s">
        <v>11432</v>
      </c>
      <c r="C6052" s="472" t="s">
        <v>90</v>
      </c>
      <c r="D6052" s="472">
        <v>19.8217</v>
      </c>
      <c r="E6052" s="472" t="s">
        <v>170</v>
      </c>
      <c r="F6052" s="474"/>
    </row>
    <row r="6053" spans="1:6" s="475" customFormat="1" ht="15">
      <c r="A6053" s="472" t="s">
        <v>11433</v>
      </c>
      <c r="B6053" s="472" t="s">
        <v>11434</v>
      </c>
      <c r="C6053" s="472" t="s">
        <v>5</v>
      </c>
      <c r="D6053" s="472">
        <v>2.0587</v>
      </c>
      <c r="E6053" s="472" t="s">
        <v>170</v>
      </c>
      <c r="F6053" s="474"/>
    </row>
    <row r="6054" spans="1:6" s="475" customFormat="1" ht="15">
      <c r="A6054" s="472" t="s">
        <v>11435</v>
      </c>
      <c r="B6054" s="472" t="s">
        <v>11436</v>
      </c>
      <c r="C6054" s="472" t="s">
        <v>4</v>
      </c>
      <c r="D6054" s="472">
        <v>30.943999999999999</v>
      </c>
      <c r="E6054" s="472" t="s">
        <v>170</v>
      </c>
      <c r="F6054" s="474"/>
    </row>
    <row r="6055" spans="1:6" s="475" customFormat="1" ht="15">
      <c r="A6055" s="472" t="s">
        <v>11437</v>
      </c>
      <c r="B6055" s="472" t="s">
        <v>11438</v>
      </c>
      <c r="C6055" s="472" t="s">
        <v>90</v>
      </c>
      <c r="D6055" s="472">
        <v>1032.2146</v>
      </c>
      <c r="E6055" s="472" t="s">
        <v>170</v>
      </c>
      <c r="F6055" s="474"/>
    </row>
    <row r="6056" spans="1:6" s="475" customFormat="1" ht="15">
      <c r="A6056" s="472" t="s">
        <v>11439</v>
      </c>
      <c r="B6056" s="472" t="s">
        <v>11440</v>
      </c>
      <c r="C6056" s="472" t="s">
        <v>90</v>
      </c>
      <c r="D6056" s="472">
        <v>55.775700000000001</v>
      </c>
      <c r="E6056" s="472" t="s">
        <v>170</v>
      </c>
      <c r="F6056" s="474"/>
    </row>
    <row r="6057" spans="1:6" s="475" customFormat="1" ht="15">
      <c r="A6057" s="472" t="s">
        <v>11441</v>
      </c>
      <c r="B6057" s="472" t="s">
        <v>11442</v>
      </c>
      <c r="C6057" s="472" t="s">
        <v>90</v>
      </c>
      <c r="D6057" s="472">
        <v>92.346299999999999</v>
      </c>
      <c r="E6057" s="472" t="s">
        <v>170</v>
      </c>
      <c r="F6057" s="474"/>
    </row>
    <row r="6058" spans="1:6" s="475" customFormat="1" ht="15">
      <c r="A6058" s="472" t="s">
        <v>11443</v>
      </c>
      <c r="B6058" s="472" t="s">
        <v>11444</v>
      </c>
      <c r="C6058" s="472" t="s">
        <v>90</v>
      </c>
      <c r="D6058" s="472">
        <v>102.5806</v>
      </c>
      <c r="E6058" s="472" t="s">
        <v>170</v>
      </c>
      <c r="F6058" s="474"/>
    </row>
    <row r="6059" spans="1:6" s="475" customFormat="1" ht="15">
      <c r="A6059" s="472" t="s">
        <v>11445</v>
      </c>
      <c r="B6059" s="472" t="s">
        <v>11446</v>
      </c>
      <c r="C6059" s="472" t="s">
        <v>90</v>
      </c>
      <c r="D6059" s="472">
        <v>120.1</v>
      </c>
      <c r="E6059" s="472" t="s">
        <v>170</v>
      </c>
      <c r="F6059" s="474"/>
    </row>
    <row r="6060" spans="1:6" s="475" customFormat="1" ht="15">
      <c r="A6060" s="472" t="s">
        <v>11447</v>
      </c>
      <c r="B6060" s="472" t="s">
        <v>11448</v>
      </c>
      <c r="C6060" s="472" t="s">
        <v>90</v>
      </c>
      <c r="D6060" s="472">
        <v>140.2432</v>
      </c>
      <c r="E6060" s="472" t="s">
        <v>170</v>
      </c>
      <c r="F6060" s="474"/>
    </row>
    <row r="6061" spans="1:6" s="475" customFormat="1" ht="15">
      <c r="A6061" s="472" t="s">
        <v>11449</v>
      </c>
      <c r="B6061" s="472" t="s">
        <v>11450</v>
      </c>
      <c r="C6061" s="472" t="s">
        <v>4</v>
      </c>
      <c r="D6061" s="472">
        <v>11.6463</v>
      </c>
      <c r="E6061" s="472" t="s">
        <v>170</v>
      </c>
      <c r="F6061" s="474"/>
    </row>
    <row r="6062" spans="1:6" s="475" customFormat="1" ht="15">
      <c r="A6062" s="472" t="s">
        <v>11451</v>
      </c>
      <c r="B6062" s="472" t="s">
        <v>11452</v>
      </c>
      <c r="C6062" s="472" t="s">
        <v>90</v>
      </c>
      <c r="D6062" s="472">
        <v>180.1636</v>
      </c>
      <c r="E6062" s="472" t="s">
        <v>170</v>
      </c>
      <c r="F6062" s="474"/>
    </row>
    <row r="6063" spans="1:6" s="475" customFormat="1" ht="15">
      <c r="A6063" s="472" t="s">
        <v>11453</v>
      </c>
      <c r="B6063" s="472" t="s">
        <v>11454</v>
      </c>
      <c r="C6063" s="472" t="s">
        <v>4</v>
      </c>
      <c r="D6063" s="472">
        <v>16.442699999999999</v>
      </c>
      <c r="E6063" s="472" t="s">
        <v>170</v>
      </c>
      <c r="F6063" s="474"/>
    </row>
    <row r="6064" spans="1:6" s="475" customFormat="1" ht="15">
      <c r="A6064" s="472" t="s">
        <v>11455</v>
      </c>
      <c r="B6064" s="472" t="s">
        <v>11456</v>
      </c>
      <c r="C6064" s="472" t="s">
        <v>89</v>
      </c>
      <c r="D6064" s="472">
        <v>5.7911000000000001</v>
      </c>
      <c r="E6064" s="472" t="s">
        <v>170</v>
      </c>
      <c r="F6064" s="474"/>
    </row>
    <row r="6065" spans="1:6" s="475" customFormat="1" ht="15">
      <c r="A6065" s="472" t="s">
        <v>11457</v>
      </c>
      <c r="B6065" s="472" t="s">
        <v>11458</v>
      </c>
      <c r="C6065" s="472" t="s">
        <v>89</v>
      </c>
      <c r="D6065" s="472">
        <v>5.7794999999999996</v>
      </c>
      <c r="E6065" s="472" t="s">
        <v>170</v>
      </c>
      <c r="F6065" s="474"/>
    </row>
    <row r="6066" spans="1:6" s="475" customFormat="1" ht="15">
      <c r="A6066" s="472" t="s">
        <v>11459</v>
      </c>
      <c r="B6066" s="472" t="s">
        <v>11460</v>
      </c>
      <c r="C6066" s="472" t="s">
        <v>89</v>
      </c>
      <c r="D6066" s="472">
        <v>10.724600000000001</v>
      </c>
      <c r="E6066" s="472" t="s">
        <v>170</v>
      </c>
      <c r="F6066" s="474"/>
    </row>
    <row r="6067" spans="1:6" s="475" customFormat="1" ht="15">
      <c r="A6067" s="472" t="s">
        <v>11461</v>
      </c>
      <c r="B6067" s="472" t="s">
        <v>11462</v>
      </c>
      <c r="C6067" s="472" t="s">
        <v>89</v>
      </c>
      <c r="D6067" s="472">
        <v>10.5283</v>
      </c>
      <c r="E6067" s="472" t="s">
        <v>170</v>
      </c>
      <c r="F6067" s="474"/>
    </row>
    <row r="6068" spans="1:6" s="475" customFormat="1" ht="15">
      <c r="A6068" s="472" t="s">
        <v>11463</v>
      </c>
      <c r="B6068" s="472" t="s">
        <v>11464</v>
      </c>
      <c r="C6068" s="472" t="s">
        <v>89</v>
      </c>
      <c r="D6068" s="472">
        <v>20.713000000000001</v>
      </c>
      <c r="E6068" s="472" t="s">
        <v>170</v>
      </c>
      <c r="F6068" s="474"/>
    </row>
    <row r="6069" spans="1:6" s="475" customFormat="1" ht="15">
      <c r="A6069" s="472" t="s">
        <v>11465</v>
      </c>
      <c r="B6069" s="472" t="s">
        <v>11466</v>
      </c>
      <c r="C6069" s="472" t="s">
        <v>89</v>
      </c>
      <c r="D6069" s="472">
        <v>8.76</v>
      </c>
      <c r="E6069" s="472" t="s">
        <v>170</v>
      </c>
      <c r="F6069" s="474"/>
    </row>
    <row r="6070" spans="1:6" s="475" customFormat="1" ht="15">
      <c r="A6070" s="472" t="s">
        <v>11467</v>
      </c>
      <c r="B6070" s="472" t="s">
        <v>11468</v>
      </c>
      <c r="C6070" s="472" t="s">
        <v>4</v>
      </c>
      <c r="D6070" s="472">
        <v>16.442699999999999</v>
      </c>
      <c r="E6070" s="472" t="s">
        <v>170</v>
      </c>
      <c r="F6070" s="474"/>
    </row>
    <row r="6071" spans="1:6" s="475" customFormat="1" ht="15">
      <c r="A6071" s="472" t="s">
        <v>11469</v>
      </c>
      <c r="B6071" s="472" t="s">
        <v>11470</v>
      </c>
      <c r="C6071" s="472" t="s">
        <v>89</v>
      </c>
      <c r="D6071" s="472">
        <v>6.2564000000000002</v>
      </c>
      <c r="E6071" s="472" t="s">
        <v>170</v>
      </c>
      <c r="F6071" s="474"/>
    </row>
    <row r="6072" spans="1:6" s="475" customFormat="1" ht="15">
      <c r="A6072" s="472" t="s">
        <v>11471</v>
      </c>
      <c r="B6072" s="472" t="s">
        <v>11472</v>
      </c>
      <c r="C6072" s="472" t="s">
        <v>90</v>
      </c>
      <c r="D6072" s="472">
        <v>1514.6604</v>
      </c>
      <c r="E6072" s="472" t="s">
        <v>170</v>
      </c>
      <c r="F6072" s="474"/>
    </row>
    <row r="6073" spans="1:6" s="475" customFormat="1" ht="15">
      <c r="A6073" s="472" t="s">
        <v>11473</v>
      </c>
      <c r="B6073" s="472" t="s">
        <v>11474</v>
      </c>
      <c r="C6073" s="472" t="s">
        <v>5</v>
      </c>
      <c r="D6073" s="472">
        <v>72.626199999999997</v>
      </c>
      <c r="E6073" s="472" t="s">
        <v>170</v>
      </c>
      <c r="F6073" s="474"/>
    </row>
    <row r="6074" spans="1:6" s="475" customFormat="1" ht="15">
      <c r="A6074" s="472" t="s">
        <v>11475</v>
      </c>
      <c r="B6074" s="472" t="s">
        <v>11476</v>
      </c>
      <c r="C6074" s="472" t="s">
        <v>5</v>
      </c>
      <c r="D6074" s="472">
        <v>89.655600000000007</v>
      </c>
      <c r="E6074" s="472" t="s">
        <v>170</v>
      </c>
      <c r="F6074" s="474"/>
    </row>
    <row r="6075" spans="1:6" s="475" customFormat="1" ht="15">
      <c r="A6075" s="472" t="s">
        <v>11477</v>
      </c>
      <c r="B6075" s="472" t="s">
        <v>11478</v>
      </c>
      <c r="C6075" s="472" t="s">
        <v>5</v>
      </c>
      <c r="D6075" s="472">
        <v>107.26430000000001</v>
      </c>
      <c r="E6075" s="472" t="s">
        <v>170</v>
      </c>
      <c r="F6075" s="474"/>
    </row>
    <row r="6076" spans="1:6" s="475" customFormat="1" ht="15">
      <c r="A6076" s="472" t="s">
        <v>11479</v>
      </c>
      <c r="B6076" s="472" t="s">
        <v>11480</v>
      </c>
      <c r="C6076" s="472" t="s">
        <v>10227</v>
      </c>
      <c r="D6076" s="472">
        <v>3.1173000000000002</v>
      </c>
      <c r="E6076" s="472" t="s">
        <v>170</v>
      </c>
      <c r="F6076" s="474"/>
    </row>
    <row r="6077" spans="1:6" s="475" customFormat="1" ht="15">
      <c r="A6077" s="472" t="s">
        <v>11481</v>
      </c>
      <c r="B6077" s="472" t="s">
        <v>11482</v>
      </c>
      <c r="C6077" s="472" t="s">
        <v>10227</v>
      </c>
      <c r="D6077" s="472">
        <v>5.4391999999999996</v>
      </c>
      <c r="E6077" s="472" t="s">
        <v>170</v>
      </c>
      <c r="F6077" s="474"/>
    </row>
    <row r="6078" spans="1:6" s="475" customFormat="1" ht="15">
      <c r="A6078" s="472" t="s">
        <v>11483</v>
      </c>
      <c r="B6078" s="472" t="s">
        <v>11484</v>
      </c>
      <c r="C6078" s="472" t="s">
        <v>5</v>
      </c>
      <c r="D6078" s="472">
        <v>153.9736</v>
      </c>
      <c r="E6078" s="472" t="s">
        <v>170</v>
      </c>
      <c r="F6078" s="474"/>
    </row>
    <row r="6079" spans="1:6" s="475" customFormat="1" ht="15">
      <c r="A6079" s="472" t="s">
        <v>11485</v>
      </c>
      <c r="B6079" s="472" t="s">
        <v>11486</v>
      </c>
      <c r="C6079" s="472" t="s">
        <v>5</v>
      </c>
      <c r="D6079" s="472">
        <v>181.54499999999999</v>
      </c>
      <c r="E6079" s="472" t="s">
        <v>170</v>
      </c>
      <c r="F6079" s="474"/>
    </row>
    <row r="6080" spans="1:6" s="475" customFormat="1" ht="15">
      <c r="A6080" s="472" t="s">
        <v>11487</v>
      </c>
      <c r="B6080" s="472" t="s">
        <v>11488</v>
      </c>
      <c r="C6080" s="472" t="s">
        <v>5</v>
      </c>
      <c r="D6080" s="472">
        <v>62.790500000000002</v>
      </c>
      <c r="E6080" s="472" t="s">
        <v>170</v>
      </c>
      <c r="F6080" s="474"/>
    </row>
    <row r="6081" spans="1:6" s="475" customFormat="1" ht="15">
      <c r="A6081" s="472" t="s">
        <v>11489</v>
      </c>
      <c r="B6081" s="472" t="s">
        <v>11490</v>
      </c>
      <c r="C6081" s="472" t="s">
        <v>5</v>
      </c>
      <c r="D6081" s="472">
        <v>70.231300000000005</v>
      </c>
      <c r="E6081" s="472" t="s">
        <v>170</v>
      </c>
      <c r="F6081" s="474"/>
    </row>
    <row r="6082" spans="1:6" s="475" customFormat="1" ht="15">
      <c r="A6082" s="472" t="s">
        <v>11491</v>
      </c>
      <c r="B6082" s="472" t="s">
        <v>11492</v>
      </c>
      <c r="C6082" s="472" t="s">
        <v>5</v>
      </c>
      <c r="D6082" s="472">
        <v>122.4192</v>
      </c>
      <c r="E6082" s="472" t="s">
        <v>170</v>
      </c>
      <c r="F6082" s="474"/>
    </row>
    <row r="6083" spans="1:6" s="475" customFormat="1" ht="15">
      <c r="A6083" s="472" t="s">
        <v>11493</v>
      </c>
      <c r="B6083" s="472" t="s">
        <v>11494</v>
      </c>
      <c r="C6083" s="472" t="s">
        <v>5</v>
      </c>
      <c r="D6083" s="472">
        <v>140.07990000000001</v>
      </c>
      <c r="E6083" s="472" t="s">
        <v>170</v>
      </c>
      <c r="F6083" s="474"/>
    </row>
    <row r="6084" spans="1:6" s="475" customFormat="1" ht="15">
      <c r="A6084" s="472" t="s">
        <v>11495</v>
      </c>
      <c r="B6084" s="472" t="s">
        <v>11496</v>
      </c>
      <c r="C6084" s="472" t="s">
        <v>5</v>
      </c>
      <c r="D6084" s="472">
        <v>161.2319</v>
      </c>
      <c r="E6084" s="472" t="s">
        <v>170</v>
      </c>
      <c r="F6084" s="474"/>
    </row>
    <row r="6085" spans="1:6" s="475" customFormat="1" ht="15">
      <c r="A6085" s="472" t="s">
        <v>11497</v>
      </c>
      <c r="B6085" s="472" t="s">
        <v>11498</v>
      </c>
      <c r="C6085" s="472" t="s">
        <v>5</v>
      </c>
      <c r="D6085" s="472">
        <v>180.09809999999999</v>
      </c>
      <c r="E6085" s="472" t="s">
        <v>170</v>
      </c>
      <c r="F6085" s="474"/>
    </row>
    <row r="6086" spans="1:6" s="475" customFormat="1" ht="15">
      <c r="A6086" s="472" t="s">
        <v>11499</v>
      </c>
      <c r="B6086" s="472" t="s">
        <v>11500</v>
      </c>
      <c r="C6086" s="472" t="s">
        <v>90</v>
      </c>
      <c r="D6086" s="472">
        <v>166510.14840000001</v>
      </c>
      <c r="E6086" s="472" t="s">
        <v>170</v>
      </c>
      <c r="F6086" s="474"/>
    </row>
    <row r="6087" spans="1:6" s="475" customFormat="1" ht="15">
      <c r="A6087" s="472" t="s">
        <v>11501</v>
      </c>
      <c r="B6087" s="472" t="s">
        <v>11502</v>
      </c>
      <c r="C6087" s="472" t="s">
        <v>90</v>
      </c>
      <c r="D6087" s="472">
        <v>175577.2684</v>
      </c>
      <c r="E6087" s="472" t="s">
        <v>170</v>
      </c>
      <c r="F6087" s="474"/>
    </row>
    <row r="6088" spans="1:6" s="475" customFormat="1" ht="15">
      <c r="A6088" s="472" t="s">
        <v>11503</v>
      </c>
      <c r="B6088" s="472" t="s">
        <v>11504</v>
      </c>
      <c r="C6088" s="472" t="s">
        <v>90</v>
      </c>
      <c r="D6088" s="472">
        <v>534.60140000000001</v>
      </c>
      <c r="E6088" s="472" t="s">
        <v>170</v>
      </c>
      <c r="F6088" s="474"/>
    </row>
    <row r="6089" spans="1:6" s="475" customFormat="1" ht="15">
      <c r="A6089" s="472" t="s">
        <v>11505</v>
      </c>
      <c r="B6089" s="472" t="s">
        <v>11506</v>
      </c>
      <c r="C6089" s="472" t="s">
        <v>5</v>
      </c>
      <c r="D6089" s="472">
        <v>226.47210000000001</v>
      </c>
      <c r="E6089" s="472" t="s">
        <v>170</v>
      </c>
      <c r="F6089" s="474"/>
    </row>
    <row r="6090" spans="1:6" s="475" customFormat="1" ht="15">
      <c r="A6090" s="472" t="s">
        <v>11507</v>
      </c>
      <c r="B6090" s="472" t="s">
        <v>11508</v>
      </c>
      <c r="C6090" s="472" t="s">
        <v>10227</v>
      </c>
      <c r="D6090" s="472">
        <v>100.76779999999999</v>
      </c>
      <c r="E6090" s="472" t="s">
        <v>170</v>
      </c>
      <c r="F6090" s="474"/>
    </row>
    <row r="6091" spans="1:6" s="475" customFormat="1" ht="15">
      <c r="A6091" s="472" t="s">
        <v>11509</v>
      </c>
      <c r="B6091" s="472" t="s">
        <v>11510</v>
      </c>
      <c r="C6091" s="472" t="s">
        <v>90</v>
      </c>
      <c r="D6091" s="472">
        <v>1224.8309999999999</v>
      </c>
      <c r="E6091" s="472" t="s">
        <v>170</v>
      </c>
      <c r="F6091" s="474"/>
    </row>
    <row r="6092" spans="1:6" s="475" customFormat="1" ht="15">
      <c r="A6092" s="472" t="s">
        <v>11511</v>
      </c>
      <c r="B6092" s="472" t="s">
        <v>11512</v>
      </c>
      <c r="C6092" s="472" t="s">
        <v>90</v>
      </c>
      <c r="D6092" s="472">
        <v>220.2192</v>
      </c>
      <c r="E6092" s="472" t="s">
        <v>170</v>
      </c>
      <c r="F6092" s="474"/>
    </row>
    <row r="6093" spans="1:6" s="475" customFormat="1" ht="15">
      <c r="A6093" s="472" t="s">
        <v>11513</v>
      </c>
      <c r="B6093" s="472" t="s">
        <v>11514</v>
      </c>
      <c r="C6093" s="472" t="s">
        <v>90</v>
      </c>
      <c r="D6093" s="472">
        <v>997.60640000000001</v>
      </c>
      <c r="E6093" s="472" t="s">
        <v>170</v>
      </c>
      <c r="F6093" s="474"/>
    </row>
    <row r="6094" spans="1:6" s="475" customFormat="1" ht="15">
      <c r="A6094" s="472" t="s">
        <v>11515</v>
      </c>
      <c r="B6094" s="472" t="s">
        <v>11516</v>
      </c>
      <c r="C6094" s="472" t="s">
        <v>5</v>
      </c>
      <c r="D6094" s="472">
        <v>275.40030000000002</v>
      </c>
      <c r="E6094" s="472" t="s">
        <v>170</v>
      </c>
      <c r="F6094" s="474"/>
    </row>
    <row r="6095" spans="1:6" s="475" customFormat="1" ht="15">
      <c r="A6095" s="472" t="s">
        <v>11517</v>
      </c>
      <c r="B6095" s="472" t="s">
        <v>11518</v>
      </c>
      <c r="C6095" s="472" t="s">
        <v>90</v>
      </c>
      <c r="D6095" s="472">
        <v>1627.4934000000001</v>
      </c>
      <c r="E6095" s="472" t="s">
        <v>170</v>
      </c>
      <c r="F6095" s="474"/>
    </row>
    <row r="6096" spans="1:6" s="475" customFormat="1" ht="15">
      <c r="A6096" s="472" t="s">
        <v>11519</v>
      </c>
      <c r="B6096" s="472" t="s">
        <v>11520</v>
      </c>
      <c r="C6096" s="472" t="s">
        <v>90</v>
      </c>
      <c r="D6096" s="472">
        <v>474.89690000000002</v>
      </c>
      <c r="E6096" s="472" t="s">
        <v>170</v>
      </c>
      <c r="F6096" s="474"/>
    </row>
    <row r="6097" spans="1:6" s="475" customFormat="1" ht="15">
      <c r="A6097" s="472" t="s">
        <v>11521</v>
      </c>
      <c r="B6097" s="472" t="s">
        <v>11522</v>
      </c>
      <c r="C6097" s="472" t="s">
        <v>90</v>
      </c>
      <c r="D6097" s="472">
        <v>217.42449999999999</v>
      </c>
      <c r="E6097" s="472" t="s">
        <v>170</v>
      </c>
      <c r="F6097" s="474"/>
    </row>
    <row r="6098" spans="1:6" s="475" customFormat="1" ht="15">
      <c r="A6098" s="472" t="s">
        <v>11523</v>
      </c>
      <c r="B6098" s="472" t="s">
        <v>11524</v>
      </c>
      <c r="C6098" s="472" t="s">
        <v>90</v>
      </c>
      <c r="D6098" s="472">
        <v>1158.4486999999999</v>
      </c>
      <c r="E6098" s="472" t="s">
        <v>170</v>
      </c>
      <c r="F6098" s="474"/>
    </row>
    <row r="6099" spans="1:6" s="475" customFormat="1" ht="15">
      <c r="A6099" s="472" t="s">
        <v>11525</v>
      </c>
      <c r="B6099" s="472" t="s">
        <v>11526</v>
      </c>
      <c r="C6099" s="472" t="s">
        <v>90</v>
      </c>
      <c r="D6099" s="472">
        <v>2305.9277000000002</v>
      </c>
      <c r="E6099" s="472" t="s">
        <v>170</v>
      </c>
      <c r="F6099" s="474"/>
    </row>
    <row r="6100" spans="1:6" s="475" customFormat="1" ht="15">
      <c r="A6100" s="472" t="s">
        <v>11527</v>
      </c>
      <c r="B6100" s="472" t="s">
        <v>11528</v>
      </c>
      <c r="C6100" s="472" t="s">
        <v>90</v>
      </c>
      <c r="D6100" s="472">
        <v>2190.5826999999999</v>
      </c>
      <c r="E6100" s="472" t="s">
        <v>170</v>
      </c>
      <c r="F6100" s="474"/>
    </row>
    <row r="6101" spans="1:6" s="475" customFormat="1" ht="15">
      <c r="A6101" s="472" t="s">
        <v>11529</v>
      </c>
      <c r="B6101" s="472" t="s">
        <v>11530</v>
      </c>
      <c r="C6101" s="472" t="s">
        <v>5</v>
      </c>
      <c r="D6101" s="472">
        <v>6.88E-2</v>
      </c>
      <c r="E6101" s="472" t="s">
        <v>170</v>
      </c>
      <c r="F6101" s="474"/>
    </row>
    <row r="6102" spans="1:6" s="475" customFormat="1" ht="15">
      <c r="A6102" s="472" t="s">
        <v>11531</v>
      </c>
      <c r="B6102" s="472" t="s">
        <v>11532</v>
      </c>
      <c r="C6102" s="472" t="s">
        <v>90</v>
      </c>
      <c r="D6102" s="472">
        <v>10.5075</v>
      </c>
      <c r="E6102" s="472" t="s">
        <v>170</v>
      </c>
      <c r="F6102" s="474"/>
    </row>
    <row r="6103" spans="1:6" s="475" customFormat="1" ht="15">
      <c r="A6103" s="472" t="s">
        <v>11533</v>
      </c>
      <c r="B6103" s="472" t="s">
        <v>11534</v>
      </c>
      <c r="C6103" s="472" t="s">
        <v>90</v>
      </c>
      <c r="D6103" s="472">
        <v>12.3024</v>
      </c>
      <c r="E6103" s="472" t="s">
        <v>170</v>
      </c>
      <c r="F6103" s="474"/>
    </row>
    <row r="6104" spans="1:6" s="475" customFormat="1" ht="15">
      <c r="A6104" s="472" t="s">
        <v>11535</v>
      </c>
      <c r="B6104" s="472" t="s">
        <v>11536</v>
      </c>
      <c r="C6104" s="472" t="s">
        <v>90</v>
      </c>
      <c r="D6104" s="472">
        <v>27.5761</v>
      </c>
      <c r="E6104" s="472" t="s">
        <v>170</v>
      </c>
      <c r="F6104" s="474"/>
    </row>
    <row r="6105" spans="1:6" s="475" customFormat="1" ht="15">
      <c r="A6105" s="472" t="s">
        <v>11537</v>
      </c>
      <c r="B6105" s="472" t="s">
        <v>11538</v>
      </c>
      <c r="C6105" s="472" t="s">
        <v>90</v>
      </c>
      <c r="D6105" s="472">
        <v>28.5808</v>
      </c>
      <c r="E6105" s="472" t="s">
        <v>170</v>
      </c>
      <c r="F6105" s="474"/>
    </row>
    <row r="6106" spans="1:6" s="475" customFormat="1" ht="15">
      <c r="A6106" s="472" t="s">
        <v>11539</v>
      </c>
      <c r="B6106" s="472" t="s">
        <v>11540</v>
      </c>
      <c r="C6106" s="472" t="s">
        <v>3495</v>
      </c>
      <c r="D6106" s="472" t="s">
        <v>191</v>
      </c>
      <c r="E6106" s="472" t="s">
        <v>170</v>
      </c>
      <c r="F6106" s="474"/>
    </row>
    <row r="6107" spans="1:6" s="475" customFormat="1" ht="15">
      <c r="A6107" s="472" t="s">
        <v>11541</v>
      </c>
      <c r="B6107" s="472" t="s">
        <v>11542</v>
      </c>
      <c r="C6107" s="472" t="s">
        <v>10075</v>
      </c>
      <c r="D6107" s="472" t="s">
        <v>191</v>
      </c>
      <c r="E6107" s="472" t="s">
        <v>170</v>
      </c>
      <c r="F6107" s="474"/>
    </row>
    <row r="6108" spans="1:6" s="475" customFormat="1" ht="15">
      <c r="A6108" s="472" t="s">
        <v>11543</v>
      </c>
      <c r="B6108" s="472" t="s">
        <v>11544</v>
      </c>
      <c r="C6108" s="472" t="s">
        <v>3495</v>
      </c>
      <c r="D6108" s="472" t="s">
        <v>191</v>
      </c>
      <c r="E6108" s="472" t="s">
        <v>170</v>
      </c>
      <c r="F6108" s="474"/>
    </row>
    <row r="6109" spans="1:6" s="475" customFormat="1" ht="15">
      <c r="A6109" s="472" t="s">
        <v>11545</v>
      </c>
      <c r="B6109" s="472" t="s">
        <v>11546</v>
      </c>
      <c r="C6109" s="472" t="s">
        <v>89</v>
      </c>
      <c r="D6109" s="472">
        <v>10.321400000000001</v>
      </c>
      <c r="E6109" s="472" t="s">
        <v>170</v>
      </c>
      <c r="F6109" s="474"/>
    </row>
    <row r="6110" spans="1:6" s="475" customFormat="1" ht="15">
      <c r="A6110" s="472" t="s">
        <v>11547</v>
      </c>
      <c r="B6110" s="472" t="s">
        <v>11548</v>
      </c>
      <c r="C6110" s="472" t="s">
        <v>90</v>
      </c>
      <c r="D6110" s="472">
        <v>12948.9051</v>
      </c>
      <c r="E6110" s="472" t="s">
        <v>170</v>
      </c>
      <c r="F6110" s="474"/>
    </row>
    <row r="6111" spans="1:6" s="475" customFormat="1" ht="15">
      <c r="A6111" s="472" t="s">
        <v>11549</v>
      </c>
      <c r="B6111" s="472" t="s">
        <v>11550</v>
      </c>
      <c r="C6111" s="472" t="s">
        <v>90</v>
      </c>
      <c r="D6111" s="472">
        <v>15431.5954</v>
      </c>
      <c r="E6111" s="472" t="s">
        <v>170</v>
      </c>
      <c r="F6111" s="474"/>
    </row>
    <row r="6112" spans="1:6" s="475" customFormat="1" ht="15">
      <c r="A6112" s="472" t="s">
        <v>11551</v>
      </c>
      <c r="B6112" s="472" t="s">
        <v>11552</v>
      </c>
      <c r="C6112" s="472" t="s">
        <v>90</v>
      </c>
      <c r="D6112" s="472">
        <v>11752.590099999999</v>
      </c>
      <c r="E6112" s="472" t="s">
        <v>170</v>
      </c>
      <c r="F6112" s="474"/>
    </row>
    <row r="6113" spans="1:6" s="475" customFormat="1" ht="15">
      <c r="A6113" s="472" t="s">
        <v>11553</v>
      </c>
      <c r="B6113" s="472" t="s">
        <v>11554</v>
      </c>
      <c r="C6113" s="472" t="s">
        <v>90</v>
      </c>
      <c r="D6113" s="472">
        <v>12554.073899999999</v>
      </c>
      <c r="E6113" s="472" t="s">
        <v>170</v>
      </c>
      <c r="F6113" s="474"/>
    </row>
    <row r="6114" spans="1:6" s="475" customFormat="1" ht="15">
      <c r="A6114" s="472" t="s">
        <v>11555</v>
      </c>
      <c r="B6114" s="472" t="s">
        <v>11556</v>
      </c>
      <c r="C6114" s="472" t="s">
        <v>90</v>
      </c>
      <c r="D6114" s="472">
        <v>3318.5659999999998</v>
      </c>
      <c r="E6114" s="472" t="s">
        <v>170</v>
      </c>
      <c r="F6114" s="474"/>
    </row>
    <row r="6115" spans="1:6" s="475" customFormat="1" ht="15">
      <c r="A6115" s="472" t="s">
        <v>11557</v>
      </c>
      <c r="B6115" s="472" t="s">
        <v>11558</v>
      </c>
      <c r="C6115" s="472" t="s">
        <v>90</v>
      </c>
      <c r="D6115" s="472">
        <v>2448.5455000000002</v>
      </c>
      <c r="E6115" s="472" t="s">
        <v>170</v>
      </c>
      <c r="F6115" s="474"/>
    </row>
    <row r="6116" spans="1:6" s="475" customFormat="1" ht="15">
      <c r="A6116" s="472" t="s">
        <v>11559</v>
      </c>
      <c r="B6116" s="472" t="s">
        <v>11560</v>
      </c>
      <c r="C6116" s="472" t="s">
        <v>5</v>
      </c>
      <c r="D6116" s="472">
        <v>34.227200000000003</v>
      </c>
      <c r="E6116" s="472" t="s">
        <v>170</v>
      </c>
      <c r="F6116" s="474"/>
    </row>
    <row r="6117" spans="1:6" s="475" customFormat="1" ht="15">
      <c r="A6117" s="472" t="s">
        <v>11561</v>
      </c>
      <c r="B6117" s="472" t="s">
        <v>11562</v>
      </c>
      <c r="C6117" s="472" t="s">
        <v>5</v>
      </c>
      <c r="D6117" s="472">
        <v>228.03</v>
      </c>
      <c r="E6117" s="472" t="s">
        <v>170</v>
      </c>
      <c r="F6117" s="474"/>
    </row>
    <row r="6118" spans="1:6" s="475" customFormat="1" ht="15">
      <c r="A6118" s="472" t="s">
        <v>11563</v>
      </c>
      <c r="B6118" s="472" t="s">
        <v>11564</v>
      </c>
      <c r="C6118" s="472" t="s">
        <v>90</v>
      </c>
      <c r="D6118" s="472">
        <v>51.570399999999999</v>
      </c>
      <c r="E6118" s="472" t="s">
        <v>170</v>
      </c>
      <c r="F6118" s="474"/>
    </row>
    <row r="6119" spans="1:6" s="475" customFormat="1" ht="15">
      <c r="A6119" s="472" t="s">
        <v>11565</v>
      </c>
      <c r="B6119" s="472" t="s">
        <v>11566</v>
      </c>
      <c r="C6119" s="472" t="s">
        <v>4</v>
      </c>
      <c r="D6119" s="472">
        <v>23.171399999999998</v>
      </c>
      <c r="E6119" s="472" t="s">
        <v>170</v>
      </c>
      <c r="F6119" s="474"/>
    </row>
    <row r="6120" spans="1:6" s="475" customFormat="1" ht="15">
      <c r="A6120" s="472" t="s">
        <v>11567</v>
      </c>
      <c r="B6120" s="472" t="s">
        <v>11568</v>
      </c>
      <c r="C6120" s="472" t="s">
        <v>89</v>
      </c>
      <c r="D6120" s="472">
        <v>22.707100000000001</v>
      </c>
      <c r="E6120" s="472" t="s">
        <v>170</v>
      </c>
      <c r="F6120" s="474"/>
    </row>
    <row r="6121" spans="1:6" s="475" customFormat="1" ht="15">
      <c r="A6121" s="472" t="s">
        <v>11569</v>
      </c>
      <c r="B6121" s="472" t="s">
        <v>11570</v>
      </c>
      <c r="C6121" s="472" t="s">
        <v>90</v>
      </c>
      <c r="D6121" s="472">
        <v>15.0342</v>
      </c>
      <c r="E6121" s="472" t="s">
        <v>170</v>
      </c>
      <c r="F6121" s="474"/>
    </row>
    <row r="6122" spans="1:6" s="475" customFormat="1" ht="15">
      <c r="A6122" s="472" t="s">
        <v>11571</v>
      </c>
      <c r="B6122" s="472" t="s">
        <v>11572</v>
      </c>
      <c r="C6122" s="472" t="s">
        <v>5</v>
      </c>
      <c r="D6122" s="472">
        <v>9.4915000000000003</v>
      </c>
      <c r="E6122" s="472" t="s">
        <v>170</v>
      </c>
      <c r="F6122" s="474"/>
    </row>
    <row r="6123" spans="1:6" s="475" customFormat="1" ht="15">
      <c r="A6123" s="472" t="s">
        <v>11573</v>
      </c>
      <c r="B6123" s="472" t="s">
        <v>11574</v>
      </c>
      <c r="C6123" s="472" t="s">
        <v>90</v>
      </c>
      <c r="D6123" s="472">
        <v>14.7834</v>
      </c>
      <c r="E6123" s="472" t="s">
        <v>170</v>
      </c>
      <c r="F6123" s="474"/>
    </row>
    <row r="6124" spans="1:6" s="475" customFormat="1" ht="15">
      <c r="A6124" s="472" t="s">
        <v>11575</v>
      </c>
      <c r="B6124" s="472" t="s">
        <v>11576</v>
      </c>
      <c r="C6124" s="472" t="s">
        <v>90</v>
      </c>
      <c r="D6124" s="472">
        <v>330.40050000000002</v>
      </c>
      <c r="E6124" s="472" t="s">
        <v>170</v>
      </c>
      <c r="F6124" s="474"/>
    </row>
    <row r="6125" spans="1:6" s="475" customFormat="1" ht="15">
      <c r="A6125" s="472" t="s">
        <v>11577</v>
      </c>
      <c r="B6125" s="472" t="s">
        <v>11578</v>
      </c>
      <c r="C6125" s="472" t="s">
        <v>90</v>
      </c>
      <c r="D6125" s="472">
        <v>607.98260000000005</v>
      </c>
      <c r="E6125" s="472" t="s">
        <v>170</v>
      </c>
      <c r="F6125" s="474"/>
    </row>
    <row r="6126" spans="1:6" s="475" customFormat="1" ht="15">
      <c r="A6126" s="472" t="s">
        <v>11579</v>
      </c>
      <c r="B6126" s="472" t="s">
        <v>11580</v>
      </c>
      <c r="C6126" s="472" t="s">
        <v>90</v>
      </c>
      <c r="D6126" s="472">
        <v>11.2897</v>
      </c>
      <c r="E6126" s="472" t="s">
        <v>170</v>
      </c>
      <c r="F6126" s="474"/>
    </row>
    <row r="6127" spans="1:6" s="475" customFormat="1" ht="15">
      <c r="A6127" s="472" t="s">
        <v>11581</v>
      </c>
      <c r="B6127" s="472" t="s">
        <v>11582</v>
      </c>
      <c r="C6127" s="472" t="s">
        <v>90</v>
      </c>
      <c r="D6127" s="472">
        <v>12.63</v>
      </c>
      <c r="E6127" s="472" t="s">
        <v>170</v>
      </c>
      <c r="F6127" s="474"/>
    </row>
    <row r="6128" spans="1:6" s="475" customFormat="1" ht="15">
      <c r="A6128" s="472" t="s">
        <v>11583</v>
      </c>
      <c r="B6128" s="472" t="s">
        <v>11584</v>
      </c>
      <c r="C6128" s="472" t="s">
        <v>90</v>
      </c>
      <c r="D6128" s="472">
        <v>10.3352</v>
      </c>
      <c r="E6128" s="472" t="s">
        <v>170</v>
      </c>
      <c r="F6128" s="474"/>
    </row>
    <row r="6129" spans="1:6" s="475" customFormat="1" ht="15">
      <c r="A6129" s="472" t="s">
        <v>11585</v>
      </c>
      <c r="B6129" s="472" t="s">
        <v>11586</v>
      </c>
      <c r="C6129" s="472" t="s">
        <v>90</v>
      </c>
      <c r="D6129" s="472">
        <v>12.495799999999999</v>
      </c>
      <c r="E6129" s="472" t="s">
        <v>170</v>
      </c>
      <c r="F6129" s="474"/>
    </row>
    <row r="6130" spans="1:6" s="475" customFormat="1" ht="15">
      <c r="A6130" s="472" t="s">
        <v>11587</v>
      </c>
      <c r="B6130" s="472" t="s">
        <v>11588</v>
      </c>
      <c r="C6130" s="472" t="s">
        <v>90</v>
      </c>
      <c r="D6130" s="472">
        <v>545.62070000000006</v>
      </c>
      <c r="E6130" s="472" t="s">
        <v>170</v>
      </c>
      <c r="F6130" s="474"/>
    </row>
    <row r="6131" spans="1:6" s="475" customFormat="1" ht="15">
      <c r="A6131" s="472" t="s">
        <v>11589</v>
      </c>
      <c r="B6131" s="472" t="s">
        <v>11590</v>
      </c>
      <c r="C6131" s="472" t="s">
        <v>90</v>
      </c>
      <c r="D6131" s="472">
        <v>148.80269999999999</v>
      </c>
      <c r="E6131" s="472" t="s">
        <v>170</v>
      </c>
      <c r="F6131" s="474"/>
    </row>
    <row r="6132" spans="1:6" s="475" customFormat="1" ht="15">
      <c r="A6132" s="472" t="s">
        <v>11591</v>
      </c>
      <c r="B6132" s="472" t="s">
        <v>11592</v>
      </c>
      <c r="C6132" s="472" t="s">
        <v>90</v>
      </c>
      <c r="D6132" s="472">
        <v>34.486499999999999</v>
      </c>
      <c r="E6132" s="472" t="s">
        <v>170</v>
      </c>
      <c r="F6132" s="474"/>
    </row>
    <row r="6133" spans="1:6" s="475" customFormat="1" ht="15">
      <c r="A6133" s="472" t="s">
        <v>11593</v>
      </c>
      <c r="B6133" s="472" t="s">
        <v>11594</v>
      </c>
      <c r="C6133" s="472" t="s">
        <v>90</v>
      </c>
      <c r="D6133" s="472">
        <v>282.81009999999998</v>
      </c>
      <c r="E6133" s="472" t="s">
        <v>170</v>
      </c>
      <c r="F6133" s="474"/>
    </row>
    <row r="6134" spans="1:6" s="475" customFormat="1" ht="15">
      <c r="A6134" s="472" t="s">
        <v>11595</v>
      </c>
      <c r="B6134" s="472" t="s">
        <v>11596</v>
      </c>
      <c r="C6134" s="472" t="s">
        <v>90</v>
      </c>
      <c r="D6134" s="472">
        <v>1540.2189000000001</v>
      </c>
      <c r="E6134" s="472" t="s">
        <v>170</v>
      </c>
      <c r="F6134" s="474"/>
    </row>
    <row r="6135" spans="1:6" s="475" customFormat="1" ht="15">
      <c r="A6135" s="472" t="s">
        <v>11597</v>
      </c>
      <c r="B6135" s="472" t="s">
        <v>11598</v>
      </c>
      <c r="C6135" s="472" t="s">
        <v>89</v>
      </c>
      <c r="D6135" s="472">
        <v>39.746200000000002</v>
      </c>
      <c r="E6135" s="472" t="s">
        <v>170</v>
      </c>
      <c r="F6135" s="474"/>
    </row>
    <row r="6136" spans="1:6" s="475" customFormat="1" ht="15">
      <c r="A6136" s="472" t="s">
        <v>11599</v>
      </c>
      <c r="B6136" s="472" t="s">
        <v>11600</v>
      </c>
      <c r="C6136" s="472" t="s">
        <v>89</v>
      </c>
      <c r="D6136" s="472">
        <v>8.7047000000000008</v>
      </c>
      <c r="E6136" s="472" t="s">
        <v>170</v>
      </c>
      <c r="F6136" s="474"/>
    </row>
    <row r="6137" spans="1:6" s="475" customFormat="1" ht="15">
      <c r="A6137" s="472" t="s">
        <v>11601</v>
      </c>
      <c r="B6137" s="472" t="s">
        <v>11602</v>
      </c>
      <c r="C6137" s="472" t="s">
        <v>90</v>
      </c>
      <c r="D6137" s="472">
        <v>1257.9387999999999</v>
      </c>
      <c r="E6137" s="472" t="s">
        <v>170</v>
      </c>
      <c r="F6137" s="474"/>
    </row>
    <row r="6138" spans="1:6" s="475" customFormat="1" ht="15">
      <c r="A6138" s="472" t="s">
        <v>11603</v>
      </c>
      <c r="B6138" s="472" t="s">
        <v>11604</v>
      </c>
      <c r="C6138" s="472" t="s">
        <v>10227</v>
      </c>
      <c r="D6138" s="472">
        <v>3.1787999999999998</v>
      </c>
      <c r="E6138" s="472" t="s">
        <v>170</v>
      </c>
      <c r="F6138" s="474"/>
    </row>
    <row r="6139" spans="1:6" s="475" customFormat="1" ht="15">
      <c r="A6139" s="472" t="s">
        <v>11605</v>
      </c>
      <c r="B6139" s="472" t="s">
        <v>11606</v>
      </c>
      <c r="C6139" s="472" t="s">
        <v>90</v>
      </c>
      <c r="D6139" s="472">
        <v>1069.8027999999999</v>
      </c>
      <c r="E6139" s="472" t="s">
        <v>170</v>
      </c>
      <c r="F6139" s="474"/>
    </row>
    <row r="6140" spans="1:6" s="475" customFormat="1" ht="15">
      <c r="A6140" s="472" t="s">
        <v>11607</v>
      </c>
      <c r="B6140" s="472" t="s">
        <v>11608</v>
      </c>
      <c r="C6140" s="472" t="s">
        <v>89</v>
      </c>
      <c r="D6140" s="472">
        <v>14.5769</v>
      </c>
      <c r="E6140" s="472" t="s">
        <v>170</v>
      </c>
      <c r="F6140" s="474"/>
    </row>
    <row r="6141" spans="1:6" s="475" customFormat="1" ht="15">
      <c r="A6141" s="472" t="s">
        <v>11609</v>
      </c>
      <c r="B6141" s="472" t="s">
        <v>11610</v>
      </c>
      <c r="C6141" s="472" t="s">
        <v>5</v>
      </c>
      <c r="D6141" s="472">
        <v>40.805</v>
      </c>
      <c r="E6141" s="472" t="s">
        <v>170</v>
      </c>
      <c r="F6141" s="474"/>
    </row>
    <row r="6142" spans="1:6" s="475" customFormat="1" ht="15">
      <c r="A6142" s="472" t="s">
        <v>11611</v>
      </c>
      <c r="B6142" s="472" t="s">
        <v>11612</v>
      </c>
      <c r="C6142" s="472" t="s">
        <v>5</v>
      </c>
      <c r="D6142" s="472">
        <v>10.837999999999999</v>
      </c>
      <c r="E6142" s="472" t="s">
        <v>170</v>
      </c>
      <c r="F6142" s="474"/>
    </row>
    <row r="6143" spans="1:6" s="475" customFormat="1" ht="15">
      <c r="A6143" s="472" t="s">
        <v>11613</v>
      </c>
      <c r="B6143" s="472" t="s">
        <v>11614</v>
      </c>
      <c r="C6143" s="472" t="s">
        <v>90</v>
      </c>
      <c r="D6143" s="472">
        <v>259.43900000000002</v>
      </c>
      <c r="E6143" s="472" t="s">
        <v>170</v>
      </c>
      <c r="F6143" s="474"/>
    </row>
    <row r="6144" spans="1:6" s="475" customFormat="1" ht="15">
      <c r="A6144" s="472" t="s">
        <v>11615</v>
      </c>
      <c r="B6144" s="472" t="s">
        <v>11616</v>
      </c>
      <c r="C6144" s="472" t="s">
        <v>5</v>
      </c>
      <c r="D6144" s="472">
        <v>80.144999999999996</v>
      </c>
      <c r="E6144" s="472" t="s">
        <v>170</v>
      </c>
      <c r="F6144" s="474"/>
    </row>
    <row r="6145" spans="1:6" s="475" customFormat="1" ht="15">
      <c r="A6145" s="472" t="s">
        <v>11617</v>
      </c>
      <c r="B6145" s="472" t="s">
        <v>11618</v>
      </c>
      <c r="C6145" s="472" t="s">
        <v>5</v>
      </c>
      <c r="D6145" s="472">
        <v>97.13</v>
      </c>
      <c r="E6145" s="472" t="s">
        <v>170</v>
      </c>
      <c r="F6145" s="474"/>
    </row>
    <row r="6146" spans="1:6" s="475" customFormat="1" ht="15">
      <c r="A6146" s="472" t="s">
        <v>11619</v>
      </c>
      <c r="B6146" s="472" t="s">
        <v>11620</v>
      </c>
      <c r="C6146" s="472" t="s">
        <v>5</v>
      </c>
      <c r="D6146" s="472">
        <v>121.4123</v>
      </c>
      <c r="E6146" s="472" t="s">
        <v>170</v>
      </c>
      <c r="F6146" s="474"/>
    </row>
    <row r="6147" spans="1:6" s="475" customFormat="1" ht="15">
      <c r="A6147" s="472" t="s">
        <v>11621</v>
      </c>
      <c r="B6147" s="472" t="s">
        <v>11622</v>
      </c>
      <c r="C6147" s="472" t="s">
        <v>5</v>
      </c>
      <c r="D6147" s="472">
        <v>161.56129999999999</v>
      </c>
      <c r="E6147" s="472" t="s">
        <v>170</v>
      </c>
      <c r="F6147" s="474"/>
    </row>
    <row r="6148" spans="1:6" s="475" customFormat="1" ht="15">
      <c r="A6148" s="472" t="s">
        <v>11623</v>
      </c>
      <c r="B6148" s="472" t="s">
        <v>11624</v>
      </c>
      <c r="C6148" s="472" t="s">
        <v>5</v>
      </c>
      <c r="D6148" s="472">
        <v>128.26499999999999</v>
      </c>
      <c r="E6148" s="472" t="s">
        <v>170</v>
      </c>
      <c r="F6148" s="474"/>
    </row>
    <row r="6149" spans="1:6" s="475" customFormat="1" ht="15">
      <c r="A6149" s="472" t="s">
        <v>11625</v>
      </c>
      <c r="B6149" s="472" t="s">
        <v>11626</v>
      </c>
      <c r="C6149" s="472" t="s">
        <v>5</v>
      </c>
      <c r="D6149" s="472">
        <v>154.11000000000001</v>
      </c>
      <c r="E6149" s="472" t="s">
        <v>170</v>
      </c>
      <c r="F6149" s="474"/>
    </row>
    <row r="6150" spans="1:6" s="475" customFormat="1" ht="15">
      <c r="A6150" s="472" t="s">
        <v>11627</v>
      </c>
      <c r="B6150" s="472" t="s">
        <v>11628</v>
      </c>
      <c r="C6150" s="472" t="s">
        <v>5</v>
      </c>
      <c r="D6150" s="472">
        <v>180.625</v>
      </c>
      <c r="E6150" s="472" t="s">
        <v>170</v>
      </c>
      <c r="F6150" s="474"/>
    </row>
    <row r="6151" spans="1:6" s="475" customFormat="1" ht="15">
      <c r="A6151" s="472" t="s">
        <v>11629</v>
      </c>
      <c r="B6151" s="472" t="s">
        <v>11630</v>
      </c>
      <c r="C6151" s="472" t="s">
        <v>5</v>
      </c>
      <c r="D6151" s="472">
        <v>267.59960000000001</v>
      </c>
      <c r="E6151" s="472" t="s">
        <v>170</v>
      </c>
      <c r="F6151" s="474"/>
    </row>
    <row r="6152" spans="1:6" s="475" customFormat="1" ht="15">
      <c r="A6152" s="472" t="s">
        <v>11631</v>
      </c>
      <c r="B6152" s="472" t="s">
        <v>11632</v>
      </c>
      <c r="C6152" s="472" t="s">
        <v>5</v>
      </c>
      <c r="D6152" s="472">
        <v>199.96</v>
      </c>
      <c r="E6152" s="472" t="s">
        <v>170</v>
      </c>
      <c r="F6152" s="474"/>
    </row>
    <row r="6153" spans="1:6" s="475" customFormat="1" ht="15">
      <c r="A6153" s="472" t="s">
        <v>11633</v>
      </c>
      <c r="B6153" s="472" t="s">
        <v>11634</v>
      </c>
      <c r="C6153" s="472" t="s">
        <v>5</v>
      </c>
      <c r="D6153" s="472">
        <v>256.97000000000003</v>
      </c>
      <c r="E6153" s="472" t="s">
        <v>170</v>
      </c>
      <c r="F6153" s="474"/>
    </row>
    <row r="6154" spans="1:6" s="475" customFormat="1" ht="15">
      <c r="A6154" s="472" t="s">
        <v>11635</v>
      </c>
      <c r="B6154" s="472" t="s">
        <v>11636</v>
      </c>
      <c r="C6154" s="472" t="s">
        <v>5</v>
      </c>
      <c r="D6154" s="472">
        <v>357.84</v>
      </c>
      <c r="E6154" s="472" t="s">
        <v>170</v>
      </c>
      <c r="F6154" s="474"/>
    </row>
    <row r="6155" spans="1:6" s="475" customFormat="1" ht="15">
      <c r="A6155" s="472" t="s">
        <v>11637</v>
      </c>
      <c r="B6155" s="472" t="s">
        <v>11638</v>
      </c>
      <c r="C6155" s="472" t="s">
        <v>5</v>
      </c>
      <c r="D6155" s="472">
        <v>358</v>
      </c>
      <c r="E6155" s="472" t="s">
        <v>170</v>
      </c>
      <c r="F6155" s="474"/>
    </row>
    <row r="6156" spans="1:6" s="475" customFormat="1" ht="15">
      <c r="A6156" s="472" t="s">
        <v>11639</v>
      </c>
      <c r="B6156" s="472" t="s">
        <v>11640</v>
      </c>
      <c r="C6156" s="472" t="s">
        <v>5</v>
      </c>
      <c r="D6156" s="472">
        <v>283.36500000000001</v>
      </c>
      <c r="E6156" s="472" t="s">
        <v>170</v>
      </c>
      <c r="F6156" s="474"/>
    </row>
    <row r="6157" spans="1:6" s="475" customFormat="1" ht="15">
      <c r="A6157" s="472" t="s">
        <v>11641</v>
      </c>
      <c r="B6157" s="472" t="s">
        <v>11642</v>
      </c>
      <c r="C6157" s="472" t="s">
        <v>5</v>
      </c>
      <c r="D6157" s="472">
        <v>410.67500000000001</v>
      </c>
      <c r="E6157" s="472" t="s">
        <v>170</v>
      </c>
      <c r="F6157" s="474"/>
    </row>
    <row r="6158" spans="1:6" s="475" customFormat="1" ht="15">
      <c r="A6158" s="472" t="s">
        <v>11643</v>
      </c>
      <c r="B6158" s="472" t="s">
        <v>11644</v>
      </c>
      <c r="C6158" s="472" t="s">
        <v>5</v>
      </c>
      <c r="D6158" s="472">
        <v>411</v>
      </c>
      <c r="E6158" s="472" t="s">
        <v>170</v>
      </c>
      <c r="F6158" s="474"/>
    </row>
    <row r="6159" spans="1:6" s="475" customFormat="1" ht="15">
      <c r="A6159" s="472" t="s">
        <v>11645</v>
      </c>
      <c r="B6159" s="472" t="s">
        <v>11646</v>
      </c>
      <c r="C6159" s="472" t="s">
        <v>5</v>
      </c>
      <c r="D6159" s="472">
        <v>518.47410000000002</v>
      </c>
      <c r="E6159" s="472" t="s">
        <v>170</v>
      </c>
      <c r="F6159" s="474"/>
    </row>
    <row r="6160" spans="1:6" s="475" customFormat="1" ht="15">
      <c r="A6160" s="472" t="s">
        <v>11647</v>
      </c>
      <c r="B6160" s="472" t="s">
        <v>11648</v>
      </c>
      <c r="C6160" s="472" t="s">
        <v>5</v>
      </c>
      <c r="D6160" s="472">
        <v>411.87</v>
      </c>
      <c r="E6160" s="472" t="s">
        <v>170</v>
      </c>
      <c r="F6160" s="474"/>
    </row>
    <row r="6161" spans="1:6" s="475" customFormat="1" ht="15">
      <c r="A6161" s="472" t="s">
        <v>11649</v>
      </c>
      <c r="B6161" s="472" t="s">
        <v>11650</v>
      </c>
      <c r="C6161" s="472" t="s">
        <v>5</v>
      </c>
      <c r="D6161" s="472">
        <v>458.84649999999999</v>
      </c>
      <c r="E6161" s="472" t="s">
        <v>170</v>
      </c>
      <c r="F6161" s="474"/>
    </row>
    <row r="6162" spans="1:6" s="475" customFormat="1" ht="15">
      <c r="A6162" s="472" t="s">
        <v>11651</v>
      </c>
      <c r="B6162" s="472" t="s">
        <v>11652</v>
      </c>
      <c r="C6162" s="472" t="s">
        <v>5</v>
      </c>
      <c r="D6162" s="472">
        <v>549.74530000000004</v>
      </c>
      <c r="E6162" s="472" t="s">
        <v>170</v>
      </c>
      <c r="F6162" s="474"/>
    </row>
    <row r="6163" spans="1:6" s="475" customFormat="1" ht="15">
      <c r="A6163" s="472" t="s">
        <v>11653</v>
      </c>
      <c r="B6163" s="472" t="s">
        <v>11654</v>
      </c>
      <c r="C6163" s="472" t="s">
        <v>5</v>
      </c>
      <c r="D6163" s="472">
        <v>694.5204</v>
      </c>
      <c r="E6163" s="472" t="s">
        <v>170</v>
      </c>
      <c r="F6163" s="474"/>
    </row>
    <row r="6164" spans="1:6" s="475" customFormat="1" ht="15">
      <c r="A6164" s="472" t="s">
        <v>11655</v>
      </c>
      <c r="B6164" s="472" t="s">
        <v>11656</v>
      </c>
      <c r="C6164" s="472" t="s">
        <v>5</v>
      </c>
      <c r="D6164" s="472">
        <v>645.61659999999995</v>
      </c>
      <c r="E6164" s="472" t="s">
        <v>170</v>
      </c>
      <c r="F6164" s="474"/>
    </row>
    <row r="6165" spans="1:6" s="475" customFormat="1" ht="15">
      <c r="A6165" s="472" t="s">
        <v>11657</v>
      </c>
      <c r="B6165" s="472" t="s">
        <v>11658</v>
      </c>
      <c r="C6165" s="472" t="s">
        <v>5</v>
      </c>
      <c r="D6165" s="472">
        <v>756.18</v>
      </c>
      <c r="E6165" s="472" t="s">
        <v>170</v>
      </c>
      <c r="F6165" s="474"/>
    </row>
    <row r="6166" spans="1:6" s="475" customFormat="1" ht="15">
      <c r="A6166" s="472" t="s">
        <v>11659</v>
      </c>
      <c r="B6166" s="472" t="s">
        <v>11660</v>
      </c>
      <c r="C6166" s="472" t="s">
        <v>5</v>
      </c>
      <c r="D6166" s="472">
        <v>760</v>
      </c>
      <c r="E6166" s="472" t="s">
        <v>170</v>
      </c>
      <c r="F6166" s="474"/>
    </row>
    <row r="6167" spans="1:6" s="475" customFormat="1" ht="15">
      <c r="A6167" s="472" t="s">
        <v>11661</v>
      </c>
      <c r="B6167" s="472" t="s">
        <v>11662</v>
      </c>
      <c r="C6167" s="472" t="s">
        <v>5</v>
      </c>
      <c r="D6167" s="472">
        <v>1013.9675</v>
      </c>
      <c r="E6167" s="472" t="s">
        <v>170</v>
      </c>
      <c r="F6167" s="474"/>
    </row>
    <row r="6168" spans="1:6" s="475" customFormat="1" ht="15">
      <c r="A6168" s="472" t="s">
        <v>11663</v>
      </c>
      <c r="B6168" s="472" t="s">
        <v>11664</v>
      </c>
      <c r="C6168" s="472" t="s">
        <v>5</v>
      </c>
      <c r="D6168" s="472">
        <v>110.52500000000001</v>
      </c>
      <c r="E6168" s="472" t="s">
        <v>170</v>
      </c>
      <c r="F6168" s="474"/>
    </row>
    <row r="6169" spans="1:6" s="475" customFormat="1" ht="15">
      <c r="A6169" s="472" t="s">
        <v>11665</v>
      </c>
      <c r="B6169" s="472" t="s">
        <v>11666</v>
      </c>
      <c r="C6169" s="472" t="s">
        <v>5</v>
      </c>
      <c r="D6169" s="472">
        <v>134.62</v>
      </c>
      <c r="E6169" s="472" t="s">
        <v>170</v>
      </c>
      <c r="F6169" s="474"/>
    </row>
    <row r="6170" spans="1:6" s="475" customFormat="1" ht="15">
      <c r="A6170" s="472" t="s">
        <v>11667</v>
      </c>
      <c r="B6170" s="472" t="s">
        <v>11668</v>
      </c>
      <c r="C6170" s="472" t="s">
        <v>5</v>
      </c>
      <c r="D6170" s="472">
        <v>148.3613</v>
      </c>
      <c r="E6170" s="472" t="s">
        <v>170</v>
      </c>
      <c r="F6170" s="474"/>
    </row>
    <row r="6171" spans="1:6" s="475" customFormat="1" ht="15">
      <c r="A6171" s="472" t="s">
        <v>11669</v>
      </c>
      <c r="B6171" s="472" t="s">
        <v>11670</v>
      </c>
      <c r="C6171" s="472" t="s">
        <v>5</v>
      </c>
      <c r="D6171" s="472">
        <v>260.2482</v>
      </c>
      <c r="E6171" s="472" t="s">
        <v>170</v>
      </c>
      <c r="F6171" s="474"/>
    </row>
    <row r="6172" spans="1:6" s="475" customFormat="1" ht="15">
      <c r="A6172" s="472" t="s">
        <v>11671</v>
      </c>
      <c r="B6172" s="472" t="s">
        <v>11672</v>
      </c>
      <c r="C6172" s="472" t="s">
        <v>90</v>
      </c>
      <c r="D6172" s="472">
        <v>404.86860000000001</v>
      </c>
      <c r="E6172" s="472" t="s">
        <v>170</v>
      </c>
      <c r="F6172" s="474"/>
    </row>
    <row r="6173" spans="1:6" s="475" customFormat="1" ht="15">
      <c r="A6173" s="472" t="s">
        <v>11673</v>
      </c>
      <c r="B6173" s="472" t="s">
        <v>11674</v>
      </c>
      <c r="C6173" s="472" t="s">
        <v>90</v>
      </c>
      <c r="D6173" s="472">
        <v>382.24259999999998</v>
      </c>
      <c r="E6173" s="472" t="s">
        <v>170</v>
      </c>
      <c r="F6173" s="474"/>
    </row>
    <row r="6174" spans="1:6" s="475" customFormat="1" ht="15">
      <c r="A6174" s="472" t="s">
        <v>11675</v>
      </c>
      <c r="B6174" s="472" t="s">
        <v>11676</v>
      </c>
      <c r="C6174" s="472" t="s">
        <v>5</v>
      </c>
      <c r="D6174" s="472">
        <v>330.35669999999999</v>
      </c>
      <c r="E6174" s="472" t="s">
        <v>170</v>
      </c>
      <c r="F6174" s="474"/>
    </row>
    <row r="6175" spans="1:6" s="475" customFormat="1" ht="15">
      <c r="A6175" s="472" t="s">
        <v>11677</v>
      </c>
      <c r="B6175" s="472" t="s">
        <v>11678</v>
      </c>
      <c r="C6175" s="472" t="s">
        <v>3495</v>
      </c>
      <c r="D6175" s="472">
        <v>6884.4889999999996</v>
      </c>
      <c r="E6175" s="472" t="s">
        <v>170</v>
      </c>
      <c r="F6175" s="474"/>
    </row>
    <row r="6176" spans="1:6" s="475" customFormat="1" ht="15">
      <c r="A6176" s="472" t="s">
        <v>11679</v>
      </c>
      <c r="B6176" s="472" t="s">
        <v>11680</v>
      </c>
      <c r="C6176" s="472" t="s">
        <v>3495</v>
      </c>
      <c r="D6176" s="472">
        <v>5987.2367000000004</v>
      </c>
      <c r="E6176" s="472" t="s">
        <v>170</v>
      </c>
      <c r="F6176" s="474"/>
    </row>
    <row r="6177" spans="1:6" s="475" customFormat="1" ht="15">
      <c r="A6177" s="472" t="s">
        <v>11681</v>
      </c>
      <c r="B6177" s="472" t="s">
        <v>11682</v>
      </c>
      <c r="C6177" s="472" t="s">
        <v>3495</v>
      </c>
      <c r="D6177" s="472">
        <v>6016.0716000000002</v>
      </c>
      <c r="E6177" s="472" t="s">
        <v>170</v>
      </c>
      <c r="F6177" s="474"/>
    </row>
    <row r="6178" spans="1:6" s="475" customFormat="1" ht="15">
      <c r="A6178" s="472" t="s">
        <v>11683</v>
      </c>
      <c r="B6178" s="472" t="s">
        <v>11684</v>
      </c>
      <c r="C6178" s="472" t="s">
        <v>3495</v>
      </c>
      <c r="D6178" s="472">
        <v>7005.9585999999999</v>
      </c>
      <c r="E6178" s="472" t="s">
        <v>170</v>
      </c>
      <c r="F6178" s="474"/>
    </row>
    <row r="6179" spans="1:6" s="475" customFormat="1" ht="15">
      <c r="A6179" s="472" t="s">
        <v>11685</v>
      </c>
      <c r="B6179" s="472" t="s">
        <v>11686</v>
      </c>
      <c r="C6179" s="472" t="s">
        <v>90</v>
      </c>
      <c r="D6179" s="472">
        <v>65564.159100000004</v>
      </c>
      <c r="E6179" s="472" t="s">
        <v>170</v>
      </c>
      <c r="F6179" s="474"/>
    </row>
    <row r="6180" spans="1:6" s="475" customFormat="1" ht="15">
      <c r="A6180" s="472" t="s">
        <v>11687</v>
      </c>
      <c r="B6180" s="472" t="s">
        <v>11688</v>
      </c>
      <c r="C6180" s="472" t="s">
        <v>90</v>
      </c>
      <c r="D6180" s="472">
        <v>7.2866</v>
      </c>
      <c r="E6180" s="472" t="s">
        <v>170</v>
      </c>
      <c r="F6180" s="474"/>
    </row>
    <row r="6181" spans="1:6" s="475" customFormat="1" ht="15">
      <c r="A6181" s="472" t="s">
        <v>11689</v>
      </c>
      <c r="B6181" s="472" t="s">
        <v>11690</v>
      </c>
      <c r="C6181" s="472" t="s">
        <v>90</v>
      </c>
      <c r="D6181" s="472">
        <v>4.0658000000000003</v>
      </c>
      <c r="E6181" s="472" t="s">
        <v>170</v>
      </c>
      <c r="F6181" s="474"/>
    </row>
    <row r="6182" spans="1:6" s="475" customFormat="1" ht="15">
      <c r="A6182" s="472" t="s">
        <v>11691</v>
      </c>
      <c r="B6182" s="472" t="s">
        <v>11692</v>
      </c>
      <c r="C6182" s="472" t="s">
        <v>90</v>
      </c>
      <c r="D6182" s="472">
        <v>29.0427</v>
      </c>
      <c r="E6182" s="472" t="s">
        <v>170</v>
      </c>
      <c r="F6182" s="474"/>
    </row>
    <row r="6183" spans="1:6" s="475" customFormat="1" ht="15">
      <c r="A6183" s="472" t="s">
        <v>11693</v>
      </c>
      <c r="B6183" s="472" t="s">
        <v>11694</v>
      </c>
      <c r="C6183" s="472" t="s">
        <v>90</v>
      </c>
      <c r="D6183" s="472">
        <v>28.723600000000001</v>
      </c>
      <c r="E6183" s="472" t="s">
        <v>170</v>
      </c>
      <c r="F6183" s="474"/>
    </row>
    <row r="6184" spans="1:6" s="475" customFormat="1" ht="15">
      <c r="A6184" s="472" t="s">
        <v>11695</v>
      </c>
      <c r="B6184" s="472" t="s">
        <v>11696</v>
      </c>
      <c r="C6184" s="472" t="s">
        <v>90</v>
      </c>
      <c r="D6184" s="472">
        <v>28.738700000000001</v>
      </c>
      <c r="E6184" s="472" t="s">
        <v>170</v>
      </c>
      <c r="F6184" s="474"/>
    </row>
    <row r="6185" spans="1:6" s="475" customFormat="1" ht="15">
      <c r="A6185" s="472" t="s">
        <v>11697</v>
      </c>
      <c r="B6185" s="472" t="s">
        <v>11698</v>
      </c>
      <c r="C6185" s="472" t="s">
        <v>90</v>
      </c>
      <c r="D6185" s="472">
        <v>73.274699999999996</v>
      </c>
      <c r="E6185" s="472" t="s">
        <v>170</v>
      </c>
      <c r="F6185" s="474"/>
    </row>
    <row r="6186" spans="1:6" s="475" customFormat="1" ht="15">
      <c r="A6186" s="472" t="s">
        <v>11699</v>
      </c>
      <c r="B6186" s="472" t="s">
        <v>11700</v>
      </c>
      <c r="C6186" s="472" t="s">
        <v>90</v>
      </c>
      <c r="D6186" s="472">
        <v>9.4306999999999999</v>
      </c>
      <c r="E6186" s="472" t="s">
        <v>170</v>
      </c>
      <c r="F6186" s="474"/>
    </row>
    <row r="6187" spans="1:6" s="475" customFormat="1" ht="15">
      <c r="A6187" s="472" t="s">
        <v>11701</v>
      </c>
      <c r="B6187" s="472" t="s">
        <v>11702</v>
      </c>
      <c r="C6187" s="472" t="s">
        <v>90</v>
      </c>
      <c r="D6187" s="472">
        <v>47.975000000000001</v>
      </c>
      <c r="E6187" s="472" t="s">
        <v>170</v>
      </c>
      <c r="F6187" s="474"/>
    </row>
    <row r="6188" spans="1:6" s="475" customFormat="1" ht="15">
      <c r="A6188" s="472" t="s">
        <v>11703</v>
      </c>
      <c r="B6188" s="472" t="s">
        <v>11704</v>
      </c>
      <c r="C6188" s="472" t="s">
        <v>90</v>
      </c>
      <c r="D6188" s="472">
        <v>50.529699999999998</v>
      </c>
      <c r="E6188" s="472" t="s">
        <v>170</v>
      </c>
      <c r="F6188" s="474"/>
    </row>
    <row r="6189" spans="1:6" s="475" customFormat="1" ht="15">
      <c r="A6189" s="472" t="s">
        <v>11705</v>
      </c>
      <c r="B6189" s="472" t="s">
        <v>11706</v>
      </c>
      <c r="C6189" s="472" t="s">
        <v>90</v>
      </c>
      <c r="D6189" s="472">
        <v>73.180300000000003</v>
      </c>
      <c r="E6189" s="472" t="s">
        <v>170</v>
      </c>
      <c r="F6189" s="474"/>
    </row>
    <row r="6190" spans="1:6" s="475" customFormat="1" ht="15">
      <c r="A6190" s="472" t="s">
        <v>11707</v>
      </c>
      <c r="B6190" s="472" t="s">
        <v>11708</v>
      </c>
      <c r="C6190" s="472" t="s">
        <v>90</v>
      </c>
      <c r="D6190" s="472">
        <v>44.602899999999998</v>
      </c>
      <c r="E6190" s="472" t="s">
        <v>170</v>
      </c>
      <c r="F6190" s="474"/>
    </row>
    <row r="6191" spans="1:6" s="475" customFormat="1" ht="15">
      <c r="A6191" s="472" t="s">
        <v>11709</v>
      </c>
      <c r="B6191" s="472" t="s">
        <v>11710</v>
      </c>
      <c r="C6191" s="472" t="s">
        <v>90</v>
      </c>
      <c r="D6191" s="472">
        <v>67.207099999999997</v>
      </c>
      <c r="E6191" s="472" t="s">
        <v>170</v>
      </c>
      <c r="F6191" s="474"/>
    </row>
    <row r="6192" spans="1:6" s="475" customFormat="1" ht="15">
      <c r="A6192" s="472" t="s">
        <v>11711</v>
      </c>
      <c r="B6192" s="472" t="s">
        <v>11712</v>
      </c>
      <c r="C6192" s="472" t="s">
        <v>90</v>
      </c>
      <c r="D6192" s="472">
        <v>68.369200000000006</v>
      </c>
      <c r="E6192" s="472" t="s">
        <v>170</v>
      </c>
      <c r="F6192" s="474"/>
    </row>
    <row r="6193" spans="1:6" s="475" customFormat="1" ht="15">
      <c r="A6193" s="472" t="s">
        <v>11713</v>
      </c>
      <c r="B6193" s="472" t="s">
        <v>11714</v>
      </c>
      <c r="C6193" s="472" t="s">
        <v>90</v>
      </c>
      <c r="D6193" s="472">
        <v>28.845600000000001</v>
      </c>
      <c r="E6193" s="472" t="s">
        <v>170</v>
      </c>
      <c r="F6193" s="474"/>
    </row>
    <row r="6194" spans="1:6" s="475" customFormat="1" ht="15">
      <c r="A6194" s="472" t="s">
        <v>11715</v>
      </c>
      <c r="B6194" s="472" t="s">
        <v>11716</v>
      </c>
      <c r="C6194" s="472" t="s">
        <v>90</v>
      </c>
      <c r="D6194" s="472">
        <v>73.274699999999996</v>
      </c>
      <c r="E6194" s="472" t="s">
        <v>170</v>
      </c>
      <c r="F6194" s="474"/>
    </row>
    <row r="6195" spans="1:6" s="475" customFormat="1" ht="15">
      <c r="A6195" s="472" t="s">
        <v>11717</v>
      </c>
      <c r="B6195" s="472" t="s">
        <v>11718</v>
      </c>
      <c r="C6195" s="472" t="s">
        <v>11719</v>
      </c>
      <c r="D6195" s="472">
        <v>382.92779999999999</v>
      </c>
      <c r="E6195" s="472" t="s">
        <v>170</v>
      </c>
      <c r="F6195" s="474"/>
    </row>
    <row r="6196" spans="1:6" s="475" customFormat="1" ht="15">
      <c r="A6196" s="472" t="s">
        <v>11720</v>
      </c>
      <c r="B6196" s="472" t="s">
        <v>11721</v>
      </c>
      <c r="C6196" s="472" t="s">
        <v>11719</v>
      </c>
      <c r="D6196" s="472">
        <v>463.322</v>
      </c>
      <c r="E6196" s="472" t="s">
        <v>170</v>
      </c>
      <c r="F6196" s="474"/>
    </row>
    <row r="6197" spans="1:6" s="475" customFormat="1" ht="15">
      <c r="A6197" s="472" t="s">
        <v>11722</v>
      </c>
      <c r="B6197" s="472" t="s">
        <v>11723</v>
      </c>
      <c r="C6197" s="472" t="s">
        <v>11719</v>
      </c>
      <c r="D6197" s="472">
        <v>556.18600000000004</v>
      </c>
      <c r="E6197" s="472" t="s">
        <v>170</v>
      </c>
      <c r="F6197" s="474"/>
    </row>
    <row r="6198" spans="1:6" s="475" customFormat="1" ht="15">
      <c r="A6198" s="472" t="s">
        <v>11724</v>
      </c>
      <c r="B6198" s="472" t="s">
        <v>11725</v>
      </c>
      <c r="C6198" s="472" t="s">
        <v>90</v>
      </c>
      <c r="D6198" s="472">
        <v>14.2171</v>
      </c>
      <c r="E6198" s="472" t="s">
        <v>170</v>
      </c>
      <c r="F6198" s="474"/>
    </row>
    <row r="6199" spans="1:6" s="475" customFormat="1" ht="15">
      <c r="A6199" s="472" t="s">
        <v>11726</v>
      </c>
      <c r="B6199" s="472" t="s">
        <v>11727</v>
      </c>
      <c r="C6199" s="472" t="s">
        <v>11719</v>
      </c>
      <c r="D6199" s="472">
        <v>417.91680000000002</v>
      </c>
      <c r="E6199" s="472" t="s">
        <v>170</v>
      </c>
      <c r="F6199" s="474"/>
    </row>
    <row r="6200" spans="1:6" s="475" customFormat="1" ht="15">
      <c r="A6200" s="472" t="s">
        <v>11728</v>
      </c>
      <c r="B6200" s="472" t="s">
        <v>11729</v>
      </c>
      <c r="C6200" s="472" t="s">
        <v>90</v>
      </c>
      <c r="D6200" s="472">
        <v>81092.176399999997</v>
      </c>
      <c r="E6200" s="472" t="s">
        <v>170</v>
      </c>
      <c r="F6200" s="474"/>
    </row>
    <row r="6201" spans="1:6" s="475" customFormat="1" ht="15">
      <c r="A6201" s="472" t="s">
        <v>11730</v>
      </c>
      <c r="B6201" s="472" t="s">
        <v>11731</v>
      </c>
      <c r="C6201" s="472" t="s">
        <v>90</v>
      </c>
      <c r="D6201" s="472">
        <v>93414.658100000001</v>
      </c>
      <c r="E6201" s="472" t="s">
        <v>170</v>
      </c>
      <c r="F6201" s="474"/>
    </row>
    <row r="6202" spans="1:6" s="475" customFormat="1" ht="15">
      <c r="A6202" s="472" t="s">
        <v>11732</v>
      </c>
      <c r="B6202" s="472" t="s">
        <v>11733</v>
      </c>
      <c r="C6202" s="472" t="s">
        <v>90</v>
      </c>
      <c r="D6202" s="472">
        <v>107358.2116</v>
      </c>
      <c r="E6202" s="472" t="s">
        <v>170</v>
      </c>
      <c r="F6202" s="474"/>
    </row>
    <row r="6203" spans="1:6" s="475" customFormat="1" ht="15">
      <c r="A6203" s="472" t="s">
        <v>11734</v>
      </c>
      <c r="B6203" s="472" t="s">
        <v>11735</v>
      </c>
      <c r="C6203" s="472" t="s">
        <v>90</v>
      </c>
      <c r="D6203" s="472">
        <v>131541.59150000001</v>
      </c>
      <c r="E6203" s="472" t="s">
        <v>170</v>
      </c>
      <c r="F6203" s="474"/>
    </row>
    <row r="6204" spans="1:6" s="475" customFormat="1" ht="15">
      <c r="A6204" s="472" t="s">
        <v>11736</v>
      </c>
      <c r="B6204" s="472" t="s">
        <v>11737</v>
      </c>
      <c r="C6204" s="472" t="s">
        <v>90</v>
      </c>
      <c r="D6204" s="472">
        <v>97068.492899999997</v>
      </c>
      <c r="E6204" s="472" t="s">
        <v>170</v>
      </c>
      <c r="F6204" s="474"/>
    </row>
    <row r="6205" spans="1:6" s="475" customFormat="1" ht="15">
      <c r="A6205" s="472" t="s">
        <v>11738</v>
      </c>
      <c r="B6205" s="472" t="s">
        <v>11739</v>
      </c>
      <c r="C6205" s="472" t="s">
        <v>90</v>
      </c>
      <c r="D6205" s="472">
        <v>120831.425</v>
      </c>
      <c r="E6205" s="472" t="s">
        <v>170</v>
      </c>
      <c r="F6205" s="474"/>
    </row>
    <row r="6206" spans="1:6" s="475" customFormat="1" ht="15">
      <c r="A6206" s="472" t="s">
        <v>11740</v>
      </c>
      <c r="B6206" s="472" t="s">
        <v>11741</v>
      </c>
      <c r="C6206" s="472" t="s">
        <v>90</v>
      </c>
      <c r="D6206" s="472">
        <v>130755.87940000001</v>
      </c>
      <c r="E6206" s="472" t="s">
        <v>170</v>
      </c>
      <c r="F6206" s="474"/>
    </row>
    <row r="6207" spans="1:6" s="475" customFormat="1" ht="15">
      <c r="A6207" s="472" t="s">
        <v>11742</v>
      </c>
      <c r="B6207" s="472" t="s">
        <v>11743</v>
      </c>
      <c r="C6207" s="472" t="s">
        <v>90</v>
      </c>
      <c r="D6207" s="472">
        <v>130755.87940000001</v>
      </c>
      <c r="E6207" s="472" t="s">
        <v>170</v>
      </c>
      <c r="F6207" s="474"/>
    </row>
    <row r="6208" spans="1:6" s="475" customFormat="1" ht="15">
      <c r="A6208" s="472" t="s">
        <v>11744</v>
      </c>
      <c r="B6208" s="472" t="s">
        <v>11745</v>
      </c>
      <c r="C6208" s="472" t="s">
        <v>90</v>
      </c>
      <c r="D6208" s="472">
        <v>186243.23449999999</v>
      </c>
      <c r="E6208" s="472" t="s">
        <v>170</v>
      </c>
      <c r="F6208" s="474"/>
    </row>
    <row r="6209" spans="1:6" s="475" customFormat="1" ht="15">
      <c r="A6209" s="472" t="s">
        <v>11746</v>
      </c>
      <c r="B6209" s="472" t="s">
        <v>11747</v>
      </c>
      <c r="C6209" s="472" t="s">
        <v>90</v>
      </c>
      <c r="D6209" s="472">
        <v>132754.23149999999</v>
      </c>
      <c r="E6209" s="472" t="s">
        <v>170</v>
      </c>
      <c r="F6209" s="474"/>
    </row>
    <row r="6210" spans="1:6" s="475" customFormat="1" ht="15">
      <c r="A6210" s="472" t="s">
        <v>11748</v>
      </c>
      <c r="B6210" s="472" t="s">
        <v>11749</v>
      </c>
      <c r="C6210" s="472" t="s">
        <v>90</v>
      </c>
      <c r="D6210" s="472">
        <v>163861.82010000001</v>
      </c>
      <c r="E6210" s="472" t="s">
        <v>170</v>
      </c>
      <c r="F6210" s="474"/>
    </row>
    <row r="6211" spans="1:6" s="475" customFormat="1" ht="15">
      <c r="A6211" s="472" t="s">
        <v>11750</v>
      </c>
      <c r="B6211" s="472" t="s">
        <v>11751</v>
      </c>
      <c r="C6211" s="472" t="s">
        <v>90</v>
      </c>
      <c r="D6211" s="472">
        <v>191337.2678</v>
      </c>
      <c r="E6211" s="472" t="s">
        <v>170</v>
      </c>
      <c r="F6211" s="474"/>
    </row>
    <row r="6212" spans="1:6" s="475" customFormat="1" ht="15">
      <c r="A6212" s="472" t="s">
        <v>11752</v>
      </c>
      <c r="B6212" s="472" t="s">
        <v>11753</v>
      </c>
      <c r="C6212" s="472" t="s">
        <v>90</v>
      </c>
      <c r="D6212" s="472">
        <v>125401.72719999999</v>
      </c>
      <c r="E6212" s="472" t="s">
        <v>170</v>
      </c>
      <c r="F6212" s="474"/>
    </row>
    <row r="6213" spans="1:6" s="475" customFormat="1" ht="15">
      <c r="A6213" s="472" t="s">
        <v>11754</v>
      </c>
      <c r="B6213" s="472" t="s">
        <v>11755</v>
      </c>
      <c r="C6213" s="472" t="s">
        <v>90</v>
      </c>
      <c r="D6213" s="472">
        <v>267095.76569999999</v>
      </c>
      <c r="E6213" s="472" t="s">
        <v>170</v>
      </c>
      <c r="F6213" s="474"/>
    </row>
    <row r="6214" spans="1:6" s="475" customFormat="1" ht="15">
      <c r="A6214" s="472" t="s">
        <v>11756</v>
      </c>
      <c r="B6214" s="472" t="s">
        <v>11757</v>
      </c>
      <c r="C6214" s="472" t="s">
        <v>90</v>
      </c>
      <c r="D6214" s="472">
        <v>108925.1008</v>
      </c>
      <c r="E6214" s="472" t="s">
        <v>170</v>
      </c>
      <c r="F6214" s="474"/>
    </row>
    <row r="6215" spans="1:6" s="475" customFormat="1" ht="15">
      <c r="A6215" s="472" t="s">
        <v>11758</v>
      </c>
      <c r="B6215" s="472" t="s">
        <v>11759</v>
      </c>
      <c r="C6215" s="472" t="s">
        <v>90</v>
      </c>
      <c r="D6215" s="472">
        <v>126234.1434</v>
      </c>
      <c r="E6215" s="472" t="s">
        <v>170</v>
      </c>
      <c r="F6215" s="474"/>
    </row>
    <row r="6216" spans="1:6" s="475" customFormat="1" ht="15">
      <c r="A6216" s="472" t="s">
        <v>11760</v>
      </c>
      <c r="B6216" s="472" t="s">
        <v>11761</v>
      </c>
      <c r="C6216" s="472" t="s">
        <v>90</v>
      </c>
      <c r="D6216" s="472">
        <v>125852.3306</v>
      </c>
      <c r="E6216" s="472" t="s">
        <v>170</v>
      </c>
      <c r="F6216" s="474"/>
    </row>
    <row r="6217" spans="1:6" s="475" customFormat="1" ht="15">
      <c r="A6217" s="472" t="s">
        <v>11762</v>
      </c>
      <c r="B6217" s="472" t="s">
        <v>11763</v>
      </c>
      <c r="C6217" s="472" t="s">
        <v>90</v>
      </c>
      <c r="D6217" s="472">
        <v>130755.87940000001</v>
      </c>
      <c r="E6217" s="472" t="s">
        <v>170</v>
      </c>
      <c r="F6217" s="474"/>
    </row>
    <row r="6218" spans="1:6" s="475" customFormat="1" ht="15">
      <c r="A6218" s="472" t="s">
        <v>11764</v>
      </c>
      <c r="B6218" s="472" t="s">
        <v>11765</v>
      </c>
      <c r="C6218" s="472" t="s">
        <v>90</v>
      </c>
      <c r="D6218" s="472">
        <v>130755.87940000001</v>
      </c>
      <c r="E6218" s="472" t="s">
        <v>170</v>
      </c>
      <c r="F6218" s="474"/>
    </row>
    <row r="6219" spans="1:6" s="475" customFormat="1" ht="15">
      <c r="A6219" s="472" t="s">
        <v>11766</v>
      </c>
      <c r="B6219" s="472" t="s">
        <v>11767</v>
      </c>
      <c r="C6219" s="472" t="s">
        <v>90</v>
      </c>
      <c r="D6219" s="472">
        <v>130786.0221</v>
      </c>
      <c r="E6219" s="472" t="s">
        <v>170</v>
      </c>
      <c r="F6219" s="474"/>
    </row>
    <row r="6220" spans="1:6" s="475" customFormat="1" ht="15">
      <c r="A6220" s="472" t="s">
        <v>11768</v>
      </c>
      <c r="B6220" s="472" t="s">
        <v>11769</v>
      </c>
      <c r="C6220" s="472" t="s">
        <v>90</v>
      </c>
      <c r="D6220" s="472">
        <v>130755.87940000001</v>
      </c>
      <c r="E6220" s="472" t="s">
        <v>170</v>
      </c>
      <c r="F6220" s="474"/>
    </row>
    <row r="6221" spans="1:6" s="475" customFormat="1" ht="15">
      <c r="A6221" s="472" t="s">
        <v>11770</v>
      </c>
      <c r="B6221" s="472" t="s">
        <v>11771</v>
      </c>
      <c r="C6221" s="472" t="s">
        <v>90</v>
      </c>
      <c r="D6221" s="472">
        <v>133329.11970000001</v>
      </c>
      <c r="E6221" s="472" t="s">
        <v>170</v>
      </c>
      <c r="F6221" s="474"/>
    </row>
    <row r="6222" spans="1:6" s="475" customFormat="1" ht="15">
      <c r="A6222" s="472" t="s">
        <v>11772</v>
      </c>
      <c r="B6222" s="472" t="s">
        <v>11773</v>
      </c>
      <c r="C6222" s="472" t="s">
        <v>90</v>
      </c>
      <c r="D6222" s="472">
        <v>213962.74650000001</v>
      </c>
      <c r="E6222" s="472" t="s">
        <v>170</v>
      </c>
      <c r="F6222" s="474"/>
    </row>
    <row r="6223" spans="1:6" s="475" customFormat="1" ht="15">
      <c r="A6223" s="472" t="s">
        <v>11774</v>
      </c>
      <c r="B6223" s="472" t="s">
        <v>11775</v>
      </c>
      <c r="C6223" s="472" t="s">
        <v>90</v>
      </c>
      <c r="D6223" s="472">
        <v>187851.98740000001</v>
      </c>
      <c r="E6223" s="472" t="s">
        <v>170</v>
      </c>
      <c r="F6223" s="474"/>
    </row>
    <row r="6224" spans="1:6" s="475" customFormat="1" ht="15">
      <c r="A6224" s="472" t="s">
        <v>11776</v>
      </c>
      <c r="B6224" s="472" t="s">
        <v>11777</v>
      </c>
      <c r="C6224" s="472" t="s">
        <v>90</v>
      </c>
      <c r="D6224" s="472">
        <v>205366.7145</v>
      </c>
      <c r="E6224" s="472" t="s">
        <v>170</v>
      </c>
      <c r="F6224" s="474"/>
    </row>
    <row r="6225" spans="1:6" s="475" customFormat="1" ht="15">
      <c r="A6225" s="472" t="s">
        <v>11778</v>
      </c>
      <c r="B6225" s="472" t="s">
        <v>11779</v>
      </c>
      <c r="C6225" s="472" t="s">
        <v>90</v>
      </c>
      <c r="D6225" s="472">
        <v>242121.5319</v>
      </c>
      <c r="E6225" s="472" t="s">
        <v>170</v>
      </c>
      <c r="F6225" s="474"/>
    </row>
    <row r="6226" spans="1:6" s="475" customFormat="1" ht="15">
      <c r="A6226" s="472" t="s">
        <v>11780</v>
      </c>
      <c r="B6226" s="472" t="s">
        <v>11781</v>
      </c>
      <c r="C6226" s="472" t="s">
        <v>90</v>
      </c>
      <c r="D6226" s="472">
        <v>183624.35339999999</v>
      </c>
      <c r="E6226" s="472" t="s">
        <v>170</v>
      </c>
      <c r="F6226" s="474"/>
    </row>
    <row r="6227" spans="1:6" s="475" customFormat="1" ht="15">
      <c r="A6227" s="472" t="s">
        <v>11782</v>
      </c>
      <c r="B6227" s="472" t="s">
        <v>11783</v>
      </c>
      <c r="C6227" s="472" t="s">
        <v>90</v>
      </c>
      <c r="D6227" s="472">
        <v>281951.7562</v>
      </c>
      <c r="E6227" s="472" t="s">
        <v>170</v>
      </c>
      <c r="F6227" s="474"/>
    </row>
    <row r="6228" spans="1:6" s="475" customFormat="1" ht="15">
      <c r="A6228" s="472" t="s">
        <v>11784</v>
      </c>
      <c r="B6228" s="472" t="s">
        <v>11785</v>
      </c>
      <c r="C6228" s="472" t="s">
        <v>90</v>
      </c>
      <c r="D6228" s="472">
        <v>172016.9374</v>
      </c>
      <c r="E6228" s="472" t="s">
        <v>170</v>
      </c>
      <c r="F6228" s="474"/>
    </row>
    <row r="6229" spans="1:6" s="475" customFormat="1" ht="15">
      <c r="A6229" s="472" t="s">
        <v>11786</v>
      </c>
      <c r="B6229" s="472" t="s">
        <v>11787</v>
      </c>
      <c r="C6229" s="472" t="s">
        <v>90</v>
      </c>
      <c r="D6229" s="472">
        <v>202541.31330000001</v>
      </c>
      <c r="E6229" s="472" t="s">
        <v>170</v>
      </c>
      <c r="F6229" s="474"/>
    </row>
    <row r="6230" spans="1:6" s="475" customFormat="1" ht="15">
      <c r="A6230" s="472" t="s">
        <v>11788</v>
      </c>
      <c r="B6230" s="472" t="s">
        <v>11789</v>
      </c>
      <c r="C6230" s="472" t="s">
        <v>90</v>
      </c>
      <c r="D6230" s="472">
        <v>203701.5999</v>
      </c>
      <c r="E6230" s="472" t="s">
        <v>170</v>
      </c>
      <c r="F6230" s="474"/>
    </row>
    <row r="6231" spans="1:6" s="475" customFormat="1" ht="15">
      <c r="A6231" s="472" t="s">
        <v>11790</v>
      </c>
      <c r="B6231" s="472" t="s">
        <v>11791</v>
      </c>
      <c r="C6231" s="472" t="s">
        <v>90</v>
      </c>
      <c r="D6231" s="472">
        <v>223849.31789999999</v>
      </c>
      <c r="E6231" s="472" t="s">
        <v>170</v>
      </c>
      <c r="F6231" s="474"/>
    </row>
    <row r="6232" spans="1:6" s="475" customFormat="1" ht="15">
      <c r="A6232" s="472" t="s">
        <v>11792</v>
      </c>
      <c r="B6232" s="472" t="s">
        <v>11793</v>
      </c>
      <c r="C6232" s="472" t="s">
        <v>90</v>
      </c>
      <c r="D6232" s="472">
        <v>208700.42370000001</v>
      </c>
      <c r="E6232" s="472" t="s">
        <v>170</v>
      </c>
      <c r="F6232" s="474"/>
    </row>
    <row r="6233" spans="1:6" s="475" customFormat="1" ht="15">
      <c r="A6233" s="472" t="s">
        <v>11794</v>
      </c>
      <c r="B6233" s="472" t="s">
        <v>11795</v>
      </c>
      <c r="C6233" s="472" t="s">
        <v>90</v>
      </c>
      <c r="D6233" s="472">
        <v>208883.3634</v>
      </c>
      <c r="E6233" s="472" t="s">
        <v>170</v>
      </c>
      <c r="F6233" s="474"/>
    </row>
    <row r="6234" spans="1:6" s="475" customFormat="1" ht="15">
      <c r="A6234" s="472" t="s">
        <v>11796</v>
      </c>
      <c r="B6234" s="472" t="s">
        <v>11797</v>
      </c>
      <c r="C6234" s="472" t="s">
        <v>90</v>
      </c>
      <c r="D6234" s="472">
        <v>208883.3634</v>
      </c>
      <c r="E6234" s="472" t="s">
        <v>170</v>
      </c>
      <c r="F6234" s="474"/>
    </row>
    <row r="6235" spans="1:6" s="475" customFormat="1" ht="15">
      <c r="A6235" s="472" t="s">
        <v>11798</v>
      </c>
      <c r="B6235" s="472" t="s">
        <v>11799</v>
      </c>
      <c r="C6235" s="472" t="s">
        <v>90</v>
      </c>
      <c r="D6235" s="472">
        <v>208883.3634</v>
      </c>
      <c r="E6235" s="472" t="s">
        <v>170</v>
      </c>
      <c r="F6235" s="474"/>
    </row>
    <row r="6236" spans="1:6" s="475" customFormat="1" ht="15">
      <c r="A6236" s="472" t="s">
        <v>11800</v>
      </c>
      <c r="B6236" s="472" t="s">
        <v>11801</v>
      </c>
      <c r="C6236" s="472" t="s">
        <v>90</v>
      </c>
      <c r="D6236" s="472">
        <v>461930.59419999999</v>
      </c>
      <c r="E6236" s="472" t="s">
        <v>170</v>
      </c>
      <c r="F6236" s="474"/>
    </row>
    <row r="6237" spans="1:6" s="475" customFormat="1" ht="15">
      <c r="A6237" s="472" t="s">
        <v>11802</v>
      </c>
      <c r="B6237" s="472" t="s">
        <v>11803</v>
      </c>
      <c r="C6237" s="472" t="s">
        <v>90</v>
      </c>
      <c r="D6237" s="472">
        <v>211880.89139999999</v>
      </c>
      <c r="E6237" s="472" t="s">
        <v>170</v>
      </c>
      <c r="F6237" s="474"/>
    </row>
    <row r="6238" spans="1:6" s="475" customFormat="1" ht="15">
      <c r="A6238" s="472" t="s">
        <v>11804</v>
      </c>
      <c r="B6238" s="472" t="s">
        <v>11805</v>
      </c>
      <c r="C6238" s="472" t="s">
        <v>90</v>
      </c>
      <c r="D6238" s="472">
        <v>380728.51640000002</v>
      </c>
      <c r="E6238" s="472" t="s">
        <v>170</v>
      </c>
      <c r="F6238" s="474"/>
    </row>
    <row r="6239" spans="1:6" s="475" customFormat="1" ht="15">
      <c r="A6239" s="472" t="s">
        <v>11806</v>
      </c>
      <c r="B6239" s="472" t="s">
        <v>11807</v>
      </c>
      <c r="C6239" s="472" t="s">
        <v>90</v>
      </c>
      <c r="D6239" s="472">
        <v>407246.3504</v>
      </c>
      <c r="E6239" s="472" t="s">
        <v>170</v>
      </c>
      <c r="F6239" s="474"/>
    </row>
    <row r="6240" spans="1:6" s="475" customFormat="1" ht="15">
      <c r="A6240" s="472" t="s">
        <v>11808</v>
      </c>
      <c r="B6240" s="472" t="s">
        <v>11809</v>
      </c>
      <c r="C6240" s="472" t="s">
        <v>5</v>
      </c>
      <c r="D6240" s="472">
        <v>151.5933</v>
      </c>
      <c r="E6240" s="472" t="s">
        <v>170</v>
      </c>
      <c r="F6240" s="474"/>
    </row>
    <row r="6241" spans="1:6" s="475" customFormat="1" ht="15">
      <c r="A6241" s="472" t="s">
        <v>11810</v>
      </c>
      <c r="B6241" s="472" t="s">
        <v>11811</v>
      </c>
      <c r="C6241" s="472" t="s">
        <v>90</v>
      </c>
      <c r="D6241" s="472">
        <v>512963.42369999998</v>
      </c>
      <c r="E6241" s="472" t="s">
        <v>170</v>
      </c>
      <c r="F6241" s="474"/>
    </row>
    <row r="6242" spans="1:6" s="475" customFormat="1" ht="15">
      <c r="A6242" s="472" t="s">
        <v>11812</v>
      </c>
      <c r="B6242" s="472" t="s">
        <v>11813</v>
      </c>
      <c r="C6242" s="472" t="s">
        <v>90</v>
      </c>
      <c r="D6242" s="472">
        <v>194.7424</v>
      </c>
      <c r="E6242" s="472" t="s">
        <v>170</v>
      </c>
      <c r="F6242" s="474"/>
    </row>
    <row r="6243" spans="1:6" s="475" customFormat="1" ht="15">
      <c r="A6243" s="472" t="s">
        <v>11814</v>
      </c>
      <c r="B6243" s="472" t="s">
        <v>11815</v>
      </c>
      <c r="C6243" s="472" t="s">
        <v>90</v>
      </c>
      <c r="D6243" s="472">
        <v>237.1542</v>
      </c>
      <c r="E6243" s="472" t="s">
        <v>170</v>
      </c>
      <c r="F6243" s="474"/>
    </row>
    <row r="6244" spans="1:6" s="475" customFormat="1" ht="15">
      <c r="A6244" s="472" t="s">
        <v>11816</v>
      </c>
      <c r="B6244" s="472" t="s">
        <v>11817</v>
      </c>
      <c r="C6244" s="472" t="s">
        <v>90</v>
      </c>
      <c r="D6244" s="472">
        <v>279.45519999999999</v>
      </c>
      <c r="E6244" s="472" t="s">
        <v>170</v>
      </c>
      <c r="F6244" s="474"/>
    </row>
    <row r="6245" spans="1:6" s="475" customFormat="1" ht="15">
      <c r="A6245" s="472" t="s">
        <v>11818</v>
      </c>
      <c r="B6245" s="472" t="s">
        <v>11819</v>
      </c>
      <c r="C6245" s="472" t="s">
        <v>90</v>
      </c>
      <c r="D6245" s="472">
        <v>252.8</v>
      </c>
      <c r="E6245" s="472" t="s">
        <v>170</v>
      </c>
      <c r="F6245" s="474"/>
    </row>
    <row r="6246" spans="1:6" s="475" customFormat="1" ht="15">
      <c r="A6246" s="472" t="s">
        <v>11820</v>
      </c>
      <c r="B6246" s="472" t="s">
        <v>11821</v>
      </c>
      <c r="C6246" s="472" t="s">
        <v>90</v>
      </c>
      <c r="D6246" s="472">
        <v>194.17150000000001</v>
      </c>
      <c r="E6246" s="472" t="s">
        <v>170</v>
      </c>
      <c r="F6246" s="474"/>
    </row>
    <row r="6247" spans="1:6" s="475" customFormat="1" ht="15">
      <c r="A6247" s="472" t="s">
        <v>11822</v>
      </c>
      <c r="B6247" s="472" t="s">
        <v>11823</v>
      </c>
      <c r="C6247" s="472" t="s">
        <v>5</v>
      </c>
      <c r="D6247" s="472">
        <v>294.57659999999998</v>
      </c>
      <c r="E6247" s="472" t="s">
        <v>170</v>
      </c>
      <c r="F6247" s="474"/>
    </row>
    <row r="6248" spans="1:6" s="475" customFormat="1" ht="15">
      <c r="A6248" s="472" t="s">
        <v>11824</v>
      </c>
      <c r="B6248" s="472" t="s">
        <v>11825</v>
      </c>
      <c r="C6248" s="472" t="s">
        <v>5</v>
      </c>
      <c r="D6248" s="472">
        <v>239.31540000000001</v>
      </c>
      <c r="E6248" s="472" t="s">
        <v>170</v>
      </c>
      <c r="F6248" s="474"/>
    </row>
    <row r="6249" spans="1:6" s="475" customFormat="1" ht="15">
      <c r="A6249" s="472" t="s">
        <v>11826</v>
      </c>
      <c r="B6249" s="472" t="s">
        <v>11827</v>
      </c>
      <c r="C6249" s="472" t="s">
        <v>90</v>
      </c>
      <c r="D6249" s="472">
        <v>152171.0368</v>
      </c>
      <c r="E6249" s="472" t="s">
        <v>170</v>
      </c>
      <c r="F6249" s="474"/>
    </row>
    <row r="6250" spans="1:6" s="475" customFormat="1" ht="15">
      <c r="A6250" s="472" t="s">
        <v>11828</v>
      </c>
      <c r="B6250" s="472" t="s">
        <v>11829</v>
      </c>
      <c r="C6250" s="472" t="s">
        <v>90</v>
      </c>
      <c r="D6250" s="472">
        <v>174130.14610000001</v>
      </c>
      <c r="E6250" s="472" t="s">
        <v>170</v>
      </c>
      <c r="F6250" s="474"/>
    </row>
    <row r="6251" spans="1:6" s="475" customFormat="1" ht="15">
      <c r="A6251" s="472" t="s">
        <v>11830</v>
      </c>
      <c r="B6251" s="472" t="s">
        <v>11831</v>
      </c>
      <c r="C6251" s="472" t="s">
        <v>90</v>
      </c>
      <c r="D6251" s="472">
        <v>223311.3222</v>
      </c>
      <c r="E6251" s="472" t="s">
        <v>170</v>
      </c>
      <c r="F6251" s="474"/>
    </row>
    <row r="6252" spans="1:6" s="475" customFormat="1" ht="15">
      <c r="A6252" s="472" t="s">
        <v>11832</v>
      </c>
      <c r="B6252" s="472" t="s">
        <v>11833</v>
      </c>
      <c r="C6252" s="472" t="s">
        <v>90</v>
      </c>
      <c r="D6252" s="472">
        <v>174615.6121</v>
      </c>
      <c r="E6252" s="472" t="s">
        <v>170</v>
      </c>
      <c r="F6252" s="474"/>
    </row>
    <row r="6253" spans="1:6" s="475" customFormat="1" ht="15">
      <c r="A6253" s="472" t="s">
        <v>11834</v>
      </c>
      <c r="B6253" s="472" t="s">
        <v>11835</v>
      </c>
      <c r="C6253" s="472" t="s">
        <v>90</v>
      </c>
      <c r="D6253" s="472">
        <v>334453.08100000001</v>
      </c>
      <c r="E6253" s="472" t="s">
        <v>170</v>
      </c>
      <c r="F6253" s="474"/>
    </row>
    <row r="6254" spans="1:6" s="475" customFormat="1" ht="15">
      <c r="A6254" s="472" t="s">
        <v>11836</v>
      </c>
      <c r="B6254" s="472" t="s">
        <v>11837</v>
      </c>
      <c r="C6254" s="472" t="s">
        <v>90</v>
      </c>
      <c r="D6254" s="472">
        <v>407333.21240000002</v>
      </c>
      <c r="E6254" s="472" t="s">
        <v>170</v>
      </c>
      <c r="F6254" s="474"/>
    </row>
    <row r="6255" spans="1:6" s="475" customFormat="1" ht="15">
      <c r="A6255" s="472" t="s">
        <v>11838</v>
      </c>
      <c r="B6255" s="472" t="s">
        <v>11839</v>
      </c>
      <c r="C6255" s="472" t="s">
        <v>90</v>
      </c>
      <c r="D6255" s="472">
        <v>403118.5759</v>
      </c>
      <c r="E6255" s="472" t="s">
        <v>170</v>
      </c>
      <c r="F6255" s="474"/>
    </row>
    <row r="6256" spans="1:6" s="475" customFormat="1" ht="15">
      <c r="A6256" s="472" t="s">
        <v>11840</v>
      </c>
      <c r="B6256" s="472" t="s">
        <v>11841</v>
      </c>
      <c r="C6256" s="472" t="s">
        <v>90</v>
      </c>
      <c r="D6256" s="472">
        <v>253.90469999999999</v>
      </c>
      <c r="E6256" s="472" t="s">
        <v>170</v>
      </c>
      <c r="F6256" s="474"/>
    </row>
    <row r="6257" spans="1:6" s="475" customFormat="1" ht="15">
      <c r="A6257" s="472" t="s">
        <v>11842</v>
      </c>
      <c r="B6257" s="472" t="s">
        <v>11843</v>
      </c>
      <c r="C6257" s="472" t="s">
        <v>90</v>
      </c>
      <c r="D6257" s="472">
        <v>724.86770000000001</v>
      </c>
      <c r="E6257" s="472" t="s">
        <v>170</v>
      </c>
      <c r="F6257" s="474"/>
    </row>
    <row r="6258" spans="1:6" s="475" customFormat="1" ht="15">
      <c r="A6258" s="472" t="s">
        <v>11844</v>
      </c>
      <c r="B6258" s="472" t="s">
        <v>11845</v>
      </c>
      <c r="C6258" s="472" t="s">
        <v>90</v>
      </c>
      <c r="D6258" s="472">
        <v>405.9819</v>
      </c>
      <c r="E6258" s="472" t="s">
        <v>170</v>
      </c>
      <c r="F6258" s="474"/>
    </row>
    <row r="6259" spans="1:6" s="475" customFormat="1" ht="15">
      <c r="A6259" s="472" t="s">
        <v>11846</v>
      </c>
      <c r="B6259" s="472" t="s">
        <v>11847</v>
      </c>
      <c r="C6259" s="472" t="s">
        <v>90</v>
      </c>
      <c r="D6259" s="472">
        <v>209924.99530000001</v>
      </c>
      <c r="E6259" s="472" t="s">
        <v>170</v>
      </c>
      <c r="F6259" s="474"/>
    </row>
    <row r="6260" spans="1:6" s="475" customFormat="1" ht="15">
      <c r="A6260" s="472" t="s">
        <v>11848</v>
      </c>
      <c r="B6260" s="472" t="s">
        <v>11849</v>
      </c>
      <c r="C6260" s="472" t="s">
        <v>90</v>
      </c>
      <c r="D6260" s="472">
        <v>253309.995</v>
      </c>
      <c r="E6260" s="472" t="s">
        <v>170</v>
      </c>
      <c r="F6260" s="474"/>
    </row>
    <row r="6261" spans="1:6" s="475" customFormat="1" ht="15">
      <c r="A6261" s="472" t="s">
        <v>11850</v>
      </c>
      <c r="B6261" s="472" t="s">
        <v>11851</v>
      </c>
      <c r="C6261" s="472" t="s">
        <v>90</v>
      </c>
      <c r="D6261" s="472">
        <v>262229.46480000002</v>
      </c>
      <c r="E6261" s="472" t="s">
        <v>170</v>
      </c>
      <c r="F6261" s="474"/>
    </row>
    <row r="6262" spans="1:6" s="475" customFormat="1" ht="15">
      <c r="A6262" s="472" t="s">
        <v>11852</v>
      </c>
      <c r="B6262" s="472" t="s">
        <v>11853</v>
      </c>
      <c r="C6262" s="472" t="s">
        <v>5</v>
      </c>
      <c r="D6262" s="472">
        <v>474.88040000000001</v>
      </c>
      <c r="E6262" s="472" t="s">
        <v>170</v>
      </c>
      <c r="F6262" s="474"/>
    </row>
    <row r="6263" spans="1:6" s="475" customFormat="1" ht="15">
      <c r="A6263" s="472" t="s">
        <v>11854</v>
      </c>
      <c r="B6263" s="472" t="s">
        <v>11855</v>
      </c>
      <c r="C6263" s="472" t="s">
        <v>5</v>
      </c>
      <c r="D6263" s="472">
        <v>642.53200000000004</v>
      </c>
      <c r="E6263" s="472" t="s">
        <v>170</v>
      </c>
      <c r="F6263" s="474"/>
    </row>
    <row r="6264" spans="1:6" s="475" customFormat="1" ht="15">
      <c r="A6264" s="472" t="s">
        <v>11856</v>
      </c>
      <c r="B6264" s="472" t="s">
        <v>11857</v>
      </c>
      <c r="C6264" s="472" t="s">
        <v>5</v>
      </c>
      <c r="D6264" s="472">
        <v>935.92359999999996</v>
      </c>
      <c r="E6264" s="472" t="s">
        <v>170</v>
      </c>
      <c r="F6264" s="474"/>
    </row>
    <row r="6265" spans="1:6" s="475" customFormat="1" ht="15">
      <c r="A6265" s="472" t="s">
        <v>11858</v>
      </c>
      <c r="B6265" s="472" t="s">
        <v>11859</v>
      </c>
      <c r="C6265" s="472" t="s">
        <v>5</v>
      </c>
      <c r="D6265" s="472">
        <v>1373.5718999999999</v>
      </c>
      <c r="E6265" s="472" t="s">
        <v>170</v>
      </c>
      <c r="F6265" s="474"/>
    </row>
    <row r="6266" spans="1:6" s="475" customFormat="1" ht="15">
      <c r="A6266" s="472" t="s">
        <v>11860</v>
      </c>
      <c r="B6266" s="472" t="s">
        <v>11861</v>
      </c>
      <c r="C6266" s="472" t="s">
        <v>5</v>
      </c>
      <c r="D6266" s="472">
        <v>1580.5939000000001</v>
      </c>
      <c r="E6266" s="472" t="s">
        <v>170</v>
      </c>
      <c r="F6266" s="474"/>
    </row>
    <row r="6267" spans="1:6" s="475" customFormat="1" ht="15">
      <c r="A6267" s="472" t="s">
        <v>11862</v>
      </c>
      <c r="B6267" s="472" t="s">
        <v>11863</v>
      </c>
      <c r="C6267" s="472" t="s">
        <v>90</v>
      </c>
      <c r="D6267" s="472">
        <v>301.12950000000001</v>
      </c>
      <c r="E6267" s="472" t="s">
        <v>170</v>
      </c>
      <c r="F6267" s="474"/>
    </row>
    <row r="6268" spans="1:6" s="475" customFormat="1" ht="15">
      <c r="A6268" s="472" t="s">
        <v>11864</v>
      </c>
      <c r="B6268" s="472" t="s">
        <v>11865</v>
      </c>
      <c r="C6268" s="472" t="s">
        <v>10075</v>
      </c>
      <c r="D6268" s="472">
        <v>88.515799999999999</v>
      </c>
      <c r="E6268" s="472" t="s">
        <v>170</v>
      </c>
      <c r="F6268" s="474"/>
    </row>
    <row r="6269" spans="1:6" s="475" customFormat="1" ht="15">
      <c r="A6269" s="472" t="s">
        <v>11866</v>
      </c>
      <c r="B6269" s="472" t="s">
        <v>11867</v>
      </c>
      <c r="C6269" s="472" t="s">
        <v>90</v>
      </c>
      <c r="D6269" s="472">
        <v>12.5297</v>
      </c>
      <c r="E6269" s="472" t="s">
        <v>170</v>
      </c>
      <c r="F6269" s="474"/>
    </row>
    <row r="6270" spans="1:6" s="475" customFormat="1" ht="15">
      <c r="A6270" s="472" t="s">
        <v>11868</v>
      </c>
      <c r="B6270" s="472" t="s">
        <v>11869</v>
      </c>
      <c r="C6270" s="472" t="s">
        <v>90</v>
      </c>
      <c r="D6270" s="472">
        <v>184.83189999999999</v>
      </c>
      <c r="E6270" s="472" t="s">
        <v>170</v>
      </c>
      <c r="F6270" s="474"/>
    </row>
    <row r="6271" spans="1:6" s="475" customFormat="1" ht="15">
      <c r="A6271" s="472" t="s">
        <v>11870</v>
      </c>
      <c r="B6271" s="472" t="s">
        <v>11871</v>
      </c>
      <c r="C6271" s="472" t="s">
        <v>6878</v>
      </c>
      <c r="D6271" s="472">
        <v>210.33580000000001</v>
      </c>
      <c r="E6271" s="472" t="s">
        <v>170</v>
      </c>
      <c r="F6271" s="474"/>
    </row>
    <row r="6272" spans="1:6" s="475" customFormat="1" ht="15">
      <c r="A6272" s="472" t="s">
        <v>11872</v>
      </c>
      <c r="B6272" s="472" t="s">
        <v>11873</v>
      </c>
      <c r="C6272" s="472" t="s">
        <v>6878</v>
      </c>
      <c r="D6272" s="472">
        <v>220.55940000000001</v>
      </c>
      <c r="E6272" s="472" t="s">
        <v>170</v>
      </c>
      <c r="F6272" s="474"/>
    </row>
    <row r="6273" spans="1:6" s="475" customFormat="1" ht="15">
      <c r="A6273" s="472" t="s">
        <v>11874</v>
      </c>
      <c r="B6273" s="472" t="s">
        <v>11875</v>
      </c>
      <c r="C6273" s="472" t="s">
        <v>6878</v>
      </c>
      <c r="D6273" s="472">
        <v>223.96080000000001</v>
      </c>
      <c r="E6273" s="472" t="s">
        <v>170</v>
      </c>
      <c r="F6273" s="474"/>
    </row>
    <row r="6274" spans="1:6" s="475" customFormat="1" ht="15">
      <c r="A6274" s="472" t="s">
        <v>11876</v>
      </c>
      <c r="B6274" s="472" t="s">
        <v>11877</v>
      </c>
      <c r="C6274" s="472" t="s">
        <v>6878</v>
      </c>
      <c r="D6274" s="472">
        <v>223.27860000000001</v>
      </c>
      <c r="E6274" s="472" t="s">
        <v>170</v>
      </c>
      <c r="F6274" s="474"/>
    </row>
    <row r="6275" spans="1:6" s="475" customFormat="1" ht="15">
      <c r="A6275" s="472" t="s">
        <v>11878</v>
      </c>
      <c r="B6275" s="472" t="s">
        <v>11879</v>
      </c>
      <c r="C6275" s="472" t="s">
        <v>90</v>
      </c>
      <c r="D6275" s="472">
        <v>748.99369999999999</v>
      </c>
      <c r="E6275" s="472" t="s">
        <v>170</v>
      </c>
      <c r="F6275" s="474"/>
    </row>
    <row r="6276" spans="1:6" s="475" customFormat="1" ht="15">
      <c r="A6276" s="472" t="s">
        <v>11880</v>
      </c>
      <c r="B6276" s="472" t="s">
        <v>11881</v>
      </c>
      <c r="C6276" s="472" t="s">
        <v>90</v>
      </c>
      <c r="D6276" s="472">
        <v>19.947199999999999</v>
      </c>
      <c r="E6276" s="472" t="s">
        <v>170</v>
      </c>
      <c r="F6276" s="474"/>
    </row>
    <row r="6277" spans="1:6" s="475" customFormat="1" ht="15">
      <c r="A6277" s="472" t="s">
        <v>11882</v>
      </c>
      <c r="B6277" s="472" t="s">
        <v>11883</v>
      </c>
      <c r="C6277" s="472" t="s">
        <v>10075</v>
      </c>
      <c r="D6277" s="472">
        <v>2706.5462000000002</v>
      </c>
      <c r="E6277" s="472" t="s">
        <v>170</v>
      </c>
      <c r="F6277" s="474"/>
    </row>
    <row r="6278" spans="1:6" s="475" customFormat="1" ht="15">
      <c r="A6278" s="472" t="s">
        <v>11884</v>
      </c>
      <c r="B6278" s="472" t="s">
        <v>11885</v>
      </c>
      <c r="C6278" s="472" t="s">
        <v>90</v>
      </c>
      <c r="D6278" s="472">
        <v>830.33860000000004</v>
      </c>
      <c r="E6278" s="472" t="s">
        <v>170</v>
      </c>
      <c r="F6278" s="474"/>
    </row>
    <row r="6279" spans="1:6" s="475" customFormat="1" ht="15">
      <c r="A6279" s="472" t="s">
        <v>11886</v>
      </c>
      <c r="B6279" s="472" t="s">
        <v>11887</v>
      </c>
      <c r="C6279" s="472" t="s">
        <v>5</v>
      </c>
      <c r="D6279" s="472">
        <v>220.75409999999999</v>
      </c>
      <c r="E6279" s="472" t="s">
        <v>170</v>
      </c>
      <c r="F6279" s="474"/>
    </row>
    <row r="6280" spans="1:6" s="475" customFormat="1" ht="15">
      <c r="A6280" s="472" t="s">
        <v>6609</v>
      </c>
      <c r="B6280" s="472" t="s">
        <v>6767</v>
      </c>
      <c r="C6280" s="472" t="s">
        <v>5</v>
      </c>
      <c r="D6280" s="472">
        <v>4.1195000000000004</v>
      </c>
      <c r="E6280" s="472" t="s">
        <v>170</v>
      </c>
      <c r="F6280" s="474"/>
    </row>
    <row r="6281" spans="1:6" s="475" customFormat="1" ht="15">
      <c r="A6281" s="472" t="s">
        <v>11888</v>
      </c>
      <c r="B6281" s="472" t="s">
        <v>11889</v>
      </c>
      <c r="C6281" s="472" t="s">
        <v>90</v>
      </c>
      <c r="D6281" s="472">
        <v>35.243899999999996</v>
      </c>
      <c r="E6281" s="472" t="s">
        <v>170</v>
      </c>
      <c r="F6281" s="474"/>
    </row>
    <row r="6282" spans="1:6" s="475" customFormat="1" ht="15">
      <c r="A6282" s="472" t="s">
        <v>11890</v>
      </c>
      <c r="B6282" s="472" t="s">
        <v>11891</v>
      </c>
      <c r="C6282" s="472" t="s">
        <v>90</v>
      </c>
      <c r="D6282" s="472">
        <v>68.138400000000004</v>
      </c>
      <c r="E6282" s="472" t="s">
        <v>170</v>
      </c>
      <c r="F6282" s="474"/>
    </row>
    <row r="6283" spans="1:6" s="475" customFormat="1" ht="15">
      <c r="A6283" s="472" t="s">
        <v>11892</v>
      </c>
      <c r="B6283" s="472" t="s">
        <v>11893</v>
      </c>
      <c r="C6283" s="472" t="s">
        <v>90</v>
      </c>
      <c r="D6283" s="472">
        <v>1.0797000000000001</v>
      </c>
      <c r="E6283" s="472" t="s">
        <v>170</v>
      </c>
      <c r="F6283" s="474"/>
    </row>
    <row r="6284" spans="1:6" s="475" customFormat="1" ht="15">
      <c r="A6284" s="472" t="s">
        <v>11894</v>
      </c>
      <c r="B6284" s="472" t="s">
        <v>11895</v>
      </c>
      <c r="C6284" s="472" t="s">
        <v>90</v>
      </c>
      <c r="D6284" s="472">
        <v>2.0529999999999999</v>
      </c>
      <c r="E6284" s="472" t="s">
        <v>170</v>
      </c>
      <c r="F6284" s="474"/>
    </row>
    <row r="6285" spans="1:6" s="475" customFormat="1" ht="15">
      <c r="A6285" s="472" t="s">
        <v>11896</v>
      </c>
      <c r="B6285" s="472" t="s">
        <v>11897</v>
      </c>
      <c r="C6285" s="472" t="s">
        <v>5</v>
      </c>
      <c r="D6285" s="472">
        <v>2.4868000000000001</v>
      </c>
      <c r="E6285" s="472" t="s">
        <v>170</v>
      </c>
      <c r="F6285" s="474"/>
    </row>
    <row r="6286" spans="1:6" s="475" customFormat="1" ht="15">
      <c r="A6286" s="472" t="s">
        <v>11898</v>
      </c>
      <c r="B6286" s="472" t="s">
        <v>11899</v>
      </c>
      <c r="C6286" s="472" t="s">
        <v>5</v>
      </c>
      <c r="D6286" s="472">
        <v>3.3027000000000002</v>
      </c>
      <c r="E6286" s="472" t="s">
        <v>170</v>
      </c>
      <c r="F6286" s="474"/>
    </row>
    <row r="6287" spans="1:6" s="475" customFormat="1" ht="15">
      <c r="A6287" s="472" t="s">
        <v>11900</v>
      </c>
      <c r="B6287" s="472" t="s">
        <v>11901</v>
      </c>
      <c r="C6287" s="472" t="s">
        <v>90</v>
      </c>
      <c r="D6287" s="472">
        <v>1.6553</v>
      </c>
      <c r="E6287" s="472" t="s">
        <v>170</v>
      </c>
      <c r="F6287" s="474"/>
    </row>
    <row r="6288" spans="1:6" s="475" customFormat="1" ht="15">
      <c r="A6288" s="472" t="s">
        <v>11902</v>
      </c>
      <c r="B6288" s="472" t="s">
        <v>11903</v>
      </c>
      <c r="C6288" s="472" t="s">
        <v>90</v>
      </c>
      <c r="D6288" s="472">
        <v>0.64549999999999996</v>
      </c>
      <c r="E6288" s="472" t="s">
        <v>170</v>
      </c>
      <c r="F6288" s="474"/>
    </row>
    <row r="6289" spans="1:6" s="475" customFormat="1" ht="15">
      <c r="A6289" s="472" t="s">
        <v>11904</v>
      </c>
      <c r="B6289" s="472" t="s">
        <v>11905</v>
      </c>
      <c r="C6289" s="472" t="s">
        <v>89</v>
      </c>
      <c r="D6289" s="472">
        <v>9.7681000000000004</v>
      </c>
      <c r="E6289" s="472" t="s">
        <v>170</v>
      </c>
      <c r="F6289" s="474"/>
    </row>
    <row r="6290" spans="1:6" s="475" customFormat="1" ht="15">
      <c r="A6290" s="472" t="s">
        <v>11906</v>
      </c>
      <c r="B6290" s="472" t="s">
        <v>11907</v>
      </c>
      <c r="C6290" s="472" t="s">
        <v>89</v>
      </c>
      <c r="D6290" s="472">
        <v>10.201599999999999</v>
      </c>
      <c r="E6290" s="472" t="s">
        <v>170</v>
      </c>
      <c r="F6290" s="474"/>
    </row>
    <row r="6291" spans="1:6" s="475" customFormat="1" ht="15">
      <c r="A6291" s="472" t="s">
        <v>11908</v>
      </c>
      <c r="B6291" s="472" t="s">
        <v>11909</v>
      </c>
      <c r="C6291" s="472" t="s">
        <v>5</v>
      </c>
      <c r="D6291" s="472">
        <v>14.3833</v>
      </c>
      <c r="E6291" s="472" t="s">
        <v>170</v>
      </c>
      <c r="F6291" s="474"/>
    </row>
    <row r="6292" spans="1:6" s="475" customFormat="1" ht="15">
      <c r="A6292" s="472" t="s">
        <v>11910</v>
      </c>
      <c r="B6292" s="472" t="s">
        <v>11911</v>
      </c>
      <c r="C6292" s="472" t="s">
        <v>5</v>
      </c>
      <c r="D6292" s="472">
        <v>12.2597</v>
      </c>
      <c r="E6292" s="472" t="s">
        <v>170</v>
      </c>
      <c r="F6292" s="474"/>
    </row>
    <row r="6293" spans="1:6" s="475" customFormat="1" ht="15">
      <c r="A6293" s="472" t="s">
        <v>11912</v>
      </c>
      <c r="B6293" s="472" t="s">
        <v>11913</v>
      </c>
      <c r="C6293" s="472" t="s">
        <v>90</v>
      </c>
      <c r="D6293" s="472">
        <v>194.82040000000001</v>
      </c>
      <c r="E6293" s="472" t="s">
        <v>170</v>
      </c>
      <c r="F6293" s="474"/>
    </row>
    <row r="6294" spans="1:6" s="475" customFormat="1" ht="15">
      <c r="A6294" s="472" t="s">
        <v>11914</v>
      </c>
      <c r="B6294" s="472" t="s">
        <v>11915</v>
      </c>
      <c r="C6294" s="472" t="s">
        <v>90</v>
      </c>
      <c r="D6294" s="472">
        <v>741.55849999999998</v>
      </c>
      <c r="E6294" s="472" t="s">
        <v>170</v>
      </c>
      <c r="F6294" s="474"/>
    </row>
    <row r="6295" spans="1:6" s="475" customFormat="1" ht="15">
      <c r="A6295" s="472" t="s">
        <v>11916</v>
      </c>
      <c r="B6295" s="472" t="s">
        <v>11917</v>
      </c>
      <c r="C6295" s="472" t="s">
        <v>90</v>
      </c>
      <c r="D6295" s="472">
        <v>56.223999999999997</v>
      </c>
      <c r="E6295" s="472" t="s">
        <v>170</v>
      </c>
      <c r="F6295" s="474"/>
    </row>
    <row r="6296" spans="1:6" s="475" customFormat="1" ht="15">
      <c r="A6296" s="472" t="s">
        <v>11918</v>
      </c>
      <c r="B6296" s="472" t="s">
        <v>11919</v>
      </c>
      <c r="C6296" s="472" t="s">
        <v>90</v>
      </c>
      <c r="D6296" s="472">
        <v>71.679299999999998</v>
      </c>
      <c r="E6296" s="472" t="s">
        <v>170</v>
      </c>
      <c r="F6296" s="474"/>
    </row>
    <row r="6297" spans="1:6" s="475" customFormat="1" ht="15">
      <c r="A6297" s="472" t="s">
        <v>11920</v>
      </c>
      <c r="B6297" s="472" t="s">
        <v>11921</v>
      </c>
      <c r="C6297" s="472" t="s">
        <v>90</v>
      </c>
      <c r="D6297" s="472">
        <v>155.83279999999999</v>
      </c>
      <c r="E6297" s="472" t="s">
        <v>170</v>
      </c>
      <c r="F6297" s="474"/>
    </row>
    <row r="6298" spans="1:6" s="475" customFormat="1" ht="15">
      <c r="A6298" s="472" t="s">
        <v>11922</v>
      </c>
      <c r="B6298" s="472" t="s">
        <v>11923</v>
      </c>
      <c r="C6298" s="472" t="s">
        <v>90</v>
      </c>
      <c r="D6298" s="472">
        <v>186.3441</v>
      </c>
      <c r="E6298" s="472" t="s">
        <v>170</v>
      </c>
      <c r="F6298" s="474"/>
    </row>
    <row r="6299" spans="1:6" s="475" customFormat="1" ht="15">
      <c r="A6299" s="472" t="s">
        <v>11924</v>
      </c>
      <c r="B6299" s="472" t="s">
        <v>11925</v>
      </c>
      <c r="C6299" s="472" t="s">
        <v>90</v>
      </c>
      <c r="D6299" s="472">
        <v>264.9169</v>
      </c>
      <c r="E6299" s="472" t="s">
        <v>170</v>
      </c>
      <c r="F6299" s="474"/>
    </row>
    <row r="6300" spans="1:6" s="475" customFormat="1" ht="15">
      <c r="A6300" s="472" t="s">
        <v>11926</v>
      </c>
      <c r="B6300" s="472" t="s">
        <v>11927</v>
      </c>
      <c r="C6300" s="472" t="s">
        <v>90</v>
      </c>
      <c r="D6300" s="472">
        <v>280.46420000000001</v>
      </c>
      <c r="E6300" s="472" t="s">
        <v>170</v>
      </c>
      <c r="F6300" s="474"/>
    </row>
    <row r="6301" spans="1:6" s="475" customFormat="1" ht="15">
      <c r="A6301" s="472" t="s">
        <v>11928</v>
      </c>
      <c r="B6301" s="472" t="s">
        <v>11929</v>
      </c>
      <c r="C6301" s="472" t="s">
        <v>90</v>
      </c>
      <c r="D6301" s="472">
        <v>346.20839999999998</v>
      </c>
      <c r="E6301" s="472" t="s">
        <v>170</v>
      </c>
      <c r="F6301" s="474"/>
    </row>
    <row r="6302" spans="1:6" s="475" customFormat="1" ht="15">
      <c r="A6302" s="472" t="s">
        <v>11930</v>
      </c>
      <c r="B6302" s="472" t="s">
        <v>11931</v>
      </c>
      <c r="C6302" s="472" t="s">
        <v>90</v>
      </c>
      <c r="D6302" s="472">
        <v>357.57549999999998</v>
      </c>
      <c r="E6302" s="472" t="s">
        <v>170</v>
      </c>
      <c r="F6302" s="474"/>
    </row>
    <row r="6303" spans="1:6" s="475" customFormat="1" ht="15">
      <c r="A6303" s="472" t="s">
        <v>11932</v>
      </c>
      <c r="B6303" s="472" t="s">
        <v>11933</v>
      </c>
      <c r="C6303" s="472" t="s">
        <v>90</v>
      </c>
      <c r="D6303" s="472">
        <v>439.85329999999999</v>
      </c>
      <c r="E6303" s="472" t="s">
        <v>170</v>
      </c>
      <c r="F6303" s="474"/>
    </row>
    <row r="6304" spans="1:6" s="475" customFormat="1" ht="15">
      <c r="A6304" s="472" t="s">
        <v>11934</v>
      </c>
      <c r="B6304" s="472" t="s">
        <v>11935</v>
      </c>
      <c r="C6304" s="472" t="s">
        <v>90</v>
      </c>
      <c r="D6304" s="472">
        <v>424.61759999999998</v>
      </c>
      <c r="E6304" s="472" t="s">
        <v>170</v>
      </c>
      <c r="F6304" s="474"/>
    </row>
    <row r="6305" spans="1:6" s="475" customFormat="1" ht="15">
      <c r="A6305" s="472" t="s">
        <v>11936</v>
      </c>
      <c r="B6305" s="472" t="s">
        <v>11937</v>
      </c>
      <c r="C6305" s="472" t="s">
        <v>90</v>
      </c>
      <c r="D6305" s="472">
        <v>516.97220000000004</v>
      </c>
      <c r="E6305" s="472" t="s">
        <v>170</v>
      </c>
      <c r="F6305" s="474"/>
    </row>
    <row r="6306" spans="1:6" s="475" customFormat="1" ht="15">
      <c r="A6306" s="472" t="s">
        <v>11938</v>
      </c>
      <c r="B6306" s="472" t="s">
        <v>11939</v>
      </c>
      <c r="C6306" s="472" t="s">
        <v>90</v>
      </c>
      <c r="D6306" s="472">
        <v>538.39819999999997</v>
      </c>
      <c r="E6306" s="472" t="s">
        <v>170</v>
      </c>
      <c r="F6306" s="474"/>
    </row>
    <row r="6307" spans="1:6" s="475" customFormat="1" ht="15">
      <c r="A6307" s="472" t="s">
        <v>11940</v>
      </c>
      <c r="B6307" s="472" t="s">
        <v>11941</v>
      </c>
      <c r="C6307" s="472" t="s">
        <v>90</v>
      </c>
      <c r="D6307" s="472">
        <v>645.32740000000001</v>
      </c>
      <c r="E6307" s="472" t="s">
        <v>170</v>
      </c>
      <c r="F6307" s="474"/>
    </row>
    <row r="6308" spans="1:6" s="475" customFormat="1" ht="15">
      <c r="A6308" s="472" t="s">
        <v>11942</v>
      </c>
      <c r="B6308" s="472" t="s">
        <v>11943</v>
      </c>
      <c r="C6308" s="472" t="s">
        <v>90</v>
      </c>
      <c r="D6308" s="472">
        <v>619.64639999999997</v>
      </c>
      <c r="E6308" s="472" t="s">
        <v>170</v>
      </c>
      <c r="F6308" s="474"/>
    </row>
    <row r="6309" spans="1:6" s="475" customFormat="1" ht="15">
      <c r="A6309" s="472" t="s">
        <v>11944</v>
      </c>
      <c r="B6309" s="472" t="s">
        <v>11945</v>
      </c>
      <c r="C6309" s="472" t="s">
        <v>90</v>
      </c>
      <c r="D6309" s="472">
        <v>76.368499999999997</v>
      </c>
      <c r="E6309" s="472" t="s">
        <v>170</v>
      </c>
      <c r="F6309" s="474"/>
    </row>
    <row r="6310" spans="1:6" s="475" customFormat="1" ht="15">
      <c r="A6310" s="472" t="s">
        <v>11946</v>
      </c>
      <c r="B6310" s="472" t="s">
        <v>11947</v>
      </c>
      <c r="C6310" s="472" t="s">
        <v>90</v>
      </c>
      <c r="D6310" s="472">
        <v>107.5304</v>
      </c>
      <c r="E6310" s="472" t="s">
        <v>170</v>
      </c>
      <c r="F6310" s="474"/>
    </row>
    <row r="6311" spans="1:6" s="475" customFormat="1" ht="15">
      <c r="A6311" s="472" t="s">
        <v>11948</v>
      </c>
      <c r="B6311" s="472" t="s">
        <v>11949</v>
      </c>
      <c r="C6311" s="472" t="s">
        <v>90</v>
      </c>
      <c r="D6311" s="472">
        <v>115.9147</v>
      </c>
      <c r="E6311" s="472" t="s">
        <v>170</v>
      </c>
      <c r="F6311" s="474"/>
    </row>
    <row r="6312" spans="1:6" s="475" customFormat="1" ht="15">
      <c r="A6312" s="472" t="s">
        <v>11950</v>
      </c>
      <c r="B6312" s="472" t="s">
        <v>11951</v>
      </c>
      <c r="C6312" s="472" t="s">
        <v>90</v>
      </c>
      <c r="D6312" s="472">
        <v>162.57329999999999</v>
      </c>
      <c r="E6312" s="472" t="s">
        <v>170</v>
      </c>
      <c r="F6312" s="474"/>
    </row>
    <row r="6313" spans="1:6" s="475" customFormat="1" ht="15">
      <c r="A6313" s="472" t="s">
        <v>11952</v>
      </c>
      <c r="B6313" s="472" t="s">
        <v>11953</v>
      </c>
      <c r="C6313" s="472" t="s">
        <v>90</v>
      </c>
      <c r="D6313" s="472">
        <v>123.5475</v>
      </c>
      <c r="E6313" s="472" t="s">
        <v>170</v>
      </c>
      <c r="F6313" s="474"/>
    </row>
    <row r="6314" spans="1:6" s="475" customFormat="1" ht="15">
      <c r="A6314" s="472" t="s">
        <v>11954</v>
      </c>
      <c r="B6314" s="472" t="s">
        <v>11955</v>
      </c>
      <c r="C6314" s="472" t="s">
        <v>90</v>
      </c>
      <c r="D6314" s="472">
        <v>170.18610000000001</v>
      </c>
      <c r="E6314" s="472" t="s">
        <v>170</v>
      </c>
      <c r="F6314" s="474"/>
    </row>
    <row r="6315" spans="1:6" s="475" customFormat="1" ht="15">
      <c r="A6315" s="472" t="s">
        <v>11956</v>
      </c>
      <c r="B6315" s="472" t="s">
        <v>11957</v>
      </c>
      <c r="C6315" s="472" t="s">
        <v>90</v>
      </c>
      <c r="D6315" s="472">
        <v>138.8133</v>
      </c>
      <c r="E6315" s="472" t="s">
        <v>170</v>
      </c>
      <c r="F6315" s="474"/>
    </row>
    <row r="6316" spans="1:6" s="475" customFormat="1" ht="15">
      <c r="A6316" s="472" t="s">
        <v>11958</v>
      </c>
      <c r="B6316" s="472" t="s">
        <v>11959</v>
      </c>
      <c r="C6316" s="472" t="s">
        <v>90</v>
      </c>
      <c r="D6316" s="472">
        <v>154.7587</v>
      </c>
      <c r="E6316" s="472" t="s">
        <v>170</v>
      </c>
      <c r="F6316" s="474"/>
    </row>
    <row r="6317" spans="1:6" s="475" customFormat="1" ht="15">
      <c r="A6317" s="472" t="s">
        <v>11960</v>
      </c>
      <c r="B6317" s="472" t="s">
        <v>11961</v>
      </c>
      <c r="C6317" s="472" t="s">
        <v>90</v>
      </c>
      <c r="D6317" s="472">
        <v>217.191</v>
      </c>
      <c r="E6317" s="472" t="s">
        <v>170</v>
      </c>
      <c r="F6317" s="474"/>
    </row>
    <row r="6318" spans="1:6" s="475" customFormat="1" ht="15">
      <c r="A6318" s="472" t="s">
        <v>11962</v>
      </c>
      <c r="B6318" s="472" t="s">
        <v>11963</v>
      </c>
      <c r="C6318" s="472" t="s">
        <v>90</v>
      </c>
      <c r="D6318" s="472">
        <v>24.948699999999999</v>
      </c>
      <c r="E6318" s="472" t="s">
        <v>170</v>
      </c>
      <c r="F6318" s="474"/>
    </row>
    <row r="6319" spans="1:6" s="475" customFormat="1" ht="15">
      <c r="A6319" s="472" t="s">
        <v>11964</v>
      </c>
      <c r="B6319" s="472" t="s">
        <v>11965</v>
      </c>
      <c r="C6319" s="472" t="s">
        <v>90</v>
      </c>
      <c r="D6319" s="472">
        <v>37.370600000000003</v>
      </c>
      <c r="E6319" s="472" t="s">
        <v>170</v>
      </c>
      <c r="F6319" s="474"/>
    </row>
    <row r="6320" spans="1:6" s="475" customFormat="1" ht="15">
      <c r="A6320" s="472" t="s">
        <v>11966</v>
      </c>
      <c r="B6320" s="472" t="s">
        <v>11967</v>
      </c>
      <c r="C6320" s="472" t="s">
        <v>90</v>
      </c>
      <c r="D6320" s="472">
        <v>34.918399999999998</v>
      </c>
      <c r="E6320" s="472" t="s">
        <v>170</v>
      </c>
      <c r="F6320" s="474"/>
    </row>
    <row r="6321" spans="1:6" s="475" customFormat="1" ht="15">
      <c r="A6321" s="472" t="s">
        <v>11968</v>
      </c>
      <c r="B6321" s="472" t="s">
        <v>11969</v>
      </c>
      <c r="C6321" s="472" t="s">
        <v>90</v>
      </c>
      <c r="D6321" s="472">
        <v>49.841099999999997</v>
      </c>
      <c r="E6321" s="472" t="s">
        <v>170</v>
      </c>
      <c r="F6321" s="474"/>
    </row>
    <row r="6322" spans="1:6" s="475" customFormat="1" ht="15">
      <c r="A6322" s="472" t="s">
        <v>11970</v>
      </c>
      <c r="B6322" s="472" t="s">
        <v>11971</v>
      </c>
      <c r="C6322" s="472" t="s">
        <v>90</v>
      </c>
      <c r="D6322" s="472">
        <v>43.718400000000003</v>
      </c>
      <c r="E6322" s="472" t="s">
        <v>170</v>
      </c>
      <c r="F6322" s="474"/>
    </row>
    <row r="6323" spans="1:6" s="475" customFormat="1" ht="15">
      <c r="A6323" s="472" t="s">
        <v>11972</v>
      </c>
      <c r="B6323" s="472" t="s">
        <v>11973</v>
      </c>
      <c r="C6323" s="472" t="s">
        <v>90</v>
      </c>
      <c r="D6323" s="472">
        <v>62.367699999999999</v>
      </c>
      <c r="E6323" s="472" t="s">
        <v>170</v>
      </c>
      <c r="F6323" s="474"/>
    </row>
    <row r="6324" spans="1:6" s="475" customFormat="1" ht="15">
      <c r="A6324" s="472" t="s">
        <v>11974</v>
      </c>
      <c r="B6324" s="472" t="s">
        <v>11975</v>
      </c>
      <c r="C6324" s="472" t="s">
        <v>90</v>
      </c>
      <c r="D6324" s="472">
        <v>62.415900000000001</v>
      </c>
      <c r="E6324" s="472" t="s">
        <v>170</v>
      </c>
      <c r="F6324" s="474"/>
    </row>
    <row r="6325" spans="1:6" s="475" customFormat="1" ht="15">
      <c r="A6325" s="472" t="s">
        <v>11976</v>
      </c>
      <c r="B6325" s="472" t="s">
        <v>11977</v>
      </c>
      <c r="C6325" s="472" t="s">
        <v>90</v>
      </c>
      <c r="D6325" s="472">
        <v>91.5779</v>
      </c>
      <c r="E6325" s="472" t="s">
        <v>170</v>
      </c>
      <c r="F6325" s="474"/>
    </row>
    <row r="6326" spans="1:6" s="475" customFormat="1" ht="15">
      <c r="A6326" s="472" t="s">
        <v>11978</v>
      </c>
      <c r="B6326" s="472" t="s">
        <v>11979</v>
      </c>
      <c r="C6326" s="472" t="s">
        <v>5</v>
      </c>
      <c r="D6326" s="472">
        <v>5.7168000000000001</v>
      </c>
      <c r="E6326" s="472" t="s">
        <v>170</v>
      </c>
      <c r="F6326" s="474"/>
    </row>
    <row r="6327" spans="1:6" s="475" customFormat="1" ht="15">
      <c r="A6327" s="472" t="s">
        <v>7995</v>
      </c>
      <c r="B6327" s="472" t="s">
        <v>8009</v>
      </c>
      <c r="C6327" s="472" t="s">
        <v>5</v>
      </c>
      <c r="D6327" s="472">
        <v>16.379899999999999</v>
      </c>
      <c r="E6327" s="472" t="s">
        <v>170</v>
      </c>
      <c r="F6327" s="474"/>
    </row>
    <row r="6328" spans="1:6" s="475" customFormat="1" ht="15">
      <c r="A6328" s="472" t="s">
        <v>11980</v>
      </c>
      <c r="B6328" s="472" t="s">
        <v>11981</v>
      </c>
      <c r="C6328" s="472" t="s">
        <v>5</v>
      </c>
      <c r="D6328" s="472">
        <v>17.347999999999999</v>
      </c>
      <c r="E6328" s="472" t="s">
        <v>170</v>
      </c>
      <c r="F6328" s="474"/>
    </row>
    <row r="6329" spans="1:6" s="475" customFormat="1" ht="15">
      <c r="A6329" s="472" t="s">
        <v>11982</v>
      </c>
      <c r="B6329" s="472" t="s">
        <v>11983</v>
      </c>
      <c r="C6329" s="472" t="s">
        <v>5</v>
      </c>
      <c r="D6329" s="472">
        <v>19.028199999999998</v>
      </c>
      <c r="E6329" s="472" t="s">
        <v>170</v>
      </c>
      <c r="F6329" s="474"/>
    </row>
    <row r="6330" spans="1:6" s="475" customFormat="1" ht="15">
      <c r="A6330" s="472" t="s">
        <v>11984</v>
      </c>
      <c r="B6330" s="472" t="s">
        <v>11985</v>
      </c>
      <c r="C6330" s="472" t="s">
        <v>5</v>
      </c>
      <c r="D6330" s="472">
        <v>20.838699999999999</v>
      </c>
      <c r="E6330" s="472" t="s">
        <v>170</v>
      </c>
      <c r="F6330" s="474"/>
    </row>
    <row r="6331" spans="1:6" s="475" customFormat="1" ht="15">
      <c r="A6331" s="472" t="s">
        <v>11986</v>
      </c>
      <c r="B6331" s="472" t="s">
        <v>11987</v>
      </c>
      <c r="C6331" s="472" t="s">
        <v>5</v>
      </c>
      <c r="D6331" s="472">
        <v>28.7273</v>
      </c>
      <c r="E6331" s="472" t="s">
        <v>170</v>
      </c>
      <c r="F6331" s="474"/>
    </row>
    <row r="6332" spans="1:6" s="475" customFormat="1" ht="15">
      <c r="A6332" s="472" t="s">
        <v>11988</v>
      </c>
      <c r="B6332" s="472" t="s">
        <v>11989</v>
      </c>
      <c r="C6332" s="472" t="s">
        <v>5</v>
      </c>
      <c r="D6332" s="472">
        <v>32.453699999999998</v>
      </c>
      <c r="E6332" s="472" t="s">
        <v>170</v>
      </c>
      <c r="F6332" s="474"/>
    </row>
    <row r="6333" spans="1:6" s="475" customFormat="1" ht="15">
      <c r="A6333" s="472" t="s">
        <v>11990</v>
      </c>
      <c r="B6333" s="472" t="s">
        <v>11991</v>
      </c>
      <c r="C6333" s="472" t="s">
        <v>5</v>
      </c>
      <c r="D6333" s="472">
        <v>34.254199999999997</v>
      </c>
      <c r="E6333" s="472" t="s">
        <v>170</v>
      </c>
      <c r="F6333" s="474"/>
    </row>
    <row r="6334" spans="1:6" s="475" customFormat="1" ht="15">
      <c r="A6334" s="472" t="s">
        <v>11992</v>
      </c>
      <c r="B6334" s="472" t="s">
        <v>11993</v>
      </c>
      <c r="C6334" s="472" t="s">
        <v>5</v>
      </c>
      <c r="D6334" s="472">
        <v>36.676699999999997</v>
      </c>
      <c r="E6334" s="472" t="s">
        <v>170</v>
      </c>
      <c r="F6334" s="474"/>
    </row>
    <row r="6335" spans="1:6" s="475" customFormat="1" ht="15">
      <c r="A6335" s="472" t="s">
        <v>11994</v>
      </c>
      <c r="B6335" s="472" t="s">
        <v>11995</v>
      </c>
      <c r="C6335" s="472" t="s">
        <v>5</v>
      </c>
      <c r="D6335" s="472">
        <v>45.053899999999999</v>
      </c>
      <c r="E6335" s="472" t="s">
        <v>170</v>
      </c>
      <c r="F6335" s="474"/>
    </row>
    <row r="6336" spans="1:6" s="475" customFormat="1" ht="15">
      <c r="A6336" s="472" t="s">
        <v>11996</v>
      </c>
      <c r="B6336" s="472" t="s">
        <v>11997</v>
      </c>
      <c r="C6336" s="472" t="s">
        <v>5</v>
      </c>
      <c r="D6336" s="472">
        <v>47.559399999999997</v>
      </c>
      <c r="E6336" s="472" t="s">
        <v>170</v>
      </c>
      <c r="F6336" s="474"/>
    </row>
    <row r="6337" spans="1:6" s="475" customFormat="1" ht="15">
      <c r="A6337" s="472" t="s">
        <v>11998</v>
      </c>
      <c r="B6337" s="472" t="s">
        <v>11999</v>
      </c>
      <c r="C6337" s="472" t="s">
        <v>5</v>
      </c>
      <c r="D6337" s="472">
        <v>50.643700000000003</v>
      </c>
      <c r="E6337" s="472" t="s">
        <v>170</v>
      </c>
      <c r="F6337" s="474"/>
    </row>
    <row r="6338" spans="1:6" s="475" customFormat="1" ht="15">
      <c r="A6338" s="472" t="s">
        <v>12000</v>
      </c>
      <c r="B6338" s="472" t="s">
        <v>12001</v>
      </c>
      <c r="C6338" s="472" t="s">
        <v>5</v>
      </c>
      <c r="D6338" s="472">
        <v>54.470500000000001</v>
      </c>
      <c r="E6338" s="472" t="s">
        <v>170</v>
      </c>
      <c r="F6338" s="474"/>
    </row>
    <row r="6339" spans="1:6" s="475" customFormat="1" ht="15">
      <c r="A6339" s="472" t="s">
        <v>12002</v>
      </c>
      <c r="B6339" s="472" t="s">
        <v>12003</v>
      </c>
      <c r="C6339" s="472" t="s">
        <v>5</v>
      </c>
      <c r="D6339" s="472">
        <v>59.430399999999999</v>
      </c>
      <c r="E6339" s="472" t="s">
        <v>170</v>
      </c>
      <c r="F6339" s="474"/>
    </row>
    <row r="6340" spans="1:6" s="475" customFormat="1" ht="15">
      <c r="A6340" s="472" t="s">
        <v>12004</v>
      </c>
      <c r="B6340" s="472" t="s">
        <v>12005</v>
      </c>
      <c r="C6340" s="472" t="s">
        <v>5</v>
      </c>
      <c r="D6340" s="472">
        <v>63.352600000000002</v>
      </c>
      <c r="E6340" s="472" t="s">
        <v>170</v>
      </c>
      <c r="F6340" s="474"/>
    </row>
    <row r="6341" spans="1:6" s="475" customFormat="1" ht="15">
      <c r="A6341" s="472" t="s">
        <v>12006</v>
      </c>
      <c r="B6341" s="472" t="s">
        <v>12007</v>
      </c>
      <c r="C6341" s="472" t="s">
        <v>5</v>
      </c>
      <c r="D6341" s="472">
        <v>66.632099999999994</v>
      </c>
      <c r="E6341" s="472" t="s">
        <v>170</v>
      </c>
      <c r="F6341" s="474"/>
    </row>
    <row r="6342" spans="1:6" s="475" customFormat="1" ht="15">
      <c r="A6342" s="472" t="s">
        <v>12008</v>
      </c>
      <c r="B6342" s="472" t="s">
        <v>12009</v>
      </c>
      <c r="C6342" s="472" t="s">
        <v>5</v>
      </c>
      <c r="D6342" s="472">
        <v>91.279799999999994</v>
      </c>
      <c r="E6342" s="472" t="s">
        <v>170</v>
      </c>
      <c r="F6342" s="474"/>
    </row>
    <row r="6343" spans="1:6" s="475" customFormat="1" ht="15">
      <c r="A6343" s="472" t="s">
        <v>12010</v>
      </c>
      <c r="B6343" s="472" t="s">
        <v>12011</v>
      </c>
      <c r="C6343" s="472" t="s">
        <v>5</v>
      </c>
      <c r="D6343" s="472">
        <v>14.019600000000001</v>
      </c>
      <c r="E6343" s="472" t="s">
        <v>170</v>
      </c>
      <c r="F6343" s="474"/>
    </row>
    <row r="6344" spans="1:6" s="475" customFormat="1" ht="15">
      <c r="A6344" s="472" t="s">
        <v>12012</v>
      </c>
      <c r="B6344" s="472" t="s">
        <v>12013</v>
      </c>
      <c r="C6344" s="472" t="s">
        <v>5</v>
      </c>
      <c r="D6344" s="472">
        <v>16.392399999999999</v>
      </c>
      <c r="E6344" s="472" t="s">
        <v>170</v>
      </c>
      <c r="F6344" s="474"/>
    </row>
    <row r="6345" spans="1:6" s="475" customFormat="1" ht="15">
      <c r="A6345" s="472" t="s">
        <v>12014</v>
      </c>
      <c r="B6345" s="472" t="s">
        <v>12015</v>
      </c>
      <c r="C6345" s="472" t="s">
        <v>5</v>
      </c>
      <c r="D6345" s="472">
        <v>18.811499999999999</v>
      </c>
      <c r="E6345" s="472" t="s">
        <v>170</v>
      </c>
      <c r="F6345" s="474"/>
    </row>
    <row r="6346" spans="1:6" s="475" customFormat="1" ht="15">
      <c r="A6346" s="472" t="s">
        <v>12016</v>
      </c>
      <c r="B6346" s="472" t="s">
        <v>12017</v>
      </c>
      <c r="C6346" s="472" t="s">
        <v>5</v>
      </c>
      <c r="D6346" s="472">
        <v>13.887700000000001</v>
      </c>
      <c r="E6346" s="472" t="s">
        <v>170</v>
      </c>
      <c r="F6346" s="474"/>
    </row>
    <row r="6347" spans="1:6" s="475" customFormat="1" ht="15">
      <c r="A6347" s="472" t="s">
        <v>12018</v>
      </c>
      <c r="B6347" s="472" t="s">
        <v>12019</v>
      </c>
      <c r="C6347" s="472" t="s">
        <v>5</v>
      </c>
      <c r="D6347" s="472">
        <v>17.3005</v>
      </c>
      <c r="E6347" s="472" t="s">
        <v>170</v>
      </c>
      <c r="F6347" s="474"/>
    </row>
    <row r="6348" spans="1:6" s="475" customFormat="1" ht="15">
      <c r="A6348" s="472" t="s">
        <v>12020</v>
      </c>
      <c r="B6348" s="472" t="s">
        <v>12021</v>
      </c>
      <c r="C6348" s="472" t="s">
        <v>5</v>
      </c>
      <c r="D6348" s="472">
        <v>20.5166</v>
      </c>
      <c r="E6348" s="472" t="s">
        <v>170</v>
      </c>
      <c r="F6348" s="474"/>
    </row>
    <row r="6349" spans="1:6" s="475" customFormat="1" ht="15">
      <c r="A6349" s="472" t="s">
        <v>12022</v>
      </c>
      <c r="B6349" s="472" t="s">
        <v>12023</v>
      </c>
      <c r="C6349" s="472" t="s">
        <v>90</v>
      </c>
      <c r="D6349" s="472">
        <v>0.29870000000000002</v>
      </c>
      <c r="E6349" s="472" t="s">
        <v>170</v>
      </c>
      <c r="F6349" s="474"/>
    </row>
    <row r="6350" spans="1:6" s="475" customFormat="1" ht="15">
      <c r="A6350" s="472" t="s">
        <v>6879</v>
      </c>
      <c r="B6350" s="472" t="s">
        <v>7827</v>
      </c>
      <c r="C6350" s="472" t="s">
        <v>90</v>
      </c>
      <c r="D6350" s="472">
        <v>473.06760000000003</v>
      </c>
      <c r="E6350" s="472" t="s">
        <v>170</v>
      </c>
      <c r="F6350" s="474"/>
    </row>
    <row r="6351" spans="1:6" s="475" customFormat="1" ht="15">
      <c r="A6351" s="472" t="s">
        <v>6880</v>
      </c>
      <c r="B6351" s="472" t="s">
        <v>7828</v>
      </c>
      <c r="C6351" s="472" t="s">
        <v>90</v>
      </c>
      <c r="D6351" s="472">
        <v>935.77070000000003</v>
      </c>
      <c r="E6351" s="472" t="s">
        <v>170</v>
      </c>
      <c r="F6351" s="474"/>
    </row>
    <row r="6352" spans="1:6" s="475" customFormat="1" ht="15">
      <c r="A6352" s="472" t="s">
        <v>12024</v>
      </c>
      <c r="B6352" s="472" t="s">
        <v>12025</v>
      </c>
      <c r="C6352" s="472" t="s">
        <v>5</v>
      </c>
      <c r="D6352" s="472">
        <v>1642.9377999999999</v>
      </c>
      <c r="E6352" s="472" t="s">
        <v>170</v>
      </c>
      <c r="F6352" s="474"/>
    </row>
    <row r="6353" spans="1:6" s="475" customFormat="1" ht="15">
      <c r="A6353" s="472" t="s">
        <v>12026</v>
      </c>
      <c r="B6353" s="472" t="s">
        <v>12027</v>
      </c>
      <c r="C6353" s="472" t="s">
        <v>5</v>
      </c>
      <c r="D6353" s="472">
        <v>1865.434</v>
      </c>
      <c r="E6353" s="472" t="s">
        <v>170</v>
      </c>
      <c r="F6353" s="474"/>
    </row>
    <row r="6354" spans="1:6" s="475" customFormat="1" ht="15">
      <c r="A6354" s="472" t="s">
        <v>12028</v>
      </c>
      <c r="B6354" s="472" t="s">
        <v>12029</v>
      </c>
      <c r="C6354" s="472" t="s">
        <v>5</v>
      </c>
      <c r="D6354" s="472">
        <v>2207.7145999999998</v>
      </c>
      <c r="E6354" s="472" t="s">
        <v>170</v>
      </c>
      <c r="F6354" s="474"/>
    </row>
    <row r="6355" spans="1:6" s="475" customFormat="1" ht="15">
      <c r="A6355" s="472" t="s">
        <v>12030</v>
      </c>
      <c r="B6355" s="472" t="s">
        <v>12031</v>
      </c>
      <c r="C6355" s="472" t="s">
        <v>5</v>
      </c>
      <c r="D6355" s="472">
        <v>2521.0792999999999</v>
      </c>
      <c r="E6355" s="472" t="s">
        <v>170</v>
      </c>
      <c r="F6355" s="474"/>
    </row>
    <row r="6356" spans="1:6" s="475" customFormat="1" ht="15">
      <c r="A6356" s="472" t="s">
        <v>12032</v>
      </c>
      <c r="B6356" s="472" t="s">
        <v>12033</v>
      </c>
      <c r="C6356" s="472" t="s">
        <v>5</v>
      </c>
      <c r="D6356" s="472">
        <v>2778.4117999999999</v>
      </c>
      <c r="E6356" s="472" t="s">
        <v>170</v>
      </c>
      <c r="F6356" s="474"/>
    </row>
    <row r="6357" spans="1:6" s="475" customFormat="1" ht="15">
      <c r="A6357" s="472" t="s">
        <v>12034</v>
      </c>
      <c r="B6357" s="472" t="s">
        <v>12035</v>
      </c>
      <c r="C6357" s="472" t="s">
        <v>5</v>
      </c>
      <c r="D6357" s="472">
        <v>3070.1846</v>
      </c>
      <c r="E6357" s="472" t="s">
        <v>170</v>
      </c>
      <c r="F6357" s="474"/>
    </row>
    <row r="6358" spans="1:6" s="475" customFormat="1" ht="15">
      <c r="A6358" s="472" t="s">
        <v>12036</v>
      </c>
      <c r="B6358" s="472" t="s">
        <v>12037</v>
      </c>
      <c r="C6358" s="472" t="s">
        <v>5</v>
      </c>
      <c r="D6358" s="472">
        <v>3310.3085999999998</v>
      </c>
      <c r="E6358" s="472" t="s">
        <v>170</v>
      </c>
      <c r="F6358" s="474"/>
    </row>
    <row r="6359" spans="1:6" s="475" customFormat="1" ht="15">
      <c r="A6359" s="472" t="s">
        <v>12038</v>
      </c>
      <c r="B6359" s="472" t="s">
        <v>12039</v>
      </c>
      <c r="C6359" s="472" t="s">
        <v>5</v>
      </c>
      <c r="D6359" s="472">
        <v>3601.7471999999998</v>
      </c>
      <c r="E6359" s="472" t="s">
        <v>170</v>
      </c>
      <c r="F6359" s="474"/>
    </row>
    <row r="6360" spans="1:6" s="475" customFormat="1" ht="15">
      <c r="A6360" s="472" t="s">
        <v>12040</v>
      </c>
      <c r="B6360" s="472" t="s">
        <v>12041</v>
      </c>
      <c r="C6360" s="472" t="s">
        <v>5</v>
      </c>
      <c r="D6360" s="472">
        <v>3858.7874000000002</v>
      </c>
      <c r="E6360" s="472" t="s">
        <v>170</v>
      </c>
      <c r="F6360" s="474"/>
    </row>
    <row r="6361" spans="1:6" s="475" customFormat="1" ht="15">
      <c r="A6361" s="472" t="s">
        <v>12042</v>
      </c>
      <c r="B6361" s="472" t="s">
        <v>12043</v>
      </c>
      <c r="C6361" s="472" t="s">
        <v>5</v>
      </c>
      <c r="D6361" s="472">
        <v>4167.7214000000004</v>
      </c>
      <c r="E6361" s="472" t="s">
        <v>170</v>
      </c>
      <c r="F6361" s="474"/>
    </row>
    <row r="6362" spans="1:6" s="475" customFormat="1" ht="15">
      <c r="A6362" s="472" t="s">
        <v>12044</v>
      </c>
      <c r="B6362" s="472" t="s">
        <v>12045</v>
      </c>
      <c r="C6362" s="472" t="s">
        <v>5</v>
      </c>
      <c r="D6362" s="472">
        <v>5231.0861000000004</v>
      </c>
      <c r="E6362" s="472" t="s">
        <v>170</v>
      </c>
      <c r="F6362" s="474"/>
    </row>
    <row r="6363" spans="1:6" s="475" customFormat="1" ht="15">
      <c r="A6363" s="472" t="s">
        <v>12046</v>
      </c>
      <c r="B6363" s="472" t="s">
        <v>12047</v>
      </c>
      <c r="C6363" s="472" t="s">
        <v>5</v>
      </c>
      <c r="D6363" s="472">
        <v>5600.9016000000001</v>
      </c>
      <c r="E6363" s="472" t="s">
        <v>170</v>
      </c>
      <c r="F6363" s="474"/>
    </row>
    <row r="6364" spans="1:6" s="475" customFormat="1" ht="15">
      <c r="A6364" s="472" t="s">
        <v>12048</v>
      </c>
      <c r="B6364" s="472" t="s">
        <v>12049</v>
      </c>
      <c r="C6364" s="472" t="s">
        <v>5</v>
      </c>
      <c r="D6364" s="472">
        <v>5887.0545000000002</v>
      </c>
      <c r="E6364" s="472" t="s">
        <v>170</v>
      </c>
      <c r="F6364" s="474"/>
    </row>
    <row r="6365" spans="1:6" s="475" customFormat="1" ht="15">
      <c r="A6365" s="472" t="s">
        <v>12050</v>
      </c>
      <c r="B6365" s="472" t="s">
        <v>12051</v>
      </c>
      <c r="C6365" s="472" t="s">
        <v>5</v>
      </c>
      <c r="D6365" s="472">
        <v>6223.4921999999997</v>
      </c>
      <c r="E6365" s="472" t="s">
        <v>170</v>
      </c>
      <c r="F6365" s="474"/>
    </row>
    <row r="6366" spans="1:6" s="475" customFormat="1" ht="15">
      <c r="A6366" s="472" t="s">
        <v>12052</v>
      </c>
      <c r="B6366" s="472" t="s">
        <v>12053</v>
      </c>
      <c r="C6366" s="472" t="s">
        <v>5</v>
      </c>
      <c r="D6366" s="472">
        <v>6526.3401999999996</v>
      </c>
      <c r="E6366" s="472" t="s">
        <v>170</v>
      </c>
      <c r="F6366" s="474"/>
    </row>
    <row r="6367" spans="1:6" s="475" customFormat="1" ht="15">
      <c r="A6367" s="472" t="s">
        <v>12054</v>
      </c>
      <c r="B6367" s="472" t="s">
        <v>12055</v>
      </c>
      <c r="C6367" s="472" t="s">
        <v>5</v>
      </c>
      <c r="D6367" s="472">
        <v>8148.6342999999997</v>
      </c>
      <c r="E6367" s="472" t="s">
        <v>170</v>
      </c>
      <c r="F6367" s="474"/>
    </row>
    <row r="6368" spans="1:6" s="475" customFormat="1" ht="15">
      <c r="A6368" s="472" t="s">
        <v>12056</v>
      </c>
      <c r="B6368" s="472" t="s">
        <v>12057</v>
      </c>
      <c r="C6368" s="472" t="s">
        <v>5</v>
      </c>
      <c r="D6368" s="472">
        <v>8501.9249</v>
      </c>
      <c r="E6368" s="472" t="s">
        <v>170</v>
      </c>
      <c r="F6368" s="474"/>
    </row>
    <row r="6369" spans="1:6" s="475" customFormat="1" ht="15">
      <c r="A6369" s="472" t="s">
        <v>12058</v>
      </c>
      <c r="B6369" s="472" t="s">
        <v>12059</v>
      </c>
      <c r="C6369" s="472" t="s">
        <v>5</v>
      </c>
      <c r="D6369" s="472">
        <v>8919.0889000000006</v>
      </c>
      <c r="E6369" s="472" t="s">
        <v>170</v>
      </c>
      <c r="F6369" s="474"/>
    </row>
    <row r="6370" spans="1:6" s="475" customFormat="1" ht="15">
      <c r="A6370" s="472" t="s">
        <v>12060</v>
      </c>
      <c r="B6370" s="472" t="s">
        <v>12061</v>
      </c>
      <c r="C6370" s="472" t="s">
        <v>5</v>
      </c>
      <c r="D6370" s="472">
        <v>10789.000400000001</v>
      </c>
      <c r="E6370" s="472" t="s">
        <v>170</v>
      </c>
      <c r="F6370" s="474"/>
    </row>
    <row r="6371" spans="1:6" s="475" customFormat="1" ht="15">
      <c r="A6371" s="472" t="s">
        <v>12062</v>
      </c>
      <c r="B6371" s="472" t="s">
        <v>12063</v>
      </c>
      <c r="C6371" s="472" t="s">
        <v>5</v>
      </c>
      <c r="D6371" s="472">
        <v>11304.3042</v>
      </c>
      <c r="E6371" s="472" t="s">
        <v>170</v>
      </c>
      <c r="F6371" s="474"/>
    </row>
    <row r="6372" spans="1:6" s="475" customFormat="1" ht="15">
      <c r="A6372" s="472" t="s">
        <v>12064</v>
      </c>
      <c r="B6372" s="472" t="s">
        <v>12065</v>
      </c>
      <c r="C6372" s="472" t="s">
        <v>5</v>
      </c>
      <c r="D6372" s="472">
        <v>1705.0936999999999</v>
      </c>
      <c r="E6372" s="472" t="s">
        <v>170</v>
      </c>
      <c r="F6372" s="474"/>
    </row>
    <row r="6373" spans="1:6" s="475" customFormat="1" ht="15">
      <c r="A6373" s="472" t="s">
        <v>12066</v>
      </c>
      <c r="B6373" s="472" t="s">
        <v>12067</v>
      </c>
      <c r="C6373" s="472" t="s">
        <v>5</v>
      </c>
      <c r="D6373" s="472">
        <v>1936.0051000000001</v>
      </c>
      <c r="E6373" s="472" t="s">
        <v>170</v>
      </c>
      <c r="F6373" s="474"/>
    </row>
    <row r="6374" spans="1:6" s="475" customFormat="1" ht="15">
      <c r="A6374" s="472" t="s">
        <v>12068</v>
      </c>
      <c r="B6374" s="472" t="s">
        <v>12069</v>
      </c>
      <c r="C6374" s="472" t="s">
        <v>5</v>
      </c>
      <c r="D6374" s="472">
        <v>2291.2444</v>
      </c>
      <c r="E6374" s="472" t="s">
        <v>170</v>
      </c>
      <c r="F6374" s="474"/>
    </row>
    <row r="6375" spans="1:6" s="475" customFormat="1" ht="15">
      <c r="A6375" s="472" t="s">
        <v>12070</v>
      </c>
      <c r="B6375" s="472" t="s">
        <v>12071</v>
      </c>
      <c r="C6375" s="472" t="s">
        <v>5</v>
      </c>
      <c r="D6375" s="472">
        <v>2616.2640999999999</v>
      </c>
      <c r="E6375" s="472" t="s">
        <v>170</v>
      </c>
      <c r="F6375" s="474"/>
    </row>
    <row r="6376" spans="1:6" s="475" customFormat="1" ht="15">
      <c r="A6376" s="472" t="s">
        <v>12072</v>
      </c>
      <c r="B6376" s="472" t="s">
        <v>12073</v>
      </c>
      <c r="C6376" s="472" t="s">
        <v>5</v>
      </c>
      <c r="D6376" s="472">
        <v>2883.2954</v>
      </c>
      <c r="E6376" s="472" t="s">
        <v>170</v>
      </c>
      <c r="F6376" s="474"/>
    </row>
    <row r="6377" spans="1:6" s="475" customFormat="1" ht="15">
      <c r="A6377" s="472" t="s">
        <v>12074</v>
      </c>
      <c r="B6377" s="472" t="s">
        <v>12075</v>
      </c>
      <c r="C6377" s="472" t="s">
        <v>5</v>
      </c>
      <c r="D6377" s="472">
        <v>3186.0812000000001</v>
      </c>
      <c r="E6377" s="472" t="s">
        <v>170</v>
      </c>
      <c r="F6377" s="474"/>
    </row>
    <row r="6378" spans="1:6" s="475" customFormat="1" ht="15">
      <c r="A6378" s="472" t="s">
        <v>12076</v>
      </c>
      <c r="B6378" s="472" t="s">
        <v>12077</v>
      </c>
      <c r="C6378" s="472" t="s">
        <v>5</v>
      </c>
      <c r="D6378" s="472">
        <v>3435.2723999999998</v>
      </c>
      <c r="E6378" s="472" t="s">
        <v>170</v>
      </c>
      <c r="F6378" s="474"/>
    </row>
    <row r="6379" spans="1:6" s="475" customFormat="1" ht="15">
      <c r="A6379" s="472" t="s">
        <v>12078</v>
      </c>
      <c r="B6379" s="472" t="s">
        <v>12079</v>
      </c>
      <c r="C6379" s="472" t="s">
        <v>5</v>
      </c>
      <c r="D6379" s="472">
        <v>3737.7239</v>
      </c>
      <c r="E6379" s="472" t="s">
        <v>170</v>
      </c>
      <c r="F6379" s="474"/>
    </row>
    <row r="6380" spans="1:6" s="475" customFormat="1" ht="15">
      <c r="A6380" s="472" t="s">
        <v>12080</v>
      </c>
      <c r="B6380" s="472" t="s">
        <v>12081</v>
      </c>
      <c r="C6380" s="472" t="s">
        <v>5</v>
      </c>
      <c r="D6380" s="472">
        <v>4004.4632999999999</v>
      </c>
      <c r="E6380" s="472" t="s">
        <v>170</v>
      </c>
      <c r="F6380" s="474"/>
    </row>
    <row r="6381" spans="1:6" s="475" customFormat="1" ht="15">
      <c r="A6381" s="472" t="s">
        <v>12082</v>
      </c>
      <c r="B6381" s="472" t="s">
        <v>12083</v>
      </c>
      <c r="C6381" s="472" t="s">
        <v>5</v>
      </c>
      <c r="D6381" s="472">
        <v>4325.0621000000001</v>
      </c>
      <c r="E6381" s="472" t="s">
        <v>170</v>
      </c>
      <c r="F6381" s="474"/>
    </row>
    <row r="6382" spans="1:6" s="475" customFormat="1" ht="15">
      <c r="A6382" s="472" t="s">
        <v>12084</v>
      </c>
      <c r="B6382" s="472" t="s">
        <v>12085</v>
      </c>
      <c r="C6382" s="472" t="s">
        <v>5</v>
      </c>
      <c r="D6382" s="472">
        <v>5388.8298000000004</v>
      </c>
      <c r="E6382" s="472" t="s">
        <v>170</v>
      </c>
      <c r="F6382" s="474"/>
    </row>
    <row r="6383" spans="1:6" s="475" customFormat="1" ht="15">
      <c r="A6383" s="472" t="s">
        <v>12086</v>
      </c>
      <c r="B6383" s="472" t="s">
        <v>12087</v>
      </c>
      <c r="C6383" s="472" t="s">
        <v>5</v>
      </c>
      <c r="D6383" s="472">
        <v>540.57000000000005</v>
      </c>
      <c r="E6383" s="472" t="s">
        <v>170</v>
      </c>
      <c r="F6383" s="474"/>
    </row>
    <row r="6384" spans="1:6" s="475" customFormat="1" ht="15">
      <c r="A6384" s="472" t="s">
        <v>12088</v>
      </c>
      <c r="B6384" s="472" t="s">
        <v>12089</v>
      </c>
      <c r="C6384" s="472" t="s">
        <v>5</v>
      </c>
      <c r="D6384" s="472">
        <v>625.04070000000002</v>
      </c>
      <c r="E6384" s="472" t="s">
        <v>170</v>
      </c>
      <c r="F6384" s="474"/>
    </row>
    <row r="6385" spans="1:6" s="475" customFormat="1" ht="15">
      <c r="A6385" s="472" t="s">
        <v>12090</v>
      </c>
      <c r="B6385" s="472" t="s">
        <v>12091</v>
      </c>
      <c r="C6385" s="472" t="s">
        <v>5</v>
      </c>
      <c r="D6385" s="472">
        <v>709.50289999999995</v>
      </c>
      <c r="E6385" s="472" t="s">
        <v>170</v>
      </c>
      <c r="F6385" s="474"/>
    </row>
    <row r="6386" spans="1:6" s="475" customFormat="1" ht="15">
      <c r="A6386" s="472" t="s">
        <v>12092</v>
      </c>
      <c r="B6386" s="472" t="s">
        <v>12093</v>
      </c>
      <c r="C6386" s="472" t="s">
        <v>5</v>
      </c>
      <c r="D6386" s="472">
        <v>777.07449999999994</v>
      </c>
      <c r="E6386" s="472" t="s">
        <v>170</v>
      </c>
      <c r="F6386" s="474"/>
    </row>
    <row r="6387" spans="1:6" s="475" customFormat="1" ht="15">
      <c r="A6387" s="472" t="s">
        <v>12094</v>
      </c>
      <c r="B6387" s="472" t="s">
        <v>12095</v>
      </c>
      <c r="C6387" s="472" t="s">
        <v>5</v>
      </c>
      <c r="D6387" s="472">
        <v>861.54639999999995</v>
      </c>
      <c r="E6387" s="472" t="s">
        <v>170</v>
      </c>
      <c r="F6387" s="474"/>
    </row>
    <row r="6388" spans="1:6" s="475" customFormat="1" ht="15">
      <c r="A6388" s="472" t="s">
        <v>12096</v>
      </c>
      <c r="B6388" s="472" t="s">
        <v>12097</v>
      </c>
      <c r="C6388" s="472" t="s">
        <v>5</v>
      </c>
      <c r="D6388" s="472">
        <v>979.80089999999996</v>
      </c>
      <c r="E6388" s="472" t="s">
        <v>170</v>
      </c>
      <c r="F6388" s="474"/>
    </row>
    <row r="6389" spans="1:6" s="475" customFormat="1" ht="15">
      <c r="A6389" s="472" t="s">
        <v>12098</v>
      </c>
      <c r="B6389" s="472" t="s">
        <v>12099</v>
      </c>
      <c r="C6389" s="472" t="s">
        <v>5</v>
      </c>
      <c r="D6389" s="472">
        <v>1047.374</v>
      </c>
      <c r="E6389" s="472" t="s">
        <v>170</v>
      </c>
      <c r="F6389" s="474"/>
    </row>
    <row r="6390" spans="1:6" s="475" customFormat="1" ht="15">
      <c r="A6390" s="472" t="s">
        <v>12100</v>
      </c>
      <c r="B6390" s="472" t="s">
        <v>12101</v>
      </c>
      <c r="C6390" s="472" t="s">
        <v>5</v>
      </c>
      <c r="D6390" s="472">
        <v>1131.8336999999999</v>
      </c>
      <c r="E6390" s="472" t="s">
        <v>170</v>
      </c>
      <c r="F6390" s="474"/>
    </row>
    <row r="6391" spans="1:6" s="475" customFormat="1" ht="15">
      <c r="A6391" s="472" t="s">
        <v>12102</v>
      </c>
      <c r="B6391" s="472" t="s">
        <v>12103</v>
      </c>
      <c r="C6391" s="472" t="s">
        <v>5</v>
      </c>
      <c r="D6391" s="472">
        <v>1199.4106999999999</v>
      </c>
      <c r="E6391" s="472" t="s">
        <v>170</v>
      </c>
      <c r="F6391" s="474"/>
    </row>
    <row r="6392" spans="1:6" s="475" customFormat="1" ht="15">
      <c r="A6392" s="472" t="s">
        <v>12104</v>
      </c>
      <c r="B6392" s="472" t="s">
        <v>12105</v>
      </c>
      <c r="C6392" s="472" t="s">
        <v>5</v>
      </c>
      <c r="D6392" s="472">
        <v>1283.8676</v>
      </c>
      <c r="E6392" s="472" t="s">
        <v>170</v>
      </c>
      <c r="F6392" s="474"/>
    </row>
    <row r="6393" spans="1:6" s="475" customFormat="1" ht="15">
      <c r="A6393" s="472" t="s">
        <v>12106</v>
      </c>
      <c r="B6393" s="472" t="s">
        <v>12107</v>
      </c>
      <c r="C6393" s="472" t="s">
        <v>5</v>
      </c>
      <c r="D6393" s="472">
        <v>1368.3400999999999</v>
      </c>
      <c r="E6393" s="472" t="s">
        <v>170</v>
      </c>
      <c r="F6393" s="474"/>
    </row>
    <row r="6394" spans="1:6" s="475" customFormat="1" ht="15">
      <c r="A6394" s="472" t="s">
        <v>12108</v>
      </c>
      <c r="B6394" s="472" t="s">
        <v>12109</v>
      </c>
      <c r="C6394" s="472" t="s">
        <v>5</v>
      </c>
      <c r="D6394" s="472">
        <v>1435.9096999999999</v>
      </c>
      <c r="E6394" s="472" t="s">
        <v>170</v>
      </c>
      <c r="F6394" s="474"/>
    </row>
    <row r="6395" spans="1:6" s="475" customFormat="1" ht="15">
      <c r="A6395" s="472" t="s">
        <v>12110</v>
      </c>
      <c r="B6395" s="472" t="s">
        <v>12111</v>
      </c>
      <c r="C6395" s="472" t="s">
        <v>5</v>
      </c>
      <c r="D6395" s="472">
        <v>1520.3685</v>
      </c>
      <c r="E6395" s="472" t="s">
        <v>170</v>
      </c>
      <c r="F6395" s="474"/>
    </row>
    <row r="6396" spans="1:6" s="475" customFormat="1" ht="15">
      <c r="A6396" s="472" t="s">
        <v>12112</v>
      </c>
      <c r="B6396" s="472" t="s">
        <v>12113</v>
      </c>
      <c r="C6396" s="472" t="s">
        <v>5</v>
      </c>
      <c r="D6396" s="472">
        <v>1793.4639999999999</v>
      </c>
      <c r="E6396" s="472" t="s">
        <v>170</v>
      </c>
      <c r="F6396" s="474"/>
    </row>
    <row r="6397" spans="1:6" s="475" customFormat="1" ht="15">
      <c r="A6397" s="472" t="s">
        <v>12114</v>
      </c>
      <c r="B6397" s="472" t="s">
        <v>12115</v>
      </c>
      <c r="C6397" s="472" t="s">
        <v>5</v>
      </c>
      <c r="D6397" s="472">
        <v>1890.4229</v>
      </c>
      <c r="E6397" s="472" t="s">
        <v>170</v>
      </c>
      <c r="F6397" s="474"/>
    </row>
    <row r="6398" spans="1:6" s="475" customFormat="1" ht="15">
      <c r="A6398" s="472" t="s">
        <v>12116</v>
      </c>
      <c r="B6398" s="472" t="s">
        <v>12117</v>
      </c>
      <c r="C6398" s="472" t="s">
        <v>5</v>
      </c>
      <c r="D6398" s="472">
        <v>2019.6468</v>
      </c>
      <c r="E6398" s="472" t="s">
        <v>170</v>
      </c>
      <c r="F6398" s="474"/>
    </row>
    <row r="6399" spans="1:6" s="475" customFormat="1" ht="15">
      <c r="A6399" s="472" t="s">
        <v>12118</v>
      </c>
      <c r="B6399" s="472" t="s">
        <v>12119</v>
      </c>
      <c r="C6399" s="472" t="s">
        <v>5</v>
      </c>
      <c r="D6399" s="472">
        <v>2068.1509999999998</v>
      </c>
      <c r="E6399" s="472" t="s">
        <v>170</v>
      </c>
      <c r="F6399" s="474"/>
    </row>
    <row r="6400" spans="1:6" s="475" customFormat="1" ht="15">
      <c r="A6400" s="472" t="s">
        <v>12120</v>
      </c>
      <c r="B6400" s="472" t="s">
        <v>12121</v>
      </c>
      <c r="C6400" s="472" t="s">
        <v>5</v>
      </c>
      <c r="D6400" s="472">
        <v>2148.9281000000001</v>
      </c>
      <c r="E6400" s="472" t="s">
        <v>170</v>
      </c>
      <c r="F6400" s="474"/>
    </row>
    <row r="6401" spans="1:6" s="475" customFormat="1" ht="15">
      <c r="A6401" s="472" t="s">
        <v>12122</v>
      </c>
      <c r="B6401" s="472" t="s">
        <v>12123</v>
      </c>
      <c r="C6401" s="472" t="s">
        <v>5</v>
      </c>
      <c r="D6401" s="472">
        <v>2838.4128999999998</v>
      </c>
      <c r="E6401" s="472" t="s">
        <v>170</v>
      </c>
      <c r="F6401" s="474"/>
    </row>
    <row r="6402" spans="1:6" s="475" customFormat="1" ht="15">
      <c r="A6402" s="472" t="s">
        <v>12124</v>
      </c>
      <c r="B6402" s="472" t="s">
        <v>12125</v>
      </c>
      <c r="C6402" s="472" t="s">
        <v>5</v>
      </c>
      <c r="D6402" s="472">
        <v>3623.7426999999998</v>
      </c>
      <c r="E6402" s="472" t="s">
        <v>170</v>
      </c>
      <c r="F6402" s="474"/>
    </row>
    <row r="6403" spans="1:6" s="475" customFormat="1" ht="15">
      <c r="A6403" s="472" t="s">
        <v>12126</v>
      </c>
      <c r="B6403" s="472" t="s">
        <v>12127</v>
      </c>
      <c r="C6403" s="472" t="s">
        <v>5</v>
      </c>
      <c r="D6403" s="472">
        <v>3829.7629999999999</v>
      </c>
      <c r="E6403" s="472" t="s">
        <v>170</v>
      </c>
      <c r="F6403" s="474"/>
    </row>
    <row r="6404" spans="1:6" s="475" customFormat="1" ht="15">
      <c r="A6404" s="472" t="s">
        <v>12128</v>
      </c>
      <c r="B6404" s="472" t="s">
        <v>12129</v>
      </c>
      <c r="C6404" s="472" t="s">
        <v>5</v>
      </c>
      <c r="D6404" s="472">
        <v>3903.6170999999999</v>
      </c>
      <c r="E6404" s="472" t="s">
        <v>170</v>
      </c>
      <c r="F6404" s="474"/>
    </row>
    <row r="6405" spans="1:6" s="475" customFormat="1" ht="15">
      <c r="A6405" s="472" t="s">
        <v>12130</v>
      </c>
      <c r="B6405" s="472" t="s">
        <v>12131</v>
      </c>
      <c r="C6405" s="472" t="s">
        <v>5</v>
      </c>
      <c r="D6405" s="472">
        <v>4095.1392999999998</v>
      </c>
      <c r="E6405" s="472" t="s">
        <v>170</v>
      </c>
      <c r="F6405" s="474"/>
    </row>
    <row r="6406" spans="1:6" s="475" customFormat="1" ht="15">
      <c r="A6406" s="472" t="s">
        <v>12132</v>
      </c>
      <c r="B6406" s="472" t="s">
        <v>12133</v>
      </c>
      <c r="C6406" s="472" t="s">
        <v>5</v>
      </c>
      <c r="D6406" s="472">
        <v>2715.2199000000001</v>
      </c>
      <c r="E6406" s="472" t="s">
        <v>170</v>
      </c>
      <c r="F6406" s="474"/>
    </row>
    <row r="6407" spans="1:6" s="475" customFormat="1" ht="15">
      <c r="A6407" s="472" t="s">
        <v>12134</v>
      </c>
      <c r="B6407" s="472" t="s">
        <v>12135</v>
      </c>
      <c r="C6407" s="472" t="s">
        <v>5</v>
      </c>
      <c r="D6407" s="472">
        <v>3283.1228000000001</v>
      </c>
      <c r="E6407" s="472" t="s">
        <v>170</v>
      </c>
      <c r="F6407" s="474"/>
    </row>
    <row r="6408" spans="1:6" s="475" customFormat="1" ht="15">
      <c r="A6408" s="472" t="s">
        <v>12136</v>
      </c>
      <c r="B6408" s="472" t="s">
        <v>12137</v>
      </c>
      <c r="C6408" s="472" t="s">
        <v>5</v>
      </c>
      <c r="D6408" s="472">
        <v>3389.6608000000001</v>
      </c>
      <c r="E6408" s="472" t="s">
        <v>170</v>
      </c>
      <c r="F6408" s="474"/>
    </row>
    <row r="6409" spans="1:6" s="475" customFormat="1" ht="15">
      <c r="A6409" s="472" t="s">
        <v>12138</v>
      </c>
      <c r="B6409" s="472" t="s">
        <v>12139</v>
      </c>
      <c r="C6409" s="472" t="s">
        <v>5</v>
      </c>
      <c r="D6409" s="472">
        <v>3851.0502000000001</v>
      </c>
      <c r="E6409" s="472" t="s">
        <v>170</v>
      </c>
      <c r="F6409" s="474"/>
    </row>
    <row r="6410" spans="1:6" s="475" customFormat="1" ht="15">
      <c r="A6410" s="472" t="s">
        <v>12140</v>
      </c>
      <c r="B6410" s="472" t="s">
        <v>12141</v>
      </c>
      <c r="C6410" s="472" t="s">
        <v>5</v>
      </c>
      <c r="D6410" s="472">
        <v>4064.0337</v>
      </c>
      <c r="E6410" s="472" t="s">
        <v>170</v>
      </c>
      <c r="F6410" s="474"/>
    </row>
    <row r="6411" spans="1:6" s="475" customFormat="1" ht="15">
      <c r="A6411" s="472" t="s">
        <v>12142</v>
      </c>
      <c r="B6411" s="472" t="s">
        <v>12143</v>
      </c>
      <c r="C6411" s="472" t="s">
        <v>5</v>
      </c>
      <c r="D6411" s="472">
        <v>4756.3037000000004</v>
      </c>
      <c r="E6411" s="472" t="s">
        <v>170</v>
      </c>
      <c r="F6411" s="474"/>
    </row>
    <row r="6412" spans="1:6" s="475" customFormat="1" ht="15">
      <c r="A6412" s="472" t="s">
        <v>12144</v>
      </c>
      <c r="B6412" s="472" t="s">
        <v>12145</v>
      </c>
      <c r="C6412" s="472" t="s">
        <v>5</v>
      </c>
      <c r="D6412" s="472">
        <v>5430.4299000000001</v>
      </c>
      <c r="E6412" s="472" t="s">
        <v>170</v>
      </c>
      <c r="F6412" s="474"/>
    </row>
    <row r="6413" spans="1:6" s="475" customFormat="1" ht="15">
      <c r="A6413" s="472" t="s">
        <v>12146</v>
      </c>
      <c r="B6413" s="472" t="s">
        <v>12147</v>
      </c>
      <c r="C6413" s="472" t="s">
        <v>5</v>
      </c>
      <c r="D6413" s="472">
        <v>5767.7839999999997</v>
      </c>
      <c r="E6413" s="472" t="s">
        <v>170</v>
      </c>
      <c r="F6413" s="474"/>
    </row>
    <row r="6414" spans="1:6" s="475" customFormat="1" ht="15">
      <c r="A6414" s="472" t="s">
        <v>12148</v>
      </c>
      <c r="B6414" s="472" t="s">
        <v>12149</v>
      </c>
      <c r="C6414" s="472" t="s">
        <v>5</v>
      </c>
      <c r="D6414" s="472">
        <v>6105.1562999999996</v>
      </c>
      <c r="E6414" s="472" t="s">
        <v>170</v>
      </c>
      <c r="F6414" s="474"/>
    </row>
    <row r="6415" spans="1:6" s="475" customFormat="1" ht="15">
      <c r="A6415" s="472" t="s">
        <v>12150</v>
      </c>
      <c r="B6415" s="472" t="s">
        <v>12151</v>
      </c>
      <c r="C6415" s="472" t="s">
        <v>5</v>
      </c>
      <c r="D6415" s="472">
        <v>6548.9456</v>
      </c>
      <c r="E6415" s="472" t="s">
        <v>170</v>
      </c>
      <c r="F6415" s="474"/>
    </row>
    <row r="6416" spans="1:6" s="475" customFormat="1" ht="15">
      <c r="A6416" s="472" t="s">
        <v>12152</v>
      </c>
      <c r="B6416" s="472" t="s">
        <v>12153</v>
      </c>
      <c r="C6416" s="472" t="s">
        <v>5</v>
      </c>
      <c r="D6416" s="472">
        <v>6779.6031999999996</v>
      </c>
      <c r="E6416" s="472" t="s">
        <v>170</v>
      </c>
      <c r="F6416" s="474"/>
    </row>
    <row r="6417" spans="1:6" s="475" customFormat="1" ht="15">
      <c r="A6417" s="472" t="s">
        <v>12154</v>
      </c>
      <c r="B6417" s="472" t="s">
        <v>12155</v>
      </c>
      <c r="C6417" s="472" t="s">
        <v>5</v>
      </c>
      <c r="D6417" s="472">
        <v>7471.8810999999996</v>
      </c>
      <c r="E6417" s="472" t="s">
        <v>170</v>
      </c>
      <c r="F6417" s="474"/>
    </row>
    <row r="6418" spans="1:6" s="475" customFormat="1" ht="15">
      <c r="A6418" s="472" t="s">
        <v>12156</v>
      </c>
      <c r="B6418" s="472" t="s">
        <v>12157</v>
      </c>
      <c r="C6418" s="472" t="s">
        <v>5</v>
      </c>
      <c r="D6418" s="472">
        <v>8145.65</v>
      </c>
      <c r="E6418" s="472" t="s">
        <v>170</v>
      </c>
      <c r="F6418" s="474"/>
    </row>
    <row r="6419" spans="1:6" s="475" customFormat="1" ht="15">
      <c r="A6419" s="472" t="s">
        <v>12158</v>
      </c>
      <c r="B6419" s="472" t="s">
        <v>12159</v>
      </c>
      <c r="C6419" s="472" t="s">
        <v>5</v>
      </c>
      <c r="D6419" s="472">
        <v>9393.7271000000001</v>
      </c>
      <c r="E6419" s="472" t="s">
        <v>170</v>
      </c>
      <c r="F6419" s="474"/>
    </row>
    <row r="6420" spans="1:6" s="475" customFormat="1" ht="15">
      <c r="A6420" s="472" t="s">
        <v>12160</v>
      </c>
      <c r="B6420" s="472" t="s">
        <v>12161</v>
      </c>
      <c r="C6420" s="472" t="s">
        <v>5</v>
      </c>
      <c r="D6420" s="472">
        <v>9658.9498999999996</v>
      </c>
      <c r="E6420" s="472" t="s">
        <v>170</v>
      </c>
      <c r="F6420" s="474"/>
    </row>
    <row r="6421" spans="1:6" s="475" customFormat="1" ht="15">
      <c r="A6421" s="472" t="s">
        <v>12162</v>
      </c>
      <c r="B6421" s="472" t="s">
        <v>12163</v>
      </c>
      <c r="C6421" s="472" t="s">
        <v>5</v>
      </c>
      <c r="D6421" s="472">
        <v>12406.847100000001</v>
      </c>
      <c r="E6421" s="472" t="s">
        <v>170</v>
      </c>
      <c r="F6421" s="474"/>
    </row>
    <row r="6422" spans="1:6" s="475" customFormat="1" ht="15">
      <c r="A6422" s="472" t="s">
        <v>12164</v>
      </c>
      <c r="B6422" s="472" t="s">
        <v>12165</v>
      </c>
      <c r="C6422" s="472" t="s">
        <v>5</v>
      </c>
      <c r="D6422" s="472">
        <v>13294.5574</v>
      </c>
      <c r="E6422" s="472" t="s">
        <v>170</v>
      </c>
      <c r="F6422" s="474"/>
    </row>
    <row r="6423" spans="1:6" s="475" customFormat="1" ht="15">
      <c r="A6423" s="472" t="s">
        <v>12166</v>
      </c>
      <c r="B6423" s="472" t="s">
        <v>12167</v>
      </c>
      <c r="C6423" s="472" t="s">
        <v>5</v>
      </c>
      <c r="D6423" s="472">
        <v>16298.8166</v>
      </c>
      <c r="E6423" s="472" t="s">
        <v>170</v>
      </c>
      <c r="F6423" s="474"/>
    </row>
    <row r="6424" spans="1:6" s="475" customFormat="1" ht="15">
      <c r="A6424" s="472" t="s">
        <v>12168</v>
      </c>
      <c r="B6424" s="472" t="s">
        <v>12169</v>
      </c>
      <c r="C6424" s="472" t="s">
        <v>5</v>
      </c>
      <c r="D6424" s="472">
        <v>19528.134999999998</v>
      </c>
      <c r="E6424" s="472" t="s">
        <v>170</v>
      </c>
      <c r="F6424" s="474"/>
    </row>
    <row r="6425" spans="1:6" s="475" customFormat="1" ht="15">
      <c r="A6425" s="472" t="s">
        <v>12170</v>
      </c>
      <c r="B6425" s="472" t="s">
        <v>12171</v>
      </c>
      <c r="C6425" s="472" t="s">
        <v>5</v>
      </c>
      <c r="D6425" s="472">
        <v>20676.590100000001</v>
      </c>
      <c r="E6425" s="472" t="s">
        <v>170</v>
      </c>
      <c r="F6425" s="474"/>
    </row>
    <row r="6426" spans="1:6" s="475" customFormat="1" ht="15">
      <c r="A6426" s="472" t="s">
        <v>12172</v>
      </c>
      <c r="B6426" s="472" t="s">
        <v>12173</v>
      </c>
      <c r="C6426" s="472" t="s">
        <v>5</v>
      </c>
      <c r="D6426" s="472">
        <v>21815.990600000001</v>
      </c>
      <c r="E6426" s="472" t="s">
        <v>170</v>
      </c>
      <c r="F6426" s="474"/>
    </row>
    <row r="6427" spans="1:6" s="475" customFormat="1" ht="15">
      <c r="A6427" s="472" t="s">
        <v>6881</v>
      </c>
      <c r="B6427" s="472" t="s">
        <v>7829</v>
      </c>
      <c r="C6427" s="472" t="s">
        <v>6878</v>
      </c>
      <c r="D6427" s="472">
        <v>0.80959999999999999</v>
      </c>
      <c r="E6427" s="472" t="s">
        <v>170</v>
      </c>
      <c r="F6427" s="474"/>
    </row>
    <row r="6428" spans="1:6" s="475" customFormat="1" ht="15">
      <c r="A6428" s="472" t="s">
        <v>12174</v>
      </c>
      <c r="B6428" s="472" t="s">
        <v>12175</v>
      </c>
      <c r="C6428" s="472" t="s">
        <v>10075</v>
      </c>
      <c r="D6428" s="472">
        <v>535.00070000000005</v>
      </c>
      <c r="E6428" s="472" t="s">
        <v>170</v>
      </c>
      <c r="F6428" s="474"/>
    </row>
    <row r="6429" spans="1:6" s="475" customFormat="1" ht="15">
      <c r="A6429" s="472" t="s">
        <v>12176</v>
      </c>
      <c r="B6429" s="472" t="s">
        <v>12177</v>
      </c>
      <c r="C6429" s="472" t="s">
        <v>10075</v>
      </c>
      <c r="D6429" s="472" t="s">
        <v>191</v>
      </c>
      <c r="E6429" s="472" t="s">
        <v>170</v>
      </c>
      <c r="F6429" s="474"/>
    </row>
    <row r="6430" spans="1:6" s="475" customFormat="1" ht="15">
      <c r="A6430" s="472" t="s">
        <v>12178</v>
      </c>
      <c r="B6430" s="472" t="s">
        <v>12179</v>
      </c>
      <c r="C6430" s="472" t="s">
        <v>10075</v>
      </c>
      <c r="D6430" s="472" t="s">
        <v>191</v>
      </c>
      <c r="E6430" s="472" t="s">
        <v>170</v>
      </c>
      <c r="F6430" s="474"/>
    </row>
    <row r="6431" spans="1:6" s="475" customFormat="1" ht="15">
      <c r="A6431" s="472" t="s">
        <v>12180</v>
      </c>
      <c r="B6431" s="472" t="s">
        <v>12181</v>
      </c>
      <c r="C6431" s="472" t="s">
        <v>10075</v>
      </c>
      <c r="D6431" s="472" t="s">
        <v>191</v>
      </c>
      <c r="E6431" s="472" t="s">
        <v>170</v>
      </c>
      <c r="F6431" s="474"/>
    </row>
    <row r="6432" spans="1:6" s="475" customFormat="1" ht="15">
      <c r="A6432" s="472" t="s">
        <v>12182</v>
      </c>
      <c r="B6432" s="472" t="s">
        <v>12183</v>
      </c>
      <c r="C6432" s="472" t="s">
        <v>90</v>
      </c>
      <c r="D6432" s="472">
        <v>3736.9733999999999</v>
      </c>
      <c r="E6432" s="472" t="s">
        <v>170</v>
      </c>
      <c r="F6432" s="474"/>
    </row>
    <row r="6433" spans="1:6" s="475" customFormat="1" ht="15">
      <c r="A6433" s="472" t="s">
        <v>12184</v>
      </c>
      <c r="B6433" s="472" t="s">
        <v>12185</v>
      </c>
      <c r="C6433" s="472" t="s">
        <v>90</v>
      </c>
      <c r="D6433" s="472">
        <v>8522.3698999999997</v>
      </c>
      <c r="E6433" s="472" t="s">
        <v>170</v>
      </c>
      <c r="F6433" s="474"/>
    </row>
    <row r="6434" spans="1:6" s="475" customFormat="1" ht="15">
      <c r="A6434" s="472" t="s">
        <v>12186</v>
      </c>
      <c r="B6434" s="472" t="s">
        <v>12187</v>
      </c>
      <c r="C6434" s="472" t="s">
        <v>90</v>
      </c>
      <c r="D6434" s="472">
        <v>5589.5806000000002</v>
      </c>
      <c r="E6434" s="472" t="s">
        <v>170</v>
      </c>
      <c r="F6434" s="474"/>
    </row>
    <row r="6435" spans="1:6" s="475" customFormat="1" ht="15">
      <c r="A6435" s="472" t="s">
        <v>12188</v>
      </c>
      <c r="B6435" s="472" t="s">
        <v>12189</v>
      </c>
      <c r="C6435" s="472" t="s">
        <v>90</v>
      </c>
      <c r="D6435" s="472">
        <v>7308.6364999999996</v>
      </c>
      <c r="E6435" s="472" t="s">
        <v>170</v>
      </c>
      <c r="F6435" s="474"/>
    </row>
    <row r="6436" spans="1:6" s="475" customFormat="1" ht="15">
      <c r="A6436" s="472" t="s">
        <v>12190</v>
      </c>
      <c r="B6436" s="472" t="s">
        <v>12191</v>
      </c>
      <c r="C6436" s="472" t="s">
        <v>90</v>
      </c>
      <c r="D6436" s="472">
        <v>9172.3287999999993</v>
      </c>
      <c r="E6436" s="472" t="s">
        <v>170</v>
      </c>
      <c r="F6436" s="474"/>
    </row>
    <row r="6437" spans="1:6" s="475" customFormat="1" ht="15">
      <c r="A6437" s="472" t="s">
        <v>12192</v>
      </c>
      <c r="B6437" s="472" t="s">
        <v>12193</v>
      </c>
      <c r="C6437" s="472" t="s">
        <v>90</v>
      </c>
      <c r="D6437" s="472">
        <v>9847.2648000000008</v>
      </c>
      <c r="E6437" s="472" t="s">
        <v>170</v>
      </c>
      <c r="F6437" s="474"/>
    </row>
    <row r="6438" spans="1:6" s="475" customFormat="1" ht="15">
      <c r="A6438" s="472" t="s">
        <v>12194</v>
      </c>
      <c r="B6438" s="472" t="s">
        <v>12195</v>
      </c>
      <c r="C6438" s="472" t="s">
        <v>90</v>
      </c>
      <c r="D6438" s="472">
        <v>12326.494000000001</v>
      </c>
      <c r="E6438" s="472" t="s">
        <v>170</v>
      </c>
      <c r="F6438" s="474"/>
    </row>
    <row r="6439" spans="1:6" s="475" customFormat="1" ht="15">
      <c r="A6439" s="472" t="s">
        <v>12196</v>
      </c>
      <c r="B6439" s="472" t="s">
        <v>12197</v>
      </c>
      <c r="C6439" s="472" t="s">
        <v>90</v>
      </c>
      <c r="D6439" s="472">
        <v>14621.4241</v>
      </c>
      <c r="E6439" s="472" t="s">
        <v>170</v>
      </c>
      <c r="F6439" s="474"/>
    </row>
    <row r="6440" spans="1:6" s="475" customFormat="1" ht="15">
      <c r="A6440" s="472" t="s">
        <v>12198</v>
      </c>
      <c r="B6440" s="472" t="s">
        <v>12199</v>
      </c>
      <c r="C6440" s="472" t="s">
        <v>90</v>
      </c>
      <c r="D6440" s="472">
        <v>4458.3828000000003</v>
      </c>
      <c r="E6440" s="472" t="s">
        <v>170</v>
      </c>
      <c r="F6440" s="474"/>
    </row>
    <row r="6441" spans="1:6" s="475" customFormat="1" ht="15">
      <c r="A6441" s="472" t="s">
        <v>12200</v>
      </c>
      <c r="B6441" s="472" t="s">
        <v>12201</v>
      </c>
      <c r="C6441" s="472" t="s">
        <v>90</v>
      </c>
      <c r="D6441" s="472">
        <v>8741.3238999999994</v>
      </c>
      <c r="E6441" s="472" t="s">
        <v>170</v>
      </c>
      <c r="F6441" s="474"/>
    </row>
    <row r="6442" spans="1:6" s="475" customFormat="1" ht="15">
      <c r="A6442" s="472" t="s">
        <v>12202</v>
      </c>
      <c r="B6442" s="472" t="s">
        <v>12203</v>
      </c>
      <c r="C6442" s="472" t="s">
        <v>90</v>
      </c>
      <c r="D6442" s="472">
        <v>11035.407499999999</v>
      </c>
      <c r="E6442" s="472" t="s">
        <v>170</v>
      </c>
      <c r="F6442" s="474"/>
    </row>
    <row r="6443" spans="1:6" s="475" customFormat="1" ht="15">
      <c r="A6443" s="472" t="s">
        <v>12204</v>
      </c>
      <c r="B6443" s="472" t="s">
        <v>12205</v>
      </c>
      <c r="C6443" s="472" t="s">
        <v>90</v>
      </c>
      <c r="D6443" s="472">
        <v>13186.1016</v>
      </c>
      <c r="E6443" s="472" t="s">
        <v>170</v>
      </c>
      <c r="F6443" s="474"/>
    </row>
    <row r="6444" spans="1:6" s="475" customFormat="1" ht="15">
      <c r="A6444" s="472" t="s">
        <v>12206</v>
      </c>
      <c r="B6444" s="472" t="s">
        <v>12207</v>
      </c>
      <c r="C6444" s="472" t="s">
        <v>90</v>
      </c>
      <c r="D6444" s="472">
        <v>15479.0308</v>
      </c>
      <c r="E6444" s="472" t="s">
        <v>170</v>
      </c>
      <c r="F6444" s="474"/>
    </row>
    <row r="6445" spans="1:6" s="475" customFormat="1" ht="15">
      <c r="A6445" s="472" t="s">
        <v>12208</v>
      </c>
      <c r="B6445" s="472" t="s">
        <v>12209</v>
      </c>
      <c r="C6445" s="472" t="s">
        <v>90</v>
      </c>
      <c r="D6445" s="472">
        <v>22453.226299999998</v>
      </c>
      <c r="E6445" s="472" t="s">
        <v>170</v>
      </c>
      <c r="F6445" s="474"/>
    </row>
    <row r="6446" spans="1:6" s="475" customFormat="1" ht="15">
      <c r="A6446" s="472" t="s">
        <v>12210</v>
      </c>
      <c r="B6446" s="472" t="s">
        <v>12211</v>
      </c>
      <c r="C6446" s="472" t="s">
        <v>90</v>
      </c>
      <c r="D6446" s="472">
        <v>62893.6944</v>
      </c>
      <c r="E6446" s="472" t="s">
        <v>170</v>
      </c>
      <c r="F6446" s="474"/>
    </row>
    <row r="6447" spans="1:6" s="475" customFormat="1" ht="15">
      <c r="A6447" s="472" t="s">
        <v>12212</v>
      </c>
      <c r="B6447" s="472" t="s">
        <v>12213</v>
      </c>
      <c r="C6447" s="472" t="s">
        <v>90</v>
      </c>
      <c r="D6447" s="472">
        <v>69881.151800000007</v>
      </c>
      <c r="E6447" s="472" t="s">
        <v>170</v>
      </c>
      <c r="F6447" s="474"/>
    </row>
    <row r="6448" spans="1:6" s="475" customFormat="1" ht="15">
      <c r="A6448" s="472" t="s">
        <v>12214</v>
      </c>
      <c r="B6448" s="472" t="s">
        <v>12215</v>
      </c>
      <c r="C6448" s="472" t="s">
        <v>90</v>
      </c>
      <c r="D6448" s="472">
        <v>76801.851800000004</v>
      </c>
      <c r="E6448" s="472" t="s">
        <v>170</v>
      </c>
      <c r="F6448" s="474"/>
    </row>
    <row r="6449" spans="1:6" s="475" customFormat="1" ht="15">
      <c r="A6449" s="472" t="s">
        <v>12216</v>
      </c>
      <c r="B6449" s="472" t="s">
        <v>12217</v>
      </c>
      <c r="C6449" s="472" t="s">
        <v>90</v>
      </c>
      <c r="D6449" s="472">
        <v>83823.582599999994</v>
      </c>
      <c r="E6449" s="472" t="s">
        <v>170</v>
      </c>
      <c r="F6449" s="474"/>
    </row>
    <row r="6450" spans="1:6" s="475" customFormat="1" ht="15">
      <c r="A6450" s="472" t="s">
        <v>12218</v>
      </c>
      <c r="B6450" s="472" t="s">
        <v>12219</v>
      </c>
      <c r="C6450" s="472" t="s">
        <v>90</v>
      </c>
      <c r="D6450" s="472">
        <v>90850.143299999996</v>
      </c>
      <c r="E6450" s="472" t="s">
        <v>170</v>
      </c>
      <c r="F6450" s="474"/>
    </row>
    <row r="6451" spans="1:6" s="475" customFormat="1" ht="15">
      <c r="A6451" s="472" t="s">
        <v>12220</v>
      </c>
      <c r="B6451" s="472" t="s">
        <v>12221</v>
      </c>
      <c r="C6451" s="472" t="s">
        <v>90</v>
      </c>
      <c r="D6451" s="472">
        <v>97877.6198</v>
      </c>
      <c r="E6451" s="472" t="s">
        <v>170</v>
      </c>
      <c r="F6451" s="474"/>
    </row>
    <row r="6452" spans="1:6" s="475" customFormat="1" ht="15">
      <c r="A6452" s="472" t="s">
        <v>12222</v>
      </c>
      <c r="B6452" s="472" t="s">
        <v>12223</v>
      </c>
      <c r="C6452" s="472" t="s">
        <v>90</v>
      </c>
      <c r="D6452" s="472">
        <v>94093.373399999997</v>
      </c>
      <c r="E6452" s="472" t="s">
        <v>170</v>
      </c>
      <c r="F6452" s="474"/>
    </row>
    <row r="6453" spans="1:6" s="475" customFormat="1" ht="15">
      <c r="A6453" s="472" t="s">
        <v>12224</v>
      </c>
      <c r="B6453" s="472" t="s">
        <v>12225</v>
      </c>
      <c r="C6453" s="472" t="s">
        <v>90</v>
      </c>
      <c r="D6453" s="472">
        <v>112442.39969999999</v>
      </c>
      <c r="E6453" s="472" t="s">
        <v>170</v>
      </c>
      <c r="F6453" s="474"/>
    </row>
    <row r="6454" spans="1:6" s="475" customFormat="1" ht="15">
      <c r="A6454" s="472" t="s">
        <v>12226</v>
      </c>
      <c r="B6454" s="472" t="s">
        <v>12227</v>
      </c>
      <c r="C6454" s="472" t="s">
        <v>90</v>
      </c>
      <c r="D6454" s="472">
        <v>337.28500000000003</v>
      </c>
      <c r="E6454" s="472" t="s">
        <v>170</v>
      </c>
      <c r="F6454" s="474"/>
    </row>
    <row r="6455" spans="1:6" s="475" customFormat="1" ht="15">
      <c r="A6455" s="472" t="s">
        <v>12228</v>
      </c>
      <c r="B6455" s="472" t="s">
        <v>12229</v>
      </c>
      <c r="C6455" s="472" t="s">
        <v>90</v>
      </c>
      <c r="D6455" s="472">
        <v>28.702500000000001</v>
      </c>
      <c r="E6455" s="472" t="s">
        <v>170</v>
      </c>
      <c r="F6455" s="474"/>
    </row>
    <row r="6456" spans="1:6" s="475" customFormat="1" ht="15">
      <c r="A6456" s="472" t="s">
        <v>12230</v>
      </c>
      <c r="B6456" s="472" t="s">
        <v>12231</v>
      </c>
      <c r="C6456" s="472" t="s">
        <v>90</v>
      </c>
      <c r="D6456" s="472">
        <v>31.387</v>
      </c>
      <c r="E6456" s="472" t="s">
        <v>170</v>
      </c>
      <c r="F6456" s="474"/>
    </row>
    <row r="6457" spans="1:6" s="475" customFormat="1" ht="15">
      <c r="A6457" s="472" t="s">
        <v>12232</v>
      </c>
      <c r="B6457" s="472" t="s">
        <v>12233</v>
      </c>
      <c r="C6457" s="472" t="s">
        <v>90</v>
      </c>
      <c r="D6457" s="472">
        <v>34.677300000000002</v>
      </c>
      <c r="E6457" s="472" t="s">
        <v>170</v>
      </c>
      <c r="F6457" s="474"/>
    </row>
    <row r="6458" spans="1:6" s="475" customFormat="1" ht="15">
      <c r="A6458" s="472" t="s">
        <v>12234</v>
      </c>
      <c r="B6458" s="472" t="s">
        <v>12235</v>
      </c>
      <c r="C6458" s="472" t="s">
        <v>90</v>
      </c>
      <c r="D6458" s="472">
        <v>37.273600000000002</v>
      </c>
      <c r="E6458" s="472" t="s">
        <v>170</v>
      </c>
      <c r="F6458" s="474"/>
    </row>
    <row r="6459" spans="1:6" s="475" customFormat="1" ht="15">
      <c r="A6459" s="472" t="s">
        <v>12236</v>
      </c>
      <c r="B6459" s="472" t="s">
        <v>12237</v>
      </c>
      <c r="C6459" s="472" t="s">
        <v>90</v>
      </c>
      <c r="D6459" s="472">
        <v>57.712000000000003</v>
      </c>
      <c r="E6459" s="472" t="s">
        <v>170</v>
      </c>
      <c r="F6459" s="474"/>
    </row>
    <row r="6460" spans="1:6" s="475" customFormat="1" ht="15">
      <c r="A6460" s="472" t="s">
        <v>12238</v>
      </c>
      <c r="B6460" s="472" t="s">
        <v>12239</v>
      </c>
      <c r="C6460" s="472" t="s">
        <v>90</v>
      </c>
      <c r="D6460" s="472">
        <v>79.653800000000004</v>
      </c>
      <c r="E6460" s="472" t="s">
        <v>170</v>
      </c>
      <c r="F6460" s="474"/>
    </row>
    <row r="6461" spans="1:6" s="475" customFormat="1" ht="15">
      <c r="A6461" s="472" t="s">
        <v>12240</v>
      </c>
      <c r="B6461" s="472" t="s">
        <v>12241</v>
      </c>
      <c r="C6461" s="472" t="s">
        <v>90</v>
      </c>
      <c r="D6461" s="472">
        <v>181.81309999999999</v>
      </c>
      <c r="E6461" s="472" t="s">
        <v>170</v>
      </c>
      <c r="F6461" s="474"/>
    </row>
    <row r="6462" spans="1:6" s="475" customFormat="1" ht="15">
      <c r="A6462" s="472" t="s">
        <v>12242</v>
      </c>
      <c r="B6462" s="472" t="s">
        <v>12243</v>
      </c>
      <c r="C6462" s="472" t="s">
        <v>90</v>
      </c>
      <c r="D6462" s="472">
        <v>32.487299999999998</v>
      </c>
      <c r="E6462" s="472" t="s">
        <v>170</v>
      </c>
      <c r="F6462" s="474"/>
    </row>
    <row r="6463" spans="1:6" s="475" customFormat="1" ht="15">
      <c r="A6463" s="472" t="s">
        <v>12244</v>
      </c>
      <c r="B6463" s="472" t="s">
        <v>12245</v>
      </c>
      <c r="C6463" s="472" t="s">
        <v>90</v>
      </c>
      <c r="D6463" s="472">
        <v>71.4542</v>
      </c>
      <c r="E6463" s="472" t="s">
        <v>170</v>
      </c>
      <c r="F6463" s="474"/>
    </row>
    <row r="6464" spans="1:6" s="475" customFormat="1" ht="15">
      <c r="A6464" s="472" t="s">
        <v>12246</v>
      </c>
      <c r="B6464" s="472" t="s">
        <v>12247</v>
      </c>
      <c r="C6464" s="472" t="s">
        <v>5</v>
      </c>
      <c r="D6464" s="472">
        <v>51.259799999999998</v>
      </c>
      <c r="E6464" s="472" t="s">
        <v>170</v>
      </c>
      <c r="F6464" s="474"/>
    </row>
    <row r="6465" spans="1:6" s="475" customFormat="1" ht="15">
      <c r="A6465" s="472" t="s">
        <v>12248</v>
      </c>
      <c r="B6465" s="472" t="s">
        <v>12249</v>
      </c>
      <c r="C6465" s="472" t="s">
        <v>90</v>
      </c>
      <c r="D6465" s="472">
        <v>151.70740000000001</v>
      </c>
      <c r="E6465" s="472" t="s">
        <v>170</v>
      </c>
      <c r="F6465" s="474"/>
    </row>
    <row r="6466" spans="1:6" s="475" customFormat="1" ht="15">
      <c r="A6466" s="472" t="s">
        <v>12250</v>
      </c>
      <c r="B6466" s="472" t="s">
        <v>12251</v>
      </c>
      <c r="C6466" s="472" t="s">
        <v>5</v>
      </c>
      <c r="D6466" s="472">
        <v>51.500999999999998</v>
      </c>
      <c r="E6466" s="472" t="s">
        <v>170</v>
      </c>
      <c r="F6466" s="474"/>
    </row>
    <row r="6467" spans="1:6" s="475" customFormat="1" ht="15">
      <c r="A6467" s="472" t="s">
        <v>12252</v>
      </c>
      <c r="B6467" s="472" t="s">
        <v>12253</v>
      </c>
      <c r="C6467" s="472" t="s">
        <v>5</v>
      </c>
      <c r="D6467" s="472">
        <v>44.1648</v>
      </c>
      <c r="E6467" s="472" t="s">
        <v>170</v>
      </c>
      <c r="F6467" s="474"/>
    </row>
    <row r="6468" spans="1:6" s="475" customFormat="1" ht="15">
      <c r="A6468" s="472" t="s">
        <v>12254</v>
      </c>
      <c r="B6468" s="472" t="s">
        <v>12255</v>
      </c>
      <c r="C6468" s="472" t="s">
        <v>90</v>
      </c>
      <c r="D6468" s="472">
        <v>119470.0497</v>
      </c>
      <c r="E6468" s="472" t="s">
        <v>170</v>
      </c>
      <c r="F6468" s="474"/>
    </row>
    <row r="6469" spans="1:6" s="475" customFormat="1" ht="15">
      <c r="A6469" s="472" t="s">
        <v>12256</v>
      </c>
      <c r="B6469" s="472" t="s">
        <v>12257</v>
      </c>
      <c r="C6469" s="472" t="s">
        <v>90</v>
      </c>
      <c r="D6469" s="472">
        <v>126500.6302</v>
      </c>
      <c r="E6469" s="472" t="s">
        <v>170</v>
      </c>
      <c r="F6469" s="474"/>
    </row>
    <row r="6470" spans="1:6" s="475" customFormat="1" ht="15">
      <c r="A6470" s="472" t="s">
        <v>12258</v>
      </c>
      <c r="B6470" s="472" t="s">
        <v>12259</v>
      </c>
      <c r="C6470" s="472" t="s">
        <v>90</v>
      </c>
      <c r="D6470" s="472">
        <v>134029.6997</v>
      </c>
      <c r="E6470" s="472" t="s">
        <v>170</v>
      </c>
      <c r="F6470" s="474"/>
    </row>
    <row r="6471" spans="1:6" s="475" customFormat="1" ht="15">
      <c r="A6471" s="472" t="s">
        <v>12260</v>
      </c>
      <c r="B6471" s="472" t="s">
        <v>12261</v>
      </c>
      <c r="C6471" s="472" t="s">
        <v>90</v>
      </c>
      <c r="D6471" s="472">
        <v>139754.11290000001</v>
      </c>
      <c r="E6471" s="472" t="s">
        <v>170</v>
      </c>
      <c r="F6471" s="474"/>
    </row>
    <row r="6472" spans="1:6" s="475" customFormat="1" ht="15">
      <c r="A6472" s="472" t="s">
        <v>12262</v>
      </c>
      <c r="B6472" s="472" t="s">
        <v>12263</v>
      </c>
      <c r="C6472" s="472" t="s">
        <v>90</v>
      </c>
      <c r="D6472" s="472">
        <v>38280.074399999998</v>
      </c>
      <c r="E6472" s="472" t="s">
        <v>170</v>
      </c>
      <c r="F6472" s="474"/>
    </row>
    <row r="6473" spans="1:6" s="475" customFormat="1" ht="15">
      <c r="A6473" s="472" t="s">
        <v>12264</v>
      </c>
      <c r="B6473" s="472" t="s">
        <v>12265</v>
      </c>
      <c r="C6473" s="472" t="s">
        <v>90</v>
      </c>
      <c r="D6473" s="472">
        <v>42492.674400000004</v>
      </c>
      <c r="E6473" s="472" t="s">
        <v>170</v>
      </c>
      <c r="F6473" s="474"/>
    </row>
    <row r="6474" spans="1:6" s="475" customFormat="1" ht="15">
      <c r="A6474" s="472" t="s">
        <v>12266</v>
      </c>
      <c r="B6474" s="472" t="s">
        <v>12267</v>
      </c>
      <c r="C6474" s="472" t="s">
        <v>90</v>
      </c>
      <c r="D6474" s="472">
        <v>46711.851799999997</v>
      </c>
      <c r="E6474" s="472" t="s">
        <v>170</v>
      </c>
      <c r="F6474" s="474"/>
    </row>
    <row r="6475" spans="1:6" s="475" customFormat="1" ht="15">
      <c r="A6475" s="472" t="s">
        <v>12268</v>
      </c>
      <c r="B6475" s="472" t="s">
        <v>12269</v>
      </c>
      <c r="C6475" s="472" t="s">
        <v>90</v>
      </c>
      <c r="D6475" s="472">
        <v>51032.7909</v>
      </c>
      <c r="E6475" s="472" t="s">
        <v>170</v>
      </c>
      <c r="F6475" s="474"/>
    </row>
    <row r="6476" spans="1:6" s="475" customFormat="1" ht="15">
      <c r="A6476" s="472" t="s">
        <v>12270</v>
      </c>
      <c r="B6476" s="472" t="s">
        <v>12271</v>
      </c>
      <c r="C6476" s="472" t="s">
        <v>90</v>
      </c>
      <c r="D6476" s="472">
        <v>55352.470800000003</v>
      </c>
      <c r="E6476" s="472" t="s">
        <v>170</v>
      </c>
      <c r="F6476" s="474"/>
    </row>
    <row r="6477" spans="1:6" s="475" customFormat="1" ht="15">
      <c r="A6477" s="472" t="s">
        <v>12272</v>
      </c>
      <c r="B6477" s="472" t="s">
        <v>12273</v>
      </c>
      <c r="C6477" s="472" t="s">
        <v>90</v>
      </c>
      <c r="D6477" s="472">
        <v>59678.688600000001</v>
      </c>
      <c r="E6477" s="472" t="s">
        <v>170</v>
      </c>
      <c r="F6477" s="474"/>
    </row>
    <row r="6478" spans="1:6" s="475" customFormat="1" ht="15">
      <c r="A6478" s="472" t="s">
        <v>12274</v>
      </c>
      <c r="B6478" s="472" t="s">
        <v>12275</v>
      </c>
      <c r="C6478" s="472" t="s">
        <v>90</v>
      </c>
      <c r="D6478" s="472">
        <v>63997.4997</v>
      </c>
      <c r="E6478" s="472" t="s">
        <v>170</v>
      </c>
      <c r="F6478" s="474"/>
    </row>
    <row r="6479" spans="1:6" s="475" customFormat="1" ht="15">
      <c r="A6479" s="472" t="s">
        <v>12276</v>
      </c>
      <c r="B6479" s="472" t="s">
        <v>12277</v>
      </c>
      <c r="C6479" s="472" t="s">
        <v>90</v>
      </c>
      <c r="D6479" s="472">
        <v>1.5702</v>
      </c>
      <c r="E6479" s="472" t="s">
        <v>170</v>
      </c>
      <c r="F6479" s="474"/>
    </row>
    <row r="6480" spans="1:6" s="475" customFormat="1" ht="15">
      <c r="A6480" s="472" t="s">
        <v>12278</v>
      </c>
      <c r="B6480" s="472" t="s">
        <v>12279</v>
      </c>
      <c r="C6480" s="472" t="s">
        <v>90</v>
      </c>
      <c r="D6480" s="472">
        <v>68326.6302</v>
      </c>
      <c r="E6480" s="472" t="s">
        <v>170</v>
      </c>
      <c r="F6480" s="474"/>
    </row>
    <row r="6481" spans="1:6" s="475" customFormat="1" ht="15">
      <c r="A6481" s="472" t="s">
        <v>12280</v>
      </c>
      <c r="B6481" s="472" t="s">
        <v>12281</v>
      </c>
      <c r="C6481" s="472" t="s">
        <v>90</v>
      </c>
      <c r="D6481" s="472">
        <v>72643.832999999999</v>
      </c>
      <c r="E6481" s="472" t="s">
        <v>170</v>
      </c>
      <c r="F6481" s="474"/>
    </row>
    <row r="6482" spans="1:6" s="475" customFormat="1" ht="15">
      <c r="A6482" s="472" t="s">
        <v>12282</v>
      </c>
      <c r="B6482" s="472" t="s">
        <v>12283</v>
      </c>
      <c r="C6482" s="472" t="s">
        <v>5</v>
      </c>
      <c r="D6482" s="472">
        <v>561.29190000000006</v>
      </c>
      <c r="E6482" s="472" t="s">
        <v>170</v>
      </c>
      <c r="F6482" s="474"/>
    </row>
    <row r="6483" spans="1:6" s="475" customFormat="1" ht="15">
      <c r="A6483" s="472" t="s">
        <v>12284</v>
      </c>
      <c r="B6483" s="472" t="s">
        <v>12285</v>
      </c>
      <c r="C6483" s="472" t="s">
        <v>5</v>
      </c>
      <c r="D6483" s="472">
        <v>648.99220000000003</v>
      </c>
      <c r="E6483" s="472" t="s">
        <v>170</v>
      </c>
      <c r="F6483" s="474"/>
    </row>
    <row r="6484" spans="1:6" s="475" customFormat="1" ht="15">
      <c r="A6484" s="472" t="s">
        <v>12286</v>
      </c>
      <c r="B6484" s="472" t="s">
        <v>12287</v>
      </c>
      <c r="C6484" s="472" t="s">
        <v>5</v>
      </c>
      <c r="D6484" s="472">
        <v>736.70429999999999</v>
      </c>
      <c r="E6484" s="472" t="s">
        <v>170</v>
      </c>
      <c r="F6484" s="474"/>
    </row>
    <row r="6485" spans="1:6" s="475" customFormat="1" ht="15">
      <c r="A6485" s="472" t="s">
        <v>12288</v>
      </c>
      <c r="B6485" s="472" t="s">
        <v>12289</v>
      </c>
      <c r="C6485" s="472" t="s">
        <v>5</v>
      </c>
      <c r="D6485" s="472">
        <v>806.86360000000002</v>
      </c>
      <c r="E6485" s="472" t="s">
        <v>170</v>
      </c>
      <c r="F6485" s="474"/>
    </row>
    <row r="6486" spans="1:6" s="475" customFormat="1" ht="15">
      <c r="A6486" s="472" t="s">
        <v>12290</v>
      </c>
      <c r="B6486" s="472" t="s">
        <v>12291</v>
      </c>
      <c r="C6486" s="472" t="s">
        <v>5</v>
      </c>
      <c r="D6486" s="472">
        <v>894.5652</v>
      </c>
      <c r="E6486" s="472" t="s">
        <v>170</v>
      </c>
      <c r="F6486" s="474"/>
    </row>
    <row r="6487" spans="1:6" s="475" customFormat="1" ht="15">
      <c r="A6487" s="472" t="s">
        <v>12292</v>
      </c>
      <c r="B6487" s="472" t="s">
        <v>12293</v>
      </c>
      <c r="C6487" s="472" t="s">
        <v>5</v>
      </c>
      <c r="D6487" s="472">
        <v>1017.3532</v>
      </c>
      <c r="E6487" s="472" t="s">
        <v>170</v>
      </c>
      <c r="F6487" s="474"/>
    </row>
    <row r="6488" spans="1:6" s="475" customFormat="1" ht="15">
      <c r="A6488" s="472" t="s">
        <v>12294</v>
      </c>
      <c r="B6488" s="472" t="s">
        <v>12295</v>
      </c>
      <c r="C6488" s="472" t="s">
        <v>5</v>
      </c>
      <c r="D6488" s="472">
        <v>1087.5142000000001</v>
      </c>
      <c r="E6488" s="472" t="s">
        <v>170</v>
      </c>
      <c r="F6488" s="474"/>
    </row>
    <row r="6489" spans="1:6" s="475" customFormat="1" ht="15">
      <c r="A6489" s="472" t="s">
        <v>12296</v>
      </c>
      <c r="B6489" s="472" t="s">
        <v>12297</v>
      </c>
      <c r="C6489" s="472" t="s">
        <v>5</v>
      </c>
      <c r="D6489" s="472">
        <v>1175.2235000000001</v>
      </c>
      <c r="E6489" s="472" t="s">
        <v>170</v>
      </c>
      <c r="F6489" s="474"/>
    </row>
    <row r="6490" spans="1:6" s="475" customFormat="1" ht="15">
      <c r="A6490" s="472" t="s">
        <v>12298</v>
      </c>
      <c r="B6490" s="472" t="s">
        <v>12299</v>
      </c>
      <c r="C6490" s="472" t="s">
        <v>5</v>
      </c>
      <c r="D6490" s="472">
        <v>1245.3882000000001</v>
      </c>
      <c r="E6490" s="472" t="s">
        <v>170</v>
      </c>
      <c r="F6490" s="474"/>
    </row>
    <row r="6491" spans="1:6" s="475" customFormat="1" ht="15">
      <c r="A6491" s="472" t="s">
        <v>12300</v>
      </c>
      <c r="B6491" s="472" t="s">
        <v>12301</v>
      </c>
      <c r="C6491" s="472" t="s">
        <v>5</v>
      </c>
      <c r="D6491" s="472">
        <v>1333.0748000000001</v>
      </c>
      <c r="E6491" s="472" t="s">
        <v>170</v>
      </c>
      <c r="F6491" s="474"/>
    </row>
    <row r="6492" spans="1:6" s="475" customFormat="1" ht="15">
      <c r="A6492" s="472" t="s">
        <v>12302</v>
      </c>
      <c r="B6492" s="472" t="s">
        <v>12303</v>
      </c>
      <c r="C6492" s="472" t="s">
        <v>5</v>
      </c>
      <c r="D6492" s="472">
        <v>1420.7869000000001</v>
      </c>
      <c r="E6492" s="472" t="s">
        <v>170</v>
      </c>
      <c r="F6492" s="474"/>
    </row>
    <row r="6493" spans="1:6" s="475" customFormat="1" ht="15">
      <c r="A6493" s="472" t="s">
        <v>12304</v>
      </c>
      <c r="B6493" s="472" t="s">
        <v>12305</v>
      </c>
      <c r="C6493" s="472" t="s">
        <v>5</v>
      </c>
      <c r="D6493" s="472">
        <v>1490.9443000000001</v>
      </c>
      <c r="E6493" s="472" t="s">
        <v>170</v>
      </c>
      <c r="F6493" s="474"/>
    </row>
    <row r="6494" spans="1:6" s="475" customFormat="1" ht="15">
      <c r="A6494" s="472" t="s">
        <v>12306</v>
      </c>
      <c r="B6494" s="472" t="s">
        <v>12307</v>
      </c>
      <c r="C6494" s="472" t="s">
        <v>5</v>
      </c>
      <c r="D6494" s="472">
        <v>1578.6328000000001</v>
      </c>
      <c r="E6494" s="472" t="s">
        <v>170</v>
      </c>
      <c r="F6494" s="474"/>
    </row>
    <row r="6495" spans="1:6" s="475" customFormat="1" ht="15">
      <c r="A6495" s="472" t="s">
        <v>12308</v>
      </c>
      <c r="B6495" s="472" t="s">
        <v>12309</v>
      </c>
      <c r="C6495" s="472" t="s">
        <v>5</v>
      </c>
      <c r="D6495" s="472">
        <v>1878.3979999999999</v>
      </c>
      <c r="E6495" s="472" t="s">
        <v>170</v>
      </c>
      <c r="F6495" s="474"/>
    </row>
    <row r="6496" spans="1:6" s="475" customFormat="1" ht="15">
      <c r="A6496" s="472" t="s">
        <v>12310</v>
      </c>
      <c r="B6496" s="472" t="s">
        <v>12311</v>
      </c>
      <c r="C6496" s="472" t="s">
        <v>5</v>
      </c>
      <c r="D6496" s="472">
        <v>1979.9508000000001</v>
      </c>
      <c r="E6496" s="472" t="s">
        <v>170</v>
      </c>
      <c r="F6496" s="474"/>
    </row>
    <row r="6497" spans="1:6" s="475" customFormat="1" ht="15">
      <c r="A6497" s="472" t="s">
        <v>12312</v>
      </c>
      <c r="B6497" s="472" t="s">
        <v>12313</v>
      </c>
      <c r="C6497" s="472" t="s">
        <v>5</v>
      </c>
      <c r="D6497" s="472">
        <v>2115.2928000000002</v>
      </c>
      <c r="E6497" s="472" t="s">
        <v>170</v>
      </c>
      <c r="F6497" s="474"/>
    </row>
    <row r="6498" spans="1:6" s="475" customFormat="1" ht="15">
      <c r="A6498" s="472" t="s">
        <v>12314</v>
      </c>
      <c r="B6498" s="472" t="s">
        <v>12315</v>
      </c>
      <c r="C6498" s="472" t="s">
        <v>5</v>
      </c>
      <c r="D6498" s="472">
        <v>2166.1039000000001</v>
      </c>
      <c r="E6498" s="472" t="s">
        <v>170</v>
      </c>
      <c r="F6498" s="474"/>
    </row>
    <row r="6499" spans="1:6" s="475" customFormat="1" ht="15">
      <c r="A6499" s="472" t="s">
        <v>12316</v>
      </c>
      <c r="B6499" s="472" t="s">
        <v>12317</v>
      </c>
      <c r="C6499" s="472" t="s">
        <v>5</v>
      </c>
      <c r="D6499" s="472">
        <v>2250.7024999999999</v>
      </c>
      <c r="E6499" s="472" t="s">
        <v>170</v>
      </c>
      <c r="F6499" s="474"/>
    </row>
    <row r="6500" spans="1:6" s="475" customFormat="1" ht="15">
      <c r="A6500" s="472" t="s">
        <v>12318</v>
      </c>
      <c r="B6500" s="472" t="s">
        <v>12319</v>
      </c>
      <c r="C6500" s="472" t="s">
        <v>5</v>
      </c>
      <c r="D6500" s="472">
        <v>3070.7979999999998</v>
      </c>
      <c r="E6500" s="472" t="s">
        <v>170</v>
      </c>
      <c r="F6500" s="474"/>
    </row>
    <row r="6501" spans="1:6" s="475" customFormat="1" ht="15">
      <c r="A6501" s="472" t="s">
        <v>12320</v>
      </c>
      <c r="B6501" s="472" t="s">
        <v>12321</v>
      </c>
      <c r="C6501" s="472" t="s">
        <v>5</v>
      </c>
      <c r="D6501" s="472">
        <v>3891.6239</v>
      </c>
      <c r="E6501" s="472" t="s">
        <v>170</v>
      </c>
      <c r="F6501" s="474"/>
    </row>
    <row r="6502" spans="1:6" s="475" customFormat="1" ht="15">
      <c r="A6502" s="472" t="s">
        <v>12322</v>
      </c>
      <c r="B6502" s="472" t="s">
        <v>12323</v>
      </c>
      <c r="C6502" s="472" t="s">
        <v>5</v>
      </c>
      <c r="D6502" s="472">
        <v>4112.8899000000001</v>
      </c>
      <c r="E6502" s="472" t="s">
        <v>170</v>
      </c>
      <c r="F6502" s="474"/>
    </row>
    <row r="6503" spans="1:6" s="475" customFormat="1" ht="15">
      <c r="A6503" s="472" t="s">
        <v>12324</v>
      </c>
      <c r="B6503" s="472" t="s">
        <v>12325</v>
      </c>
      <c r="C6503" s="472" t="s">
        <v>5</v>
      </c>
      <c r="D6503" s="472">
        <v>4192.1801999999998</v>
      </c>
      <c r="E6503" s="472" t="s">
        <v>170</v>
      </c>
      <c r="F6503" s="474"/>
    </row>
    <row r="6504" spans="1:6" s="475" customFormat="1" ht="15">
      <c r="A6504" s="472" t="s">
        <v>12326</v>
      </c>
      <c r="B6504" s="472" t="s">
        <v>12327</v>
      </c>
      <c r="C6504" s="472" t="s">
        <v>5</v>
      </c>
      <c r="D6504" s="472">
        <v>4397.8648999999996</v>
      </c>
      <c r="E6504" s="472" t="s">
        <v>170</v>
      </c>
      <c r="F6504" s="474"/>
    </row>
    <row r="6505" spans="1:6" s="475" customFormat="1" ht="15">
      <c r="A6505" s="472" t="s">
        <v>12328</v>
      </c>
      <c r="B6505" s="472" t="s">
        <v>12329</v>
      </c>
      <c r="C6505" s="472" t="s">
        <v>5</v>
      </c>
      <c r="D6505" s="472">
        <v>2832.2901000000002</v>
      </c>
      <c r="E6505" s="472" t="s">
        <v>170</v>
      </c>
      <c r="F6505" s="474"/>
    </row>
    <row r="6506" spans="1:6" s="475" customFormat="1" ht="15">
      <c r="A6506" s="472" t="s">
        <v>12330</v>
      </c>
      <c r="B6506" s="472" t="s">
        <v>12331</v>
      </c>
      <c r="C6506" s="472" t="s">
        <v>5</v>
      </c>
      <c r="D6506" s="472">
        <v>3424.6862000000001</v>
      </c>
      <c r="E6506" s="472" t="s">
        <v>170</v>
      </c>
      <c r="F6506" s="474"/>
    </row>
    <row r="6507" spans="1:6" s="475" customFormat="1" ht="15">
      <c r="A6507" s="472" t="s">
        <v>12332</v>
      </c>
      <c r="B6507" s="472" t="s">
        <v>12333</v>
      </c>
      <c r="C6507" s="472" t="s">
        <v>5</v>
      </c>
      <c r="D6507" s="472">
        <v>3535.8078999999998</v>
      </c>
      <c r="E6507" s="472" t="s">
        <v>170</v>
      </c>
      <c r="F6507" s="474"/>
    </row>
    <row r="6508" spans="1:6" s="475" customFormat="1" ht="15">
      <c r="A6508" s="472" t="s">
        <v>12334</v>
      </c>
      <c r="B6508" s="472" t="s">
        <v>12335</v>
      </c>
      <c r="C6508" s="472" t="s">
        <v>5</v>
      </c>
      <c r="D6508" s="472">
        <v>4017.0967999999998</v>
      </c>
      <c r="E6508" s="472" t="s">
        <v>170</v>
      </c>
      <c r="F6508" s="474"/>
    </row>
    <row r="6509" spans="1:6" s="475" customFormat="1" ht="15">
      <c r="A6509" s="472" t="s">
        <v>12336</v>
      </c>
      <c r="B6509" s="472" t="s">
        <v>12337</v>
      </c>
      <c r="C6509" s="472" t="s">
        <v>5</v>
      </c>
      <c r="D6509" s="472">
        <v>4239.2677999999996</v>
      </c>
      <c r="E6509" s="472" t="s">
        <v>170</v>
      </c>
      <c r="F6509" s="474"/>
    </row>
    <row r="6510" spans="1:6" s="475" customFormat="1" ht="15">
      <c r="A6510" s="472" t="s">
        <v>12338</v>
      </c>
      <c r="B6510" s="472" t="s">
        <v>12339</v>
      </c>
      <c r="C6510" s="472" t="s">
        <v>5</v>
      </c>
      <c r="D6510" s="472">
        <v>4961.3770000000004</v>
      </c>
      <c r="E6510" s="472" t="s">
        <v>170</v>
      </c>
      <c r="F6510" s="474"/>
    </row>
    <row r="6511" spans="1:6" s="475" customFormat="1" ht="15">
      <c r="A6511" s="472" t="s">
        <v>12340</v>
      </c>
      <c r="B6511" s="472" t="s">
        <v>12341</v>
      </c>
      <c r="C6511" s="472" t="s">
        <v>5</v>
      </c>
      <c r="D6511" s="472">
        <v>5664.5802000000003</v>
      </c>
      <c r="E6511" s="472" t="s">
        <v>170</v>
      </c>
      <c r="F6511" s="474"/>
    </row>
    <row r="6512" spans="1:6" s="475" customFormat="1" ht="15">
      <c r="A6512" s="472" t="s">
        <v>12342</v>
      </c>
      <c r="B6512" s="472" t="s">
        <v>12343</v>
      </c>
      <c r="C6512" s="472" t="s">
        <v>5</v>
      </c>
      <c r="D6512" s="472">
        <v>6016.4778999999999</v>
      </c>
      <c r="E6512" s="472" t="s">
        <v>170</v>
      </c>
      <c r="F6512" s="474"/>
    </row>
    <row r="6513" spans="1:6" s="475" customFormat="1" ht="15">
      <c r="A6513" s="472" t="s">
        <v>12344</v>
      </c>
      <c r="B6513" s="472" t="s">
        <v>12345</v>
      </c>
      <c r="C6513" s="472" t="s">
        <v>5</v>
      </c>
      <c r="D6513" s="472">
        <v>6368.3836000000001</v>
      </c>
      <c r="E6513" s="472" t="s">
        <v>170</v>
      </c>
      <c r="F6513" s="474"/>
    </row>
    <row r="6514" spans="1:6" s="475" customFormat="1" ht="15">
      <c r="A6514" s="472" t="s">
        <v>12346</v>
      </c>
      <c r="B6514" s="472" t="s">
        <v>12347</v>
      </c>
      <c r="C6514" s="472" t="s">
        <v>5</v>
      </c>
      <c r="D6514" s="472">
        <v>6831.3100999999997</v>
      </c>
      <c r="E6514" s="472" t="s">
        <v>170</v>
      </c>
      <c r="F6514" s="474"/>
    </row>
    <row r="6515" spans="1:6" s="475" customFormat="1" ht="15">
      <c r="A6515" s="472" t="s">
        <v>12348</v>
      </c>
      <c r="B6515" s="472" t="s">
        <v>12349</v>
      </c>
      <c r="C6515" s="472" t="s">
        <v>5</v>
      </c>
      <c r="D6515" s="472">
        <v>7071.9074000000001</v>
      </c>
      <c r="E6515" s="472" t="s">
        <v>170</v>
      </c>
      <c r="F6515" s="474"/>
    </row>
    <row r="6516" spans="1:6" s="475" customFormat="1" ht="15">
      <c r="A6516" s="472" t="s">
        <v>12350</v>
      </c>
      <c r="B6516" s="472" t="s">
        <v>12351</v>
      </c>
      <c r="C6516" s="472" t="s">
        <v>5</v>
      </c>
      <c r="D6516" s="472">
        <v>7794.0245000000004</v>
      </c>
      <c r="E6516" s="472" t="s">
        <v>170</v>
      </c>
      <c r="F6516" s="474"/>
    </row>
    <row r="6517" spans="1:6" s="475" customFormat="1" ht="15">
      <c r="A6517" s="472" t="s">
        <v>12352</v>
      </c>
      <c r="B6517" s="472" t="s">
        <v>12353</v>
      </c>
      <c r="C6517" s="472" t="s">
        <v>5</v>
      </c>
      <c r="D6517" s="472">
        <v>8496.8705000000009</v>
      </c>
      <c r="E6517" s="472" t="s">
        <v>170</v>
      </c>
      <c r="F6517" s="474"/>
    </row>
    <row r="6518" spans="1:6" s="475" customFormat="1" ht="15">
      <c r="A6518" s="472" t="s">
        <v>12354</v>
      </c>
      <c r="B6518" s="472" t="s">
        <v>12355</v>
      </c>
      <c r="C6518" s="472" t="s">
        <v>5</v>
      </c>
      <c r="D6518" s="472">
        <v>10835.0381</v>
      </c>
      <c r="E6518" s="472" t="s">
        <v>170</v>
      </c>
      <c r="F6518" s="474"/>
    </row>
    <row r="6519" spans="1:6" s="475" customFormat="1" ht="15">
      <c r="A6519" s="472" t="s">
        <v>12356</v>
      </c>
      <c r="B6519" s="472" t="s">
        <v>12357</v>
      </c>
      <c r="C6519" s="472" t="s">
        <v>5</v>
      </c>
      <c r="D6519" s="472">
        <v>11140.962600000001</v>
      </c>
      <c r="E6519" s="472" t="s">
        <v>170</v>
      </c>
      <c r="F6519" s="474"/>
    </row>
    <row r="6520" spans="1:6" s="475" customFormat="1" ht="15">
      <c r="A6520" s="472" t="s">
        <v>12358</v>
      </c>
      <c r="B6520" s="472" t="s">
        <v>12359</v>
      </c>
      <c r="C6520" s="472" t="s">
        <v>5</v>
      </c>
      <c r="D6520" s="472">
        <v>13614.2786</v>
      </c>
      <c r="E6520" s="472" t="s">
        <v>170</v>
      </c>
      <c r="F6520" s="474"/>
    </row>
    <row r="6521" spans="1:6" s="475" customFormat="1" ht="15">
      <c r="A6521" s="472" t="s">
        <v>12360</v>
      </c>
      <c r="B6521" s="472" t="s">
        <v>12361</v>
      </c>
      <c r="C6521" s="472" t="s">
        <v>5</v>
      </c>
      <c r="D6521" s="472">
        <v>14588.347</v>
      </c>
      <c r="E6521" s="472" t="s">
        <v>170</v>
      </c>
      <c r="F6521" s="474"/>
    </row>
    <row r="6522" spans="1:6" s="475" customFormat="1" ht="15">
      <c r="A6522" s="472" t="s">
        <v>12362</v>
      </c>
      <c r="B6522" s="472" t="s">
        <v>12363</v>
      </c>
      <c r="C6522" s="472" t="s">
        <v>5</v>
      </c>
      <c r="D6522" s="472">
        <v>18044.237300000001</v>
      </c>
      <c r="E6522" s="472" t="s">
        <v>170</v>
      </c>
      <c r="F6522" s="474"/>
    </row>
    <row r="6523" spans="1:6" s="475" customFormat="1" ht="15">
      <c r="A6523" s="472" t="s">
        <v>12364</v>
      </c>
      <c r="B6523" s="472" t="s">
        <v>12365</v>
      </c>
      <c r="C6523" s="472" t="s">
        <v>5</v>
      </c>
      <c r="D6523" s="472">
        <v>23363.8678</v>
      </c>
      <c r="E6523" s="472" t="s">
        <v>170</v>
      </c>
      <c r="F6523" s="474"/>
    </row>
    <row r="6524" spans="1:6" s="475" customFormat="1" ht="15">
      <c r="A6524" s="472" t="s">
        <v>12366</v>
      </c>
      <c r="B6524" s="472" t="s">
        <v>12367</v>
      </c>
      <c r="C6524" s="472" t="s">
        <v>5</v>
      </c>
      <c r="D6524" s="472">
        <v>24737.0651</v>
      </c>
      <c r="E6524" s="472" t="s">
        <v>170</v>
      </c>
      <c r="F6524" s="474"/>
    </row>
    <row r="6525" spans="1:6" s="475" customFormat="1" ht="15">
      <c r="A6525" s="472" t="s">
        <v>12368</v>
      </c>
      <c r="B6525" s="472" t="s">
        <v>12369</v>
      </c>
      <c r="C6525" s="472" t="s">
        <v>5</v>
      </c>
      <c r="D6525" s="472">
        <v>26101.197800000002</v>
      </c>
      <c r="E6525" s="472" t="s">
        <v>170</v>
      </c>
      <c r="F6525" s="474"/>
    </row>
    <row r="6526" spans="1:6" s="475" customFormat="1" ht="15">
      <c r="A6526" s="472" t="s">
        <v>12370</v>
      </c>
      <c r="B6526" s="472" t="s">
        <v>12371</v>
      </c>
      <c r="C6526" s="472" t="s">
        <v>90</v>
      </c>
      <c r="D6526" s="472">
        <v>76968.938099999999</v>
      </c>
      <c r="E6526" s="472" t="s">
        <v>170</v>
      </c>
      <c r="F6526" s="474"/>
    </row>
    <row r="6527" spans="1:6" s="475" customFormat="1" ht="15">
      <c r="A6527" s="472" t="s">
        <v>12372</v>
      </c>
      <c r="B6527" s="472" t="s">
        <v>12373</v>
      </c>
      <c r="C6527" s="472" t="s">
        <v>90</v>
      </c>
      <c r="D6527" s="472">
        <v>81193.133000000002</v>
      </c>
      <c r="E6527" s="472" t="s">
        <v>170</v>
      </c>
      <c r="F6527" s="474"/>
    </row>
    <row r="6528" spans="1:6" s="475" customFormat="1" ht="15">
      <c r="A6528" s="472" t="s">
        <v>12374</v>
      </c>
      <c r="B6528" s="472" t="s">
        <v>12375</v>
      </c>
      <c r="C6528" s="472" t="s">
        <v>90</v>
      </c>
      <c r="D6528" s="472">
        <v>83911.281799999997</v>
      </c>
      <c r="E6528" s="472" t="s">
        <v>170</v>
      </c>
      <c r="F6528" s="474"/>
    </row>
    <row r="6529" spans="1:6" s="475" customFormat="1" ht="15">
      <c r="A6529" s="472" t="s">
        <v>12376</v>
      </c>
      <c r="B6529" s="472" t="s">
        <v>12377</v>
      </c>
      <c r="C6529" s="472" t="s">
        <v>5</v>
      </c>
      <c r="D6529" s="472">
        <v>1667.2456999999999</v>
      </c>
      <c r="E6529" s="472" t="s">
        <v>170</v>
      </c>
      <c r="F6529" s="474"/>
    </row>
    <row r="6530" spans="1:6" s="475" customFormat="1" ht="15">
      <c r="A6530" s="472" t="s">
        <v>12378</v>
      </c>
      <c r="B6530" s="472" t="s">
        <v>12379</v>
      </c>
      <c r="C6530" s="472" t="s">
        <v>5</v>
      </c>
      <c r="D6530" s="472">
        <v>1679.5778</v>
      </c>
      <c r="E6530" s="472" t="s">
        <v>170</v>
      </c>
      <c r="F6530" s="474"/>
    </row>
    <row r="6531" spans="1:6" s="475" customFormat="1" ht="15">
      <c r="A6531" s="472" t="s">
        <v>12380</v>
      </c>
      <c r="B6531" s="472" t="s">
        <v>12381</v>
      </c>
      <c r="C6531" s="472" t="s">
        <v>5</v>
      </c>
      <c r="D6531" s="472">
        <v>1713.9585999999999</v>
      </c>
      <c r="E6531" s="472" t="s">
        <v>170</v>
      </c>
      <c r="F6531" s="474"/>
    </row>
    <row r="6532" spans="1:6" s="475" customFormat="1" ht="15">
      <c r="A6532" s="472" t="s">
        <v>12382</v>
      </c>
      <c r="B6532" s="472" t="s">
        <v>12383</v>
      </c>
      <c r="C6532" s="472" t="s">
        <v>5</v>
      </c>
      <c r="D6532" s="472">
        <v>1768.5291</v>
      </c>
      <c r="E6532" s="472" t="s">
        <v>170</v>
      </c>
      <c r="F6532" s="474"/>
    </row>
    <row r="6533" spans="1:6" s="475" customFormat="1" ht="15">
      <c r="A6533" s="472" t="s">
        <v>12384</v>
      </c>
      <c r="B6533" s="472" t="s">
        <v>12385</v>
      </c>
      <c r="C6533" s="472" t="s">
        <v>5</v>
      </c>
      <c r="D6533" s="472">
        <v>2036.9712999999999</v>
      </c>
      <c r="E6533" s="472" t="s">
        <v>170</v>
      </c>
      <c r="F6533" s="474"/>
    </row>
    <row r="6534" spans="1:6" s="475" customFormat="1" ht="15">
      <c r="A6534" s="472" t="s">
        <v>12386</v>
      </c>
      <c r="B6534" s="472" t="s">
        <v>12387</v>
      </c>
      <c r="C6534" s="472" t="s">
        <v>5</v>
      </c>
      <c r="D6534" s="472">
        <v>2083.8847000000001</v>
      </c>
      <c r="E6534" s="472" t="s">
        <v>170</v>
      </c>
      <c r="F6534" s="474"/>
    </row>
    <row r="6535" spans="1:6" s="475" customFormat="1" ht="15">
      <c r="A6535" s="472" t="s">
        <v>12388</v>
      </c>
      <c r="B6535" s="472" t="s">
        <v>12389</v>
      </c>
      <c r="C6535" s="472" t="s">
        <v>5</v>
      </c>
      <c r="D6535" s="472">
        <v>2140.9760999999999</v>
      </c>
      <c r="E6535" s="472" t="s">
        <v>170</v>
      </c>
      <c r="F6535" s="474"/>
    </row>
    <row r="6536" spans="1:6" s="475" customFormat="1" ht="15">
      <c r="A6536" s="472" t="s">
        <v>12390</v>
      </c>
      <c r="B6536" s="472" t="s">
        <v>12391</v>
      </c>
      <c r="C6536" s="472" t="s">
        <v>5</v>
      </c>
      <c r="D6536" s="472">
        <v>2416.6887999999999</v>
      </c>
      <c r="E6536" s="472" t="s">
        <v>170</v>
      </c>
      <c r="F6536" s="474"/>
    </row>
    <row r="6537" spans="1:6" s="475" customFormat="1" ht="15">
      <c r="A6537" s="472" t="s">
        <v>12392</v>
      </c>
      <c r="B6537" s="472" t="s">
        <v>12393</v>
      </c>
      <c r="C6537" s="472" t="s">
        <v>5</v>
      </c>
      <c r="D6537" s="472">
        <v>2421.7577000000001</v>
      </c>
      <c r="E6537" s="472" t="s">
        <v>170</v>
      </c>
      <c r="F6537" s="474"/>
    </row>
    <row r="6538" spans="1:6" s="475" customFormat="1" ht="15">
      <c r="A6538" s="472" t="s">
        <v>12394</v>
      </c>
      <c r="B6538" s="472" t="s">
        <v>12395</v>
      </c>
      <c r="C6538" s="472" t="s">
        <v>5</v>
      </c>
      <c r="D6538" s="472">
        <v>2480.9656</v>
      </c>
      <c r="E6538" s="472" t="s">
        <v>170</v>
      </c>
      <c r="F6538" s="474"/>
    </row>
    <row r="6539" spans="1:6" s="475" customFormat="1" ht="15">
      <c r="A6539" s="472" t="s">
        <v>12396</v>
      </c>
      <c r="B6539" s="472" t="s">
        <v>12397</v>
      </c>
      <c r="C6539" s="472" t="s">
        <v>5</v>
      </c>
      <c r="D6539" s="472">
        <v>2699.2096000000001</v>
      </c>
      <c r="E6539" s="472" t="s">
        <v>170</v>
      </c>
      <c r="F6539" s="474"/>
    </row>
    <row r="6540" spans="1:6" s="475" customFormat="1" ht="15">
      <c r="A6540" s="472" t="s">
        <v>12398</v>
      </c>
      <c r="B6540" s="472" t="s">
        <v>12399</v>
      </c>
      <c r="C6540" s="472" t="s">
        <v>5</v>
      </c>
      <c r="D6540" s="472">
        <v>2700.6853000000001</v>
      </c>
      <c r="E6540" s="472" t="s">
        <v>170</v>
      </c>
      <c r="F6540" s="474"/>
    </row>
    <row r="6541" spans="1:6" s="475" customFormat="1" ht="15">
      <c r="A6541" s="472" t="s">
        <v>12400</v>
      </c>
      <c r="B6541" s="472" t="s">
        <v>12401</v>
      </c>
      <c r="C6541" s="472" t="s">
        <v>5</v>
      </c>
      <c r="D6541" s="472">
        <v>2764.7193000000002</v>
      </c>
      <c r="E6541" s="472" t="s">
        <v>170</v>
      </c>
      <c r="F6541" s="474"/>
    </row>
    <row r="6542" spans="1:6" s="475" customFormat="1" ht="15">
      <c r="A6542" s="472" t="s">
        <v>12402</v>
      </c>
      <c r="B6542" s="472" t="s">
        <v>12403</v>
      </c>
      <c r="C6542" s="472" t="s">
        <v>5</v>
      </c>
      <c r="D6542" s="472">
        <v>2997.5634</v>
      </c>
      <c r="E6542" s="472" t="s">
        <v>170</v>
      </c>
      <c r="F6542" s="474"/>
    </row>
    <row r="6543" spans="1:6" s="475" customFormat="1" ht="15">
      <c r="A6543" s="472" t="s">
        <v>12404</v>
      </c>
      <c r="B6543" s="472" t="s">
        <v>12405</v>
      </c>
      <c r="C6543" s="472" t="s">
        <v>5</v>
      </c>
      <c r="D6543" s="472">
        <v>3124.8341</v>
      </c>
      <c r="E6543" s="472" t="s">
        <v>170</v>
      </c>
      <c r="F6543" s="474"/>
    </row>
    <row r="6544" spans="1:6" s="475" customFormat="1" ht="15">
      <c r="A6544" s="472" t="s">
        <v>12406</v>
      </c>
      <c r="B6544" s="472" t="s">
        <v>12407</v>
      </c>
      <c r="C6544" s="472" t="s">
        <v>5</v>
      </c>
      <c r="D6544" s="472">
        <v>3150.7172999999998</v>
      </c>
      <c r="E6544" s="472" t="s">
        <v>170</v>
      </c>
      <c r="F6544" s="474"/>
    </row>
    <row r="6545" spans="1:6" s="475" customFormat="1" ht="15">
      <c r="A6545" s="472" t="s">
        <v>12408</v>
      </c>
      <c r="B6545" s="472" t="s">
        <v>12409</v>
      </c>
      <c r="C6545" s="472" t="s">
        <v>5</v>
      </c>
      <c r="D6545" s="472">
        <v>3339.7728999999999</v>
      </c>
      <c r="E6545" s="472" t="s">
        <v>170</v>
      </c>
      <c r="F6545" s="474"/>
    </row>
    <row r="6546" spans="1:6" s="475" customFormat="1" ht="15">
      <c r="A6546" s="472" t="s">
        <v>12410</v>
      </c>
      <c r="B6546" s="472" t="s">
        <v>12411</v>
      </c>
      <c r="C6546" s="472" t="s">
        <v>5</v>
      </c>
      <c r="D6546" s="472">
        <v>3451.6100999999999</v>
      </c>
      <c r="E6546" s="472" t="s">
        <v>170</v>
      </c>
      <c r="F6546" s="474"/>
    </row>
    <row r="6547" spans="1:6" s="475" customFormat="1" ht="15">
      <c r="A6547" s="472" t="s">
        <v>12412</v>
      </c>
      <c r="B6547" s="472" t="s">
        <v>12413</v>
      </c>
      <c r="C6547" s="472" t="s">
        <v>5</v>
      </c>
      <c r="D6547" s="472">
        <v>3488.1615999999999</v>
      </c>
      <c r="E6547" s="472" t="s">
        <v>170</v>
      </c>
      <c r="F6547" s="474"/>
    </row>
    <row r="6548" spans="1:6" s="475" customFormat="1" ht="15">
      <c r="A6548" s="472" t="s">
        <v>12414</v>
      </c>
      <c r="B6548" s="472" t="s">
        <v>12415</v>
      </c>
      <c r="C6548" s="472" t="s">
        <v>5</v>
      </c>
      <c r="D6548" s="472">
        <v>3808.9521</v>
      </c>
      <c r="E6548" s="472" t="s">
        <v>170</v>
      </c>
      <c r="F6548" s="474"/>
    </row>
    <row r="6549" spans="1:6" s="475" customFormat="1" ht="15">
      <c r="A6549" s="472" t="s">
        <v>12416</v>
      </c>
      <c r="B6549" s="472" t="s">
        <v>12417</v>
      </c>
      <c r="C6549" s="472" t="s">
        <v>5</v>
      </c>
      <c r="D6549" s="472">
        <v>3887.8152</v>
      </c>
      <c r="E6549" s="472" t="s">
        <v>170</v>
      </c>
      <c r="F6549" s="474"/>
    </row>
    <row r="6550" spans="1:6" s="475" customFormat="1" ht="15">
      <c r="A6550" s="472" t="s">
        <v>12418</v>
      </c>
      <c r="B6550" s="472" t="s">
        <v>12419</v>
      </c>
      <c r="C6550" s="472" t="s">
        <v>5</v>
      </c>
      <c r="D6550" s="472">
        <v>3993.6581999999999</v>
      </c>
      <c r="E6550" s="472" t="s">
        <v>170</v>
      </c>
      <c r="F6550" s="474"/>
    </row>
    <row r="6551" spans="1:6" s="475" customFormat="1" ht="15">
      <c r="A6551" s="472" t="s">
        <v>12420</v>
      </c>
      <c r="B6551" s="472" t="s">
        <v>12421</v>
      </c>
      <c r="C6551" s="472" t="s">
        <v>5</v>
      </c>
      <c r="D6551" s="472">
        <v>4664.1882999999998</v>
      </c>
      <c r="E6551" s="472" t="s">
        <v>170</v>
      </c>
      <c r="F6551" s="474"/>
    </row>
    <row r="6552" spans="1:6" s="475" customFormat="1" ht="15">
      <c r="A6552" s="472" t="s">
        <v>12422</v>
      </c>
      <c r="B6552" s="472" t="s">
        <v>12423</v>
      </c>
      <c r="C6552" s="472" t="s">
        <v>5</v>
      </c>
      <c r="D6552" s="472">
        <v>4738.4054999999998</v>
      </c>
      <c r="E6552" s="472" t="s">
        <v>170</v>
      </c>
      <c r="F6552" s="474"/>
    </row>
    <row r="6553" spans="1:6" s="475" customFormat="1" ht="15">
      <c r="A6553" s="472" t="s">
        <v>12424</v>
      </c>
      <c r="B6553" s="472" t="s">
        <v>12425</v>
      </c>
      <c r="C6553" s="472" t="s">
        <v>5</v>
      </c>
      <c r="D6553" s="472">
        <v>4844.3290999999999</v>
      </c>
      <c r="E6553" s="472" t="s">
        <v>170</v>
      </c>
      <c r="F6553" s="474"/>
    </row>
    <row r="6554" spans="1:6" s="475" customFormat="1" ht="15">
      <c r="A6554" s="472" t="s">
        <v>12426</v>
      </c>
      <c r="B6554" s="472" t="s">
        <v>12427</v>
      </c>
      <c r="C6554" s="472" t="s">
        <v>5</v>
      </c>
      <c r="D6554" s="472">
        <v>4994.0924999999997</v>
      </c>
      <c r="E6554" s="472" t="s">
        <v>170</v>
      </c>
      <c r="F6554" s="474"/>
    </row>
    <row r="6555" spans="1:6" s="475" customFormat="1" ht="15">
      <c r="A6555" s="472" t="s">
        <v>12428</v>
      </c>
      <c r="B6555" s="472" t="s">
        <v>12429</v>
      </c>
      <c r="C6555" s="472" t="s">
        <v>5</v>
      </c>
      <c r="D6555" s="472">
        <v>5094.7496000000001</v>
      </c>
      <c r="E6555" s="472" t="s">
        <v>170</v>
      </c>
      <c r="F6555" s="474"/>
    </row>
    <row r="6556" spans="1:6" s="475" customFormat="1" ht="15">
      <c r="A6556" s="472" t="s">
        <v>12430</v>
      </c>
      <c r="B6556" s="472" t="s">
        <v>12431</v>
      </c>
      <c r="C6556" s="472" t="s">
        <v>5</v>
      </c>
      <c r="D6556" s="472">
        <v>6121.4156000000003</v>
      </c>
      <c r="E6556" s="472" t="s">
        <v>170</v>
      </c>
      <c r="F6556" s="474"/>
    </row>
    <row r="6557" spans="1:6" s="475" customFormat="1" ht="15">
      <c r="A6557" s="472" t="s">
        <v>12432</v>
      </c>
      <c r="B6557" s="472" t="s">
        <v>12433</v>
      </c>
      <c r="C6557" s="472" t="s">
        <v>5</v>
      </c>
      <c r="D6557" s="472">
        <v>1553.4486999999999</v>
      </c>
      <c r="E6557" s="472" t="s">
        <v>170</v>
      </c>
      <c r="F6557" s="474"/>
    </row>
    <row r="6558" spans="1:6" s="475" customFormat="1" ht="15">
      <c r="A6558" s="472" t="s">
        <v>12434</v>
      </c>
      <c r="B6558" s="472" t="s">
        <v>12435</v>
      </c>
      <c r="C6558" s="472" t="s">
        <v>5</v>
      </c>
      <c r="D6558" s="472">
        <v>1795.2945999999999</v>
      </c>
      <c r="E6558" s="472" t="s">
        <v>170</v>
      </c>
      <c r="F6558" s="474"/>
    </row>
    <row r="6559" spans="1:6" s="475" customFormat="1" ht="15">
      <c r="A6559" s="472" t="s">
        <v>12436</v>
      </c>
      <c r="B6559" s="472" t="s">
        <v>12437</v>
      </c>
      <c r="C6559" s="472" t="s">
        <v>5</v>
      </c>
      <c r="D6559" s="472">
        <v>2175.9357</v>
      </c>
      <c r="E6559" s="472" t="s">
        <v>170</v>
      </c>
      <c r="F6559" s="474"/>
    </row>
    <row r="6560" spans="1:6" s="475" customFormat="1" ht="15">
      <c r="A6560" s="472" t="s">
        <v>12438</v>
      </c>
      <c r="B6560" s="472" t="s">
        <v>12439</v>
      </c>
      <c r="C6560" s="472" t="s">
        <v>5</v>
      </c>
      <c r="D6560" s="472">
        <v>2376.1469999999999</v>
      </c>
      <c r="E6560" s="472" t="s">
        <v>170</v>
      </c>
      <c r="F6560" s="474"/>
    </row>
    <row r="6561" spans="1:6" s="475" customFormat="1" ht="15">
      <c r="A6561" s="472" t="s">
        <v>12440</v>
      </c>
      <c r="B6561" s="472" t="s">
        <v>12441</v>
      </c>
      <c r="C6561" s="472" t="s">
        <v>5</v>
      </c>
      <c r="D6561" s="472">
        <v>1999.7646999999999</v>
      </c>
      <c r="E6561" s="472" t="s">
        <v>170</v>
      </c>
      <c r="F6561" s="474"/>
    </row>
    <row r="6562" spans="1:6" s="475" customFormat="1" ht="15">
      <c r="A6562" s="472" t="s">
        <v>12442</v>
      </c>
      <c r="B6562" s="472" t="s">
        <v>12443</v>
      </c>
      <c r="C6562" s="472" t="s">
        <v>5</v>
      </c>
      <c r="D6562" s="472">
        <v>2722.3687</v>
      </c>
      <c r="E6562" s="472" t="s">
        <v>170</v>
      </c>
      <c r="F6562" s="474"/>
    </row>
    <row r="6563" spans="1:6" s="475" customFormat="1" ht="15">
      <c r="A6563" s="472" t="s">
        <v>12444</v>
      </c>
      <c r="B6563" s="472" t="s">
        <v>12445</v>
      </c>
      <c r="C6563" s="472" t="s">
        <v>5</v>
      </c>
      <c r="D6563" s="472">
        <v>3009.6367</v>
      </c>
      <c r="E6563" s="472" t="s">
        <v>170</v>
      </c>
      <c r="F6563" s="474"/>
    </row>
    <row r="6564" spans="1:6" s="475" customFormat="1" ht="15">
      <c r="A6564" s="472" t="s">
        <v>12446</v>
      </c>
      <c r="B6564" s="472" t="s">
        <v>12447</v>
      </c>
      <c r="C6564" s="472" t="s">
        <v>5</v>
      </c>
      <c r="D6564" s="472">
        <v>2682.5913</v>
      </c>
      <c r="E6564" s="472" t="s">
        <v>170</v>
      </c>
      <c r="F6564" s="474"/>
    </row>
    <row r="6565" spans="1:6" s="475" customFormat="1" ht="15">
      <c r="A6565" s="472" t="s">
        <v>12448</v>
      </c>
      <c r="B6565" s="472" t="s">
        <v>12449</v>
      </c>
      <c r="C6565" s="472" t="s">
        <v>5</v>
      </c>
      <c r="D6565" s="472">
        <v>3146.6604000000002</v>
      </c>
      <c r="E6565" s="472" t="s">
        <v>170</v>
      </c>
      <c r="F6565" s="474"/>
    </row>
    <row r="6566" spans="1:6" s="475" customFormat="1" ht="15">
      <c r="A6566" s="472" t="s">
        <v>12450</v>
      </c>
      <c r="B6566" s="472" t="s">
        <v>12451</v>
      </c>
      <c r="C6566" s="472" t="s">
        <v>5</v>
      </c>
      <c r="D6566" s="472">
        <v>3558.4670000000001</v>
      </c>
      <c r="E6566" s="472" t="s">
        <v>170</v>
      </c>
      <c r="F6566" s="474"/>
    </row>
    <row r="6567" spans="1:6" s="475" customFormat="1" ht="15">
      <c r="A6567" s="472" t="s">
        <v>12452</v>
      </c>
      <c r="B6567" s="472" t="s">
        <v>12453</v>
      </c>
      <c r="C6567" s="472" t="s">
        <v>90</v>
      </c>
      <c r="D6567" s="472">
        <v>8537.0948000000008</v>
      </c>
      <c r="E6567" s="472" t="s">
        <v>170</v>
      </c>
      <c r="F6567" s="474"/>
    </row>
    <row r="6568" spans="1:6" s="475" customFormat="1" ht="15">
      <c r="A6568" s="472" t="s">
        <v>12454</v>
      </c>
      <c r="B6568" s="472" t="s">
        <v>12455</v>
      </c>
      <c r="C6568" s="472" t="s">
        <v>90</v>
      </c>
      <c r="D6568" s="472">
        <v>11147.4866</v>
      </c>
      <c r="E6568" s="472" t="s">
        <v>170</v>
      </c>
      <c r="F6568" s="474"/>
    </row>
    <row r="6569" spans="1:6" s="475" customFormat="1" ht="15">
      <c r="A6569" s="472" t="s">
        <v>12456</v>
      </c>
      <c r="B6569" s="472" t="s">
        <v>12457</v>
      </c>
      <c r="C6569" s="472" t="s">
        <v>90</v>
      </c>
      <c r="D6569" s="472">
        <v>14861.9611</v>
      </c>
      <c r="E6569" s="472" t="s">
        <v>170</v>
      </c>
      <c r="F6569" s="474"/>
    </row>
    <row r="6570" spans="1:6" s="475" customFormat="1" ht="15">
      <c r="A6570" s="472" t="s">
        <v>12458</v>
      </c>
      <c r="B6570" s="472" t="s">
        <v>12459</v>
      </c>
      <c r="C6570" s="472" t="s">
        <v>90</v>
      </c>
      <c r="D6570" s="472">
        <v>18579.299900000002</v>
      </c>
      <c r="E6570" s="472" t="s">
        <v>170</v>
      </c>
      <c r="F6570" s="474"/>
    </row>
    <row r="6571" spans="1:6" s="475" customFormat="1" ht="15">
      <c r="A6571" s="472" t="s">
        <v>12460</v>
      </c>
      <c r="B6571" s="472" t="s">
        <v>12461</v>
      </c>
      <c r="C6571" s="472" t="s">
        <v>90</v>
      </c>
      <c r="D6571" s="472">
        <v>22295.774099999999</v>
      </c>
      <c r="E6571" s="472" t="s">
        <v>170</v>
      </c>
      <c r="F6571" s="474"/>
    </row>
    <row r="6572" spans="1:6" s="475" customFormat="1" ht="15">
      <c r="A6572" s="472" t="s">
        <v>12462</v>
      </c>
      <c r="B6572" s="472" t="s">
        <v>12463</v>
      </c>
      <c r="C6572" s="472" t="s">
        <v>90</v>
      </c>
      <c r="D6572" s="472">
        <v>26011.8282</v>
      </c>
      <c r="E6572" s="472" t="s">
        <v>170</v>
      </c>
      <c r="F6572" s="474"/>
    </row>
    <row r="6573" spans="1:6" s="475" customFormat="1" ht="15">
      <c r="A6573" s="472" t="s">
        <v>12464</v>
      </c>
      <c r="B6573" s="472" t="s">
        <v>12465</v>
      </c>
      <c r="C6573" s="472" t="s">
        <v>90</v>
      </c>
      <c r="D6573" s="472">
        <v>29727.285</v>
      </c>
      <c r="E6573" s="472" t="s">
        <v>170</v>
      </c>
      <c r="F6573" s="474"/>
    </row>
    <row r="6574" spans="1:6" s="475" customFormat="1" ht="15">
      <c r="A6574" s="472" t="s">
        <v>12466</v>
      </c>
      <c r="B6574" s="472" t="s">
        <v>12467</v>
      </c>
      <c r="C6574" s="472" t="s">
        <v>90</v>
      </c>
      <c r="D6574" s="472">
        <v>33444.561600000001</v>
      </c>
      <c r="E6574" s="472" t="s">
        <v>170</v>
      </c>
      <c r="F6574" s="474"/>
    </row>
    <row r="6575" spans="1:6" s="475" customFormat="1" ht="15">
      <c r="A6575" s="472" t="s">
        <v>12468</v>
      </c>
      <c r="B6575" s="472" t="s">
        <v>12469</v>
      </c>
      <c r="C6575" s="472" t="s">
        <v>90</v>
      </c>
      <c r="D6575" s="472">
        <v>37064.693899999998</v>
      </c>
      <c r="E6575" s="472" t="s">
        <v>170</v>
      </c>
      <c r="F6575" s="474"/>
    </row>
    <row r="6576" spans="1:6" s="475" customFormat="1" ht="15">
      <c r="A6576" s="472" t="s">
        <v>12470</v>
      </c>
      <c r="B6576" s="472" t="s">
        <v>12471</v>
      </c>
      <c r="C6576" s="472" t="s">
        <v>90</v>
      </c>
      <c r="D6576" s="472">
        <v>40693.851799999997</v>
      </c>
      <c r="E6576" s="472" t="s">
        <v>170</v>
      </c>
      <c r="F6576" s="474"/>
    </row>
    <row r="6577" spans="1:6" s="475" customFormat="1" ht="15">
      <c r="A6577" s="472" t="s">
        <v>12472</v>
      </c>
      <c r="B6577" s="472" t="s">
        <v>12473</v>
      </c>
      <c r="C6577" s="472" t="s">
        <v>90</v>
      </c>
      <c r="D6577" s="472">
        <v>44705.851799999997</v>
      </c>
      <c r="E6577" s="472" t="s">
        <v>170</v>
      </c>
      <c r="F6577" s="474"/>
    </row>
    <row r="6578" spans="1:6" s="475" customFormat="1" ht="15">
      <c r="A6578" s="472" t="s">
        <v>12474</v>
      </c>
      <c r="B6578" s="472" t="s">
        <v>12475</v>
      </c>
      <c r="C6578" s="472" t="s">
        <v>90</v>
      </c>
      <c r="D6578" s="472">
        <v>48517.251799999998</v>
      </c>
      <c r="E6578" s="472" t="s">
        <v>170</v>
      </c>
      <c r="F6578" s="474"/>
    </row>
    <row r="6579" spans="1:6" s="475" customFormat="1" ht="15">
      <c r="A6579" s="472" t="s">
        <v>12476</v>
      </c>
      <c r="B6579" s="472" t="s">
        <v>12477</v>
      </c>
      <c r="C6579" s="472" t="s">
        <v>90</v>
      </c>
      <c r="D6579" s="472">
        <v>52228.351799999997</v>
      </c>
      <c r="E6579" s="472" t="s">
        <v>170</v>
      </c>
      <c r="F6579" s="474"/>
    </row>
    <row r="6580" spans="1:6" s="475" customFormat="1" ht="15">
      <c r="A6580" s="472" t="s">
        <v>12478</v>
      </c>
      <c r="B6580" s="472" t="s">
        <v>12479</v>
      </c>
      <c r="C6580" s="472" t="s">
        <v>90</v>
      </c>
      <c r="D6580" s="472">
        <v>56047.7909</v>
      </c>
      <c r="E6580" s="472" t="s">
        <v>170</v>
      </c>
      <c r="F6580" s="474"/>
    </row>
    <row r="6581" spans="1:6" s="475" customFormat="1" ht="15">
      <c r="A6581" s="472" t="s">
        <v>12480</v>
      </c>
      <c r="B6581" s="472" t="s">
        <v>12481</v>
      </c>
      <c r="C6581" s="472" t="s">
        <v>90</v>
      </c>
      <c r="D6581" s="472">
        <v>59864.933100000002</v>
      </c>
      <c r="E6581" s="472" t="s">
        <v>170</v>
      </c>
      <c r="F6581" s="474"/>
    </row>
    <row r="6582" spans="1:6" s="475" customFormat="1" ht="15">
      <c r="A6582" s="472" t="s">
        <v>12482</v>
      </c>
      <c r="B6582" s="472" t="s">
        <v>12483</v>
      </c>
      <c r="C6582" s="472" t="s">
        <v>90</v>
      </c>
      <c r="D6582" s="472">
        <v>63687.972699999998</v>
      </c>
      <c r="E6582" s="472" t="s">
        <v>170</v>
      </c>
      <c r="F6582" s="474"/>
    </row>
    <row r="6583" spans="1:6" s="475" customFormat="1" ht="15">
      <c r="A6583" s="472" t="s">
        <v>12484</v>
      </c>
      <c r="B6583" s="472" t="s">
        <v>12485</v>
      </c>
      <c r="C6583" s="472" t="s">
        <v>90</v>
      </c>
      <c r="D6583" s="472">
        <v>67504.959700000007</v>
      </c>
      <c r="E6583" s="472" t="s">
        <v>170</v>
      </c>
      <c r="F6583" s="474"/>
    </row>
    <row r="6584" spans="1:6" s="475" customFormat="1" ht="15">
      <c r="A6584" s="472" t="s">
        <v>12486</v>
      </c>
      <c r="B6584" s="472" t="s">
        <v>12487</v>
      </c>
      <c r="C6584" s="472" t="s">
        <v>90</v>
      </c>
      <c r="D6584" s="472">
        <v>71322.623999999996</v>
      </c>
      <c r="E6584" s="472" t="s">
        <v>170</v>
      </c>
      <c r="F6584" s="474"/>
    </row>
    <row r="6585" spans="1:6" s="475" customFormat="1" ht="15">
      <c r="A6585" s="472" t="s">
        <v>12488</v>
      </c>
      <c r="B6585" s="472" t="s">
        <v>12489</v>
      </c>
      <c r="C6585" s="472" t="s">
        <v>90</v>
      </c>
      <c r="D6585" s="472">
        <v>74840.196500000005</v>
      </c>
      <c r="E6585" s="472" t="s">
        <v>170</v>
      </c>
      <c r="F6585" s="474"/>
    </row>
    <row r="6586" spans="1:6" s="475" customFormat="1" ht="15">
      <c r="A6586" s="472" t="s">
        <v>12490</v>
      </c>
      <c r="B6586" s="472" t="s">
        <v>12491</v>
      </c>
      <c r="C6586" s="472" t="s">
        <v>90</v>
      </c>
      <c r="D6586" s="472">
        <v>10034.187</v>
      </c>
      <c r="E6586" s="472" t="s">
        <v>170</v>
      </c>
      <c r="F6586" s="474"/>
    </row>
    <row r="6587" spans="1:6" s="475" customFormat="1" ht="15">
      <c r="A6587" s="472" t="s">
        <v>12492</v>
      </c>
      <c r="B6587" s="472" t="s">
        <v>12493</v>
      </c>
      <c r="C6587" s="472" t="s">
        <v>90</v>
      </c>
      <c r="D6587" s="472">
        <v>15051.110699999999</v>
      </c>
      <c r="E6587" s="472" t="s">
        <v>170</v>
      </c>
      <c r="F6587" s="474"/>
    </row>
    <row r="6588" spans="1:6" s="475" customFormat="1" ht="15">
      <c r="A6588" s="472" t="s">
        <v>12494</v>
      </c>
      <c r="B6588" s="472" t="s">
        <v>12495</v>
      </c>
      <c r="C6588" s="472" t="s">
        <v>90</v>
      </c>
      <c r="D6588" s="472">
        <v>24583.806499999999</v>
      </c>
      <c r="E6588" s="472" t="s">
        <v>170</v>
      </c>
      <c r="F6588" s="474"/>
    </row>
    <row r="6589" spans="1:6" s="475" customFormat="1" ht="15">
      <c r="A6589" s="472" t="s">
        <v>12496</v>
      </c>
      <c r="B6589" s="472" t="s">
        <v>12497</v>
      </c>
      <c r="C6589" s="472" t="s">
        <v>90</v>
      </c>
      <c r="D6589" s="472">
        <v>39332.426099999997</v>
      </c>
      <c r="E6589" s="472" t="s">
        <v>170</v>
      </c>
      <c r="F6589" s="474"/>
    </row>
    <row r="6590" spans="1:6" s="475" customFormat="1" ht="15">
      <c r="A6590" s="472" t="s">
        <v>12498</v>
      </c>
      <c r="B6590" s="472" t="s">
        <v>12499</v>
      </c>
      <c r="C6590" s="472" t="s">
        <v>90</v>
      </c>
      <c r="D6590" s="472">
        <v>54082.979899999998</v>
      </c>
      <c r="E6590" s="472" t="s">
        <v>170</v>
      </c>
      <c r="F6590" s="474"/>
    </row>
    <row r="6591" spans="1:6" s="475" customFormat="1" ht="15">
      <c r="A6591" s="472" t="s">
        <v>12500</v>
      </c>
      <c r="B6591" s="472" t="s">
        <v>12501</v>
      </c>
      <c r="C6591" s="472" t="s">
        <v>90</v>
      </c>
      <c r="D6591" s="472">
        <v>73751.157500000001</v>
      </c>
      <c r="E6591" s="472" t="s">
        <v>170</v>
      </c>
      <c r="F6591" s="474"/>
    </row>
    <row r="6592" spans="1:6" s="475" customFormat="1" ht="15">
      <c r="A6592" s="472" t="s">
        <v>12502</v>
      </c>
      <c r="B6592" s="472" t="s">
        <v>12503</v>
      </c>
      <c r="C6592" s="472" t="s">
        <v>90</v>
      </c>
      <c r="D6592" s="472">
        <v>98354.2932</v>
      </c>
      <c r="E6592" s="472" t="s">
        <v>170</v>
      </c>
      <c r="F6592" s="474"/>
    </row>
    <row r="6593" spans="1:6" s="475" customFormat="1" ht="15">
      <c r="A6593" s="472" t="s">
        <v>12504</v>
      </c>
      <c r="B6593" s="472" t="s">
        <v>12505</v>
      </c>
      <c r="C6593" s="472" t="s">
        <v>90</v>
      </c>
      <c r="D6593" s="472">
        <v>7529.2936</v>
      </c>
      <c r="E6593" s="472" t="s">
        <v>170</v>
      </c>
      <c r="F6593" s="474"/>
    </row>
    <row r="6594" spans="1:6" s="475" customFormat="1" ht="15">
      <c r="A6594" s="472" t="s">
        <v>12506</v>
      </c>
      <c r="B6594" s="472" t="s">
        <v>12507</v>
      </c>
      <c r="C6594" s="472" t="s">
        <v>90</v>
      </c>
      <c r="D6594" s="472">
        <v>10039.724700000001</v>
      </c>
      <c r="E6594" s="472" t="s">
        <v>170</v>
      </c>
      <c r="F6594" s="474"/>
    </row>
    <row r="6595" spans="1:6" s="475" customFormat="1" ht="15">
      <c r="A6595" s="472" t="s">
        <v>12508</v>
      </c>
      <c r="B6595" s="472" t="s">
        <v>12509</v>
      </c>
      <c r="C6595" s="472" t="s">
        <v>90</v>
      </c>
      <c r="D6595" s="472">
        <v>16566.248100000001</v>
      </c>
      <c r="E6595" s="472" t="s">
        <v>170</v>
      </c>
      <c r="F6595" s="474"/>
    </row>
    <row r="6596" spans="1:6" s="475" customFormat="1" ht="15">
      <c r="A6596" s="472" t="s">
        <v>12510</v>
      </c>
      <c r="B6596" s="472" t="s">
        <v>12511</v>
      </c>
      <c r="C6596" s="472" t="s">
        <v>90</v>
      </c>
      <c r="D6596" s="472">
        <v>20323.329900000001</v>
      </c>
      <c r="E6596" s="472" t="s">
        <v>170</v>
      </c>
      <c r="F6596" s="474"/>
    </row>
    <row r="6597" spans="1:6" s="475" customFormat="1" ht="15">
      <c r="A6597" s="472" t="s">
        <v>12512</v>
      </c>
      <c r="B6597" s="472" t="s">
        <v>12513</v>
      </c>
      <c r="C6597" s="472" t="s">
        <v>90</v>
      </c>
      <c r="D6597" s="472">
        <v>32123.405999999999</v>
      </c>
      <c r="E6597" s="472" t="s">
        <v>170</v>
      </c>
      <c r="F6597" s="474"/>
    </row>
    <row r="6598" spans="1:6" s="475" customFormat="1" ht="15">
      <c r="A6598" s="472" t="s">
        <v>12514</v>
      </c>
      <c r="B6598" s="472" t="s">
        <v>12515</v>
      </c>
      <c r="C6598" s="472" t="s">
        <v>90</v>
      </c>
      <c r="D6598" s="472">
        <v>43669.821600000003</v>
      </c>
      <c r="E6598" s="472" t="s">
        <v>170</v>
      </c>
      <c r="F6598" s="474"/>
    </row>
    <row r="6599" spans="1:6" s="475" customFormat="1" ht="15">
      <c r="A6599" s="472" t="s">
        <v>12516</v>
      </c>
      <c r="B6599" s="472" t="s">
        <v>12517</v>
      </c>
      <c r="C6599" s="472" t="s">
        <v>90</v>
      </c>
      <c r="D6599" s="472">
        <v>58239.774400000002</v>
      </c>
      <c r="E6599" s="472" t="s">
        <v>170</v>
      </c>
      <c r="F6599" s="474"/>
    </row>
    <row r="6600" spans="1:6" s="475" customFormat="1" ht="15">
      <c r="A6600" s="472" t="s">
        <v>12518</v>
      </c>
      <c r="B6600" s="472" t="s">
        <v>12519</v>
      </c>
      <c r="C6600" s="472" t="s">
        <v>90</v>
      </c>
      <c r="D6600" s="472">
        <v>4618.3078999999998</v>
      </c>
      <c r="E6600" s="472" t="s">
        <v>170</v>
      </c>
      <c r="F6600" s="474"/>
    </row>
    <row r="6601" spans="1:6" s="475" customFormat="1" ht="15">
      <c r="A6601" s="472" t="s">
        <v>12520</v>
      </c>
      <c r="B6601" s="472" t="s">
        <v>12521</v>
      </c>
      <c r="C6601" s="472" t="s">
        <v>90</v>
      </c>
      <c r="D6601" s="472">
        <v>8031.0933000000005</v>
      </c>
      <c r="E6601" s="472" t="s">
        <v>170</v>
      </c>
      <c r="F6601" s="474"/>
    </row>
    <row r="6602" spans="1:6" s="475" customFormat="1" ht="15">
      <c r="A6602" s="472" t="s">
        <v>12522</v>
      </c>
      <c r="B6602" s="472" t="s">
        <v>12523</v>
      </c>
      <c r="C6602" s="472" t="s">
        <v>90</v>
      </c>
      <c r="D6602" s="472">
        <v>12046.9624</v>
      </c>
      <c r="E6602" s="472" t="s">
        <v>170</v>
      </c>
      <c r="F6602" s="474"/>
    </row>
    <row r="6603" spans="1:6" s="475" customFormat="1" ht="15">
      <c r="A6603" s="472" t="s">
        <v>12524</v>
      </c>
      <c r="B6603" s="472" t="s">
        <v>12525</v>
      </c>
      <c r="C6603" s="472" t="s">
        <v>90</v>
      </c>
      <c r="D6603" s="472">
        <v>21078.866600000001</v>
      </c>
      <c r="E6603" s="472" t="s">
        <v>170</v>
      </c>
      <c r="F6603" s="474"/>
    </row>
    <row r="6604" spans="1:6" s="475" customFormat="1" ht="15">
      <c r="A6604" s="472" t="s">
        <v>12526</v>
      </c>
      <c r="B6604" s="472" t="s">
        <v>12527</v>
      </c>
      <c r="C6604" s="472" t="s">
        <v>90</v>
      </c>
      <c r="D6604" s="472">
        <v>29012.175999999999</v>
      </c>
      <c r="E6604" s="472" t="s">
        <v>170</v>
      </c>
      <c r="F6604" s="474"/>
    </row>
    <row r="6605" spans="1:6" s="475" customFormat="1" ht="15">
      <c r="A6605" s="472" t="s">
        <v>12528</v>
      </c>
      <c r="B6605" s="472" t="s">
        <v>12529</v>
      </c>
      <c r="C6605" s="472" t="s">
        <v>90</v>
      </c>
      <c r="D6605" s="472">
        <v>36146.485000000001</v>
      </c>
      <c r="E6605" s="472" t="s">
        <v>170</v>
      </c>
      <c r="F6605" s="474"/>
    </row>
    <row r="6606" spans="1:6" s="475" customFormat="1" ht="15">
      <c r="A6606" s="472" t="s">
        <v>12530</v>
      </c>
      <c r="B6606" s="472" t="s">
        <v>12531</v>
      </c>
      <c r="C6606" s="472" t="s">
        <v>90</v>
      </c>
      <c r="D6606" s="472">
        <v>51714.7932</v>
      </c>
      <c r="E6606" s="472" t="s">
        <v>170</v>
      </c>
      <c r="F6606" s="474"/>
    </row>
    <row r="6607" spans="1:6" s="475" customFormat="1" ht="15">
      <c r="A6607" s="472" t="s">
        <v>12532</v>
      </c>
      <c r="B6607" s="472" t="s">
        <v>12533</v>
      </c>
      <c r="C6607" s="472" t="s">
        <v>5</v>
      </c>
      <c r="D6607" s="472">
        <v>1984.7086999999999</v>
      </c>
      <c r="E6607" s="472" t="s">
        <v>170</v>
      </c>
      <c r="F6607" s="474"/>
    </row>
    <row r="6608" spans="1:6" s="475" customFormat="1" ht="15">
      <c r="A6608" s="472" t="s">
        <v>12534</v>
      </c>
      <c r="B6608" s="472" t="s">
        <v>12535</v>
      </c>
      <c r="C6608" s="472" t="s">
        <v>5</v>
      </c>
      <c r="D6608" s="472">
        <v>2237.0014999999999</v>
      </c>
      <c r="E6608" s="472" t="s">
        <v>170</v>
      </c>
      <c r="F6608" s="474"/>
    </row>
    <row r="6609" spans="1:6" s="475" customFormat="1" ht="15">
      <c r="A6609" s="472" t="s">
        <v>12536</v>
      </c>
      <c r="B6609" s="472" t="s">
        <v>12537</v>
      </c>
      <c r="C6609" s="472" t="s">
        <v>5</v>
      </c>
      <c r="D6609" s="472">
        <v>2607.0311999999999</v>
      </c>
      <c r="E6609" s="472" t="s">
        <v>170</v>
      </c>
      <c r="F6609" s="474"/>
    </row>
    <row r="6610" spans="1:6" s="475" customFormat="1" ht="15">
      <c r="A6610" s="472" t="s">
        <v>12538</v>
      </c>
      <c r="B6610" s="472" t="s">
        <v>12539</v>
      </c>
      <c r="C6610" s="472" t="s">
        <v>5</v>
      </c>
      <c r="D6610" s="472">
        <v>2977.0533</v>
      </c>
      <c r="E6610" s="472" t="s">
        <v>170</v>
      </c>
      <c r="F6610" s="474"/>
    </row>
    <row r="6611" spans="1:6" s="475" customFormat="1" ht="15">
      <c r="A6611" s="472" t="s">
        <v>12540</v>
      </c>
      <c r="B6611" s="472" t="s">
        <v>12541</v>
      </c>
      <c r="C6611" s="472" t="s">
        <v>5</v>
      </c>
      <c r="D6611" s="472">
        <v>3279.8917000000001</v>
      </c>
      <c r="E6611" s="472" t="s">
        <v>170</v>
      </c>
      <c r="F6611" s="474"/>
    </row>
    <row r="6612" spans="1:6" s="475" customFormat="1" ht="15">
      <c r="A6612" s="472" t="s">
        <v>12542</v>
      </c>
      <c r="B6612" s="472" t="s">
        <v>12543</v>
      </c>
      <c r="C6612" s="472" t="s">
        <v>5</v>
      </c>
      <c r="D6612" s="472">
        <v>4282.6823999999997</v>
      </c>
      <c r="E6612" s="472" t="s">
        <v>170</v>
      </c>
      <c r="F6612" s="474"/>
    </row>
    <row r="6613" spans="1:6" s="475" customFormat="1" ht="15">
      <c r="A6613" s="472" t="s">
        <v>12544</v>
      </c>
      <c r="B6613" s="472" t="s">
        <v>12545</v>
      </c>
      <c r="C6613" s="472" t="s">
        <v>5</v>
      </c>
      <c r="D6613" s="472">
        <v>4635.6372000000001</v>
      </c>
      <c r="E6613" s="472" t="s">
        <v>170</v>
      </c>
      <c r="F6613" s="474"/>
    </row>
    <row r="6614" spans="1:6" s="475" customFormat="1" ht="15">
      <c r="A6614" s="472" t="s">
        <v>12546</v>
      </c>
      <c r="B6614" s="472" t="s">
        <v>12547</v>
      </c>
      <c r="C6614" s="472" t="s">
        <v>5</v>
      </c>
      <c r="D6614" s="472">
        <v>5052.7642999999998</v>
      </c>
      <c r="E6614" s="472" t="s">
        <v>170</v>
      </c>
      <c r="F6614" s="474"/>
    </row>
    <row r="6615" spans="1:6" s="475" customFormat="1" ht="15">
      <c r="A6615" s="472" t="s">
        <v>12548</v>
      </c>
      <c r="B6615" s="472" t="s">
        <v>12549</v>
      </c>
      <c r="C6615" s="472" t="s">
        <v>5</v>
      </c>
      <c r="D6615" s="472">
        <v>5405.5272999999997</v>
      </c>
      <c r="E6615" s="472" t="s">
        <v>170</v>
      </c>
      <c r="F6615" s="474"/>
    </row>
    <row r="6616" spans="1:6" s="475" customFormat="1" ht="15">
      <c r="A6616" s="472" t="s">
        <v>12550</v>
      </c>
      <c r="B6616" s="472" t="s">
        <v>12551</v>
      </c>
      <c r="C6616" s="472" t="s">
        <v>5</v>
      </c>
      <c r="D6616" s="472">
        <v>5822.8298999999997</v>
      </c>
      <c r="E6616" s="472" t="s">
        <v>170</v>
      </c>
      <c r="F6616" s="474"/>
    </row>
    <row r="6617" spans="1:6" s="475" customFormat="1" ht="15">
      <c r="A6617" s="472" t="s">
        <v>12552</v>
      </c>
      <c r="B6617" s="472" t="s">
        <v>12553</v>
      </c>
      <c r="C6617" s="472" t="s">
        <v>5</v>
      </c>
      <c r="D6617" s="472">
        <v>6175.7056000000002</v>
      </c>
      <c r="E6617" s="472" t="s">
        <v>170</v>
      </c>
      <c r="F6617" s="474"/>
    </row>
    <row r="6618" spans="1:6" s="475" customFormat="1" ht="15">
      <c r="A6618" s="472" t="s">
        <v>12554</v>
      </c>
      <c r="B6618" s="472" t="s">
        <v>12555</v>
      </c>
      <c r="C6618" s="472" t="s">
        <v>5</v>
      </c>
      <c r="D6618" s="472">
        <v>7402.7174999999997</v>
      </c>
      <c r="E6618" s="472" t="s">
        <v>170</v>
      </c>
      <c r="F6618" s="474"/>
    </row>
    <row r="6619" spans="1:6" s="475" customFormat="1" ht="15">
      <c r="A6619" s="472" t="s">
        <v>12556</v>
      </c>
      <c r="B6619" s="472" t="s">
        <v>12557</v>
      </c>
      <c r="C6619" s="472" t="s">
        <v>5</v>
      </c>
      <c r="D6619" s="472">
        <v>7808.0353999999998</v>
      </c>
      <c r="E6619" s="472" t="s">
        <v>170</v>
      </c>
      <c r="F6619" s="474"/>
    </row>
    <row r="6620" spans="1:6" s="475" customFormat="1" ht="15">
      <c r="A6620" s="472" t="s">
        <v>12558</v>
      </c>
      <c r="B6620" s="472" t="s">
        <v>12559</v>
      </c>
      <c r="C6620" s="472" t="s">
        <v>5</v>
      </c>
      <c r="D6620" s="472">
        <v>8290.9539000000004</v>
      </c>
      <c r="E6620" s="472" t="s">
        <v>170</v>
      </c>
      <c r="F6620" s="474"/>
    </row>
    <row r="6621" spans="1:6" s="475" customFormat="1" ht="15">
      <c r="A6621" s="472" t="s">
        <v>12560</v>
      </c>
      <c r="B6621" s="472" t="s">
        <v>12561</v>
      </c>
      <c r="C6621" s="472" t="s">
        <v>5</v>
      </c>
      <c r="D6621" s="472">
        <v>8665.4503999999997</v>
      </c>
      <c r="E6621" s="472" t="s">
        <v>170</v>
      </c>
      <c r="F6621" s="474"/>
    </row>
    <row r="6622" spans="1:6" s="475" customFormat="1" ht="15">
      <c r="A6622" s="472" t="s">
        <v>12562</v>
      </c>
      <c r="B6622" s="472" t="s">
        <v>12563</v>
      </c>
      <c r="C6622" s="472" t="s">
        <v>5</v>
      </c>
      <c r="D6622" s="472">
        <v>9132.8752999999997</v>
      </c>
      <c r="E6622" s="472" t="s">
        <v>170</v>
      </c>
      <c r="F6622" s="474"/>
    </row>
    <row r="6623" spans="1:6" s="475" customFormat="1" ht="15">
      <c r="A6623" s="472" t="s">
        <v>12564</v>
      </c>
      <c r="B6623" s="472" t="s">
        <v>12565</v>
      </c>
      <c r="C6623" s="472" t="s">
        <v>5</v>
      </c>
      <c r="D6623" s="472">
        <v>9553.1530999999995</v>
      </c>
      <c r="E6623" s="472" t="s">
        <v>170</v>
      </c>
      <c r="F6623" s="474"/>
    </row>
    <row r="6624" spans="1:6" s="475" customFormat="1" ht="15">
      <c r="A6624" s="472" t="s">
        <v>12566</v>
      </c>
      <c r="B6624" s="472" t="s">
        <v>12567</v>
      </c>
      <c r="C6624" s="472" t="s">
        <v>5</v>
      </c>
      <c r="D6624" s="472">
        <v>9989.1985000000004</v>
      </c>
      <c r="E6624" s="472" t="s">
        <v>170</v>
      </c>
      <c r="F6624" s="474"/>
    </row>
    <row r="6625" spans="1:6" s="475" customFormat="1" ht="15">
      <c r="A6625" s="472" t="s">
        <v>12568</v>
      </c>
      <c r="B6625" s="472" t="s">
        <v>12569</v>
      </c>
      <c r="C6625" s="472" t="s">
        <v>5</v>
      </c>
      <c r="D6625" s="472">
        <v>12071.15</v>
      </c>
      <c r="E6625" s="472" t="s">
        <v>170</v>
      </c>
      <c r="F6625" s="474"/>
    </row>
    <row r="6626" spans="1:6" s="475" customFormat="1" ht="15">
      <c r="A6626" s="472" t="s">
        <v>12570</v>
      </c>
      <c r="B6626" s="472" t="s">
        <v>12571</v>
      </c>
      <c r="C6626" s="472" t="s">
        <v>5</v>
      </c>
      <c r="D6626" s="472">
        <v>12639.156999999999</v>
      </c>
      <c r="E6626" s="472" t="s">
        <v>170</v>
      </c>
      <c r="F6626" s="474"/>
    </row>
    <row r="6627" spans="1:6" s="475" customFormat="1" ht="15">
      <c r="A6627" s="472" t="s">
        <v>12572</v>
      </c>
      <c r="B6627" s="472" t="s">
        <v>12573</v>
      </c>
      <c r="C6627" s="472" t="s">
        <v>5</v>
      </c>
      <c r="D6627" s="472">
        <v>2050.6862000000001</v>
      </c>
      <c r="E6627" s="472" t="s">
        <v>170</v>
      </c>
      <c r="F6627" s="474"/>
    </row>
    <row r="6628" spans="1:6" s="475" customFormat="1" ht="15">
      <c r="A6628" s="472" t="s">
        <v>12574</v>
      </c>
      <c r="B6628" s="472" t="s">
        <v>12575</v>
      </c>
      <c r="C6628" s="472" t="s">
        <v>5</v>
      </c>
      <c r="D6628" s="472">
        <v>2311.3739999999998</v>
      </c>
      <c r="E6628" s="472" t="s">
        <v>170</v>
      </c>
      <c r="F6628" s="474"/>
    </row>
    <row r="6629" spans="1:6" s="475" customFormat="1" ht="15">
      <c r="A6629" s="472" t="s">
        <v>12576</v>
      </c>
      <c r="B6629" s="472" t="s">
        <v>12577</v>
      </c>
      <c r="C6629" s="472" t="s">
        <v>5</v>
      </c>
      <c r="D6629" s="472">
        <v>2693.7103999999999</v>
      </c>
      <c r="E6629" s="472" t="s">
        <v>170</v>
      </c>
      <c r="F6629" s="474"/>
    </row>
    <row r="6630" spans="1:6" s="475" customFormat="1" ht="15">
      <c r="A6630" s="472" t="s">
        <v>12578</v>
      </c>
      <c r="B6630" s="472" t="s">
        <v>12579</v>
      </c>
      <c r="C6630" s="472" t="s">
        <v>5</v>
      </c>
      <c r="D6630" s="472">
        <v>3076.0291999999999</v>
      </c>
      <c r="E6630" s="472" t="s">
        <v>170</v>
      </c>
      <c r="F6630" s="474"/>
    </row>
    <row r="6631" spans="1:6" s="475" customFormat="1" ht="15">
      <c r="A6631" s="472" t="s">
        <v>12580</v>
      </c>
      <c r="B6631" s="472" t="s">
        <v>12581</v>
      </c>
      <c r="C6631" s="472" t="s">
        <v>5</v>
      </c>
      <c r="D6631" s="472">
        <v>3388.9378999999999</v>
      </c>
      <c r="E6631" s="472" t="s">
        <v>170</v>
      </c>
      <c r="F6631" s="474"/>
    </row>
    <row r="6632" spans="1:6" s="475" customFormat="1" ht="15">
      <c r="A6632" s="472" t="s">
        <v>12582</v>
      </c>
      <c r="B6632" s="472" t="s">
        <v>12583</v>
      </c>
      <c r="C6632" s="472" t="s">
        <v>5</v>
      </c>
      <c r="D6632" s="472">
        <v>4573.4318999999996</v>
      </c>
      <c r="E6632" s="472" t="s">
        <v>170</v>
      </c>
      <c r="F6632" s="474"/>
    </row>
    <row r="6633" spans="1:6" s="475" customFormat="1" ht="15">
      <c r="A6633" s="472" t="s">
        <v>12584</v>
      </c>
      <c r="B6633" s="472" t="s">
        <v>12585</v>
      </c>
      <c r="C6633" s="472" t="s">
        <v>5</v>
      </c>
      <c r="D6633" s="472">
        <v>4950.3383999999996</v>
      </c>
      <c r="E6633" s="472" t="s">
        <v>170</v>
      </c>
      <c r="F6633" s="474"/>
    </row>
    <row r="6634" spans="1:6" s="475" customFormat="1" ht="15">
      <c r="A6634" s="472" t="s">
        <v>12586</v>
      </c>
      <c r="B6634" s="472" t="s">
        <v>12587</v>
      </c>
      <c r="C6634" s="472" t="s">
        <v>5</v>
      </c>
      <c r="D6634" s="472">
        <v>5395.7802000000001</v>
      </c>
      <c r="E6634" s="472" t="s">
        <v>170</v>
      </c>
      <c r="F6634" s="474"/>
    </row>
    <row r="6635" spans="1:6" s="475" customFormat="1" ht="15">
      <c r="A6635" s="472" t="s">
        <v>12588</v>
      </c>
      <c r="B6635" s="472" t="s">
        <v>12589</v>
      </c>
      <c r="C6635" s="472" t="s">
        <v>5</v>
      </c>
      <c r="D6635" s="472">
        <v>5772.5048999999999</v>
      </c>
      <c r="E6635" s="472" t="s">
        <v>170</v>
      </c>
      <c r="F6635" s="474"/>
    </row>
    <row r="6636" spans="1:6" s="475" customFormat="1" ht="15">
      <c r="A6636" s="472" t="s">
        <v>12590</v>
      </c>
      <c r="B6636" s="472" t="s">
        <v>12591</v>
      </c>
      <c r="C6636" s="472" t="s">
        <v>5</v>
      </c>
      <c r="D6636" s="472">
        <v>6218.1121999999996</v>
      </c>
      <c r="E6636" s="472" t="s">
        <v>170</v>
      </c>
      <c r="F6636" s="474"/>
    </row>
    <row r="6637" spans="1:6" s="475" customFormat="1" ht="15">
      <c r="A6637" s="472" t="s">
        <v>12592</v>
      </c>
      <c r="B6637" s="472" t="s">
        <v>12593</v>
      </c>
      <c r="C6637" s="472" t="s">
        <v>5</v>
      </c>
      <c r="D6637" s="472">
        <v>6594.9495999999999</v>
      </c>
      <c r="E6637" s="472" t="s">
        <v>170</v>
      </c>
      <c r="F6637" s="474"/>
    </row>
    <row r="6638" spans="1:6" s="475" customFormat="1" ht="15">
      <c r="A6638" s="472" t="s">
        <v>12594</v>
      </c>
      <c r="B6638" s="472" t="s">
        <v>12595</v>
      </c>
      <c r="C6638" s="472" t="s">
        <v>5</v>
      </c>
      <c r="D6638" s="472">
        <v>3254.944</v>
      </c>
      <c r="E6638" s="472" t="s">
        <v>170</v>
      </c>
      <c r="F6638" s="474"/>
    </row>
    <row r="6639" spans="1:6" s="475" customFormat="1" ht="15">
      <c r="A6639" s="472" t="s">
        <v>12596</v>
      </c>
      <c r="B6639" s="472" t="s">
        <v>12597</v>
      </c>
      <c r="C6639" s="472" t="s">
        <v>5</v>
      </c>
      <c r="D6639" s="472">
        <v>3596.6338000000001</v>
      </c>
      <c r="E6639" s="472" t="s">
        <v>170</v>
      </c>
      <c r="F6639" s="474"/>
    </row>
    <row r="6640" spans="1:6" s="475" customFormat="1" ht="15">
      <c r="A6640" s="472" t="s">
        <v>12598</v>
      </c>
      <c r="B6640" s="472" t="s">
        <v>12599</v>
      </c>
      <c r="C6640" s="472" t="s">
        <v>5</v>
      </c>
      <c r="D6640" s="472">
        <v>3836.3735999999999</v>
      </c>
      <c r="E6640" s="472" t="s">
        <v>170</v>
      </c>
      <c r="F6640" s="474"/>
    </row>
    <row r="6641" spans="1:6" s="475" customFormat="1" ht="15">
      <c r="A6641" s="472" t="s">
        <v>12600</v>
      </c>
      <c r="B6641" s="472" t="s">
        <v>12601</v>
      </c>
      <c r="C6641" s="472" t="s">
        <v>5</v>
      </c>
      <c r="D6641" s="472">
        <v>4070.2882</v>
      </c>
      <c r="E6641" s="472" t="s">
        <v>170</v>
      </c>
      <c r="F6641" s="474"/>
    </row>
    <row r="6642" spans="1:6" s="475" customFormat="1" ht="15">
      <c r="A6642" s="472" t="s">
        <v>12602</v>
      </c>
      <c r="B6642" s="472" t="s">
        <v>12603</v>
      </c>
      <c r="C6642" s="472" t="s">
        <v>5</v>
      </c>
      <c r="D6642" s="472">
        <v>4411.8458000000001</v>
      </c>
      <c r="E6642" s="472" t="s">
        <v>170</v>
      </c>
      <c r="F6642" s="474"/>
    </row>
    <row r="6643" spans="1:6" s="475" customFormat="1" ht="15">
      <c r="A6643" s="472" t="s">
        <v>12604</v>
      </c>
      <c r="B6643" s="472" t="s">
        <v>12605</v>
      </c>
      <c r="C6643" s="472" t="s">
        <v>5</v>
      </c>
      <c r="D6643" s="472">
        <v>4531.7511999999997</v>
      </c>
      <c r="E6643" s="472" t="s">
        <v>170</v>
      </c>
      <c r="F6643" s="474"/>
    </row>
    <row r="6644" spans="1:6" s="475" customFormat="1" ht="15">
      <c r="A6644" s="472" t="s">
        <v>12606</v>
      </c>
      <c r="B6644" s="472" t="s">
        <v>12607</v>
      </c>
      <c r="C6644" s="472" t="s">
        <v>5</v>
      </c>
      <c r="D6644" s="472">
        <v>4765.5604999999996</v>
      </c>
      <c r="E6644" s="472" t="s">
        <v>170</v>
      </c>
      <c r="F6644" s="474"/>
    </row>
    <row r="6645" spans="1:6" s="475" customFormat="1" ht="15">
      <c r="A6645" s="472" t="s">
        <v>12608</v>
      </c>
      <c r="B6645" s="472" t="s">
        <v>12609</v>
      </c>
      <c r="C6645" s="472" t="s">
        <v>5</v>
      </c>
      <c r="D6645" s="472">
        <v>4998.9246999999996</v>
      </c>
      <c r="E6645" s="472" t="s">
        <v>170</v>
      </c>
      <c r="F6645" s="474"/>
    </row>
    <row r="6646" spans="1:6" s="475" customFormat="1" ht="15">
      <c r="A6646" s="472" t="s">
        <v>12610</v>
      </c>
      <c r="B6646" s="472" t="s">
        <v>12611</v>
      </c>
      <c r="C6646" s="472" t="s">
        <v>5</v>
      </c>
      <c r="D6646" s="472">
        <v>5233.0072</v>
      </c>
      <c r="E6646" s="472" t="s">
        <v>170</v>
      </c>
      <c r="F6646" s="474"/>
    </row>
    <row r="6647" spans="1:6" s="475" customFormat="1" ht="15">
      <c r="A6647" s="472" t="s">
        <v>12612</v>
      </c>
      <c r="B6647" s="472" t="s">
        <v>12613</v>
      </c>
      <c r="C6647" s="472" t="s">
        <v>5</v>
      </c>
      <c r="D6647" s="472">
        <v>5466.8918999999996</v>
      </c>
      <c r="E6647" s="472" t="s">
        <v>170</v>
      </c>
      <c r="F6647" s="474"/>
    </row>
    <row r="6648" spans="1:6" s="475" customFormat="1" ht="15">
      <c r="A6648" s="472" t="s">
        <v>12614</v>
      </c>
      <c r="B6648" s="472" t="s">
        <v>12615</v>
      </c>
      <c r="C6648" s="472" t="s">
        <v>5</v>
      </c>
      <c r="D6648" s="472">
        <v>5808.6441999999997</v>
      </c>
      <c r="E6648" s="472" t="s">
        <v>170</v>
      </c>
      <c r="F6648" s="474"/>
    </row>
    <row r="6649" spans="1:6" s="475" customFormat="1" ht="15">
      <c r="A6649" s="472" t="s">
        <v>12616</v>
      </c>
      <c r="B6649" s="472" t="s">
        <v>12617</v>
      </c>
      <c r="C6649" s="472" t="s">
        <v>5</v>
      </c>
      <c r="D6649" s="472">
        <v>6048.6007</v>
      </c>
      <c r="E6649" s="472" t="s">
        <v>170</v>
      </c>
      <c r="F6649" s="474"/>
    </row>
    <row r="6650" spans="1:6" s="475" customFormat="1" ht="15">
      <c r="A6650" s="472" t="s">
        <v>12618</v>
      </c>
      <c r="B6650" s="472" t="s">
        <v>12619</v>
      </c>
      <c r="C6650" s="472" t="s">
        <v>5</v>
      </c>
      <c r="D6650" s="472">
        <v>6282.3764000000001</v>
      </c>
      <c r="E6650" s="472" t="s">
        <v>170</v>
      </c>
      <c r="F6650" s="474"/>
    </row>
    <row r="6651" spans="1:6" s="475" customFormat="1" ht="15">
      <c r="A6651" s="472" t="s">
        <v>12620</v>
      </c>
      <c r="B6651" s="472" t="s">
        <v>12621</v>
      </c>
      <c r="C6651" s="472" t="s">
        <v>5</v>
      </c>
      <c r="D6651" s="472">
        <v>6515.8360000000002</v>
      </c>
      <c r="E6651" s="472" t="s">
        <v>170</v>
      </c>
      <c r="F6651" s="474"/>
    </row>
    <row r="6652" spans="1:6" s="475" customFormat="1" ht="15">
      <c r="A6652" s="472" t="s">
        <v>12622</v>
      </c>
      <c r="B6652" s="472" t="s">
        <v>12623</v>
      </c>
      <c r="C6652" s="472" t="s">
        <v>5</v>
      </c>
      <c r="D6652" s="472">
        <v>6749.9567999999999</v>
      </c>
      <c r="E6652" s="472" t="s">
        <v>170</v>
      </c>
      <c r="F6652" s="474"/>
    </row>
    <row r="6653" spans="1:6" s="475" customFormat="1" ht="15">
      <c r="A6653" s="472" t="s">
        <v>12624</v>
      </c>
      <c r="B6653" s="472" t="s">
        <v>12625</v>
      </c>
      <c r="C6653" s="472" t="s">
        <v>5</v>
      </c>
      <c r="D6653" s="472">
        <v>7097.6922999999997</v>
      </c>
      <c r="E6653" s="472" t="s">
        <v>170</v>
      </c>
      <c r="F6653" s="474"/>
    </row>
    <row r="6654" spans="1:6" s="475" customFormat="1" ht="15">
      <c r="A6654" s="472" t="s">
        <v>12626</v>
      </c>
      <c r="B6654" s="472" t="s">
        <v>12627</v>
      </c>
      <c r="C6654" s="472" t="s">
        <v>5</v>
      </c>
      <c r="D6654" s="472">
        <v>8890.5154999999995</v>
      </c>
      <c r="E6654" s="472" t="s">
        <v>170</v>
      </c>
      <c r="F6654" s="474"/>
    </row>
    <row r="6655" spans="1:6" s="475" customFormat="1" ht="15">
      <c r="A6655" s="472" t="s">
        <v>12628</v>
      </c>
      <c r="B6655" s="472" t="s">
        <v>12629</v>
      </c>
      <c r="C6655" s="472" t="s">
        <v>5</v>
      </c>
      <c r="D6655" s="472">
        <v>9305.5062999999991</v>
      </c>
      <c r="E6655" s="472" t="s">
        <v>170</v>
      </c>
      <c r="F6655" s="474"/>
    </row>
    <row r="6656" spans="1:6" s="475" customFormat="1" ht="15">
      <c r="A6656" s="472" t="s">
        <v>12630</v>
      </c>
      <c r="B6656" s="472" t="s">
        <v>12631</v>
      </c>
      <c r="C6656" s="472" t="s">
        <v>5</v>
      </c>
      <c r="D6656" s="472">
        <v>9598.2000000000007</v>
      </c>
      <c r="E6656" s="472" t="s">
        <v>170</v>
      </c>
      <c r="F6656" s="474"/>
    </row>
    <row r="6657" spans="1:6" s="475" customFormat="1" ht="15">
      <c r="A6657" s="472" t="s">
        <v>12632</v>
      </c>
      <c r="B6657" s="472" t="s">
        <v>12633</v>
      </c>
      <c r="C6657" s="472" t="s">
        <v>5</v>
      </c>
      <c r="D6657" s="472">
        <v>11186.730299999999</v>
      </c>
      <c r="E6657" s="472" t="s">
        <v>170</v>
      </c>
      <c r="F6657" s="474"/>
    </row>
    <row r="6658" spans="1:6" s="475" customFormat="1" ht="15">
      <c r="A6658" s="472" t="s">
        <v>12634</v>
      </c>
      <c r="B6658" s="472" t="s">
        <v>12635</v>
      </c>
      <c r="C6658" s="472" t="s">
        <v>5</v>
      </c>
      <c r="D6658" s="472">
        <v>11352.8917</v>
      </c>
      <c r="E6658" s="472" t="s">
        <v>170</v>
      </c>
      <c r="F6658" s="474"/>
    </row>
    <row r="6659" spans="1:6" s="475" customFormat="1" ht="15">
      <c r="A6659" s="472" t="s">
        <v>12636</v>
      </c>
      <c r="B6659" s="472" t="s">
        <v>12637</v>
      </c>
      <c r="C6659" s="472" t="s">
        <v>5</v>
      </c>
      <c r="D6659" s="472">
        <v>13566.486000000001</v>
      </c>
      <c r="E6659" s="472" t="s">
        <v>170</v>
      </c>
      <c r="F6659" s="474"/>
    </row>
    <row r="6660" spans="1:6" s="475" customFormat="1" ht="15">
      <c r="A6660" s="472" t="s">
        <v>12638</v>
      </c>
      <c r="B6660" s="472" t="s">
        <v>12639</v>
      </c>
      <c r="C6660" s="472" t="s">
        <v>5</v>
      </c>
      <c r="D6660" s="472">
        <v>13756.368200000001</v>
      </c>
      <c r="E6660" s="472" t="s">
        <v>170</v>
      </c>
      <c r="F6660" s="474"/>
    </row>
    <row r="6661" spans="1:6" s="475" customFormat="1" ht="15">
      <c r="A6661" s="472" t="s">
        <v>12640</v>
      </c>
      <c r="B6661" s="472" t="s">
        <v>12641</v>
      </c>
      <c r="C6661" s="472" t="s">
        <v>5</v>
      </c>
      <c r="D6661" s="472">
        <v>14285.142099999999</v>
      </c>
      <c r="E6661" s="472" t="s">
        <v>170</v>
      </c>
      <c r="F6661" s="474"/>
    </row>
    <row r="6662" spans="1:6" s="475" customFormat="1" ht="15">
      <c r="A6662" s="472" t="s">
        <v>12642</v>
      </c>
      <c r="B6662" s="472" t="s">
        <v>12643</v>
      </c>
      <c r="C6662" s="472" t="s">
        <v>5</v>
      </c>
      <c r="D6662" s="472">
        <v>14475.3303</v>
      </c>
      <c r="E6662" s="472" t="s">
        <v>170</v>
      </c>
      <c r="F6662" s="474"/>
    </row>
    <row r="6663" spans="1:6" s="475" customFormat="1" ht="15">
      <c r="A6663" s="472" t="s">
        <v>12644</v>
      </c>
      <c r="B6663" s="472" t="s">
        <v>12645</v>
      </c>
      <c r="C6663" s="472" t="s">
        <v>5</v>
      </c>
      <c r="D6663" s="472">
        <v>19818.5985</v>
      </c>
      <c r="E6663" s="472" t="s">
        <v>170</v>
      </c>
      <c r="F6663" s="474"/>
    </row>
    <row r="6664" spans="1:6" s="475" customFormat="1" ht="15">
      <c r="A6664" s="472" t="s">
        <v>12646</v>
      </c>
      <c r="B6664" s="472" t="s">
        <v>12647</v>
      </c>
      <c r="C6664" s="472" t="s">
        <v>5</v>
      </c>
      <c r="D6664" s="472">
        <v>20513.997299999999</v>
      </c>
      <c r="E6664" s="472" t="s">
        <v>170</v>
      </c>
      <c r="F6664" s="474"/>
    </row>
    <row r="6665" spans="1:6" s="475" customFormat="1" ht="15">
      <c r="A6665" s="472" t="s">
        <v>12648</v>
      </c>
      <c r="B6665" s="472" t="s">
        <v>12649</v>
      </c>
      <c r="C6665" s="472" t="s">
        <v>5</v>
      </c>
      <c r="D6665" s="472">
        <v>3961.5412000000001</v>
      </c>
      <c r="E6665" s="472" t="s">
        <v>170</v>
      </c>
      <c r="F6665" s="474"/>
    </row>
    <row r="6666" spans="1:6" s="475" customFormat="1" ht="15">
      <c r="A6666" s="472" t="s">
        <v>12650</v>
      </c>
      <c r="B6666" s="472" t="s">
        <v>12651</v>
      </c>
      <c r="C6666" s="472" t="s">
        <v>5</v>
      </c>
      <c r="D6666" s="472">
        <v>5808.6441999999997</v>
      </c>
      <c r="E6666" s="472" t="s">
        <v>170</v>
      </c>
      <c r="F6666" s="474"/>
    </row>
    <row r="6667" spans="1:6" s="475" customFormat="1" ht="15">
      <c r="A6667" s="472" t="s">
        <v>12652</v>
      </c>
      <c r="B6667" s="472" t="s">
        <v>12653</v>
      </c>
      <c r="C6667" s="472" t="s">
        <v>5</v>
      </c>
      <c r="D6667" s="472">
        <v>6744.0191000000004</v>
      </c>
      <c r="E6667" s="472" t="s">
        <v>170</v>
      </c>
      <c r="F6667" s="474"/>
    </row>
    <row r="6668" spans="1:6" s="475" customFormat="1" ht="15">
      <c r="A6668" s="472" t="s">
        <v>12654</v>
      </c>
      <c r="B6668" s="472" t="s">
        <v>12655</v>
      </c>
      <c r="C6668" s="472" t="s">
        <v>5</v>
      </c>
      <c r="D6668" s="472">
        <v>7091.7546000000002</v>
      </c>
      <c r="E6668" s="472" t="s">
        <v>170</v>
      </c>
      <c r="F6668" s="474"/>
    </row>
    <row r="6669" spans="1:6" s="475" customFormat="1" ht="15">
      <c r="A6669" s="472" t="s">
        <v>12656</v>
      </c>
      <c r="B6669" s="472" t="s">
        <v>12657</v>
      </c>
      <c r="C6669" s="472" t="s">
        <v>5</v>
      </c>
      <c r="D6669" s="472">
        <v>7325.1136999999999</v>
      </c>
      <c r="E6669" s="472" t="s">
        <v>170</v>
      </c>
      <c r="F6669" s="474"/>
    </row>
    <row r="6670" spans="1:6" s="475" customFormat="1" ht="15">
      <c r="A6670" s="472" t="s">
        <v>12658</v>
      </c>
      <c r="B6670" s="472" t="s">
        <v>12659</v>
      </c>
      <c r="C6670" s="472" t="s">
        <v>5</v>
      </c>
      <c r="D6670" s="472">
        <v>7559.2664000000004</v>
      </c>
      <c r="E6670" s="472" t="s">
        <v>170</v>
      </c>
      <c r="F6670" s="474"/>
    </row>
    <row r="6671" spans="1:6" s="475" customFormat="1" ht="15">
      <c r="A6671" s="472" t="s">
        <v>12660</v>
      </c>
      <c r="B6671" s="472" t="s">
        <v>12661</v>
      </c>
      <c r="C6671" s="472" t="s">
        <v>5</v>
      </c>
      <c r="D6671" s="472">
        <v>7792.8791000000001</v>
      </c>
      <c r="E6671" s="472" t="s">
        <v>170</v>
      </c>
      <c r="F6671" s="474"/>
    </row>
    <row r="6672" spans="1:6" s="475" customFormat="1" ht="15">
      <c r="A6672" s="472" t="s">
        <v>12662</v>
      </c>
      <c r="B6672" s="472" t="s">
        <v>12663</v>
      </c>
      <c r="C6672" s="472" t="s">
        <v>5</v>
      </c>
      <c r="D6672" s="472">
        <v>8140.9753000000001</v>
      </c>
      <c r="E6672" s="472" t="s">
        <v>170</v>
      </c>
      <c r="F6672" s="474"/>
    </row>
    <row r="6673" spans="1:6" s="475" customFormat="1" ht="15">
      <c r="A6673" s="472" t="s">
        <v>12664</v>
      </c>
      <c r="B6673" s="472" t="s">
        <v>12665</v>
      </c>
      <c r="C6673" s="472" t="s">
        <v>5</v>
      </c>
      <c r="D6673" s="472">
        <v>8374.1033000000007</v>
      </c>
      <c r="E6673" s="472" t="s">
        <v>170</v>
      </c>
      <c r="F6673" s="474"/>
    </row>
    <row r="6674" spans="1:6" s="475" customFormat="1" ht="15">
      <c r="A6674" s="472" t="s">
        <v>12666</v>
      </c>
      <c r="B6674" s="472" t="s">
        <v>12667</v>
      </c>
      <c r="C6674" s="472" t="s">
        <v>5</v>
      </c>
      <c r="D6674" s="472">
        <v>10446.163399999999</v>
      </c>
      <c r="E6674" s="472" t="s">
        <v>170</v>
      </c>
      <c r="F6674" s="474"/>
    </row>
    <row r="6675" spans="1:6" s="475" customFormat="1" ht="15">
      <c r="A6675" s="472" t="s">
        <v>12668</v>
      </c>
      <c r="B6675" s="472" t="s">
        <v>12669</v>
      </c>
      <c r="C6675" s="472" t="s">
        <v>5</v>
      </c>
      <c r="D6675" s="472">
        <v>10977.072200000001</v>
      </c>
      <c r="E6675" s="472" t="s">
        <v>170</v>
      </c>
      <c r="F6675" s="474"/>
    </row>
    <row r="6676" spans="1:6" s="475" customFormat="1" ht="15">
      <c r="A6676" s="472" t="s">
        <v>12670</v>
      </c>
      <c r="B6676" s="472" t="s">
        <v>12671</v>
      </c>
      <c r="C6676" s="472" t="s">
        <v>5</v>
      </c>
      <c r="D6676" s="472">
        <v>11269.5002</v>
      </c>
      <c r="E6676" s="472" t="s">
        <v>170</v>
      </c>
      <c r="F6676" s="474"/>
    </row>
    <row r="6677" spans="1:6" s="475" customFormat="1" ht="15">
      <c r="A6677" s="472" t="s">
        <v>12672</v>
      </c>
      <c r="B6677" s="472" t="s">
        <v>12673</v>
      </c>
      <c r="C6677" s="472" t="s">
        <v>5</v>
      </c>
      <c r="D6677" s="472">
        <v>11562.1075</v>
      </c>
      <c r="E6677" s="472" t="s">
        <v>170</v>
      </c>
      <c r="F6677" s="474"/>
    </row>
    <row r="6678" spans="1:6" s="475" customFormat="1" ht="15">
      <c r="A6678" s="472" t="s">
        <v>12674</v>
      </c>
      <c r="B6678" s="472" t="s">
        <v>12675</v>
      </c>
      <c r="C6678" s="472" t="s">
        <v>5</v>
      </c>
      <c r="D6678" s="472">
        <v>11702.6909</v>
      </c>
      <c r="E6678" s="472" t="s">
        <v>170</v>
      </c>
      <c r="F6678" s="474"/>
    </row>
    <row r="6679" spans="1:6" s="475" customFormat="1" ht="15">
      <c r="A6679" s="472" t="s">
        <v>12676</v>
      </c>
      <c r="B6679" s="472" t="s">
        <v>12677</v>
      </c>
      <c r="C6679" s="472" t="s">
        <v>5</v>
      </c>
      <c r="D6679" s="472">
        <v>12240.503000000001</v>
      </c>
      <c r="E6679" s="472" t="s">
        <v>170</v>
      </c>
      <c r="F6679" s="474"/>
    </row>
    <row r="6680" spans="1:6" s="475" customFormat="1" ht="15">
      <c r="A6680" s="472" t="s">
        <v>12678</v>
      </c>
      <c r="B6680" s="472" t="s">
        <v>12679</v>
      </c>
      <c r="C6680" s="472" t="s">
        <v>5</v>
      </c>
      <c r="D6680" s="472">
        <v>14300.6968</v>
      </c>
      <c r="E6680" s="472" t="s">
        <v>170</v>
      </c>
      <c r="F6680" s="474"/>
    </row>
    <row r="6681" spans="1:6" s="475" customFormat="1" ht="15">
      <c r="A6681" s="472" t="s">
        <v>12680</v>
      </c>
      <c r="B6681" s="472" t="s">
        <v>12681</v>
      </c>
      <c r="C6681" s="472" t="s">
        <v>5</v>
      </c>
      <c r="D6681" s="472">
        <v>16922.8943</v>
      </c>
      <c r="E6681" s="472" t="s">
        <v>170</v>
      </c>
      <c r="F6681" s="474"/>
    </row>
    <row r="6682" spans="1:6" s="475" customFormat="1" ht="15">
      <c r="A6682" s="472" t="s">
        <v>12682</v>
      </c>
      <c r="B6682" s="472" t="s">
        <v>12683</v>
      </c>
      <c r="C6682" s="472" t="s">
        <v>5</v>
      </c>
      <c r="D6682" s="472">
        <v>17301.492399999999</v>
      </c>
      <c r="E6682" s="472" t="s">
        <v>170</v>
      </c>
      <c r="F6682" s="474"/>
    </row>
    <row r="6683" spans="1:6" s="475" customFormat="1" ht="15">
      <c r="A6683" s="472" t="s">
        <v>12684</v>
      </c>
      <c r="B6683" s="472" t="s">
        <v>12685</v>
      </c>
      <c r="C6683" s="472" t="s">
        <v>5</v>
      </c>
      <c r="D6683" s="472">
        <v>17685.7952</v>
      </c>
      <c r="E6683" s="472" t="s">
        <v>170</v>
      </c>
      <c r="F6683" s="474"/>
    </row>
    <row r="6684" spans="1:6" s="475" customFormat="1" ht="15">
      <c r="A6684" s="472" t="s">
        <v>12686</v>
      </c>
      <c r="B6684" s="472" t="s">
        <v>12687</v>
      </c>
      <c r="C6684" s="472" t="s">
        <v>5</v>
      </c>
      <c r="D6684" s="472">
        <v>10328.057000000001</v>
      </c>
      <c r="E6684" s="472" t="s">
        <v>170</v>
      </c>
      <c r="F6684" s="474"/>
    </row>
    <row r="6685" spans="1:6" s="475" customFormat="1" ht="15">
      <c r="A6685" s="472" t="s">
        <v>12688</v>
      </c>
      <c r="B6685" s="472" t="s">
        <v>12689</v>
      </c>
      <c r="C6685" s="472" t="s">
        <v>5</v>
      </c>
      <c r="D6685" s="472">
        <v>12679.275799999999</v>
      </c>
      <c r="E6685" s="472" t="s">
        <v>170</v>
      </c>
      <c r="F6685" s="474"/>
    </row>
    <row r="6686" spans="1:6" s="475" customFormat="1" ht="15">
      <c r="A6686" s="472" t="s">
        <v>12690</v>
      </c>
      <c r="B6686" s="472" t="s">
        <v>12691</v>
      </c>
      <c r="C6686" s="472" t="s">
        <v>5</v>
      </c>
      <c r="D6686" s="472">
        <v>12357.9308</v>
      </c>
      <c r="E6686" s="472" t="s">
        <v>170</v>
      </c>
      <c r="F6686" s="474"/>
    </row>
    <row r="6687" spans="1:6" s="475" customFormat="1" ht="15">
      <c r="A6687" s="472" t="s">
        <v>12692</v>
      </c>
      <c r="B6687" s="472" t="s">
        <v>12693</v>
      </c>
      <c r="C6687" s="472" t="s">
        <v>5</v>
      </c>
      <c r="D6687" s="472">
        <v>14385.6507</v>
      </c>
      <c r="E6687" s="472" t="s">
        <v>170</v>
      </c>
      <c r="F6687" s="474"/>
    </row>
    <row r="6688" spans="1:6" s="475" customFormat="1" ht="15">
      <c r="A6688" s="472" t="s">
        <v>12694</v>
      </c>
      <c r="B6688" s="472" t="s">
        <v>12695</v>
      </c>
      <c r="C6688" s="472" t="s">
        <v>5</v>
      </c>
      <c r="D6688" s="472">
        <v>12730.2554</v>
      </c>
      <c r="E6688" s="472" t="s">
        <v>170</v>
      </c>
      <c r="F6688" s="474"/>
    </row>
    <row r="6689" spans="1:6" s="475" customFormat="1" ht="15">
      <c r="A6689" s="472" t="s">
        <v>12696</v>
      </c>
      <c r="B6689" s="472" t="s">
        <v>12697</v>
      </c>
      <c r="C6689" s="472" t="s">
        <v>5</v>
      </c>
      <c r="D6689" s="472">
        <v>14336.4836</v>
      </c>
      <c r="E6689" s="472" t="s">
        <v>170</v>
      </c>
      <c r="F6689" s="474"/>
    </row>
    <row r="6690" spans="1:6" s="475" customFormat="1" ht="15">
      <c r="A6690" s="472" t="s">
        <v>12698</v>
      </c>
      <c r="B6690" s="472" t="s">
        <v>12699</v>
      </c>
      <c r="C6690" s="472" t="s">
        <v>5</v>
      </c>
      <c r="D6690" s="472">
        <v>12947.2369</v>
      </c>
      <c r="E6690" s="472" t="s">
        <v>170</v>
      </c>
      <c r="F6690" s="474"/>
    </row>
    <row r="6691" spans="1:6" s="475" customFormat="1" ht="15">
      <c r="A6691" s="472" t="s">
        <v>12700</v>
      </c>
      <c r="B6691" s="472" t="s">
        <v>12701</v>
      </c>
      <c r="C6691" s="472" t="s">
        <v>5</v>
      </c>
      <c r="D6691" s="472">
        <v>14976.8042</v>
      </c>
      <c r="E6691" s="472" t="s">
        <v>170</v>
      </c>
      <c r="F6691" s="474"/>
    </row>
    <row r="6692" spans="1:6" s="475" customFormat="1" ht="15">
      <c r="A6692" s="472" t="s">
        <v>12702</v>
      </c>
      <c r="B6692" s="472" t="s">
        <v>12703</v>
      </c>
      <c r="C6692" s="472" t="s">
        <v>5</v>
      </c>
      <c r="D6692" s="472">
        <v>13158.128500000001</v>
      </c>
      <c r="E6692" s="472" t="s">
        <v>170</v>
      </c>
      <c r="F6692" s="474"/>
    </row>
    <row r="6693" spans="1:6" s="475" customFormat="1" ht="15">
      <c r="A6693" s="472" t="s">
        <v>12704</v>
      </c>
      <c r="B6693" s="472" t="s">
        <v>12705</v>
      </c>
      <c r="C6693" s="472" t="s">
        <v>5</v>
      </c>
      <c r="D6693" s="472">
        <v>14225.852699999999</v>
      </c>
      <c r="E6693" s="472" t="s">
        <v>170</v>
      </c>
      <c r="F6693" s="474"/>
    </row>
    <row r="6694" spans="1:6" s="475" customFormat="1" ht="15">
      <c r="A6694" s="472" t="s">
        <v>12706</v>
      </c>
      <c r="B6694" s="472" t="s">
        <v>12707</v>
      </c>
      <c r="C6694" s="472" t="s">
        <v>5</v>
      </c>
      <c r="D6694" s="472">
        <v>15403.4748</v>
      </c>
      <c r="E6694" s="472" t="s">
        <v>170</v>
      </c>
      <c r="F6694" s="474"/>
    </row>
    <row r="6695" spans="1:6" s="475" customFormat="1" ht="15">
      <c r="A6695" s="472" t="s">
        <v>12708</v>
      </c>
      <c r="B6695" s="472" t="s">
        <v>12709</v>
      </c>
      <c r="C6695" s="472" t="s">
        <v>5</v>
      </c>
      <c r="D6695" s="472">
        <v>14014.6237</v>
      </c>
      <c r="E6695" s="472" t="s">
        <v>170</v>
      </c>
      <c r="F6695" s="474"/>
    </row>
    <row r="6696" spans="1:6" s="475" customFormat="1" ht="15">
      <c r="A6696" s="472" t="s">
        <v>12710</v>
      </c>
      <c r="B6696" s="472" t="s">
        <v>12711</v>
      </c>
      <c r="C6696" s="472" t="s">
        <v>5</v>
      </c>
      <c r="D6696" s="472">
        <v>15615.138199999999</v>
      </c>
      <c r="E6696" s="472" t="s">
        <v>170</v>
      </c>
      <c r="F6696" s="474"/>
    </row>
    <row r="6697" spans="1:6" s="475" customFormat="1" ht="15">
      <c r="A6697" s="472" t="s">
        <v>12712</v>
      </c>
      <c r="B6697" s="472" t="s">
        <v>12713</v>
      </c>
      <c r="C6697" s="472" t="s">
        <v>5</v>
      </c>
      <c r="D6697" s="472">
        <v>14385.6507</v>
      </c>
      <c r="E6697" s="472" t="s">
        <v>170</v>
      </c>
      <c r="F6697" s="474"/>
    </row>
    <row r="6698" spans="1:6" s="475" customFormat="1" ht="15">
      <c r="A6698" s="472" t="s">
        <v>12714</v>
      </c>
      <c r="B6698" s="472" t="s">
        <v>12715</v>
      </c>
      <c r="C6698" s="472" t="s">
        <v>5</v>
      </c>
      <c r="D6698" s="472">
        <v>15992.849899999999</v>
      </c>
      <c r="E6698" s="472" t="s">
        <v>170</v>
      </c>
      <c r="F6698" s="474"/>
    </row>
    <row r="6699" spans="1:6" s="475" customFormat="1" ht="15">
      <c r="A6699" s="472" t="s">
        <v>12716</v>
      </c>
      <c r="B6699" s="472" t="s">
        <v>12717</v>
      </c>
      <c r="C6699" s="472" t="s">
        <v>5</v>
      </c>
      <c r="D6699" s="472">
        <v>14814.4954</v>
      </c>
      <c r="E6699" s="472" t="s">
        <v>170</v>
      </c>
      <c r="F6699" s="474"/>
    </row>
    <row r="6700" spans="1:6" s="475" customFormat="1" ht="15">
      <c r="A6700" s="472" t="s">
        <v>12718</v>
      </c>
      <c r="B6700" s="472" t="s">
        <v>12719</v>
      </c>
      <c r="C6700" s="472" t="s">
        <v>5</v>
      </c>
      <c r="D6700" s="472">
        <v>16843.931400000001</v>
      </c>
      <c r="E6700" s="472" t="s">
        <v>170</v>
      </c>
      <c r="F6700" s="474"/>
    </row>
    <row r="6701" spans="1:6" s="475" customFormat="1" ht="15">
      <c r="A6701" s="472" t="s">
        <v>12720</v>
      </c>
      <c r="B6701" s="472" t="s">
        <v>12721</v>
      </c>
      <c r="C6701" s="472" t="s">
        <v>5</v>
      </c>
      <c r="D6701" s="472">
        <v>15453.1131</v>
      </c>
      <c r="E6701" s="472" t="s">
        <v>170</v>
      </c>
      <c r="F6701" s="474"/>
    </row>
    <row r="6702" spans="1:6" s="475" customFormat="1" ht="15">
      <c r="A6702" s="472" t="s">
        <v>12722</v>
      </c>
      <c r="B6702" s="472" t="s">
        <v>12723</v>
      </c>
      <c r="C6702" s="472" t="s">
        <v>5</v>
      </c>
      <c r="D6702" s="472">
        <v>17911.274600000001</v>
      </c>
      <c r="E6702" s="472" t="s">
        <v>170</v>
      </c>
      <c r="F6702" s="474"/>
    </row>
    <row r="6703" spans="1:6" s="475" customFormat="1" ht="15">
      <c r="A6703" s="472" t="s">
        <v>12724</v>
      </c>
      <c r="B6703" s="472" t="s">
        <v>12725</v>
      </c>
      <c r="C6703" s="472" t="s">
        <v>5</v>
      </c>
      <c r="D6703" s="472">
        <v>16794.754300000001</v>
      </c>
      <c r="E6703" s="472" t="s">
        <v>170</v>
      </c>
      <c r="F6703" s="474"/>
    </row>
    <row r="6704" spans="1:6" s="475" customFormat="1" ht="15">
      <c r="A6704" s="472" t="s">
        <v>12726</v>
      </c>
      <c r="B6704" s="472" t="s">
        <v>12727</v>
      </c>
      <c r="C6704" s="472" t="s">
        <v>5</v>
      </c>
      <c r="D6704" s="472">
        <v>18498.848000000002</v>
      </c>
      <c r="E6704" s="472" t="s">
        <v>170</v>
      </c>
      <c r="F6704" s="474"/>
    </row>
    <row r="6705" spans="1:6" s="475" customFormat="1" ht="15">
      <c r="A6705" s="472" t="s">
        <v>12728</v>
      </c>
      <c r="B6705" s="472" t="s">
        <v>12729</v>
      </c>
      <c r="C6705" s="472" t="s">
        <v>5</v>
      </c>
      <c r="D6705" s="472">
        <v>17003.719300000001</v>
      </c>
      <c r="E6705" s="472" t="s">
        <v>170</v>
      </c>
      <c r="F6705" s="474"/>
    </row>
    <row r="6706" spans="1:6" s="475" customFormat="1" ht="15">
      <c r="A6706" s="472" t="s">
        <v>12730</v>
      </c>
      <c r="B6706" s="472" t="s">
        <v>12731</v>
      </c>
      <c r="C6706" s="472" t="s">
        <v>5</v>
      </c>
      <c r="D6706" s="472">
        <v>18289.882900000001</v>
      </c>
      <c r="E6706" s="472" t="s">
        <v>170</v>
      </c>
      <c r="F6706" s="474"/>
    </row>
    <row r="6707" spans="1:6" s="475" customFormat="1" ht="15">
      <c r="A6707" s="472" t="s">
        <v>12732</v>
      </c>
      <c r="B6707" s="472" t="s">
        <v>12733</v>
      </c>
      <c r="C6707" s="472" t="s">
        <v>5</v>
      </c>
      <c r="D6707" s="472">
        <v>19892.1489</v>
      </c>
      <c r="E6707" s="472" t="s">
        <v>170</v>
      </c>
      <c r="F6707" s="474"/>
    </row>
    <row r="6708" spans="1:6" s="475" customFormat="1" ht="15">
      <c r="A6708" s="472" t="s">
        <v>12734</v>
      </c>
      <c r="B6708" s="472" t="s">
        <v>12735</v>
      </c>
      <c r="C6708" s="472" t="s">
        <v>5</v>
      </c>
      <c r="D6708" s="472">
        <v>18071.072499999998</v>
      </c>
      <c r="E6708" s="472" t="s">
        <v>170</v>
      </c>
      <c r="F6708" s="474"/>
    </row>
    <row r="6709" spans="1:6" s="475" customFormat="1" ht="15">
      <c r="A6709" s="472" t="s">
        <v>12736</v>
      </c>
      <c r="B6709" s="472" t="s">
        <v>12737</v>
      </c>
      <c r="C6709" s="472" t="s">
        <v>5</v>
      </c>
      <c r="D6709" s="472">
        <v>20101.1139</v>
      </c>
      <c r="E6709" s="472" t="s">
        <v>170</v>
      </c>
      <c r="F6709" s="474"/>
    </row>
    <row r="6710" spans="1:6" s="475" customFormat="1" ht="15">
      <c r="A6710" s="472" t="s">
        <v>12738</v>
      </c>
      <c r="B6710" s="472" t="s">
        <v>12739</v>
      </c>
      <c r="C6710" s="472" t="s">
        <v>5</v>
      </c>
      <c r="D6710" s="472">
        <v>18289.882900000001</v>
      </c>
      <c r="E6710" s="472" t="s">
        <v>170</v>
      </c>
      <c r="F6710" s="474"/>
    </row>
    <row r="6711" spans="1:6" s="475" customFormat="1" ht="15">
      <c r="A6711" s="472" t="s">
        <v>12740</v>
      </c>
      <c r="B6711" s="472" t="s">
        <v>12741</v>
      </c>
      <c r="C6711" s="472" t="s">
        <v>5</v>
      </c>
      <c r="D6711" s="472">
        <v>20320.8815</v>
      </c>
      <c r="E6711" s="472" t="s">
        <v>170</v>
      </c>
      <c r="F6711" s="474"/>
    </row>
    <row r="6712" spans="1:6" s="475" customFormat="1" ht="15">
      <c r="A6712" s="472" t="s">
        <v>12742</v>
      </c>
      <c r="B6712" s="472" t="s">
        <v>12743</v>
      </c>
      <c r="C6712" s="472" t="s">
        <v>5</v>
      </c>
      <c r="D6712" s="472">
        <v>18871.4827</v>
      </c>
      <c r="E6712" s="472" t="s">
        <v>170</v>
      </c>
      <c r="F6712" s="474"/>
    </row>
    <row r="6713" spans="1:6" s="475" customFormat="1" ht="15">
      <c r="A6713" s="472" t="s">
        <v>12744</v>
      </c>
      <c r="B6713" s="472" t="s">
        <v>12745</v>
      </c>
      <c r="C6713" s="472" t="s">
        <v>5</v>
      </c>
      <c r="D6713" s="472">
        <v>20480.679400000001</v>
      </c>
      <c r="E6713" s="472" t="s">
        <v>170</v>
      </c>
      <c r="F6713" s="474"/>
    </row>
    <row r="6714" spans="1:6" s="475" customFormat="1" ht="15">
      <c r="A6714" s="472" t="s">
        <v>12746</v>
      </c>
      <c r="B6714" s="472" t="s">
        <v>12747</v>
      </c>
      <c r="C6714" s="472" t="s">
        <v>5</v>
      </c>
      <c r="D6714" s="472">
        <v>21332.702300000001</v>
      </c>
      <c r="E6714" s="472" t="s">
        <v>170</v>
      </c>
      <c r="F6714" s="474"/>
    </row>
    <row r="6715" spans="1:6" s="475" customFormat="1" ht="15">
      <c r="A6715" s="472" t="s">
        <v>12748</v>
      </c>
      <c r="B6715" s="472" t="s">
        <v>12749</v>
      </c>
      <c r="C6715" s="472" t="s">
        <v>5</v>
      </c>
      <c r="D6715" s="472">
        <v>22935.631600000001</v>
      </c>
      <c r="E6715" s="472" t="s">
        <v>170</v>
      </c>
      <c r="F6715" s="474"/>
    </row>
    <row r="6716" spans="1:6" s="475" customFormat="1" ht="15">
      <c r="A6716" s="472" t="s">
        <v>12750</v>
      </c>
      <c r="B6716" s="472" t="s">
        <v>12751</v>
      </c>
      <c r="C6716" s="472" t="s">
        <v>5</v>
      </c>
      <c r="D6716" s="472">
        <v>25243.789100000002</v>
      </c>
      <c r="E6716" s="472" t="s">
        <v>170</v>
      </c>
      <c r="F6716" s="474"/>
    </row>
    <row r="6717" spans="1:6" s="475" customFormat="1" ht="15">
      <c r="A6717" s="472" t="s">
        <v>12752</v>
      </c>
      <c r="B6717" s="472" t="s">
        <v>12753</v>
      </c>
      <c r="C6717" s="472" t="s">
        <v>5</v>
      </c>
      <c r="D6717" s="472">
        <v>27365.3518</v>
      </c>
      <c r="E6717" s="472" t="s">
        <v>170</v>
      </c>
      <c r="F6717" s="474"/>
    </row>
    <row r="6718" spans="1:6" s="475" customFormat="1" ht="15">
      <c r="A6718" s="472" t="s">
        <v>12754</v>
      </c>
      <c r="B6718" s="472" t="s">
        <v>12755</v>
      </c>
      <c r="C6718" s="472" t="s">
        <v>5</v>
      </c>
      <c r="D6718" s="472">
        <v>28009.082299999998</v>
      </c>
      <c r="E6718" s="472" t="s">
        <v>170</v>
      </c>
      <c r="F6718" s="474"/>
    </row>
    <row r="6719" spans="1:6" s="475" customFormat="1" ht="15">
      <c r="A6719" s="472" t="s">
        <v>12756</v>
      </c>
      <c r="B6719" s="472" t="s">
        <v>12757</v>
      </c>
      <c r="C6719" s="472" t="s">
        <v>5</v>
      </c>
      <c r="D6719" s="472">
        <v>30650.214</v>
      </c>
      <c r="E6719" s="472" t="s">
        <v>170</v>
      </c>
      <c r="F6719" s="474"/>
    </row>
    <row r="6720" spans="1:6" s="475" customFormat="1" ht="15">
      <c r="A6720" s="472" t="s">
        <v>12758</v>
      </c>
      <c r="B6720" s="472" t="s">
        <v>12759</v>
      </c>
      <c r="C6720" s="472" t="s">
        <v>5</v>
      </c>
      <c r="D6720" s="472">
        <v>24352.715499999998</v>
      </c>
      <c r="E6720" s="472" t="s">
        <v>170</v>
      </c>
      <c r="F6720" s="474"/>
    </row>
    <row r="6721" spans="1:6" s="475" customFormat="1" ht="15">
      <c r="A6721" s="472" t="s">
        <v>12760</v>
      </c>
      <c r="B6721" s="472" t="s">
        <v>12761</v>
      </c>
      <c r="C6721" s="472" t="s">
        <v>5</v>
      </c>
      <c r="D6721" s="472">
        <v>25257.182499999999</v>
      </c>
      <c r="E6721" s="472" t="s">
        <v>170</v>
      </c>
      <c r="F6721" s="474"/>
    </row>
    <row r="6722" spans="1:6" s="475" customFormat="1" ht="15">
      <c r="A6722" s="472" t="s">
        <v>12762</v>
      </c>
      <c r="B6722" s="472" t="s">
        <v>12763</v>
      </c>
      <c r="C6722" s="472" t="s">
        <v>5</v>
      </c>
      <c r="D6722" s="472">
        <v>25681.250899999999</v>
      </c>
      <c r="E6722" s="472" t="s">
        <v>170</v>
      </c>
      <c r="F6722" s="474"/>
    </row>
    <row r="6723" spans="1:6" s="475" customFormat="1" ht="15">
      <c r="A6723" s="472" t="s">
        <v>12764</v>
      </c>
      <c r="B6723" s="472" t="s">
        <v>12765</v>
      </c>
      <c r="C6723" s="472" t="s">
        <v>5</v>
      </c>
      <c r="D6723" s="472">
        <v>26168.2343</v>
      </c>
      <c r="E6723" s="472" t="s">
        <v>170</v>
      </c>
      <c r="F6723" s="474"/>
    </row>
    <row r="6724" spans="1:6" s="475" customFormat="1" ht="15">
      <c r="A6724" s="472" t="s">
        <v>12766</v>
      </c>
      <c r="B6724" s="472" t="s">
        <v>12767</v>
      </c>
      <c r="C6724" s="472" t="s">
        <v>5</v>
      </c>
      <c r="D6724" s="472">
        <v>27875.086500000001</v>
      </c>
      <c r="E6724" s="472" t="s">
        <v>170</v>
      </c>
      <c r="F6724" s="474"/>
    </row>
    <row r="6725" spans="1:6" s="475" customFormat="1" ht="15">
      <c r="A6725" s="472" t="s">
        <v>12768</v>
      </c>
      <c r="B6725" s="472" t="s">
        <v>12769</v>
      </c>
      <c r="C6725" s="472" t="s">
        <v>5</v>
      </c>
      <c r="D6725" s="472">
        <v>27393.2232</v>
      </c>
      <c r="E6725" s="472" t="s">
        <v>170</v>
      </c>
      <c r="F6725" s="474"/>
    </row>
    <row r="6726" spans="1:6" s="475" customFormat="1" ht="15">
      <c r="A6726" s="472" t="s">
        <v>12770</v>
      </c>
      <c r="B6726" s="472" t="s">
        <v>12771</v>
      </c>
      <c r="C6726" s="472" t="s">
        <v>5</v>
      </c>
      <c r="D6726" s="472">
        <v>27466.295600000001</v>
      </c>
      <c r="E6726" s="472" t="s">
        <v>170</v>
      </c>
      <c r="F6726" s="474"/>
    </row>
    <row r="6727" spans="1:6" s="475" customFormat="1" ht="15">
      <c r="A6727" s="472" t="s">
        <v>12772</v>
      </c>
      <c r="B6727" s="472" t="s">
        <v>12773</v>
      </c>
      <c r="C6727" s="472" t="s">
        <v>5</v>
      </c>
      <c r="D6727" s="472">
        <v>29590.462299999999</v>
      </c>
      <c r="E6727" s="472" t="s">
        <v>170</v>
      </c>
      <c r="F6727" s="474"/>
    </row>
    <row r="6728" spans="1:6" s="475" customFormat="1" ht="15">
      <c r="A6728" s="472" t="s">
        <v>12774</v>
      </c>
      <c r="B6728" s="472" t="s">
        <v>12775</v>
      </c>
      <c r="C6728" s="472" t="s">
        <v>5</v>
      </c>
      <c r="D6728" s="472">
        <v>29799.427299999999</v>
      </c>
      <c r="E6728" s="472" t="s">
        <v>170</v>
      </c>
      <c r="F6728" s="474"/>
    </row>
    <row r="6729" spans="1:6" s="475" customFormat="1" ht="15">
      <c r="A6729" s="472" t="s">
        <v>12776</v>
      </c>
      <c r="B6729" s="472" t="s">
        <v>12777</v>
      </c>
      <c r="C6729" s="472" t="s">
        <v>5</v>
      </c>
      <c r="D6729" s="472">
        <v>29868.632000000001</v>
      </c>
      <c r="E6729" s="472" t="s">
        <v>170</v>
      </c>
      <c r="F6729" s="474"/>
    </row>
    <row r="6730" spans="1:6" s="475" customFormat="1" ht="15">
      <c r="A6730" s="472" t="s">
        <v>12778</v>
      </c>
      <c r="B6730" s="472" t="s">
        <v>12779</v>
      </c>
      <c r="C6730" s="472" t="s">
        <v>89</v>
      </c>
      <c r="D6730" s="472">
        <v>3.2258</v>
      </c>
      <c r="E6730" s="472" t="s">
        <v>170</v>
      </c>
      <c r="F6730" s="474"/>
    </row>
    <row r="6731" spans="1:6" s="475" customFormat="1" ht="15">
      <c r="A6731" s="472" t="s">
        <v>12780</v>
      </c>
      <c r="B6731" s="472" t="s">
        <v>12781</v>
      </c>
      <c r="C6731" s="472" t="s">
        <v>89</v>
      </c>
      <c r="D6731" s="472">
        <v>5.0316999999999998</v>
      </c>
      <c r="E6731" s="472" t="s">
        <v>170</v>
      </c>
      <c r="F6731" s="474"/>
    </row>
    <row r="6732" spans="1:6" s="475" customFormat="1" ht="15">
      <c r="A6732" s="472" t="s">
        <v>12782</v>
      </c>
      <c r="B6732" s="472" t="s">
        <v>12783</v>
      </c>
      <c r="C6732" s="472" t="s">
        <v>89</v>
      </c>
      <c r="D6732" s="472">
        <v>42.171500000000002</v>
      </c>
      <c r="E6732" s="472" t="s">
        <v>170</v>
      </c>
      <c r="F6732" s="474"/>
    </row>
    <row r="6733" spans="1:6" s="475" customFormat="1" ht="15">
      <c r="A6733" s="472" t="s">
        <v>12784</v>
      </c>
      <c r="B6733" s="472" t="s">
        <v>12785</v>
      </c>
      <c r="C6733" s="472" t="s">
        <v>89</v>
      </c>
      <c r="D6733" s="472">
        <v>12.3942</v>
      </c>
      <c r="E6733" s="472" t="s">
        <v>170</v>
      </c>
      <c r="F6733" s="474"/>
    </row>
    <row r="6734" spans="1:6" s="475" customFormat="1" ht="15">
      <c r="A6734" s="472" t="s">
        <v>12786</v>
      </c>
      <c r="B6734" s="472" t="s">
        <v>12787</v>
      </c>
      <c r="C6734" s="472" t="s">
        <v>90</v>
      </c>
      <c r="D6734" s="472">
        <v>50.025799999999997</v>
      </c>
      <c r="E6734" s="472" t="s">
        <v>170</v>
      </c>
      <c r="F6734" s="474"/>
    </row>
    <row r="6735" spans="1:6" s="475" customFormat="1" ht="15">
      <c r="A6735" s="472" t="s">
        <v>12788</v>
      </c>
      <c r="B6735" s="472" t="s">
        <v>12789</v>
      </c>
      <c r="C6735" s="472" t="s">
        <v>90</v>
      </c>
      <c r="D6735" s="472">
        <v>34.988399999999999</v>
      </c>
      <c r="E6735" s="472" t="s">
        <v>170</v>
      </c>
      <c r="F6735" s="474"/>
    </row>
    <row r="6736" spans="1:6" s="475" customFormat="1" ht="15">
      <c r="A6736" s="472" t="s">
        <v>12790</v>
      </c>
      <c r="B6736" s="472" t="s">
        <v>12791</v>
      </c>
      <c r="C6736" s="472" t="s">
        <v>10227</v>
      </c>
      <c r="D6736" s="472">
        <v>24.333400000000001</v>
      </c>
      <c r="E6736" s="472" t="s">
        <v>170</v>
      </c>
      <c r="F6736" s="474"/>
    </row>
    <row r="6737" spans="1:6" s="475" customFormat="1" ht="15">
      <c r="A6737" s="472" t="s">
        <v>12792</v>
      </c>
      <c r="B6737" s="472" t="s">
        <v>12793</v>
      </c>
      <c r="C6737" s="472" t="s">
        <v>89</v>
      </c>
      <c r="D6737" s="472">
        <v>10.208299999999999</v>
      </c>
      <c r="E6737" s="472" t="s">
        <v>170</v>
      </c>
      <c r="F6737" s="474"/>
    </row>
    <row r="6738" spans="1:6" s="475" customFormat="1" ht="15">
      <c r="A6738" s="472" t="s">
        <v>8002</v>
      </c>
      <c r="B6738" s="472" t="s">
        <v>8016</v>
      </c>
      <c r="C6738" s="472" t="s">
        <v>90</v>
      </c>
      <c r="D6738" s="472">
        <v>1.6242000000000001</v>
      </c>
      <c r="E6738" s="472" t="s">
        <v>170</v>
      </c>
      <c r="F6738" s="474"/>
    </row>
    <row r="6739" spans="1:6" s="475" customFormat="1" ht="15">
      <c r="A6739" s="472" t="s">
        <v>12794</v>
      </c>
      <c r="B6739" s="472" t="s">
        <v>12795</v>
      </c>
      <c r="C6739" s="472" t="s">
        <v>89</v>
      </c>
      <c r="D6739" s="472">
        <v>4.5332999999999997</v>
      </c>
      <c r="E6739" s="472" t="s">
        <v>170</v>
      </c>
      <c r="F6739" s="474"/>
    </row>
    <row r="6740" spans="1:6" s="475" customFormat="1" ht="15">
      <c r="A6740" s="472" t="s">
        <v>6310</v>
      </c>
      <c r="B6740" s="472" t="s">
        <v>12796</v>
      </c>
      <c r="C6740" s="472" t="s">
        <v>89</v>
      </c>
      <c r="D6740" s="472">
        <v>35.763800000000003</v>
      </c>
      <c r="E6740" s="472" t="s">
        <v>170</v>
      </c>
      <c r="F6740" s="474"/>
    </row>
    <row r="6741" spans="1:6" s="475" customFormat="1" ht="15">
      <c r="A6741" s="472" t="s">
        <v>12797</v>
      </c>
      <c r="B6741" s="472" t="s">
        <v>12798</v>
      </c>
      <c r="C6741" s="472" t="s">
        <v>5</v>
      </c>
      <c r="D6741" s="472">
        <v>16.236599999999999</v>
      </c>
      <c r="E6741" s="472" t="s">
        <v>170</v>
      </c>
      <c r="F6741" s="474"/>
    </row>
    <row r="6742" spans="1:6" s="475" customFormat="1" ht="15">
      <c r="A6742" s="472" t="s">
        <v>12799</v>
      </c>
      <c r="B6742" s="472" t="s">
        <v>12800</v>
      </c>
      <c r="C6742" s="472" t="s">
        <v>90</v>
      </c>
      <c r="D6742" s="472">
        <v>16.217099999999999</v>
      </c>
      <c r="E6742" s="472" t="s">
        <v>170</v>
      </c>
      <c r="F6742" s="474"/>
    </row>
    <row r="6743" spans="1:6" s="475" customFormat="1" ht="15">
      <c r="A6743" s="472" t="s">
        <v>12801</v>
      </c>
      <c r="B6743" s="472" t="s">
        <v>12802</v>
      </c>
      <c r="C6743" s="472" t="s">
        <v>90</v>
      </c>
      <c r="D6743" s="472">
        <v>0.17929999999999999</v>
      </c>
      <c r="E6743" s="472" t="s">
        <v>170</v>
      </c>
      <c r="F6743" s="474"/>
    </row>
    <row r="6744" spans="1:6" s="475" customFormat="1" ht="15">
      <c r="A6744" s="472" t="s">
        <v>12803</v>
      </c>
      <c r="B6744" s="472" t="s">
        <v>12804</v>
      </c>
      <c r="C6744" s="472" t="s">
        <v>90</v>
      </c>
      <c r="D6744" s="472">
        <v>0.40810000000000002</v>
      </c>
      <c r="E6744" s="472" t="s">
        <v>170</v>
      </c>
      <c r="F6744" s="474"/>
    </row>
    <row r="6745" spans="1:6" s="475" customFormat="1" ht="15">
      <c r="A6745" s="472" t="s">
        <v>12805</v>
      </c>
      <c r="B6745" s="472" t="s">
        <v>12806</v>
      </c>
      <c r="C6745" s="472" t="s">
        <v>90</v>
      </c>
      <c r="D6745" s="472">
        <v>1.1022000000000001</v>
      </c>
      <c r="E6745" s="472" t="s">
        <v>170</v>
      </c>
      <c r="F6745" s="474"/>
    </row>
    <row r="6746" spans="1:6" s="475" customFormat="1" ht="15">
      <c r="A6746" s="472" t="s">
        <v>12807</v>
      </c>
      <c r="B6746" s="472" t="s">
        <v>12808</v>
      </c>
      <c r="C6746" s="472" t="s">
        <v>89</v>
      </c>
      <c r="D6746" s="472">
        <v>5.87</v>
      </c>
      <c r="E6746" s="472" t="s">
        <v>170</v>
      </c>
      <c r="F6746" s="474"/>
    </row>
    <row r="6747" spans="1:6" s="475" customFormat="1" ht="15">
      <c r="A6747" s="472" t="s">
        <v>12809</v>
      </c>
      <c r="B6747" s="472" t="s">
        <v>12810</v>
      </c>
      <c r="C6747" s="472" t="s">
        <v>89</v>
      </c>
      <c r="D6747" s="472">
        <v>9.8800000000000008</v>
      </c>
      <c r="E6747" s="472" t="s">
        <v>170</v>
      </c>
      <c r="F6747" s="474"/>
    </row>
    <row r="6748" spans="1:6" s="475" customFormat="1" ht="15">
      <c r="A6748" s="472" t="s">
        <v>12811</v>
      </c>
      <c r="B6748" s="472" t="s">
        <v>12812</v>
      </c>
      <c r="C6748" s="472" t="s">
        <v>10075</v>
      </c>
      <c r="D6748" s="472" t="s">
        <v>191</v>
      </c>
      <c r="E6748" s="472" t="s">
        <v>170</v>
      </c>
      <c r="F6748" s="474"/>
    </row>
    <row r="6749" spans="1:6" s="475" customFormat="1" ht="15">
      <c r="A6749" s="472" t="s">
        <v>12813</v>
      </c>
      <c r="B6749" s="472" t="s">
        <v>12814</v>
      </c>
      <c r="C6749" s="472" t="s">
        <v>5</v>
      </c>
      <c r="D6749" s="472">
        <v>231.65649999999999</v>
      </c>
      <c r="E6749" s="472" t="s">
        <v>170</v>
      </c>
      <c r="F6749" s="474"/>
    </row>
    <row r="6750" spans="1:6" s="475" customFormat="1" ht="15">
      <c r="A6750" s="472" t="s">
        <v>12815</v>
      </c>
      <c r="B6750" s="472" t="s">
        <v>12816</v>
      </c>
      <c r="C6750" s="472" t="s">
        <v>5</v>
      </c>
      <c r="D6750" s="472">
        <v>308.887</v>
      </c>
      <c r="E6750" s="472" t="s">
        <v>170</v>
      </c>
      <c r="F6750" s="474"/>
    </row>
    <row r="6751" spans="1:6" s="475" customFormat="1" ht="15">
      <c r="A6751" s="472" t="s">
        <v>12817</v>
      </c>
      <c r="B6751" s="472" t="s">
        <v>12818</v>
      </c>
      <c r="C6751" s="472" t="s">
        <v>5</v>
      </c>
      <c r="D6751" s="472">
        <v>397.40660000000003</v>
      </c>
      <c r="E6751" s="472" t="s">
        <v>170</v>
      </c>
      <c r="F6751" s="474"/>
    </row>
    <row r="6752" spans="1:6" s="475" customFormat="1" ht="15">
      <c r="A6752" s="472" t="s">
        <v>12819</v>
      </c>
      <c r="B6752" s="472" t="s">
        <v>12820</v>
      </c>
      <c r="C6752" s="472" t="s">
        <v>5</v>
      </c>
      <c r="D6752" s="472">
        <v>459.024</v>
      </c>
      <c r="E6752" s="472" t="s">
        <v>170</v>
      </c>
      <c r="F6752" s="474"/>
    </row>
    <row r="6753" spans="1:6" s="475" customFormat="1" ht="15">
      <c r="A6753" s="472" t="s">
        <v>12821</v>
      </c>
      <c r="B6753" s="472" t="s">
        <v>12822</v>
      </c>
      <c r="C6753" s="472" t="s">
        <v>5</v>
      </c>
      <c r="D6753" s="472">
        <v>581.44889999999998</v>
      </c>
      <c r="E6753" s="472" t="s">
        <v>170</v>
      </c>
      <c r="F6753" s="474"/>
    </row>
    <row r="6754" spans="1:6" s="475" customFormat="1" ht="15">
      <c r="A6754" s="472" t="s">
        <v>12823</v>
      </c>
      <c r="B6754" s="472" t="s">
        <v>12824</v>
      </c>
      <c r="C6754" s="472" t="s">
        <v>5</v>
      </c>
      <c r="D6754" s="472">
        <v>650.45950000000005</v>
      </c>
      <c r="E6754" s="472" t="s">
        <v>170</v>
      </c>
      <c r="F6754" s="474"/>
    </row>
    <row r="6755" spans="1:6" s="475" customFormat="1" ht="15">
      <c r="A6755" s="472" t="s">
        <v>12825</v>
      </c>
      <c r="B6755" s="472" t="s">
        <v>12826</v>
      </c>
      <c r="C6755" s="472" t="s">
        <v>5</v>
      </c>
      <c r="D6755" s="472">
        <v>757.73099999999999</v>
      </c>
      <c r="E6755" s="472" t="s">
        <v>170</v>
      </c>
      <c r="F6755" s="474"/>
    </row>
    <row r="6756" spans="1:6" s="475" customFormat="1" ht="15">
      <c r="A6756" s="472" t="s">
        <v>12827</v>
      </c>
      <c r="B6756" s="472" t="s">
        <v>12828</v>
      </c>
      <c r="C6756" s="472" t="s">
        <v>5</v>
      </c>
      <c r="D6756" s="472">
        <v>880.88279999999997</v>
      </c>
      <c r="E6756" s="472" t="s">
        <v>170</v>
      </c>
      <c r="F6756" s="474"/>
    </row>
    <row r="6757" spans="1:6" s="475" customFormat="1" ht="15">
      <c r="A6757" s="472" t="s">
        <v>12829</v>
      </c>
      <c r="B6757" s="472" t="s">
        <v>12830</v>
      </c>
      <c r="C6757" s="472" t="s">
        <v>5</v>
      </c>
      <c r="D6757" s="472">
        <v>4571.6457</v>
      </c>
      <c r="E6757" s="472" t="s">
        <v>170</v>
      </c>
      <c r="F6757" s="474"/>
    </row>
    <row r="6758" spans="1:6" s="475" customFormat="1" ht="15">
      <c r="A6758" s="472" t="s">
        <v>12831</v>
      </c>
      <c r="B6758" s="472" t="s">
        <v>12832</v>
      </c>
      <c r="C6758" s="472" t="s">
        <v>5</v>
      </c>
      <c r="D6758" s="472">
        <v>5419.8568999999998</v>
      </c>
      <c r="E6758" s="472" t="s">
        <v>170</v>
      </c>
      <c r="F6758" s="474"/>
    </row>
    <row r="6759" spans="1:6" s="475" customFormat="1" ht="15">
      <c r="A6759" s="472" t="s">
        <v>12833</v>
      </c>
      <c r="B6759" s="472" t="s">
        <v>12834</v>
      </c>
      <c r="C6759" s="472" t="s">
        <v>5</v>
      </c>
      <c r="D6759" s="472">
        <v>6335.3150999999998</v>
      </c>
      <c r="E6759" s="472" t="s">
        <v>170</v>
      </c>
      <c r="F6759" s="474"/>
    </row>
    <row r="6760" spans="1:6" s="475" customFormat="1" ht="15">
      <c r="A6760" s="472" t="s">
        <v>12835</v>
      </c>
      <c r="B6760" s="472" t="s">
        <v>12836</v>
      </c>
      <c r="C6760" s="472" t="s">
        <v>5</v>
      </c>
      <c r="D6760" s="472">
        <v>7938.2362000000003</v>
      </c>
      <c r="E6760" s="472" t="s">
        <v>170</v>
      </c>
      <c r="F6760" s="474"/>
    </row>
    <row r="6761" spans="1:6" s="475" customFormat="1" ht="15">
      <c r="A6761" s="472" t="s">
        <v>12837</v>
      </c>
      <c r="B6761" s="472" t="s">
        <v>12838</v>
      </c>
      <c r="C6761" s="472" t="s">
        <v>5</v>
      </c>
      <c r="D6761" s="472">
        <v>9160.1483000000007</v>
      </c>
      <c r="E6761" s="472" t="s">
        <v>170</v>
      </c>
      <c r="F6761" s="474"/>
    </row>
    <row r="6762" spans="1:6" s="475" customFormat="1" ht="15">
      <c r="A6762" s="472" t="s">
        <v>12839</v>
      </c>
      <c r="B6762" s="472" t="s">
        <v>12840</v>
      </c>
      <c r="C6762" s="472" t="s">
        <v>5</v>
      </c>
      <c r="D6762" s="472">
        <v>11984.111000000001</v>
      </c>
      <c r="E6762" s="472" t="s">
        <v>170</v>
      </c>
      <c r="F6762" s="474"/>
    </row>
    <row r="6763" spans="1:6" s="475" customFormat="1" ht="15">
      <c r="A6763" s="472" t="s">
        <v>12841</v>
      </c>
      <c r="B6763" s="472" t="s">
        <v>12842</v>
      </c>
      <c r="C6763" s="472" t="s">
        <v>5</v>
      </c>
      <c r="D6763" s="472">
        <v>13512.715700000001</v>
      </c>
      <c r="E6763" s="472" t="s">
        <v>170</v>
      </c>
      <c r="F6763" s="474"/>
    </row>
    <row r="6764" spans="1:6" s="475" customFormat="1" ht="15">
      <c r="A6764" s="472" t="s">
        <v>12843</v>
      </c>
      <c r="B6764" s="472" t="s">
        <v>12844</v>
      </c>
      <c r="C6764" s="472" t="s">
        <v>5</v>
      </c>
      <c r="D6764" s="472">
        <v>15496.1582</v>
      </c>
      <c r="E6764" s="472" t="s">
        <v>170</v>
      </c>
      <c r="F6764" s="474"/>
    </row>
    <row r="6765" spans="1:6" s="475" customFormat="1" ht="15">
      <c r="A6765" s="472" t="s">
        <v>12845</v>
      </c>
      <c r="B6765" s="472" t="s">
        <v>12846</v>
      </c>
      <c r="C6765" s="472" t="s">
        <v>5</v>
      </c>
      <c r="D6765" s="472">
        <v>19663.518100000001</v>
      </c>
      <c r="E6765" s="472" t="s">
        <v>170</v>
      </c>
      <c r="F6765" s="474"/>
    </row>
    <row r="6766" spans="1:6" s="475" customFormat="1" ht="15">
      <c r="A6766" s="472" t="s">
        <v>12847</v>
      </c>
      <c r="B6766" s="472" t="s">
        <v>12848</v>
      </c>
      <c r="C6766" s="472" t="s">
        <v>5</v>
      </c>
      <c r="D6766" s="472">
        <v>22898.0527</v>
      </c>
      <c r="E6766" s="472" t="s">
        <v>170</v>
      </c>
      <c r="F6766" s="474"/>
    </row>
    <row r="6767" spans="1:6" s="475" customFormat="1" ht="15">
      <c r="A6767" s="472" t="s">
        <v>12849</v>
      </c>
      <c r="B6767" s="472" t="s">
        <v>12850</v>
      </c>
      <c r="C6767" s="472" t="s">
        <v>5</v>
      </c>
      <c r="D6767" s="472">
        <v>30361.741000000002</v>
      </c>
      <c r="E6767" s="472" t="s">
        <v>170</v>
      </c>
      <c r="F6767" s="474"/>
    </row>
    <row r="6768" spans="1:6" s="475" customFormat="1" ht="15">
      <c r="A6768" s="472" t="s">
        <v>12851</v>
      </c>
      <c r="B6768" s="472" t="s">
        <v>12852</v>
      </c>
      <c r="C6768" s="472" t="s">
        <v>5</v>
      </c>
      <c r="D6768" s="472">
        <v>4278.7268999999997</v>
      </c>
      <c r="E6768" s="472" t="s">
        <v>170</v>
      </c>
      <c r="F6768" s="474"/>
    </row>
    <row r="6769" spans="1:6" s="475" customFormat="1" ht="15">
      <c r="A6769" s="472" t="s">
        <v>12853</v>
      </c>
      <c r="B6769" s="472" t="s">
        <v>12854</v>
      </c>
      <c r="C6769" s="472" t="s">
        <v>5</v>
      </c>
      <c r="D6769" s="472">
        <v>5044.9382999999998</v>
      </c>
      <c r="E6769" s="472" t="s">
        <v>170</v>
      </c>
      <c r="F6769" s="474"/>
    </row>
    <row r="6770" spans="1:6" s="475" customFormat="1" ht="15">
      <c r="A6770" s="472" t="s">
        <v>12855</v>
      </c>
      <c r="B6770" s="472" t="s">
        <v>12856</v>
      </c>
      <c r="C6770" s="472" t="s">
        <v>5</v>
      </c>
      <c r="D6770" s="472">
        <v>6191.3725000000004</v>
      </c>
      <c r="E6770" s="472" t="s">
        <v>170</v>
      </c>
      <c r="F6770" s="474"/>
    </row>
    <row r="6771" spans="1:6" s="475" customFormat="1" ht="15">
      <c r="A6771" s="472" t="s">
        <v>12857</v>
      </c>
      <c r="B6771" s="472" t="s">
        <v>12858</v>
      </c>
      <c r="C6771" s="472" t="s">
        <v>5</v>
      </c>
      <c r="D6771" s="472">
        <v>7643.7007000000003</v>
      </c>
      <c r="E6771" s="472" t="s">
        <v>170</v>
      </c>
      <c r="F6771" s="474"/>
    </row>
    <row r="6772" spans="1:6" s="475" customFormat="1" ht="15">
      <c r="A6772" s="472" t="s">
        <v>12859</v>
      </c>
      <c r="B6772" s="472" t="s">
        <v>12860</v>
      </c>
      <c r="C6772" s="472" t="s">
        <v>5</v>
      </c>
      <c r="D6772" s="472">
        <v>8944.6170000000002</v>
      </c>
      <c r="E6772" s="472" t="s">
        <v>170</v>
      </c>
      <c r="F6772" s="474"/>
    </row>
    <row r="6773" spans="1:6" s="475" customFormat="1" ht="15">
      <c r="A6773" s="472" t="s">
        <v>12861</v>
      </c>
      <c r="B6773" s="472" t="s">
        <v>12862</v>
      </c>
      <c r="C6773" s="472" t="s">
        <v>5</v>
      </c>
      <c r="D6773" s="472">
        <v>11773.210999999999</v>
      </c>
      <c r="E6773" s="472" t="s">
        <v>170</v>
      </c>
      <c r="F6773" s="474"/>
    </row>
    <row r="6774" spans="1:6" s="475" customFormat="1" ht="15">
      <c r="A6774" s="472" t="s">
        <v>12863</v>
      </c>
      <c r="B6774" s="472" t="s">
        <v>12864</v>
      </c>
      <c r="C6774" s="472" t="s">
        <v>5</v>
      </c>
      <c r="D6774" s="472">
        <v>13149.957</v>
      </c>
      <c r="E6774" s="472" t="s">
        <v>170</v>
      </c>
      <c r="F6774" s="474"/>
    </row>
    <row r="6775" spans="1:6" s="475" customFormat="1" ht="15">
      <c r="A6775" s="472" t="s">
        <v>12865</v>
      </c>
      <c r="B6775" s="472" t="s">
        <v>12866</v>
      </c>
      <c r="C6775" s="472" t="s">
        <v>5</v>
      </c>
      <c r="D6775" s="472">
        <v>15209.6777</v>
      </c>
      <c r="E6775" s="472" t="s">
        <v>170</v>
      </c>
      <c r="F6775" s="474"/>
    </row>
    <row r="6776" spans="1:6" s="475" customFormat="1" ht="15">
      <c r="A6776" s="472" t="s">
        <v>12867</v>
      </c>
      <c r="B6776" s="472" t="s">
        <v>12868</v>
      </c>
      <c r="C6776" s="472" t="s">
        <v>5</v>
      </c>
      <c r="D6776" s="472">
        <v>19340.613499999999</v>
      </c>
      <c r="E6776" s="472" t="s">
        <v>170</v>
      </c>
      <c r="F6776" s="474"/>
    </row>
    <row r="6777" spans="1:6" s="475" customFormat="1" ht="15">
      <c r="A6777" s="472" t="s">
        <v>12869</v>
      </c>
      <c r="B6777" s="472" t="s">
        <v>12870</v>
      </c>
      <c r="C6777" s="472" t="s">
        <v>5</v>
      </c>
      <c r="D6777" s="472">
        <v>22620.523799999999</v>
      </c>
      <c r="E6777" s="472" t="s">
        <v>170</v>
      </c>
      <c r="F6777" s="474"/>
    </row>
    <row r="6778" spans="1:6" s="475" customFormat="1" ht="15">
      <c r="A6778" s="472" t="s">
        <v>12871</v>
      </c>
      <c r="B6778" s="472" t="s">
        <v>12872</v>
      </c>
      <c r="C6778" s="472" t="s">
        <v>5</v>
      </c>
      <c r="D6778" s="472">
        <v>29964.487400000002</v>
      </c>
      <c r="E6778" s="472" t="s">
        <v>170</v>
      </c>
      <c r="F6778" s="474"/>
    </row>
    <row r="6779" spans="1:6" s="475" customFormat="1" ht="15">
      <c r="A6779" s="472" t="s">
        <v>12873</v>
      </c>
      <c r="B6779" s="472" t="s">
        <v>12874</v>
      </c>
      <c r="C6779" s="472" t="s">
        <v>5</v>
      </c>
      <c r="D6779" s="472">
        <v>4274.1500999999998</v>
      </c>
      <c r="E6779" s="472" t="s">
        <v>170</v>
      </c>
      <c r="F6779" s="474"/>
    </row>
    <row r="6780" spans="1:6" s="475" customFormat="1" ht="15">
      <c r="A6780" s="472" t="s">
        <v>12875</v>
      </c>
      <c r="B6780" s="472" t="s">
        <v>12876</v>
      </c>
      <c r="C6780" s="472" t="s">
        <v>5</v>
      </c>
      <c r="D6780" s="472">
        <v>5044.9382999999998</v>
      </c>
      <c r="E6780" s="472" t="s">
        <v>170</v>
      </c>
      <c r="F6780" s="474"/>
    </row>
    <row r="6781" spans="1:6" s="475" customFormat="1" ht="15">
      <c r="A6781" s="472" t="s">
        <v>12877</v>
      </c>
      <c r="B6781" s="472" t="s">
        <v>12878</v>
      </c>
      <c r="C6781" s="472" t="s">
        <v>5</v>
      </c>
      <c r="D6781" s="472">
        <v>6191.3725000000004</v>
      </c>
      <c r="E6781" s="472" t="s">
        <v>170</v>
      </c>
      <c r="F6781" s="474"/>
    </row>
    <row r="6782" spans="1:6" s="475" customFormat="1" ht="15">
      <c r="A6782" s="472" t="s">
        <v>12879</v>
      </c>
      <c r="B6782" s="472" t="s">
        <v>12880</v>
      </c>
      <c r="C6782" s="472" t="s">
        <v>5</v>
      </c>
      <c r="D6782" s="472">
        <v>7643.7007000000003</v>
      </c>
      <c r="E6782" s="472" t="s">
        <v>170</v>
      </c>
      <c r="F6782" s="474"/>
    </row>
    <row r="6783" spans="1:6" s="475" customFormat="1" ht="15">
      <c r="A6783" s="472" t="s">
        <v>12881</v>
      </c>
      <c r="B6783" s="472" t="s">
        <v>12882</v>
      </c>
      <c r="C6783" s="472" t="s">
        <v>5</v>
      </c>
      <c r="D6783" s="472">
        <v>8944.6170000000002</v>
      </c>
      <c r="E6783" s="472" t="s">
        <v>170</v>
      </c>
      <c r="F6783" s="474"/>
    </row>
    <row r="6784" spans="1:6" s="475" customFormat="1" ht="15">
      <c r="A6784" s="472" t="s">
        <v>12883</v>
      </c>
      <c r="B6784" s="472" t="s">
        <v>12884</v>
      </c>
      <c r="C6784" s="472" t="s">
        <v>5</v>
      </c>
      <c r="D6784" s="472">
        <v>11773.210999999999</v>
      </c>
      <c r="E6784" s="472" t="s">
        <v>170</v>
      </c>
      <c r="F6784" s="474"/>
    </row>
    <row r="6785" spans="1:6" s="475" customFormat="1" ht="15">
      <c r="A6785" s="472" t="s">
        <v>12885</v>
      </c>
      <c r="B6785" s="472" t="s">
        <v>12886</v>
      </c>
      <c r="C6785" s="472" t="s">
        <v>5</v>
      </c>
      <c r="D6785" s="472">
        <v>13149.957</v>
      </c>
      <c r="E6785" s="472" t="s">
        <v>170</v>
      </c>
      <c r="F6785" s="474"/>
    </row>
    <row r="6786" spans="1:6" s="475" customFormat="1" ht="15">
      <c r="A6786" s="472" t="s">
        <v>12887</v>
      </c>
      <c r="B6786" s="472" t="s">
        <v>12888</v>
      </c>
      <c r="C6786" s="472" t="s">
        <v>5</v>
      </c>
      <c r="D6786" s="472">
        <v>15209.6777</v>
      </c>
      <c r="E6786" s="472" t="s">
        <v>170</v>
      </c>
      <c r="F6786" s="474"/>
    </row>
    <row r="6787" spans="1:6" s="475" customFormat="1" ht="15">
      <c r="A6787" s="472" t="s">
        <v>12889</v>
      </c>
      <c r="B6787" s="472" t="s">
        <v>12890</v>
      </c>
      <c r="C6787" s="472" t="s">
        <v>5</v>
      </c>
      <c r="D6787" s="472">
        <v>19340.613499999999</v>
      </c>
      <c r="E6787" s="472" t="s">
        <v>170</v>
      </c>
      <c r="F6787" s="474"/>
    </row>
    <row r="6788" spans="1:6" s="475" customFormat="1" ht="15">
      <c r="A6788" s="472" t="s">
        <v>12891</v>
      </c>
      <c r="B6788" s="472" t="s">
        <v>12892</v>
      </c>
      <c r="C6788" s="472" t="s">
        <v>5</v>
      </c>
      <c r="D6788" s="472">
        <v>22620.924999999999</v>
      </c>
      <c r="E6788" s="472" t="s">
        <v>170</v>
      </c>
      <c r="F6788" s="474"/>
    </row>
    <row r="6789" spans="1:6" s="475" customFormat="1" ht="15">
      <c r="A6789" s="472" t="s">
        <v>12893</v>
      </c>
      <c r="B6789" s="472" t="s">
        <v>12894</v>
      </c>
      <c r="C6789" s="472" t="s">
        <v>5</v>
      </c>
      <c r="D6789" s="472">
        <v>29964.487400000002</v>
      </c>
      <c r="E6789" s="472" t="s">
        <v>170</v>
      </c>
      <c r="F6789" s="474"/>
    </row>
    <row r="6790" spans="1:6" s="475" customFormat="1" ht="15">
      <c r="A6790" s="472" t="s">
        <v>12895</v>
      </c>
      <c r="B6790" s="472" t="s">
        <v>12896</v>
      </c>
      <c r="C6790" s="472" t="s">
        <v>90</v>
      </c>
      <c r="D6790" s="472">
        <v>1099.9447</v>
      </c>
      <c r="E6790" s="472" t="s">
        <v>170</v>
      </c>
      <c r="F6790" s="474"/>
    </row>
    <row r="6791" spans="1:6" s="475" customFormat="1" ht="15">
      <c r="A6791" s="472" t="s">
        <v>12897</v>
      </c>
      <c r="B6791" s="472" t="s">
        <v>12898</v>
      </c>
      <c r="C6791" s="472" t="s">
        <v>90</v>
      </c>
      <c r="D6791" s="472">
        <v>532.99519999999995</v>
      </c>
      <c r="E6791" s="472" t="s">
        <v>170</v>
      </c>
      <c r="F6791" s="474"/>
    </row>
    <row r="6792" spans="1:6" s="475" customFormat="1" ht="15">
      <c r="A6792" s="472" t="s">
        <v>12899</v>
      </c>
      <c r="B6792" s="472" t="s">
        <v>12900</v>
      </c>
      <c r="C6792" s="472" t="s">
        <v>5</v>
      </c>
      <c r="D6792" s="472">
        <v>108.4442</v>
      </c>
      <c r="E6792" s="472" t="s">
        <v>170</v>
      </c>
      <c r="F6792" s="474"/>
    </row>
    <row r="6793" spans="1:6" s="475" customFormat="1" ht="15">
      <c r="A6793" s="472" t="s">
        <v>12901</v>
      </c>
      <c r="B6793" s="472" t="s">
        <v>12902</v>
      </c>
      <c r="C6793" s="472" t="s">
        <v>3495</v>
      </c>
      <c r="D6793" s="472" t="s">
        <v>191</v>
      </c>
      <c r="E6793" s="472" t="s">
        <v>170</v>
      </c>
      <c r="F6793" s="474"/>
    </row>
    <row r="6794" spans="1:6" s="475" customFormat="1" ht="15">
      <c r="A6794" s="472" t="s">
        <v>12903</v>
      </c>
      <c r="B6794" s="472" t="s">
        <v>12904</v>
      </c>
      <c r="C6794" s="472" t="s">
        <v>10227</v>
      </c>
      <c r="D6794" s="472">
        <v>275.42930000000001</v>
      </c>
      <c r="E6794" s="472" t="s">
        <v>170</v>
      </c>
      <c r="F6794" s="474"/>
    </row>
    <row r="6795" spans="1:6" s="475" customFormat="1" ht="15">
      <c r="A6795" s="472" t="s">
        <v>12905</v>
      </c>
      <c r="B6795" s="472" t="s">
        <v>12906</v>
      </c>
      <c r="C6795" s="472" t="s">
        <v>10227</v>
      </c>
      <c r="D6795" s="472">
        <v>61.524299999999997</v>
      </c>
      <c r="E6795" s="472" t="s">
        <v>170</v>
      </c>
      <c r="F6795" s="474"/>
    </row>
    <row r="6796" spans="1:6" s="475" customFormat="1" ht="15">
      <c r="A6796" s="472" t="s">
        <v>12907</v>
      </c>
      <c r="B6796" s="472" t="s">
        <v>12908</v>
      </c>
      <c r="C6796" s="472" t="s">
        <v>10227</v>
      </c>
      <c r="D6796" s="472">
        <v>88.152100000000004</v>
      </c>
      <c r="E6796" s="472" t="s">
        <v>170</v>
      </c>
      <c r="F6796" s="474"/>
    </row>
    <row r="6797" spans="1:6" s="475" customFormat="1" ht="15">
      <c r="A6797" s="472" t="s">
        <v>12909</v>
      </c>
      <c r="B6797" s="472" t="s">
        <v>12910</v>
      </c>
      <c r="C6797" s="472" t="s">
        <v>5</v>
      </c>
      <c r="D6797" s="472">
        <v>12.0191</v>
      </c>
      <c r="E6797" s="472" t="s">
        <v>170</v>
      </c>
      <c r="F6797" s="474"/>
    </row>
    <row r="6798" spans="1:6" s="475" customFormat="1" ht="15">
      <c r="A6798" s="472" t="s">
        <v>12911</v>
      </c>
      <c r="B6798" s="472" t="s">
        <v>12912</v>
      </c>
      <c r="C6798" s="472" t="s">
        <v>5</v>
      </c>
      <c r="D6798" s="472">
        <v>7.5804999999999998</v>
      </c>
      <c r="E6798" s="472" t="s">
        <v>170</v>
      </c>
      <c r="F6798" s="474"/>
    </row>
    <row r="6799" spans="1:6" s="475" customFormat="1" ht="15">
      <c r="A6799" s="472" t="s">
        <v>6309</v>
      </c>
      <c r="B6799" s="472" t="s">
        <v>6763</v>
      </c>
      <c r="C6799" s="472" t="s">
        <v>10227</v>
      </c>
      <c r="D6799" s="472">
        <v>100.25449999999999</v>
      </c>
      <c r="E6799" s="472" t="s">
        <v>170</v>
      </c>
      <c r="F6799" s="474"/>
    </row>
    <row r="6800" spans="1:6" s="475" customFormat="1" ht="15">
      <c r="A6800" s="472" t="s">
        <v>12913</v>
      </c>
      <c r="B6800" s="472" t="s">
        <v>12914</v>
      </c>
      <c r="C6800" s="472" t="s">
        <v>10227</v>
      </c>
      <c r="D6800" s="472">
        <v>286.9393</v>
      </c>
      <c r="E6800" s="472" t="s">
        <v>170</v>
      </c>
      <c r="F6800" s="474"/>
    </row>
    <row r="6801" spans="1:6" s="475" customFormat="1" ht="15">
      <c r="A6801" s="472" t="s">
        <v>6308</v>
      </c>
      <c r="B6801" s="472" t="s">
        <v>6764</v>
      </c>
      <c r="C6801" s="472" t="s">
        <v>10227</v>
      </c>
      <c r="D6801" s="472">
        <v>136.102</v>
      </c>
      <c r="E6801" s="472" t="s">
        <v>170</v>
      </c>
      <c r="F6801" s="474"/>
    </row>
    <row r="6802" spans="1:6" s="475" customFormat="1" ht="15">
      <c r="A6802" s="472" t="s">
        <v>12915</v>
      </c>
      <c r="B6802" s="472" t="s">
        <v>12916</v>
      </c>
      <c r="C6802" s="472" t="s">
        <v>10227</v>
      </c>
      <c r="D6802" s="472">
        <v>76.139399999999995</v>
      </c>
      <c r="E6802" s="472" t="s">
        <v>170</v>
      </c>
      <c r="F6802" s="474"/>
    </row>
    <row r="6803" spans="1:6" s="475" customFormat="1" ht="15">
      <c r="A6803" s="472" t="s">
        <v>12917</v>
      </c>
      <c r="B6803" s="472" t="s">
        <v>12918</v>
      </c>
      <c r="C6803" s="472" t="s">
        <v>10227</v>
      </c>
      <c r="D6803" s="472">
        <v>328.42649999999998</v>
      </c>
      <c r="E6803" s="472" t="s">
        <v>170</v>
      </c>
      <c r="F6803" s="474"/>
    </row>
    <row r="6804" spans="1:6" s="475" customFormat="1" ht="15">
      <c r="A6804" s="472" t="s">
        <v>12919</v>
      </c>
      <c r="B6804" s="472" t="s">
        <v>12920</v>
      </c>
      <c r="C6804" s="472" t="s">
        <v>5</v>
      </c>
      <c r="D6804" s="472">
        <v>9.3793000000000006</v>
      </c>
      <c r="E6804" s="472" t="s">
        <v>170</v>
      </c>
      <c r="F6804" s="474"/>
    </row>
    <row r="6805" spans="1:6" s="475" customFormat="1" ht="15">
      <c r="A6805" s="472" t="s">
        <v>12921</v>
      </c>
      <c r="B6805" s="472" t="s">
        <v>12922</v>
      </c>
      <c r="C6805" s="472" t="s">
        <v>5</v>
      </c>
      <c r="D6805" s="472">
        <v>7.4806999999999997</v>
      </c>
      <c r="E6805" s="472" t="s">
        <v>170</v>
      </c>
      <c r="F6805" s="474"/>
    </row>
    <row r="6806" spans="1:6" s="475" customFormat="1" ht="15">
      <c r="A6806" s="472" t="s">
        <v>6832</v>
      </c>
      <c r="B6806" s="472" t="s">
        <v>7820</v>
      </c>
      <c r="C6806" s="472" t="s">
        <v>5</v>
      </c>
      <c r="D6806" s="472">
        <v>13.174300000000001</v>
      </c>
      <c r="E6806" s="472" t="s">
        <v>170</v>
      </c>
      <c r="F6806" s="474"/>
    </row>
    <row r="6807" spans="1:6" s="475" customFormat="1" ht="15">
      <c r="A6807" s="472" t="s">
        <v>12923</v>
      </c>
      <c r="B6807" s="472" t="s">
        <v>12924</v>
      </c>
      <c r="C6807" s="472" t="s">
        <v>89</v>
      </c>
      <c r="D6807" s="472">
        <v>21.210599999999999</v>
      </c>
      <c r="E6807" s="472" t="s">
        <v>170</v>
      </c>
      <c r="F6807" s="474"/>
    </row>
    <row r="6808" spans="1:6" s="475" customFormat="1" ht="15">
      <c r="A6808" s="472" t="s">
        <v>12925</v>
      </c>
      <c r="B6808" s="472" t="s">
        <v>12926</v>
      </c>
      <c r="C6808" s="472" t="s">
        <v>89</v>
      </c>
      <c r="D6808" s="472">
        <v>33.0122</v>
      </c>
      <c r="E6808" s="472" t="s">
        <v>170</v>
      </c>
      <c r="F6808" s="474"/>
    </row>
    <row r="6809" spans="1:6" s="475" customFormat="1" ht="15">
      <c r="A6809" s="472" t="s">
        <v>12927</v>
      </c>
      <c r="B6809" s="472" t="s">
        <v>12928</v>
      </c>
      <c r="C6809" s="472" t="s">
        <v>90</v>
      </c>
      <c r="D6809" s="472">
        <v>8479.0702999999994</v>
      </c>
      <c r="E6809" s="472" t="s">
        <v>170</v>
      </c>
      <c r="F6809" s="474"/>
    </row>
    <row r="6810" spans="1:6" s="475" customFormat="1" ht="15">
      <c r="A6810" s="472" t="s">
        <v>12929</v>
      </c>
      <c r="B6810" s="472" t="s">
        <v>12930</v>
      </c>
      <c r="C6810" s="472" t="s">
        <v>90</v>
      </c>
      <c r="D6810" s="472">
        <v>12797.3035</v>
      </c>
      <c r="E6810" s="472" t="s">
        <v>170</v>
      </c>
      <c r="F6810" s="474"/>
    </row>
    <row r="6811" spans="1:6" s="475" customFormat="1" ht="15">
      <c r="A6811" s="472" t="s">
        <v>12931</v>
      </c>
      <c r="B6811" s="472" t="s">
        <v>12932</v>
      </c>
      <c r="C6811" s="472" t="s">
        <v>90</v>
      </c>
      <c r="D6811" s="472">
        <v>26884.9411</v>
      </c>
      <c r="E6811" s="472" t="s">
        <v>170</v>
      </c>
      <c r="F6811" s="474"/>
    </row>
    <row r="6812" spans="1:6" s="475" customFormat="1" ht="15">
      <c r="A6812" s="472" t="s">
        <v>12933</v>
      </c>
      <c r="B6812" s="472" t="s">
        <v>26809</v>
      </c>
      <c r="C6812" s="472" t="s">
        <v>90</v>
      </c>
      <c r="D6812" s="472">
        <v>53199.234600000003</v>
      </c>
      <c r="E6812" s="472" t="s">
        <v>170</v>
      </c>
      <c r="F6812" s="474"/>
    </row>
    <row r="6813" spans="1:6" s="475" customFormat="1" ht="15">
      <c r="A6813" s="472" t="s">
        <v>12934</v>
      </c>
      <c r="B6813" s="472" t="s">
        <v>12935</v>
      </c>
      <c r="C6813" s="472" t="s">
        <v>90</v>
      </c>
      <c r="D6813" s="472">
        <v>8717.3080000000009</v>
      </c>
      <c r="E6813" s="472" t="s">
        <v>170</v>
      </c>
      <c r="F6813" s="474"/>
    </row>
    <row r="6814" spans="1:6" s="475" customFormat="1" ht="15">
      <c r="A6814" s="472" t="s">
        <v>26810</v>
      </c>
      <c r="B6814" s="472" t="s">
        <v>12936</v>
      </c>
      <c r="C6814" s="472" t="s">
        <v>90</v>
      </c>
      <c r="D6814" s="472">
        <v>15983.692999999999</v>
      </c>
      <c r="E6814" s="472" t="s">
        <v>170</v>
      </c>
      <c r="F6814" s="474"/>
    </row>
    <row r="6815" spans="1:6" s="475" customFormat="1" ht="15">
      <c r="A6815" s="472" t="s">
        <v>12937</v>
      </c>
      <c r="B6815" s="472" t="s">
        <v>12938</v>
      </c>
      <c r="C6815" s="472" t="s">
        <v>90</v>
      </c>
      <c r="D6815" s="472">
        <v>31243.2827</v>
      </c>
      <c r="E6815" s="472" t="s">
        <v>170</v>
      </c>
      <c r="F6815" s="474"/>
    </row>
    <row r="6816" spans="1:6" s="475" customFormat="1" ht="15">
      <c r="A6816" s="472" t="s">
        <v>12939</v>
      </c>
      <c r="B6816" s="472" t="s">
        <v>26811</v>
      </c>
      <c r="C6816" s="472" t="s">
        <v>90</v>
      </c>
      <c r="D6816" s="472">
        <v>62239.373899999999</v>
      </c>
      <c r="E6816" s="472" t="s">
        <v>170</v>
      </c>
      <c r="F6816" s="474"/>
    </row>
    <row r="6817" spans="1:6" s="475" customFormat="1" ht="15">
      <c r="A6817" s="472" t="s">
        <v>12940</v>
      </c>
      <c r="B6817" s="472" t="s">
        <v>12941</v>
      </c>
      <c r="C6817" s="472" t="s">
        <v>5</v>
      </c>
      <c r="D6817" s="472">
        <v>137.59200000000001</v>
      </c>
      <c r="E6817" s="472" t="s">
        <v>170</v>
      </c>
      <c r="F6817" s="474"/>
    </row>
    <row r="6818" spans="1:6" s="475" customFormat="1" ht="15">
      <c r="A6818" s="472" t="s">
        <v>12942</v>
      </c>
      <c r="B6818" s="472" t="s">
        <v>12943</v>
      </c>
      <c r="C6818" s="472" t="s">
        <v>90</v>
      </c>
      <c r="D6818" s="472">
        <v>0.11609999999999999</v>
      </c>
      <c r="E6818" s="472" t="s">
        <v>170</v>
      </c>
      <c r="F6818" s="474"/>
    </row>
    <row r="6819" spans="1:6" s="475" customFormat="1" ht="15">
      <c r="A6819" s="472" t="s">
        <v>12944</v>
      </c>
      <c r="B6819" s="472" t="s">
        <v>12945</v>
      </c>
      <c r="C6819" s="472" t="s">
        <v>5</v>
      </c>
      <c r="D6819" s="472">
        <v>17.061399999999999</v>
      </c>
      <c r="E6819" s="472" t="s">
        <v>170</v>
      </c>
      <c r="F6819" s="474"/>
    </row>
    <row r="6820" spans="1:6" s="475" customFormat="1" ht="15">
      <c r="A6820" s="472" t="s">
        <v>12946</v>
      </c>
      <c r="B6820" s="472" t="s">
        <v>12947</v>
      </c>
      <c r="C6820" s="472" t="s">
        <v>90</v>
      </c>
      <c r="D6820" s="472">
        <v>1.2951999999999999</v>
      </c>
      <c r="E6820" s="472" t="s">
        <v>170</v>
      </c>
      <c r="F6820" s="474"/>
    </row>
    <row r="6821" spans="1:6" s="475" customFormat="1" ht="15">
      <c r="A6821" s="472" t="s">
        <v>12948</v>
      </c>
      <c r="B6821" s="472" t="s">
        <v>12949</v>
      </c>
      <c r="C6821" s="472" t="s">
        <v>90</v>
      </c>
      <c r="D6821" s="472">
        <v>1.1599999999999999</v>
      </c>
      <c r="E6821" s="472" t="s">
        <v>170</v>
      </c>
      <c r="F6821" s="474"/>
    </row>
    <row r="6822" spans="1:6" s="475" customFormat="1" ht="15">
      <c r="A6822" s="472" t="s">
        <v>12950</v>
      </c>
      <c r="B6822" s="472" t="s">
        <v>12951</v>
      </c>
      <c r="C6822" s="472" t="s">
        <v>5</v>
      </c>
      <c r="D6822" s="472">
        <v>241.8837</v>
      </c>
      <c r="E6822" s="472" t="s">
        <v>170</v>
      </c>
      <c r="F6822" s="474"/>
    </row>
    <row r="6823" spans="1:6" s="475" customFormat="1" ht="15">
      <c r="A6823" s="472" t="s">
        <v>12952</v>
      </c>
      <c r="B6823" s="472" t="s">
        <v>12953</v>
      </c>
      <c r="C6823" s="472" t="s">
        <v>5</v>
      </c>
      <c r="D6823" s="472">
        <v>48.578099999999999</v>
      </c>
      <c r="E6823" s="472" t="s">
        <v>170</v>
      </c>
      <c r="F6823" s="474"/>
    </row>
    <row r="6824" spans="1:6" s="475" customFormat="1" ht="15">
      <c r="A6824" s="472" t="s">
        <v>12954</v>
      </c>
      <c r="B6824" s="472" t="s">
        <v>12955</v>
      </c>
      <c r="C6824" s="472" t="s">
        <v>5</v>
      </c>
      <c r="D6824" s="472">
        <v>143.5908</v>
      </c>
      <c r="E6824" s="472" t="s">
        <v>170</v>
      </c>
      <c r="F6824" s="474"/>
    </row>
    <row r="6825" spans="1:6" s="475" customFormat="1" ht="15">
      <c r="A6825" s="472" t="s">
        <v>12956</v>
      </c>
      <c r="B6825" s="472" t="s">
        <v>12957</v>
      </c>
      <c r="C6825" s="472" t="s">
        <v>90</v>
      </c>
      <c r="D6825" s="472">
        <v>4230.7221</v>
      </c>
      <c r="E6825" s="472" t="s">
        <v>170</v>
      </c>
      <c r="F6825" s="474"/>
    </row>
    <row r="6826" spans="1:6" s="475" customFormat="1" ht="15">
      <c r="A6826" s="472" t="s">
        <v>12958</v>
      </c>
      <c r="B6826" s="472" t="s">
        <v>12959</v>
      </c>
      <c r="C6826" s="472" t="s">
        <v>90</v>
      </c>
      <c r="D6826" s="472">
        <v>4512.4507999999996</v>
      </c>
      <c r="E6826" s="472" t="s">
        <v>170</v>
      </c>
      <c r="F6826" s="474"/>
    </row>
    <row r="6827" spans="1:6" s="475" customFormat="1" ht="15">
      <c r="A6827" s="472" t="s">
        <v>12960</v>
      </c>
      <c r="B6827" s="472" t="s">
        <v>12961</v>
      </c>
      <c r="C6827" s="472" t="s">
        <v>90</v>
      </c>
      <c r="D6827" s="472">
        <v>7407.6239999999998</v>
      </c>
      <c r="E6827" s="472" t="s">
        <v>170</v>
      </c>
      <c r="F6827" s="474"/>
    </row>
    <row r="6828" spans="1:6" s="475" customFormat="1" ht="15">
      <c r="A6828" s="472" t="s">
        <v>12962</v>
      </c>
      <c r="B6828" s="472" t="s">
        <v>12963</v>
      </c>
      <c r="C6828" s="472" t="s">
        <v>90</v>
      </c>
      <c r="D6828" s="472">
        <v>7905.9372000000003</v>
      </c>
      <c r="E6828" s="472" t="s">
        <v>170</v>
      </c>
      <c r="F6828" s="474"/>
    </row>
    <row r="6829" spans="1:6" s="475" customFormat="1" ht="15">
      <c r="A6829" s="472" t="s">
        <v>12964</v>
      </c>
      <c r="B6829" s="472" t="s">
        <v>12965</v>
      </c>
      <c r="C6829" s="472" t="s">
        <v>90</v>
      </c>
      <c r="D6829" s="472">
        <v>10029.4974</v>
      </c>
      <c r="E6829" s="472" t="s">
        <v>170</v>
      </c>
      <c r="F6829" s="474"/>
    </row>
    <row r="6830" spans="1:6" s="475" customFormat="1" ht="15">
      <c r="A6830" s="472" t="s">
        <v>12966</v>
      </c>
      <c r="B6830" s="472" t="s">
        <v>12967</v>
      </c>
      <c r="C6830" s="472" t="s">
        <v>90</v>
      </c>
      <c r="D6830" s="472">
        <v>26</v>
      </c>
      <c r="E6830" s="472" t="s">
        <v>170</v>
      </c>
      <c r="F6830" s="474"/>
    </row>
    <row r="6831" spans="1:6" s="475" customFormat="1" ht="15">
      <c r="A6831" s="472" t="s">
        <v>12968</v>
      </c>
      <c r="B6831" s="472" t="s">
        <v>12969</v>
      </c>
      <c r="C6831" s="472" t="s">
        <v>90</v>
      </c>
      <c r="D6831" s="472">
        <v>273.55</v>
      </c>
      <c r="E6831" s="472" t="s">
        <v>170</v>
      </c>
      <c r="F6831" s="474"/>
    </row>
    <row r="6832" spans="1:6" s="475" customFormat="1" ht="15">
      <c r="A6832" s="472" t="s">
        <v>12970</v>
      </c>
      <c r="B6832" s="472" t="s">
        <v>12971</v>
      </c>
      <c r="C6832" s="472" t="s">
        <v>90</v>
      </c>
      <c r="D6832" s="472">
        <v>87.292100000000005</v>
      </c>
      <c r="E6832" s="472" t="s">
        <v>170</v>
      </c>
      <c r="F6832" s="474"/>
    </row>
    <row r="6833" spans="1:6" s="475" customFormat="1" ht="15">
      <c r="A6833" s="472" t="s">
        <v>12972</v>
      </c>
      <c r="B6833" s="472" t="s">
        <v>12973</v>
      </c>
      <c r="C6833" s="472" t="s">
        <v>5</v>
      </c>
      <c r="D6833" s="472">
        <v>280.44909999999999</v>
      </c>
      <c r="E6833" s="472" t="s">
        <v>170</v>
      </c>
      <c r="F6833" s="474"/>
    </row>
    <row r="6834" spans="1:6" s="475" customFormat="1" ht="15">
      <c r="A6834" s="472" t="s">
        <v>12974</v>
      </c>
      <c r="B6834" s="472" t="s">
        <v>12975</v>
      </c>
      <c r="C6834" s="472" t="s">
        <v>90</v>
      </c>
      <c r="D6834" s="472">
        <v>30.448399999999999</v>
      </c>
      <c r="E6834" s="472" t="s">
        <v>170</v>
      </c>
      <c r="F6834" s="474"/>
    </row>
    <row r="6835" spans="1:6" s="475" customFormat="1" ht="15">
      <c r="A6835" s="472" t="s">
        <v>12976</v>
      </c>
      <c r="B6835" s="472" t="s">
        <v>12977</v>
      </c>
      <c r="C6835" s="472" t="s">
        <v>10075</v>
      </c>
      <c r="D6835" s="472" t="s">
        <v>191</v>
      </c>
      <c r="E6835" s="472" t="s">
        <v>170</v>
      </c>
      <c r="F6835" s="474"/>
    </row>
    <row r="6836" spans="1:6" s="475" customFormat="1" ht="15">
      <c r="A6836" s="472" t="s">
        <v>12978</v>
      </c>
      <c r="B6836" s="472" t="s">
        <v>12979</v>
      </c>
      <c r="C6836" s="472" t="s">
        <v>10075</v>
      </c>
      <c r="D6836" s="472" t="s">
        <v>191</v>
      </c>
      <c r="E6836" s="472" t="s">
        <v>170</v>
      </c>
      <c r="F6836" s="474"/>
    </row>
    <row r="6837" spans="1:6" s="475" customFormat="1" ht="15">
      <c r="A6837" s="472" t="s">
        <v>12980</v>
      </c>
      <c r="B6837" s="472" t="s">
        <v>12981</v>
      </c>
      <c r="C6837" s="472" t="s">
        <v>10075</v>
      </c>
      <c r="D6837" s="472" t="s">
        <v>191</v>
      </c>
      <c r="E6837" s="472" t="s">
        <v>170</v>
      </c>
      <c r="F6837" s="474"/>
    </row>
    <row r="6838" spans="1:6" s="475" customFormat="1" ht="15">
      <c r="A6838" s="472" t="s">
        <v>12982</v>
      </c>
      <c r="B6838" s="472" t="s">
        <v>12983</v>
      </c>
      <c r="C6838" s="472" t="s">
        <v>10075</v>
      </c>
      <c r="D6838" s="472" t="s">
        <v>191</v>
      </c>
      <c r="E6838" s="472" t="s">
        <v>170</v>
      </c>
      <c r="F6838" s="474"/>
    </row>
    <row r="6839" spans="1:6" s="475" customFormat="1" ht="15">
      <c r="A6839" s="472" t="s">
        <v>12984</v>
      </c>
      <c r="B6839" s="472" t="s">
        <v>12985</v>
      </c>
      <c r="C6839" s="472" t="s">
        <v>10075</v>
      </c>
      <c r="D6839" s="472" t="s">
        <v>191</v>
      </c>
      <c r="E6839" s="472" t="s">
        <v>170</v>
      </c>
      <c r="F6839" s="474"/>
    </row>
    <row r="6840" spans="1:6" s="475" customFormat="1" ht="15">
      <c r="A6840" s="472" t="s">
        <v>12986</v>
      </c>
      <c r="B6840" s="472" t="s">
        <v>12987</v>
      </c>
      <c r="C6840" s="472" t="s">
        <v>10075</v>
      </c>
      <c r="D6840" s="472" t="s">
        <v>191</v>
      </c>
      <c r="E6840" s="472" t="s">
        <v>170</v>
      </c>
      <c r="F6840" s="474"/>
    </row>
    <row r="6841" spans="1:6" s="475" customFormat="1" ht="15">
      <c r="A6841" s="472" t="s">
        <v>12988</v>
      </c>
      <c r="B6841" s="472" t="s">
        <v>12989</v>
      </c>
      <c r="C6841" s="472" t="s">
        <v>10075</v>
      </c>
      <c r="D6841" s="472" t="s">
        <v>191</v>
      </c>
      <c r="E6841" s="472" t="s">
        <v>170</v>
      </c>
      <c r="F6841" s="474"/>
    </row>
    <row r="6842" spans="1:6" s="475" customFormat="1" ht="15">
      <c r="A6842" s="472" t="s">
        <v>12990</v>
      </c>
      <c r="B6842" s="472" t="s">
        <v>12991</v>
      </c>
      <c r="C6842" s="472" t="s">
        <v>10075</v>
      </c>
      <c r="D6842" s="472" t="s">
        <v>191</v>
      </c>
      <c r="E6842" s="472" t="s">
        <v>170</v>
      </c>
      <c r="F6842" s="474"/>
    </row>
    <row r="6843" spans="1:6" s="475" customFormat="1" ht="15">
      <c r="A6843" s="472" t="s">
        <v>12992</v>
      </c>
      <c r="B6843" s="472" t="s">
        <v>12993</v>
      </c>
      <c r="C6843" s="472" t="s">
        <v>10075</v>
      </c>
      <c r="D6843" s="472" t="s">
        <v>191</v>
      </c>
      <c r="E6843" s="472" t="s">
        <v>170</v>
      </c>
      <c r="F6843" s="474"/>
    </row>
    <row r="6844" spans="1:6" s="475" customFormat="1" ht="15">
      <c r="A6844" s="472" t="s">
        <v>12994</v>
      </c>
      <c r="B6844" s="472" t="s">
        <v>12995</v>
      </c>
      <c r="C6844" s="472" t="s">
        <v>3495</v>
      </c>
      <c r="D6844" s="472" t="s">
        <v>191</v>
      </c>
      <c r="E6844" s="472" t="s">
        <v>170</v>
      </c>
      <c r="F6844" s="474"/>
    </row>
    <row r="6845" spans="1:6" s="475" customFormat="1" ht="15">
      <c r="A6845" s="472" t="s">
        <v>12996</v>
      </c>
      <c r="B6845" s="472" t="s">
        <v>12997</v>
      </c>
      <c r="C6845" s="472" t="s">
        <v>10075</v>
      </c>
      <c r="D6845" s="472" t="s">
        <v>191</v>
      </c>
      <c r="E6845" s="472" t="s">
        <v>170</v>
      </c>
      <c r="F6845" s="474"/>
    </row>
    <row r="6846" spans="1:6" s="475" customFormat="1" ht="15">
      <c r="A6846" s="472" t="s">
        <v>12998</v>
      </c>
      <c r="B6846" s="472" t="s">
        <v>12999</v>
      </c>
      <c r="C6846" s="472" t="s">
        <v>10075</v>
      </c>
      <c r="D6846" s="472" t="s">
        <v>191</v>
      </c>
      <c r="E6846" s="472" t="s">
        <v>170</v>
      </c>
      <c r="F6846" s="474"/>
    </row>
    <row r="6847" spans="1:6" s="475" customFormat="1" ht="15">
      <c r="A6847" s="472" t="s">
        <v>13000</v>
      </c>
      <c r="B6847" s="472" t="s">
        <v>13001</v>
      </c>
      <c r="C6847" s="472" t="s">
        <v>10075</v>
      </c>
      <c r="D6847" s="472" t="s">
        <v>191</v>
      </c>
      <c r="E6847" s="472" t="s">
        <v>170</v>
      </c>
      <c r="F6847" s="474"/>
    </row>
    <row r="6848" spans="1:6" s="475" customFormat="1" ht="15">
      <c r="A6848" s="472" t="s">
        <v>13002</v>
      </c>
      <c r="B6848" s="472" t="s">
        <v>13003</v>
      </c>
      <c r="C6848" s="472" t="s">
        <v>3495</v>
      </c>
      <c r="D6848" s="472" t="s">
        <v>191</v>
      </c>
      <c r="E6848" s="472" t="s">
        <v>170</v>
      </c>
      <c r="F6848" s="474"/>
    </row>
    <row r="6849" spans="1:6" s="475" customFormat="1" ht="15">
      <c r="A6849" s="472" t="s">
        <v>13004</v>
      </c>
      <c r="B6849" s="472" t="s">
        <v>13005</v>
      </c>
      <c r="C6849" s="472" t="s">
        <v>3495</v>
      </c>
      <c r="D6849" s="472" t="s">
        <v>191</v>
      </c>
      <c r="E6849" s="472" t="s">
        <v>170</v>
      </c>
      <c r="F6849" s="474"/>
    </row>
    <row r="6850" spans="1:6" s="475" customFormat="1" ht="15">
      <c r="A6850" s="472" t="s">
        <v>26812</v>
      </c>
      <c r="B6850" s="472" t="s">
        <v>26813</v>
      </c>
      <c r="C6850" s="472" t="s">
        <v>4</v>
      </c>
      <c r="D6850" s="472">
        <v>44.03</v>
      </c>
      <c r="E6850" s="472" t="s">
        <v>170</v>
      </c>
      <c r="F6850" s="474"/>
    </row>
    <row r="6851" spans="1:6" s="475" customFormat="1" ht="15">
      <c r="A6851" s="472" t="s">
        <v>26814</v>
      </c>
      <c r="B6851" s="472" t="s">
        <v>26815</v>
      </c>
      <c r="C6851" s="472" t="s">
        <v>4</v>
      </c>
      <c r="D6851" s="472">
        <v>67.33</v>
      </c>
      <c r="E6851" s="472" t="s">
        <v>170</v>
      </c>
      <c r="F6851" s="474"/>
    </row>
    <row r="6852" spans="1:6" s="475" customFormat="1" ht="15">
      <c r="A6852" s="472" t="s">
        <v>26816</v>
      </c>
      <c r="B6852" s="472" t="s">
        <v>26817</v>
      </c>
      <c r="C6852" s="472" t="s">
        <v>4</v>
      </c>
      <c r="D6852" s="472">
        <v>74.45</v>
      </c>
      <c r="E6852" s="472" t="s">
        <v>170</v>
      </c>
      <c r="F6852" s="474"/>
    </row>
    <row r="6853" spans="1:6" s="475" customFormat="1" ht="15">
      <c r="A6853" s="472" t="s">
        <v>26818</v>
      </c>
      <c r="B6853" s="472" t="s">
        <v>26819</v>
      </c>
      <c r="C6853" s="472" t="s">
        <v>90</v>
      </c>
      <c r="D6853" s="472">
        <v>69830</v>
      </c>
      <c r="E6853" s="472" t="s">
        <v>170</v>
      </c>
      <c r="F6853" s="474"/>
    </row>
    <row r="6854" spans="1:6" s="475" customFormat="1" ht="15">
      <c r="A6854" s="472" t="s">
        <v>26820</v>
      </c>
      <c r="B6854" s="472" t="s">
        <v>26821</v>
      </c>
      <c r="C6854" s="472" t="s">
        <v>90</v>
      </c>
      <c r="D6854" s="472">
        <v>83940</v>
      </c>
      <c r="E6854" s="472" t="s">
        <v>170</v>
      </c>
      <c r="F6854" s="474"/>
    </row>
    <row r="6855" spans="1:6" s="475" customFormat="1" ht="15">
      <c r="A6855" s="472" t="s">
        <v>26822</v>
      </c>
      <c r="B6855" s="472" t="s">
        <v>26823</v>
      </c>
      <c r="C6855" s="472" t="s">
        <v>90</v>
      </c>
      <c r="D6855" s="472">
        <v>35</v>
      </c>
      <c r="E6855" s="472" t="s">
        <v>170</v>
      </c>
      <c r="F6855" s="474"/>
    </row>
    <row r="6856" spans="1:6" s="475" customFormat="1" ht="15">
      <c r="A6856" s="472" t="s">
        <v>26824</v>
      </c>
      <c r="B6856" s="472" t="s">
        <v>26825</v>
      </c>
      <c r="C6856" s="472" t="s">
        <v>90</v>
      </c>
      <c r="D6856" s="472">
        <v>8.14</v>
      </c>
      <c r="E6856" s="472" t="s">
        <v>170</v>
      </c>
      <c r="F6856" s="474"/>
    </row>
    <row r="6857" spans="1:6" s="475" customFormat="1" ht="15">
      <c r="A6857" s="472" t="s">
        <v>26826</v>
      </c>
      <c r="B6857" s="472" t="s">
        <v>26827</v>
      </c>
      <c r="C6857" s="472" t="s">
        <v>90</v>
      </c>
      <c r="D6857" s="472">
        <v>126890</v>
      </c>
      <c r="E6857" s="472" t="s">
        <v>170</v>
      </c>
      <c r="F6857" s="474"/>
    </row>
    <row r="6858" spans="1:6" s="475" customFormat="1" ht="15">
      <c r="A6858" s="472" t="s">
        <v>26828</v>
      </c>
      <c r="B6858" s="472" t="s">
        <v>26829</v>
      </c>
      <c r="C6858" s="472" t="s">
        <v>90</v>
      </c>
      <c r="D6858" s="472">
        <v>721.51</v>
      </c>
      <c r="E6858" s="472" t="s">
        <v>170</v>
      </c>
      <c r="F6858" s="474"/>
    </row>
    <row r="6859" spans="1:6" s="475" customFormat="1" ht="15">
      <c r="A6859" s="472" t="s">
        <v>26830</v>
      </c>
      <c r="B6859" s="472" t="s">
        <v>26831</v>
      </c>
      <c r="C6859" s="472" t="s">
        <v>5</v>
      </c>
      <c r="D6859" s="472">
        <v>266.49</v>
      </c>
      <c r="E6859" s="472" t="s">
        <v>170</v>
      </c>
      <c r="F6859" s="474"/>
    </row>
    <row r="6860" spans="1:6" s="475" customFormat="1" ht="15">
      <c r="A6860" s="472" t="s">
        <v>26832</v>
      </c>
      <c r="B6860" s="472" t="s">
        <v>26833</v>
      </c>
      <c r="C6860" s="472" t="s">
        <v>90</v>
      </c>
      <c r="D6860" s="472">
        <v>2605.1999999999998</v>
      </c>
      <c r="E6860" s="472" t="s">
        <v>170</v>
      </c>
      <c r="F6860" s="474"/>
    </row>
    <row r="6861" spans="1:6" s="475" customFormat="1" ht="15">
      <c r="A6861" s="472" t="s">
        <v>26834</v>
      </c>
      <c r="B6861" s="472" t="s">
        <v>26835</v>
      </c>
      <c r="C6861" s="472" t="s">
        <v>90</v>
      </c>
      <c r="D6861" s="472">
        <v>760</v>
      </c>
      <c r="E6861" s="472" t="s">
        <v>170</v>
      </c>
      <c r="F6861" s="474"/>
    </row>
    <row r="6862" spans="1:6" s="475" customFormat="1" ht="15">
      <c r="A6862" s="472" t="s">
        <v>26836</v>
      </c>
      <c r="B6862" s="472" t="s">
        <v>26837</v>
      </c>
      <c r="C6862" s="472" t="s">
        <v>89</v>
      </c>
      <c r="D6862" s="472">
        <v>16.739999999999998</v>
      </c>
      <c r="E6862" s="472" t="s">
        <v>170</v>
      </c>
      <c r="F6862" s="474"/>
    </row>
    <row r="6863" spans="1:6" s="475" customFormat="1" ht="15">
      <c r="A6863" s="472" t="s">
        <v>13006</v>
      </c>
      <c r="B6863" s="472" t="s">
        <v>26838</v>
      </c>
      <c r="C6863" s="472" t="s">
        <v>3495</v>
      </c>
      <c r="D6863" s="472" t="s">
        <v>191</v>
      </c>
      <c r="E6863" s="472" t="s">
        <v>170</v>
      </c>
      <c r="F6863" s="474"/>
    </row>
    <row r="6864" spans="1:6" s="475" customFormat="1" ht="15">
      <c r="A6864" s="472" t="s">
        <v>13007</v>
      </c>
      <c r="B6864" s="472" t="s">
        <v>26839</v>
      </c>
      <c r="C6864" s="472" t="s">
        <v>10227</v>
      </c>
      <c r="D6864" s="472">
        <v>1310.45</v>
      </c>
      <c r="E6864" s="472" t="s">
        <v>170</v>
      </c>
      <c r="F6864" s="474"/>
    </row>
    <row r="6865" spans="1:6" s="475" customFormat="1" ht="15">
      <c r="A6865" s="472" t="s">
        <v>13008</v>
      </c>
      <c r="B6865" s="472" t="s">
        <v>13009</v>
      </c>
      <c r="C6865" s="472" t="s">
        <v>3495</v>
      </c>
      <c r="D6865" s="472" t="s">
        <v>191</v>
      </c>
      <c r="E6865" s="472" t="s">
        <v>170</v>
      </c>
      <c r="F6865" s="474"/>
    </row>
    <row r="6866" spans="1:6" s="475" customFormat="1" ht="15">
      <c r="A6866" s="472" t="s">
        <v>13010</v>
      </c>
      <c r="B6866" s="472" t="s">
        <v>13011</v>
      </c>
      <c r="C6866" s="472" t="s">
        <v>3495</v>
      </c>
      <c r="D6866" s="472" t="s">
        <v>191</v>
      </c>
      <c r="E6866" s="472" t="s">
        <v>170</v>
      </c>
      <c r="F6866" s="474"/>
    </row>
    <row r="6867" spans="1:6" s="475" customFormat="1" ht="15">
      <c r="A6867" s="472" t="s">
        <v>13012</v>
      </c>
      <c r="B6867" s="472" t="s">
        <v>13013</v>
      </c>
      <c r="C6867" s="472" t="s">
        <v>3495</v>
      </c>
      <c r="D6867" s="472" t="s">
        <v>191</v>
      </c>
      <c r="E6867" s="472" t="s">
        <v>170</v>
      </c>
      <c r="F6867" s="474"/>
    </row>
    <row r="6868" spans="1:6" s="475" customFormat="1" ht="15">
      <c r="A6868" s="472" t="s">
        <v>13014</v>
      </c>
      <c r="B6868" s="472" t="s">
        <v>13015</v>
      </c>
      <c r="C6868" s="472" t="s">
        <v>3495</v>
      </c>
      <c r="D6868" s="472" t="s">
        <v>191</v>
      </c>
      <c r="E6868" s="472" t="s">
        <v>170</v>
      </c>
      <c r="F6868" s="474"/>
    </row>
    <row r="6869" spans="1:6" s="475" customFormat="1" ht="15">
      <c r="A6869" s="472" t="s">
        <v>13016</v>
      </c>
      <c r="B6869" s="472" t="s">
        <v>13017</v>
      </c>
      <c r="C6869" s="472" t="s">
        <v>3495</v>
      </c>
      <c r="D6869" s="472" t="s">
        <v>191</v>
      </c>
      <c r="E6869" s="472" t="s">
        <v>170</v>
      </c>
      <c r="F6869" s="474"/>
    </row>
    <row r="6870" spans="1:6" s="475" customFormat="1" ht="15">
      <c r="A6870" s="472" t="s">
        <v>13018</v>
      </c>
      <c r="B6870" s="472" t="s">
        <v>13019</v>
      </c>
      <c r="C6870" s="472" t="s">
        <v>3495</v>
      </c>
      <c r="D6870" s="472" t="s">
        <v>191</v>
      </c>
      <c r="E6870" s="472" t="s">
        <v>170</v>
      </c>
      <c r="F6870" s="474"/>
    </row>
    <row r="6871" spans="1:6" s="475" customFormat="1" ht="15">
      <c r="A6871" s="472" t="s">
        <v>13020</v>
      </c>
      <c r="B6871" s="472" t="s">
        <v>13021</v>
      </c>
      <c r="C6871" s="472" t="s">
        <v>3495</v>
      </c>
      <c r="D6871" s="472" t="s">
        <v>191</v>
      </c>
      <c r="E6871" s="472" t="s">
        <v>170</v>
      </c>
      <c r="F6871" s="474"/>
    </row>
    <row r="6872" spans="1:6" s="475" customFormat="1" ht="15">
      <c r="A6872" s="472" t="s">
        <v>13022</v>
      </c>
      <c r="B6872" s="472" t="s">
        <v>13023</v>
      </c>
      <c r="C6872" s="472" t="s">
        <v>3495</v>
      </c>
      <c r="D6872" s="472" t="s">
        <v>191</v>
      </c>
      <c r="E6872" s="472" t="s">
        <v>170</v>
      </c>
      <c r="F6872" s="474"/>
    </row>
    <row r="6873" spans="1:6" s="475" customFormat="1" ht="15">
      <c r="A6873" s="472" t="s">
        <v>13024</v>
      </c>
      <c r="B6873" s="472" t="s">
        <v>13025</v>
      </c>
      <c r="C6873" s="472" t="s">
        <v>3495</v>
      </c>
      <c r="D6873" s="472" t="s">
        <v>191</v>
      </c>
      <c r="E6873" s="472" t="s">
        <v>170</v>
      </c>
      <c r="F6873" s="474"/>
    </row>
    <row r="6874" spans="1:6" s="475" customFormat="1" ht="15">
      <c r="A6874" s="472" t="s">
        <v>13026</v>
      </c>
      <c r="B6874" s="472" t="s">
        <v>13027</v>
      </c>
      <c r="C6874" s="472" t="s">
        <v>3495</v>
      </c>
      <c r="D6874" s="472" t="s">
        <v>191</v>
      </c>
      <c r="E6874" s="472" t="s">
        <v>170</v>
      </c>
      <c r="F6874" s="474"/>
    </row>
    <row r="6875" spans="1:6" s="475" customFormat="1" ht="15">
      <c r="A6875" s="472" t="s">
        <v>13028</v>
      </c>
      <c r="B6875" s="472" t="s">
        <v>13029</v>
      </c>
      <c r="C6875" s="472" t="s">
        <v>3495</v>
      </c>
      <c r="D6875" s="472" t="s">
        <v>191</v>
      </c>
      <c r="E6875" s="472" t="s">
        <v>170</v>
      </c>
      <c r="F6875" s="474"/>
    </row>
    <row r="6876" spans="1:6" s="475" customFormat="1" ht="15">
      <c r="A6876" s="472" t="s">
        <v>13030</v>
      </c>
      <c r="B6876" s="472" t="s">
        <v>13031</v>
      </c>
      <c r="C6876" s="472" t="s">
        <v>3495</v>
      </c>
      <c r="D6876" s="472" t="s">
        <v>191</v>
      </c>
      <c r="E6876" s="472" t="s">
        <v>170</v>
      </c>
      <c r="F6876" s="474"/>
    </row>
    <row r="6877" spans="1:6" s="475" customFormat="1" ht="15">
      <c r="A6877" s="472" t="s">
        <v>13032</v>
      </c>
      <c r="B6877" s="472" t="s">
        <v>13033</v>
      </c>
      <c r="C6877" s="472" t="s">
        <v>3495</v>
      </c>
      <c r="D6877" s="472" t="s">
        <v>191</v>
      </c>
      <c r="E6877" s="472" t="s">
        <v>170</v>
      </c>
      <c r="F6877" s="474"/>
    </row>
    <row r="6878" spans="1:6" s="475" customFormat="1" ht="15">
      <c r="A6878" s="472" t="s">
        <v>13034</v>
      </c>
      <c r="B6878" s="472" t="s">
        <v>13035</v>
      </c>
      <c r="C6878" s="472" t="s">
        <v>90</v>
      </c>
      <c r="D6878" s="472">
        <v>8233.5</v>
      </c>
      <c r="E6878" s="472" t="s">
        <v>170</v>
      </c>
      <c r="F6878" s="474"/>
    </row>
    <row r="6879" spans="1:6" s="475" customFormat="1" ht="15">
      <c r="A6879" s="472" t="s">
        <v>13036</v>
      </c>
      <c r="B6879" s="472" t="s">
        <v>13037</v>
      </c>
      <c r="C6879" s="472" t="s">
        <v>90</v>
      </c>
      <c r="D6879" s="472">
        <v>12347.4</v>
      </c>
      <c r="E6879" s="472" t="s">
        <v>170</v>
      </c>
      <c r="F6879" s="474"/>
    </row>
    <row r="6880" spans="1:6" s="475" customFormat="1" ht="15">
      <c r="A6880" s="472" t="s">
        <v>13038</v>
      </c>
      <c r="B6880" s="472" t="s">
        <v>13039</v>
      </c>
      <c r="C6880" s="472" t="s">
        <v>90</v>
      </c>
      <c r="D6880" s="472">
        <v>21651.332900000001</v>
      </c>
      <c r="E6880" s="472" t="s">
        <v>170</v>
      </c>
      <c r="F6880" s="474"/>
    </row>
    <row r="6881" spans="1:6" s="475" customFormat="1" ht="15">
      <c r="A6881" s="472" t="s">
        <v>13040</v>
      </c>
      <c r="B6881" s="472" t="s">
        <v>13041</v>
      </c>
      <c r="C6881" s="472" t="s">
        <v>90</v>
      </c>
      <c r="D6881" s="472">
        <v>30390</v>
      </c>
      <c r="E6881" s="472" t="s">
        <v>170</v>
      </c>
      <c r="F6881" s="474"/>
    </row>
    <row r="6882" spans="1:6" s="475" customFormat="1" ht="15">
      <c r="A6882" s="472" t="s">
        <v>13042</v>
      </c>
      <c r="B6882" s="472" t="s">
        <v>13043</v>
      </c>
      <c r="C6882" s="472" t="s">
        <v>90</v>
      </c>
      <c r="D6882" s="472" t="s">
        <v>191</v>
      </c>
      <c r="E6882" s="472" t="s">
        <v>170</v>
      </c>
      <c r="F6882" s="474"/>
    </row>
    <row r="6883" spans="1:6" s="475" customFormat="1" ht="15">
      <c r="A6883" s="472" t="s">
        <v>13044</v>
      </c>
      <c r="B6883" s="472" t="s">
        <v>13045</v>
      </c>
      <c r="C6883" s="472" t="s">
        <v>90</v>
      </c>
      <c r="D6883" s="472" t="s">
        <v>191</v>
      </c>
      <c r="E6883" s="472" t="s">
        <v>170</v>
      </c>
      <c r="F6883" s="474"/>
    </row>
    <row r="6884" spans="1:6" s="475" customFormat="1" ht="15">
      <c r="A6884" s="472" t="s">
        <v>13046</v>
      </c>
      <c r="B6884" s="472" t="s">
        <v>13047</v>
      </c>
      <c r="C6884" s="472" t="s">
        <v>90</v>
      </c>
      <c r="D6884" s="472" t="s">
        <v>191</v>
      </c>
      <c r="E6884" s="472" t="s">
        <v>170</v>
      </c>
      <c r="F6884" s="474"/>
    </row>
    <row r="6885" spans="1:6" s="475" customFormat="1" ht="15">
      <c r="A6885" s="472" t="s">
        <v>13048</v>
      </c>
      <c r="B6885" s="472" t="s">
        <v>13049</v>
      </c>
      <c r="C6885" s="472" t="s">
        <v>90</v>
      </c>
      <c r="D6885" s="472" t="s">
        <v>191</v>
      </c>
      <c r="E6885" s="472" t="s">
        <v>170</v>
      </c>
      <c r="F6885" s="474"/>
    </row>
    <row r="6886" spans="1:6" s="475" customFormat="1" ht="15">
      <c r="A6886" s="472" t="s">
        <v>13050</v>
      </c>
      <c r="B6886" s="472" t="s">
        <v>26840</v>
      </c>
      <c r="C6886" s="472" t="s">
        <v>90</v>
      </c>
      <c r="D6886" s="472">
        <v>40.8825</v>
      </c>
      <c r="E6886" s="472" t="s">
        <v>170</v>
      </c>
      <c r="F6886" s="474"/>
    </row>
    <row r="6887" spans="1:6" s="475" customFormat="1" ht="15">
      <c r="A6887" s="472" t="s">
        <v>13051</v>
      </c>
      <c r="B6887" s="472" t="s">
        <v>13052</v>
      </c>
      <c r="C6887" s="472" t="s">
        <v>90</v>
      </c>
      <c r="D6887" s="472">
        <v>39.8795</v>
      </c>
      <c r="E6887" s="472" t="s">
        <v>170</v>
      </c>
      <c r="F6887" s="474"/>
    </row>
    <row r="6888" spans="1:6" s="475" customFormat="1" ht="15">
      <c r="A6888" s="472" t="s">
        <v>13053</v>
      </c>
      <c r="B6888" s="472" t="s">
        <v>13054</v>
      </c>
      <c r="C6888" s="472" t="s">
        <v>90</v>
      </c>
      <c r="D6888" s="472">
        <v>94.091099999999997</v>
      </c>
      <c r="E6888" s="472" t="s">
        <v>170</v>
      </c>
      <c r="F6888" s="474"/>
    </row>
    <row r="6889" spans="1:6" s="475" customFormat="1" ht="15">
      <c r="A6889" s="472" t="s">
        <v>13055</v>
      </c>
      <c r="B6889" s="472" t="s">
        <v>13056</v>
      </c>
      <c r="C6889" s="472" t="s">
        <v>90</v>
      </c>
      <c r="D6889" s="472">
        <v>193.62530000000001</v>
      </c>
      <c r="E6889" s="472" t="s">
        <v>170</v>
      </c>
      <c r="F6889" s="474"/>
    </row>
    <row r="6890" spans="1:6" s="475" customFormat="1" ht="15">
      <c r="A6890" s="472" t="s">
        <v>13057</v>
      </c>
      <c r="B6890" s="472" t="s">
        <v>13058</v>
      </c>
      <c r="C6890" s="472" t="s">
        <v>90</v>
      </c>
      <c r="D6890" s="472">
        <v>59.368600000000001</v>
      </c>
      <c r="E6890" s="472" t="s">
        <v>170</v>
      </c>
      <c r="F6890" s="474"/>
    </row>
    <row r="6891" spans="1:6" s="475" customFormat="1" ht="15">
      <c r="A6891" s="472" t="s">
        <v>13059</v>
      </c>
      <c r="B6891" s="472" t="s">
        <v>13060</v>
      </c>
      <c r="C6891" s="472" t="s">
        <v>90</v>
      </c>
      <c r="D6891" s="472">
        <v>107.88679999999999</v>
      </c>
      <c r="E6891" s="472" t="s">
        <v>170</v>
      </c>
      <c r="F6891" s="474"/>
    </row>
    <row r="6892" spans="1:6" s="475" customFormat="1" ht="15">
      <c r="A6892" s="472" t="s">
        <v>13061</v>
      </c>
      <c r="B6892" s="472" t="s">
        <v>13062</v>
      </c>
      <c r="C6892" s="472" t="s">
        <v>90</v>
      </c>
      <c r="D6892" s="472">
        <v>1.57</v>
      </c>
      <c r="E6892" s="472" t="s">
        <v>170</v>
      </c>
      <c r="F6892" s="474"/>
    </row>
    <row r="6893" spans="1:6" s="475" customFormat="1" ht="15">
      <c r="A6893" s="472" t="s">
        <v>13063</v>
      </c>
      <c r="B6893" s="472" t="s">
        <v>13064</v>
      </c>
      <c r="C6893" s="472" t="s">
        <v>90</v>
      </c>
      <c r="D6893" s="472">
        <v>0.96160000000000001</v>
      </c>
      <c r="E6893" s="472" t="s">
        <v>170</v>
      </c>
      <c r="F6893" s="474"/>
    </row>
    <row r="6894" spans="1:6" s="475" customFormat="1" ht="15">
      <c r="A6894" s="472" t="s">
        <v>13065</v>
      </c>
      <c r="B6894" s="472" t="s">
        <v>13066</v>
      </c>
      <c r="C6894" s="472" t="s">
        <v>90</v>
      </c>
      <c r="D6894" s="472">
        <v>0.49</v>
      </c>
      <c r="E6894" s="472" t="s">
        <v>170</v>
      </c>
      <c r="F6894" s="474"/>
    </row>
    <row r="6895" spans="1:6" s="475" customFormat="1" ht="15">
      <c r="A6895" s="472" t="s">
        <v>13067</v>
      </c>
      <c r="B6895" s="472" t="s">
        <v>13068</v>
      </c>
      <c r="C6895" s="472" t="s">
        <v>90</v>
      </c>
      <c r="D6895" s="472">
        <v>336.36880000000002</v>
      </c>
      <c r="E6895" s="472" t="s">
        <v>170</v>
      </c>
      <c r="F6895" s="474"/>
    </row>
    <row r="6896" spans="1:6" s="475" customFormat="1" ht="15">
      <c r="A6896" s="472" t="s">
        <v>13069</v>
      </c>
      <c r="B6896" s="472" t="s">
        <v>13070</v>
      </c>
      <c r="C6896" s="472" t="s">
        <v>90</v>
      </c>
      <c r="D6896" s="472">
        <v>1.6992</v>
      </c>
      <c r="E6896" s="472" t="s">
        <v>170</v>
      </c>
      <c r="F6896" s="474"/>
    </row>
    <row r="6897" spans="1:6" s="475" customFormat="1" ht="15">
      <c r="A6897" s="472" t="s">
        <v>13071</v>
      </c>
      <c r="B6897" s="472" t="s">
        <v>26841</v>
      </c>
      <c r="C6897" s="472" t="s">
        <v>4</v>
      </c>
      <c r="D6897" s="472">
        <v>35.734299999999998</v>
      </c>
      <c r="E6897" s="472" t="s">
        <v>170</v>
      </c>
      <c r="F6897" s="474"/>
    </row>
    <row r="6898" spans="1:6" s="475" customFormat="1" ht="15">
      <c r="A6898" s="472" t="s">
        <v>13072</v>
      </c>
      <c r="B6898" s="472" t="s">
        <v>13073</v>
      </c>
      <c r="C6898" s="472" t="s">
        <v>4</v>
      </c>
      <c r="D6898" s="472">
        <v>69.986699999999999</v>
      </c>
      <c r="E6898" s="472" t="s">
        <v>170</v>
      </c>
      <c r="F6898" s="474"/>
    </row>
    <row r="6899" spans="1:6" s="475" customFormat="1" ht="15">
      <c r="A6899" s="472" t="s">
        <v>13074</v>
      </c>
      <c r="B6899" s="472" t="s">
        <v>13075</v>
      </c>
      <c r="C6899" s="472" t="s">
        <v>4</v>
      </c>
      <c r="D6899" s="472">
        <v>38.500999999999998</v>
      </c>
      <c r="E6899" s="472" t="s">
        <v>170</v>
      </c>
      <c r="F6899" s="474"/>
    </row>
    <row r="6900" spans="1:6" s="475" customFormat="1" ht="15">
      <c r="A6900" s="472" t="s">
        <v>13076</v>
      </c>
      <c r="B6900" s="472" t="s">
        <v>13077</v>
      </c>
      <c r="C6900" s="472" t="s">
        <v>4</v>
      </c>
      <c r="D6900" s="472">
        <v>77.087699999999998</v>
      </c>
      <c r="E6900" s="472" t="s">
        <v>170</v>
      </c>
      <c r="F6900" s="474"/>
    </row>
    <row r="6901" spans="1:6" s="475" customFormat="1" ht="15">
      <c r="A6901" s="472" t="s">
        <v>13078</v>
      </c>
      <c r="B6901" s="472" t="s">
        <v>13079</v>
      </c>
      <c r="C6901" s="472" t="s">
        <v>4</v>
      </c>
      <c r="D6901" s="472">
        <v>33.703200000000002</v>
      </c>
      <c r="E6901" s="472" t="s">
        <v>170</v>
      </c>
      <c r="F6901" s="474"/>
    </row>
    <row r="6902" spans="1:6" s="475" customFormat="1" ht="15">
      <c r="A6902" s="472" t="s">
        <v>13080</v>
      </c>
      <c r="B6902" s="472" t="s">
        <v>13081</v>
      </c>
      <c r="C6902" s="472" t="s">
        <v>4</v>
      </c>
      <c r="D6902" s="472">
        <v>47.651600000000002</v>
      </c>
      <c r="E6902" s="472" t="s">
        <v>170</v>
      </c>
      <c r="F6902" s="474"/>
    </row>
    <row r="6903" spans="1:6" s="475" customFormat="1" ht="15">
      <c r="A6903" s="472" t="s">
        <v>13082</v>
      </c>
      <c r="B6903" s="472" t="s">
        <v>13083</v>
      </c>
      <c r="C6903" s="472" t="s">
        <v>90</v>
      </c>
      <c r="D6903" s="472">
        <v>1.99</v>
      </c>
      <c r="E6903" s="472" t="s">
        <v>170</v>
      </c>
      <c r="F6903" s="474"/>
    </row>
    <row r="6904" spans="1:6" s="475" customFormat="1" ht="15">
      <c r="A6904" s="472" t="s">
        <v>13084</v>
      </c>
      <c r="B6904" s="472" t="s">
        <v>13085</v>
      </c>
      <c r="C6904" s="472" t="s">
        <v>90</v>
      </c>
      <c r="D6904" s="472">
        <v>2.4533</v>
      </c>
      <c r="E6904" s="472" t="s">
        <v>170</v>
      </c>
      <c r="F6904" s="474"/>
    </row>
    <row r="6905" spans="1:6" s="475" customFormat="1" ht="15">
      <c r="A6905" s="472" t="s">
        <v>13086</v>
      </c>
      <c r="B6905" s="472" t="s">
        <v>13087</v>
      </c>
      <c r="C6905" s="472" t="s">
        <v>5</v>
      </c>
      <c r="D6905" s="472">
        <v>22.385000000000002</v>
      </c>
      <c r="E6905" s="472" t="s">
        <v>170</v>
      </c>
      <c r="F6905" s="474"/>
    </row>
    <row r="6906" spans="1:6" s="475" customFormat="1" ht="15">
      <c r="A6906" s="472" t="s">
        <v>13088</v>
      </c>
      <c r="B6906" s="472" t="s">
        <v>13089</v>
      </c>
      <c r="C6906" s="472" t="s">
        <v>5</v>
      </c>
      <c r="D6906" s="472">
        <v>56.629899999999999</v>
      </c>
      <c r="E6906" s="472" t="s">
        <v>170</v>
      </c>
      <c r="F6906" s="474"/>
    </row>
    <row r="6907" spans="1:6" s="475" customFormat="1" ht="15">
      <c r="A6907" s="472" t="s">
        <v>13090</v>
      </c>
      <c r="B6907" s="472" t="s">
        <v>13091</v>
      </c>
      <c r="C6907" s="472" t="s">
        <v>5</v>
      </c>
      <c r="D6907" s="472">
        <v>17.376200000000001</v>
      </c>
      <c r="E6907" s="472" t="s">
        <v>170</v>
      </c>
      <c r="F6907" s="474"/>
    </row>
    <row r="6908" spans="1:6" s="475" customFormat="1" ht="15">
      <c r="A6908" s="472" t="s">
        <v>13092</v>
      </c>
      <c r="B6908" s="472" t="s">
        <v>13093</v>
      </c>
      <c r="C6908" s="472" t="s">
        <v>89</v>
      </c>
      <c r="D6908" s="472">
        <v>18.672499999999999</v>
      </c>
      <c r="E6908" s="472" t="s">
        <v>170</v>
      </c>
      <c r="F6908" s="474"/>
    </row>
    <row r="6909" spans="1:6" s="475" customFormat="1" ht="15">
      <c r="A6909" s="472" t="s">
        <v>13094</v>
      </c>
      <c r="B6909" s="472" t="s">
        <v>13095</v>
      </c>
      <c r="C6909" s="472" t="s">
        <v>90</v>
      </c>
      <c r="D6909" s="472">
        <v>0.68</v>
      </c>
      <c r="E6909" s="472" t="s">
        <v>170</v>
      </c>
      <c r="F6909" s="474"/>
    </row>
    <row r="6910" spans="1:6" s="475" customFormat="1" ht="15">
      <c r="A6910" s="472" t="s">
        <v>13096</v>
      </c>
      <c r="B6910" s="472" t="s">
        <v>13097</v>
      </c>
      <c r="C6910" s="472" t="s">
        <v>90</v>
      </c>
      <c r="D6910" s="472">
        <v>0.34499999999999997</v>
      </c>
      <c r="E6910" s="472" t="s">
        <v>170</v>
      </c>
      <c r="F6910" s="474"/>
    </row>
    <row r="6911" spans="1:6" s="475" customFormat="1" ht="15">
      <c r="A6911" s="472" t="s">
        <v>13098</v>
      </c>
      <c r="B6911" s="472" t="s">
        <v>13099</v>
      </c>
      <c r="C6911" s="472" t="s">
        <v>90</v>
      </c>
      <c r="D6911" s="472">
        <v>0.15049999999999999</v>
      </c>
      <c r="E6911" s="472" t="s">
        <v>170</v>
      </c>
      <c r="F6911" s="474"/>
    </row>
    <row r="6912" spans="1:6" s="475" customFormat="1" ht="15">
      <c r="A6912" s="472" t="s">
        <v>13100</v>
      </c>
      <c r="B6912" s="472" t="s">
        <v>13101</v>
      </c>
      <c r="C6912" s="472" t="s">
        <v>90</v>
      </c>
      <c r="D6912" s="472">
        <v>0.17649999999999999</v>
      </c>
      <c r="E6912" s="472" t="s">
        <v>170</v>
      </c>
      <c r="F6912" s="474"/>
    </row>
    <row r="6913" spans="1:6" s="475" customFormat="1" ht="15">
      <c r="A6913" s="472" t="s">
        <v>13102</v>
      </c>
      <c r="B6913" s="472" t="s">
        <v>13103</v>
      </c>
      <c r="C6913" s="472" t="s">
        <v>90</v>
      </c>
      <c r="D6913" s="472">
        <v>2.44</v>
      </c>
      <c r="E6913" s="472" t="s">
        <v>170</v>
      </c>
      <c r="F6913" s="474"/>
    </row>
    <row r="6914" spans="1:6" s="475" customFormat="1" ht="15">
      <c r="A6914" s="472" t="s">
        <v>13104</v>
      </c>
      <c r="B6914" s="472" t="s">
        <v>13105</v>
      </c>
      <c r="C6914" s="472" t="s">
        <v>5</v>
      </c>
      <c r="D6914" s="472">
        <v>20.926600000000001</v>
      </c>
      <c r="E6914" s="472" t="s">
        <v>170</v>
      </c>
      <c r="F6914" s="474"/>
    </row>
    <row r="6915" spans="1:6" s="475" customFormat="1" ht="15">
      <c r="A6915" s="472" t="s">
        <v>13106</v>
      </c>
      <c r="B6915" s="472" t="s">
        <v>13107</v>
      </c>
      <c r="C6915" s="472" t="s">
        <v>90</v>
      </c>
      <c r="D6915" s="472">
        <v>953.95849999999996</v>
      </c>
      <c r="E6915" s="472" t="s">
        <v>170</v>
      </c>
      <c r="F6915" s="474"/>
    </row>
    <row r="6916" spans="1:6" s="475" customFormat="1" ht="15">
      <c r="A6916" s="472" t="s">
        <v>13108</v>
      </c>
      <c r="B6916" s="472" t="s">
        <v>13109</v>
      </c>
      <c r="C6916" s="472" t="s">
        <v>89</v>
      </c>
      <c r="D6916" s="472">
        <v>9.0183</v>
      </c>
      <c r="E6916" s="472" t="s">
        <v>170</v>
      </c>
      <c r="F6916" s="474"/>
    </row>
    <row r="6917" spans="1:6" s="475" customFormat="1" ht="15">
      <c r="A6917" s="472" t="s">
        <v>7557</v>
      </c>
      <c r="B6917" s="472" t="s">
        <v>7558</v>
      </c>
      <c r="C6917" s="472" t="s">
        <v>3495</v>
      </c>
      <c r="D6917" s="472">
        <v>3901.49</v>
      </c>
      <c r="E6917" s="472" t="s">
        <v>170</v>
      </c>
      <c r="F6917" s="474" t="s">
        <v>26849</v>
      </c>
    </row>
    <row r="6918" spans="1:6" s="475" customFormat="1" ht="15">
      <c r="A6918" s="472" t="s">
        <v>7560</v>
      </c>
      <c r="B6918" s="472" t="s">
        <v>7559</v>
      </c>
      <c r="C6918" s="472" t="s">
        <v>3495</v>
      </c>
      <c r="D6918" s="472">
        <v>3070.05</v>
      </c>
      <c r="E6918" s="472" t="s">
        <v>170</v>
      </c>
      <c r="F6918" s="474" t="s">
        <v>26849</v>
      </c>
    </row>
    <row r="6919" spans="1:6" s="475" customFormat="1" ht="15">
      <c r="A6919" s="472" t="s">
        <v>7734</v>
      </c>
      <c r="B6919" s="472" t="s">
        <v>7981</v>
      </c>
      <c r="C6919" s="472" t="s">
        <v>5079</v>
      </c>
      <c r="D6919" s="472">
        <v>427.55</v>
      </c>
      <c r="E6919" s="472" t="s">
        <v>170</v>
      </c>
      <c r="F6919" s="474"/>
    </row>
    <row r="6920" spans="1:6" ht="15">
      <c r="A6920" s="319"/>
      <c r="B6920" s="319"/>
      <c r="C6920" s="319"/>
      <c r="D6920" s="213"/>
      <c r="E6920" s="472" t="s">
        <v>170</v>
      </c>
      <c r="F6920" s="351"/>
    </row>
    <row r="6921" spans="1:6">
      <c r="A6921" s="319"/>
      <c r="B6921" s="319"/>
      <c r="C6921" s="319"/>
      <c r="D6921" s="213"/>
      <c r="E6921" s="319"/>
      <c r="F6921" s="351"/>
    </row>
    <row r="6922" spans="1:6">
      <c r="A6922" s="319"/>
      <c r="B6922" s="319"/>
      <c r="C6922" s="319"/>
      <c r="D6922" s="213"/>
      <c r="E6922" s="319"/>
      <c r="F6922" s="351"/>
    </row>
    <row r="6923" spans="1:6">
      <c r="A6923" s="319"/>
      <c r="B6923" s="319"/>
      <c r="C6923" s="319"/>
      <c r="D6923" s="213"/>
      <c r="E6923" s="319"/>
      <c r="F6923" s="351"/>
    </row>
    <row r="6924" spans="1:6">
      <c r="A6924" s="319"/>
      <c r="B6924" s="319"/>
      <c r="C6924" s="319"/>
      <c r="D6924" s="213"/>
      <c r="E6924" s="319"/>
      <c r="F6924" s="351"/>
    </row>
    <row r="6925" spans="1:6">
      <c r="A6925" s="319"/>
      <c r="B6925" s="319"/>
      <c r="C6925" s="319"/>
      <c r="D6925" s="213"/>
      <c r="E6925" s="319"/>
      <c r="F6925" s="351"/>
    </row>
    <row r="6926" spans="1:6">
      <c r="A6926" s="319"/>
      <c r="B6926" s="319"/>
      <c r="C6926" s="319"/>
      <c r="D6926" s="213"/>
      <c r="E6926" s="319"/>
      <c r="F6926" s="351"/>
    </row>
    <row r="6927" spans="1:6">
      <c r="A6927" s="319"/>
      <c r="B6927" s="319"/>
      <c r="C6927" s="319"/>
      <c r="D6927" s="213"/>
      <c r="E6927" s="319"/>
      <c r="F6927" s="351"/>
    </row>
    <row r="6928" spans="1:6">
      <c r="A6928" s="319"/>
      <c r="B6928" s="319"/>
      <c r="C6928" s="319"/>
      <c r="D6928" s="213"/>
      <c r="E6928" s="319"/>
      <c r="F6928" s="351"/>
    </row>
    <row r="6929" spans="1:6">
      <c r="A6929" s="319"/>
      <c r="B6929" s="319"/>
      <c r="C6929" s="319"/>
      <c r="D6929" s="213"/>
      <c r="E6929" s="319"/>
      <c r="F6929" s="351"/>
    </row>
    <row r="6930" spans="1:6">
      <c r="A6930" s="319"/>
      <c r="B6930" s="319"/>
      <c r="C6930" s="319"/>
      <c r="D6930" s="213"/>
      <c r="E6930" s="319"/>
      <c r="F6930" s="351"/>
    </row>
    <row r="6931" spans="1:6">
      <c r="A6931" s="319"/>
      <c r="B6931" s="319"/>
      <c r="C6931" s="319"/>
      <c r="D6931" s="213"/>
      <c r="E6931" s="319"/>
      <c r="F6931" s="351"/>
    </row>
    <row r="6932" spans="1:6">
      <c r="A6932" s="319"/>
      <c r="B6932" s="319"/>
      <c r="C6932" s="319"/>
      <c r="D6932" s="213"/>
      <c r="E6932" s="319"/>
      <c r="F6932" s="351"/>
    </row>
    <row r="6933" spans="1:6">
      <c r="A6933" s="319"/>
      <c r="B6933" s="319"/>
      <c r="C6933" s="319"/>
      <c r="D6933" s="213"/>
      <c r="E6933" s="319"/>
      <c r="F6933" s="351"/>
    </row>
    <row r="6934" spans="1:6">
      <c r="A6934" s="319"/>
      <c r="B6934" s="319"/>
      <c r="C6934" s="319"/>
      <c r="D6934" s="213"/>
      <c r="E6934" s="319"/>
      <c r="F6934" s="351"/>
    </row>
    <row r="6935" spans="1:6">
      <c r="A6935" s="319"/>
      <c r="B6935" s="319"/>
      <c r="C6935" s="319"/>
      <c r="D6935" s="213"/>
      <c r="E6935" s="319"/>
      <c r="F6935" s="351"/>
    </row>
    <row r="6936" spans="1:6">
      <c r="A6936" s="319"/>
      <c r="B6936" s="319"/>
      <c r="C6936" s="319"/>
      <c r="D6936" s="213"/>
      <c r="E6936" s="319"/>
      <c r="F6936" s="351"/>
    </row>
    <row r="6937" spans="1:6">
      <c r="A6937" s="319"/>
      <c r="B6937" s="319"/>
      <c r="C6937" s="319"/>
      <c r="D6937" s="213"/>
      <c r="E6937" s="319"/>
      <c r="F6937" s="351"/>
    </row>
    <row r="6938" spans="1:6">
      <c r="A6938" s="319"/>
      <c r="B6938" s="319"/>
      <c r="C6938" s="319"/>
      <c r="D6938" s="213"/>
      <c r="E6938" s="319"/>
      <c r="F6938" s="351"/>
    </row>
    <row r="6939" spans="1:6">
      <c r="A6939" s="319"/>
      <c r="B6939" s="319"/>
      <c r="C6939" s="319"/>
      <c r="D6939" s="213"/>
      <c r="E6939" s="319"/>
      <c r="F6939" s="351"/>
    </row>
    <row r="6940" spans="1:6">
      <c r="A6940" s="319"/>
      <c r="B6940" s="319"/>
      <c r="C6940" s="319"/>
      <c r="D6940" s="213"/>
      <c r="E6940" s="319"/>
      <c r="F6940" s="351"/>
    </row>
    <row r="6941" spans="1:6">
      <c r="A6941" s="319"/>
      <c r="B6941" s="319"/>
      <c r="C6941" s="319"/>
      <c r="D6941" s="213"/>
      <c r="E6941" s="319"/>
      <c r="F6941" s="351"/>
    </row>
    <row r="6942" spans="1:6">
      <c r="A6942" s="319"/>
      <c r="B6942" s="319"/>
      <c r="C6942" s="319"/>
      <c r="D6942" s="213"/>
      <c r="E6942" s="319"/>
      <c r="F6942" s="351"/>
    </row>
    <row r="6943" spans="1:6">
      <c r="A6943" s="319"/>
      <c r="B6943" s="319"/>
      <c r="C6943" s="319"/>
      <c r="D6943" s="213"/>
      <c r="E6943" s="319"/>
      <c r="F6943" s="351"/>
    </row>
    <row r="6944" spans="1:6">
      <c r="A6944" s="319"/>
      <c r="B6944" s="319"/>
      <c r="C6944" s="319"/>
      <c r="D6944" s="213"/>
      <c r="E6944" s="319"/>
      <c r="F6944" s="351"/>
    </row>
    <row r="6945" spans="1:6">
      <c r="A6945" s="211"/>
      <c r="B6945" s="211"/>
      <c r="C6945" s="211"/>
      <c r="D6945" s="213"/>
      <c r="E6945" s="319"/>
      <c r="F6945" s="351" t="str">
        <f t="shared" ref="F6945:F6948" si="0">UPPER(B6945)</f>
        <v/>
      </c>
    </row>
    <row r="6946" spans="1:6">
      <c r="A6946" s="211"/>
      <c r="B6946" s="211"/>
      <c r="C6946" s="211"/>
      <c r="D6946" s="213"/>
      <c r="E6946" s="319"/>
      <c r="F6946" s="351" t="str">
        <f t="shared" si="0"/>
        <v/>
      </c>
    </row>
    <row r="6947" spans="1:6">
      <c r="A6947" s="211"/>
      <c r="B6947" s="211"/>
      <c r="C6947" s="211"/>
      <c r="D6947" s="213"/>
      <c r="E6947" s="319"/>
      <c r="F6947" s="351" t="str">
        <f t="shared" si="0"/>
        <v/>
      </c>
    </row>
    <row r="6948" spans="1:6">
      <c r="A6948" s="211"/>
      <c r="B6948" s="211"/>
      <c r="C6948" s="211"/>
      <c r="D6948" s="213"/>
      <c r="E6948" s="319"/>
      <c r="F6948" s="351" t="str">
        <f t="shared" si="0"/>
        <v/>
      </c>
    </row>
    <row r="6949" spans="1:6" ht="38.25">
      <c r="A6949" s="211" t="s">
        <v>6261</v>
      </c>
      <c r="B6949" s="211"/>
      <c r="C6949" s="211"/>
      <c r="D6949" s="213"/>
      <c r="E6949" s="211"/>
    </row>
    <row r="6950" spans="1:6">
      <c r="A6950" s="211"/>
      <c r="B6950" s="211"/>
      <c r="C6950" s="211"/>
      <c r="D6950" s="213"/>
      <c r="E6950" s="211"/>
    </row>
    <row r="6951" spans="1:6">
      <c r="A6951" s="211"/>
      <c r="B6951" s="211"/>
      <c r="C6951" s="211"/>
      <c r="D6951" s="213"/>
      <c r="E6951" s="211"/>
    </row>
    <row r="6952" spans="1:6">
      <c r="A6952" s="211"/>
      <c r="B6952" s="211"/>
      <c r="C6952" s="211"/>
      <c r="D6952" s="213"/>
      <c r="E6952" s="211"/>
    </row>
    <row r="6953" spans="1:6">
      <c r="A6953" s="211"/>
      <c r="B6953" s="211"/>
      <c r="C6953" s="211"/>
      <c r="D6953" s="213"/>
      <c r="E6953" s="211"/>
    </row>
    <row r="6954" spans="1:6">
      <c r="A6954" s="211"/>
      <c r="B6954" s="211"/>
      <c r="C6954" s="211"/>
      <c r="D6954" s="213"/>
      <c r="E6954" s="211"/>
    </row>
    <row r="6955" spans="1:6">
      <c r="A6955" s="211"/>
      <c r="B6955" s="211"/>
      <c r="C6955" s="211"/>
      <c r="D6955" s="213"/>
      <c r="E6955" s="211"/>
    </row>
    <row r="6956" spans="1:6">
      <c r="A6956" s="211"/>
      <c r="B6956" s="211"/>
      <c r="C6956" s="211"/>
      <c r="D6956" s="213"/>
      <c r="E6956" s="211"/>
    </row>
    <row r="6957" spans="1:6">
      <c r="A6957" s="211"/>
      <c r="B6957" s="211"/>
      <c r="C6957" s="211"/>
      <c r="D6957" s="213"/>
      <c r="E6957" s="211"/>
    </row>
    <row r="6958" spans="1:6">
      <c r="A6958" s="211"/>
      <c r="B6958" s="211"/>
      <c r="C6958" s="211"/>
      <c r="D6958" s="213"/>
      <c r="E6958" s="211"/>
    </row>
    <row r="6959" spans="1:6">
      <c r="A6959" s="211"/>
      <c r="B6959" s="211"/>
      <c r="C6959" s="211"/>
      <c r="D6959" s="213"/>
      <c r="E6959" s="211"/>
    </row>
    <row r="6960" spans="1:6">
      <c r="A6960" s="211"/>
      <c r="B6960" s="211"/>
      <c r="C6960" s="211"/>
      <c r="D6960" s="213"/>
      <c r="E6960" s="211"/>
    </row>
    <row r="6961" spans="1:5">
      <c r="A6961" s="296"/>
      <c r="B6961" s="211"/>
      <c r="C6961" s="211"/>
      <c r="D6961" s="213"/>
      <c r="E6961" s="211"/>
    </row>
  </sheetData>
  <mergeCells count="1">
    <mergeCell ref="A5314:E5314"/>
  </mergeCells>
  <pageMargins left="0.2" right="0.23" top="0.98425196850393704" bottom="0.98425196850393704" header="0.51181102362204722" footer="0.51181102362204722"/>
  <pageSetup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sheetPr>
    <tabColor rgb="FFFF0000"/>
  </sheetPr>
  <dimension ref="A1:S530"/>
  <sheetViews>
    <sheetView showGridLines="0" view="pageBreakPreview" zoomScaleNormal="100" zoomScaleSheetLayoutView="100" workbookViewId="0">
      <selection activeCell="K19" sqref="K19"/>
    </sheetView>
  </sheetViews>
  <sheetFormatPr defaultColWidth="9.140625" defaultRowHeight="15.75"/>
  <cols>
    <col min="1" max="1" width="13.28515625" style="173" customWidth="1"/>
    <col min="2" max="2" width="36" style="174" customWidth="1"/>
    <col min="3" max="3" width="12.28515625" style="174" customWidth="1"/>
    <col min="4" max="4" width="4.5703125" style="70" customWidth="1"/>
    <col min="5" max="7" width="16.28515625" style="175" customWidth="1"/>
    <col min="8" max="8" width="11" style="175" customWidth="1"/>
    <col min="9" max="9" width="11.5703125" style="175" customWidth="1"/>
    <col min="10" max="10" width="10.28515625" style="175" customWidth="1"/>
    <col min="11" max="11" width="9.140625" style="70"/>
    <col min="12" max="12" width="13.5703125" style="70" customWidth="1"/>
    <col min="13" max="15" width="18.5703125" style="70" customWidth="1"/>
    <col min="16" max="16" width="10" style="70" bestFit="1" customWidth="1"/>
    <col min="17" max="16384" width="9.140625" style="70"/>
  </cols>
  <sheetData>
    <row r="1" spans="1:19" s="76" customFormat="1">
      <c r="A1" s="688"/>
      <c r="B1" s="688"/>
      <c r="C1" s="688"/>
      <c r="D1" s="688"/>
      <c r="E1" s="688"/>
      <c r="F1" s="688"/>
      <c r="G1" s="688"/>
      <c r="H1" s="178"/>
      <c r="I1" s="179"/>
      <c r="J1" s="179"/>
    </row>
    <row r="2" spans="1:19" s="48" customFormat="1" ht="18.75">
      <c r="A2" s="692" t="s">
        <v>5071</v>
      </c>
      <c r="B2" s="692"/>
      <c r="C2" s="692"/>
      <c r="D2" s="692"/>
      <c r="E2" s="692"/>
      <c r="F2" s="692"/>
      <c r="G2" s="692"/>
      <c r="H2" s="180"/>
      <c r="I2" s="181"/>
      <c r="J2" s="180"/>
      <c r="K2" s="46"/>
      <c r="L2" s="46"/>
      <c r="M2" s="46"/>
      <c r="N2" s="46"/>
      <c r="O2" s="46"/>
      <c r="P2" s="46"/>
      <c r="Q2" s="46"/>
      <c r="R2" s="46"/>
    </row>
    <row r="3" spans="1:19" s="48" customFormat="1" ht="18.75">
      <c r="A3" s="692" t="s">
        <v>5072</v>
      </c>
      <c r="B3" s="692"/>
      <c r="C3" s="692"/>
      <c r="D3" s="692"/>
      <c r="E3" s="692"/>
      <c r="F3" s="692"/>
      <c r="G3" s="692"/>
      <c r="H3" s="180"/>
      <c r="I3" s="181"/>
      <c r="J3" s="180"/>
      <c r="K3" s="46"/>
      <c r="L3" s="46"/>
      <c r="M3" s="46"/>
      <c r="N3" s="46"/>
      <c r="O3" s="46"/>
      <c r="P3" s="46"/>
      <c r="Q3" s="46"/>
      <c r="R3" s="46"/>
    </row>
    <row r="4" spans="1:19" s="48" customFormat="1" ht="18.75">
      <c r="A4" s="692" t="s">
        <v>5074</v>
      </c>
      <c r="B4" s="692"/>
      <c r="C4" s="692"/>
      <c r="D4" s="692"/>
      <c r="E4" s="692"/>
      <c r="F4" s="692"/>
      <c r="G4" s="692"/>
      <c r="H4" s="181"/>
      <c r="I4" s="180"/>
      <c r="J4" s="180"/>
      <c r="K4" s="46"/>
      <c r="L4" s="46"/>
      <c r="M4" s="46"/>
      <c r="N4" s="46"/>
      <c r="O4" s="46"/>
      <c r="P4" s="46"/>
      <c r="Q4" s="46"/>
      <c r="R4" s="46"/>
    </row>
    <row r="5" spans="1:19" s="48" customFormat="1" ht="18.75">
      <c r="A5" s="692" t="s">
        <v>160</v>
      </c>
      <c r="B5" s="692"/>
      <c r="C5" s="692"/>
      <c r="D5" s="692"/>
      <c r="E5" s="692"/>
      <c r="F5" s="692"/>
      <c r="G5" s="692"/>
      <c r="H5" s="181"/>
      <c r="I5" s="180"/>
      <c r="J5" s="180"/>
      <c r="K5" s="46"/>
      <c r="L5" s="46"/>
      <c r="M5" s="46"/>
      <c r="N5" s="46"/>
      <c r="O5" s="46"/>
      <c r="P5" s="46"/>
      <c r="Q5" s="46"/>
      <c r="R5" s="46"/>
    </row>
    <row r="6" spans="1:19" s="48" customFormat="1" ht="25.5">
      <c r="A6" s="156" t="s">
        <v>82</v>
      </c>
      <c r="B6" s="690" t="s">
        <v>8521</v>
      </c>
      <c r="C6" s="690"/>
      <c r="D6" s="690"/>
      <c r="E6" s="690"/>
      <c r="F6" s="49" t="s">
        <v>62</v>
      </c>
      <c r="G6" s="200">
        <f>'036-20-CAPA'!C19</f>
        <v>44370</v>
      </c>
      <c r="H6" s="182"/>
      <c r="I6" s="181"/>
      <c r="J6" s="180"/>
      <c r="K6" s="46"/>
      <c r="L6" s="46"/>
      <c r="M6" s="46"/>
      <c r="N6" s="46"/>
      <c r="O6" s="46"/>
      <c r="P6" s="46"/>
      <c r="Q6" s="46"/>
      <c r="R6" s="46"/>
      <c r="S6" s="46"/>
    </row>
    <row r="7" spans="1:19" s="48" customFormat="1" ht="37.5" customHeight="1">
      <c r="A7" s="156" t="s">
        <v>13</v>
      </c>
      <c r="B7" s="693" t="s">
        <v>8375</v>
      </c>
      <c r="C7" s="693"/>
      <c r="D7" s="693"/>
      <c r="E7" s="693"/>
      <c r="F7" s="50" t="s">
        <v>16</v>
      </c>
      <c r="G7" s="133" t="s">
        <v>8374</v>
      </c>
      <c r="H7" s="182"/>
      <c r="I7" s="180"/>
      <c r="J7" s="180"/>
      <c r="K7" s="46"/>
      <c r="L7" s="46"/>
      <c r="M7" s="46"/>
      <c r="N7" s="46"/>
      <c r="O7" s="46"/>
      <c r="P7" s="46"/>
      <c r="Q7" s="46"/>
      <c r="R7" s="46"/>
    </row>
    <row r="8" spans="1:19" s="48" customFormat="1" ht="12.75" customHeight="1">
      <c r="A8" s="142"/>
      <c r="B8" s="157"/>
      <c r="C8" s="157"/>
      <c r="D8" s="157"/>
      <c r="E8" s="157"/>
      <c r="F8" s="50"/>
      <c r="G8" s="133"/>
      <c r="H8" s="182"/>
      <c r="I8" s="180"/>
      <c r="J8" s="180"/>
      <c r="K8" s="46"/>
      <c r="L8" s="46"/>
      <c r="M8" s="46"/>
      <c r="N8" s="46"/>
      <c r="O8" s="46"/>
      <c r="P8" s="46"/>
      <c r="Q8" s="46"/>
      <c r="R8" s="46"/>
    </row>
    <row r="9" spans="1:19" s="162" customFormat="1" ht="24.75" customHeight="1">
      <c r="A9" s="154" t="s">
        <v>12</v>
      </c>
      <c r="B9" s="155" t="s">
        <v>11</v>
      </c>
      <c r="C9" s="155" t="s">
        <v>267</v>
      </c>
      <c r="D9" s="155" t="s">
        <v>10</v>
      </c>
      <c r="E9" s="155" t="s">
        <v>6318</v>
      </c>
      <c r="F9" s="155" t="s">
        <v>6398</v>
      </c>
      <c r="G9" s="155" t="s">
        <v>6319</v>
      </c>
      <c r="H9" s="175"/>
      <c r="I9" s="175"/>
      <c r="J9" s="175"/>
      <c r="M9" s="722" t="s">
        <v>13513</v>
      </c>
      <c r="N9" s="722"/>
      <c r="O9" s="722"/>
    </row>
    <row r="10" spans="1:19" s="163" customFormat="1" ht="11.25">
      <c r="A10" s="246"/>
      <c r="B10" s="247"/>
      <c r="C10" s="247"/>
      <c r="D10" s="247"/>
      <c r="E10" s="247"/>
      <c r="F10" s="309"/>
      <c r="G10" s="247"/>
      <c r="H10" s="176"/>
      <c r="I10" s="176"/>
      <c r="J10" s="176"/>
    </row>
    <row r="11" spans="1:19" s="164" customFormat="1" ht="22.5">
      <c r="A11" s="183" t="s">
        <v>6396</v>
      </c>
      <c r="B11" s="184" t="s">
        <v>6397</v>
      </c>
      <c r="C11" s="185">
        <f>MIN(E13:G13)</f>
        <v>1100</v>
      </c>
      <c r="D11" s="186" t="s">
        <v>5079</v>
      </c>
      <c r="E11" s="187" t="s">
        <v>6747</v>
      </c>
      <c r="F11" s="187" t="s">
        <v>6748</v>
      </c>
      <c r="G11" s="187" t="s">
        <v>8235</v>
      </c>
      <c r="H11" s="177" t="s">
        <v>170</v>
      </c>
      <c r="I11" s="177"/>
      <c r="J11" s="177"/>
      <c r="M11" s="187" t="s">
        <v>6747</v>
      </c>
      <c r="N11" s="187" t="s">
        <v>6748</v>
      </c>
      <c r="O11" s="187" t="s">
        <v>8235</v>
      </c>
    </row>
    <row r="12" spans="1:19" s="164" customFormat="1" ht="11.25">
      <c r="A12" s="161"/>
      <c r="B12" s="165"/>
      <c r="C12" s="4" t="s">
        <v>272</v>
      </c>
      <c r="D12" s="170"/>
      <c r="E12" s="55" t="s">
        <v>6746</v>
      </c>
      <c r="F12" s="55" t="s">
        <v>6749</v>
      </c>
      <c r="G12" s="55"/>
      <c r="H12" s="177" t="s">
        <v>271</v>
      </c>
      <c r="I12" s="177" t="s">
        <v>268</v>
      </c>
      <c r="J12" s="177" t="s">
        <v>269</v>
      </c>
      <c r="M12" s="55" t="s">
        <v>6746</v>
      </c>
      <c r="N12" s="55" t="s">
        <v>6749</v>
      </c>
      <c r="O12" s="55"/>
    </row>
    <row r="13" spans="1:19" s="164" customFormat="1" ht="15">
      <c r="A13" s="166"/>
      <c r="B13" s="167"/>
      <c r="C13" s="4" t="s">
        <v>9</v>
      </c>
      <c r="D13" s="171"/>
      <c r="E13" s="74">
        <v>1500</v>
      </c>
      <c r="F13" s="74">
        <v>1200</v>
      </c>
      <c r="G13" s="74">
        <v>1100</v>
      </c>
      <c r="H13" s="177">
        <f>MEDIAN(E13:G13)</f>
        <v>1200</v>
      </c>
      <c r="I13" s="177">
        <f>H13*1.3</f>
        <v>1560</v>
      </c>
      <c r="J13" s="177">
        <f>H13*0.7</f>
        <v>840</v>
      </c>
      <c r="M13" s="74">
        <v>1500</v>
      </c>
      <c r="N13" s="74">
        <v>1200</v>
      </c>
      <c r="O13" s="74">
        <v>1100</v>
      </c>
    </row>
    <row r="14" spans="1:19" s="164" customFormat="1" ht="15">
      <c r="A14" s="166"/>
      <c r="B14" s="167"/>
      <c r="C14" s="4" t="s">
        <v>8</v>
      </c>
      <c r="D14" s="171"/>
      <c r="E14" s="55"/>
      <c r="F14" s="55"/>
      <c r="G14" s="55"/>
      <c r="H14" s="177"/>
      <c r="I14" s="177"/>
      <c r="J14" s="177"/>
      <c r="M14" s="55"/>
      <c r="N14" s="55"/>
      <c r="O14" s="55"/>
    </row>
    <row r="15" spans="1:19" s="164" customFormat="1" ht="15">
      <c r="A15" s="166"/>
      <c r="B15" s="167"/>
      <c r="C15" s="4" t="s">
        <v>7</v>
      </c>
      <c r="D15" s="171"/>
      <c r="E15" s="3" t="s">
        <v>6751</v>
      </c>
      <c r="F15" s="3" t="s">
        <v>6750</v>
      </c>
      <c r="G15" s="3" t="s">
        <v>8236</v>
      </c>
      <c r="H15" s="177"/>
      <c r="I15" s="177"/>
      <c r="J15" s="177"/>
      <c r="M15" s="3" t="s">
        <v>6751</v>
      </c>
      <c r="N15" s="3" t="s">
        <v>6750</v>
      </c>
      <c r="O15" s="3" t="s">
        <v>8236</v>
      </c>
    </row>
    <row r="16" spans="1:19" s="164" customFormat="1" ht="15">
      <c r="A16" s="166"/>
      <c r="B16" s="167"/>
      <c r="C16" s="4" t="s">
        <v>6</v>
      </c>
      <c r="D16" s="172"/>
      <c r="E16" s="2">
        <v>43860</v>
      </c>
      <c r="F16" s="2">
        <v>43860</v>
      </c>
      <c r="G16" s="2">
        <v>43860</v>
      </c>
      <c r="H16" s="177"/>
      <c r="I16" s="177"/>
      <c r="J16" s="177"/>
      <c r="M16" s="2">
        <v>43860</v>
      </c>
      <c r="N16" s="2">
        <v>43860</v>
      </c>
      <c r="O16" s="2">
        <v>43860</v>
      </c>
    </row>
    <row r="17" spans="1:15" s="163" customFormat="1" ht="11.25">
      <c r="A17" s="302"/>
      <c r="B17" s="309"/>
      <c r="C17" s="309"/>
      <c r="D17" s="309"/>
      <c r="E17" s="309"/>
      <c r="F17" s="309"/>
      <c r="G17" s="309"/>
      <c r="H17" s="176"/>
      <c r="I17" s="176"/>
      <c r="J17" s="176"/>
      <c r="M17" s="309"/>
      <c r="N17" s="309"/>
      <c r="O17" s="309"/>
    </row>
    <row r="18" spans="1:15" s="164" customFormat="1" ht="45">
      <c r="A18" s="183" t="s">
        <v>6514</v>
      </c>
      <c r="B18" s="184" t="s">
        <v>6629</v>
      </c>
      <c r="C18" s="185">
        <f>MIN(E20:G20)</f>
        <v>3670.6152309138993</v>
      </c>
      <c r="D18" s="186" t="s">
        <v>90</v>
      </c>
      <c r="E18" s="187" t="s">
        <v>6754</v>
      </c>
      <c r="F18" s="187" t="s">
        <v>6768</v>
      </c>
      <c r="G18" s="187" t="s">
        <v>8403</v>
      </c>
      <c r="H18" s="177" t="s">
        <v>170</v>
      </c>
      <c r="I18" s="177"/>
      <c r="J18" s="177"/>
      <c r="M18" s="187" t="s">
        <v>6754</v>
      </c>
      <c r="N18" s="187" t="s">
        <v>6768</v>
      </c>
      <c r="O18" s="187" t="s">
        <v>8403</v>
      </c>
    </row>
    <row r="19" spans="1:15" s="164" customFormat="1" ht="11.25">
      <c r="A19" s="161"/>
      <c r="B19" s="165"/>
      <c r="C19" s="4" t="s">
        <v>272</v>
      </c>
      <c r="D19" s="170"/>
      <c r="E19" s="55" t="s">
        <v>6755</v>
      </c>
      <c r="F19" s="55" t="s">
        <v>6769</v>
      </c>
      <c r="G19" s="55" t="s">
        <v>8405</v>
      </c>
      <c r="H19" s="177" t="s">
        <v>271</v>
      </c>
      <c r="I19" s="177" t="s">
        <v>268</v>
      </c>
      <c r="J19" s="177" t="s">
        <v>269</v>
      </c>
      <c r="M19" s="55" t="s">
        <v>6755</v>
      </c>
      <c r="N19" s="55" t="s">
        <v>6769</v>
      </c>
      <c r="O19" s="55" t="s">
        <v>8405</v>
      </c>
    </row>
    <row r="20" spans="1:15" s="164" customFormat="1" ht="15">
      <c r="A20" s="166"/>
      <c r="B20" s="167"/>
      <c r="C20" s="4" t="s">
        <v>9</v>
      </c>
      <c r="D20" s="171"/>
      <c r="E20" s="74">
        <v>4490</v>
      </c>
      <c r="F20" s="74">
        <f>N20/'Reajustamento INCC'!$C$63</f>
        <v>3670.6152309138993</v>
      </c>
      <c r="G20" s="74">
        <f>O20/'Reajustamento INCC'!$C$71</f>
        <v>3878.0549926419772</v>
      </c>
      <c r="H20" s="177">
        <f>MEDIAN(E20:G20)</f>
        <v>3878.0549926419772</v>
      </c>
      <c r="I20" s="177">
        <f>H20*1.3</f>
        <v>5041.4714904345701</v>
      </c>
      <c r="J20" s="177">
        <f>H20*0.7</f>
        <v>2714.6384948493837</v>
      </c>
      <c r="M20" s="74">
        <v>4490</v>
      </c>
      <c r="N20" s="74">
        <v>3694.74</v>
      </c>
      <c r="O20" s="74">
        <v>3917</v>
      </c>
    </row>
    <row r="21" spans="1:15" s="164" customFormat="1" ht="15">
      <c r="A21" s="166"/>
      <c r="B21" s="167"/>
      <c r="C21" s="4" t="s">
        <v>8</v>
      </c>
      <c r="D21" s="171"/>
      <c r="E21" s="55" t="s">
        <v>6757</v>
      </c>
      <c r="F21" s="55" t="s">
        <v>6770</v>
      </c>
      <c r="G21" s="55" t="s">
        <v>8406</v>
      </c>
      <c r="H21" s="177"/>
      <c r="I21" s="177"/>
      <c r="J21" s="177"/>
      <c r="M21" s="55" t="s">
        <v>6757</v>
      </c>
      <c r="N21" s="55" t="s">
        <v>6770</v>
      </c>
      <c r="O21" s="55" t="s">
        <v>8406</v>
      </c>
    </row>
    <row r="22" spans="1:15" s="164" customFormat="1" ht="15">
      <c r="A22" s="166"/>
      <c r="B22" s="167"/>
      <c r="C22" s="4" t="s">
        <v>7</v>
      </c>
      <c r="D22" s="171"/>
      <c r="E22" s="3" t="s">
        <v>6756</v>
      </c>
      <c r="F22" s="3" t="s">
        <v>6771</v>
      </c>
      <c r="G22" s="3" t="s">
        <v>8404</v>
      </c>
      <c r="H22" s="177"/>
      <c r="I22" s="177"/>
      <c r="J22" s="177"/>
      <c r="M22" s="3" t="s">
        <v>6756</v>
      </c>
      <c r="N22" s="3" t="s">
        <v>6771</v>
      </c>
      <c r="O22" s="3" t="s">
        <v>8404</v>
      </c>
    </row>
    <row r="23" spans="1:15" s="164" customFormat="1" ht="15">
      <c r="A23" s="168"/>
      <c r="B23" s="169"/>
      <c r="C23" s="4" t="s">
        <v>6</v>
      </c>
      <c r="D23" s="172"/>
      <c r="E23" s="2">
        <v>43860</v>
      </c>
      <c r="F23" s="2">
        <v>43831</v>
      </c>
      <c r="G23" s="2">
        <v>43831</v>
      </c>
      <c r="H23" s="177"/>
      <c r="I23" s="177"/>
      <c r="J23" s="177"/>
      <c r="M23" s="2">
        <v>43860</v>
      </c>
      <c r="N23" s="2">
        <v>43864</v>
      </c>
      <c r="O23" s="2">
        <v>43894</v>
      </c>
    </row>
    <row r="24" spans="1:15" s="163" customFormat="1" ht="11.25">
      <c r="A24" s="302"/>
      <c r="B24" s="309"/>
      <c r="C24" s="309"/>
      <c r="D24" s="309"/>
      <c r="E24" s="309"/>
      <c r="F24" s="309"/>
      <c r="G24" s="309"/>
      <c r="H24" s="176"/>
      <c r="I24" s="176"/>
      <c r="J24" s="176"/>
      <c r="M24" s="309"/>
      <c r="N24" s="309"/>
      <c r="O24" s="309"/>
    </row>
    <row r="25" spans="1:15" s="164" customFormat="1" ht="22.5">
      <c r="A25" s="183" t="s">
        <v>6515</v>
      </c>
      <c r="B25" s="184" t="s">
        <v>6500</v>
      </c>
      <c r="C25" s="185">
        <f>MIN(E27:G27)</f>
        <v>64.25</v>
      </c>
      <c r="D25" s="186" t="s">
        <v>90</v>
      </c>
      <c r="E25" s="187" t="s">
        <v>6497</v>
      </c>
      <c r="F25" s="187" t="s">
        <v>6314</v>
      </c>
      <c r="G25" s="187" t="s">
        <v>6737</v>
      </c>
      <c r="H25" s="177" t="s">
        <v>170</v>
      </c>
      <c r="I25" s="177"/>
      <c r="J25" s="177"/>
      <c r="M25" s="187" t="s">
        <v>6497</v>
      </c>
      <c r="N25" s="187" t="s">
        <v>6314</v>
      </c>
      <c r="O25" s="187" t="s">
        <v>6737</v>
      </c>
    </row>
    <row r="26" spans="1:15" s="164" customFormat="1" ht="22.5">
      <c r="A26" s="161"/>
      <c r="B26" s="165"/>
      <c r="C26" s="4" t="s">
        <v>272</v>
      </c>
      <c r="D26" s="170"/>
      <c r="E26" s="55" t="s">
        <v>6752</v>
      </c>
      <c r="F26" s="55" t="s">
        <v>6753</v>
      </c>
      <c r="G26" s="55" t="s">
        <v>6739</v>
      </c>
      <c r="H26" s="177" t="s">
        <v>271</v>
      </c>
      <c r="I26" s="177" t="s">
        <v>268</v>
      </c>
      <c r="J26" s="177" t="s">
        <v>269</v>
      </c>
      <c r="M26" s="55" t="s">
        <v>6752</v>
      </c>
      <c r="N26" s="55" t="s">
        <v>6753</v>
      </c>
      <c r="O26" s="55" t="s">
        <v>6739</v>
      </c>
    </row>
    <row r="27" spans="1:15" s="164" customFormat="1" ht="15">
      <c r="A27" s="166"/>
      <c r="B27" s="167"/>
      <c r="C27" s="4" t="s">
        <v>9</v>
      </c>
      <c r="D27" s="171"/>
      <c r="E27" s="74">
        <v>92.65</v>
      </c>
      <c r="F27" s="74">
        <v>82.5</v>
      </c>
      <c r="G27" s="74">
        <v>64.25</v>
      </c>
      <c r="H27" s="177">
        <f>MEDIAN(E27:G27)</f>
        <v>82.5</v>
      </c>
      <c r="I27" s="177">
        <f>H27*1.3</f>
        <v>107.25</v>
      </c>
      <c r="J27" s="177">
        <f>H27*0.7</f>
        <v>57.749999999999993</v>
      </c>
      <c r="M27" s="74">
        <v>92.65</v>
      </c>
      <c r="N27" s="74">
        <v>82.5</v>
      </c>
      <c r="O27" s="74">
        <v>64.25</v>
      </c>
    </row>
    <row r="28" spans="1:15" s="164" customFormat="1" ht="15">
      <c r="A28" s="166"/>
      <c r="B28" s="167"/>
      <c r="C28" s="4" t="s">
        <v>8</v>
      </c>
      <c r="D28" s="171"/>
      <c r="E28" s="55" t="s">
        <v>6498</v>
      </c>
      <c r="F28" s="55" t="s">
        <v>6316</v>
      </c>
      <c r="G28" s="55"/>
      <c r="H28" s="177"/>
      <c r="I28" s="177"/>
      <c r="J28" s="177"/>
      <c r="M28" s="55" t="s">
        <v>6498</v>
      </c>
      <c r="N28" s="55" t="s">
        <v>6316</v>
      </c>
      <c r="O28" s="55"/>
    </row>
    <row r="29" spans="1:15" s="164" customFormat="1" ht="15">
      <c r="A29" s="166"/>
      <c r="B29" s="167"/>
      <c r="C29" s="4" t="s">
        <v>7</v>
      </c>
      <c r="D29" s="171"/>
      <c r="E29" s="3" t="s">
        <v>6499</v>
      </c>
      <c r="F29" s="3" t="s">
        <v>6315</v>
      </c>
      <c r="G29" s="3" t="s">
        <v>6738</v>
      </c>
      <c r="H29" s="177"/>
      <c r="I29" s="177"/>
      <c r="J29" s="177"/>
      <c r="M29" s="3" t="s">
        <v>6499</v>
      </c>
      <c r="N29" s="3" t="s">
        <v>6315</v>
      </c>
      <c r="O29" s="3" t="s">
        <v>6738</v>
      </c>
    </row>
    <row r="30" spans="1:15" s="164" customFormat="1" ht="15">
      <c r="A30" s="168"/>
      <c r="B30" s="169"/>
      <c r="C30" s="4" t="s">
        <v>6</v>
      </c>
      <c r="D30" s="172"/>
      <c r="E30" s="2">
        <v>43208</v>
      </c>
      <c r="F30" s="2">
        <v>43860</v>
      </c>
      <c r="G30" s="2">
        <v>43860</v>
      </c>
      <c r="H30" s="177"/>
      <c r="I30" s="177"/>
      <c r="J30" s="177"/>
      <c r="M30" s="2">
        <v>43208</v>
      </c>
      <c r="N30" s="2">
        <v>43860</v>
      </c>
      <c r="O30" s="2">
        <v>43860</v>
      </c>
    </row>
    <row r="31" spans="1:15" s="163" customFormat="1" ht="11.25">
      <c r="A31" s="302"/>
      <c r="B31" s="309"/>
      <c r="C31" s="309"/>
      <c r="D31" s="309"/>
      <c r="E31" s="309"/>
      <c r="F31" s="309"/>
      <c r="G31" s="309"/>
      <c r="H31" s="176"/>
      <c r="I31" s="176"/>
      <c r="J31" s="176"/>
      <c r="M31" s="309"/>
      <c r="N31" s="309"/>
      <c r="O31" s="309"/>
    </row>
    <row r="32" spans="1:15" s="164" customFormat="1" ht="22.5">
      <c r="A32" s="183" t="s">
        <v>6516</v>
      </c>
      <c r="B32" s="184" t="s">
        <v>6518</v>
      </c>
      <c r="C32" s="185">
        <f>MIN(E34:G34)</f>
        <v>96.86</v>
      </c>
      <c r="D32" s="186" t="s">
        <v>90</v>
      </c>
      <c r="E32" s="187" t="s">
        <v>6740</v>
      </c>
      <c r="F32" s="187" t="s">
        <v>6314</v>
      </c>
      <c r="G32" s="187" t="s">
        <v>6737</v>
      </c>
      <c r="H32" s="177" t="s">
        <v>170</v>
      </c>
      <c r="I32" s="177"/>
      <c r="J32" s="177"/>
      <c r="M32" s="187" t="s">
        <v>6740</v>
      </c>
      <c r="N32" s="187" t="s">
        <v>6314</v>
      </c>
      <c r="O32" s="187" t="s">
        <v>6737</v>
      </c>
    </row>
    <row r="33" spans="1:15" s="164" customFormat="1" ht="22.5">
      <c r="A33" s="161"/>
      <c r="B33" s="165"/>
      <c r="C33" s="4" t="s">
        <v>272</v>
      </c>
      <c r="D33" s="170"/>
      <c r="E33" s="55" t="s">
        <v>6741</v>
      </c>
      <c r="F33" s="55" t="s">
        <v>6753</v>
      </c>
      <c r="G33" s="55" t="s">
        <v>6739</v>
      </c>
      <c r="H33" s="177" t="s">
        <v>271</v>
      </c>
      <c r="I33" s="177" t="s">
        <v>268</v>
      </c>
      <c r="J33" s="177" t="s">
        <v>269</v>
      </c>
      <c r="M33" s="55" t="s">
        <v>6741</v>
      </c>
      <c r="N33" s="55" t="s">
        <v>6753</v>
      </c>
      <c r="O33" s="55" t="s">
        <v>6739</v>
      </c>
    </row>
    <row r="34" spans="1:15" s="164" customFormat="1" ht="15">
      <c r="A34" s="166"/>
      <c r="B34" s="167"/>
      <c r="C34" s="4" t="s">
        <v>9</v>
      </c>
      <c r="D34" s="171"/>
      <c r="E34" s="74">
        <v>119</v>
      </c>
      <c r="F34" s="74">
        <v>98.89</v>
      </c>
      <c r="G34" s="74">
        <v>96.86</v>
      </c>
      <c r="H34" s="177">
        <f>MEDIAN(E34:G34)</f>
        <v>98.89</v>
      </c>
      <c r="I34" s="177">
        <f>H34*1.3</f>
        <v>128.55700000000002</v>
      </c>
      <c r="J34" s="177">
        <f>H34*0.7</f>
        <v>69.222999999999999</v>
      </c>
      <c r="M34" s="74">
        <v>119</v>
      </c>
      <c r="N34" s="74">
        <v>98.89</v>
      </c>
      <c r="O34" s="74">
        <v>96.86</v>
      </c>
    </row>
    <row r="35" spans="1:15" s="164" customFormat="1" ht="15">
      <c r="A35" s="166"/>
      <c r="B35" s="167"/>
      <c r="C35" s="4" t="s">
        <v>8</v>
      </c>
      <c r="D35" s="171"/>
      <c r="E35" s="55" t="s">
        <v>6742</v>
      </c>
      <c r="F35" s="55" t="s">
        <v>6316</v>
      </c>
      <c r="G35" s="55"/>
      <c r="H35" s="177"/>
      <c r="I35" s="177"/>
      <c r="J35" s="177"/>
      <c r="M35" s="55" t="s">
        <v>6742</v>
      </c>
      <c r="N35" s="55" t="s">
        <v>6316</v>
      </c>
      <c r="O35" s="55"/>
    </row>
    <row r="36" spans="1:15" s="164" customFormat="1" ht="15">
      <c r="A36" s="166"/>
      <c r="B36" s="167"/>
      <c r="C36" s="4" t="s">
        <v>7</v>
      </c>
      <c r="D36" s="171"/>
      <c r="E36" s="3" t="s">
        <v>6743</v>
      </c>
      <c r="F36" s="3" t="s">
        <v>6315</v>
      </c>
      <c r="G36" s="3" t="s">
        <v>6738</v>
      </c>
      <c r="H36" s="177"/>
      <c r="I36" s="177"/>
      <c r="J36" s="177"/>
      <c r="M36" s="3" t="s">
        <v>6743</v>
      </c>
      <c r="N36" s="3" t="s">
        <v>6315</v>
      </c>
      <c r="O36" s="3" t="s">
        <v>6738</v>
      </c>
    </row>
    <row r="37" spans="1:15" s="164" customFormat="1" ht="15">
      <c r="A37" s="168"/>
      <c r="B37" s="169"/>
      <c r="C37" s="4" t="s">
        <v>6</v>
      </c>
      <c r="D37" s="172"/>
      <c r="E37" s="2">
        <v>43860</v>
      </c>
      <c r="F37" s="2">
        <v>43860</v>
      </c>
      <c r="G37" s="2">
        <v>43860</v>
      </c>
      <c r="H37" s="177"/>
      <c r="I37" s="177"/>
      <c r="J37" s="177"/>
      <c r="M37" s="2">
        <v>43860</v>
      </c>
      <c r="N37" s="2">
        <v>43860</v>
      </c>
      <c r="O37" s="2">
        <v>43860</v>
      </c>
    </row>
    <row r="38" spans="1:15" s="163" customFormat="1" ht="11.25">
      <c r="A38" s="302"/>
      <c r="B38" s="309"/>
      <c r="C38" s="309"/>
      <c r="D38" s="309"/>
      <c r="E38" s="309"/>
      <c r="F38" s="309"/>
      <c r="G38" s="309"/>
      <c r="H38" s="176"/>
      <c r="I38" s="176"/>
      <c r="J38" s="176"/>
      <c r="M38" s="309"/>
      <c r="N38" s="309"/>
      <c r="O38" s="309"/>
    </row>
    <row r="39" spans="1:15" s="164" customFormat="1" ht="33.75">
      <c r="A39" s="183" t="s">
        <v>6517</v>
      </c>
      <c r="B39" s="184" t="s">
        <v>6501</v>
      </c>
      <c r="C39" s="185">
        <f>MIN(E41:G41)</f>
        <v>8047.9</v>
      </c>
      <c r="D39" s="186" t="s">
        <v>90</v>
      </c>
      <c r="E39" s="187" t="s">
        <v>6502</v>
      </c>
      <c r="F39" s="187" t="s">
        <v>6503</v>
      </c>
      <c r="G39" s="187" t="s">
        <v>6504</v>
      </c>
      <c r="H39" s="177" t="s">
        <v>170</v>
      </c>
      <c r="I39" s="177"/>
      <c r="J39" s="177"/>
      <c r="M39" s="187" t="s">
        <v>6502</v>
      </c>
      <c r="N39" s="187" t="s">
        <v>6503</v>
      </c>
      <c r="O39" s="187" t="s">
        <v>6504</v>
      </c>
    </row>
    <row r="40" spans="1:15" s="164" customFormat="1" ht="11.25">
      <c r="A40" s="161"/>
      <c r="B40" s="165"/>
      <c r="C40" s="4" t="s">
        <v>272</v>
      </c>
      <c r="D40" s="170"/>
      <c r="E40" s="55" t="s">
        <v>6505</v>
      </c>
      <c r="F40" s="55" t="s">
        <v>6506</v>
      </c>
      <c r="G40" s="55" t="s">
        <v>6507</v>
      </c>
      <c r="H40" s="177" t="s">
        <v>271</v>
      </c>
      <c r="I40" s="177" t="s">
        <v>268</v>
      </c>
      <c r="J40" s="177" t="s">
        <v>269</v>
      </c>
      <c r="M40" s="55" t="s">
        <v>6505</v>
      </c>
      <c r="N40" s="55" t="s">
        <v>6506</v>
      </c>
      <c r="O40" s="55" t="s">
        <v>6507</v>
      </c>
    </row>
    <row r="41" spans="1:15" s="164" customFormat="1" ht="15">
      <c r="A41" s="166"/>
      <c r="B41" s="167"/>
      <c r="C41" s="4" t="s">
        <v>9</v>
      </c>
      <c r="D41" s="349"/>
      <c r="E41" s="74">
        <f>7760.9+287</f>
        <v>8047.9</v>
      </c>
      <c r="F41" s="74">
        <v>8380</v>
      </c>
      <c r="G41" s="74">
        <v>9286</v>
      </c>
      <c r="H41" s="177">
        <f>MEDIAN(E41:G41)</f>
        <v>8380</v>
      </c>
      <c r="I41" s="177">
        <f>H41*1.3</f>
        <v>10894</v>
      </c>
      <c r="J41" s="177">
        <f>H41*0.7</f>
        <v>5866</v>
      </c>
      <c r="M41" s="74">
        <f>7760.9+287</f>
        <v>8047.9</v>
      </c>
      <c r="N41" s="74">
        <v>8380</v>
      </c>
      <c r="O41" s="74">
        <v>9286</v>
      </c>
    </row>
    <row r="42" spans="1:15" s="164" customFormat="1" ht="15">
      <c r="A42" s="166"/>
      <c r="B42" s="167"/>
      <c r="C42" s="4" t="s">
        <v>8</v>
      </c>
      <c r="D42" s="171"/>
      <c r="E42" s="55" t="s">
        <v>6508</v>
      </c>
      <c r="F42" s="55" t="s">
        <v>6509</v>
      </c>
      <c r="G42" s="55" t="s">
        <v>6510</v>
      </c>
      <c r="H42" s="177"/>
      <c r="I42" s="177"/>
      <c r="J42" s="177"/>
      <c r="M42" s="55" t="s">
        <v>6508</v>
      </c>
      <c r="N42" s="55" t="s">
        <v>6509</v>
      </c>
      <c r="O42" s="55" t="s">
        <v>6510</v>
      </c>
    </row>
    <row r="43" spans="1:15" s="164" customFormat="1" ht="15">
      <c r="A43" s="166"/>
      <c r="B43" s="167"/>
      <c r="C43" s="4" t="s">
        <v>7</v>
      </c>
      <c r="D43" s="171"/>
      <c r="E43" s="3" t="s">
        <v>6511</v>
      </c>
      <c r="F43" s="3" t="s">
        <v>6512</v>
      </c>
      <c r="G43" s="3" t="s">
        <v>6513</v>
      </c>
      <c r="H43" s="177"/>
      <c r="I43" s="177"/>
      <c r="J43" s="177"/>
      <c r="M43" s="3" t="s">
        <v>6511</v>
      </c>
      <c r="N43" s="3" t="s">
        <v>6512</v>
      </c>
      <c r="O43" s="3" t="s">
        <v>6513</v>
      </c>
    </row>
    <row r="44" spans="1:15" s="164" customFormat="1" ht="15">
      <c r="A44" s="168"/>
      <c r="B44" s="169"/>
      <c r="C44" s="4" t="s">
        <v>6</v>
      </c>
      <c r="D44" s="172"/>
      <c r="E44" s="2">
        <v>43756</v>
      </c>
      <c r="F44" s="2">
        <v>43750</v>
      </c>
      <c r="G44" s="2">
        <v>43754</v>
      </c>
      <c r="H44" s="177"/>
      <c r="I44" s="177"/>
      <c r="J44" s="177"/>
      <c r="M44" s="2">
        <v>43756</v>
      </c>
      <c r="N44" s="2">
        <v>43750</v>
      </c>
      <c r="O44" s="2">
        <v>43754</v>
      </c>
    </row>
    <row r="45" spans="1:15" s="163" customFormat="1" ht="11.25">
      <c r="A45" s="302"/>
      <c r="B45" s="309"/>
      <c r="C45" s="309"/>
      <c r="D45" s="309"/>
      <c r="E45" s="309"/>
      <c r="F45" s="309"/>
      <c r="G45" s="309"/>
      <c r="H45" s="176"/>
      <c r="I45" s="176"/>
      <c r="J45" s="176"/>
      <c r="M45" s="309"/>
      <c r="N45" s="309"/>
      <c r="O45" s="309"/>
    </row>
    <row r="46" spans="1:15" s="164" customFormat="1" ht="11.25">
      <c r="A46" s="183" t="s">
        <v>6489</v>
      </c>
      <c r="B46" s="184" t="s">
        <v>6526</v>
      </c>
      <c r="C46" s="185">
        <f>MIN(E48:G48)</f>
        <v>49.9</v>
      </c>
      <c r="D46" s="186" t="s">
        <v>90</v>
      </c>
      <c r="E46" s="187" t="s">
        <v>6527</v>
      </c>
      <c r="F46" s="187" t="s">
        <v>6711</v>
      </c>
      <c r="G46" s="187" t="s">
        <v>6715</v>
      </c>
      <c r="H46" s="177" t="s">
        <v>170</v>
      </c>
      <c r="I46" s="177"/>
      <c r="J46" s="177"/>
      <c r="M46" s="187" t="s">
        <v>6527</v>
      </c>
      <c r="N46" s="187" t="s">
        <v>6711</v>
      </c>
      <c r="O46" s="187" t="s">
        <v>6715</v>
      </c>
    </row>
    <row r="47" spans="1:15" s="164" customFormat="1" ht="22.5">
      <c r="A47" s="161"/>
      <c r="B47" s="165"/>
      <c r="C47" s="4" t="s">
        <v>272</v>
      </c>
      <c r="D47" s="170"/>
      <c r="E47" s="55" t="s">
        <v>6530</v>
      </c>
      <c r="F47" s="55" t="s">
        <v>6713</v>
      </c>
      <c r="G47" s="55" t="s">
        <v>6718</v>
      </c>
      <c r="H47" s="177" t="s">
        <v>271</v>
      </c>
      <c r="I47" s="177" t="s">
        <v>268</v>
      </c>
      <c r="J47" s="177" t="s">
        <v>269</v>
      </c>
      <c r="M47" s="55" t="s">
        <v>6530</v>
      </c>
      <c r="N47" s="55" t="s">
        <v>6713</v>
      </c>
      <c r="O47" s="55" t="s">
        <v>6718</v>
      </c>
    </row>
    <row r="48" spans="1:15" s="164" customFormat="1" ht="15">
      <c r="A48" s="166"/>
      <c r="B48" s="167"/>
      <c r="C48" s="4" t="s">
        <v>9</v>
      </c>
      <c r="D48" s="349"/>
      <c r="E48" s="74">
        <v>49.9</v>
      </c>
      <c r="F48" s="74">
        <v>58</v>
      </c>
      <c r="G48" s="74">
        <v>52.9</v>
      </c>
      <c r="H48" s="177">
        <f>MEDIAN(E48:G48)</f>
        <v>52.9</v>
      </c>
      <c r="I48" s="177">
        <f>H48*1.3</f>
        <v>68.77</v>
      </c>
      <c r="J48" s="177">
        <f>H48*0.7</f>
        <v>37.029999999999994</v>
      </c>
      <c r="M48" s="74">
        <v>49.9</v>
      </c>
      <c r="N48" s="74">
        <v>58</v>
      </c>
      <c r="O48" s="74">
        <v>52.9</v>
      </c>
    </row>
    <row r="49" spans="1:15" s="164" customFormat="1" ht="15">
      <c r="A49" s="166"/>
      <c r="B49" s="167"/>
      <c r="C49" s="4" t="s">
        <v>8</v>
      </c>
      <c r="D49" s="171"/>
      <c r="E49" s="55" t="s">
        <v>6528</v>
      </c>
      <c r="F49" s="55" t="s">
        <v>6714</v>
      </c>
      <c r="G49" s="55" t="s">
        <v>6716</v>
      </c>
      <c r="H49" s="177"/>
      <c r="I49" s="177"/>
      <c r="J49" s="177"/>
      <c r="M49" s="55" t="s">
        <v>6528</v>
      </c>
      <c r="N49" s="55" t="s">
        <v>6714</v>
      </c>
      <c r="O49" s="55" t="s">
        <v>6716</v>
      </c>
    </row>
    <row r="50" spans="1:15" s="164" customFormat="1" ht="15">
      <c r="A50" s="166"/>
      <c r="B50" s="167"/>
      <c r="C50" s="4" t="s">
        <v>7</v>
      </c>
      <c r="D50" s="171"/>
      <c r="E50" s="3" t="s">
        <v>6529</v>
      </c>
      <c r="F50" s="3" t="s">
        <v>6712</v>
      </c>
      <c r="G50" s="3" t="s">
        <v>6717</v>
      </c>
      <c r="H50" s="177"/>
      <c r="I50" s="177"/>
      <c r="J50" s="177"/>
      <c r="M50" s="3" t="s">
        <v>6529</v>
      </c>
      <c r="N50" s="3" t="s">
        <v>6712</v>
      </c>
      <c r="O50" s="3" t="s">
        <v>6717</v>
      </c>
    </row>
    <row r="51" spans="1:15" s="164" customFormat="1" ht="15">
      <c r="A51" s="168"/>
      <c r="B51" s="169"/>
      <c r="C51" s="4" t="s">
        <v>6</v>
      </c>
      <c r="D51" s="172"/>
      <c r="E51" s="2">
        <v>43860</v>
      </c>
      <c r="F51" s="2">
        <v>43860</v>
      </c>
      <c r="G51" s="2">
        <v>43860</v>
      </c>
      <c r="H51" s="177"/>
      <c r="I51" s="177"/>
      <c r="J51" s="177"/>
      <c r="M51" s="2">
        <v>43860</v>
      </c>
      <c r="N51" s="2">
        <v>43860</v>
      </c>
      <c r="O51" s="2">
        <v>43860</v>
      </c>
    </row>
    <row r="52" spans="1:15" s="163" customFormat="1" ht="11.25">
      <c r="A52" s="302"/>
      <c r="B52" s="309"/>
      <c r="C52" s="309"/>
      <c r="D52" s="309"/>
      <c r="E52" s="309"/>
      <c r="F52" s="309"/>
      <c r="G52" s="309"/>
      <c r="H52" s="176"/>
      <c r="I52" s="176"/>
      <c r="J52" s="176"/>
      <c r="M52" s="309"/>
      <c r="N52" s="309"/>
      <c r="O52" s="309"/>
    </row>
    <row r="53" spans="1:15" s="164" customFormat="1" ht="22.5">
      <c r="A53" s="183" t="s">
        <v>6610</v>
      </c>
      <c r="B53" s="184" t="s">
        <v>6744</v>
      </c>
      <c r="C53" s="185">
        <f>MIN(E55:G55)</f>
        <v>258.40499185079295</v>
      </c>
      <c r="D53" s="186" t="s">
        <v>90</v>
      </c>
      <c r="E53" s="187" t="s">
        <v>8403</v>
      </c>
      <c r="F53" s="187" t="s">
        <v>6754</v>
      </c>
      <c r="G53" s="187" t="s">
        <v>6768</v>
      </c>
      <c r="H53" s="177" t="s">
        <v>170</v>
      </c>
      <c r="I53" s="177"/>
      <c r="J53" s="177"/>
      <c r="M53" s="187" t="s">
        <v>8403</v>
      </c>
      <c r="N53" s="187" t="s">
        <v>6754</v>
      </c>
      <c r="O53" s="187" t="s">
        <v>6768</v>
      </c>
    </row>
    <row r="54" spans="1:15" s="164" customFormat="1" ht="11.25">
      <c r="A54" s="161"/>
      <c r="B54" s="165"/>
      <c r="C54" s="4" t="s">
        <v>272</v>
      </c>
      <c r="D54" s="170"/>
      <c r="E54" s="55" t="s">
        <v>8405</v>
      </c>
      <c r="F54" s="55" t="s">
        <v>6755</v>
      </c>
      <c r="G54" s="55" t="s">
        <v>6769</v>
      </c>
      <c r="H54" s="177" t="s">
        <v>271</v>
      </c>
      <c r="I54" s="177" t="s">
        <v>268</v>
      </c>
      <c r="J54" s="177" t="s">
        <v>269</v>
      </c>
      <c r="M54" s="55" t="s">
        <v>8405</v>
      </c>
      <c r="N54" s="55" t="s">
        <v>6755</v>
      </c>
      <c r="O54" s="55" t="s">
        <v>6769</v>
      </c>
    </row>
    <row r="55" spans="1:15" s="164" customFormat="1" ht="15">
      <c r="A55" s="166"/>
      <c r="B55" s="167"/>
      <c r="C55" s="4" t="s">
        <v>9</v>
      </c>
      <c r="D55" s="349"/>
      <c r="E55" s="74">
        <f>M55/'Reajustamento INCC'!$C$71</f>
        <v>258.40499185079295</v>
      </c>
      <c r="F55" s="74">
        <v>289</v>
      </c>
      <c r="G55" s="74">
        <f>O55/'Reajustamento INCC'!$C$63</f>
        <v>305.46237760954676</v>
      </c>
      <c r="H55" s="177">
        <f>MEDIAN(E55:G55)</f>
        <v>289</v>
      </c>
      <c r="I55" s="177">
        <f>H55*1.3</f>
        <v>375.7</v>
      </c>
      <c r="J55" s="177">
        <f>H55*0.7</f>
        <v>202.29999999999998</v>
      </c>
      <c r="M55" s="74">
        <v>261</v>
      </c>
      <c r="N55" s="74">
        <v>289</v>
      </c>
      <c r="O55" s="74">
        <v>307.47000000000003</v>
      </c>
    </row>
    <row r="56" spans="1:15" s="164" customFormat="1" ht="15">
      <c r="A56" s="166"/>
      <c r="B56" s="167"/>
      <c r="C56" s="4" t="s">
        <v>8</v>
      </c>
      <c r="D56" s="171"/>
      <c r="E56" s="55" t="s">
        <v>8406</v>
      </c>
      <c r="F56" s="55" t="s">
        <v>6757</v>
      </c>
      <c r="G56" s="55" t="s">
        <v>6770</v>
      </c>
      <c r="H56" s="177"/>
      <c r="I56" s="177"/>
      <c r="J56" s="177"/>
      <c r="M56" s="55" t="s">
        <v>8406</v>
      </c>
      <c r="N56" s="55" t="s">
        <v>6757</v>
      </c>
      <c r="O56" s="55" t="s">
        <v>6770</v>
      </c>
    </row>
    <row r="57" spans="1:15" s="164" customFormat="1" ht="15">
      <c r="A57" s="166"/>
      <c r="B57" s="167"/>
      <c r="C57" s="4" t="s">
        <v>7</v>
      </c>
      <c r="D57" s="171"/>
      <c r="E57" s="3" t="s">
        <v>8404</v>
      </c>
      <c r="F57" s="3" t="s">
        <v>6756</v>
      </c>
      <c r="G57" s="3" t="s">
        <v>6771</v>
      </c>
      <c r="H57" s="177"/>
      <c r="I57" s="177"/>
      <c r="J57" s="177"/>
      <c r="M57" s="3" t="s">
        <v>8404</v>
      </c>
      <c r="N57" s="3" t="s">
        <v>6756</v>
      </c>
      <c r="O57" s="3" t="s">
        <v>6771</v>
      </c>
    </row>
    <row r="58" spans="1:15" s="164" customFormat="1" ht="15">
      <c r="A58" s="168"/>
      <c r="B58" s="169"/>
      <c r="C58" s="4" t="s">
        <v>6</v>
      </c>
      <c r="D58" s="172"/>
      <c r="E58" s="2">
        <v>43831</v>
      </c>
      <c r="F58" s="2">
        <v>43860</v>
      </c>
      <c r="G58" s="2">
        <v>43831</v>
      </c>
      <c r="H58" s="177"/>
      <c r="I58" s="177"/>
      <c r="J58" s="177"/>
      <c r="M58" s="2">
        <v>43894</v>
      </c>
      <c r="N58" s="2">
        <v>43860</v>
      </c>
      <c r="O58" s="2">
        <v>43864</v>
      </c>
    </row>
    <row r="59" spans="1:15" s="163" customFormat="1" ht="11.25">
      <c r="A59" s="302"/>
      <c r="B59" s="309"/>
      <c r="C59" s="309"/>
      <c r="D59" s="309"/>
      <c r="E59" s="309"/>
      <c r="F59" s="309"/>
      <c r="G59" s="309"/>
      <c r="H59" s="176"/>
      <c r="I59" s="176"/>
      <c r="J59" s="176"/>
      <c r="M59" s="309"/>
      <c r="N59" s="309"/>
      <c r="O59" s="309"/>
    </row>
    <row r="60" spans="1:15" s="164" customFormat="1" ht="11.25">
      <c r="A60" s="183" t="s">
        <v>6611</v>
      </c>
      <c r="B60" s="184" t="s">
        <v>6612</v>
      </c>
      <c r="C60" s="185">
        <f>MIN(E62:G62)</f>
        <v>3462.1652485740451</v>
      </c>
      <c r="D60" s="186" t="s">
        <v>90</v>
      </c>
      <c r="E60" s="187" t="s">
        <v>6754</v>
      </c>
      <c r="F60" s="187" t="s">
        <v>6768</v>
      </c>
      <c r="G60" s="187" t="s">
        <v>8403</v>
      </c>
      <c r="H60" s="177" t="s">
        <v>170</v>
      </c>
      <c r="I60" s="177"/>
      <c r="J60" s="177"/>
      <c r="M60" s="187" t="s">
        <v>6754</v>
      </c>
      <c r="N60" s="187" t="s">
        <v>6768</v>
      </c>
      <c r="O60" s="187" t="s">
        <v>8403</v>
      </c>
    </row>
    <row r="61" spans="1:15" s="164" customFormat="1" ht="11.25">
      <c r="A61" s="161"/>
      <c r="B61" s="165"/>
      <c r="C61" s="4" t="s">
        <v>272</v>
      </c>
      <c r="D61" s="170"/>
      <c r="E61" s="55" t="s">
        <v>6755</v>
      </c>
      <c r="F61" s="55" t="s">
        <v>6769</v>
      </c>
      <c r="G61" s="55" t="s">
        <v>8405</v>
      </c>
      <c r="H61" s="177" t="s">
        <v>271</v>
      </c>
      <c r="I61" s="177" t="s">
        <v>268</v>
      </c>
      <c r="J61" s="177" t="s">
        <v>269</v>
      </c>
      <c r="M61" s="55" t="s">
        <v>6755</v>
      </c>
      <c r="N61" s="55" t="s">
        <v>6769</v>
      </c>
      <c r="O61" s="55" t="s">
        <v>8405</v>
      </c>
    </row>
    <row r="62" spans="1:15" s="164" customFormat="1" ht="15">
      <c r="A62" s="166"/>
      <c r="B62" s="167"/>
      <c r="C62" s="4" t="s">
        <v>9</v>
      </c>
      <c r="D62" s="349"/>
      <c r="E62" s="74">
        <v>4290</v>
      </c>
      <c r="F62" s="74">
        <f>N62/'Reajustamento INCC'!$C$63</f>
        <v>3462.1652485740451</v>
      </c>
      <c r="G62" s="74">
        <f>O62/'Reajustamento INCC'!$C$71</f>
        <v>3878.0549926419772</v>
      </c>
      <c r="H62" s="177">
        <f>MEDIAN(E62:G62)</f>
        <v>3878.0549926419772</v>
      </c>
      <c r="I62" s="177">
        <f>H62*1.3</f>
        <v>5041.4714904345701</v>
      </c>
      <c r="J62" s="177">
        <f>H62*0.7</f>
        <v>2714.6384948493837</v>
      </c>
      <c r="M62" s="74">
        <v>4290</v>
      </c>
      <c r="N62" s="74">
        <f>1494.92+1990</f>
        <v>3484.92</v>
      </c>
      <c r="O62" s="74">
        <v>3917</v>
      </c>
    </row>
    <row r="63" spans="1:15" s="164" customFormat="1" ht="15">
      <c r="A63" s="166"/>
      <c r="B63" s="167"/>
      <c r="C63" s="4" t="s">
        <v>8</v>
      </c>
      <c r="D63" s="171"/>
      <c r="E63" s="55" t="s">
        <v>6757</v>
      </c>
      <c r="F63" s="55" t="s">
        <v>6770</v>
      </c>
      <c r="G63" s="55" t="s">
        <v>8406</v>
      </c>
      <c r="H63" s="177"/>
      <c r="I63" s="177"/>
      <c r="J63" s="177"/>
      <c r="M63" s="55" t="s">
        <v>6757</v>
      </c>
      <c r="N63" s="55" t="s">
        <v>6770</v>
      </c>
      <c r="O63" s="55" t="s">
        <v>8406</v>
      </c>
    </row>
    <row r="64" spans="1:15" s="164" customFormat="1" ht="15">
      <c r="A64" s="166"/>
      <c r="B64" s="167"/>
      <c r="C64" s="4" t="s">
        <v>7</v>
      </c>
      <c r="D64" s="171"/>
      <c r="E64" s="3" t="s">
        <v>6756</v>
      </c>
      <c r="F64" s="3" t="s">
        <v>6771</v>
      </c>
      <c r="G64" s="3" t="s">
        <v>8404</v>
      </c>
      <c r="H64" s="177"/>
      <c r="I64" s="177"/>
      <c r="J64" s="177"/>
      <c r="M64" s="3" t="s">
        <v>6756</v>
      </c>
      <c r="N64" s="3" t="s">
        <v>6771</v>
      </c>
      <c r="O64" s="3" t="s">
        <v>8404</v>
      </c>
    </row>
    <row r="65" spans="1:15" s="164" customFormat="1" ht="15">
      <c r="A65" s="168"/>
      <c r="B65" s="169"/>
      <c r="C65" s="4" t="s">
        <v>6</v>
      </c>
      <c r="D65" s="172"/>
      <c r="E65" s="2">
        <v>43860</v>
      </c>
      <c r="F65" s="2">
        <v>43860</v>
      </c>
      <c r="G65" s="2">
        <v>43860</v>
      </c>
      <c r="H65" s="177"/>
      <c r="I65" s="177"/>
      <c r="J65" s="177"/>
      <c r="M65" s="2">
        <v>43860</v>
      </c>
      <c r="N65" s="2">
        <v>43864</v>
      </c>
      <c r="O65" s="2">
        <v>43894</v>
      </c>
    </row>
    <row r="66" spans="1:15" s="163" customFormat="1" ht="11.25">
      <c r="A66" s="302"/>
      <c r="B66" s="309"/>
      <c r="C66" s="309"/>
      <c r="D66" s="309"/>
      <c r="E66" s="309"/>
      <c r="F66" s="309"/>
      <c r="G66" s="309"/>
      <c r="H66" s="176"/>
      <c r="I66" s="176"/>
      <c r="J66" s="176"/>
      <c r="M66" s="309"/>
      <c r="N66" s="309"/>
      <c r="O66" s="309"/>
    </row>
    <row r="67" spans="1:15" s="164" customFormat="1" ht="11.25">
      <c r="A67" s="183" t="s">
        <v>6622</v>
      </c>
      <c r="B67" s="184" t="s">
        <v>6719</v>
      </c>
      <c r="C67" s="185">
        <f>MIN(E69:G69)</f>
        <v>0.65236000000000005</v>
      </c>
      <c r="D67" s="186" t="s">
        <v>90</v>
      </c>
      <c r="E67" s="187" t="s">
        <v>6720</v>
      </c>
      <c r="F67" s="187" t="s">
        <v>6724</v>
      </c>
      <c r="G67" s="187" t="s">
        <v>6311</v>
      </c>
      <c r="H67" s="177" t="s">
        <v>170</v>
      </c>
      <c r="I67" s="177"/>
      <c r="J67" s="177"/>
      <c r="M67" s="187" t="s">
        <v>6720</v>
      </c>
      <c r="N67" s="187" t="s">
        <v>6724</v>
      </c>
      <c r="O67" s="187" t="s">
        <v>6311</v>
      </c>
    </row>
    <row r="68" spans="1:15" s="164" customFormat="1" ht="22.5">
      <c r="A68" s="161"/>
      <c r="B68" s="165"/>
      <c r="C68" s="4" t="s">
        <v>272</v>
      </c>
      <c r="D68" s="170"/>
      <c r="E68" s="55" t="s">
        <v>6721</v>
      </c>
      <c r="F68" s="55" t="s">
        <v>6725</v>
      </c>
      <c r="G68" s="55" t="s">
        <v>6313</v>
      </c>
      <c r="H68" s="177" t="s">
        <v>271</v>
      </c>
      <c r="I68" s="177" t="s">
        <v>268</v>
      </c>
      <c r="J68" s="177" t="s">
        <v>269</v>
      </c>
      <c r="M68" s="55" t="s">
        <v>6721</v>
      </c>
      <c r="N68" s="55" t="s">
        <v>6725</v>
      </c>
      <c r="O68" s="55" t="s">
        <v>6313</v>
      </c>
    </row>
    <row r="69" spans="1:15" s="164" customFormat="1" ht="15">
      <c r="A69" s="166"/>
      <c r="B69" s="167"/>
      <c r="C69" s="4" t="s">
        <v>9</v>
      </c>
      <c r="D69" s="349"/>
      <c r="E69" s="74">
        <f>163.09/250</f>
        <v>0.65236000000000005</v>
      </c>
      <c r="F69" s="74">
        <f>67.65/50</f>
        <v>1.3530000000000002</v>
      </c>
      <c r="G69" s="74">
        <f>67.65/50</f>
        <v>1.3530000000000002</v>
      </c>
      <c r="H69" s="177">
        <f>MEDIAN(E69:G69)</f>
        <v>1.3530000000000002</v>
      </c>
      <c r="I69" s="177">
        <f>H69*1.3</f>
        <v>1.7589000000000004</v>
      </c>
      <c r="J69" s="177">
        <f>H69*0.7</f>
        <v>0.94710000000000005</v>
      </c>
      <c r="M69" s="74">
        <f>163.09/250</f>
        <v>0.65236000000000005</v>
      </c>
      <c r="N69" s="74">
        <f>67.65/50</f>
        <v>1.3530000000000002</v>
      </c>
      <c r="O69" s="74">
        <f>67.65/50</f>
        <v>1.3530000000000002</v>
      </c>
    </row>
    <row r="70" spans="1:15" s="164" customFormat="1" ht="15">
      <c r="A70" s="166"/>
      <c r="B70" s="167"/>
      <c r="C70" s="4" t="s">
        <v>8</v>
      </c>
      <c r="D70" s="171"/>
      <c r="E70" s="55" t="s">
        <v>6723</v>
      </c>
      <c r="F70" s="55" t="s">
        <v>91</v>
      </c>
      <c r="G70" s="55" t="s">
        <v>91</v>
      </c>
      <c r="H70" s="177"/>
      <c r="I70" s="177"/>
      <c r="J70" s="177"/>
      <c r="M70" s="55" t="s">
        <v>6723</v>
      </c>
      <c r="N70" s="55" t="s">
        <v>91</v>
      </c>
      <c r="O70" s="55" t="s">
        <v>91</v>
      </c>
    </row>
    <row r="71" spans="1:15" s="164" customFormat="1" ht="15">
      <c r="A71" s="166"/>
      <c r="B71" s="167"/>
      <c r="C71" s="4" t="s">
        <v>7</v>
      </c>
      <c r="D71" s="171"/>
      <c r="E71" s="3" t="s">
        <v>6722</v>
      </c>
      <c r="F71" s="3" t="s">
        <v>6726</v>
      </c>
      <c r="G71" s="3" t="s">
        <v>6312</v>
      </c>
      <c r="H71" s="177"/>
      <c r="I71" s="177"/>
      <c r="J71" s="177"/>
      <c r="M71" s="3" t="s">
        <v>6722</v>
      </c>
      <c r="N71" s="3" t="s">
        <v>6726</v>
      </c>
      <c r="O71" s="3" t="s">
        <v>6312</v>
      </c>
    </row>
    <row r="72" spans="1:15" s="164" customFormat="1" ht="15">
      <c r="A72" s="168"/>
      <c r="B72" s="169"/>
      <c r="C72" s="4" t="s">
        <v>6</v>
      </c>
      <c r="D72" s="172"/>
      <c r="E72" s="2">
        <v>43860</v>
      </c>
      <c r="F72" s="2">
        <v>43860</v>
      </c>
      <c r="G72" s="2">
        <v>43860</v>
      </c>
      <c r="H72" s="177"/>
      <c r="I72" s="177"/>
      <c r="J72" s="177"/>
      <c r="M72" s="2">
        <v>43860</v>
      </c>
      <c r="N72" s="2">
        <v>43860</v>
      </c>
      <c r="O72" s="2">
        <v>43860</v>
      </c>
    </row>
    <row r="73" spans="1:15" s="163" customFormat="1" ht="11.25">
      <c r="A73" s="302"/>
      <c r="B73" s="309"/>
      <c r="C73" s="309"/>
      <c r="D73" s="309"/>
      <c r="E73" s="309"/>
      <c r="F73" s="309"/>
      <c r="G73" s="309"/>
      <c r="H73" s="176"/>
      <c r="I73" s="176"/>
      <c r="J73" s="176"/>
      <c r="M73" s="309"/>
      <c r="N73" s="309"/>
      <c r="O73" s="309"/>
    </row>
    <row r="74" spans="1:15" s="164" customFormat="1" ht="22.5">
      <c r="A74" s="183" t="s">
        <v>6623</v>
      </c>
      <c r="B74" s="184" t="s">
        <v>6624</v>
      </c>
      <c r="C74" s="185">
        <f>MIN(E76:G76)</f>
        <v>38.781999999999996</v>
      </c>
      <c r="D74" s="186" t="s">
        <v>90</v>
      </c>
      <c r="E74" s="187" t="s">
        <v>6720</v>
      </c>
      <c r="F74" s="187" t="s">
        <v>6334</v>
      </c>
      <c r="G74" s="187" t="s">
        <v>6724</v>
      </c>
      <c r="H74" s="177" t="s">
        <v>170</v>
      </c>
      <c r="I74" s="177"/>
      <c r="J74" s="177"/>
      <c r="M74" s="187" t="s">
        <v>6720</v>
      </c>
      <c r="N74" s="187" t="s">
        <v>6334</v>
      </c>
      <c r="O74" s="187" t="s">
        <v>6724</v>
      </c>
    </row>
    <row r="75" spans="1:15" s="164" customFormat="1" ht="33.75">
      <c r="A75" s="161"/>
      <c r="B75" s="165"/>
      <c r="C75" s="4" t="s">
        <v>272</v>
      </c>
      <c r="D75" s="170"/>
      <c r="E75" s="55" t="s">
        <v>6721</v>
      </c>
      <c r="F75" s="55" t="s">
        <v>6729</v>
      </c>
      <c r="G75" s="55" t="s">
        <v>6725</v>
      </c>
      <c r="H75" s="177" t="s">
        <v>271</v>
      </c>
      <c r="I75" s="177" t="s">
        <v>268</v>
      </c>
      <c r="J75" s="177" t="s">
        <v>269</v>
      </c>
      <c r="M75" s="55" t="s">
        <v>6721</v>
      </c>
      <c r="N75" s="55" t="s">
        <v>6729</v>
      </c>
      <c r="O75" s="55" t="s">
        <v>6725</v>
      </c>
    </row>
    <row r="76" spans="1:15" s="164" customFormat="1" ht="15">
      <c r="A76" s="166"/>
      <c r="B76" s="167"/>
      <c r="C76" s="4" t="s">
        <v>9</v>
      </c>
      <c r="D76" s="349"/>
      <c r="E76" s="74">
        <f>193.91/5</f>
        <v>38.781999999999996</v>
      </c>
      <c r="F76" s="74">
        <v>46.56</v>
      </c>
      <c r="G76" s="74">
        <v>55.9</v>
      </c>
      <c r="H76" s="177">
        <f>MEDIAN(E76:G76)</f>
        <v>46.56</v>
      </c>
      <c r="I76" s="177">
        <f>H76*1.3</f>
        <v>60.528000000000006</v>
      </c>
      <c r="J76" s="177">
        <f>H76*0.7</f>
        <v>32.591999999999999</v>
      </c>
      <c r="M76" s="74">
        <f>193.91/5</f>
        <v>38.781999999999996</v>
      </c>
      <c r="N76" s="74">
        <v>46.56</v>
      </c>
      <c r="O76" s="74">
        <v>55.9</v>
      </c>
    </row>
    <row r="77" spans="1:15" s="164" customFormat="1" ht="15">
      <c r="A77" s="166"/>
      <c r="B77" s="167"/>
      <c r="C77" s="4" t="s">
        <v>8</v>
      </c>
      <c r="D77" s="171"/>
      <c r="E77" s="55" t="s">
        <v>6723</v>
      </c>
      <c r="F77" s="55" t="s">
        <v>6728</v>
      </c>
      <c r="G77" s="55" t="s">
        <v>91</v>
      </c>
      <c r="H77" s="177"/>
      <c r="I77" s="177"/>
      <c r="J77" s="177"/>
      <c r="M77" s="55" t="s">
        <v>6723</v>
      </c>
      <c r="N77" s="55" t="s">
        <v>6728</v>
      </c>
      <c r="O77" s="55" t="s">
        <v>91</v>
      </c>
    </row>
    <row r="78" spans="1:15" s="164" customFormat="1" ht="15">
      <c r="A78" s="166"/>
      <c r="B78" s="167"/>
      <c r="C78" s="4" t="s">
        <v>7</v>
      </c>
      <c r="D78" s="171"/>
      <c r="E78" s="3" t="s">
        <v>6722</v>
      </c>
      <c r="F78" s="3" t="s">
        <v>6727</v>
      </c>
      <c r="G78" s="3" t="s">
        <v>6726</v>
      </c>
      <c r="H78" s="177"/>
      <c r="I78" s="177"/>
      <c r="J78" s="177"/>
      <c r="M78" s="3" t="s">
        <v>6722</v>
      </c>
      <c r="N78" s="3" t="s">
        <v>6727</v>
      </c>
      <c r="O78" s="3" t="s">
        <v>6726</v>
      </c>
    </row>
    <row r="79" spans="1:15" s="164" customFormat="1" ht="15">
      <c r="A79" s="168"/>
      <c r="B79" s="169"/>
      <c r="C79" s="4" t="s">
        <v>6</v>
      </c>
      <c r="D79" s="172"/>
      <c r="E79" s="2">
        <v>43860</v>
      </c>
      <c r="F79" s="2">
        <v>43860</v>
      </c>
      <c r="G79" s="2">
        <v>43860</v>
      </c>
      <c r="H79" s="177"/>
      <c r="I79" s="177"/>
      <c r="J79" s="177"/>
      <c r="M79" s="2">
        <v>43860</v>
      </c>
      <c r="N79" s="2">
        <v>43860</v>
      </c>
      <c r="O79" s="2">
        <v>43860</v>
      </c>
    </row>
    <row r="80" spans="1:15" s="163" customFormat="1" ht="11.25">
      <c r="A80" s="302"/>
      <c r="B80" s="309"/>
      <c r="C80" s="309"/>
      <c r="D80" s="309"/>
      <c r="E80" s="309"/>
      <c r="F80" s="309"/>
      <c r="G80" s="309"/>
      <c r="H80" s="176"/>
      <c r="I80" s="176"/>
      <c r="J80" s="176"/>
      <c r="M80" s="309"/>
      <c r="N80" s="309"/>
      <c r="O80" s="309"/>
    </row>
    <row r="81" spans="1:15" s="164" customFormat="1" ht="11.25">
      <c r="A81" s="183" t="s">
        <v>6625</v>
      </c>
      <c r="B81" s="184" t="s">
        <v>6627</v>
      </c>
      <c r="C81" s="185">
        <f>MIN(E83:G83)</f>
        <v>0.4622</v>
      </c>
      <c r="D81" s="186" t="s">
        <v>90</v>
      </c>
      <c r="E81" s="187" t="s">
        <v>6720</v>
      </c>
      <c r="F81" s="187" t="s">
        <v>6730</v>
      </c>
      <c r="G81" s="187" t="s">
        <v>5075</v>
      </c>
      <c r="H81" s="177" t="s">
        <v>170</v>
      </c>
      <c r="I81" s="177"/>
      <c r="J81" s="177"/>
      <c r="M81" s="187" t="s">
        <v>6720</v>
      </c>
      <c r="N81" s="187" t="s">
        <v>6730</v>
      </c>
      <c r="O81" s="187" t="s">
        <v>5075</v>
      </c>
    </row>
    <row r="82" spans="1:15" s="164" customFormat="1" ht="22.5">
      <c r="A82" s="161"/>
      <c r="B82" s="165"/>
      <c r="C82" s="4" t="s">
        <v>272</v>
      </c>
      <c r="D82" s="170"/>
      <c r="E82" s="55" t="s">
        <v>6721</v>
      </c>
      <c r="F82" s="55" t="s">
        <v>6733</v>
      </c>
      <c r="G82" s="55" t="s">
        <v>5078</v>
      </c>
      <c r="H82" s="177" t="s">
        <v>271</v>
      </c>
      <c r="I82" s="177" t="s">
        <v>268</v>
      </c>
      <c r="J82" s="177" t="s">
        <v>269</v>
      </c>
      <c r="M82" s="55" t="s">
        <v>6721</v>
      </c>
      <c r="N82" s="55" t="s">
        <v>6733</v>
      </c>
      <c r="O82" s="55" t="s">
        <v>5078</v>
      </c>
    </row>
    <row r="83" spans="1:15" s="164" customFormat="1" ht="15">
      <c r="A83" s="166"/>
      <c r="B83" s="167"/>
      <c r="C83" s="4" t="s">
        <v>9</v>
      </c>
      <c r="D83" s="349"/>
      <c r="E83" s="74">
        <f>104.08/100</f>
        <v>1.0407999999999999</v>
      </c>
      <c r="F83" s="74">
        <f>46.22/100</f>
        <v>0.4622</v>
      </c>
      <c r="G83" s="74">
        <f>213.9/200</f>
        <v>1.0695000000000001</v>
      </c>
      <c r="H83" s="177">
        <f>MEDIAN(E83:G83)</f>
        <v>1.0407999999999999</v>
      </c>
      <c r="I83" s="177">
        <f>H83*1.3</f>
        <v>1.35304</v>
      </c>
      <c r="J83" s="177">
        <f>H83*0.7</f>
        <v>0.72855999999999987</v>
      </c>
      <c r="M83" s="74">
        <f>104.08/100</f>
        <v>1.0407999999999999</v>
      </c>
      <c r="N83" s="74">
        <f>46.22/100</f>
        <v>0.4622</v>
      </c>
      <c r="O83" s="74">
        <f>213.9/200</f>
        <v>1.0695000000000001</v>
      </c>
    </row>
    <row r="84" spans="1:15" s="164" customFormat="1" ht="15">
      <c r="A84" s="166"/>
      <c r="B84" s="167"/>
      <c r="C84" s="4" t="s">
        <v>8</v>
      </c>
      <c r="D84" s="171"/>
      <c r="E84" s="55" t="s">
        <v>6723</v>
      </c>
      <c r="F84" s="55" t="s">
        <v>6731</v>
      </c>
      <c r="G84" s="55" t="s">
        <v>5076</v>
      </c>
      <c r="H84" s="177"/>
      <c r="I84" s="177"/>
      <c r="J84" s="177"/>
      <c r="M84" s="55" t="s">
        <v>6723</v>
      </c>
      <c r="N84" s="55" t="s">
        <v>6731</v>
      </c>
      <c r="O84" s="55" t="s">
        <v>5076</v>
      </c>
    </row>
    <row r="85" spans="1:15" s="164" customFormat="1" ht="15">
      <c r="A85" s="166"/>
      <c r="B85" s="167"/>
      <c r="C85" s="4" t="s">
        <v>7</v>
      </c>
      <c r="D85" s="171"/>
      <c r="E85" s="3" t="s">
        <v>6722</v>
      </c>
      <c r="F85" s="3" t="s">
        <v>6732</v>
      </c>
      <c r="G85" s="3" t="s">
        <v>5077</v>
      </c>
      <c r="H85" s="177"/>
      <c r="I85" s="177"/>
      <c r="J85" s="177"/>
      <c r="M85" s="3" t="s">
        <v>6722</v>
      </c>
      <c r="N85" s="3" t="s">
        <v>6732</v>
      </c>
      <c r="O85" s="3" t="s">
        <v>5077</v>
      </c>
    </row>
    <row r="86" spans="1:15" s="164" customFormat="1" ht="15">
      <c r="A86" s="168"/>
      <c r="B86" s="169"/>
      <c r="C86" s="4" t="s">
        <v>6</v>
      </c>
      <c r="D86" s="172"/>
      <c r="E86" s="2">
        <v>43860</v>
      </c>
      <c r="F86" s="2">
        <v>43860</v>
      </c>
      <c r="G86" s="2">
        <v>43860</v>
      </c>
      <c r="H86" s="177"/>
      <c r="I86" s="177"/>
      <c r="J86" s="177"/>
      <c r="M86" s="2">
        <v>43860</v>
      </c>
      <c r="N86" s="2">
        <v>43860</v>
      </c>
      <c r="O86" s="2">
        <v>43860</v>
      </c>
    </row>
    <row r="87" spans="1:15" s="163" customFormat="1" ht="11.25">
      <c r="A87" s="302"/>
      <c r="B87" s="309"/>
      <c r="C87" s="309"/>
      <c r="D87" s="309"/>
      <c r="E87" s="309"/>
      <c r="F87" s="309"/>
      <c r="G87" s="309"/>
      <c r="H87" s="176"/>
      <c r="I87" s="176"/>
      <c r="J87" s="176"/>
      <c r="M87" s="309"/>
      <c r="N87" s="309"/>
      <c r="O87" s="309"/>
    </row>
    <row r="88" spans="1:15" s="164" customFormat="1" ht="22.5">
      <c r="A88" s="183" t="s">
        <v>6626</v>
      </c>
      <c r="B88" s="184" t="s">
        <v>6621</v>
      </c>
      <c r="C88" s="185">
        <f>MIN(E90:G90)</f>
        <v>31.12</v>
      </c>
      <c r="D88" s="186" t="s">
        <v>89</v>
      </c>
      <c r="E88" s="187" t="s">
        <v>6311</v>
      </c>
      <c r="F88" s="187" t="s">
        <v>6734</v>
      </c>
      <c r="G88" s="187" t="s">
        <v>6724</v>
      </c>
      <c r="H88" s="177" t="s">
        <v>170</v>
      </c>
      <c r="I88" s="177"/>
      <c r="J88" s="177"/>
      <c r="M88" s="187" t="s">
        <v>6311</v>
      </c>
      <c r="N88" s="187" t="s">
        <v>6734</v>
      </c>
      <c r="O88" s="187" t="s">
        <v>6724</v>
      </c>
    </row>
    <row r="89" spans="1:15" s="164" customFormat="1" ht="22.5">
      <c r="A89" s="161"/>
      <c r="B89" s="165"/>
      <c r="C89" s="4" t="s">
        <v>272</v>
      </c>
      <c r="D89" s="170"/>
      <c r="E89" s="55" t="s">
        <v>6313</v>
      </c>
      <c r="F89" s="55" t="s">
        <v>6758</v>
      </c>
      <c r="G89" s="55" t="s">
        <v>6725</v>
      </c>
      <c r="H89" s="177" t="s">
        <v>271</v>
      </c>
      <c r="I89" s="177" t="s">
        <v>268</v>
      </c>
      <c r="J89" s="177" t="s">
        <v>269</v>
      </c>
      <c r="M89" s="55" t="s">
        <v>6313</v>
      </c>
      <c r="N89" s="55" t="s">
        <v>6758</v>
      </c>
      <c r="O89" s="55" t="s">
        <v>6725</v>
      </c>
    </row>
    <row r="90" spans="1:15" s="164" customFormat="1" ht="15">
      <c r="A90" s="166"/>
      <c r="B90" s="167"/>
      <c r="C90" s="4" t="s">
        <v>9</v>
      </c>
      <c r="D90" s="349"/>
      <c r="E90" s="74">
        <v>31.12</v>
      </c>
      <c r="F90" s="74">
        <v>31.12</v>
      </c>
      <c r="G90" s="74">
        <v>31.12</v>
      </c>
      <c r="H90" s="177">
        <f>MEDIAN(E90:G90)</f>
        <v>31.12</v>
      </c>
      <c r="I90" s="177">
        <f>H90*1.3</f>
        <v>40.456000000000003</v>
      </c>
      <c r="J90" s="177">
        <f>H90*0.7</f>
        <v>21.783999999999999</v>
      </c>
      <c r="M90" s="74">
        <v>31.12</v>
      </c>
      <c r="N90" s="74">
        <v>31.12</v>
      </c>
      <c r="O90" s="74">
        <v>31.12</v>
      </c>
    </row>
    <row r="91" spans="1:15" s="164" customFormat="1" ht="15">
      <c r="A91" s="166"/>
      <c r="B91" s="167"/>
      <c r="C91" s="4" t="s">
        <v>8</v>
      </c>
      <c r="D91" s="171"/>
      <c r="E91" s="55" t="s">
        <v>91</v>
      </c>
      <c r="F91" s="55" t="s">
        <v>6735</v>
      </c>
      <c r="G91" s="55" t="s">
        <v>91</v>
      </c>
      <c r="H91" s="177"/>
      <c r="I91" s="177"/>
      <c r="J91" s="177"/>
      <c r="M91" s="55" t="s">
        <v>91</v>
      </c>
      <c r="N91" s="55" t="s">
        <v>6735</v>
      </c>
      <c r="O91" s="55" t="s">
        <v>91</v>
      </c>
    </row>
    <row r="92" spans="1:15" s="164" customFormat="1" ht="15">
      <c r="A92" s="166"/>
      <c r="B92" s="167"/>
      <c r="C92" s="4" t="s">
        <v>7</v>
      </c>
      <c r="D92" s="171"/>
      <c r="E92" s="3" t="s">
        <v>6312</v>
      </c>
      <c r="F92" s="3" t="s">
        <v>6736</v>
      </c>
      <c r="G92" s="3" t="s">
        <v>6726</v>
      </c>
      <c r="H92" s="177"/>
      <c r="I92" s="177"/>
      <c r="J92" s="177"/>
      <c r="M92" s="3" t="s">
        <v>6312</v>
      </c>
      <c r="N92" s="3" t="s">
        <v>6736</v>
      </c>
      <c r="O92" s="3" t="s">
        <v>6726</v>
      </c>
    </row>
    <row r="93" spans="1:15" s="164" customFormat="1" ht="15">
      <c r="A93" s="168"/>
      <c r="B93" s="169"/>
      <c r="C93" s="4" t="s">
        <v>6</v>
      </c>
      <c r="D93" s="172"/>
      <c r="E93" s="2">
        <v>43860</v>
      </c>
      <c r="F93" s="2">
        <v>43860</v>
      </c>
      <c r="G93" s="2">
        <v>43860</v>
      </c>
      <c r="H93" s="177"/>
      <c r="I93" s="177"/>
      <c r="J93" s="177"/>
      <c r="M93" s="2">
        <v>43860</v>
      </c>
      <c r="N93" s="2">
        <v>43860</v>
      </c>
      <c r="O93" s="2">
        <v>43860</v>
      </c>
    </row>
    <row r="94" spans="1:15" s="163" customFormat="1" ht="11.25">
      <c r="A94" s="302"/>
      <c r="B94" s="309"/>
      <c r="C94" s="309"/>
      <c r="D94" s="309"/>
      <c r="E94" s="309"/>
      <c r="F94" s="309"/>
      <c r="G94" s="309"/>
      <c r="H94" s="176"/>
      <c r="I94" s="176"/>
      <c r="J94" s="176"/>
      <c r="M94" s="309"/>
      <c r="N94" s="309"/>
      <c r="O94" s="309"/>
    </row>
    <row r="95" spans="1:15" s="164" customFormat="1" ht="11.25">
      <c r="A95" s="183" t="s">
        <v>6628</v>
      </c>
      <c r="B95" s="184" t="s">
        <v>6833</v>
      </c>
      <c r="C95" s="185">
        <f>MIN(E97:G97)</f>
        <v>49.673525483713327</v>
      </c>
      <c r="D95" s="186" t="s">
        <v>90</v>
      </c>
      <c r="E95" s="187" t="s">
        <v>6724</v>
      </c>
      <c r="F95" s="187" t="s">
        <v>6834</v>
      </c>
      <c r="G95" s="187" t="s">
        <v>6837</v>
      </c>
      <c r="H95" s="177" t="s">
        <v>170</v>
      </c>
      <c r="I95" s="177"/>
      <c r="J95" s="177"/>
      <c r="M95" s="187" t="s">
        <v>6724</v>
      </c>
      <c r="N95" s="187" t="s">
        <v>6834</v>
      </c>
      <c r="O95" s="187" t="s">
        <v>6837</v>
      </c>
    </row>
    <row r="96" spans="1:15" s="164" customFormat="1" ht="22.5">
      <c r="A96" s="161"/>
      <c r="B96" s="165"/>
      <c r="C96" s="4" t="s">
        <v>272</v>
      </c>
      <c r="D96" s="170"/>
      <c r="E96" s="55" t="s">
        <v>6725</v>
      </c>
      <c r="F96" s="55" t="s">
        <v>6836</v>
      </c>
      <c r="G96" s="55" t="s">
        <v>6839</v>
      </c>
      <c r="H96" s="177" t="s">
        <v>271</v>
      </c>
      <c r="I96" s="177" t="s">
        <v>268</v>
      </c>
      <c r="J96" s="177" t="s">
        <v>269</v>
      </c>
      <c r="M96" s="55" t="s">
        <v>6725</v>
      </c>
      <c r="N96" s="55" t="s">
        <v>6836</v>
      </c>
      <c r="O96" s="55" t="s">
        <v>6839</v>
      </c>
    </row>
    <row r="97" spans="1:15" s="164" customFormat="1" ht="15">
      <c r="A97" s="166"/>
      <c r="B97" s="167"/>
      <c r="C97" s="4" t="s">
        <v>9</v>
      </c>
      <c r="D97" s="349"/>
      <c r="E97" s="74">
        <f>M97/'Reajustamento INCC'!$C$63</f>
        <v>244.98982768567413</v>
      </c>
      <c r="F97" s="74">
        <f>N97/'Reajustamento INCC'!$C$63</f>
        <v>49.673525483713327</v>
      </c>
      <c r="G97" s="74">
        <f>O97/'Reajustamento INCC'!$C$63</f>
        <v>49.673525483713327</v>
      </c>
      <c r="H97" s="177">
        <f>MEDIAN(E97:G97)</f>
        <v>49.673525483713327</v>
      </c>
      <c r="I97" s="177">
        <f>H97*1.3</f>
        <v>64.575583128827333</v>
      </c>
      <c r="J97" s="177">
        <f>H97*0.7</f>
        <v>34.771467838599328</v>
      </c>
      <c r="M97" s="74">
        <v>246.6</v>
      </c>
      <c r="N97" s="74">
        <v>50</v>
      </c>
      <c r="O97" s="74">
        <v>50</v>
      </c>
    </row>
    <row r="98" spans="1:15" s="164" customFormat="1" ht="15">
      <c r="A98" s="166"/>
      <c r="B98" s="167"/>
      <c r="C98" s="4" t="s">
        <v>8</v>
      </c>
      <c r="D98" s="171"/>
      <c r="E98" s="55" t="s">
        <v>91</v>
      </c>
      <c r="F98" s="55"/>
      <c r="G98" s="55"/>
      <c r="H98" s="177"/>
      <c r="I98" s="177"/>
      <c r="J98" s="177"/>
      <c r="M98" s="55" t="s">
        <v>91</v>
      </c>
      <c r="N98" s="55"/>
      <c r="O98" s="55"/>
    </row>
    <row r="99" spans="1:15" s="164" customFormat="1" ht="15">
      <c r="A99" s="166"/>
      <c r="B99" s="167"/>
      <c r="C99" s="4" t="s">
        <v>7</v>
      </c>
      <c r="D99" s="171"/>
      <c r="E99" s="3" t="s">
        <v>6726</v>
      </c>
      <c r="F99" s="3" t="s">
        <v>6835</v>
      </c>
      <c r="G99" s="3" t="s">
        <v>6838</v>
      </c>
      <c r="H99" s="177"/>
      <c r="I99" s="177"/>
      <c r="J99" s="177"/>
      <c r="M99" s="3" t="s">
        <v>6726</v>
      </c>
      <c r="N99" s="3" t="s">
        <v>6835</v>
      </c>
      <c r="O99" s="3" t="s">
        <v>6838</v>
      </c>
    </row>
    <row r="100" spans="1:15" s="164" customFormat="1" ht="15">
      <c r="A100" s="168"/>
      <c r="B100" s="169"/>
      <c r="C100" s="4" t="s">
        <v>6</v>
      </c>
      <c r="D100" s="172"/>
      <c r="E100" s="2">
        <v>43831</v>
      </c>
      <c r="F100" s="2">
        <v>43831</v>
      </c>
      <c r="G100" s="2">
        <v>43831</v>
      </c>
      <c r="H100" s="177"/>
      <c r="I100" s="177"/>
      <c r="J100" s="177"/>
      <c r="M100" s="2">
        <v>43872</v>
      </c>
      <c r="N100" s="2">
        <v>43872</v>
      </c>
      <c r="O100" s="2">
        <v>43872</v>
      </c>
    </row>
    <row r="101" spans="1:15" s="163" customFormat="1" ht="11.25">
      <c r="A101" s="302"/>
      <c r="B101" s="309"/>
      <c r="C101" s="309"/>
      <c r="D101" s="309"/>
      <c r="E101" s="309"/>
      <c r="F101" s="309"/>
      <c r="G101" s="309"/>
      <c r="H101" s="176"/>
      <c r="I101" s="176"/>
      <c r="J101" s="176"/>
      <c r="M101" s="309"/>
      <c r="N101" s="309"/>
      <c r="O101" s="309"/>
    </row>
    <row r="102" spans="1:15" s="164" customFormat="1" ht="22.5">
      <c r="A102" s="183" t="s">
        <v>7358</v>
      </c>
      <c r="B102" s="184" t="s">
        <v>8273</v>
      </c>
      <c r="C102" s="185">
        <f>MIN(E104:G104)</f>
        <v>15.267604411812552</v>
      </c>
      <c r="D102" s="186" t="s">
        <v>4</v>
      </c>
      <c r="E102" s="187" t="s">
        <v>8265</v>
      </c>
      <c r="F102" s="187" t="s">
        <v>13333</v>
      </c>
      <c r="G102" s="187" t="s">
        <v>26906</v>
      </c>
      <c r="H102" s="177" t="s">
        <v>170</v>
      </c>
      <c r="I102" s="177"/>
      <c r="J102" s="177"/>
      <c r="M102" s="187" t="s">
        <v>8265</v>
      </c>
      <c r="N102" s="187" t="s">
        <v>13333</v>
      </c>
      <c r="O102" s="187" t="s">
        <v>26906</v>
      </c>
    </row>
    <row r="103" spans="1:15" s="164" customFormat="1" ht="22.5">
      <c r="A103" s="161"/>
      <c r="B103" s="165"/>
      <c r="C103" s="4" t="s">
        <v>272</v>
      </c>
      <c r="D103" s="170"/>
      <c r="E103" s="55" t="s">
        <v>8266</v>
      </c>
      <c r="F103" s="55" t="s">
        <v>13334</v>
      </c>
      <c r="G103" s="55" t="s">
        <v>26907</v>
      </c>
      <c r="H103" s="177" t="s">
        <v>271</v>
      </c>
      <c r="I103" s="177" t="s">
        <v>268</v>
      </c>
      <c r="J103" s="177" t="s">
        <v>269</v>
      </c>
      <c r="M103" s="55" t="s">
        <v>8266</v>
      </c>
      <c r="N103" s="55" t="s">
        <v>13334</v>
      </c>
      <c r="O103" s="55" t="s">
        <v>26907</v>
      </c>
    </row>
    <row r="104" spans="1:15" s="164" customFormat="1" ht="15">
      <c r="A104" s="166"/>
      <c r="B104" s="167"/>
      <c r="C104" s="4" t="s">
        <v>9</v>
      </c>
      <c r="D104" s="349"/>
      <c r="E104" s="74">
        <f>M104*'Reajustamento INCC'!$C$55</f>
        <v>15.267604411812552</v>
      </c>
      <c r="F104" s="74">
        <f>N104/'Reajustamento INCC'!$C$87</f>
        <v>39.612126642040074</v>
      </c>
      <c r="G104" s="74">
        <f>O104/'Reajustamento INCC'!$C$103</f>
        <v>30.953067595544017</v>
      </c>
      <c r="H104" s="177">
        <f>MEDIAN(E104:G104)</f>
        <v>30.953067595544017</v>
      </c>
      <c r="I104" s="177">
        <f>H104*1.3</f>
        <v>40.238987874207226</v>
      </c>
      <c r="J104" s="177">
        <f>H104*0.7</f>
        <v>21.667147316880811</v>
      </c>
      <c r="M104" s="74">
        <v>15</v>
      </c>
      <c r="N104" s="74">
        <f>201/5</f>
        <v>40.200000000000003</v>
      </c>
      <c r="O104" s="74">
        <v>36.799999999999997</v>
      </c>
    </row>
    <row r="105" spans="1:15" s="164" customFormat="1" ht="15">
      <c r="A105" s="166"/>
      <c r="B105" s="167"/>
      <c r="C105" s="4" t="s">
        <v>8</v>
      </c>
      <c r="D105" s="171"/>
      <c r="E105" s="55" t="s">
        <v>8268</v>
      </c>
      <c r="F105" s="55" t="s">
        <v>8395</v>
      </c>
      <c r="G105" s="55" t="s">
        <v>26909</v>
      </c>
      <c r="H105" s="177"/>
      <c r="I105" s="177"/>
      <c r="J105" s="177"/>
      <c r="M105" s="55" t="s">
        <v>8268</v>
      </c>
      <c r="N105" s="55" t="s">
        <v>8395</v>
      </c>
      <c r="O105" s="55" t="s">
        <v>26909</v>
      </c>
    </row>
    <row r="106" spans="1:15" s="164" customFormat="1" ht="15">
      <c r="A106" s="166"/>
      <c r="B106" s="167"/>
      <c r="C106" s="4" t="s">
        <v>7</v>
      </c>
      <c r="D106" s="171"/>
      <c r="E106" s="3" t="s">
        <v>8267</v>
      </c>
      <c r="F106" s="3" t="s">
        <v>8397</v>
      </c>
      <c r="G106" s="3" t="s">
        <v>26908</v>
      </c>
      <c r="H106" s="177"/>
      <c r="I106" s="177"/>
      <c r="J106" s="177"/>
      <c r="M106" s="3" t="s">
        <v>8267</v>
      </c>
      <c r="N106" s="3" t="s">
        <v>8397</v>
      </c>
      <c r="O106" s="3" t="s">
        <v>26908</v>
      </c>
    </row>
    <row r="107" spans="1:15" s="164" customFormat="1" ht="15">
      <c r="A107" s="168"/>
      <c r="B107" s="169"/>
      <c r="C107" s="4" t="s">
        <v>6</v>
      </c>
      <c r="D107" s="172"/>
      <c r="E107" s="2">
        <v>43831</v>
      </c>
      <c r="F107" s="2">
        <v>43831</v>
      </c>
      <c r="G107" s="2">
        <v>43831</v>
      </c>
      <c r="H107" s="177"/>
      <c r="I107" s="177"/>
      <c r="J107" s="177"/>
      <c r="M107" s="2">
        <v>43671</v>
      </c>
      <c r="N107" s="2">
        <v>43965</v>
      </c>
      <c r="O107" s="2">
        <v>44368</v>
      </c>
    </row>
    <row r="108" spans="1:15" s="163" customFormat="1" ht="11.25">
      <c r="A108" s="302"/>
      <c r="B108" s="309"/>
      <c r="C108" s="309"/>
      <c r="D108" s="309"/>
      <c r="E108" s="309"/>
      <c r="F108" s="309"/>
      <c r="G108" s="309"/>
      <c r="H108" s="176"/>
      <c r="I108" s="176"/>
      <c r="J108" s="176"/>
      <c r="M108" s="309"/>
      <c r="N108" s="309"/>
      <c r="O108" s="309"/>
    </row>
    <row r="109" spans="1:15" s="164" customFormat="1" ht="56.25">
      <c r="A109" s="183" t="s">
        <v>7359</v>
      </c>
      <c r="B109" s="184" t="s">
        <v>8289</v>
      </c>
      <c r="C109" s="185">
        <f>MIN(E111:G111)</f>
        <v>117.51868885497734</v>
      </c>
      <c r="D109" s="186" t="s">
        <v>89</v>
      </c>
      <c r="E109" s="705" t="s">
        <v>8076</v>
      </c>
      <c r="F109" s="706"/>
      <c r="G109" s="707"/>
      <c r="H109" s="177" t="s">
        <v>170</v>
      </c>
      <c r="I109" s="177"/>
      <c r="J109" s="177"/>
      <c r="M109" s="705" t="s">
        <v>8076</v>
      </c>
      <c r="N109" s="706"/>
      <c r="O109" s="707"/>
    </row>
    <row r="110" spans="1:15" s="164" customFormat="1" ht="11.25">
      <c r="A110" s="161"/>
      <c r="B110" s="165"/>
      <c r="C110" s="4" t="s">
        <v>272</v>
      </c>
      <c r="D110" s="170"/>
      <c r="E110" s="708" t="s">
        <v>8072</v>
      </c>
      <c r="F110" s="709"/>
      <c r="G110" s="710"/>
      <c r="H110" s="177" t="s">
        <v>271</v>
      </c>
      <c r="I110" s="177" t="s">
        <v>268</v>
      </c>
      <c r="J110" s="177" t="s">
        <v>269</v>
      </c>
      <c r="M110" s="708" t="s">
        <v>8072</v>
      </c>
      <c r="N110" s="709"/>
      <c r="O110" s="710"/>
    </row>
    <row r="111" spans="1:15" s="164" customFormat="1" ht="15">
      <c r="A111" s="371" t="s">
        <v>8063</v>
      </c>
      <c r="B111" s="167"/>
      <c r="C111" s="4" t="s">
        <v>9</v>
      </c>
      <c r="D111" s="349"/>
      <c r="E111" s="711">
        <f>M111*'Reajustamento INCC'!$C$47</f>
        <v>117.51868885497734</v>
      </c>
      <c r="F111" s="712"/>
      <c r="G111" s="713"/>
      <c r="H111" s="177">
        <f>MEDIAN(E111:G111)</f>
        <v>117.51868885497734</v>
      </c>
      <c r="I111" s="177">
        <f>H111*1.3</f>
        <v>152.77429551147054</v>
      </c>
      <c r="J111" s="177">
        <f>H111*0.7</f>
        <v>82.263082198484128</v>
      </c>
      <c r="M111" s="711">
        <v>115.15</v>
      </c>
      <c r="N111" s="712"/>
      <c r="O111" s="713"/>
    </row>
    <row r="112" spans="1:15" s="164" customFormat="1" ht="15">
      <c r="A112" s="166"/>
      <c r="B112" s="167"/>
      <c r="C112" s="4" t="s">
        <v>8</v>
      </c>
      <c r="D112" s="171"/>
      <c r="E112" s="708" t="s">
        <v>8070</v>
      </c>
      <c r="F112" s="709"/>
      <c r="G112" s="710"/>
      <c r="H112" s="177"/>
      <c r="I112" s="177"/>
      <c r="J112" s="177"/>
      <c r="M112" s="708" t="s">
        <v>8070</v>
      </c>
      <c r="N112" s="709"/>
      <c r="O112" s="710"/>
    </row>
    <row r="113" spans="1:15" s="164" customFormat="1" ht="15">
      <c r="A113" s="166"/>
      <c r="B113" s="167"/>
      <c r="C113" s="4" t="s">
        <v>7</v>
      </c>
      <c r="D113" s="171"/>
      <c r="E113" s="714" t="s">
        <v>8071</v>
      </c>
      <c r="F113" s="715"/>
      <c r="G113" s="716"/>
      <c r="H113" s="177"/>
      <c r="I113" s="177"/>
      <c r="J113" s="177"/>
      <c r="M113" s="714" t="s">
        <v>8071</v>
      </c>
      <c r="N113" s="715"/>
      <c r="O113" s="716"/>
    </row>
    <row r="114" spans="1:15" s="164" customFormat="1" ht="15">
      <c r="A114" s="168"/>
      <c r="B114" s="169"/>
      <c r="C114" s="4" t="s">
        <v>6</v>
      </c>
      <c r="D114" s="172"/>
      <c r="E114" s="717">
        <v>43831</v>
      </c>
      <c r="F114" s="718"/>
      <c r="G114" s="719"/>
      <c r="H114" s="177"/>
      <c r="I114" s="177"/>
      <c r="J114" s="177"/>
      <c r="M114" s="717">
        <v>43617</v>
      </c>
      <c r="N114" s="718"/>
      <c r="O114" s="719"/>
    </row>
    <row r="115" spans="1:15" s="163" customFormat="1" ht="11.25">
      <c r="A115" s="302"/>
      <c r="B115" s="309"/>
      <c r="C115" s="309"/>
      <c r="D115" s="309"/>
      <c r="E115" s="309"/>
      <c r="F115" s="309"/>
      <c r="G115" s="309"/>
      <c r="H115" s="176"/>
      <c r="I115" s="176"/>
      <c r="J115" s="176"/>
      <c r="M115" s="309"/>
      <c r="N115" s="309"/>
      <c r="O115" s="309"/>
    </row>
    <row r="116" spans="1:15" s="164" customFormat="1" ht="11.25">
      <c r="A116" s="183" t="s">
        <v>7366</v>
      </c>
      <c r="B116" s="184" t="s">
        <v>7367</v>
      </c>
      <c r="C116" s="185">
        <f>MIN(E118:G118)</f>
        <v>4.9027769652425057</v>
      </c>
      <c r="D116" s="186" t="s">
        <v>89</v>
      </c>
      <c r="E116" s="187" t="s">
        <v>8444</v>
      </c>
      <c r="F116" s="187" t="s">
        <v>13253</v>
      </c>
      <c r="G116" s="187" t="s">
        <v>13257</v>
      </c>
      <c r="H116" s="177" t="s">
        <v>170</v>
      </c>
      <c r="I116" s="177"/>
      <c r="J116" s="177"/>
      <c r="M116" s="187" t="s">
        <v>8444</v>
      </c>
      <c r="N116" s="187" t="s">
        <v>13253</v>
      </c>
      <c r="O116" s="187" t="s">
        <v>13257</v>
      </c>
    </row>
    <row r="117" spans="1:15" s="164" customFormat="1" ht="22.5">
      <c r="A117" s="161"/>
      <c r="B117" s="165"/>
      <c r="C117" s="4" t="s">
        <v>272</v>
      </c>
      <c r="D117" s="170"/>
      <c r="E117" s="55" t="s">
        <v>8447</v>
      </c>
      <c r="F117" s="55" t="s">
        <v>13255</v>
      </c>
      <c r="G117" s="55" t="s">
        <v>13258</v>
      </c>
      <c r="H117" s="177" t="s">
        <v>271</v>
      </c>
      <c r="I117" s="177" t="s">
        <v>268</v>
      </c>
      <c r="J117" s="177" t="s">
        <v>269</v>
      </c>
      <c r="M117" s="55" t="s">
        <v>8447</v>
      </c>
      <c r="N117" s="55" t="s">
        <v>13255</v>
      </c>
      <c r="O117" s="55" t="s">
        <v>13258</v>
      </c>
    </row>
    <row r="118" spans="1:15" s="164" customFormat="1" ht="15">
      <c r="A118" s="166"/>
      <c r="B118" s="167"/>
      <c r="C118" s="4" t="s">
        <v>9</v>
      </c>
      <c r="D118" s="349"/>
      <c r="E118" s="74">
        <f>M118/'Reajustamento INCC'!$C$63</f>
        <v>4.9027769652425057</v>
      </c>
      <c r="F118" s="74">
        <f>N118/'Reajustamento INCC'!$C$87</f>
        <v>6.0107953362299602</v>
      </c>
      <c r="G118" s="74">
        <f>O118/'Reajustamento INCC'!$C$87</f>
        <v>5.961526521998568</v>
      </c>
      <c r="H118" s="177">
        <f>MEDIAN(E118:G118)</f>
        <v>5.961526521998568</v>
      </c>
      <c r="I118" s="177">
        <f>H118*1.3</f>
        <v>7.7499844785981384</v>
      </c>
      <c r="J118" s="177">
        <f>H118*0.7</f>
        <v>4.1730685653989976</v>
      </c>
      <c r="M118" s="74">
        <f>40062.33/8118</f>
        <v>4.9350000000000005</v>
      </c>
      <c r="N118" s="74">
        <v>6.1</v>
      </c>
      <c r="O118" s="74">
        <v>6.05</v>
      </c>
    </row>
    <row r="119" spans="1:15" s="164" customFormat="1" ht="15">
      <c r="A119" s="166"/>
      <c r="B119" s="167"/>
      <c r="C119" s="4" t="s">
        <v>8</v>
      </c>
      <c r="D119" s="171"/>
      <c r="E119" s="55" t="s">
        <v>8445</v>
      </c>
      <c r="F119" s="55" t="s">
        <v>13256</v>
      </c>
      <c r="G119" s="55" t="s">
        <v>13259</v>
      </c>
      <c r="H119" s="177"/>
      <c r="I119" s="177"/>
      <c r="J119" s="177"/>
      <c r="M119" s="55" t="s">
        <v>8445</v>
      </c>
      <c r="N119" s="55" t="s">
        <v>13256</v>
      </c>
      <c r="O119" s="55" t="s">
        <v>13259</v>
      </c>
    </row>
    <row r="120" spans="1:15" s="164" customFormat="1" ht="15">
      <c r="A120" s="166"/>
      <c r="B120" s="167"/>
      <c r="C120" s="4" t="s">
        <v>7</v>
      </c>
      <c r="D120" s="171"/>
      <c r="E120" s="3" t="s">
        <v>8446</v>
      </c>
      <c r="F120" s="3" t="s">
        <v>13254</v>
      </c>
      <c r="G120" s="3" t="s">
        <v>13260</v>
      </c>
      <c r="H120" s="177"/>
      <c r="I120" s="177"/>
      <c r="J120" s="177"/>
      <c r="M120" s="3" t="s">
        <v>8446</v>
      </c>
      <c r="N120" s="3" t="s">
        <v>13254</v>
      </c>
      <c r="O120" s="3" t="s">
        <v>13260</v>
      </c>
    </row>
    <row r="121" spans="1:15" s="164" customFormat="1" ht="15">
      <c r="A121" s="168"/>
      <c r="B121" s="169"/>
      <c r="C121" s="4" t="s">
        <v>6</v>
      </c>
      <c r="D121" s="172"/>
      <c r="E121" s="2">
        <v>43831</v>
      </c>
      <c r="F121" s="2">
        <v>43831</v>
      </c>
      <c r="G121" s="2">
        <v>43831</v>
      </c>
      <c r="H121" s="177"/>
      <c r="I121" s="177"/>
      <c r="J121" s="177"/>
      <c r="M121" s="2">
        <v>43865</v>
      </c>
      <c r="N121" s="2">
        <v>43962</v>
      </c>
      <c r="O121" s="2">
        <v>43963</v>
      </c>
    </row>
    <row r="122" spans="1:15" s="163" customFormat="1" ht="11.25">
      <c r="A122" s="302"/>
      <c r="B122" s="309"/>
      <c r="C122" s="309"/>
      <c r="D122" s="309"/>
      <c r="E122" s="309"/>
      <c r="F122" s="309"/>
      <c r="G122" s="309"/>
      <c r="H122" s="176"/>
      <c r="I122" s="176"/>
      <c r="J122" s="176"/>
      <c r="M122" s="309"/>
      <c r="N122" s="309"/>
      <c r="O122" s="309"/>
    </row>
    <row r="123" spans="1:15" s="164" customFormat="1" ht="33.75">
      <c r="A123" s="183" t="s">
        <v>7450</v>
      </c>
      <c r="B123" s="184" t="s">
        <v>7455</v>
      </c>
      <c r="C123" s="185">
        <f>MIN(E125:G125)</f>
        <v>26884.9411</v>
      </c>
      <c r="D123" s="186" t="s">
        <v>90</v>
      </c>
      <c r="E123" s="187" t="s">
        <v>7873</v>
      </c>
      <c r="F123" s="187" t="s">
        <v>7874</v>
      </c>
      <c r="G123" s="187" t="s">
        <v>26920</v>
      </c>
      <c r="H123" s="177" t="s">
        <v>170</v>
      </c>
      <c r="I123" s="177"/>
      <c r="J123" s="177"/>
      <c r="M123" s="187" t="s">
        <v>7873</v>
      </c>
      <c r="N123" s="187" t="s">
        <v>7874</v>
      </c>
      <c r="O123" s="187"/>
    </row>
    <row r="124" spans="1:15" s="164" customFormat="1" ht="11.25">
      <c r="A124" s="161"/>
      <c r="B124" s="165"/>
      <c r="C124" s="4" t="s">
        <v>272</v>
      </c>
      <c r="D124" s="170"/>
      <c r="E124" s="55" t="s">
        <v>7871</v>
      </c>
      <c r="F124" s="55" t="s">
        <v>7876</v>
      </c>
      <c r="G124" s="55"/>
      <c r="H124" s="177" t="s">
        <v>271</v>
      </c>
      <c r="I124" s="177" t="s">
        <v>268</v>
      </c>
      <c r="J124" s="177" t="s">
        <v>269</v>
      </c>
      <c r="M124" s="55" t="s">
        <v>7871</v>
      </c>
      <c r="N124" s="55" t="s">
        <v>7876</v>
      </c>
      <c r="O124" s="55"/>
    </row>
    <row r="125" spans="1:15" s="164" customFormat="1" ht="15">
      <c r="A125" s="166"/>
      <c r="B125" s="167"/>
      <c r="C125" s="4" t="s">
        <v>9</v>
      </c>
      <c r="D125" s="349"/>
      <c r="E125" s="74">
        <v>32989</v>
      </c>
      <c r="F125" s="74">
        <v>35628</v>
      </c>
      <c r="G125" s="74">
        <v>26884.9411</v>
      </c>
      <c r="H125" s="177">
        <f>MEDIAN(E125:G125)</f>
        <v>32989</v>
      </c>
      <c r="I125" s="177">
        <f>H125*1.3</f>
        <v>42885.700000000004</v>
      </c>
      <c r="J125" s="177">
        <f>H125*0.7</f>
        <v>23092.3</v>
      </c>
      <c r="M125" s="74">
        <v>32989</v>
      </c>
      <c r="N125" s="74">
        <v>35628</v>
      </c>
      <c r="O125" s="74"/>
    </row>
    <row r="126" spans="1:15" s="164" customFormat="1" ht="15">
      <c r="A126" s="166"/>
      <c r="B126" s="167"/>
      <c r="C126" s="4" t="s">
        <v>8</v>
      </c>
      <c r="D126" s="171"/>
      <c r="E126" s="55" t="s">
        <v>7872</v>
      </c>
      <c r="F126" s="55" t="s">
        <v>7877</v>
      </c>
      <c r="G126" s="55"/>
      <c r="H126" s="177"/>
      <c r="I126" s="177"/>
      <c r="J126" s="177"/>
      <c r="M126" s="55" t="s">
        <v>7872</v>
      </c>
      <c r="N126" s="55" t="s">
        <v>7877</v>
      </c>
      <c r="O126" s="55"/>
    </row>
    <row r="127" spans="1:15" s="164" customFormat="1" ht="15">
      <c r="A127" s="166"/>
      <c r="B127" s="167"/>
      <c r="C127" s="4" t="s">
        <v>7</v>
      </c>
      <c r="D127" s="171"/>
      <c r="E127" s="3" t="s">
        <v>7870</v>
      </c>
      <c r="F127" s="3" t="s">
        <v>7875</v>
      </c>
      <c r="G127" s="3"/>
      <c r="H127" s="177"/>
      <c r="I127" s="177"/>
      <c r="J127" s="177"/>
      <c r="M127" s="3" t="s">
        <v>7870</v>
      </c>
      <c r="N127" s="3" t="s">
        <v>7875</v>
      </c>
      <c r="O127" s="3"/>
    </row>
    <row r="128" spans="1:15" s="164" customFormat="1" ht="15">
      <c r="A128" s="168"/>
      <c r="B128" s="169"/>
      <c r="C128" s="4" t="s">
        <v>6</v>
      </c>
      <c r="D128" s="172"/>
      <c r="E128" s="2">
        <v>43733</v>
      </c>
      <c r="F128" s="2">
        <v>43740</v>
      </c>
      <c r="G128" s="2"/>
      <c r="H128" s="177"/>
      <c r="I128" s="177"/>
      <c r="J128" s="177"/>
      <c r="M128" s="2">
        <v>43733</v>
      </c>
      <c r="N128" s="2">
        <v>43740</v>
      </c>
      <c r="O128" s="2"/>
    </row>
    <row r="129" spans="1:15" s="163" customFormat="1" ht="11.25">
      <c r="A129" s="302"/>
      <c r="B129" s="309"/>
      <c r="C129" s="309"/>
      <c r="D129" s="309"/>
      <c r="E129" s="309"/>
      <c r="F129" s="309"/>
      <c r="G129" s="309"/>
      <c r="H129" s="176"/>
      <c r="I129" s="176"/>
      <c r="J129" s="176"/>
      <c r="M129" s="309"/>
      <c r="N129" s="309"/>
      <c r="O129" s="309"/>
    </row>
    <row r="130" spans="1:15" s="164" customFormat="1" ht="22.5">
      <c r="A130" s="183" t="s">
        <v>7453</v>
      </c>
      <c r="B130" s="184" t="s">
        <v>7454</v>
      </c>
      <c r="C130" s="185">
        <f>MIN(E132:G132)</f>
        <v>31243.2827</v>
      </c>
      <c r="D130" s="186" t="s">
        <v>90</v>
      </c>
      <c r="E130" s="187" t="s">
        <v>7873</v>
      </c>
      <c r="F130" s="187" t="s">
        <v>7874</v>
      </c>
      <c r="G130" s="187" t="s">
        <v>26921</v>
      </c>
      <c r="H130" s="177" t="s">
        <v>170</v>
      </c>
      <c r="I130" s="177"/>
      <c r="J130" s="177"/>
      <c r="M130" s="187" t="s">
        <v>7873</v>
      </c>
      <c r="N130" s="187" t="s">
        <v>7874</v>
      </c>
      <c r="O130" s="187"/>
    </row>
    <row r="131" spans="1:15" s="164" customFormat="1" ht="11.25">
      <c r="A131" s="161"/>
      <c r="B131" s="165"/>
      <c r="C131" s="4" t="s">
        <v>272</v>
      </c>
      <c r="D131" s="170"/>
      <c r="E131" s="55" t="s">
        <v>7871</v>
      </c>
      <c r="F131" s="55" t="s">
        <v>7876</v>
      </c>
      <c r="G131" s="55"/>
      <c r="H131" s="177" t="s">
        <v>271</v>
      </c>
      <c r="I131" s="177" t="s">
        <v>268</v>
      </c>
      <c r="J131" s="177" t="s">
        <v>269</v>
      </c>
      <c r="M131" s="55" t="s">
        <v>7871</v>
      </c>
      <c r="N131" s="55" t="s">
        <v>7876</v>
      </c>
      <c r="O131" s="55"/>
    </row>
    <row r="132" spans="1:15" s="164" customFormat="1" ht="15">
      <c r="A132" s="166"/>
      <c r="B132" s="167"/>
      <c r="C132" s="4" t="s">
        <v>9</v>
      </c>
      <c r="D132" s="349"/>
      <c r="E132" s="74">
        <v>50281</v>
      </c>
      <c r="F132" s="74">
        <v>54303</v>
      </c>
      <c r="G132" s="74">
        <v>31243.2827</v>
      </c>
      <c r="H132" s="177">
        <f>MEDIAN(E132:G132)</f>
        <v>50281</v>
      </c>
      <c r="I132" s="177">
        <f>H132*1.3</f>
        <v>65365.3</v>
      </c>
      <c r="J132" s="177">
        <f>H132*0.7</f>
        <v>35196.699999999997</v>
      </c>
      <c r="M132" s="74">
        <v>50281</v>
      </c>
      <c r="N132" s="74">
        <v>54303</v>
      </c>
      <c r="O132" s="74"/>
    </row>
    <row r="133" spans="1:15" s="164" customFormat="1" ht="15">
      <c r="A133" s="166"/>
      <c r="B133" s="167"/>
      <c r="C133" s="4" t="s">
        <v>8</v>
      </c>
      <c r="D133" s="171"/>
      <c r="E133" s="55" t="s">
        <v>7872</v>
      </c>
      <c r="F133" s="55" t="s">
        <v>7877</v>
      </c>
      <c r="G133" s="55"/>
      <c r="H133" s="177"/>
      <c r="I133" s="177"/>
      <c r="J133" s="177"/>
      <c r="M133" s="55" t="s">
        <v>7872</v>
      </c>
      <c r="N133" s="55" t="s">
        <v>7877</v>
      </c>
      <c r="O133" s="55"/>
    </row>
    <row r="134" spans="1:15" s="164" customFormat="1" ht="15">
      <c r="A134" s="166"/>
      <c r="B134" s="167"/>
      <c r="C134" s="4" t="s">
        <v>7</v>
      </c>
      <c r="D134" s="171"/>
      <c r="E134" s="3" t="s">
        <v>7870</v>
      </c>
      <c r="F134" s="3" t="s">
        <v>7875</v>
      </c>
      <c r="G134" s="3"/>
      <c r="H134" s="177"/>
      <c r="I134" s="177"/>
      <c r="J134" s="177"/>
      <c r="M134" s="3" t="s">
        <v>7870</v>
      </c>
      <c r="N134" s="3" t="s">
        <v>7875</v>
      </c>
      <c r="O134" s="3"/>
    </row>
    <row r="135" spans="1:15" s="164" customFormat="1" ht="15">
      <c r="A135" s="168"/>
      <c r="B135" s="169"/>
      <c r="C135" s="4" t="s">
        <v>6</v>
      </c>
      <c r="D135" s="172"/>
      <c r="E135" s="2">
        <v>43733</v>
      </c>
      <c r="F135" s="2">
        <v>43740</v>
      </c>
      <c r="G135" s="2"/>
      <c r="H135" s="177"/>
      <c r="I135" s="177"/>
      <c r="J135" s="177"/>
      <c r="M135" s="2">
        <v>43733</v>
      </c>
      <c r="N135" s="2">
        <v>43740</v>
      </c>
      <c r="O135" s="2"/>
    </row>
    <row r="136" spans="1:15" s="163" customFormat="1" ht="11.25">
      <c r="A136" s="302"/>
      <c r="B136" s="309"/>
      <c r="C136" s="309"/>
      <c r="D136" s="309"/>
      <c r="E136" s="309"/>
      <c r="F136" s="309"/>
      <c r="G136" s="309"/>
      <c r="H136" s="176"/>
      <c r="I136" s="176"/>
      <c r="J136" s="176"/>
      <c r="M136" s="309"/>
      <c r="N136" s="309"/>
      <c r="O136" s="309"/>
    </row>
    <row r="137" spans="1:15" s="164" customFormat="1" ht="22.5">
      <c r="A137" s="183" t="s">
        <v>7457</v>
      </c>
      <c r="B137" s="184" t="s">
        <v>7458</v>
      </c>
      <c r="C137" s="185">
        <f>MIN(E139:G139)</f>
        <v>19381.448100000001</v>
      </c>
      <c r="D137" s="186" t="s">
        <v>90</v>
      </c>
      <c r="E137" s="187" t="s">
        <v>7873</v>
      </c>
      <c r="F137" s="187" t="s">
        <v>7874</v>
      </c>
      <c r="G137" s="187" t="s">
        <v>26922</v>
      </c>
      <c r="H137" s="177" t="s">
        <v>170</v>
      </c>
      <c r="I137" s="177"/>
      <c r="J137" s="177"/>
      <c r="M137" s="187" t="s">
        <v>7873</v>
      </c>
      <c r="N137" s="187" t="s">
        <v>7874</v>
      </c>
      <c r="O137" s="187"/>
    </row>
    <row r="138" spans="1:15" s="164" customFormat="1" ht="11.25">
      <c r="A138" s="161"/>
      <c r="B138" s="165"/>
      <c r="C138" s="4" t="s">
        <v>272</v>
      </c>
      <c r="D138" s="170"/>
      <c r="E138" s="55" t="s">
        <v>7871</v>
      </c>
      <c r="F138" s="55" t="s">
        <v>7876</v>
      </c>
      <c r="G138" s="55"/>
      <c r="H138" s="177" t="s">
        <v>271</v>
      </c>
      <c r="I138" s="177" t="s">
        <v>268</v>
      </c>
      <c r="J138" s="177" t="s">
        <v>269</v>
      </c>
      <c r="M138" s="55" t="s">
        <v>7871</v>
      </c>
      <c r="N138" s="55" t="s">
        <v>7876</v>
      </c>
      <c r="O138" s="55"/>
    </row>
    <row r="139" spans="1:15" s="164" customFormat="1" ht="15">
      <c r="A139" s="166"/>
      <c r="B139" s="167"/>
      <c r="C139" s="4" t="s">
        <v>9</v>
      </c>
      <c r="D139" s="349"/>
      <c r="E139" s="74">
        <v>21138</v>
      </c>
      <c r="F139" s="74">
        <v>22830</v>
      </c>
      <c r="G139" s="74">
        <v>19381.448100000001</v>
      </c>
      <c r="H139" s="177">
        <f>MEDIAN(E139:G139)</f>
        <v>21138</v>
      </c>
      <c r="I139" s="177">
        <f>H139*1.3</f>
        <v>27479.4</v>
      </c>
      <c r="J139" s="177">
        <f>H139*0.7</f>
        <v>14796.599999999999</v>
      </c>
      <c r="M139" s="74">
        <v>21138</v>
      </c>
      <c r="N139" s="74">
        <v>22830</v>
      </c>
      <c r="O139" s="74"/>
    </row>
    <row r="140" spans="1:15" s="164" customFormat="1" ht="15">
      <c r="A140" s="166"/>
      <c r="B140" s="167"/>
      <c r="C140" s="4" t="s">
        <v>8</v>
      </c>
      <c r="D140" s="171"/>
      <c r="E140" s="55" t="s">
        <v>7872</v>
      </c>
      <c r="F140" s="55" t="s">
        <v>7877</v>
      </c>
      <c r="G140" s="55"/>
      <c r="H140" s="177"/>
      <c r="I140" s="177"/>
      <c r="J140" s="177"/>
      <c r="M140" s="55" t="s">
        <v>7872</v>
      </c>
      <c r="N140" s="55" t="s">
        <v>7877</v>
      </c>
      <c r="O140" s="55"/>
    </row>
    <row r="141" spans="1:15" s="164" customFormat="1" ht="15">
      <c r="A141" s="166"/>
      <c r="B141" s="167"/>
      <c r="C141" s="4" t="s">
        <v>7</v>
      </c>
      <c r="D141" s="171"/>
      <c r="E141" s="3" t="s">
        <v>7870</v>
      </c>
      <c r="F141" s="3" t="s">
        <v>7875</v>
      </c>
      <c r="G141" s="3"/>
      <c r="H141" s="177"/>
      <c r="I141" s="177"/>
      <c r="J141" s="177"/>
      <c r="M141" s="3" t="s">
        <v>7870</v>
      </c>
      <c r="N141" s="3" t="s">
        <v>7875</v>
      </c>
      <c r="O141" s="3"/>
    </row>
    <row r="142" spans="1:15" s="164" customFormat="1" ht="15">
      <c r="A142" s="168"/>
      <c r="B142" s="169"/>
      <c r="C142" s="4" t="s">
        <v>6</v>
      </c>
      <c r="D142" s="172"/>
      <c r="E142" s="2">
        <v>43733</v>
      </c>
      <c r="F142" s="2">
        <v>43740</v>
      </c>
      <c r="G142" s="2"/>
      <c r="H142" s="177"/>
      <c r="I142" s="177"/>
      <c r="J142" s="177"/>
      <c r="M142" s="2">
        <v>43733</v>
      </c>
      <c r="N142" s="2">
        <v>43740</v>
      </c>
      <c r="O142" s="2"/>
    </row>
    <row r="143" spans="1:15" s="163" customFormat="1" ht="11.25">
      <c r="A143" s="302"/>
      <c r="B143" s="309"/>
      <c r="C143" s="309"/>
      <c r="D143" s="309"/>
      <c r="E143" s="309"/>
      <c r="F143" s="309"/>
      <c r="G143" s="309"/>
      <c r="H143" s="176"/>
      <c r="I143" s="176"/>
      <c r="J143" s="176"/>
      <c r="M143" s="309"/>
      <c r="N143" s="309"/>
      <c r="O143" s="309"/>
    </row>
    <row r="144" spans="1:15" s="164" customFormat="1" ht="22.5">
      <c r="A144" s="183" t="s">
        <v>7460</v>
      </c>
      <c r="B144" s="184" t="s">
        <v>7461</v>
      </c>
      <c r="C144" s="185">
        <f>MIN(E146:G146)</f>
        <v>22523.569200000002</v>
      </c>
      <c r="D144" s="186" t="s">
        <v>90</v>
      </c>
      <c r="E144" s="187" t="s">
        <v>7873</v>
      </c>
      <c r="F144" s="187" t="s">
        <v>7874</v>
      </c>
      <c r="G144" s="187" t="s">
        <v>26923</v>
      </c>
      <c r="H144" s="177" t="s">
        <v>170</v>
      </c>
      <c r="I144" s="177"/>
      <c r="J144" s="177"/>
      <c r="M144" s="187" t="s">
        <v>7873</v>
      </c>
      <c r="N144" s="187" t="s">
        <v>7874</v>
      </c>
      <c r="O144" s="187"/>
    </row>
    <row r="145" spans="1:15" s="164" customFormat="1" ht="11.25">
      <c r="A145" s="161"/>
      <c r="B145" s="165"/>
      <c r="C145" s="4" t="s">
        <v>272</v>
      </c>
      <c r="D145" s="170"/>
      <c r="E145" s="55" t="s">
        <v>7871</v>
      </c>
      <c r="F145" s="55" t="s">
        <v>7876</v>
      </c>
      <c r="G145" s="55"/>
      <c r="H145" s="177" t="s">
        <v>271</v>
      </c>
      <c r="I145" s="177" t="s">
        <v>268</v>
      </c>
      <c r="J145" s="177" t="s">
        <v>269</v>
      </c>
      <c r="M145" s="55" t="s">
        <v>7871</v>
      </c>
      <c r="N145" s="55" t="s">
        <v>7876</v>
      </c>
      <c r="O145" s="55"/>
    </row>
    <row r="146" spans="1:15" s="164" customFormat="1" ht="15">
      <c r="A146" s="166"/>
      <c r="B146" s="167"/>
      <c r="C146" s="4" t="s">
        <v>9</v>
      </c>
      <c r="D146" s="349"/>
      <c r="E146" s="74">
        <v>31306</v>
      </c>
      <c r="F146" s="74">
        <v>33810</v>
      </c>
      <c r="G146" s="74">
        <v>22523.569200000002</v>
      </c>
      <c r="H146" s="177">
        <f>MEDIAN(E146:G146)</f>
        <v>31306</v>
      </c>
      <c r="I146" s="177">
        <f>H146*1.3</f>
        <v>40697.800000000003</v>
      </c>
      <c r="J146" s="177">
        <f>H146*0.7</f>
        <v>21914.199999999997</v>
      </c>
      <c r="M146" s="74">
        <v>31306</v>
      </c>
      <c r="N146" s="74">
        <v>33810</v>
      </c>
      <c r="O146" s="74"/>
    </row>
    <row r="147" spans="1:15" s="164" customFormat="1" ht="15">
      <c r="A147" s="166"/>
      <c r="B147" s="167"/>
      <c r="C147" s="4" t="s">
        <v>8</v>
      </c>
      <c r="D147" s="171"/>
      <c r="E147" s="55" t="s">
        <v>7872</v>
      </c>
      <c r="F147" s="55" t="s">
        <v>7877</v>
      </c>
      <c r="G147" s="55"/>
      <c r="H147" s="177"/>
      <c r="I147" s="177"/>
      <c r="J147" s="177"/>
      <c r="M147" s="55" t="s">
        <v>7872</v>
      </c>
      <c r="N147" s="55" t="s">
        <v>7877</v>
      </c>
      <c r="O147" s="55"/>
    </row>
    <row r="148" spans="1:15" s="164" customFormat="1" ht="15">
      <c r="A148" s="166"/>
      <c r="B148" s="167"/>
      <c r="C148" s="4" t="s">
        <v>7</v>
      </c>
      <c r="D148" s="171"/>
      <c r="E148" s="3" t="s">
        <v>7870</v>
      </c>
      <c r="F148" s="3" t="s">
        <v>7875</v>
      </c>
      <c r="G148" s="3"/>
      <c r="H148" s="177"/>
      <c r="I148" s="177"/>
      <c r="J148" s="177"/>
      <c r="M148" s="3" t="s">
        <v>7870</v>
      </c>
      <c r="N148" s="3" t="s">
        <v>7875</v>
      </c>
      <c r="O148" s="3"/>
    </row>
    <row r="149" spans="1:15" s="164" customFormat="1" ht="15">
      <c r="A149" s="168"/>
      <c r="B149" s="169"/>
      <c r="C149" s="4" t="s">
        <v>6</v>
      </c>
      <c r="D149" s="172"/>
      <c r="E149" s="2">
        <v>43733</v>
      </c>
      <c r="F149" s="2">
        <v>43740</v>
      </c>
      <c r="G149" s="2"/>
      <c r="H149" s="177"/>
      <c r="I149" s="177"/>
      <c r="J149" s="177"/>
      <c r="M149" s="2">
        <v>43733</v>
      </c>
      <c r="N149" s="2">
        <v>43740</v>
      </c>
      <c r="O149" s="2"/>
    </row>
    <row r="150" spans="1:15" s="163" customFormat="1" ht="11.25">
      <c r="A150" s="302"/>
      <c r="B150" s="309"/>
      <c r="C150" s="309"/>
      <c r="D150" s="309"/>
      <c r="E150" s="309"/>
      <c r="F150" s="309"/>
      <c r="G150" s="309"/>
      <c r="H150" s="176"/>
      <c r="I150" s="176"/>
      <c r="J150" s="176"/>
      <c r="M150" s="309"/>
      <c r="N150" s="309"/>
      <c r="O150" s="309"/>
    </row>
    <row r="151" spans="1:15" s="164" customFormat="1" ht="33.75">
      <c r="A151" s="183" t="s">
        <v>7470</v>
      </c>
      <c r="B151" s="184" t="s">
        <v>7472</v>
      </c>
      <c r="C151" s="185">
        <f>MIN(E153:G153)</f>
        <v>5550</v>
      </c>
      <c r="D151" s="186" t="s">
        <v>5</v>
      </c>
      <c r="E151" s="187" t="s">
        <v>7873</v>
      </c>
      <c r="F151" s="187" t="s">
        <v>7874</v>
      </c>
      <c r="G151" s="187" t="s">
        <v>26924</v>
      </c>
      <c r="H151" s="177" t="s">
        <v>170</v>
      </c>
      <c r="I151" s="177"/>
      <c r="J151" s="177"/>
      <c r="M151" s="187" t="s">
        <v>7873</v>
      </c>
      <c r="N151" s="187" t="s">
        <v>7874</v>
      </c>
      <c r="O151" s="187"/>
    </row>
    <row r="152" spans="1:15" s="164" customFormat="1" ht="11.25">
      <c r="A152" s="161"/>
      <c r="B152" s="165"/>
      <c r="C152" s="4" t="s">
        <v>272</v>
      </c>
      <c r="D152" s="170"/>
      <c r="E152" s="55" t="s">
        <v>7871</v>
      </c>
      <c r="F152" s="55" t="s">
        <v>7876</v>
      </c>
      <c r="G152" s="55"/>
      <c r="H152" s="177" t="s">
        <v>271</v>
      </c>
      <c r="I152" s="177" t="s">
        <v>268</v>
      </c>
      <c r="J152" s="177" t="s">
        <v>269</v>
      </c>
      <c r="M152" s="55" t="s">
        <v>7871</v>
      </c>
      <c r="N152" s="55" t="s">
        <v>7876</v>
      </c>
      <c r="O152" s="55"/>
    </row>
    <row r="153" spans="1:15" s="164" customFormat="1" ht="15">
      <c r="A153" s="166"/>
      <c r="B153" s="167"/>
      <c r="C153" s="4" t="s">
        <v>9</v>
      </c>
      <c r="D153" s="349"/>
      <c r="E153" s="74">
        <v>5550</v>
      </c>
      <c r="F153" s="74">
        <v>5945</v>
      </c>
      <c r="G153" s="74">
        <v>11984.111000000001</v>
      </c>
      <c r="H153" s="177">
        <f>MEDIAN(E153:G153)</f>
        <v>5945</v>
      </c>
      <c r="I153" s="177">
        <f>H153*1.3</f>
        <v>7728.5</v>
      </c>
      <c r="J153" s="177">
        <f>H153*0.7</f>
        <v>4161.5</v>
      </c>
      <c r="M153" s="74">
        <v>5550</v>
      </c>
      <c r="N153" s="74">
        <v>5945</v>
      </c>
      <c r="O153" s="74"/>
    </row>
    <row r="154" spans="1:15" s="164" customFormat="1" ht="15">
      <c r="A154" s="166"/>
      <c r="B154" s="167"/>
      <c r="C154" s="4" t="s">
        <v>8</v>
      </c>
      <c r="D154" s="171"/>
      <c r="E154" s="55" t="s">
        <v>7872</v>
      </c>
      <c r="F154" s="55" t="s">
        <v>7877</v>
      </c>
      <c r="G154" s="55"/>
      <c r="H154" s="177"/>
      <c r="I154" s="177"/>
      <c r="J154" s="177"/>
      <c r="M154" s="55" t="s">
        <v>7872</v>
      </c>
      <c r="N154" s="55" t="s">
        <v>7877</v>
      </c>
      <c r="O154" s="55"/>
    </row>
    <row r="155" spans="1:15" s="164" customFormat="1" ht="15">
      <c r="A155" s="166"/>
      <c r="B155" s="167"/>
      <c r="C155" s="4" t="s">
        <v>7</v>
      </c>
      <c r="D155" s="171"/>
      <c r="E155" s="3" t="s">
        <v>7870</v>
      </c>
      <c r="F155" s="3" t="s">
        <v>7875</v>
      </c>
      <c r="G155" s="3"/>
      <c r="H155" s="177"/>
      <c r="I155" s="177"/>
      <c r="J155" s="177"/>
      <c r="M155" s="3" t="s">
        <v>7870</v>
      </c>
      <c r="N155" s="3" t="s">
        <v>7875</v>
      </c>
      <c r="O155" s="3"/>
    </row>
    <row r="156" spans="1:15" s="164" customFormat="1" ht="15">
      <c r="A156" s="168"/>
      <c r="B156" s="169"/>
      <c r="C156" s="4" t="s">
        <v>6</v>
      </c>
      <c r="D156" s="172"/>
      <c r="E156" s="2">
        <v>43733</v>
      </c>
      <c r="F156" s="2">
        <v>43740</v>
      </c>
      <c r="G156" s="2"/>
      <c r="H156" s="177"/>
      <c r="I156" s="177"/>
      <c r="J156" s="177"/>
      <c r="M156" s="2">
        <v>43733</v>
      </c>
      <c r="N156" s="2">
        <v>43740</v>
      </c>
      <c r="O156" s="2"/>
    </row>
    <row r="157" spans="1:15" s="163" customFormat="1" ht="11.25">
      <c r="A157" s="302"/>
      <c r="B157" s="309"/>
      <c r="C157" s="309"/>
      <c r="D157" s="309"/>
      <c r="E157" s="309"/>
      <c r="F157" s="309"/>
      <c r="G157" s="309"/>
      <c r="H157" s="176"/>
      <c r="I157" s="176"/>
      <c r="J157" s="176"/>
      <c r="M157" s="309"/>
      <c r="N157" s="309"/>
      <c r="O157" s="309"/>
    </row>
    <row r="158" spans="1:15" s="164" customFormat="1" ht="22.5">
      <c r="A158" s="183" t="s">
        <v>7482</v>
      </c>
      <c r="B158" s="184" t="s">
        <v>7483</v>
      </c>
      <c r="C158" s="185">
        <f>MIN(E160:G160)</f>
        <v>131</v>
      </c>
      <c r="D158" s="186" t="s">
        <v>5</v>
      </c>
      <c r="E158" s="187" t="s">
        <v>7873</v>
      </c>
      <c r="F158" s="187" t="s">
        <v>7874</v>
      </c>
      <c r="G158" s="187" t="s">
        <v>26925</v>
      </c>
      <c r="H158" s="177" t="s">
        <v>170</v>
      </c>
      <c r="I158" s="177"/>
      <c r="J158" s="177"/>
      <c r="M158" s="187" t="s">
        <v>7873</v>
      </c>
      <c r="N158" s="187" t="s">
        <v>7874</v>
      </c>
      <c r="O158" s="187"/>
    </row>
    <row r="159" spans="1:15" s="164" customFormat="1" ht="11.25">
      <c r="A159" s="161"/>
      <c r="B159" s="165"/>
      <c r="C159" s="4" t="s">
        <v>272</v>
      </c>
      <c r="D159" s="170"/>
      <c r="E159" s="55" t="s">
        <v>7871</v>
      </c>
      <c r="F159" s="55" t="s">
        <v>7876</v>
      </c>
      <c r="G159" s="55"/>
      <c r="H159" s="177" t="s">
        <v>271</v>
      </c>
      <c r="I159" s="177" t="s">
        <v>268</v>
      </c>
      <c r="J159" s="177" t="s">
        <v>269</v>
      </c>
      <c r="M159" s="55" t="s">
        <v>7871</v>
      </c>
      <c r="N159" s="55" t="s">
        <v>7876</v>
      </c>
      <c r="O159" s="55"/>
    </row>
    <row r="160" spans="1:15" s="164" customFormat="1" ht="15">
      <c r="A160" s="166"/>
      <c r="B160" s="167"/>
      <c r="C160" s="4" t="s">
        <v>9</v>
      </c>
      <c r="D160" s="349"/>
      <c r="E160" s="74">
        <v>131</v>
      </c>
      <c r="F160" s="74">
        <v>147</v>
      </c>
      <c r="G160" s="74">
        <v>581.44889999999998</v>
      </c>
      <c r="H160" s="177">
        <f>MEDIAN(E160:G160)</f>
        <v>147</v>
      </c>
      <c r="I160" s="177">
        <f>H160*1.3</f>
        <v>191.1</v>
      </c>
      <c r="J160" s="177">
        <f>H160*0.7</f>
        <v>102.89999999999999</v>
      </c>
      <c r="M160" s="74">
        <v>131</v>
      </c>
      <c r="N160" s="74">
        <v>147</v>
      </c>
      <c r="O160" s="74"/>
    </row>
    <row r="161" spans="1:15" s="164" customFormat="1" ht="15">
      <c r="A161" s="166"/>
      <c r="B161" s="167"/>
      <c r="C161" s="4" t="s">
        <v>8</v>
      </c>
      <c r="D161" s="171"/>
      <c r="E161" s="55" t="s">
        <v>7872</v>
      </c>
      <c r="F161" s="55" t="s">
        <v>7877</v>
      </c>
      <c r="G161" s="55"/>
      <c r="H161" s="177"/>
      <c r="I161" s="177"/>
      <c r="J161" s="177"/>
      <c r="M161" s="55" t="s">
        <v>7872</v>
      </c>
      <c r="N161" s="55" t="s">
        <v>7877</v>
      </c>
      <c r="O161" s="55"/>
    </row>
    <row r="162" spans="1:15" s="164" customFormat="1" ht="15">
      <c r="A162" s="166"/>
      <c r="B162" s="167"/>
      <c r="C162" s="4" t="s">
        <v>7</v>
      </c>
      <c r="D162" s="171"/>
      <c r="E162" s="3" t="s">
        <v>7870</v>
      </c>
      <c r="F162" s="3" t="s">
        <v>7875</v>
      </c>
      <c r="G162" s="3"/>
      <c r="H162" s="177"/>
      <c r="I162" s="177"/>
      <c r="J162" s="177"/>
      <c r="M162" s="3" t="s">
        <v>7870</v>
      </c>
      <c r="N162" s="3" t="s">
        <v>7875</v>
      </c>
      <c r="O162" s="3"/>
    </row>
    <row r="163" spans="1:15" s="164" customFormat="1" ht="15">
      <c r="A163" s="168"/>
      <c r="B163" s="169"/>
      <c r="C163" s="4" t="s">
        <v>6</v>
      </c>
      <c r="D163" s="172"/>
      <c r="E163" s="2">
        <v>43733</v>
      </c>
      <c r="F163" s="2">
        <v>43740</v>
      </c>
      <c r="G163" s="2"/>
      <c r="H163" s="177"/>
      <c r="I163" s="177"/>
      <c r="J163" s="177"/>
      <c r="M163" s="2">
        <v>43733</v>
      </c>
      <c r="N163" s="2">
        <v>43740</v>
      </c>
      <c r="O163" s="2"/>
    </row>
    <row r="164" spans="1:15" s="163" customFormat="1" ht="11.25">
      <c r="A164" s="302"/>
      <c r="B164" s="309"/>
      <c r="C164" s="309"/>
      <c r="D164" s="309"/>
      <c r="E164" s="309"/>
      <c r="F164" s="309"/>
      <c r="G164" s="309"/>
      <c r="H164" s="176"/>
      <c r="I164" s="176"/>
      <c r="J164" s="176"/>
      <c r="L164" s="163">
        <f>540*5</f>
        <v>2700</v>
      </c>
      <c r="M164" s="309"/>
      <c r="N164" s="309"/>
      <c r="O164" s="309"/>
    </row>
    <row r="165" spans="1:15" s="164" customFormat="1" ht="67.5">
      <c r="A165" s="183" t="s">
        <v>7529</v>
      </c>
      <c r="B165" s="184" t="s">
        <v>8264</v>
      </c>
      <c r="C165" s="185">
        <f>MIN(E167:G167)</f>
        <v>32.591246217749202</v>
      </c>
      <c r="D165" s="186" t="s">
        <v>4</v>
      </c>
      <c r="E165" s="187" t="s">
        <v>8265</v>
      </c>
      <c r="F165" s="187" t="s">
        <v>13333</v>
      </c>
      <c r="G165" s="187" t="s">
        <v>26948</v>
      </c>
      <c r="H165" s="177" t="s">
        <v>170</v>
      </c>
      <c r="I165" s="177"/>
      <c r="J165" s="177"/>
      <c r="M165" s="187" t="s">
        <v>8265</v>
      </c>
      <c r="N165" s="187" t="s">
        <v>13333</v>
      </c>
      <c r="O165" s="187"/>
    </row>
    <row r="166" spans="1:15" s="164" customFormat="1" ht="11.25">
      <c r="A166" s="161"/>
      <c r="B166" s="165"/>
      <c r="C166" s="4" t="s">
        <v>272</v>
      </c>
      <c r="D166" s="170"/>
      <c r="E166" s="55" t="s">
        <v>8266</v>
      </c>
      <c r="F166" s="55" t="s">
        <v>13334</v>
      </c>
      <c r="G166" s="55"/>
      <c r="H166" s="177" t="s">
        <v>271</v>
      </c>
      <c r="I166" s="177" t="s">
        <v>268</v>
      </c>
      <c r="J166" s="177" t="s">
        <v>269</v>
      </c>
      <c r="M166" s="55" t="s">
        <v>8266</v>
      </c>
      <c r="N166" s="55" t="s">
        <v>13334</v>
      </c>
      <c r="O166" s="55"/>
    </row>
    <row r="167" spans="1:15" s="164" customFormat="1" ht="15">
      <c r="A167" s="166"/>
      <c r="B167" s="167"/>
      <c r="C167" s="4" t="s">
        <v>9</v>
      </c>
      <c r="D167" s="349"/>
      <c r="E167" s="74">
        <f>M167*'Reajustamento INCC'!$C$55</f>
        <v>32.591246217749202</v>
      </c>
      <c r="F167" s="74">
        <f>N167/'Reajustamento INCC'!$C$87</f>
        <v>89.958730979105255</v>
      </c>
      <c r="G167" s="74">
        <v>67.33</v>
      </c>
      <c r="H167" s="177">
        <f>MEDIAN(E167:G167)</f>
        <v>67.33</v>
      </c>
      <c r="I167" s="177">
        <f>H167*1.3</f>
        <v>87.528999999999996</v>
      </c>
      <c r="J167" s="177">
        <f>H167*0.7</f>
        <v>47.130999999999993</v>
      </c>
      <c r="M167" s="74">
        <v>32.020000000000003</v>
      </c>
      <c r="N167" s="74">
        <f>(236.18+87)/3.54</f>
        <v>91.293785310734464</v>
      </c>
      <c r="O167" s="74"/>
    </row>
    <row r="168" spans="1:15" s="164" customFormat="1" ht="15">
      <c r="A168" s="166"/>
      <c r="B168" s="167"/>
      <c r="C168" s="4" t="s">
        <v>8</v>
      </c>
      <c r="D168" s="171"/>
      <c r="E168" s="55" t="s">
        <v>8268</v>
      </c>
      <c r="F168" s="55" t="s">
        <v>8395</v>
      </c>
      <c r="G168" s="55"/>
      <c r="H168" s="177"/>
      <c r="I168" s="177"/>
      <c r="J168" s="177"/>
      <c r="M168" s="55" t="s">
        <v>8268</v>
      </c>
      <c r="N168" s="55" t="s">
        <v>8395</v>
      </c>
      <c r="O168" s="55"/>
    </row>
    <row r="169" spans="1:15" s="164" customFormat="1" ht="15">
      <c r="A169" s="166"/>
      <c r="B169" s="167"/>
      <c r="C169" s="4" t="s">
        <v>7</v>
      </c>
      <c r="D169" s="171"/>
      <c r="E169" s="3" t="s">
        <v>8267</v>
      </c>
      <c r="F169" s="3" t="s">
        <v>8397</v>
      </c>
      <c r="G169" s="3"/>
      <c r="H169" s="177"/>
      <c r="I169" s="177"/>
      <c r="J169" s="177"/>
      <c r="M169" s="3" t="s">
        <v>8267</v>
      </c>
      <c r="N169" s="3" t="s">
        <v>8397</v>
      </c>
      <c r="O169" s="3"/>
    </row>
    <row r="170" spans="1:15" s="164" customFormat="1" ht="15">
      <c r="A170" s="168"/>
      <c r="B170" s="169"/>
      <c r="C170" s="4" t="s">
        <v>6</v>
      </c>
      <c r="D170" s="172"/>
      <c r="E170" s="2">
        <v>43831</v>
      </c>
      <c r="F170" s="2">
        <v>43831</v>
      </c>
      <c r="G170" s="2"/>
      <c r="H170" s="177"/>
      <c r="I170" s="177"/>
      <c r="J170" s="177"/>
      <c r="M170" s="2">
        <v>43671</v>
      </c>
      <c r="N170" s="2">
        <v>43965</v>
      </c>
      <c r="O170" s="2"/>
    </row>
    <row r="171" spans="1:15" s="163" customFormat="1" ht="11.25">
      <c r="A171" s="302"/>
      <c r="B171" s="309"/>
      <c r="C171" s="309"/>
      <c r="D171" s="309"/>
      <c r="E171" s="309"/>
      <c r="F171" s="309"/>
      <c r="G171" s="309"/>
      <c r="H171" s="176"/>
      <c r="I171" s="176"/>
      <c r="J171" s="176"/>
      <c r="M171" s="309"/>
      <c r="N171" s="309"/>
      <c r="O171" s="309"/>
    </row>
    <row r="172" spans="1:15" s="164" customFormat="1" ht="45">
      <c r="A172" s="183" t="s">
        <v>7530</v>
      </c>
      <c r="B172" s="184" t="s">
        <v>8272</v>
      </c>
      <c r="C172" s="185">
        <f>MIN(E174:G174)</f>
        <v>157.18507662108084</v>
      </c>
      <c r="D172" s="186" t="s">
        <v>4</v>
      </c>
      <c r="E172" s="705" t="s">
        <v>8265</v>
      </c>
      <c r="F172" s="706"/>
      <c r="G172" s="707"/>
      <c r="H172" s="177" t="s">
        <v>170</v>
      </c>
      <c r="I172" s="177"/>
      <c r="J172" s="177"/>
      <c r="M172" s="705" t="s">
        <v>8265</v>
      </c>
      <c r="N172" s="706"/>
      <c r="O172" s="707"/>
    </row>
    <row r="173" spans="1:15" s="164" customFormat="1" ht="11.25">
      <c r="A173" s="161"/>
      <c r="B173" s="165"/>
      <c r="C173" s="4" t="s">
        <v>272</v>
      </c>
      <c r="D173" s="170"/>
      <c r="E173" s="708" t="s">
        <v>8266</v>
      </c>
      <c r="F173" s="709"/>
      <c r="G173" s="710"/>
      <c r="H173" s="177" t="s">
        <v>271</v>
      </c>
      <c r="I173" s="177" t="s">
        <v>268</v>
      </c>
      <c r="J173" s="177" t="s">
        <v>269</v>
      </c>
      <c r="M173" s="708" t="s">
        <v>8266</v>
      </c>
      <c r="N173" s="709"/>
      <c r="O173" s="710"/>
    </row>
    <row r="174" spans="1:15" s="164" customFormat="1" ht="15">
      <c r="A174" s="371" t="s">
        <v>8063</v>
      </c>
      <c r="B174" s="167"/>
      <c r="C174" s="4" t="s">
        <v>9</v>
      </c>
      <c r="D174" s="349"/>
      <c r="E174" s="711">
        <f>M174*'Reajustamento INCC'!$C$55</f>
        <v>157.18507662108084</v>
      </c>
      <c r="F174" s="712"/>
      <c r="G174" s="713"/>
      <c r="H174" s="177">
        <f>MEDIAN(E174:G174)</f>
        <v>157.18507662108084</v>
      </c>
      <c r="I174" s="177">
        <f>H174*1.3</f>
        <v>204.3405996074051</v>
      </c>
      <c r="J174" s="177">
        <f>H174*0.7</f>
        <v>110.02955363475658</v>
      </c>
      <c r="M174" s="711">
        <v>154.43</v>
      </c>
      <c r="N174" s="712"/>
      <c r="O174" s="713"/>
    </row>
    <row r="175" spans="1:15" s="164" customFormat="1" ht="15">
      <c r="A175" s="166"/>
      <c r="B175" s="167"/>
      <c r="C175" s="4" t="s">
        <v>8</v>
      </c>
      <c r="D175" s="171"/>
      <c r="E175" s="708" t="s">
        <v>8268</v>
      </c>
      <c r="F175" s="709"/>
      <c r="G175" s="710"/>
      <c r="H175" s="177"/>
      <c r="I175" s="177"/>
      <c r="J175" s="177"/>
      <c r="M175" s="708" t="s">
        <v>8268</v>
      </c>
      <c r="N175" s="709"/>
      <c r="O175" s="710"/>
    </row>
    <row r="176" spans="1:15" s="164" customFormat="1" ht="15">
      <c r="A176" s="166"/>
      <c r="B176" s="167"/>
      <c r="C176" s="4" t="s">
        <v>7</v>
      </c>
      <c r="D176" s="171"/>
      <c r="E176" s="714" t="s">
        <v>8267</v>
      </c>
      <c r="F176" s="715"/>
      <c r="G176" s="716"/>
      <c r="H176" s="177"/>
      <c r="I176" s="177"/>
      <c r="J176" s="177"/>
      <c r="M176" s="714" t="s">
        <v>8267</v>
      </c>
      <c r="N176" s="715"/>
      <c r="O176" s="716"/>
    </row>
    <row r="177" spans="1:15" s="164" customFormat="1" ht="15">
      <c r="A177" s="168"/>
      <c r="B177" s="169"/>
      <c r="C177" s="4" t="s">
        <v>6</v>
      </c>
      <c r="D177" s="172"/>
      <c r="E177" s="717">
        <v>43831</v>
      </c>
      <c r="F177" s="718"/>
      <c r="G177" s="719"/>
      <c r="H177" s="177"/>
      <c r="I177" s="177"/>
      <c r="J177" s="177"/>
      <c r="M177" s="717">
        <v>43671</v>
      </c>
      <c r="N177" s="718"/>
      <c r="O177" s="719"/>
    </row>
    <row r="178" spans="1:15" s="163" customFormat="1" ht="11.25">
      <c r="A178" s="302"/>
      <c r="B178" s="309"/>
      <c r="C178" s="309"/>
      <c r="D178" s="309"/>
      <c r="E178" s="309"/>
      <c r="F178" s="309"/>
      <c r="G178" s="309"/>
      <c r="H178" s="176"/>
      <c r="I178" s="176"/>
      <c r="J178" s="176"/>
      <c r="M178" s="309"/>
      <c r="N178" s="309"/>
      <c r="O178" s="309"/>
    </row>
    <row r="179" spans="1:15" s="164" customFormat="1" ht="22.5">
      <c r="A179" s="183" t="s">
        <v>7531</v>
      </c>
      <c r="B179" s="184" t="s">
        <v>8270</v>
      </c>
      <c r="C179" s="185">
        <f>MIN(E181:G181)</f>
        <v>15.267604411812552</v>
      </c>
      <c r="D179" s="186" t="s">
        <v>4</v>
      </c>
      <c r="E179" s="187" t="s">
        <v>8265</v>
      </c>
      <c r="F179" s="187" t="s">
        <v>8396</v>
      </c>
      <c r="G179" s="187" t="s">
        <v>26949</v>
      </c>
      <c r="H179" s="177" t="s">
        <v>170</v>
      </c>
      <c r="I179" s="177"/>
      <c r="J179" s="177"/>
      <c r="M179" s="187" t="s">
        <v>8265</v>
      </c>
      <c r="N179" s="187" t="s">
        <v>8396</v>
      </c>
      <c r="O179" s="187"/>
    </row>
    <row r="180" spans="1:15" s="164" customFormat="1" ht="22.5">
      <c r="A180" s="161"/>
      <c r="B180" s="165"/>
      <c r="C180" s="4" t="s">
        <v>272</v>
      </c>
      <c r="D180" s="170"/>
      <c r="E180" s="55" t="s">
        <v>8266</v>
      </c>
      <c r="F180" s="55" t="s">
        <v>8398</v>
      </c>
      <c r="G180" s="55"/>
      <c r="H180" s="177" t="s">
        <v>271</v>
      </c>
      <c r="I180" s="177" t="s">
        <v>268</v>
      </c>
      <c r="J180" s="177" t="s">
        <v>269</v>
      </c>
      <c r="M180" s="55" t="s">
        <v>8266</v>
      </c>
      <c r="N180" s="55" t="s">
        <v>8398</v>
      </c>
      <c r="O180" s="55"/>
    </row>
    <row r="181" spans="1:15" s="164" customFormat="1" ht="15">
      <c r="A181" s="166"/>
      <c r="B181" s="167"/>
      <c r="C181" s="4" t="s">
        <v>9</v>
      </c>
      <c r="D181" s="349"/>
      <c r="E181" s="74">
        <f>M181*'Reajustamento INCC'!$C$55</f>
        <v>15.267604411812552</v>
      </c>
      <c r="F181" s="74">
        <f>N181/'Reajustamento INCC'!$C$87</f>
        <v>35.526756565972953</v>
      </c>
      <c r="G181" s="74">
        <v>35.734299999999998</v>
      </c>
      <c r="H181" s="177">
        <f>MEDIAN(E181:G181)</f>
        <v>35.526756565972953</v>
      </c>
      <c r="I181" s="177">
        <f>H181*1.3</f>
        <v>46.184783535764844</v>
      </c>
      <c r="J181" s="177">
        <f>H181*0.7</f>
        <v>24.868729596181065</v>
      </c>
      <c r="M181" s="74">
        <v>15</v>
      </c>
      <c r="N181" s="74">
        <f>180.27/5</f>
        <v>36.054000000000002</v>
      </c>
      <c r="O181" s="74"/>
    </row>
    <row r="182" spans="1:15" s="164" customFormat="1" ht="15">
      <c r="A182" s="166"/>
      <c r="B182" s="167"/>
      <c r="C182" s="4" t="s">
        <v>8</v>
      </c>
      <c r="D182" s="171"/>
      <c r="E182" s="55" t="s">
        <v>8268</v>
      </c>
      <c r="F182" s="55" t="s">
        <v>8395</v>
      </c>
      <c r="G182" s="55"/>
      <c r="H182" s="177"/>
      <c r="I182" s="177"/>
      <c r="J182" s="177"/>
      <c r="M182" s="55" t="s">
        <v>8268</v>
      </c>
      <c r="N182" s="55" t="s">
        <v>8395</v>
      </c>
      <c r="O182" s="55"/>
    </row>
    <row r="183" spans="1:15" s="164" customFormat="1" ht="15">
      <c r="A183" s="166"/>
      <c r="B183" s="167"/>
      <c r="C183" s="4" t="s">
        <v>7</v>
      </c>
      <c r="D183" s="171"/>
      <c r="E183" s="3" t="s">
        <v>8267</v>
      </c>
      <c r="F183" s="3" t="s">
        <v>8397</v>
      </c>
      <c r="G183" s="3"/>
      <c r="H183" s="177"/>
      <c r="I183" s="177"/>
      <c r="J183" s="177"/>
      <c r="M183" s="3" t="s">
        <v>8267</v>
      </c>
      <c r="N183" s="3" t="s">
        <v>8397</v>
      </c>
      <c r="O183" s="3"/>
    </row>
    <row r="184" spans="1:15" s="164" customFormat="1" ht="15">
      <c r="A184" s="168"/>
      <c r="B184" s="169"/>
      <c r="C184" s="4" t="s">
        <v>6</v>
      </c>
      <c r="D184" s="172"/>
      <c r="E184" s="2">
        <v>43831</v>
      </c>
      <c r="F184" s="2">
        <v>43831</v>
      </c>
      <c r="G184" s="2"/>
      <c r="H184" s="177"/>
      <c r="I184" s="177"/>
      <c r="J184" s="177"/>
      <c r="M184" s="2">
        <v>43671</v>
      </c>
      <c r="N184" s="2">
        <v>43965</v>
      </c>
      <c r="O184" s="2"/>
    </row>
    <row r="185" spans="1:15" s="163" customFormat="1" ht="11.25">
      <c r="A185" s="302"/>
      <c r="B185" s="309"/>
      <c r="C185" s="309"/>
      <c r="D185" s="309"/>
      <c r="E185" s="309"/>
      <c r="F185" s="309"/>
      <c r="G185" s="309"/>
      <c r="H185" s="176"/>
      <c r="I185" s="176"/>
      <c r="J185" s="176"/>
      <c r="M185" s="309"/>
      <c r="N185" s="309"/>
      <c r="O185" s="309"/>
    </row>
    <row r="186" spans="1:15" s="164" customFormat="1" ht="56.25">
      <c r="A186" s="183" t="s">
        <v>7532</v>
      </c>
      <c r="B186" s="184" t="s">
        <v>8271</v>
      </c>
      <c r="C186" s="185">
        <f>MIN(E188:G188)</f>
        <v>38.647395967768176</v>
      </c>
      <c r="D186" s="186" t="s">
        <v>4</v>
      </c>
      <c r="E186" s="187" t="s">
        <v>8265</v>
      </c>
      <c r="F186" s="187" t="s">
        <v>13333</v>
      </c>
      <c r="G186" s="187" t="s">
        <v>26948</v>
      </c>
      <c r="H186" s="177" t="s">
        <v>170</v>
      </c>
      <c r="I186" s="177"/>
      <c r="J186" s="177"/>
      <c r="M186" s="187" t="s">
        <v>8265</v>
      </c>
      <c r="N186" s="187" t="s">
        <v>13333</v>
      </c>
      <c r="O186" s="187"/>
    </row>
    <row r="187" spans="1:15" s="164" customFormat="1" ht="11.25">
      <c r="A187" s="161"/>
      <c r="B187" s="165"/>
      <c r="C187" s="4" t="s">
        <v>272</v>
      </c>
      <c r="D187" s="170"/>
      <c r="E187" s="55" t="s">
        <v>8266</v>
      </c>
      <c r="F187" s="55" t="s">
        <v>13334</v>
      </c>
      <c r="G187" s="55"/>
      <c r="H187" s="177" t="s">
        <v>271</v>
      </c>
      <c r="I187" s="177" t="s">
        <v>268</v>
      </c>
      <c r="J187" s="177" t="s">
        <v>269</v>
      </c>
      <c r="M187" s="55" t="s">
        <v>8266</v>
      </c>
      <c r="N187" s="55" t="s">
        <v>13334</v>
      </c>
      <c r="O187" s="55"/>
    </row>
    <row r="188" spans="1:15" s="164" customFormat="1" ht="15">
      <c r="A188" s="166"/>
      <c r="B188" s="167"/>
      <c r="C188" s="4" t="s">
        <v>9</v>
      </c>
      <c r="D188" s="349"/>
      <c r="E188" s="74">
        <f>M188*'Reajustamento INCC'!$C$55</f>
        <v>38.647395967768176</v>
      </c>
      <c r="F188" s="74">
        <f>N188/'Reajustamento INCC'!$C$87</f>
        <v>103.63152281552351</v>
      </c>
      <c r="G188" s="74">
        <v>67.33</v>
      </c>
      <c r="H188" s="177">
        <f>MEDIAN(E188:G188)</f>
        <v>67.33</v>
      </c>
      <c r="I188" s="177">
        <f>H188*1.3</f>
        <v>87.528999999999996</v>
      </c>
      <c r="J188" s="177">
        <f>H188*0.7</f>
        <v>47.130999999999993</v>
      </c>
      <c r="M188" s="74">
        <v>37.97</v>
      </c>
      <c r="N188" s="74">
        <f>(291.93+80.37)/3.54</f>
        <v>105.16949152542374</v>
      </c>
      <c r="O188" s="74"/>
    </row>
    <row r="189" spans="1:15" s="164" customFormat="1" ht="15">
      <c r="A189" s="166"/>
      <c r="B189" s="167"/>
      <c r="C189" s="4" t="s">
        <v>8</v>
      </c>
      <c r="D189" s="171"/>
      <c r="E189" s="55" t="s">
        <v>8268</v>
      </c>
      <c r="F189" s="55" t="s">
        <v>8395</v>
      </c>
      <c r="G189" s="55"/>
      <c r="H189" s="177"/>
      <c r="I189" s="177"/>
      <c r="J189" s="177"/>
      <c r="M189" s="55" t="s">
        <v>8268</v>
      </c>
      <c r="N189" s="55" t="s">
        <v>8395</v>
      </c>
      <c r="O189" s="55"/>
    </row>
    <row r="190" spans="1:15" s="164" customFormat="1" ht="15">
      <c r="A190" s="166"/>
      <c r="B190" s="167"/>
      <c r="C190" s="4" t="s">
        <v>7</v>
      </c>
      <c r="D190" s="171"/>
      <c r="E190" s="3" t="s">
        <v>8267</v>
      </c>
      <c r="F190" s="3" t="s">
        <v>8397</v>
      </c>
      <c r="G190" s="3"/>
      <c r="H190" s="177"/>
      <c r="I190" s="177"/>
      <c r="J190" s="177"/>
      <c r="M190" s="3" t="s">
        <v>8267</v>
      </c>
      <c r="N190" s="3" t="s">
        <v>8397</v>
      </c>
      <c r="O190" s="3"/>
    </row>
    <row r="191" spans="1:15" s="164" customFormat="1" ht="15">
      <c r="A191" s="168"/>
      <c r="B191" s="169"/>
      <c r="C191" s="4" t="s">
        <v>6</v>
      </c>
      <c r="D191" s="172"/>
      <c r="E191" s="2">
        <v>43831</v>
      </c>
      <c r="F191" s="2">
        <v>43831</v>
      </c>
      <c r="G191" s="2"/>
      <c r="H191" s="177"/>
      <c r="I191" s="177"/>
      <c r="J191" s="177"/>
      <c r="M191" s="2">
        <v>43671</v>
      </c>
      <c r="N191" s="2">
        <v>43965</v>
      </c>
      <c r="O191" s="2"/>
    </row>
    <row r="192" spans="1:15" s="163" customFormat="1" ht="11.25">
      <c r="A192" s="302"/>
      <c r="B192" s="309"/>
      <c r="C192" s="309"/>
      <c r="D192" s="309"/>
      <c r="E192" s="309"/>
      <c r="F192" s="309"/>
      <c r="G192" s="309"/>
      <c r="H192" s="176"/>
      <c r="I192" s="176"/>
      <c r="J192" s="176"/>
      <c r="M192" s="309"/>
      <c r="N192" s="309"/>
      <c r="O192" s="309"/>
    </row>
    <row r="193" spans="1:15" s="164" customFormat="1" ht="56.25">
      <c r="A193" s="183" t="s">
        <v>7534</v>
      </c>
      <c r="B193" s="184" t="s">
        <v>8275</v>
      </c>
      <c r="C193" s="185">
        <f>MIN(E195:G195)</f>
        <v>16.431184459966438</v>
      </c>
      <c r="D193" s="186" t="s">
        <v>89</v>
      </c>
      <c r="E193" s="705" t="s">
        <v>8076</v>
      </c>
      <c r="F193" s="706"/>
      <c r="G193" s="707"/>
      <c r="H193" s="177" t="s">
        <v>170</v>
      </c>
      <c r="I193" s="177"/>
      <c r="J193" s="177"/>
      <c r="M193" s="705" t="s">
        <v>8076</v>
      </c>
      <c r="N193" s="706"/>
      <c r="O193" s="707"/>
    </row>
    <row r="194" spans="1:15" s="164" customFormat="1" ht="11.25">
      <c r="A194" s="161"/>
      <c r="B194" s="165"/>
      <c r="C194" s="4" t="s">
        <v>272</v>
      </c>
      <c r="D194" s="170"/>
      <c r="E194" s="708" t="s">
        <v>8072</v>
      </c>
      <c r="F194" s="709"/>
      <c r="G194" s="710"/>
      <c r="H194" s="177" t="s">
        <v>271</v>
      </c>
      <c r="I194" s="177" t="s">
        <v>268</v>
      </c>
      <c r="J194" s="177" t="s">
        <v>269</v>
      </c>
      <c r="M194" s="708" t="s">
        <v>8072</v>
      </c>
      <c r="N194" s="709"/>
      <c r="O194" s="710"/>
    </row>
    <row r="195" spans="1:15" s="164" customFormat="1" ht="15">
      <c r="A195" s="371" t="s">
        <v>8063</v>
      </c>
      <c r="B195" s="167"/>
      <c r="C195" s="4" t="s">
        <v>9</v>
      </c>
      <c r="D195" s="349"/>
      <c r="E195" s="711">
        <f>M195*'Reajustamento INCC'!$C$47</f>
        <v>16.431184459966438</v>
      </c>
      <c r="F195" s="712"/>
      <c r="G195" s="713"/>
      <c r="H195" s="177">
        <f>MEDIAN(E195:G195)</f>
        <v>16.431184459966438</v>
      </c>
      <c r="I195" s="177">
        <f>H195*1.3</f>
        <v>21.36053979795637</v>
      </c>
      <c r="J195" s="177">
        <f>H195*0.7</f>
        <v>11.501829121976506</v>
      </c>
      <c r="M195" s="711">
        <v>16.100000000000001</v>
      </c>
      <c r="N195" s="712"/>
      <c r="O195" s="713"/>
    </row>
    <row r="196" spans="1:15" s="164" customFormat="1" ht="15">
      <c r="A196" s="166"/>
      <c r="B196" s="167"/>
      <c r="C196" s="4" t="s">
        <v>8</v>
      </c>
      <c r="D196" s="171"/>
      <c r="E196" s="708" t="s">
        <v>8070</v>
      </c>
      <c r="F196" s="709"/>
      <c r="G196" s="710"/>
      <c r="H196" s="177"/>
      <c r="I196" s="177"/>
      <c r="J196" s="177"/>
      <c r="M196" s="708" t="s">
        <v>8070</v>
      </c>
      <c r="N196" s="709"/>
      <c r="O196" s="710"/>
    </row>
    <row r="197" spans="1:15" s="164" customFormat="1" ht="15">
      <c r="A197" s="166"/>
      <c r="B197" s="167"/>
      <c r="C197" s="4" t="s">
        <v>7</v>
      </c>
      <c r="D197" s="171"/>
      <c r="E197" s="714" t="s">
        <v>8071</v>
      </c>
      <c r="F197" s="715"/>
      <c r="G197" s="716"/>
      <c r="H197" s="177"/>
      <c r="I197" s="177"/>
      <c r="J197" s="177"/>
      <c r="M197" s="714" t="s">
        <v>8071</v>
      </c>
      <c r="N197" s="715"/>
      <c r="O197" s="716"/>
    </row>
    <row r="198" spans="1:15" s="164" customFormat="1" ht="15">
      <c r="A198" s="168"/>
      <c r="B198" s="169"/>
      <c r="C198" s="4" t="s">
        <v>6</v>
      </c>
      <c r="D198" s="172"/>
      <c r="E198" s="717">
        <v>43831</v>
      </c>
      <c r="F198" s="718"/>
      <c r="G198" s="719"/>
      <c r="H198" s="177"/>
      <c r="I198" s="177"/>
      <c r="J198" s="177"/>
      <c r="M198" s="717">
        <v>43617</v>
      </c>
      <c r="N198" s="718"/>
      <c r="O198" s="719"/>
    </row>
    <row r="199" spans="1:15" s="163" customFormat="1" ht="11.25">
      <c r="A199" s="302"/>
      <c r="B199" s="309"/>
      <c r="C199" s="309"/>
      <c r="D199" s="309"/>
      <c r="E199" s="309"/>
      <c r="F199" s="309"/>
      <c r="G199" s="309"/>
      <c r="H199" s="176"/>
      <c r="I199" s="176"/>
      <c r="J199" s="176"/>
      <c r="M199" s="309"/>
      <c r="N199" s="309"/>
      <c r="O199" s="309"/>
    </row>
    <row r="200" spans="1:15" s="164" customFormat="1" ht="33.75">
      <c r="A200" s="183" t="s">
        <v>7535</v>
      </c>
      <c r="B200" s="184" t="s">
        <v>8293</v>
      </c>
      <c r="C200" s="185">
        <f>MIN(E202:G202)</f>
        <v>32.76722987786053</v>
      </c>
      <c r="D200" s="186" t="s">
        <v>4</v>
      </c>
      <c r="E200" s="705" t="s">
        <v>8296</v>
      </c>
      <c r="F200" s="706"/>
      <c r="G200" s="707"/>
      <c r="H200" s="177" t="s">
        <v>170</v>
      </c>
      <c r="I200" s="177"/>
      <c r="J200" s="177"/>
      <c r="M200" s="705" t="s">
        <v>8296</v>
      </c>
      <c r="N200" s="706"/>
      <c r="O200" s="707"/>
    </row>
    <row r="201" spans="1:15" s="164" customFormat="1" ht="11.25">
      <c r="A201" s="161"/>
      <c r="B201" s="165"/>
      <c r="C201" s="4" t="s">
        <v>272</v>
      </c>
      <c r="D201" s="170"/>
      <c r="E201" s="708" t="s">
        <v>8297</v>
      </c>
      <c r="F201" s="709"/>
      <c r="G201" s="710"/>
      <c r="H201" s="177" t="s">
        <v>271</v>
      </c>
      <c r="I201" s="177" t="s">
        <v>268</v>
      </c>
      <c r="J201" s="177" t="s">
        <v>269</v>
      </c>
      <c r="M201" s="708" t="s">
        <v>8297</v>
      </c>
      <c r="N201" s="709"/>
      <c r="O201" s="710"/>
    </row>
    <row r="202" spans="1:15" s="164" customFormat="1" ht="15">
      <c r="A202" s="371" t="s">
        <v>8063</v>
      </c>
      <c r="B202" s="167"/>
      <c r="C202" s="4" t="s">
        <v>9</v>
      </c>
      <c r="D202" s="349"/>
      <c r="E202" s="711">
        <f>M202/'Reajustamento INCC'!$C$79</f>
        <v>32.76722987786053</v>
      </c>
      <c r="F202" s="712"/>
      <c r="G202" s="713"/>
      <c r="H202" s="177">
        <f>MEDIAN(E202:G202)</f>
        <v>32.76722987786053</v>
      </c>
      <c r="I202" s="177">
        <f>H202*1.3</f>
        <v>42.597398841218691</v>
      </c>
      <c r="J202" s="177">
        <f>H202*0.7</f>
        <v>22.937060914502368</v>
      </c>
      <c r="M202" s="711">
        <f>24.75*1.11*1.05*1.15</f>
        <v>33.173043750000005</v>
      </c>
      <c r="N202" s="712"/>
      <c r="O202" s="713"/>
    </row>
    <row r="203" spans="1:15" s="164" customFormat="1" ht="21.6" customHeight="1">
      <c r="A203" s="720" t="s">
        <v>8299</v>
      </c>
      <c r="B203" s="721"/>
      <c r="C203" s="4" t="s">
        <v>8</v>
      </c>
      <c r="D203" s="171"/>
      <c r="E203" s="708" t="s">
        <v>8295</v>
      </c>
      <c r="F203" s="709"/>
      <c r="G203" s="710"/>
      <c r="H203" s="177"/>
      <c r="I203" s="177"/>
      <c r="J203" s="177"/>
      <c r="M203" s="708" t="s">
        <v>8295</v>
      </c>
      <c r="N203" s="709"/>
      <c r="O203" s="710"/>
    </row>
    <row r="204" spans="1:15" s="164" customFormat="1" ht="15">
      <c r="A204" s="166"/>
      <c r="B204" s="167"/>
      <c r="C204" s="4" t="s">
        <v>7</v>
      </c>
      <c r="D204" s="171"/>
      <c r="E204" s="714" t="s">
        <v>8298</v>
      </c>
      <c r="F204" s="715"/>
      <c r="G204" s="716"/>
      <c r="H204" s="177"/>
      <c r="I204" s="177"/>
      <c r="J204" s="177"/>
      <c r="M204" s="714" t="s">
        <v>8298</v>
      </c>
      <c r="N204" s="715"/>
      <c r="O204" s="716"/>
    </row>
    <row r="205" spans="1:15" s="164" customFormat="1" ht="15">
      <c r="A205" s="168"/>
      <c r="B205" s="169"/>
      <c r="C205" s="4" t="s">
        <v>6</v>
      </c>
      <c r="D205" s="172"/>
      <c r="E205" s="717">
        <v>43831</v>
      </c>
      <c r="F205" s="718"/>
      <c r="G205" s="719"/>
      <c r="H205" s="177"/>
      <c r="I205" s="177"/>
      <c r="J205" s="177"/>
      <c r="M205" s="717">
        <v>43936</v>
      </c>
      <c r="N205" s="718"/>
      <c r="O205" s="719"/>
    </row>
    <row r="206" spans="1:15" s="163" customFormat="1" ht="11.25">
      <c r="A206" s="302"/>
      <c r="B206" s="309"/>
      <c r="C206" s="309"/>
      <c r="D206" s="309"/>
      <c r="E206" s="309"/>
      <c r="F206" s="309"/>
      <c r="G206" s="309"/>
      <c r="H206" s="176"/>
      <c r="I206" s="176"/>
      <c r="J206" s="176"/>
      <c r="M206" s="309"/>
      <c r="N206" s="309"/>
      <c r="O206" s="309"/>
    </row>
    <row r="207" spans="1:15" s="164" customFormat="1" ht="11.25">
      <c r="A207" s="183" t="s">
        <v>7536</v>
      </c>
      <c r="B207" s="184" t="s">
        <v>8294</v>
      </c>
      <c r="C207" s="185">
        <f>MIN(E209:G209)</f>
        <v>10.818387007293635</v>
      </c>
      <c r="D207" s="186" t="s">
        <v>4</v>
      </c>
      <c r="E207" s="705" t="s">
        <v>8296</v>
      </c>
      <c r="F207" s="706"/>
      <c r="G207" s="707"/>
      <c r="H207" s="177" t="s">
        <v>170</v>
      </c>
      <c r="I207" s="177"/>
      <c r="J207" s="177"/>
      <c r="M207" s="705" t="s">
        <v>8296</v>
      </c>
      <c r="N207" s="706"/>
      <c r="O207" s="707"/>
    </row>
    <row r="208" spans="1:15" s="164" customFormat="1" ht="11.25">
      <c r="A208" s="161"/>
      <c r="B208" s="165"/>
      <c r="C208" s="4" t="s">
        <v>272</v>
      </c>
      <c r="D208" s="170"/>
      <c r="E208" s="708" t="s">
        <v>8297</v>
      </c>
      <c r="F208" s="709"/>
      <c r="G208" s="710"/>
      <c r="H208" s="177" t="s">
        <v>271</v>
      </c>
      <c r="I208" s="177" t="s">
        <v>268</v>
      </c>
      <c r="J208" s="177" t="s">
        <v>269</v>
      </c>
      <c r="M208" s="708" t="s">
        <v>8297</v>
      </c>
      <c r="N208" s="709"/>
      <c r="O208" s="710"/>
    </row>
    <row r="209" spans="1:15" s="164" customFormat="1" ht="15">
      <c r="A209" s="371" t="s">
        <v>8063</v>
      </c>
      <c r="B209" s="167"/>
      <c r="C209" s="4" t="s">
        <v>9</v>
      </c>
      <c r="D209" s="349"/>
      <c r="E209" s="711">
        <f>M209/'Reajustamento INCC'!$C$79</f>
        <v>10.818387007293635</v>
      </c>
      <c r="F209" s="712"/>
      <c r="G209" s="713"/>
      <c r="H209" s="177">
        <f>MEDIAN(E209:G209)</f>
        <v>10.818387007293635</v>
      </c>
      <c r="I209" s="177">
        <f>H209*1.3</f>
        <v>14.063903109481727</v>
      </c>
      <c r="J209" s="177">
        <f>H209*0.7</f>
        <v>7.5728709051055443</v>
      </c>
      <c r="M209" s="711">
        <f>7.8*1.11*1.1*1.15</f>
        <v>10.95237</v>
      </c>
      <c r="N209" s="712"/>
      <c r="O209" s="713"/>
    </row>
    <row r="210" spans="1:15" s="164" customFormat="1" ht="21.6" customHeight="1">
      <c r="A210" s="720" t="s">
        <v>8299</v>
      </c>
      <c r="B210" s="721"/>
      <c r="C210" s="4" t="s">
        <v>8</v>
      </c>
      <c r="D210" s="171"/>
      <c r="E210" s="708" t="s">
        <v>8295</v>
      </c>
      <c r="F210" s="709"/>
      <c r="G210" s="710"/>
      <c r="H210" s="177"/>
      <c r="I210" s="177"/>
      <c r="J210" s="177"/>
      <c r="M210" s="708" t="s">
        <v>8295</v>
      </c>
      <c r="N210" s="709"/>
      <c r="O210" s="710"/>
    </row>
    <row r="211" spans="1:15" s="164" customFormat="1" ht="15">
      <c r="A211" s="166"/>
      <c r="B211" s="167"/>
      <c r="C211" s="4" t="s">
        <v>7</v>
      </c>
      <c r="D211" s="171"/>
      <c r="E211" s="714" t="s">
        <v>8298</v>
      </c>
      <c r="F211" s="715"/>
      <c r="G211" s="716"/>
      <c r="H211" s="177"/>
      <c r="I211" s="177"/>
      <c r="J211" s="177"/>
      <c r="M211" s="714" t="s">
        <v>8298</v>
      </c>
      <c r="N211" s="715"/>
      <c r="O211" s="716"/>
    </row>
    <row r="212" spans="1:15" s="164" customFormat="1" ht="15">
      <c r="A212" s="168"/>
      <c r="B212" s="169"/>
      <c r="C212" s="4" t="s">
        <v>6</v>
      </c>
      <c r="D212" s="172"/>
      <c r="E212" s="717">
        <v>43831</v>
      </c>
      <c r="F212" s="718"/>
      <c r="G212" s="719"/>
      <c r="H212" s="177"/>
      <c r="I212" s="177"/>
      <c r="J212" s="177"/>
      <c r="M212" s="717">
        <v>43936</v>
      </c>
      <c r="N212" s="718"/>
      <c r="O212" s="719"/>
    </row>
    <row r="213" spans="1:15" s="163" customFormat="1" ht="11.25">
      <c r="A213" s="302"/>
      <c r="B213" s="309"/>
      <c r="C213" s="309"/>
      <c r="D213" s="309"/>
      <c r="E213" s="309"/>
      <c r="F213" s="309"/>
      <c r="G213" s="309"/>
      <c r="H213" s="176"/>
      <c r="I213" s="176"/>
      <c r="J213" s="176"/>
      <c r="M213" s="309"/>
      <c r="N213" s="309"/>
      <c r="O213" s="309"/>
    </row>
    <row r="214" spans="1:15" s="164" customFormat="1" ht="33.75">
      <c r="A214" s="183" t="s">
        <v>7537</v>
      </c>
      <c r="B214" s="184" t="s">
        <v>8300</v>
      </c>
      <c r="C214" s="185">
        <f>MIN(E216:G216)</f>
        <v>30.715140733994517</v>
      </c>
      <c r="D214" s="186" t="s">
        <v>4</v>
      </c>
      <c r="E214" s="705" t="s">
        <v>8296</v>
      </c>
      <c r="F214" s="706"/>
      <c r="G214" s="707"/>
      <c r="H214" s="177" t="s">
        <v>170</v>
      </c>
      <c r="I214" s="177"/>
      <c r="J214" s="177"/>
      <c r="M214" s="705" t="s">
        <v>8296</v>
      </c>
      <c r="N214" s="706"/>
      <c r="O214" s="707"/>
    </row>
    <row r="215" spans="1:15" s="164" customFormat="1" ht="11.25">
      <c r="A215" s="161"/>
      <c r="B215" s="165"/>
      <c r="C215" s="4" t="s">
        <v>272</v>
      </c>
      <c r="D215" s="170"/>
      <c r="E215" s="708" t="s">
        <v>8297</v>
      </c>
      <c r="F215" s="709"/>
      <c r="G215" s="710"/>
      <c r="H215" s="177" t="s">
        <v>271</v>
      </c>
      <c r="I215" s="177" t="s">
        <v>268</v>
      </c>
      <c r="J215" s="177" t="s">
        <v>269</v>
      </c>
      <c r="M215" s="708" t="s">
        <v>8297</v>
      </c>
      <c r="N215" s="709"/>
      <c r="O215" s="710"/>
    </row>
    <row r="216" spans="1:15" s="164" customFormat="1" ht="15">
      <c r="A216" s="371" t="s">
        <v>8063</v>
      </c>
      <c r="B216" s="167"/>
      <c r="C216" s="4" t="s">
        <v>9</v>
      </c>
      <c r="D216" s="349"/>
      <c r="E216" s="711">
        <f>M216/'Reajustamento INCC'!$C$79</f>
        <v>30.715140733994517</v>
      </c>
      <c r="F216" s="712"/>
      <c r="G216" s="713"/>
      <c r="H216" s="177">
        <f>MEDIAN(E216:G216)</f>
        <v>30.715140733994517</v>
      </c>
      <c r="I216" s="177">
        <f>H216*1.3</f>
        <v>39.92968295419287</v>
      </c>
      <c r="J216" s="177">
        <f>H216*0.7</f>
        <v>21.500598513796159</v>
      </c>
      <c r="M216" s="711">
        <f>23.2*1.11*1.05*1.15</f>
        <v>31.095540000000003</v>
      </c>
      <c r="N216" s="712"/>
      <c r="O216" s="713"/>
    </row>
    <row r="217" spans="1:15" s="164" customFormat="1" ht="21.6" customHeight="1">
      <c r="A217" s="720" t="s">
        <v>8299</v>
      </c>
      <c r="B217" s="721"/>
      <c r="C217" s="4" t="s">
        <v>8</v>
      </c>
      <c r="D217" s="171"/>
      <c r="E217" s="708" t="s">
        <v>8295</v>
      </c>
      <c r="F217" s="709"/>
      <c r="G217" s="710"/>
      <c r="H217" s="177"/>
      <c r="I217" s="177"/>
      <c r="J217" s="177"/>
      <c r="M217" s="708" t="s">
        <v>8295</v>
      </c>
      <c r="N217" s="709"/>
      <c r="O217" s="710"/>
    </row>
    <row r="218" spans="1:15" s="164" customFormat="1" ht="15">
      <c r="A218" s="166"/>
      <c r="B218" s="167"/>
      <c r="C218" s="4" t="s">
        <v>7</v>
      </c>
      <c r="D218" s="171"/>
      <c r="E218" s="714" t="s">
        <v>8298</v>
      </c>
      <c r="F218" s="715"/>
      <c r="G218" s="716"/>
      <c r="H218" s="177"/>
      <c r="I218" s="177"/>
      <c r="J218" s="177"/>
      <c r="M218" s="714" t="s">
        <v>8298</v>
      </c>
      <c r="N218" s="715"/>
      <c r="O218" s="716"/>
    </row>
    <row r="219" spans="1:15" s="164" customFormat="1" ht="15">
      <c r="A219" s="168"/>
      <c r="B219" s="169"/>
      <c r="C219" s="4" t="s">
        <v>6</v>
      </c>
      <c r="D219" s="172"/>
      <c r="E219" s="717">
        <v>43831</v>
      </c>
      <c r="F219" s="718"/>
      <c r="G219" s="719"/>
      <c r="H219" s="177"/>
      <c r="I219" s="177"/>
      <c r="J219" s="177"/>
      <c r="M219" s="717">
        <v>43936</v>
      </c>
      <c r="N219" s="718"/>
      <c r="O219" s="719"/>
    </row>
    <row r="220" spans="1:15" s="163" customFormat="1" ht="11.25">
      <c r="A220" s="302"/>
      <c r="B220" s="309"/>
      <c r="C220" s="309"/>
      <c r="D220" s="309"/>
      <c r="E220" s="309"/>
      <c r="F220" s="309"/>
      <c r="G220" s="309"/>
      <c r="H220" s="176"/>
      <c r="I220" s="176"/>
      <c r="J220" s="176"/>
      <c r="M220" s="309"/>
      <c r="N220" s="309"/>
      <c r="O220" s="309"/>
    </row>
    <row r="221" spans="1:15" s="164" customFormat="1" ht="22.5">
      <c r="A221" s="183" t="s">
        <v>7539</v>
      </c>
      <c r="B221" s="184" t="s">
        <v>13243</v>
      </c>
      <c r="C221" s="185">
        <f>MIN(E223:G223)</f>
        <v>196.21797955794625</v>
      </c>
      <c r="D221" s="186" t="s">
        <v>90</v>
      </c>
      <c r="E221" s="187" t="s">
        <v>8399</v>
      </c>
      <c r="F221" s="187" t="s">
        <v>13245</v>
      </c>
      <c r="G221" s="187" t="s">
        <v>13251</v>
      </c>
      <c r="H221" s="177" t="s">
        <v>170</v>
      </c>
      <c r="I221" s="177"/>
      <c r="J221" s="177"/>
      <c r="M221" s="187" t="s">
        <v>8399</v>
      </c>
      <c r="N221" s="187" t="s">
        <v>13245</v>
      </c>
      <c r="O221" s="187" t="s">
        <v>13251</v>
      </c>
    </row>
    <row r="222" spans="1:15" s="164" customFormat="1" ht="22.5">
      <c r="A222" s="161"/>
      <c r="B222" s="165"/>
      <c r="C222" s="4" t="s">
        <v>272</v>
      </c>
      <c r="D222" s="170"/>
      <c r="E222" s="55" t="s">
        <v>8400</v>
      </c>
      <c r="F222" s="55" t="s">
        <v>13247</v>
      </c>
      <c r="G222" s="55" t="s">
        <v>13250</v>
      </c>
      <c r="H222" s="177" t="s">
        <v>271</v>
      </c>
      <c r="I222" s="177" t="s">
        <v>268</v>
      </c>
      <c r="J222" s="177" t="s">
        <v>269</v>
      </c>
      <c r="M222" s="55" t="s">
        <v>8400</v>
      </c>
      <c r="N222" s="55" t="s">
        <v>13247</v>
      </c>
      <c r="O222" s="55" t="s">
        <v>13250</v>
      </c>
    </row>
    <row r="223" spans="1:15" s="164" customFormat="1" ht="15">
      <c r="A223" s="166"/>
      <c r="B223" s="167"/>
      <c r="C223" s="4" t="s">
        <v>9</v>
      </c>
      <c r="D223" s="349"/>
      <c r="E223" s="74">
        <f>M223/'Reajustamento INCC'!$C$71</f>
        <v>602.94498098518363</v>
      </c>
      <c r="F223" s="74">
        <f>N223/'Reajustamento INCC'!$C$87</f>
        <v>293.64213281910298</v>
      </c>
      <c r="G223" s="74">
        <f>O223/'Reajustamento INCC'!$C$87</f>
        <v>196.21797955794625</v>
      </c>
      <c r="H223" s="177">
        <f>MEDIAN(E223:G223)</f>
        <v>293.64213281910298</v>
      </c>
      <c r="I223" s="177">
        <f>H223*1.3</f>
        <v>381.73477266483388</v>
      </c>
      <c r="J223" s="177">
        <f>H223*0.7</f>
        <v>205.54949297337208</v>
      </c>
      <c r="M223" s="74">
        <v>609</v>
      </c>
      <c r="N223" s="74">
        <v>298</v>
      </c>
      <c r="O223" s="74">
        <v>199.13</v>
      </c>
    </row>
    <row r="224" spans="1:15" s="164" customFormat="1" ht="15">
      <c r="A224" s="166"/>
      <c r="B224" s="167"/>
      <c r="C224" s="4" t="s">
        <v>8</v>
      </c>
      <c r="D224" s="171"/>
      <c r="E224" s="55" t="s">
        <v>8401</v>
      </c>
      <c r="F224" s="55" t="s">
        <v>13248</v>
      </c>
      <c r="G224" s="55" t="s">
        <v>13252</v>
      </c>
      <c r="H224" s="177"/>
      <c r="I224" s="177"/>
      <c r="J224" s="177"/>
      <c r="M224" s="55" t="s">
        <v>8401</v>
      </c>
      <c r="N224" s="55" t="s">
        <v>13248</v>
      </c>
      <c r="O224" s="55" t="s">
        <v>13252</v>
      </c>
    </row>
    <row r="225" spans="1:15" s="164" customFormat="1" ht="15">
      <c r="A225" s="166"/>
      <c r="B225" s="167"/>
      <c r="C225" s="4" t="s">
        <v>7</v>
      </c>
      <c r="D225" s="171"/>
      <c r="E225" s="3" t="s">
        <v>8402</v>
      </c>
      <c r="F225" s="3" t="s">
        <v>13246</v>
      </c>
      <c r="G225" s="3" t="s">
        <v>13249</v>
      </c>
      <c r="H225" s="177"/>
      <c r="I225" s="177"/>
      <c r="J225" s="177"/>
      <c r="M225" s="3" t="s">
        <v>8402</v>
      </c>
      <c r="N225" s="3" t="s">
        <v>13246</v>
      </c>
      <c r="O225" s="3" t="s">
        <v>13249</v>
      </c>
    </row>
    <row r="226" spans="1:15" s="164" customFormat="1" ht="15">
      <c r="A226" s="168"/>
      <c r="B226" s="169"/>
      <c r="C226" s="4" t="s">
        <v>6</v>
      </c>
      <c r="D226" s="172"/>
      <c r="E226" s="2">
        <v>43831</v>
      </c>
      <c r="F226" s="2">
        <v>43831</v>
      </c>
      <c r="G226" s="2">
        <v>43831</v>
      </c>
      <c r="H226" s="177"/>
      <c r="I226" s="177"/>
      <c r="J226" s="177"/>
      <c r="M226" s="2">
        <v>43910</v>
      </c>
      <c r="N226" s="2">
        <v>43963</v>
      </c>
      <c r="O226" s="2">
        <v>43964</v>
      </c>
    </row>
    <row r="227" spans="1:15" s="163" customFormat="1" ht="11.25">
      <c r="A227" s="302"/>
      <c r="B227" s="309"/>
      <c r="C227" s="309"/>
      <c r="D227" s="309"/>
      <c r="E227" s="309"/>
      <c r="F227" s="309"/>
      <c r="G227" s="309"/>
      <c r="H227" s="176"/>
      <c r="I227" s="176"/>
      <c r="J227" s="176"/>
      <c r="M227" s="309"/>
      <c r="N227" s="309"/>
      <c r="O227" s="309"/>
    </row>
    <row r="228" spans="1:15" s="164" customFormat="1" ht="11.25">
      <c r="A228" s="183" t="s">
        <v>7540</v>
      </c>
      <c r="B228" s="184" t="s">
        <v>13242</v>
      </c>
      <c r="C228" s="185">
        <f>MIN(E230:G230)</f>
        <v>689.22144228295849</v>
      </c>
      <c r="D228" s="186" t="s">
        <v>90</v>
      </c>
      <c r="E228" s="187" t="s">
        <v>8399</v>
      </c>
      <c r="F228" s="187" t="s">
        <v>13245</v>
      </c>
      <c r="G228" s="187" t="s">
        <v>13251</v>
      </c>
      <c r="H228" s="177" t="s">
        <v>170</v>
      </c>
      <c r="I228" s="177"/>
      <c r="J228" s="177"/>
      <c r="M228" s="187" t="s">
        <v>8399</v>
      </c>
      <c r="N228" s="187" t="s">
        <v>13245</v>
      </c>
      <c r="O228" s="187" t="s">
        <v>13251</v>
      </c>
    </row>
    <row r="229" spans="1:15" s="164" customFormat="1" ht="22.5">
      <c r="A229" s="161"/>
      <c r="B229" s="165"/>
      <c r="C229" s="4" t="s">
        <v>272</v>
      </c>
      <c r="D229" s="170"/>
      <c r="E229" s="55" t="s">
        <v>8400</v>
      </c>
      <c r="F229" s="55" t="s">
        <v>13247</v>
      </c>
      <c r="G229" s="55" t="s">
        <v>13250</v>
      </c>
      <c r="H229" s="177" t="s">
        <v>271</v>
      </c>
      <c r="I229" s="177" t="s">
        <v>268</v>
      </c>
      <c r="J229" s="177" t="s">
        <v>269</v>
      </c>
      <c r="M229" s="55" t="s">
        <v>8400</v>
      </c>
      <c r="N229" s="55" t="s">
        <v>13247</v>
      </c>
      <c r="O229" s="55" t="s">
        <v>13250</v>
      </c>
    </row>
    <row r="230" spans="1:15" s="164" customFormat="1" ht="15">
      <c r="A230" s="166"/>
      <c r="B230" s="167"/>
      <c r="C230" s="4" t="s">
        <v>9</v>
      </c>
      <c r="D230" s="349"/>
      <c r="E230" s="74">
        <f>M230/'Reajustamento INCC'!$C$71</f>
        <v>1782.1033920744344</v>
      </c>
      <c r="F230" s="74">
        <f>N230/'Reajustamento INCC'!$C$87</f>
        <v>867.13113047251898</v>
      </c>
      <c r="G230" s="74">
        <f>O230/'Reajustamento INCC'!$C$87</f>
        <v>689.22144228295849</v>
      </c>
      <c r="H230" s="177">
        <f>MEDIAN(E230:G230)</f>
        <v>867.13113047251898</v>
      </c>
      <c r="I230" s="177">
        <f>H230*1.3</f>
        <v>1127.2704696142748</v>
      </c>
      <c r="J230" s="177">
        <f>H230*0.7</f>
        <v>606.99179133076325</v>
      </c>
      <c r="M230" s="74">
        <v>1800</v>
      </c>
      <c r="N230" s="74">
        <v>880</v>
      </c>
      <c r="O230" s="74">
        <v>699.45</v>
      </c>
    </row>
    <row r="231" spans="1:15" s="164" customFormat="1" ht="15">
      <c r="A231" s="166"/>
      <c r="B231" s="167"/>
      <c r="C231" s="4" t="s">
        <v>8</v>
      </c>
      <c r="D231" s="171"/>
      <c r="E231" s="55" t="s">
        <v>8401</v>
      </c>
      <c r="F231" s="55" t="s">
        <v>13248</v>
      </c>
      <c r="G231" s="55" t="s">
        <v>13252</v>
      </c>
      <c r="H231" s="177"/>
      <c r="I231" s="177"/>
      <c r="J231" s="177"/>
      <c r="M231" s="55" t="s">
        <v>8401</v>
      </c>
      <c r="N231" s="55" t="s">
        <v>13248</v>
      </c>
      <c r="O231" s="55" t="s">
        <v>13252</v>
      </c>
    </row>
    <row r="232" spans="1:15" s="164" customFormat="1" ht="15">
      <c r="A232" s="166"/>
      <c r="B232" s="167"/>
      <c r="C232" s="4" t="s">
        <v>7</v>
      </c>
      <c r="D232" s="171"/>
      <c r="E232" s="3" t="s">
        <v>8402</v>
      </c>
      <c r="F232" s="3" t="s">
        <v>13246</v>
      </c>
      <c r="G232" s="3" t="s">
        <v>13249</v>
      </c>
      <c r="H232" s="177"/>
      <c r="I232" s="177"/>
      <c r="J232" s="177"/>
      <c r="M232" s="3" t="s">
        <v>8402</v>
      </c>
      <c r="N232" s="3" t="s">
        <v>13246</v>
      </c>
      <c r="O232" s="3" t="s">
        <v>13249</v>
      </c>
    </row>
    <row r="233" spans="1:15" s="164" customFormat="1" ht="15">
      <c r="A233" s="168"/>
      <c r="B233" s="169"/>
      <c r="C233" s="4" t="s">
        <v>6</v>
      </c>
      <c r="D233" s="172"/>
      <c r="E233" s="2">
        <v>43831</v>
      </c>
      <c r="F233" s="2">
        <v>43831</v>
      </c>
      <c r="G233" s="2">
        <v>43831</v>
      </c>
      <c r="H233" s="177"/>
      <c r="I233" s="177"/>
      <c r="J233" s="177"/>
      <c r="M233" s="2">
        <v>43910</v>
      </c>
      <c r="N233" s="2">
        <v>43963</v>
      </c>
      <c r="O233" s="2">
        <v>43964</v>
      </c>
    </row>
    <row r="234" spans="1:15" s="163" customFormat="1" ht="11.25">
      <c r="A234" s="302"/>
      <c r="B234" s="309"/>
      <c r="C234" s="309"/>
      <c r="D234" s="309"/>
      <c r="E234" s="309"/>
      <c r="F234" s="309"/>
      <c r="G234" s="309"/>
      <c r="H234" s="176"/>
      <c r="I234" s="176"/>
      <c r="J234" s="176"/>
      <c r="M234" s="309"/>
      <c r="N234" s="309"/>
      <c r="O234" s="309"/>
    </row>
    <row r="235" spans="1:15" s="164" customFormat="1" ht="22.5">
      <c r="A235" s="183" t="s">
        <v>7541</v>
      </c>
      <c r="B235" s="184" t="s">
        <v>13244</v>
      </c>
      <c r="C235" s="185">
        <f>MIN(E237:G237)</f>
        <v>2650.66220564895</v>
      </c>
      <c r="D235" s="186" t="s">
        <v>90</v>
      </c>
      <c r="E235" s="187" t="s">
        <v>8399</v>
      </c>
      <c r="F235" s="187" t="s">
        <v>13245</v>
      </c>
      <c r="G235" s="187" t="s">
        <v>13251</v>
      </c>
      <c r="H235" s="177" t="s">
        <v>170</v>
      </c>
      <c r="I235" s="177"/>
      <c r="J235" s="177"/>
      <c r="M235" s="187" t="s">
        <v>8399</v>
      </c>
      <c r="N235" s="187" t="s">
        <v>13245</v>
      </c>
      <c r="O235" s="187" t="s">
        <v>13251</v>
      </c>
    </row>
    <row r="236" spans="1:15" s="164" customFormat="1" ht="22.5">
      <c r="A236" s="161"/>
      <c r="B236" s="165"/>
      <c r="C236" s="4" t="s">
        <v>272</v>
      </c>
      <c r="D236" s="170"/>
      <c r="E236" s="55" t="s">
        <v>8400</v>
      </c>
      <c r="F236" s="55" t="s">
        <v>13247</v>
      </c>
      <c r="G236" s="55" t="s">
        <v>13250</v>
      </c>
      <c r="H236" s="177" t="s">
        <v>271</v>
      </c>
      <c r="I236" s="177" t="s">
        <v>268</v>
      </c>
      <c r="J236" s="177" t="s">
        <v>269</v>
      </c>
      <c r="M236" s="55" t="s">
        <v>8400</v>
      </c>
      <c r="N236" s="55" t="s">
        <v>13247</v>
      </c>
      <c r="O236" s="55" t="s">
        <v>13250</v>
      </c>
    </row>
    <row r="237" spans="1:15" s="164" customFormat="1" ht="15">
      <c r="A237" s="166"/>
      <c r="B237" s="167"/>
      <c r="C237" s="4" t="s">
        <v>9</v>
      </c>
      <c r="D237" s="349"/>
      <c r="E237" s="74">
        <f>M237/'Reajustamento INCC'!$C$71</f>
        <v>4603.7670961922886</v>
      </c>
      <c r="F237" s="74">
        <f>N237/'Reajustamento INCC'!$C$87</f>
        <v>2650.66220564895</v>
      </c>
      <c r="G237" s="74">
        <f>O237/'Reajustamento INCC'!$C$87</f>
        <v>3712.020855584467</v>
      </c>
      <c r="H237" s="177">
        <f>MEDIAN(E237:G237)</f>
        <v>3712.020855584467</v>
      </c>
      <c r="I237" s="177">
        <f>H237*1.3</f>
        <v>4825.6271122598073</v>
      </c>
      <c r="J237" s="177">
        <f>H237*0.7</f>
        <v>2598.4145989091267</v>
      </c>
      <c r="M237" s="74">
        <v>4650</v>
      </c>
      <c r="N237" s="74">
        <v>2690</v>
      </c>
      <c r="O237" s="74">
        <v>3767.11</v>
      </c>
    </row>
    <row r="238" spans="1:15" s="164" customFormat="1" ht="15">
      <c r="A238" s="166"/>
      <c r="B238" s="167"/>
      <c r="C238" s="4" t="s">
        <v>8</v>
      </c>
      <c r="D238" s="171"/>
      <c r="E238" s="55" t="s">
        <v>8401</v>
      </c>
      <c r="F238" s="55" t="s">
        <v>13248</v>
      </c>
      <c r="G238" s="55" t="s">
        <v>13252</v>
      </c>
      <c r="H238" s="177"/>
      <c r="I238" s="177"/>
      <c r="J238" s="177"/>
      <c r="M238" s="55" t="s">
        <v>8401</v>
      </c>
      <c r="N238" s="55" t="s">
        <v>13248</v>
      </c>
      <c r="O238" s="55" t="s">
        <v>13252</v>
      </c>
    </row>
    <row r="239" spans="1:15" s="164" customFormat="1" ht="15">
      <c r="A239" s="166"/>
      <c r="B239" s="167"/>
      <c r="C239" s="4" t="s">
        <v>7</v>
      </c>
      <c r="D239" s="171"/>
      <c r="E239" s="3" t="s">
        <v>8402</v>
      </c>
      <c r="F239" s="3" t="s">
        <v>13246</v>
      </c>
      <c r="G239" s="3" t="s">
        <v>13249</v>
      </c>
      <c r="H239" s="177"/>
      <c r="I239" s="177"/>
      <c r="J239" s="177"/>
      <c r="M239" s="3" t="s">
        <v>8402</v>
      </c>
      <c r="N239" s="3" t="s">
        <v>13246</v>
      </c>
      <c r="O239" s="3" t="s">
        <v>13249</v>
      </c>
    </row>
    <row r="240" spans="1:15" s="164" customFormat="1" ht="15">
      <c r="A240" s="168"/>
      <c r="B240" s="169"/>
      <c r="C240" s="4" t="s">
        <v>6</v>
      </c>
      <c r="D240" s="172"/>
      <c r="E240" s="2">
        <v>43831</v>
      </c>
      <c r="F240" s="2">
        <v>43831</v>
      </c>
      <c r="G240" s="2">
        <v>43831</v>
      </c>
      <c r="H240" s="177"/>
      <c r="I240" s="177"/>
      <c r="J240" s="177"/>
      <c r="M240" s="2">
        <v>43910</v>
      </c>
      <c r="N240" s="2">
        <v>43963</v>
      </c>
      <c r="O240" s="2">
        <v>43964</v>
      </c>
    </row>
    <row r="241" spans="1:15" s="163" customFormat="1" ht="11.25">
      <c r="A241" s="302"/>
      <c r="B241" s="309"/>
      <c r="C241" s="309"/>
      <c r="D241" s="309"/>
      <c r="E241" s="309"/>
      <c r="F241" s="309"/>
      <c r="G241" s="309"/>
      <c r="H241" s="176"/>
      <c r="I241" s="176"/>
      <c r="J241" s="176"/>
      <c r="M241" s="309"/>
      <c r="N241" s="309"/>
      <c r="O241" s="309"/>
    </row>
    <row r="242" spans="1:15" s="164" customFormat="1" ht="33.75">
      <c r="A242" s="183" t="s">
        <v>7571</v>
      </c>
      <c r="B242" s="184" t="s">
        <v>7857</v>
      </c>
      <c r="C242" s="185">
        <f>MIN(E244:G244)</f>
        <v>59.22</v>
      </c>
      <c r="D242" s="186" t="s">
        <v>89</v>
      </c>
      <c r="E242" s="705" t="s">
        <v>7858</v>
      </c>
      <c r="F242" s="706"/>
      <c r="G242" s="707"/>
      <c r="H242" s="177" t="s">
        <v>170</v>
      </c>
      <c r="I242" s="177"/>
      <c r="J242" s="177"/>
      <c r="M242" s="705" t="s">
        <v>7858</v>
      </c>
      <c r="N242" s="706"/>
      <c r="O242" s="707"/>
    </row>
    <row r="243" spans="1:15" s="164" customFormat="1" ht="11.25">
      <c r="A243" s="161"/>
      <c r="B243" s="165"/>
      <c r="C243" s="4" t="s">
        <v>272</v>
      </c>
      <c r="D243" s="170"/>
      <c r="E243" s="708" t="s">
        <v>7859</v>
      </c>
      <c r="F243" s="709"/>
      <c r="G243" s="710"/>
      <c r="H243" s="177" t="s">
        <v>271</v>
      </c>
      <c r="I243" s="177" t="s">
        <v>268</v>
      </c>
      <c r="J243" s="177" t="s">
        <v>269</v>
      </c>
      <c r="M243" s="708" t="s">
        <v>7859</v>
      </c>
      <c r="N243" s="709"/>
      <c r="O243" s="710"/>
    </row>
    <row r="244" spans="1:15" s="164" customFormat="1" ht="15">
      <c r="A244" s="371" t="s">
        <v>8063</v>
      </c>
      <c r="B244" s="167"/>
      <c r="C244" s="4" t="s">
        <v>9</v>
      </c>
      <c r="D244" s="349"/>
      <c r="E244" s="711">
        <f>56.4*1.05</f>
        <v>59.22</v>
      </c>
      <c r="F244" s="712"/>
      <c r="G244" s="713"/>
      <c r="H244" s="177">
        <f>MEDIAN(E244:G244)</f>
        <v>59.22</v>
      </c>
      <c r="I244" s="177">
        <f>H244*1.3</f>
        <v>76.986000000000004</v>
      </c>
      <c r="J244" s="177">
        <f>H244*0.7</f>
        <v>41.453999999999994</v>
      </c>
      <c r="M244" s="711">
        <f>56.4*1.05</f>
        <v>59.22</v>
      </c>
      <c r="N244" s="712"/>
      <c r="O244" s="713"/>
    </row>
    <row r="245" spans="1:15" s="164" customFormat="1" ht="15">
      <c r="A245" s="166"/>
      <c r="B245" s="167"/>
      <c r="C245" s="4" t="s">
        <v>8</v>
      </c>
      <c r="D245" s="171"/>
      <c r="E245" s="708" t="s">
        <v>191</v>
      </c>
      <c r="F245" s="709"/>
      <c r="G245" s="710"/>
      <c r="H245" s="177"/>
      <c r="I245" s="177"/>
      <c r="J245" s="177"/>
      <c r="M245" s="708" t="s">
        <v>191</v>
      </c>
      <c r="N245" s="709"/>
      <c r="O245" s="710"/>
    </row>
    <row r="246" spans="1:15" s="164" customFormat="1" ht="15">
      <c r="A246" s="166"/>
      <c r="B246" s="167"/>
      <c r="C246" s="4" t="s">
        <v>7</v>
      </c>
      <c r="D246" s="171"/>
      <c r="E246" s="714" t="s">
        <v>7856</v>
      </c>
      <c r="F246" s="715"/>
      <c r="G246" s="716"/>
      <c r="H246" s="177"/>
      <c r="I246" s="177"/>
      <c r="J246" s="177"/>
      <c r="M246" s="714" t="s">
        <v>7856</v>
      </c>
      <c r="N246" s="715"/>
      <c r="O246" s="716"/>
    </row>
    <row r="247" spans="1:15" s="164" customFormat="1" ht="15">
      <c r="A247" s="168"/>
      <c r="B247" s="169"/>
      <c r="C247" s="4" t="s">
        <v>6</v>
      </c>
      <c r="D247" s="172"/>
      <c r="E247" s="717">
        <v>43678</v>
      </c>
      <c r="F247" s="718"/>
      <c r="G247" s="719"/>
      <c r="H247" s="177"/>
      <c r="I247" s="177"/>
      <c r="J247" s="177"/>
      <c r="M247" s="717">
        <v>43678</v>
      </c>
      <c r="N247" s="718"/>
      <c r="O247" s="719"/>
    </row>
    <row r="248" spans="1:15" s="163" customFormat="1" ht="11.25">
      <c r="A248" s="302"/>
      <c r="B248" s="309"/>
      <c r="C248" s="309"/>
      <c r="D248" s="309"/>
      <c r="E248" s="309"/>
      <c r="F248" s="309"/>
      <c r="G248" s="309"/>
      <c r="H248" s="176"/>
      <c r="I248" s="176"/>
      <c r="J248" s="176"/>
      <c r="M248" s="309"/>
      <c r="N248" s="309"/>
      <c r="O248" s="309"/>
    </row>
    <row r="249" spans="1:15" s="164" customFormat="1" ht="45">
      <c r="A249" s="183" t="s">
        <v>7572</v>
      </c>
      <c r="B249" s="184" t="s">
        <v>7576</v>
      </c>
      <c r="C249" s="185">
        <f>MIN(E251:G251)</f>
        <v>1.6</v>
      </c>
      <c r="D249" s="186" t="s">
        <v>89</v>
      </c>
      <c r="E249" s="705" t="s">
        <v>7858</v>
      </c>
      <c r="F249" s="706"/>
      <c r="G249" s="707"/>
      <c r="H249" s="177" t="s">
        <v>170</v>
      </c>
      <c r="I249" s="177"/>
      <c r="J249" s="177"/>
      <c r="M249" s="705" t="s">
        <v>7858</v>
      </c>
      <c r="N249" s="706"/>
      <c r="O249" s="707"/>
    </row>
    <row r="250" spans="1:15" s="164" customFormat="1" ht="11.25">
      <c r="A250" s="161"/>
      <c r="B250" s="165"/>
      <c r="C250" s="4" t="s">
        <v>272</v>
      </c>
      <c r="D250" s="170"/>
      <c r="E250" s="708" t="s">
        <v>7859</v>
      </c>
      <c r="F250" s="709"/>
      <c r="G250" s="710"/>
      <c r="H250" s="177" t="s">
        <v>271</v>
      </c>
      <c r="I250" s="177" t="s">
        <v>268</v>
      </c>
      <c r="J250" s="177" t="s">
        <v>269</v>
      </c>
      <c r="M250" s="708" t="s">
        <v>7859</v>
      </c>
      <c r="N250" s="709"/>
      <c r="O250" s="710"/>
    </row>
    <row r="251" spans="1:15" s="164" customFormat="1" ht="15">
      <c r="A251" s="371" t="s">
        <v>8063</v>
      </c>
      <c r="B251" s="167"/>
      <c r="C251" s="4" t="s">
        <v>9</v>
      </c>
      <c r="D251" s="349"/>
      <c r="E251" s="711">
        <v>1.6</v>
      </c>
      <c r="F251" s="712"/>
      <c r="G251" s="713"/>
      <c r="H251" s="177">
        <f>MEDIAN(E251:G251)</f>
        <v>1.6</v>
      </c>
      <c r="I251" s="177">
        <f>H251*1.3</f>
        <v>2.08</v>
      </c>
      <c r="J251" s="177">
        <f>H251*0.7</f>
        <v>1.1199999999999999</v>
      </c>
      <c r="M251" s="711">
        <v>1.6</v>
      </c>
      <c r="N251" s="712"/>
      <c r="O251" s="713"/>
    </row>
    <row r="252" spans="1:15" s="164" customFormat="1" ht="15">
      <c r="A252" s="166"/>
      <c r="B252" s="167"/>
      <c r="C252" s="4" t="s">
        <v>8</v>
      </c>
      <c r="D252" s="171"/>
      <c r="E252" s="708" t="s">
        <v>191</v>
      </c>
      <c r="F252" s="709"/>
      <c r="G252" s="710"/>
      <c r="H252" s="177"/>
      <c r="I252" s="177"/>
      <c r="J252" s="177"/>
      <c r="M252" s="708" t="s">
        <v>191</v>
      </c>
      <c r="N252" s="709"/>
      <c r="O252" s="710"/>
    </row>
    <row r="253" spans="1:15" s="164" customFormat="1" ht="15">
      <c r="A253" s="166"/>
      <c r="B253" s="167"/>
      <c r="C253" s="4" t="s">
        <v>7</v>
      </c>
      <c r="D253" s="171"/>
      <c r="E253" s="714" t="s">
        <v>7856</v>
      </c>
      <c r="F253" s="715"/>
      <c r="G253" s="716"/>
      <c r="H253" s="177"/>
      <c r="I253" s="177"/>
      <c r="J253" s="177"/>
      <c r="M253" s="714" t="s">
        <v>7856</v>
      </c>
      <c r="N253" s="715"/>
      <c r="O253" s="716"/>
    </row>
    <row r="254" spans="1:15" s="164" customFormat="1" ht="15">
      <c r="A254" s="168"/>
      <c r="B254" s="169"/>
      <c r="C254" s="4" t="s">
        <v>6</v>
      </c>
      <c r="D254" s="172"/>
      <c r="E254" s="717">
        <v>43678</v>
      </c>
      <c r="F254" s="718"/>
      <c r="G254" s="719"/>
      <c r="H254" s="177"/>
      <c r="I254" s="177"/>
      <c r="J254" s="177"/>
      <c r="M254" s="717">
        <v>43678</v>
      </c>
      <c r="N254" s="718"/>
      <c r="O254" s="719"/>
    </row>
    <row r="255" spans="1:15" s="163" customFormat="1" ht="11.25">
      <c r="A255" s="302"/>
      <c r="B255" s="309"/>
      <c r="C255" s="309"/>
      <c r="D255" s="309"/>
      <c r="E255" s="309"/>
      <c r="F255" s="309"/>
      <c r="G255" s="309"/>
      <c r="H255" s="176"/>
      <c r="I255" s="176"/>
      <c r="J255" s="176"/>
      <c r="M255" s="309"/>
      <c r="N255" s="309"/>
      <c r="O255" s="309"/>
    </row>
    <row r="256" spans="1:15" s="164" customFormat="1" ht="56.25">
      <c r="A256" s="183" t="s">
        <v>7573</v>
      </c>
      <c r="B256" s="184" t="s">
        <v>7577</v>
      </c>
      <c r="C256" s="185">
        <f>MIN(E258:G258)</f>
        <v>1.65</v>
      </c>
      <c r="D256" s="186" t="s">
        <v>89</v>
      </c>
      <c r="E256" s="705" t="s">
        <v>7858</v>
      </c>
      <c r="F256" s="706"/>
      <c r="G256" s="707"/>
      <c r="H256" s="177" t="s">
        <v>170</v>
      </c>
      <c r="I256" s="177"/>
      <c r="J256" s="177"/>
      <c r="M256" s="705" t="s">
        <v>7858</v>
      </c>
      <c r="N256" s="706"/>
      <c r="O256" s="707"/>
    </row>
    <row r="257" spans="1:15" s="164" customFormat="1" ht="11.25">
      <c r="A257" s="161"/>
      <c r="B257" s="165"/>
      <c r="C257" s="4" t="s">
        <v>272</v>
      </c>
      <c r="D257" s="170"/>
      <c r="E257" s="708" t="s">
        <v>7859</v>
      </c>
      <c r="F257" s="709"/>
      <c r="G257" s="710"/>
      <c r="H257" s="177" t="s">
        <v>271</v>
      </c>
      <c r="I257" s="177" t="s">
        <v>268</v>
      </c>
      <c r="J257" s="177" t="s">
        <v>269</v>
      </c>
      <c r="M257" s="708" t="s">
        <v>7859</v>
      </c>
      <c r="N257" s="709"/>
      <c r="O257" s="710"/>
    </row>
    <row r="258" spans="1:15" s="164" customFormat="1" ht="15">
      <c r="A258" s="371" t="s">
        <v>8063</v>
      </c>
      <c r="B258" s="167"/>
      <c r="C258" s="4" t="s">
        <v>9</v>
      </c>
      <c r="D258" s="349"/>
      <c r="E258" s="711">
        <v>1.65</v>
      </c>
      <c r="F258" s="712"/>
      <c r="G258" s="713"/>
      <c r="H258" s="177">
        <f>MEDIAN(E258:G258)</f>
        <v>1.65</v>
      </c>
      <c r="I258" s="177">
        <f>H258*1.3</f>
        <v>2.145</v>
      </c>
      <c r="J258" s="177">
        <f>H258*0.7</f>
        <v>1.1549999999999998</v>
      </c>
      <c r="M258" s="711">
        <v>1.65</v>
      </c>
      <c r="N258" s="712"/>
      <c r="O258" s="713"/>
    </row>
    <row r="259" spans="1:15" s="164" customFormat="1" ht="15">
      <c r="A259" s="166"/>
      <c r="B259" s="167"/>
      <c r="C259" s="4" t="s">
        <v>8</v>
      </c>
      <c r="D259" s="171"/>
      <c r="E259" s="708" t="s">
        <v>191</v>
      </c>
      <c r="F259" s="709"/>
      <c r="G259" s="710"/>
      <c r="H259" s="177"/>
      <c r="I259" s="177"/>
      <c r="J259" s="177"/>
      <c r="M259" s="708" t="s">
        <v>191</v>
      </c>
      <c r="N259" s="709"/>
      <c r="O259" s="710"/>
    </row>
    <row r="260" spans="1:15" s="164" customFormat="1" ht="15">
      <c r="A260" s="166"/>
      <c r="B260" s="167"/>
      <c r="C260" s="4" t="s">
        <v>7</v>
      </c>
      <c r="D260" s="171"/>
      <c r="E260" s="714" t="s">
        <v>7856</v>
      </c>
      <c r="F260" s="715"/>
      <c r="G260" s="716"/>
      <c r="H260" s="177"/>
      <c r="I260" s="177"/>
      <c r="J260" s="177"/>
      <c r="M260" s="714" t="s">
        <v>7856</v>
      </c>
      <c r="N260" s="715"/>
      <c r="O260" s="716"/>
    </row>
    <row r="261" spans="1:15" s="164" customFormat="1" ht="15">
      <c r="A261" s="168"/>
      <c r="B261" s="169"/>
      <c r="C261" s="4" t="s">
        <v>6</v>
      </c>
      <c r="D261" s="172"/>
      <c r="E261" s="717">
        <v>43678</v>
      </c>
      <c r="F261" s="718"/>
      <c r="G261" s="719"/>
      <c r="H261" s="177"/>
      <c r="I261" s="177"/>
      <c r="J261" s="177"/>
      <c r="M261" s="717">
        <v>43678</v>
      </c>
      <c r="N261" s="718"/>
      <c r="O261" s="719"/>
    </row>
    <row r="262" spans="1:15" s="163" customFormat="1" ht="11.25">
      <c r="A262" s="302"/>
      <c r="B262" s="309"/>
      <c r="C262" s="309"/>
      <c r="D262" s="309"/>
      <c r="E262" s="309"/>
      <c r="F262" s="309"/>
      <c r="G262" s="309"/>
      <c r="H262" s="176"/>
      <c r="I262" s="176"/>
      <c r="J262" s="176"/>
      <c r="M262" s="309"/>
      <c r="N262" s="309"/>
      <c r="O262" s="309"/>
    </row>
    <row r="263" spans="1:15" s="164" customFormat="1" ht="67.5">
      <c r="A263" s="183" t="s">
        <v>7574</v>
      </c>
      <c r="B263" s="184" t="s">
        <v>7578</v>
      </c>
      <c r="C263" s="185">
        <f>MIN(E265:G265)</f>
        <v>194</v>
      </c>
      <c r="D263" s="186" t="s">
        <v>150</v>
      </c>
      <c r="E263" s="705" t="s">
        <v>7858</v>
      </c>
      <c r="F263" s="706"/>
      <c r="G263" s="707"/>
      <c r="H263" s="177" t="s">
        <v>170</v>
      </c>
      <c r="I263" s="177"/>
      <c r="J263" s="177"/>
      <c r="M263" s="705" t="s">
        <v>7858</v>
      </c>
      <c r="N263" s="706"/>
      <c r="O263" s="707"/>
    </row>
    <row r="264" spans="1:15" s="164" customFormat="1" ht="11.25">
      <c r="A264" s="161"/>
      <c r="B264" s="165"/>
      <c r="C264" s="4" t="s">
        <v>272</v>
      </c>
      <c r="D264" s="170"/>
      <c r="E264" s="708" t="s">
        <v>7859</v>
      </c>
      <c r="F264" s="709"/>
      <c r="G264" s="710"/>
      <c r="H264" s="177" t="s">
        <v>271</v>
      </c>
      <c r="I264" s="177" t="s">
        <v>268</v>
      </c>
      <c r="J264" s="177" t="s">
        <v>269</v>
      </c>
      <c r="M264" s="708" t="s">
        <v>7859</v>
      </c>
      <c r="N264" s="709"/>
      <c r="O264" s="710"/>
    </row>
    <row r="265" spans="1:15" s="164" customFormat="1" ht="15">
      <c r="A265" s="371" t="s">
        <v>8063</v>
      </c>
      <c r="B265" s="167"/>
      <c r="C265" s="4" t="s">
        <v>9</v>
      </c>
      <c r="D265" s="349"/>
      <c r="E265" s="711">
        <v>194</v>
      </c>
      <c r="F265" s="712"/>
      <c r="G265" s="713"/>
      <c r="H265" s="177">
        <f>MEDIAN(E265:G265)</f>
        <v>194</v>
      </c>
      <c r="I265" s="177">
        <f>H265*1.3</f>
        <v>252.20000000000002</v>
      </c>
      <c r="J265" s="177">
        <f>H265*0.7</f>
        <v>135.79999999999998</v>
      </c>
      <c r="M265" s="711">
        <v>194</v>
      </c>
      <c r="N265" s="712"/>
      <c r="O265" s="713"/>
    </row>
    <row r="266" spans="1:15" s="164" customFormat="1" ht="15">
      <c r="A266" s="166"/>
      <c r="B266" s="167"/>
      <c r="C266" s="4" t="s">
        <v>8</v>
      </c>
      <c r="D266" s="171"/>
      <c r="E266" s="708" t="s">
        <v>191</v>
      </c>
      <c r="F266" s="709"/>
      <c r="G266" s="710"/>
      <c r="H266" s="177"/>
      <c r="I266" s="177"/>
      <c r="J266" s="177"/>
      <c r="M266" s="708" t="s">
        <v>191</v>
      </c>
      <c r="N266" s="709"/>
      <c r="O266" s="710"/>
    </row>
    <row r="267" spans="1:15" s="164" customFormat="1" ht="15">
      <c r="A267" s="166"/>
      <c r="B267" s="167"/>
      <c r="C267" s="4" t="s">
        <v>7</v>
      </c>
      <c r="D267" s="171"/>
      <c r="E267" s="714" t="s">
        <v>7856</v>
      </c>
      <c r="F267" s="715"/>
      <c r="G267" s="716"/>
      <c r="H267" s="177"/>
      <c r="I267" s="177"/>
      <c r="J267" s="177"/>
      <c r="M267" s="714" t="s">
        <v>7856</v>
      </c>
      <c r="N267" s="715"/>
      <c r="O267" s="716"/>
    </row>
    <row r="268" spans="1:15" s="164" customFormat="1" ht="15">
      <c r="A268" s="168"/>
      <c r="B268" s="169"/>
      <c r="C268" s="4" t="s">
        <v>6</v>
      </c>
      <c r="D268" s="172"/>
      <c r="E268" s="717">
        <v>43678</v>
      </c>
      <c r="F268" s="718"/>
      <c r="G268" s="719"/>
      <c r="H268" s="177"/>
      <c r="I268" s="177"/>
      <c r="J268" s="177"/>
      <c r="M268" s="717">
        <v>43678</v>
      </c>
      <c r="N268" s="718"/>
      <c r="O268" s="719"/>
    </row>
    <row r="269" spans="1:15" s="163" customFormat="1" ht="11.25">
      <c r="A269" s="302"/>
      <c r="B269" s="309"/>
      <c r="C269" s="309"/>
      <c r="D269" s="309"/>
      <c r="E269" s="309"/>
      <c r="F269" s="309"/>
      <c r="G269" s="309"/>
      <c r="H269" s="176"/>
      <c r="I269" s="176"/>
      <c r="J269" s="176"/>
      <c r="M269" s="309"/>
      <c r="N269" s="309"/>
      <c r="O269" s="309"/>
    </row>
    <row r="270" spans="1:15" s="164" customFormat="1" ht="101.25">
      <c r="A270" s="183" t="s">
        <v>7579</v>
      </c>
      <c r="B270" s="184" t="s">
        <v>7580</v>
      </c>
      <c r="C270" s="185">
        <f>MIN(E272:G272)</f>
        <v>188</v>
      </c>
      <c r="D270" s="186" t="s">
        <v>150</v>
      </c>
      <c r="E270" s="705" t="s">
        <v>7858</v>
      </c>
      <c r="F270" s="706"/>
      <c r="G270" s="707"/>
      <c r="H270" s="177" t="s">
        <v>170</v>
      </c>
      <c r="I270" s="177"/>
      <c r="J270" s="177"/>
      <c r="M270" s="705" t="s">
        <v>7858</v>
      </c>
      <c r="N270" s="706"/>
      <c r="O270" s="707"/>
    </row>
    <row r="271" spans="1:15" s="164" customFormat="1" ht="11.25">
      <c r="A271" s="161"/>
      <c r="B271" s="165"/>
      <c r="C271" s="4" t="s">
        <v>272</v>
      </c>
      <c r="D271" s="170"/>
      <c r="E271" s="708" t="s">
        <v>7859</v>
      </c>
      <c r="F271" s="709"/>
      <c r="G271" s="710"/>
      <c r="H271" s="177" t="s">
        <v>271</v>
      </c>
      <c r="I271" s="177" t="s">
        <v>268</v>
      </c>
      <c r="J271" s="177" t="s">
        <v>269</v>
      </c>
      <c r="M271" s="708" t="s">
        <v>7859</v>
      </c>
      <c r="N271" s="709"/>
      <c r="O271" s="710"/>
    </row>
    <row r="272" spans="1:15" s="164" customFormat="1" ht="15">
      <c r="A272" s="371" t="s">
        <v>8063</v>
      </c>
      <c r="B272" s="167"/>
      <c r="C272" s="4" t="s">
        <v>9</v>
      </c>
      <c r="D272" s="349"/>
      <c r="E272" s="711">
        <v>188</v>
      </c>
      <c r="F272" s="712"/>
      <c r="G272" s="713"/>
      <c r="H272" s="177">
        <f>MEDIAN(E272:G272)</f>
        <v>188</v>
      </c>
      <c r="I272" s="177">
        <f>H272*1.3</f>
        <v>244.4</v>
      </c>
      <c r="J272" s="177">
        <f>H272*0.7</f>
        <v>131.6</v>
      </c>
      <c r="M272" s="711">
        <v>188</v>
      </c>
      <c r="N272" s="712"/>
      <c r="O272" s="713"/>
    </row>
    <row r="273" spans="1:15" s="164" customFormat="1" ht="15">
      <c r="A273" s="166"/>
      <c r="B273" s="167"/>
      <c r="C273" s="4" t="s">
        <v>8</v>
      </c>
      <c r="D273" s="171"/>
      <c r="E273" s="708" t="s">
        <v>191</v>
      </c>
      <c r="F273" s="709"/>
      <c r="G273" s="710"/>
      <c r="H273" s="177"/>
      <c r="I273" s="177"/>
      <c r="J273" s="177"/>
      <c r="M273" s="708" t="s">
        <v>191</v>
      </c>
      <c r="N273" s="709"/>
      <c r="O273" s="710"/>
    </row>
    <row r="274" spans="1:15" s="164" customFormat="1" ht="15">
      <c r="A274" s="166"/>
      <c r="B274" s="167"/>
      <c r="C274" s="4" t="s">
        <v>7</v>
      </c>
      <c r="D274" s="171"/>
      <c r="E274" s="714" t="s">
        <v>7856</v>
      </c>
      <c r="F274" s="715"/>
      <c r="G274" s="716"/>
      <c r="H274" s="177"/>
      <c r="I274" s="177"/>
      <c r="J274" s="177"/>
      <c r="M274" s="714" t="s">
        <v>7856</v>
      </c>
      <c r="N274" s="715"/>
      <c r="O274" s="716"/>
    </row>
    <row r="275" spans="1:15" s="164" customFormat="1" ht="15">
      <c r="A275" s="168"/>
      <c r="B275" s="169"/>
      <c r="C275" s="4" t="s">
        <v>6</v>
      </c>
      <c r="D275" s="172"/>
      <c r="E275" s="717">
        <v>43678</v>
      </c>
      <c r="F275" s="718"/>
      <c r="G275" s="719"/>
      <c r="H275" s="177"/>
      <c r="I275" s="177"/>
      <c r="J275" s="177"/>
      <c r="M275" s="717">
        <v>43678</v>
      </c>
      <c r="N275" s="718"/>
      <c r="O275" s="719"/>
    </row>
    <row r="276" spans="1:15" s="163" customFormat="1" ht="11.25">
      <c r="A276" s="302"/>
      <c r="B276" s="309"/>
      <c r="C276" s="309"/>
      <c r="D276" s="309"/>
      <c r="E276" s="309"/>
      <c r="F276" s="309"/>
      <c r="G276" s="309"/>
      <c r="H276" s="176"/>
      <c r="I276" s="176"/>
      <c r="J276" s="176"/>
      <c r="M276" s="309"/>
      <c r="N276" s="309"/>
      <c r="O276" s="309"/>
    </row>
    <row r="277" spans="1:15" s="164" customFormat="1" ht="22.5">
      <c r="A277" s="183" t="s">
        <v>7733</v>
      </c>
      <c r="B277" s="184" t="s">
        <v>8498</v>
      </c>
      <c r="C277" s="185">
        <f>MIN(E279:G279)</f>
        <v>950</v>
      </c>
      <c r="D277" s="186" t="s">
        <v>5079</v>
      </c>
      <c r="E277" s="187" t="s">
        <v>8497</v>
      </c>
      <c r="F277" s="187" t="s">
        <v>8499</v>
      </c>
      <c r="G277" s="187" t="s">
        <v>8500</v>
      </c>
      <c r="H277" s="177" t="s">
        <v>170</v>
      </c>
      <c r="I277" s="177"/>
      <c r="J277" s="177"/>
      <c r="M277" s="187" t="s">
        <v>8497</v>
      </c>
      <c r="N277" s="187" t="s">
        <v>8499</v>
      </c>
      <c r="O277" s="187" t="s">
        <v>8500</v>
      </c>
    </row>
    <row r="278" spans="1:15" s="164" customFormat="1" ht="11.25">
      <c r="A278" s="161"/>
      <c r="B278" s="165"/>
      <c r="C278" s="4" t="s">
        <v>272</v>
      </c>
      <c r="D278" s="170"/>
      <c r="E278" s="55"/>
      <c r="F278" s="55"/>
      <c r="G278" s="55"/>
      <c r="H278" s="177" t="s">
        <v>271</v>
      </c>
      <c r="I278" s="177" t="s">
        <v>268</v>
      </c>
      <c r="J278" s="177" t="s">
        <v>269</v>
      </c>
      <c r="M278" s="55"/>
      <c r="N278" s="55"/>
      <c r="O278" s="55"/>
    </row>
    <row r="279" spans="1:15" s="164" customFormat="1" ht="15">
      <c r="A279" s="166"/>
      <c r="B279" s="167"/>
      <c r="C279" s="4" t="s">
        <v>9</v>
      </c>
      <c r="D279" s="349"/>
      <c r="E279" s="74">
        <v>950</v>
      </c>
      <c r="F279" s="74">
        <v>1000</v>
      </c>
      <c r="G279" s="74">
        <v>1000</v>
      </c>
      <c r="H279" s="177">
        <f>MEDIAN(E279:G279)</f>
        <v>1000</v>
      </c>
      <c r="I279" s="177">
        <f>H279*1.3</f>
        <v>1300</v>
      </c>
      <c r="J279" s="177">
        <f>H279*0.7</f>
        <v>700</v>
      </c>
      <c r="M279" s="74">
        <v>950</v>
      </c>
      <c r="N279" s="74">
        <v>1000</v>
      </c>
      <c r="O279" s="74">
        <v>1000</v>
      </c>
    </row>
    <row r="280" spans="1:15" s="164" customFormat="1" ht="15">
      <c r="A280" s="166"/>
      <c r="B280" s="167"/>
      <c r="C280" s="4" t="s">
        <v>8</v>
      </c>
      <c r="D280" s="171"/>
      <c r="E280" s="55"/>
      <c r="F280" s="55"/>
      <c r="G280" s="55"/>
      <c r="H280" s="177"/>
      <c r="I280" s="177"/>
      <c r="J280" s="177"/>
      <c r="M280" s="55"/>
      <c r="N280" s="55"/>
      <c r="O280" s="55"/>
    </row>
    <row r="281" spans="1:15" s="164" customFormat="1" ht="15">
      <c r="A281" s="166"/>
      <c r="B281" s="167"/>
      <c r="C281" s="4" t="s">
        <v>7</v>
      </c>
      <c r="D281" s="171"/>
      <c r="E281" s="3"/>
      <c r="F281" s="3"/>
      <c r="G281" s="3"/>
      <c r="H281" s="177"/>
      <c r="I281" s="177"/>
      <c r="J281" s="177"/>
      <c r="M281" s="3"/>
      <c r="N281" s="3"/>
      <c r="O281" s="3"/>
    </row>
    <row r="282" spans="1:15" s="164" customFormat="1" ht="15">
      <c r="A282" s="168"/>
      <c r="B282" s="169"/>
      <c r="C282" s="4" t="s">
        <v>6</v>
      </c>
      <c r="D282" s="172"/>
      <c r="E282" s="2">
        <v>43840</v>
      </c>
      <c r="F282" s="2">
        <v>43840</v>
      </c>
      <c r="G282" s="2">
        <v>43840</v>
      </c>
      <c r="H282" s="177"/>
      <c r="I282" s="177"/>
      <c r="J282" s="177"/>
      <c r="M282" s="2">
        <v>43950</v>
      </c>
      <c r="N282" s="2">
        <v>43950</v>
      </c>
      <c r="O282" s="2">
        <v>43950</v>
      </c>
    </row>
    <row r="283" spans="1:15" s="163" customFormat="1" ht="11.25">
      <c r="A283" s="6"/>
      <c r="B283" s="5"/>
      <c r="C283" s="5"/>
      <c r="D283" s="5"/>
      <c r="E283" s="5"/>
      <c r="F283" s="5"/>
      <c r="G283" s="5"/>
      <c r="H283" s="176"/>
      <c r="I283" s="176"/>
      <c r="J283" s="176"/>
      <c r="M283" s="5"/>
      <c r="N283" s="5"/>
      <c r="O283" s="5"/>
    </row>
    <row r="284" spans="1:15" s="164" customFormat="1" ht="22.5">
      <c r="A284" s="183" t="s">
        <v>7850</v>
      </c>
      <c r="B284" s="184" t="s">
        <v>7848</v>
      </c>
      <c r="C284" s="185">
        <f>MIN(E286:G286)</f>
        <v>3.1717391304347829E-2</v>
      </c>
      <c r="D284" s="186" t="s">
        <v>90</v>
      </c>
      <c r="E284" s="187" t="s">
        <v>6320</v>
      </c>
      <c r="F284" s="187" t="s">
        <v>6324</v>
      </c>
      <c r="G284" s="187" t="s">
        <v>7844</v>
      </c>
      <c r="H284" s="177" t="s">
        <v>170</v>
      </c>
      <c r="I284" s="177"/>
      <c r="J284" s="177"/>
      <c r="M284" s="187" t="s">
        <v>6320</v>
      </c>
      <c r="N284" s="187" t="s">
        <v>6324</v>
      </c>
      <c r="O284" s="187" t="s">
        <v>7844</v>
      </c>
    </row>
    <row r="285" spans="1:15" s="164" customFormat="1" ht="22.5">
      <c r="A285" s="161"/>
      <c r="B285" s="165"/>
      <c r="C285" s="4" t="s">
        <v>272</v>
      </c>
      <c r="D285" s="170"/>
      <c r="E285" s="55" t="s">
        <v>6322</v>
      </c>
      <c r="F285" s="55" t="s">
        <v>6325</v>
      </c>
      <c r="G285" s="55" t="s">
        <v>7845</v>
      </c>
      <c r="H285" s="177" t="s">
        <v>271</v>
      </c>
      <c r="I285" s="177" t="s">
        <v>268</v>
      </c>
      <c r="J285" s="177" t="s">
        <v>269</v>
      </c>
      <c r="M285" s="55" t="s">
        <v>6322</v>
      </c>
      <c r="N285" s="55" t="s">
        <v>6325</v>
      </c>
      <c r="O285" s="55" t="s">
        <v>7845</v>
      </c>
    </row>
    <row r="286" spans="1:15" s="164" customFormat="1" ht="15">
      <c r="A286" s="166"/>
      <c r="B286" s="167"/>
      <c r="C286" s="4" t="s">
        <v>9</v>
      </c>
      <c r="D286" s="171"/>
      <c r="E286" s="74">
        <f>14.59/460</f>
        <v>3.1717391304347829E-2</v>
      </c>
      <c r="F286" s="74">
        <f>6.95/100</f>
        <v>6.9500000000000006E-2</v>
      </c>
      <c r="G286" s="74">
        <f>11.03/3/100</f>
        <v>3.6766666666666663E-2</v>
      </c>
      <c r="H286" s="177">
        <f>MEDIAN(E286:G286)</f>
        <v>3.6766666666666663E-2</v>
      </c>
      <c r="I286" s="177">
        <f>H286*1.3</f>
        <v>4.7796666666666661E-2</v>
      </c>
      <c r="J286" s="177">
        <f>H286*0.7</f>
        <v>2.5736666666666661E-2</v>
      </c>
      <c r="M286" s="74">
        <f>14.59/460</f>
        <v>3.1717391304347829E-2</v>
      </c>
      <c r="N286" s="74">
        <f>6.95/100</f>
        <v>6.9500000000000006E-2</v>
      </c>
      <c r="O286" s="74">
        <f>11.03/3/100</f>
        <v>3.6766666666666663E-2</v>
      </c>
    </row>
    <row r="287" spans="1:15" s="164" customFormat="1" ht="15">
      <c r="A287" s="166"/>
      <c r="B287" s="167"/>
      <c r="C287" s="4" t="s">
        <v>8</v>
      </c>
      <c r="D287" s="171"/>
      <c r="E287" s="55" t="s">
        <v>6323</v>
      </c>
      <c r="F287" s="55" t="s">
        <v>191</v>
      </c>
      <c r="G287" s="55" t="s">
        <v>7846</v>
      </c>
      <c r="H287" s="177"/>
      <c r="I287" s="177"/>
      <c r="J287" s="177"/>
      <c r="M287" s="55" t="s">
        <v>6323</v>
      </c>
      <c r="N287" s="55" t="s">
        <v>191</v>
      </c>
      <c r="O287" s="55" t="s">
        <v>7846</v>
      </c>
    </row>
    <row r="288" spans="1:15" s="164" customFormat="1" ht="15">
      <c r="A288" s="166"/>
      <c r="B288" s="167"/>
      <c r="C288" s="4" t="s">
        <v>7</v>
      </c>
      <c r="D288" s="171"/>
      <c r="E288" s="3" t="s">
        <v>6321</v>
      </c>
      <c r="F288" s="3" t="s">
        <v>6326</v>
      </c>
      <c r="G288" s="3" t="s">
        <v>7847</v>
      </c>
      <c r="H288" s="177"/>
      <c r="I288" s="177"/>
      <c r="J288" s="177"/>
      <c r="M288" s="3" t="s">
        <v>6321</v>
      </c>
      <c r="N288" s="3" t="s">
        <v>6326</v>
      </c>
      <c r="O288" s="3" t="s">
        <v>7847</v>
      </c>
    </row>
    <row r="289" spans="1:15" s="164" customFormat="1" ht="14.25" customHeight="1">
      <c r="A289" s="166"/>
      <c r="B289" s="167"/>
      <c r="C289" s="4" t="s">
        <v>6</v>
      </c>
      <c r="D289" s="172"/>
      <c r="E289" s="2">
        <v>43711</v>
      </c>
      <c r="F289" s="2">
        <v>43768</v>
      </c>
      <c r="G289" s="2">
        <v>43711</v>
      </c>
      <c r="H289" s="177"/>
      <c r="I289" s="177"/>
      <c r="J289" s="177"/>
      <c r="M289" s="2">
        <v>43711</v>
      </c>
      <c r="N289" s="2">
        <v>43768</v>
      </c>
      <c r="O289" s="2">
        <v>43711</v>
      </c>
    </row>
    <row r="290" spans="1:15" s="163" customFormat="1" ht="11.25">
      <c r="A290" s="6"/>
      <c r="B290" s="5"/>
      <c r="C290" s="5"/>
      <c r="D290" s="5"/>
      <c r="E290" s="5"/>
      <c r="F290" s="5"/>
      <c r="G290" s="5"/>
      <c r="H290" s="176"/>
      <c r="I290" s="176"/>
      <c r="J290" s="176"/>
      <c r="M290" s="5"/>
      <c r="N290" s="5"/>
      <c r="O290" s="5"/>
    </row>
    <row r="291" spans="1:15" s="164" customFormat="1" ht="22.5">
      <c r="A291" s="183" t="s">
        <v>7851</v>
      </c>
      <c r="B291" s="184" t="s">
        <v>7849</v>
      </c>
      <c r="C291" s="185">
        <f>MIN(E293:G293)</f>
        <v>4.7509999999999997E-2</v>
      </c>
      <c r="D291" s="186" t="s">
        <v>90</v>
      </c>
      <c r="E291" s="187" t="s">
        <v>6320</v>
      </c>
      <c r="F291" s="187" t="s">
        <v>7844</v>
      </c>
      <c r="G291" s="187" t="s">
        <v>6330</v>
      </c>
      <c r="H291" s="177" t="s">
        <v>170</v>
      </c>
      <c r="I291" s="177"/>
      <c r="J291" s="177"/>
      <c r="M291" s="187" t="s">
        <v>6320</v>
      </c>
      <c r="N291" s="187" t="s">
        <v>7844</v>
      </c>
      <c r="O291" s="187" t="s">
        <v>6330</v>
      </c>
    </row>
    <row r="292" spans="1:15" s="164" customFormat="1" ht="22.5">
      <c r="A292" s="161"/>
      <c r="B292" s="165"/>
      <c r="C292" s="4" t="s">
        <v>272</v>
      </c>
      <c r="D292" s="170"/>
      <c r="E292" s="55" t="s">
        <v>6322</v>
      </c>
      <c r="F292" s="55" t="s">
        <v>7845</v>
      </c>
      <c r="G292" s="55" t="s">
        <v>6331</v>
      </c>
      <c r="H292" s="177" t="s">
        <v>271</v>
      </c>
      <c r="I292" s="177" t="s">
        <v>268</v>
      </c>
      <c r="J292" s="177" t="s">
        <v>269</v>
      </c>
      <c r="M292" s="55" t="s">
        <v>6322</v>
      </c>
      <c r="N292" s="55" t="s">
        <v>7845</v>
      </c>
      <c r="O292" s="55" t="s">
        <v>6331</v>
      </c>
    </row>
    <row r="293" spans="1:15" s="164" customFormat="1" ht="15">
      <c r="A293" s="166"/>
      <c r="B293" s="167"/>
      <c r="C293" s="4" t="s">
        <v>9</v>
      </c>
      <c r="D293" s="171"/>
      <c r="E293" s="74">
        <v>4.7509999999999997E-2</v>
      </c>
      <c r="F293" s="74">
        <v>4.993333333333333E-2</v>
      </c>
      <c r="G293" s="74">
        <v>7.0000000000000007E-2</v>
      </c>
      <c r="H293" s="177">
        <f>MEDIAN(E293:G293)</f>
        <v>4.993333333333333E-2</v>
      </c>
      <c r="I293" s="177">
        <f>H293*1.3</f>
        <v>6.4913333333333337E-2</v>
      </c>
      <c r="J293" s="177">
        <f>H293*0.7</f>
        <v>3.4953333333333329E-2</v>
      </c>
      <c r="M293" s="74">
        <v>4.7509999999999997E-2</v>
      </c>
      <c r="N293" s="74">
        <v>4.993333333333333E-2</v>
      </c>
      <c r="O293" s="74">
        <v>7.0000000000000007E-2</v>
      </c>
    </row>
    <row r="294" spans="1:15" s="164" customFormat="1" ht="15">
      <c r="A294" s="166"/>
      <c r="B294" s="167"/>
      <c r="C294" s="4" t="s">
        <v>8</v>
      </c>
      <c r="D294" s="171"/>
      <c r="E294" s="55" t="s">
        <v>6323</v>
      </c>
      <c r="F294" s="55" t="s">
        <v>7846</v>
      </c>
      <c r="G294" s="55" t="s">
        <v>6332</v>
      </c>
      <c r="H294" s="177"/>
      <c r="I294" s="177"/>
      <c r="J294" s="177"/>
      <c r="M294" s="55" t="s">
        <v>6323</v>
      </c>
      <c r="N294" s="55" t="s">
        <v>7846</v>
      </c>
      <c r="O294" s="55" t="s">
        <v>6332</v>
      </c>
    </row>
    <row r="295" spans="1:15" s="164" customFormat="1" ht="15">
      <c r="A295" s="166"/>
      <c r="B295" s="167"/>
      <c r="C295" s="4" t="s">
        <v>7</v>
      </c>
      <c r="D295" s="171"/>
      <c r="E295" s="3" t="s">
        <v>6321</v>
      </c>
      <c r="F295" s="3" t="s">
        <v>7847</v>
      </c>
      <c r="G295" s="3" t="s">
        <v>6333</v>
      </c>
      <c r="H295" s="177"/>
      <c r="I295" s="177"/>
      <c r="J295" s="177"/>
      <c r="M295" s="3" t="s">
        <v>6321</v>
      </c>
      <c r="N295" s="3" t="s">
        <v>7847</v>
      </c>
      <c r="O295" s="3" t="s">
        <v>6333</v>
      </c>
    </row>
    <row r="296" spans="1:15" s="164" customFormat="1" ht="14.25" customHeight="1">
      <c r="A296" s="166"/>
      <c r="B296" s="167"/>
      <c r="C296" s="4" t="s">
        <v>6</v>
      </c>
      <c r="D296" s="172"/>
      <c r="E296" s="2">
        <v>43711</v>
      </c>
      <c r="F296" s="2">
        <v>43711</v>
      </c>
      <c r="G296" s="2">
        <v>43787</v>
      </c>
      <c r="H296" s="177"/>
      <c r="I296" s="177"/>
      <c r="J296" s="177"/>
      <c r="M296" s="2">
        <v>43711</v>
      </c>
      <c r="N296" s="2">
        <v>43711</v>
      </c>
      <c r="O296" s="2">
        <v>43787</v>
      </c>
    </row>
    <row r="297" spans="1:15" s="163" customFormat="1" ht="11.25">
      <c r="A297" s="6"/>
      <c r="B297" s="5"/>
      <c r="C297" s="5"/>
      <c r="D297" s="5"/>
      <c r="E297" s="5"/>
      <c r="F297" s="5"/>
      <c r="G297" s="5"/>
      <c r="H297" s="176"/>
      <c r="I297" s="176"/>
      <c r="J297" s="176"/>
      <c r="M297" s="5"/>
      <c r="N297" s="5"/>
      <c r="O297" s="5"/>
    </row>
    <row r="298" spans="1:15" s="164" customFormat="1" ht="33.75">
      <c r="A298" s="183" t="s">
        <v>7927</v>
      </c>
      <c r="B298" s="184" t="s">
        <v>8073</v>
      </c>
      <c r="C298" s="185">
        <f>MIN(E300:G300)</f>
        <v>235.38569256077776</v>
      </c>
      <c r="D298" s="186" t="s">
        <v>89</v>
      </c>
      <c r="E298" s="705" t="s">
        <v>8076</v>
      </c>
      <c r="F298" s="706"/>
      <c r="G298" s="707"/>
      <c r="H298" s="177" t="s">
        <v>170</v>
      </c>
      <c r="I298" s="177"/>
      <c r="J298" s="177"/>
      <c r="M298" s="705" t="s">
        <v>8076</v>
      </c>
      <c r="N298" s="706"/>
      <c r="O298" s="707"/>
    </row>
    <row r="299" spans="1:15" s="164" customFormat="1" ht="11.25">
      <c r="A299" s="161"/>
      <c r="B299" s="165"/>
      <c r="C299" s="4" t="s">
        <v>272</v>
      </c>
      <c r="D299" s="170"/>
      <c r="E299" s="708" t="s">
        <v>8072</v>
      </c>
      <c r="F299" s="709"/>
      <c r="G299" s="710"/>
      <c r="H299" s="177" t="s">
        <v>271</v>
      </c>
      <c r="I299" s="177" t="s">
        <v>268</v>
      </c>
      <c r="J299" s="177" t="s">
        <v>269</v>
      </c>
      <c r="M299" s="708" t="s">
        <v>8072</v>
      </c>
      <c r="N299" s="709"/>
      <c r="O299" s="710"/>
    </row>
    <row r="300" spans="1:15" s="164" customFormat="1" ht="15">
      <c r="A300" s="371" t="s">
        <v>8063</v>
      </c>
      <c r="B300" s="167"/>
      <c r="C300" s="4" t="s">
        <v>9</v>
      </c>
      <c r="D300" s="171"/>
      <c r="E300" s="711">
        <f>M300/'Reajustamento INCC'!$C$79</f>
        <v>235.38569256077776</v>
      </c>
      <c r="F300" s="712"/>
      <c r="G300" s="713"/>
      <c r="H300" s="177">
        <f>MEDIAN(E300:G300)</f>
        <v>235.38569256077776</v>
      </c>
      <c r="I300" s="177">
        <f>H300*1.3</f>
        <v>306.00140032901112</v>
      </c>
      <c r="J300" s="177">
        <f>H300*0.7</f>
        <v>164.76998479254442</v>
      </c>
      <c r="L300" s="164" t="s">
        <v>8074</v>
      </c>
      <c r="M300" s="711">
        <f>(132*2*1.02)/1.13</f>
        <v>238.30088495575225</v>
      </c>
      <c r="N300" s="712"/>
      <c r="O300" s="713"/>
    </row>
    <row r="301" spans="1:15" s="164" customFormat="1" ht="15">
      <c r="A301" s="371" t="s">
        <v>8078</v>
      </c>
      <c r="B301" s="167"/>
      <c r="C301" s="4" t="s">
        <v>8</v>
      </c>
      <c r="D301" s="171"/>
      <c r="E301" s="708" t="s">
        <v>8070</v>
      </c>
      <c r="F301" s="709"/>
      <c r="G301" s="710"/>
      <c r="H301" s="177"/>
      <c r="I301" s="177"/>
      <c r="J301" s="177"/>
      <c r="L301" s="164" t="s">
        <v>8075</v>
      </c>
      <c r="M301" s="708" t="s">
        <v>8070</v>
      </c>
      <c r="N301" s="709"/>
      <c r="O301" s="710"/>
    </row>
    <row r="302" spans="1:15" s="164" customFormat="1" ht="15">
      <c r="A302" s="166"/>
      <c r="B302" s="167"/>
      <c r="C302" s="4" t="s">
        <v>7</v>
      </c>
      <c r="D302" s="171"/>
      <c r="E302" s="714" t="s">
        <v>8071</v>
      </c>
      <c r="F302" s="715"/>
      <c r="G302" s="716"/>
      <c r="H302" s="177"/>
      <c r="I302" s="177"/>
      <c r="J302" s="177"/>
      <c r="M302" s="714" t="s">
        <v>8071</v>
      </c>
      <c r="N302" s="715"/>
      <c r="O302" s="716"/>
    </row>
    <row r="303" spans="1:15" s="164" customFormat="1" ht="14.25" customHeight="1">
      <c r="A303" s="166"/>
      <c r="B303" s="167"/>
      <c r="C303" s="4" t="s">
        <v>6</v>
      </c>
      <c r="D303" s="172"/>
      <c r="E303" s="717">
        <v>43831</v>
      </c>
      <c r="F303" s="718"/>
      <c r="G303" s="719"/>
      <c r="H303" s="177"/>
      <c r="I303" s="177"/>
      <c r="J303" s="177"/>
      <c r="M303" s="717">
        <v>43927</v>
      </c>
      <c r="N303" s="718"/>
      <c r="O303" s="719"/>
    </row>
    <row r="304" spans="1:15" s="163" customFormat="1" ht="11.25">
      <c r="A304" s="6"/>
      <c r="B304" s="5"/>
      <c r="C304" s="5"/>
      <c r="D304" s="5"/>
      <c r="E304" s="5"/>
      <c r="F304" s="5"/>
      <c r="G304" s="5"/>
      <c r="H304" s="176"/>
      <c r="I304" s="176"/>
      <c r="J304" s="176"/>
      <c r="M304" s="5"/>
      <c r="N304" s="5"/>
      <c r="O304" s="5"/>
    </row>
    <row r="305" spans="1:15" s="164" customFormat="1" ht="22.5">
      <c r="A305" s="183" t="s">
        <v>7944</v>
      </c>
      <c r="B305" s="184" t="s">
        <v>7946</v>
      </c>
      <c r="C305" s="185">
        <f>MIN(E307:G307)</f>
        <v>16.001821479566239</v>
      </c>
      <c r="D305" s="186" t="s">
        <v>89</v>
      </c>
      <c r="E305" s="705" t="s">
        <v>8076</v>
      </c>
      <c r="F305" s="706"/>
      <c r="G305" s="707"/>
      <c r="H305" s="177" t="s">
        <v>170</v>
      </c>
      <c r="I305" s="177"/>
      <c r="J305" s="177"/>
      <c r="M305" s="705" t="s">
        <v>8076</v>
      </c>
      <c r="N305" s="706"/>
      <c r="O305" s="707"/>
    </row>
    <row r="306" spans="1:15" s="164" customFormat="1" ht="11.25" customHeight="1">
      <c r="A306" s="161"/>
      <c r="B306" s="165"/>
      <c r="C306" s="4" t="s">
        <v>272</v>
      </c>
      <c r="D306" s="170"/>
      <c r="E306" s="708" t="s">
        <v>8072</v>
      </c>
      <c r="F306" s="709"/>
      <c r="G306" s="710"/>
      <c r="H306" s="177" t="s">
        <v>271</v>
      </c>
      <c r="I306" s="177" t="s">
        <v>268</v>
      </c>
      <c r="J306" s="177" t="s">
        <v>269</v>
      </c>
      <c r="M306" s="708" t="s">
        <v>8072</v>
      </c>
      <c r="N306" s="709"/>
      <c r="O306" s="710"/>
    </row>
    <row r="307" spans="1:15" s="164" customFormat="1" ht="15">
      <c r="A307" s="371" t="s">
        <v>8063</v>
      </c>
      <c r="B307" s="167"/>
      <c r="C307" s="4" t="s">
        <v>9</v>
      </c>
      <c r="D307" s="171"/>
      <c r="E307" s="711">
        <f>M307/'Reajustamento INCC'!$C$79</f>
        <v>16.001821479566239</v>
      </c>
      <c r="F307" s="712"/>
      <c r="G307" s="713"/>
      <c r="H307" s="177">
        <f>MEDIAN(E307:G307)</f>
        <v>16.001821479566239</v>
      </c>
      <c r="I307" s="177">
        <f>H307*1.3</f>
        <v>20.802367923436112</v>
      </c>
      <c r="J307" s="177">
        <f>H307*0.7</f>
        <v>11.201275035696366</v>
      </c>
      <c r="M307" s="711">
        <v>16.2</v>
      </c>
      <c r="N307" s="712"/>
      <c r="O307" s="713"/>
    </row>
    <row r="308" spans="1:15" s="164" customFormat="1" ht="15">
      <c r="A308" s="166"/>
      <c r="B308" s="167"/>
      <c r="C308" s="4" t="s">
        <v>8</v>
      </c>
      <c r="D308" s="171"/>
      <c r="E308" s="708" t="s">
        <v>8070</v>
      </c>
      <c r="F308" s="709"/>
      <c r="G308" s="710"/>
      <c r="H308" s="177"/>
      <c r="I308" s="177"/>
      <c r="J308" s="177"/>
      <c r="M308" s="708" t="s">
        <v>8070</v>
      </c>
      <c r="N308" s="709"/>
      <c r="O308" s="710"/>
    </row>
    <row r="309" spans="1:15" s="164" customFormat="1" ht="15">
      <c r="A309" s="166"/>
      <c r="B309" s="167"/>
      <c r="C309" s="4" t="s">
        <v>7</v>
      </c>
      <c r="D309" s="171"/>
      <c r="E309" s="714" t="s">
        <v>8071</v>
      </c>
      <c r="F309" s="715"/>
      <c r="G309" s="716"/>
      <c r="H309" s="177"/>
      <c r="I309" s="177"/>
      <c r="J309" s="177"/>
      <c r="M309" s="714" t="s">
        <v>8071</v>
      </c>
      <c r="N309" s="715"/>
      <c r="O309" s="716"/>
    </row>
    <row r="310" spans="1:15" s="164" customFormat="1" ht="14.25" customHeight="1">
      <c r="A310" s="166"/>
      <c r="B310" s="167"/>
      <c r="C310" s="4" t="s">
        <v>6</v>
      </c>
      <c r="D310" s="172"/>
      <c r="E310" s="717">
        <v>43831</v>
      </c>
      <c r="F310" s="718"/>
      <c r="G310" s="719"/>
      <c r="H310" s="177"/>
      <c r="I310" s="177"/>
      <c r="J310" s="177"/>
      <c r="M310" s="717">
        <v>43927</v>
      </c>
      <c r="N310" s="718"/>
      <c r="O310" s="719"/>
    </row>
    <row r="311" spans="1:15" s="163" customFormat="1" ht="11.25">
      <c r="A311" s="6"/>
      <c r="B311" s="5"/>
      <c r="C311" s="5"/>
      <c r="D311" s="5"/>
      <c r="E311" s="5"/>
      <c r="F311" s="5"/>
      <c r="G311" s="5"/>
      <c r="H311" s="176"/>
      <c r="I311" s="176"/>
      <c r="J311" s="176"/>
      <c r="M311" s="5"/>
      <c r="N311" s="5"/>
      <c r="O311" s="5"/>
    </row>
    <row r="312" spans="1:15" s="164" customFormat="1" ht="22.5">
      <c r="A312" s="183" t="s">
        <v>7954</v>
      </c>
      <c r="B312" s="184" t="s">
        <v>7955</v>
      </c>
      <c r="C312" s="185">
        <f>MIN(E314:G314)</f>
        <v>14.816501369968739</v>
      </c>
      <c r="D312" s="186" t="s">
        <v>89</v>
      </c>
      <c r="E312" s="705" t="s">
        <v>8076</v>
      </c>
      <c r="F312" s="706"/>
      <c r="G312" s="707"/>
      <c r="H312" s="177" t="s">
        <v>170</v>
      </c>
      <c r="I312" s="177"/>
      <c r="J312" s="177"/>
      <c r="M312" s="705" t="s">
        <v>8076</v>
      </c>
      <c r="N312" s="706"/>
      <c r="O312" s="707"/>
    </row>
    <row r="313" spans="1:15" s="164" customFormat="1" ht="11.25" customHeight="1">
      <c r="A313" s="161"/>
      <c r="B313" s="165"/>
      <c r="C313" s="4" t="s">
        <v>272</v>
      </c>
      <c r="D313" s="170"/>
      <c r="E313" s="708" t="s">
        <v>8072</v>
      </c>
      <c r="F313" s="709"/>
      <c r="G313" s="710"/>
      <c r="H313" s="177" t="s">
        <v>271</v>
      </c>
      <c r="I313" s="177" t="s">
        <v>268</v>
      </c>
      <c r="J313" s="177" t="s">
        <v>269</v>
      </c>
      <c r="M313" s="708" t="s">
        <v>8072</v>
      </c>
      <c r="N313" s="709"/>
      <c r="O313" s="710"/>
    </row>
    <row r="314" spans="1:15" s="164" customFormat="1" ht="15">
      <c r="A314" s="371" t="s">
        <v>8063</v>
      </c>
      <c r="B314" s="167"/>
      <c r="C314" s="4" t="s">
        <v>9</v>
      </c>
      <c r="D314" s="171"/>
      <c r="E314" s="711">
        <f>M314/'Reajustamento INCC'!$C$79</f>
        <v>14.816501369968739</v>
      </c>
      <c r="F314" s="712"/>
      <c r="G314" s="713"/>
      <c r="H314" s="177">
        <f>MEDIAN(E314:G314)</f>
        <v>14.816501369968739</v>
      </c>
      <c r="I314" s="177">
        <f>H314*1.3</f>
        <v>19.261451780959362</v>
      </c>
      <c r="J314" s="177">
        <f>H314*0.7</f>
        <v>10.371550958978117</v>
      </c>
      <c r="M314" s="711">
        <v>15</v>
      </c>
      <c r="N314" s="712"/>
      <c r="O314" s="713"/>
    </row>
    <row r="315" spans="1:15" s="164" customFormat="1" ht="15">
      <c r="A315" s="166"/>
      <c r="B315" s="167"/>
      <c r="C315" s="4" t="s">
        <v>8</v>
      </c>
      <c r="D315" s="171"/>
      <c r="E315" s="708" t="s">
        <v>8070</v>
      </c>
      <c r="F315" s="709"/>
      <c r="G315" s="710"/>
      <c r="H315" s="177"/>
      <c r="I315" s="177"/>
      <c r="J315" s="177"/>
      <c r="M315" s="708" t="s">
        <v>8070</v>
      </c>
      <c r="N315" s="709"/>
      <c r="O315" s="710"/>
    </row>
    <row r="316" spans="1:15" s="164" customFormat="1" ht="15">
      <c r="A316" s="166"/>
      <c r="B316" s="167"/>
      <c r="C316" s="4" t="s">
        <v>7</v>
      </c>
      <c r="D316" s="171"/>
      <c r="E316" s="714" t="s">
        <v>8071</v>
      </c>
      <c r="F316" s="715"/>
      <c r="G316" s="716"/>
      <c r="H316" s="177"/>
      <c r="I316" s="177"/>
      <c r="J316" s="177"/>
      <c r="M316" s="714" t="s">
        <v>8071</v>
      </c>
      <c r="N316" s="715"/>
      <c r="O316" s="716"/>
    </row>
    <row r="317" spans="1:15" s="164" customFormat="1" ht="14.25" customHeight="1">
      <c r="A317" s="166"/>
      <c r="B317" s="167"/>
      <c r="C317" s="4" t="s">
        <v>6</v>
      </c>
      <c r="D317" s="172"/>
      <c r="E317" s="717">
        <v>43831</v>
      </c>
      <c r="F317" s="718"/>
      <c r="G317" s="719"/>
      <c r="H317" s="177"/>
      <c r="I317" s="177"/>
      <c r="J317" s="177"/>
      <c r="M317" s="717">
        <v>43927</v>
      </c>
      <c r="N317" s="718"/>
      <c r="O317" s="719"/>
    </row>
    <row r="318" spans="1:15" s="163" customFormat="1" ht="11.25">
      <c r="A318" s="6"/>
      <c r="B318" s="5"/>
      <c r="C318" s="5"/>
      <c r="D318" s="5"/>
      <c r="E318" s="5"/>
      <c r="F318" s="5"/>
      <c r="G318" s="5"/>
      <c r="H318" s="176"/>
      <c r="I318" s="176"/>
      <c r="J318" s="176"/>
      <c r="M318" s="5"/>
      <c r="N318" s="5"/>
      <c r="O318" s="5"/>
    </row>
    <row r="319" spans="1:15" s="164" customFormat="1" ht="22.5">
      <c r="A319" s="183" t="s">
        <v>7960</v>
      </c>
      <c r="B319" s="184" t="s">
        <v>7961</v>
      </c>
      <c r="C319" s="185">
        <f>MIN(E321:G321)</f>
        <v>13.275585227491991</v>
      </c>
      <c r="D319" s="186" t="s">
        <v>4</v>
      </c>
      <c r="E319" s="705" t="s">
        <v>8076</v>
      </c>
      <c r="F319" s="706"/>
      <c r="G319" s="707"/>
      <c r="H319" s="177" t="s">
        <v>170</v>
      </c>
      <c r="I319" s="177"/>
      <c r="J319" s="177"/>
      <c r="M319" s="705" t="s">
        <v>8076</v>
      </c>
      <c r="N319" s="706"/>
      <c r="O319" s="707"/>
    </row>
    <row r="320" spans="1:15" s="164" customFormat="1" ht="11.25" customHeight="1">
      <c r="A320" s="161"/>
      <c r="B320" s="165"/>
      <c r="C320" s="4" t="s">
        <v>272</v>
      </c>
      <c r="D320" s="170"/>
      <c r="E320" s="708" t="s">
        <v>8072</v>
      </c>
      <c r="F320" s="709"/>
      <c r="G320" s="710"/>
      <c r="H320" s="177" t="s">
        <v>271</v>
      </c>
      <c r="I320" s="177" t="s">
        <v>268</v>
      </c>
      <c r="J320" s="177" t="s">
        <v>269</v>
      </c>
      <c r="M320" s="708" t="s">
        <v>8072</v>
      </c>
      <c r="N320" s="709"/>
      <c r="O320" s="710"/>
    </row>
    <row r="321" spans="1:15" s="164" customFormat="1" ht="15">
      <c r="A321" s="371" t="s">
        <v>8063</v>
      </c>
      <c r="B321" s="167"/>
      <c r="C321" s="4" t="s">
        <v>9</v>
      </c>
      <c r="D321" s="171"/>
      <c r="E321" s="711">
        <f>M321/'Reajustamento INCC'!$C$79</f>
        <v>13.275585227491991</v>
      </c>
      <c r="F321" s="712"/>
      <c r="G321" s="713"/>
      <c r="H321" s="177">
        <f>MEDIAN(E321:G321)</f>
        <v>13.275585227491991</v>
      </c>
      <c r="I321" s="177">
        <f>H321*1.3</f>
        <v>17.258260795739588</v>
      </c>
      <c r="J321" s="177">
        <f>H321*0.7</f>
        <v>9.2929096592443923</v>
      </c>
      <c r="L321" s="164" t="s">
        <v>8077</v>
      </c>
      <c r="M321" s="711">
        <f>12.8*1.05</f>
        <v>13.440000000000001</v>
      </c>
      <c r="N321" s="712"/>
      <c r="O321" s="713"/>
    </row>
    <row r="322" spans="1:15" s="164" customFormat="1" ht="15">
      <c r="A322" s="166"/>
      <c r="B322" s="167"/>
      <c r="C322" s="4" t="s">
        <v>8</v>
      </c>
      <c r="D322" s="171"/>
      <c r="E322" s="708" t="s">
        <v>8070</v>
      </c>
      <c r="F322" s="709"/>
      <c r="G322" s="710"/>
      <c r="H322" s="177"/>
      <c r="I322" s="177"/>
      <c r="J322" s="177"/>
      <c r="M322" s="708" t="s">
        <v>8070</v>
      </c>
      <c r="N322" s="709"/>
      <c r="O322" s="710"/>
    </row>
    <row r="323" spans="1:15" s="164" customFormat="1" ht="15">
      <c r="A323" s="166"/>
      <c r="B323" s="167"/>
      <c r="C323" s="4" t="s">
        <v>7</v>
      </c>
      <c r="D323" s="171"/>
      <c r="E323" s="714" t="s">
        <v>8071</v>
      </c>
      <c r="F323" s="715"/>
      <c r="G323" s="716"/>
      <c r="H323" s="177"/>
      <c r="I323" s="177"/>
      <c r="J323" s="177"/>
      <c r="M323" s="714" t="s">
        <v>8071</v>
      </c>
      <c r="N323" s="715"/>
      <c r="O323" s="716"/>
    </row>
    <row r="324" spans="1:15" s="164" customFormat="1" ht="14.25" customHeight="1">
      <c r="A324" s="166"/>
      <c r="B324" s="167"/>
      <c r="C324" s="4" t="s">
        <v>6</v>
      </c>
      <c r="D324" s="172"/>
      <c r="E324" s="717">
        <v>43831</v>
      </c>
      <c r="F324" s="718"/>
      <c r="G324" s="719"/>
      <c r="H324" s="177"/>
      <c r="I324" s="177"/>
      <c r="J324" s="177"/>
      <c r="M324" s="717">
        <v>43927</v>
      </c>
      <c r="N324" s="718"/>
      <c r="O324" s="719"/>
    </row>
    <row r="325" spans="1:15" s="163" customFormat="1" ht="11.25">
      <c r="A325" s="6"/>
      <c r="B325" s="5"/>
      <c r="C325" s="5"/>
      <c r="D325" s="5"/>
      <c r="E325" s="5"/>
      <c r="F325" s="5"/>
      <c r="G325" s="5"/>
      <c r="H325" s="176"/>
      <c r="I325" s="176"/>
      <c r="J325" s="176"/>
      <c r="M325" s="5"/>
      <c r="N325" s="5"/>
      <c r="O325" s="5"/>
    </row>
    <row r="326" spans="1:15" s="164" customFormat="1" ht="11.25">
      <c r="A326" s="183" t="s">
        <v>7985</v>
      </c>
      <c r="B326" s="184" t="s">
        <v>7986</v>
      </c>
      <c r="C326" s="185">
        <f>MIN(E328:G328)</f>
        <v>26.817867479643418</v>
      </c>
      <c r="D326" s="186" t="s">
        <v>89</v>
      </c>
      <c r="E326" s="705" t="s">
        <v>8076</v>
      </c>
      <c r="F326" s="706"/>
      <c r="G326" s="707"/>
      <c r="H326" s="177" t="s">
        <v>170</v>
      </c>
      <c r="I326" s="177"/>
      <c r="J326" s="177"/>
      <c r="M326" s="705" t="s">
        <v>8076</v>
      </c>
      <c r="N326" s="706"/>
      <c r="O326" s="707"/>
    </row>
    <row r="327" spans="1:15" s="164" customFormat="1" ht="11.25" customHeight="1">
      <c r="A327" s="161"/>
      <c r="B327" s="165"/>
      <c r="C327" s="4" t="s">
        <v>272</v>
      </c>
      <c r="D327" s="170"/>
      <c r="E327" s="708" t="s">
        <v>8072</v>
      </c>
      <c r="F327" s="709"/>
      <c r="G327" s="710"/>
      <c r="H327" s="177" t="s">
        <v>271</v>
      </c>
      <c r="I327" s="177" t="s">
        <v>268</v>
      </c>
      <c r="J327" s="177" t="s">
        <v>269</v>
      </c>
      <c r="M327" s="708" t="s">
        <v>8072</v>
      </c>
      <c r="N327" s="709"/>
      <c r="O327" s="710"/>
    </row>
    <row r="328" spans="1:15" s="164" customFormat="1" ht="15">
      <c r="A328" s="371" t="s">
        <v>8063</v>
      </c>
      <c r="B328" s="167"/>
      <c r="C328" s="4" t="s">
        <v>9</v>
      </c>
      <c r="D328" s="171"/>
      <c r="E328" s="711">
        <f>M328/'Reajustamento INCC'!$C$79</f>
        <v>26.817867479643418</v>
      </c>
      <c r="F328" s="712"/>
      <c r="G328" s="713"/>
      <c r="H328" s="177">
        <f>MEDIAN(E328:G328)</f>
        <v>26.817867479643418</v>
      </c>
      <c r="I328" s="177">
        <f>H328*1.3</f>
        <v>34.863227723536447</v>
      </c>
      <c r="J328" s="177">
        <f>H328*0.7</f>
        <v>18.772507235750393</v>
      </c>
      <c r="M328" s="711">
        <v>27.15</v>
      </c>
      <c r="N328" s="712"/>
      <c r="O328" s="713"/>
    </row>
    <row r="329" spans="1:15" s="164" customFormat="1" ht="15">
      <c r="A329" s="166"/>
      <c r="B329" s="167"/>
      <c r="C329" s="4" t="s">
        <v>8</v>
      </c>
      <c r="D329" s="171"/>
      <c r="E329" s="708" t="s">
        <v>8070</v>
      </c>
      <c r="F329" s="709"/>
      <c r="G329" s="710"/>
      <c r="H329" s="177"/>
      <c r="I329" s="177"/>
      <c r="J329" s="177"/>
      <c r="M329" s="708" t="s">
        <v>8070</v>
      </c>
      <c r="N329" s="709"/>
      <c r="O329" s="710"/>
    </row>
    <row r="330" spans="1:15" s="164" customFormat="1" ht="15">
      <c r="A330" s="166"/>
      <c r="B330" s="167"/>
      <c r="C330" s="4" t="s">
        <v>7</v>
      </c>
      <c r="D330" s="171"/>
      <c r="E330" s="714" t="s">
        <v>8071</v>
      </c>
      <c r="F330" s="715"/>
      <c r="G330" s="716"/>
      <c r="H330" s="177"/>
      <c r="I330" s="177"/>
      <c r="J330" s="177"/>
      <c r="M330" s="714" t="s">
        <v>8071</v>
      </c>
      <c r="N330" s="715"/>
      <c r="O330" s="716"/>
    </row>
    <row r="331" spans="1:15" s="164" customFormat="1" ht="14.25" customHeight="1">
      <c r="A331" s="166"/>
      <c r="B331" s="167"/>
      <c r="C331" s="4" t="s">
        <v>6</v>
      </c>
      <c r="D331" s="172"/>
      <c r="E331" s="717">
        <v>43831</v>
      </c>
      <c r="F331" s="718"/>
      <c r="G331" s="719"/>
      <c r="H331" s="177"/>
      <c r="I331" s="177"/>
      <c r="J331" s="177"/>
      <c r="M331" s="717">
        <v>43927</v>
      </c>
      <c r="N331" s="718"/>
      <c r="O331" s="719"/>
    </row>
    <row r="332" spans="1:15" s="163" customFormat="1" ht="11.25">
      <c r="A332" s="6"/>
      <c r="B332" s="5"/>
      <c r="C332" s="5"/>
      <c r="D332" s="5"/>
      <c r="E332" s="5"/>
      <c r="F332" s="5"/>
      <c r="G332" s="5"/>
      <c r="H332" s="176"/>
      <c r="I332" s="176"/>
      <c r="J332" s="176"/>
      <c r="M332" s="5"/>
      <c r="N332" s="5"/>
      <c r="O332" s="5"/>
    </row>
    <row r="333" spans="1:15" s="164" customFormat="1" ht="22.5">
      <c r="A333" s="183" t="s">
        <v>8023</v>
      </c>
      <c r="B333" s="184" t="s">
        <v>8027</v>
      </c>
      <c r="C333" s="185">
        <f>MIN(E335:G335)</f>
        <v>196.78981304026934</v>
      </c>
      <c r="D333" s="186" t="s">
        <v>90</v>
      </c>
      <c r="E333" s="705" t="s">
        <v>8221</v>
      </c>
      <c r="F333" s="706"/>
      <c r="G333" s="707"/>
      <c r="H333" s="177" t="s">
        <v>170</v>
      </c>
      <c r="I333" s="177"/>
      <c r="J333" s="177"/>
      <c r="M333" s="705" t="s">
        <v>8221</v>
      </c>
      <c r="N333" s="706"/>
      <c r="O333" s="707"/>
    </row>
    <row r="334" spans="1:15" s="164" customFormat="1" ht="11.25">
      <c r="A334" s="161"/>
      <c r="B334" s="165"/>
      <c r="C334" s="4" t="s">
        <v>272</v>
      </c>
      <c r="D334" s="170"/>
      <c r="E334" s="708" t="s">
        <v>8237</v>
      </c>
      <c r="F334" s="709"/>
      <c r="G334" s="710"/>
      <c r="H334" s="177" t="s">
        <v>271</v>
      </c>
      <c r="I334" s="177" t="s">
        <v>268</v>
      </c>
      <c r="J334" s="177" t="s">
        <v>269</v>
      </c>
      <c r="M334" s="708" t="s">
        <v>8237</v>
      </c>
      <c r="N334" s="709"/>
      <c r="O334" s="710"/>
    </row>
    <row r="335" spans="1:15" s="164" customFormat="1" ht="15">
      <c r="A335" s="371" t="s">
        <v>8063</v>
      </c>
      <c r="B335" s="167"/>
      <c r="C335" s="4" t="s">
        <v>9</v>
      </c>
      <c r="D335" s="171"/>
      <c r="E335" s="711">
        <f>M335/'Reajustamento INCC'!$C$79</f>
        <v>196.78981304026934</v>
      </c>
      <c r="F335" s="712"/>
      <c r="G335" s="713"/>
      <c r="H335" s="177">
        <f>MEDIAN(E335:G335)</f>
        <v>196.78981304026934</v>
      </c>
      <c r="I335" s="177">
        <f>H335*1.3</f>
        <v>255.82675695235014</v>
      </c>
      <c r="J335" s="177">
        <f>H335*0.7</f>
        <v>137.75286912818854</v>
      </c>
      <c r="M335" s="711">
        <f>76503.17/384</f>
        <v>199.22700520833334</v>
      </c>
      <c r="N335" s="712"/>
      <c r="O335" s="713"/>
    </row>
    <row r="336" spans="1:15" s="164" customFormat="1" ht="15">
      <c r="A336" s="166"/>
      <c r="B336" s="167"/>
      <c r="C336" s="4" t="s">
        <v>8</v>
      </c>
      <c r="D336" s="171"/>
      <c r="E336" s="708" t="s">
        <v>8222</v>
      </c>
      <c r="F336" s="709"/>
      <c r="G336" s="710"/>
      <c r="H336" s="177"/>
      <c r="I336" s="177"/>
      <c r="J336" s="177"/>
      <c r="M336" s="708" t="s">
        <v>8222</v>
      </c>
      <c r="N336" s="709"/>
      <c r="O336" s="710"/>
    </row>
    <row r="337" spans="1:15" s="164" customFormat="1" ht="15">
      <c r="A337" s="166"/>
      <c r="B337" s="167"/>
      <c r="C337" s="4" t="s">
        <v>7</v>
      </c>
      <c r="D337" s="171"/>
      <c r="E337" s="714" t="s">
        <v>8223</v>
      </c>
      <c r="F337" s="715"/>
      <c r="G337" s="716"/>
      <c r="H337" s="177"/>
      <c r="I337" s="177"/>
      <c r="J337" s="177"/>
      <c r="M337" s="714" t="s">
        <v>8223</v>
      </c>
      <c r="N337" s="715"/>
      <c r="O337" s="716"/>
    </row>
    <row r="338" spans="1:15" s="164" customFormat="1" ht="14.25" customHeight="1">
      <c r="A338" s="166"/>
      <c r="B338" s="167"/>
      <c r="C338" s="4" t="s">
        <v>6</v>
      </c>
      <c r="D338" s="172"/>
      <c r="E338" s="717">
        <v>43831</v>
      </c>
      <c r="F338" s="718"/>
      <c r="G338" s="719"/>
      <c r="H338" s="177"/>
      <c r="I338" s="177"/>
      <c r="J338" s="177"/>
      <c r="M338" s="717">
        <v>43929</v>
      </c>
      <c r="N338" s="718"/>
      <c r="O338" s="719"/>
    </row>
    <row r="339" spans="1:15" s="163" customFormat="1" ht="11.25">
      <c r="A339" s="6"/>
      <c r="B339" s="5"/>
      <c r="C339" s="5"/>
      <c r="D339" s="5"/>
      <c r="E339" s="5"/>
      <c r="F339" s="5"/>
      <c r="G339" s="5"/>
      <c r="H339" s="176"/>
      <c r="I339" s="176"/>
      <c r="J339" s="176"/>
      <c r="M339" s="5"/>
      <c r="N339" s="5"/>
      <c r="O339" s="5"/>
    </row>
    <row r="340" spans="1:15" s="164" customFormat="1" ht="11.25">
      <c r="A340" s="183" t="s">
        <v>8024</v>
      </c>
      <c r="B340" s="184" t="s">
        <v>8028</v>
      </c>
      <c r="C340" s="185">
        <f>MIN(E342:G342)</f>
        <v>96.05043954771736</v>
      </c>
      <c r="D340" s="186" t="s">
        <v>90</v>
      </c>
      <c r="E340" s="705" t="s">
        <v>8221</v>
      </c>
      <c r="F340" s="706"/>
      <c r="G340" s="707"/>
      <c r="H340" s="177" t="s">
        <v>170</v>
      </c>
      <c r="I340" s="177"/>
      <c r="J340" s="177"/>
      <c r="M340" s="705" t="s">
        <v>8221</v>
      </c>
      <c r="N340" s="706"/>
      <c r="O340" s="707"/>
    </row>
    <row r="341" spans="1:15" s="164" customFormat="1" ht="11.25">
      <c r="A341" s="161"/>
      <c r="B341" s="165"/>
      <c r="C341" s="4" t="s">
        <v>272</v>
      </c>
      <c r="D341" s="170"/>
      <c r="E341" s="708" t="s">
        <v>8237</v>
      </c>
      <c r="F341" s="709"/>
      <c r="G341" s="710"/>
      <c r="H341" s="177" t="s">
        <v>271</v>
      </c>
      <c r="I341" s="177" t="s">
        <v>268</v>
      </c>
      <c r="J341" s="177" t="s">
        <v>269</v>
      </c>
      <c r="M341" s="708" t="s">
        <v>8237</v>
      </c>
      <c r="N341" s="709"/>
      <c r="O341" s="710"/>
    </row>
    <row r="342" spans="1:15" s="164" customFormat="1" ht="15">
      <c r="A342" s="371" t="s">
        <v>8063</v>
      </c>
      <c r="B342" s="167"/>
      <c r="C342" s="4" t="s">
        <v>9</v>
      </c>
      <c r="D342" s="171"/>
      <c r="E342" s="711">
        <f>M342/'Reajustamento INCC'!$C$79</f>
        <v>96.05043954771736</v>
      </c>
      <c r="F342" s="712"/>
      <c r="G342" s="713"/>
      <c r="H342" s="177">
        <f>MEDIAN(E342:G342)</f>
        <v>96.05043954771736</v>
      </c>
      <c r="I342" s="177">
        <f>H342*1.3</f>
        <v>124.86557141203258</v>
      </c>
      <c r="J342" s="177">
        <f>H342*0.7</f>
        <v>67.235307683402141</v>
      </c>
      <c r="M342" s="711">
        <f>37340.16/384</f>
        <v>97.240000000000009</v>
      </c>
      <c r="N342" s="712"/>
      <c r="O342" s="713"/>
    </row>
    <row r="343" spans="1:15" s="164" customFormat="1" ht="15">
      <c r="A343" s="166"/>
      <c r="B343" s="167"/>
      <c r="C343" s="4" t="s">
        <v>8</v>
      </c>
      <c r="D343" s="171"/>
      <c r="E343" s="708" t="s">
        <v>8222</v>
      </c>
      <c r="F343" s="709"/>
      <c r="G343" s="710"/>
      <c r="H343" s="177"/>
      <c r="I343" s="177"/>
      <c r="J343" s="177"/>
      <c r="M343" s="708" t="s">
        <v>8222</v>
      </c>
      <c r="N343" s="709"/>
      <c r="O343" s="710"/>
    </row>
    <row r="344" spans="1:15" s="164" customFormat="1" ht="15">
      <c r="A344" s="166"/>
      <c r="B344" s="167"/>
      <c r="C344" s="4" t="s">
        <v>7</v>
      </c>
      <c r="D344" s="171"/>
      <c r="E344" s="714" t="s">
        <v>8223</v>
      </c>
      <c r="F344" s="715"/>
      <c r="G344" s="716"/>
      <c r="H344" s="177"/>
      <c r="I344" s="177"/>
      <c r="J344" s="177"/>
      <c r="M344" s="714" t="s">
        <v>8223</v>
      </c>
      <c r="N344" s="715"/>
      <c r="O344" s="716"/>
    </row>
    <row r="345" spans="1:15" s="164" customFormat="1" ht="14.25" customHeight="1">
      <c r="A345" s="166"/>
      <c r="B345" s="167"/>
      <c r="C345" s="4" t="s">
        <v>6</v>
      </c>
      <c r="D345" s="172"/>
      <c r="E345" s="717">
        <v>43831</v>
      </c>
      <c r="F345" s="718"/>
      <c r="G345" s="719"/>
      <c r="H345" s="177"/>
      <c r="I345" s="177"/>
      <c r="J345" s="177"/>
      <c r="M345" s="717">
        <v>43929</v>
      </c>
      <c r="N345" s="718"/>
      <c r="O345" s="719"/>
    </row>
    <row r="346" spans="1:15" s="163" customFormat="1" ht="11.25">
      <c r="A346" s="6"/>
      <c r="B346" s="5"/>
      <c r="C346" s="5"/>
      <c r="D346" s="5"/>
      <c r="E346" s="5"/>
      <c r="F346" s="5"/>
      <c r="G346" s="5"/>
      <c r="H346" s="176"/>
      <c r="I346" s="176"/>
      <c r="J346" s="176"/>
      <c r="M346" s="5"/>
      <c r="N346" s="5"/>
      <c r="O346" s="5"/>
    </row>
    <row r="347" spans="1:15" s="164" customFormat="1" ht="33.75">
      <c r="A347" s="183" t="s">
        <v>8126</v>
      </c>
      <c r="B347" s="184" t="s">
        <v>8135</v>
      </c>
      <c r="C347" s="185">
        <f>MIN(E349:G349)</f>
        <v>10583.92081194767</v>
      </c>
      <c r="D347" s="186" t="s">
        <v>90</v>
      </c>
      <c r="E347" s="187" t="s">
        <v>8238</v>
      </c>
      <c r="F347" s="187" t="s">
        <v>7873</v>
      </c>
      <c r="G347" s="187" t="s">
        <v>26926</v>
      </c>
      <c r="H347" s="177" t="s">
        <v>170</v>
      </c>
      <c r="I347" s="177"/>
      <c r="J347" s="177"/>
      <c r="M347" s="187" t="s">
        <v>8238</v>
      </c>
      <c r="N347" s="187" t="s">
        <v>7873</v>
      </c>
      <c r="O347" s="187"/>
    </row>
    <row r="348" spans="1:15" s="164" customFormat="1" ht="11.25">
      <c r="A348" s="161"/>
      <c r="B348" s="165"/>
      <c r="C348" s="4" t="s">
        <v>272</v>
      </c>
      <c r="D348" s="170"/>
      <c r="E348" s="55" t="s">
        <v>7876</v>
      </c>
      <c r="F348" s="55" t="s">
        <v>7871</v>
      </c>
      <c r="G348" s="55"/>
      <c r="H348" s="177" t="s">
        <v>271</v>
      </c>
      <c r="I348" s="177" t="s">
        <v>268</v>
      </c>
      <c r="J348" s="177" t="s">
        <v>269</v>
      </c>
      <c r="M348" s="55" t="s">
        <v>7876</v>
      </c>
      <c r="N348" s="55" t="s">
        <v>7871</v>
      </c>
      <c r="O348" s="55"/>
    </row>
    <row r="349" spans="1:15" s="164" customFormat="1" ht="15">
      <c r="A349" s="371"/>
      <c r="B349" s="167"/>
      <c r="C349" s="4" t="s">
        <v>9</v>
      </c>
      <c r="D349" s="171"/>
      <c r="E349" s="74">
        <f>M349/'Reajustamento INCC'!$C$79</f>
        <v>13048.39887315247</v>
      </c>
      <c r="F349" s="74">
        <f>N349/'Reajustamento INCC'!$C$79</f>
        <v>10583.92081194767</v>
      </c>
      <c r="G349" s="74">
        <v>15479.0308</v>
      </c>
      <c r="H349" s="177">
        <f>MEDIAN(E349:G349)</f>
        <v>13048.39887315247</v>
      </c>
      <c r="I349" s="177">
        <f>H349*1.3</f>
        <v>16962.918535098212</v>
      </c>
      <c r="J349" s="177">
        <f>H349*0.7</f>
        <v>9133.8792112067276</v>
      </c>
      <c r="M349" s="74">
        <v>13210</v>
      </c>
      <c r="N349" s="74">
        <v>10715</v>
      </c>
      <c r="O349" s="74"/>
    </row>
    <row r="350" spans="1:15" s="164" customFormat="1" ht="15">
      <c r="A350" s="166"/>
      <c r="B350" s="167"/>
      <c r="C350" s="4" t="s">
        <v>8</v>
      </c>
      <c r="D350" s="171"/>
      <c r="E350" s="55" t="s">
        <v>8239</v>
      </c>
      <c r="F350" s="55" t="s">
        <v>7872</v>
      </c>
      <c r="G350" s="55"/>
      <c r="H350" s="177"/>
      <c r="I350" s="177"/>
      <c r="J350" s="177"/>
      <c r="M350" s="55" t="s">
        <v>8239</v>
      </c>
      <c r="N350" s="55" t="s">
        <v>7872</v>
      </c>
      <c r="O350" s="55"/>
    </row>
    <row r="351" spans="1:15" s="164" customFormat="1" ht="15">
      <c r="A351" s="166"/>
      <c r="B351" s="167"/>
      <c r="C351" s="4" t="s">
        <v>7</v>
      </c>
      <c r="D351" s="171"/>
      <c r="E351" s="3" t="s">
        <v>7875</v>
      </c>
      <c r="F351" s="3" t="s">
        <v>7870</v>
      </c>
      <c r="G351" s="3"/>
      <c r="H351" s="177"/>
      <c r="I351" s="177"/>
      <c r="J351" s="177"/>
      <c r="M351" s="3" t="s">
        <v>7875</v>
      </c>
      <c r="N351" s="3" t="s">
        <v>7870</v>
      </c>
      <c r="O351" s="3"/>
    </row>
    <row r="352" spans="1:15" s="164" customFormat="1" ht="14.25" customHeight="1">
      <c r="A352" s="166"/>
      <c r="B352" s="167"/>
      <c r="C352" s="4" t="s">
        <v>6</v>
      </c>
      <c r="D352" s="172"/>
      <c r="E352" s="2">
        <v>43831</v>
      </c>
      <c r="F352" s="2">
        <v>43831</v>
      </c>
      <c r="G352" s="2"/>
      <c r="H352" s="177"/>
      <c r="I352" s="177"/>
      <c r="J352" s="177"/>
      <c r="M352" s="2">
        <v>43929</v>
      </c>
      <c r="N352" s="2">
        <v>43936</v>
      </c>
      <c r="O352" s="2"/>
    </row>
    <row r="353" spans="1:15" s="163" customFormat="1" ht="11.25">
      <c r="A353" s="6"/>
      <c r="B353" s="5"/>
      <c r="C353" s="5"/>
      <c r="D353" s="5"/>
      <c r="E353" s="5"/>
      <c r="F353" s="5"/>
      <c r="G353" s="5"/>
      <c r="H353" s="176"/>
      <c r="I353" s="176"/>
      <c r="J353" s="176"/>
      <c r="M353" s="5"/>
      <c r="N353" s="5"/>
      <c r="O353" s="5"/>
    </row>
    <row r="354" spans="1:15" s="164" customFormat="1" ht="33.75">
      <c r="A354" s="183" t="s">
        <v>8134</v>
      </c>
      <c r="B354" s="184" t="s">
        <v>8136</v>
      </c>
      <c r="C354" s="185">
        <f>MIN(E356:G356)</f>
        <v>7289.7186740246198</v>
      </c>
      <c r="D354" s="186" t="s">
        <v>90</v>
      </c>
      <c r="E354" s="187" t="s">
        <v>8238</v>
      </c>
      <c r="F354" s="187" t="s">
        <v>7873</v>
      </c>
      <c r="G354" s="187" t="s">
        <v>26927</v>
      </c>
      <c r="H354" s="177" t="s">
        <v>170</v>
      </c>
      <c r="I354" s="177"/>
      <c r="J354" s="177"/>
      <c r="M354" s="187" t="s">
        <v>8238</v>
      </c>
      <c r="N354" s="187" t="s">
        <v>7873</v>
      </c>
      <c r="O354" s="187"/>
    </row>
    <row r="355" spans="1:15" s="164" customFormat="1" ht="11.25">
      <c r="A355" s="161"/>
      <c r="B355" s="165"/>
      <c r="C355" s="4" t="s">
        <v>272</v>
      </c>
      <c r="D355" s="170"/>
      <c r="E355" s="55" t="s">
        <v>7876</v>
      </c>
      <c r="F355" s="55" t="s">
        <v>7871</v>
      </c>
      <c r="G355" s="55"/>
      <c r="H355" s="177" t="s">
        <v>271</v>
      </c>
      <c r="I355" s="177" t="s">
        <v>268</v>
      </c>
      <c r="J355" s="177" t="s">
        <v>269</v>
      </c>
      <c r="M355" s="55" t="s">
        <v>7876</v>
      </c>
      <c r="N355" s="55" t="s">
        <v>7871</v>
      </c>
      <c r="O355" s="55"/>
    </row>
    <row r="356" spans="1:15" s="164" customFormat="1" ht="15">
      <c r="A356" s="371"/>
      <c r="B356" s="167"/>
      <c r="C356" s="4" t="s">
        <v>9</v>
      </c>
      <c r="D356" s="171"/>
      <c r="E356" s="74">
        <f>M356/'Reajustamento INCC'!$C$79</f>
        <v>10391.306294138076</v>
      </c>
      <c r="F356" s="74">
        <f>N356/'Reajustamento INCC'!$C$79</f>
        <v>7289.7186740246198</v>
      </c>
      <c r="G356" s="74">
        <v>12326.494000000001</v>
      </c>
      <c r="H356" s="177">
        <f>MEDIAN(E356:G356)</f>
        <v>10391.306294138076</v>
      </c>
      <c r="I356" s="177">
        <f>H356*1.3</f>
        <v>13508.698182379499</v>
      </c>
      <c r="J356" s="177">
        <f>H356*0.7</f>
        <v>7273.9144058966522</v>
      </c>
      <c r="M356" s="74">
        <v>10520</v>
      </c>
      <c r="N356" s="74">
        <v>7380</v>
      </c>
      <c r="O356" s="74"/>
    </row>
    <row r="357" spans="1:15" s="164" customFormat="1" ht="15">
      <c r="A357" s="166"/>
      <c r="B357" s="167"/>
      <c r="C357" s="4" t="s">
        <v>8</v>
      </c>
      <c r="D357" s="171"/>
      <c r="E357" s="55" t="s">
        <v>8239</v>
      </c>
      <c r="F357" s="55" t="s">
        <v>7872</v>
      </c>
      <c r="G357" s="55"/>
      <c r="H357" s="177"/>
      <c r="I357" s="177"/>
      <c r="J357" s="177"/>
      <c r="M357" s="55" t="s">
        <v>8239</v>
      </c>
      <c r="N357" s="55" t="s">
        <v>7872</v>
      </c>
      <c r="O357" s="55"/>
    </row>
    <row r="358" spans="1:15" s="164" customFormat="1" ht="15">
      <c r="A358" s="166"/>
      <c r="B358" s="167"/>
      <c r="C358" s="4" t="s">
        <v>7</v>
      </c>
      <c r="D358" s="171"/>
      <c r="E358" s="3" t="s">
        <v>7875</v>
      </c>
      <c r="F358" s="3" t="s">
        <v>7870</v>
      </c>
      <c r="G358" s="3"/>
      <c r="H358" s="177"/>
      <c r="I358" s="177"/>
      <c r="J358" s="177"/>
      <c r="M358" s="3" t="s">
        <v>7875</v>
      </c>
      <c r="N358" s="3" t="s">
        <v>7870</v>
      </c>
      <c r="O358" s="3"/>
    </row>
    <row r="359" spans="1:15" s="164" customFormat="1" ht="14.25" customHeight="1">
      <c r="A359" s="166"/>
      <c r="B359" s="167"/>
      <c r="C359" s="4" t="s">
        <v>6</v>
      </c>
      <c r="D359" s="172"/>
      <c r="E359" s="2">
        <v>43831</v>
      </c>
      <c r="F359" s="2">
        <v>43831</v>
      </c>
      <c r="G359" s="2"/>
      <c r="H359" s="177"/>
      <c r="I359" s="177"/>
      <c r="J359" s="177"/>
      <c r="M359" s="2">
        <v>43929</v>
      </c>
      <c r="N359" s="2">
        <v>43936</v>
      </c>
      <c r="O359" s="2"/>
    </row>
    <row r="360" spans="1:15" s="163" customFormat="1" ht="11.25">
      <c r="A360" s="6"/>
      <c r="B360" s="5"/>
      <c r="C360" s="5"/>
      <c r="D360" s="5"/>
      <c r="E360" s="5"/>
      <c r="F360" s="5"/>
      <c r="G360" s="5"/>
      <c r="H360" s="176"/>
      <c r="I360" s="176"/>
      <c r="J360" s="176"/>
      <c r="M360" s="5"/>
      <c r="N360" s="5"/>
      <c r="O360" s="5"/>
    </row>
    <row r="361" spans="1:15" s="164" customFormat="1" ht="45">
      <c r="A361" s="183" t="s">
        <v>8153</v>
      </c>
      <c r="B361" s="184" t="s">
        <v>8155</v>
      </c>
      <c r="C361" s="185">
        <f>MIN(E363:G363)</f>
        <v>8949.1668274611184</v>
      </c>
      <c r="D361" s="186" t="s">
        <v>90</v>
      </c>
      <c r="E361" s="187" t="s">
        <v>8238</v>
      </c>
      <c r="F361" s="187" t="s">
        <v>7873</v>
      </c>
      <c r="G361" s="187" t="s">
        <v>26928</v>
      </c>
      <c r="H361" s="177" t="s">
        <v>170</v>
      </c>
      <c r="I361" s="177"/>
      <c r="J361" s="177"/>
      <c r="M361" s="187" t="s">
        <v>8238</v>
      </c>
      <c r="N361" s="187" t="s">
        <v>7873</v>
      </c>
      <c r="O361" s="187"/>
    </row>
    <row r="362" spans="1:15" s="164" customFormat="1" ht="11.25">
      <c r="A362" s="161"/>
      <c r="B362" s="165"/>
      <c r="C362" s="4" t="s">
        <v>272</v>
      </c>
      <c r="D362" s="170"/>
      <c r="E362" s="55" t="s">
        <v>7876</v>
      </c>
      <c r="F362" s="55" t="s">
        <v>7871</v>
      </c>
      <c r="G362" s="55"/>
      <c r="H362" s="177" t="s">
        <v>271</v>
      </c>
      <c r="I362" s="177" t="s">
        <v>268</v>
      </c>
      <c r="J362" s="177" t="s">
        <v>269</v>
      </c>
      <c r="M362" s="55" t="s">
        <v>7876</v>
      </c>
      <c r="N362" s="55" t="s">
        <v>7871</v>
      </c>
      <c r="O362" s="55"/>
    </row>
    <row r="363" spans="1:15" s="164" customFormat="1" ht="15">
      <c r="A363" s="371"/>
      <c r="B363" s="167"/>
      <c r="C363" s="4" t="s">
        <v>9</v>
      </c>
      <c r="D363" s="171"/>
      <c r="E363" s="74">
        <f>M363/'Reajustamento INCC'!$C$79</f>
        <v>21903.727858603786</v>
      </c>
      <c r="F363" s="74">
        <f>N363/'Reajustamento INCC'!$C$79</f>
        <v>8949.1668274611184</v>
      </c>
      <c r="G363" s="74">
        <v>26011.8282</v>
      </c>
      <c r="H363" s="177">
        <f>MEDIAN(E363:G363)</f>
        <v>21903.727858603786</v>
      </c>
      <c r="I363" s="177">
        <f>H363*1.3</f>
        <v>28474.846216184924</v>
      </c>
      <c r="J363" s="177">
        <f>H363*0.7</f>
        <v>15332.609501022649</v>
      </c>
      <c r="M363" s="74">
        <v>22175</v>
      </c>
      <c r="N363" s="74">
        <v>9060</v>
      </c>
      <c r="O363" s="74"/>
    </row>
    <row r="364" spans="1:15" s="164" customFormat="1" ht="15">
      <c r="A364" s="166"/>
      <c r="B364" s="167"/>
      <c r="C364" s="4" t="s">
        <v>8</v>
      </c>
      <c r="D364" s="171"/>
      <c r="E364" s="55" t="s">
        <v>8239</v>
      </c>
      <c r="F364" s="55" t="s">
        <v>7872</v>
      </c>
      <c r="G364" s="55"/>
      <c r="H364" s="177"/>
      <c r="I364" s="177"/>
      <c r="J364" s="177"/>
      <c r="M364" s="55" t="s">
        <v>8239</v>
      </c>
      <c r="N364" s="55" t="s">
        <v>7872</v>
      </c>
      <c r="O364" s="55"/>
    </row>
    <row r="365" spans="1:15" s="164" customFormat="1" ht="15">
      <c r="A365" s="166"/>
      <c r="B365" s="167"/>
      <c r="C365" s="4" t="s">
        <v>7</v>
      </c>
      <c r="D365" s="171"/>
      <c r="E365" s="3" t="s">
        <v>7875</v>
      </c>
      <c r="F365" s="3" t="s">
        <v>7870</v>
      </c>
      <c r="G365" s="3"/>
      <c r="H365" s="177"/>
      <c r="I365" s="177"/>
      <c r="J365" s="177"/>
      <c r="M365" s="3" t="s">
        <v>7875</v>
      </c>
      <c r="N365" s="3" t="s">
        <v>7870</v>
      </c>
      <c r="O365" s="3"/>
    </row>
    <row r="366" spans="1:15" s="164" customFormat="1" ht="14.25" customHeight="1">
      <c r="A366" s="166"/>
      <c r="B366" s="167"/>
      <c r="C366" s="4" t="s">
        <v>6</v>
      </c>
      <c r="D366" s="172"/>
      <c r="E366" s="2">
        <v>43831</v>
      </c>
      <c r="F366" s="2">
        <v>43831</v>
      </c>
      <c r="G366" s="2"/>
      <c r="H366" s="177"/>
      <c r="I366" s="177"/>
      <c r="J366" s="177"/>
      <c r="M366" s="2">
        <v>43929</v>
      </c>
      <c r="N366" s="2">
        <v>43936</v>
      </c>
      <c r="O366" s="2"/>
    </row>
    <row r="367" spans="1:15" s="163" customFormat="1" ht="11.25">
      <c r="A367" s="6"/>
      <c r="B367" s="5"/>
      <c r="C367" s="5"/>
      <c r="D367" s="5"/>
      <c r="E367" s="5"/>
      <c r="F367" s="5"/>
      <c r="G367" s="5"/>
      <c r="H367" s="176"/>
      <c r="I367" s="176"/>
      <c r="J367" s="176"/>
      <c r="M367" s="5"/>
      <c r="N367" s="5"/>
      <c r="O367" s="5"/>
    </row>
    <row r="368" spans="1:15" s="164" customFormat="1" ht="33.75">
      <c r="A368" s="183" t="s">
        <v>8161</v>
      </c>
      <c r="B368" s="184" t="s">
        <v>8162</v>
      </c>
      <c r="C368" s="185">
        <f>MIN(E370:G370)</f>
        <v>8183.6475900127334</v>
      </c>
      <c r="D368" s="186" t="s">
        <v>90</v>
      </c>
      <c r="E368" s="187" t="s">
        <v>8238</v>
      </c>
      <c r="F368" s="187" t="s">
        <v>7873</v>
      </c>
      <c r="G368" s="187" t="s">
        <v>26929</v>
      </c>
      <c r="H368" s="177" t="s">
        <v>170</v>
      </c>
      <c r="I368" s="177"/>
      <c r="J368" s="177"/>
      <c r="M368" s="187" t="s">
        <v>8238</v>
      </c>
      <c r="N368" s="187" t="s">
        <v>7873</v>
      </c>
      <c r="O368" s="187"/>
    </row>
    <row r="369" spans="1:15" s="164" customFormat="1" ht="11.25">
      <c r="A369" s="161"/>
      <c r="B369" s="165"/>
      <c r="C369" s="4" t="s">
        <v>272</v>
      </c>
      <c r="D369" s="170"/>
      <c r="E369" s="55" t="s">
        <v>7876</v>
      </c>
      <c r="F369" s="55" t="s">
        <v>7871</v>
      </c>
      <c r="G369" s="55"/>
      <c r="H369" s="177" t="s">
        <v>271</v>
      </c>
      <c r="I369" s="177" t="s">
        <v>268</v>
      </c>
      <c r="J369" s="177" t="s">
        <v>269</v>
      </c>
      <c r="M369" s="55" t="s">
        <v>7876</v>
      </c>
      <c r="N369" s="55" t="s">
        <v>7871</v>
      </c>
      <c r="O369" s="55"/>
    </row>
    <row r="370" spans="1:15" s="164" customFormat="1" ht="15">
      <c r="A370" s="371"/>
      <c r="B370" s="167"/>
      <c r="C370" s="4" t="s">
        <v>9</v>
      </c>
      <c r="D370" s="171"/>
      <c r="E370" s="74">
        <f>M370/'Reajustamento INCC'!$C$79</f>
        <v>12327.329139813992</v>
      </c>
      <c r="F370" s="74">
        <f>N370/'Reajustamento INCC'!$C$79</f>
        <v>8183.6475900127334</v>
      </c>
      <c r="G370" s="74">
        <v>14621.4241</v>
      </c>
      <c r="H370" s="177">
        <f>MEDIAN(E370:G370)</f>
        <v>12327.329139813992</v>
      </c>
      <c r="I370" s="177">
        <f>H370*1.3</f>
        <v>16025.527881758189</v>
      </c>
      <c r="J370" s="177">
        <f>H370*0.7</f>
        <v>8629.1303978697943</v>
      </c>
      <c r="M370" s="74">
        <v>12480</v>
      </c>
      <c r="N370" s="74">
        <v>8285</v>
      </c>
      <c r="O370" s="74"/>
    </row>
    <row r="371" spans="1:15" s="164" customFormat="1" ht="15">
      <c r="A371" s="166"/>
      <c r="B371" s="167"/>
      <c r="C371" s="4" t="s">
        <v>8</v>
      </c>
      <c r="D371" s="171"/>
      <c r="E371" s="55" t="s">
        <v>8239</v>
      </c>
      <c r="F371" s="55" t="s">
        <v>7872</v>
      </c>
      <c r="G371" s="55"/>
      <c r="H371" s="177"/>
      <c r="I371" s="177"/>
      <c r="J371" s="177"/>
      <c r="M371" s="55" t="s">
        <v>8239</v>
      </c>
      <c r="N371" s="55" t="s">
        <v>7872</v>
      </c>
      <c r="O371" s="55"/>
    </row>
    <row r="372" spans="1:15" s="164" customFormat="1" ht="15">
      <c r="A372" s="166"/>
      <c r="B372" s="167"/>
      <c r="C372" s="4" t="s">
        <v>7</v>
      </c>
      <c r="D372" s="171"/>
      <c r="E372" s="3" t="s">
        <v>7875</v>
      </c>
      <c r="F372" s="3" t="s">
        <v>7870</v>
      </c>
      <c r="G372" s="3"/>
      <c r="H372" s="177"/>
      <c r="I372" s="177"/>
      <c r="J372" s="177"/>
      <c r="M372" s="3" t="s">
        <v>7875</v>
      </c>
      <c r="N372" s="3" t="s">
        <v>7870</v>
      </c>
      <c r="O372" s="3"/>
    </row>
    <row r="373" spans="1:15" s="164" customFormat="1" ht="14.25" customHeight="1">
      <c r="A373" s="166"/>
      <c r="B373" s="167"/>
      <c r="C373" s="4" t="s">
        <v>6</v>
      </c>
      <c r="D373" s="172"/>
      <c r="E373" s="2">
        <v>43831</v>
      </c>
      <c r="F373" s="2">
        <v>43831</v>
      </c>
      <c r="G373" s="2"/>
      <c r="H373" s="177"/>
      <c r="I373" s="177"/>
      <c r="J373" s="177"/>
      <c r="M373" s="2">
        <v>43929</v>
      </c>
      <c r="N373" s="2">
        <v>43936</v>
      </c>
      <c r="O373" s="2"/>
    </row>
    <row r="374" spans="1:15" s="163" customFormat="1" ht="11.25">
      <c r="A374" s="6"/>
      <c r="B374" s="5"/>
      <c r="C374" s="5"/>
      <c r="D374" s="5"/>
      <c r="E374" s="5"/>
      <c r="F374" s="5"/>
      <c r="G374" s="5"/>
      <c r="H374" s="176"/>
      <c r="I374" s="176"/>
      <c r="J374" s="176"/>
      <c r="M374" s="5"/>
      <c r="N374" s="5"/>
      <c r="O374" s="5"/>
    </row>
    <row r="375" spans="1:15" s="164" customFormat="1" ht="33.75">
      <c r="A375" s="183" t="s">
        <v>8167</v>
      </c>
      <c r="B375" s="184" t="s">
        <v>8166</v>
      </c>
      <c r="C375" s="185">
        <f>MIN(E377:G377)</f>
        <v>8183.6475900127334</v>
      </c>
      <c r="D375" s="186" t="s">
        <v>90</v>
      </c>
      <c r="E375" s="187" t="s">
        <v>8238</v>
      </c>
      <c r="F375" s="187" t="s">
        <v>7873</v>
      </c>
      <c r="G375" s="187" t="s">
        <v>26929</v>
      </c>
      <c r="H375" s="177" t="s">
        <v>170</v>
      </c>
      <c r="I375" s="177"/>
      <c r="J375" s="177"/>
      <c r="M375" s="187" t="s">
        <v>8238</v>
      </c>
      <c r="N375" s="187" t="s">
        <v>7873</v>
      </c>
      <c r="O375" s="187"/>
    </row>
    <row r="376" spans="1:15" s="164" customFormat="1" ht="11.25">
      <c r="A376" s="161"/>
      <c r="B376" s="165"/>
      <c r="C376" s="4" t="s">
        <v>272</v>
      </c>
      <c r="D376" s="170"/>
      <c r="E376" s="55" t="s">
        <v>7876</v>
      </c>
      <c r="F376" s="55" t="s">
        <v>7871</v>
      </c>
      <c r="G376" s="55"/>
      <c r="H376" s="177" t="s">
        <v>271</v>
      </c>
      <c r="I376" s="177" t="s">
        <v>268</v>
      </c>
      <c r="J376" s="177" t="s">
        <v>269</v>
      </c>
      <c r="M376" s="55" t="s">
        <v>7876</v>
      </c>
      <c r="N376" s="55" t="s">
        <v>7871</v>
      </c>
      <c r="O376" s="55"/>
    </row>
    <row r="377" spans="1:15" s="164" customFormat="1" ht="15">
      <c r="A377" s="371"/>
      <c r="B377" s="167"/>
      <c r="C377" s="4" t="s">
        <v>9</v>
      </c>
      <c r="D377" s="171"/>
      <c r="E377" s="74">
        <f>M377/'Reajustamento INCC'!$C$79</f>
        <v>12949.622197352677</v>
      </c>
      <c r="F377" s="74">
        <f>N377/'Reajustamento INCC'!$C$79</f>
        <v>8183.6475900127334</v>
      </c>
      <c r="G377" s="74">
        <v>14621.4241</v>
      </c>
      <c r="H377" s="177">
        <f>MEDIAN(E377:G377)</f>
        <v>12949.622197352677</v>
      </c>
      <c r="I377" s="177">
        <f>H377*1.3</f>
        <v>16834.508856558481</v>
      </c>
      <c r="J377" s="177">
        <f>H377*0.7</f>
        <v>9064.7355381468733</v>
      </c>
      <c r="M377" s="74">
        <v>13110</v>
      </c>
      <c r="N377" s="74">
        <v>8285</v>
      </c>
      <c r="O377" s="74"/>
    </row>
    <row r="378" spans="1:15" s="164" customFormat="1" ht="15">
      <c r="A378" s="166"/>
      <c r="B378" s="167"/>
      <c r="C378" s="4" t="s">
        <v>8</v>
      </c>
      <c r="D378" s="171"/>
      <c r="E378" s="55" t="s">
        <v>8239</v>
      </c>
      <c r="F378" s="55" t="s">
        <v>7872</v>
      </c>
      <c r="G378" s="55"/>
      <c r="H378" s="177"/>
      <c r="I378" s="177"/>
      <c r="J378" s="177"/>
      <c r="M378" s="55" t="s">
        <v>8239</v>
      </c>
      <c r="N378" s="55" t="s">
        <v>7872</v>
      </c>
      <c r="O378" s="55"/>
    </row>
    <row r="379" spans="1:15" s="164" customFormat="1" ht="15">
      <c r="A379" s="166"/>
      <c r="B379" s="167"/>
      <c r="C379" s="4" t="s">
        <v>7</v>
      </c>
      <c r="D379" s="171"/>
      <c r="E379" s="3" t="s">
        <v>7875</v>
      </c>
      <c r="F379" s="3" t="s">
        <v>7870</v>
      </c>
      <c r="G379" s="3"/>
      <c r="H379" s="177"/>
      <c r="I379" s="177"/>
      <c r="J379" s="177"/>
      <c r="M379" s="3" t="s">
        <v>7875</v>
      </c>
      <c r="N379" s="3" t="s">
        <v>7870</v>
      </c>
      <c r="O379" s="3"/>
    </row>
    <row r="380" spans="1:15" s="164" customFormat="1" ht="14.25" customHeight="1">
      <c r="A380" s="166"/>
      <c r="B380" s="167"/>
      <c r="C380" s="4" t="s">
        <v>6</v>
      </c>
      <c r="D380" s="172"/>
      <c r="E380" s="2">
        <v>43831</v>
      </c>
      <c r="F380" s="2">
        <v>43831</v>
      </c>
      <c r="G380" s="2"/>
      <c r="H380" s="177"/>
      <c r="I380" s="177"/>
      <c r="J380" s="177"/>
      <c r="M380" s="2">
        <v>43929</v>
      </c>
      <c r="N380" s="2">
        <v>43936</v>
      </c>
      <c r="O380" s="2"/>
    </row>
    <row r="381" spans="1:15" s="163" customFormat="1" ht="11.25">
      <c r="A381" s="6"/>
      <c r="B381" s="5"/>
      <c r="C381" s="5"/>
      <c r="D381" s="5"/>
      <c r="E381" s="5"/>
      <c r="F381" s="5"/>
      <c r="G381" s="5"/>
      <c r="H381" s="176"/>
      <c r="I381" s="176"/>
      <c r="J381" s="176"/>
      <c r="M381" s="5"/>
      <c r="N381" s="5"/>
      <c r="O381" s="5"/>
    </row>
    <row r="382" spans="1:15" s="164" customFormat="1" ht="33.75">
      <c r="A382" s="183" t="s">
        <v>8170</v>
      </c>
      <c r="B382" s="184" t="s">
        <v>8174</v>
      </c>
      <c r="C382" s="185">
        <f>MIN(E384:G384)</f>
        <v>11892.711766294908</v>
      </c>
      <c r="D382" s="186" t="s">
        <v>90</v>
      </c>
      <c r="E382" s="187" t="s">
        <v>8238</v>
      </c>
      <c r="F382" s="187" t="s">
        <v>7873</v>
      </c>
      <c r="G382" s="187" t="s">
        <v>26930</v>
      </c>
      <c r="H382" s="177" t="s">
        <v>170</v>
      </c>
      <c r="I382" s="177"/>
      <c r="J382" s="177"/>
      <c r="M382" s="187" t="s">
        <v>8238</v>
      </c>
      <c r="N382" s="187" t="s">
        <v>7873</v>
      </c>
      <c r="O382" s="187"/>
    </row>
    <row r="383" spans="1:15" s="164" customFormat="1" ht="11.25">
      <c r="A383" s="161"/>
      <c r="B383" s="165"/>
      <c r="C383" s="4" t="s">
        <v>272</v>
      </c>
      <c r="D383" s="170"/>
      <c r="E383" s="55" t="s">
        <v>7876</v>
      </c>
      <c r="F383" s="55" t="s">
        <v>7871</v>
      </c>
      <c r="G383" s="55"/>
      <c r="H383" s="177" t="s">
        <v>271</v>
      </c>
      <c r="I383" s="177" t="s">
        <v>268</v>
      </c>
      <c r="J383" s="177" t="s">
        <v>269</v>
      </c>
      <c r="M383" s="55" t="s">
        <v>7876</v>
      </c>
      <c r="N383" s="55" t="s">
        <v>7871</v>
      </c>
      <c r="O383" s="55"/>
    </row>
    <row r="384" spans="1:15" s="164" customFormat="1" ht="15">
      <c r="A384" s="371"/>
      <c r="B384" s="167"/>
      <c r="C384" s="4" t="s">
        <v>9</v>
      </c>
      <c r="D384" s="171"/>
      <c r="E384" s="74">
        <f>M384/'Reajustamento INCC'!$C$79</f>
        <v>20041.787519777714</v>
      </c>
      <c r="F384" s="74">
        <f>N384/'Reajustamento INCC'!$C$79</f>
        <v>11892.711766294908</v>
      </c>
      <c r="G384" s="74">
        <v>22453.226299999998</v>
      </c>
      <c r="H384" s="177">
        <f>MEDIAN(E384:G384)</f>
        <v>20041.787519777714</v>
      </c>
      <c r="I384" s="177">
        <f>H384*1.3</f>
        <v>26054.323775711029</v>
      </c>
      <c r="J384" s="177">
        <f>H384*0.7</f>
        <v>14029.251263844399</v>
      </c>
      <c r="M384" s="74">
        <v>20290</v>
      </c>
      <c r="N384" s="74">
        <v>12040</v>
      </c>
      <c r="O384" s="74"/>
    </row>
    <row r="385" spans="1:15" s="164" customFormat="1" ht="15">
      <c r="A385" s="166"/>
      <c r="B385" s="167"/>
      <c r="C385" s="4" t="s">
        <v>8</v>
      </c>
      <c r="D385" s="171"/>
      <c r="E385" s="55" t="s">
        <v>8239</v>
      </c>
      <c r="F385" s="55" t="s">
        <v>7872</v>
      </c>
      <c r="G385" s="55"/>
      <c r="H385" s="177"/>
      <c r="I385" s="177"/>
      <c r="J385" s="177"/>
      <c r="M385" s="55" t="s">
        <v>8239</v>
      </c>
      <c r="N385" s="55" t="s">
        <v>7872</v>
      </c>
      <c r="O385" s="55"/>
    </row>
    <row r="386" spans="1:15" s="164" customFormat="1" ht="15">
      <c r="A386" s="166"/>
      <c r="B386" s="167"/>
      <c r="C386" s="4" t="s">
        <v>7</v>
      </c>
      <c r="D386" s="171"/>
      <c r="E386" s="3" t="s">
        <v>7875</v>
      </c>
      <c r="F386" s="3" t="s">
        <v>7870</v>
      </c>
      <c r="G386" s="3"/>
      <c r="H386" s="177"/>
      <c r="I386" s="177"/>
      <c r="J386" s="177"/>
      <c r="M386" s="3" t="s">
        <v>7875</v>
      </c>
      <c r="N386" s="3" t="s">
        <v>7870</v>
      </c>
      <c r="O386" s="3"/>
    </row>
    <row r="387" spans="1:15" s="164" customFormat="1" ht="14.25" customHeight="1">
      <c r="A387" s="166"/>
      <c r="B387" s="167"/>
      <c r="C387" s="4" t="s">
        <v>6</v>
      </c>
      <c r="D387" s="172"/>
      <c r="E387" s="2">
        <v>43831</v>
      </c>
      <c r="F387" s="2">
        <v>43831</v>
      </c>
      <c r="G387" s="2"/>
      <c r="H387" s="177"/>
      <c r="I387" s="177"/>
      <c r="J387" s="177"/>
      <c r="M387" s="2">
        <v>43929</v>
      </c>
      <c r="N387" s="2">
        <v>43936</v>
      </c>
      <c r="O387" s="2"/>
    </row>
    <row r="388" spans="1:15" s="163" customFormat="1" ht="11.25">
      <c r="A388" s="6"/>
      <c r="B388" s="5"/>
      <c r="C388" s="5"/>
      <c r="D388" s="5"/>
      <c r="E388" s="5"/>
      <c r="F388" s="5"/>
      <c r="G388" s="5"/>
      <c r="H388" s="176"/>
      <c r="I388" s="176"/>
      <c r="J388" s="176"/>
      <c r="M388" s="5"/>
      <c r="N388" s="5"/>
      <c r="O388" s="5"/>
    </row>
    <row r="389" spans="1:15" s="164" customFormat="1" ht="45">
      <c r="A389" s="183" t="s">
        <v>8179</v>
      </c>
      <c r="B389" s="184" t="s">
        <v>8180</v>
      </c>
      <c r="C389" s="185">
        <f>MIN(E391:G391)</f>
        <v>10164.119939798555</v>
      </c>
      <c r="D389" s="186" t="s">
        <v>90</v>
      </c>
      <c r="E389" s="187" t="s">
        <v>8238</v>
      </c>
      <c r="F389" s="187" t="s">
        <v>7873</v>
      </c>
      <c r="G389" s="187" t="s">
        <v>26931</v>
      </c>
      <c r="H389" s="177" t="s">
        <v>170</v>
      </c>
      <c r="I389" s="177"/>
      <c r="J389" s="177"/>
      <c r="M389" s="187" t="s">
        <v>8238</v>
      </c>
      <c r="N389" s="187" t="s">
        <v>7873</v>
      </c>
      <c r="O389" s="187"/>
    </row>
    <row r="390" spans="1:15" s="164" customFormat="1" ht="11.25">
      <c r="A390" s="161"/>
      <c r="B390" s="165"/>
      <c r="C390" s="4" t="s">
        <v>272</v>
      </c>
      <c r="D390" s="170"/>
      <c r="E390" s="55" t="s">
        <v>7876</v>
      </c>
      <c r="F390" s="55" t="s">
        <v>7871</v>
      </c>
      <c r="G390" s="55"/>
      <c r="H390" s="177" t="s">
        <v>271</v>
      </c>
      <c r="I390" s="177" t="s">
        <v>268</v>
      </c>
      <c r="J390" s="177" t="s">
        <v>269</v>
      </c>
      <c r="M390" s="55" t="s">
        <v>7876</v>
      </c>
      <c r="N390" s="55" t="s">
        <v>7871</v>
      </c>
      <c r="O390" s="55"/>
    </row>
    <row r="391" spans="1:15" s="164" customFormat="1" ht="15">
      <c r="A391" s="371"/>
      <c r="B391" s="167"/>
      <c r="C391" s="4" t="s">
        <v>9</v>
      </c>
      <c r="D391" s="171"/>
      <c r="E391" s="74">
        <f>M391/'Reajustamento INCC'!$C$79</f>
        <v>25030.00964766719</v>
      </c>
      <c r="F391" s="74">
        <f>N391/'Reajustamento INCC'!$C$79</f>
        <v>10164.119939798555</v>
      </c>
      <c r="G391" s="74">
        <v>29727.285</v>
      </c>
      <c r="H391" s="177">
        <f>MEDIAN(E391:G391)</f>
        <v>25030.00964766719</v>
      </c>
      <c r="I391" s="177">
        <f>H391*1.3</f>
        <v>32539.01254196735</v>
      </c>
      <c r="J391" s="177">
        <f>H391*0.7</f>
        <v>17521.00675336703</v>
      </c>
      <c r="M391" s="74">
        <v>25340</v>
      </c>
      <c r="N391" s="74">
        <v>10290</v>
      </c>
      <c r="O391" s="74"/>
    </row>
    <row r="392" spans="1:15" s="164" customFormat="1" ht="15">
      <c r="A392" s="166"/>
      <c r="B392" s="167"/>
      <c r="C392" s="4" t="s">
        <v>8</v>
      </c>
      <c r="D392" s="171"/>
      <c r="E392" s="55" t="s">
        <v>8239</v>
      </c>
      <c r="F392" s="55" t="s">
        <v>7872</v>
      </c>
      <c r="G392" s="55"/>
      <c r="H392" s="177"/>
      <c r="I392" s="177"/>
      <c r="J392" s="177"/>
      <c r="M392" s="55" t="s">
        <v>8239</v>
      </c>
      <c r="N392" s="55" t="s">
        <v>7872</v>
      </c>
      <c r="O392" s="55"/>
    </row>
    <row r="393" spans="1:15" s="164" customFormat="1" ht="15">
      <c r="A393" s="166"/>
      <c r="B393" s="167"/>
      <c r="C393" s="4" t="s">
        <v>7</v>
      </c>
      <c r="D393" s="171"/>
      <c r="E393" s="3" t="s">
        <v>7875</v>
      </c>
      <c r="F393" s="3" t="s">
        <v>7870</v>
      </c>
      <c r="G393" s="3"/>
      <c r="H393" s="177"/>
      <c r="I393" s="177"/>
      <c r="J393" s="177"/>
      <c r="M393" s="3" t="s">
        <v>7875</v>
      </c>
      <c r="N393" s="3" t="s">
        <v>7870</v>
      </c>
      <c r="O393" s="3"/>
    </row>
    <row r="394" spans="1:15" s="164" customFormat="1" ht="14.25" customHeight="1">
      <c r="A394" s="166"/>
      <c r="B394" s="167"/>
      <c r="C394" s="4" t="s">
        <v>6</v>
      </c>
      <c r="D394" s="172"/>
      <c r="E394" s="2">
        <v>43831</v>
      </c>
      <c r="F394" s="2">
        <v>43831</v>
      </c>
      <c r="G394" s="2"/>
      <c r="H394" s="177"/>
      <c r="I394" s="177"/>
      <c r="J394" s="177"/>
      <c r="M394" s="2">
        <v>43929</v>
      </c>
      <c r="N394" s="2">
        <v>43936</v>
      </c>
      <c r="O394" s="2"/>
    </row>
    <row r="395" spans="1:15" s="163" customFormat="1" ht="11.25">
      <c r="A395" s="6"/>
      <c r="B395" s="5"/>
      <c r="C395" s="5"/>
      <c r="D395" s="5"/>
      <c r="E395" s="5"/>
      <c r="F395" s="5"/>
      <c r="G395" s="5"/>
      <c r="H395" s="176"/>
      <c r="I395" s="176"/>
      <c r="J395" s="176"/>
      <c r="M395" s="5"/>
      <c r="N395" s="5"/>
      <c r="O395" s="5"/>
    </row>
    <row r="396" spans="1:15" s="164" customFormat="1" ht="33.75">
      <c r="A396" s="183" t="s">
        <v>8182</v>
      </c>
      <c r="B396" s="184" t="s">
        <v>8183</v>
      </c>
      <c r="C396" s="185">
        <f>MIN(E398:G398)</f>
        <v>13690.447265851115</v>
      </c>
      <c r="D396" s="186" t="s">
        <v>90</v>
      </c>
      <c r="E396" s="187" t="s">
        <v>8238</v>
      </c>
      <c r="F396" s="187" t="s">
        <v>7873</v>
      </c>
      <c r="G396" s="187" t="s">
        <v>26932</v>
      </c>
      <c r="H396" s="177" t="s">
        <v>170</v>
      </c>
      <c r="I396" s="177"/>
      <c r="J396" s="177"/>
      <c r="M396" s="187" t="s">
        <v>8238</v>
      </c>
      <c r="N396" s="187" t="s">
        <v>7873</v>
      </c>
      <c r="O396" s="187"/>
    </row>
    <row r="397" spans="1:15" s="164" customFormat="1" ht="11.25">
      <c r="A397" s="161"/>
      <c r="B397" s="165"/>
      <c r="C397" s="4" t="s">
        <v>272</v>
      </c>
      <c r="D397" s="170"/>
      <c r="E397" s="55" t="s">
        <v>7876</v>
      </c>
      <c r="F397" s="55" t="s">
        <v>7871</v>
      </c>
      <c r="G397" s="55"/>
      <c r="H397" s="177" t="s">
        <v>271</v>
      </c>
      <c r="I397" s="177" t="s">
        <v>268</v>
      </c>
      <c r="J397" s="177" t="s">
        <v>269</v>
      </c>
      <c r="M397" s="55" t="s">
        <v>7876</v>
      </c>
      <c r="N397" s="55" t="s">
        <v>7871</v>
      </c>
      <c r="O397" s="55"/>
    </row>
    <row r="398" spans="1:15" s="164" customFormat="1" ht="15">
      <c r="A398" s="371"/>
      <c r="B398" s="167"/>
      <c r="C398" s="4" t="s">
        <v>9</v>
      </c>
      <c r="D398" s="171"/>
      <c r="E398" s="74">
        <f>M398/'Reajustamento INCC'!$C$79</f>
        <v>32235.768147261988</v>
      </c>
      <c r="F398" s="74">
        <f>N398/'Reajustamento INCC'!$C$79</f>
        <v>13690.447265851115</v>
      </c>
      <c r="G398" s="74">
        <v>38280.074399999998</v>
      </c>
      <c r="H398" s="177">
        <f>MEDIAN(E398:G398)</f>
        <v>32235.768147261988</v>
      </c>
      <c r="I398" s="177">
        <f>H398*1.3</f>
        <v>41906.498591440584</v>
      </c>
      <c r="J398" s="177">
        <f>H398*0.7</f>
        <v>22565.037703083392</v>
      </c>
      <c r="M398" s="74">
        <v>32635</v>
      </c>
      <c r="N398" s="74">
        <v>13860</v>
      </c>
      <c r="O398" s="74"/>
    </row>
    <row r="399" spans="1:15" s="164" customFormat="1" ht="15">
      <c r="A399" s="166"/>
      <c r="B399" s="167"/>
      <c r="C399" s="4" t="s">
        <v>8</v>
      </c>
      <c r="D399" s="171"/>
      <c r="E399" s="55" t="s">
        <v>8239</v>
      </c>
      <c r="F399" s="55" t="s">
        <v>7872</v>
      </c>
      <c r="G399" s="55"/>
      <c r="H399" s="177"/>
      <c r="I399" s="177"/>
      <c r="J399" s="177"/>
      <c r="M399" s="55" t="s">
        <v>8239</v>
      </c>
      <c r="N399" s="55" t="s">
        <v>7872</v>
      </c>
      <c r="O399" s="55"/>
    </row>
    <row r="400" spans="1:15" s="164" customFormat="1" ht="15">
      <c r="A400" s="166"/>
      <c r="B400" s="167"/>
      <c r="C400" s="4" t="s">
        <v>7</v>
      </c>
      <c r="D400" s="171"/>
      <c r="E400" s="3" t="s">
        <v>7875</v>
      </c>
      <c r="F400" s="3" t="s">
        <v>7870</v>
      </c>
      <c r="G400" s="3"/>
      <c r="H400" s="177"/>
      <c r="I400" s="177"/>
      <c r="J400" s="177"/>
      <c r="M400" s="3" t="s">
        <v>7875</v>
      </c>
      <c r="N400" s="3" t="s">
        <v>7870</v>
      </c>
      <c r="O400" s="3"/>
    </row>
    <row r="401" spans="1:15" s="164" customFormat="1" ht="14.25" customHeight="1">
      <c r="A401" s="166"/>
      <c r="B401" s="167"/>
      <c r="C401" s="4" t="s">
        <v>6</v>
      </c>
      <c r="D401" s="172"/>
      <c r="E401" s="2">
        <v>43831</v>
      </c>
      <c r="F401" s="2">
        <v>43831</v>
      </c>
      <c r="G401" s="2"/>
      <c r="H401" s="177"/>
      <c r="I401" s="177"/>
      <c r="J401" s="177"/>
      <c r="M401" s="2">
        <v>43929</v>
      </c>
      <c r="N401" s="2">
        <v>43936</v>
      </c>
      <c r="O401" s="2"/>
    </row>
    <row r="402" spans="1:15" s="163" customFormat="1" ht="11.25">
      <c r="A402" s="6"/>
      <c r="B402" s="5"/>
      <c r="C402" s="5"/>
      <c r="D402" s="5"/>
      <c r="E402" s="5"/>
      <c r="F402" s="5"/>
      <c r="G402" s="5"/>
      <c r="H402" s="176"/>
      <c r="I402" s="176"/>
      <c r="J402" s="176"/>
      <c r="M402" s="5"/>
      <c r="N402" s="5"/>
      <c r="O402" s="5"/>
    </row>
    <row r="403" spans="1:15" s="164" customFormat="1" ht="45">
      <c r="A403" s="183" t="s">
        <v>8184</v>
      </c>
      <c r="B403" s="184" t="s">
        <v>8185</v>
      </c>
      <c r="C403" s="185">
        <f>MIN(E405:G405)</f>
        <v>11798.873924285106</v>
      </c>
      <c r="D403" s="186" t="s">
        <v>90</v>
      </c>
      <c r="E403" s="187" t="s">
        <v>8238</v>
      </c>
      <c r="F403" s="187" t="s">
        <v>7873</v>
      </c>
      <c r="G403" s="187" t="s">
        <v>26933</v>
      </c>
      <c r="H403" s="177" t="s">
        <v>170</v>
      </c>
      <c r="I403" s="177"/>
      <c r="J403" s="177"/>
      <c r="M403" s="187" t="s">
        <v>8238</v>
      </c>
      <c r="N403" s="187" t="s">
        <v>7873</v>
      </c>
      <c r="O403" s="187"/>
    </row>
    <row r="404" spans="1:15" s="164" customFormat="1" ht="11.25">
      <c r="A404" s="161"/>
      <c r="B404" s="165"/>
      <c r="C404" s="4" t="s">
        <v>272</v>
      </c>
      <c r="D404" s="170"/>
      <c r="E404" s="55" t="s">
        <v>7876</v>
      </c>
      <c r="F404" s="55" t="s">
        <v>7871</v>
      </c>
      <c r="G404" s="55"/>
      <c r="H404" s="177" t="s">
        <v>271</v>
      </c>
      <c r="I404" s="177" t="s">
        <v>268</v>
      </c>
      <c r="J404" s="177" t="s">
        <v>269</v>
      </c>
      <c r="M404" s="55" t="s">
        <v>7876</v>
      </c>
      <c r="N404" s="55" t="s">
        <v>7871</v>
      </c>
      <c r="O404" s="55"/>
    </row>
    <row r="405" spans="1:15" s="164" customFormat="1" ht="15">
      <c r="A405" s="371"/>
      <c r="B405" s="167"/>
      <c r="C405" s="4" t="s">
        <v>9</v>
      </c>
      <c r="D405" s="171"/>
      <c r="E405" s="74">
        <f>M405/'Reajustamento INCC'!$C$79</f>
        <v>28161.230270520584</v>
      </c>
      <c r="F405" s="74">
        <f>N405/'Reajustamento INCC'!$C$79</f>
        <v>11798.873924285106</v>
      </c>
      <c r="G405" s="74">
        <v>33444.561600000001</v>
      </c>
      <c r="H405" s="177">
        <f>MEDIAN(E405:G405)</f>
        <v>28161.230270520584</v>
      </c>
      <c r="I405" s="177">
        <f>H405*1.3</f>
        <v>36609.599351676763</v>
      </c>
      <c r="J405" s="177">
        <f>H405*0.7</f>
        <v>19712.861189364408</v>
      </c>
      <c r="M405" s="74">
        <v>28510</v>
      </c>
      <c r="N405" s="74">
        <v>11945</v>
      </c>
      <c r="O405" s="74"/>
    </row>
    <row r="406" spans="1:15" s="164" customFormat="1" ht="15">
      <c r="A406" s="166"/>
      <c r="B406" s="167"/>
      <c r="C406" s="4" t="s">
        <v>8</v>
      </c>
      <c r="D406" s="171"/>
      <c r="E406" s="55" t="s">
        <v>8239</v>
      </c>
      <c r="F406" s="55" t="s">
        <v>7872</v>
      </c>
      <c r="G406" s="55"/>
      <c r="H406" s="177"/>
      <c r="I406" s="177"/>
      <c r="J406" s="177"/>
      <c r="M406" s="55" t="s">
        <v>8239</v>
      </c>
      <c r="N406" s="55" t="s">
        <v>7872</v>
      </c>
      <c r="O406" s="55"/>
    </row>
    <row r="407" spans="1:15" s="164" customFormat="1" ht="15">
      <c r="A407" s="166"/>
      <c r="B407" s="167"/>
      <c r="C407" s="4" t="s">
        <v>7</v>
      </c>
      <c r="D407" s="171"/>
      <c r="E407" s="3" t="s">
        <v>7875</v>
      </c>
      <c r="F407" s="3" t="s">
        <v>7870</v>
      </c>
      <c r="G407" s="3"/>
      <c r="H407" s="177"/>
      <c r="I407" s="177"/>
      <c r="J407" s="177"/>
      <c r="M407" s="3" t="s">
        <v>7875</v>
      </c>
      <c r="N407" s="3" t="s">
        <v>7870</v>
      </c>
      <c r="O407" s="3"/>
    </row>
    <row r="408" spans="1:15" s="164" customFormat="1" ht="14.25" customHeight="1">
      <c r="A408" s="166"/>
      <c r="B408" s="167"/>
      <c r="C408" s="4" t="s">
        <v>6</v>
      </c>
      <c r="D408" s="172"/>
      <c r="E408" s="2">
        <v>43831</v>
      </c>
      <c r="F408" s="2">
        <v>43831</v>
      </c>
      <c r="G408" s="2"/>
      <c r="H408" s="177"/>
      <c r="I408" s="177"/>
      <c r="J408" s="177"/>
      <c r="M408" s="2">
        <v>43929</v>
      </c>
      <c r="N408" s="2">
        <v>43936</v>
      </c>
      <c r="O408" s="2"/>
    </row>
    <row r="409" spans="1:15" s="163" customFormat="1" ht="11.25">
      <c r="A409" s="6"/>
      <c r="B409" s="5"/>
      <c r="C409" s="5"/>
      <c r="D409" s="5"/>
      <c r="E409" s="5"/>
      <c r="F409" s="5"/>
      <c r="G409" s="5"/>
      <c r="H409" s="176"/>
      <c r="I409" s="176"/>
      <c r="J409" s="176"/>
      <c r="M409" s="5"/>
      <c r="N409" s="5"/>
      <c r="O409" s="5"/>
    </row>
    <row r="410" spans="1:15" s="164" customFormat="1" ht="45">
      <c r="A410" s="183" t="s">
        <v>8187</v>
      </c>
      <c r="B410" s="184" t="s">
        <v>8188</v>
      </c>
      <c r="C410" s="185">
        <f>MIN(E412:G412)</f>
        <v>18604.586886890746</v>
      </c>
      <c r="D410" s="186" t="s">
        <v>90</v>
      </c>
      <c r="E410" s="187" t="s">
        <v>8238</v>
      </c>
      <c r="F410" s="187" t="s">
        <v>7873</v>
      </c>
      <c r="G410" s="187" t="s">
        <v>26934</v>
      </c>
      <c r="H410" s="177" t="s">
        <v>170</v>
      </c>
      <c r="I410" s="177"/>
      <c r="J410" s="177"/>
      <c r="M410" s="187" t="s">
        <v>8238</v>
      </c>
      <c r="N410" s="187" t="s">
        <v>7873</v>
      </c>
      <c r="O410" s="187"/>
    </row>
    <row r="411" spans="1:15" s="164" customFormat="1" ht="11.25">
      <c r="A411" s="161"/>
      <c r="B411" s="165"/>
      <c r="C411" s="4" t="s">
        <v>272</v>
      </c>
      <c r="D411" s="170"/>
      <c r="E411" s="55" t="s">
        <v>7876</v>
      </c>
      <c r="F411" s="55" t="s">
        <v>7871</v>
      </c>
      <c r="G411" s="55"/>
      <c r="H411" s="177" t="s">
        <v>271</v>
      </c>
      <c r="I411" s="177" t="s">
        <v>268</v>
      </c>
      <c r="J411" s="177" t="s">
        <v>269</v>
      </c>
      <c r="M411" s="55" t="s">
        <v>7876</v>
      </c>
      <c r="N411" s="55" t="s">
        <v>7871</v>
      </c>
      <c r="O411" s="55"/>
    </row>
    <row r="412" spans="1:15" s="164" customFormat="1" ht="15">
      <c r="A412" s="371"/>
      <c r="B412" s="167"/>
      <c r="C412" s="4" t="s">
        <v>9</v>
      </c>
      <c r="D412" s="171"/>
      <c r="E412" s="74">
        <f>M412/'Reajustamento INCC'!$C$79</f>
        <v>43980.314899857207</v>
      </c>
      <c r="F412" s="74">
        <f>N412/'Reajustamento INCC'!$C$79</f>
        <v>18604.586886890746</v>
      </c>
      <c r="G412" s="74">
        <v>56047.7909</v>
      </c>
      <c r="H412" s="177">
        <f>MEDIAN(E412:G412)</f>
        <v>43980.314899857207</v>
      </c>
      <c r="I412" s="177">
        <f>H412*1.3</f>
        <v>57174.40936981437</v>
      </c>
      <c r="J412" s="177">
        <f>H412*0.7</f>
        <v>30786.220429900044</v>
      </c>
      <c r="M412" s="74">
        <v>44525</v>
      </c>
      <c r="N412" s="74">
        <v>18835</v>
      </c>
      <c r="O412" s="74"/>
    </row>
    <row r="413" spans="1:15" s="164" customFormat="1" ht="15">
      <c r="A413" s="166"/>
      <c r="B413" s="167"/>
      <c r="C413" s="4" t="s">
        <v>8</v>
      </c>
      <c r="D413" s="171"/>
      <c r="E413" s="55" t="s">
        <v>8239</v>
      </c>
      <c r="F413" s="55" t="s">
        <v>7872</v>
      </c>
      <c r="G413" s="55"/>
      <c r="H413" s="177"/>
      <c r="I413" s="177"/>
      <c r="J413" s="177"/>
      <c r="M413" s="55" t="s">
        <v>8239</v>
      </c>
      <c r="N413" s="55" t="s">
        <v>7872</v>
      </c>
      <c r="O413" s="55"/>
    </row>
    <row r="414" spans="1:15" s="164" customFormat="1" ht="15">
      <c r="A414" s="166"/>
      <c r="B414" s="167"/>
      <c r="C414" s="4" t="s">
        <v>7</v>
      </c>
      <c r="D414" s="171"/>
      <c r="E414" s="3" t="s">
        <v>7875</v>
      </c>
      <c r="F414" s="3" t="s">
        <v>7870</v>
      </c>
      <c r="G414" s="3"/>
      <c r="H414" s="177"/>
      <c r="I414" s="177"/>
      <c r="J414" s="177"/>
      <c r="M414" s="3" t="s">
        <v>7875</v>
      </c>
      <c r="N414" s="3" t="s">
        <v>7870</v>
      </c>
      <c r="O414" s="3"/>
    </row>
    <row r="415" spans="1:15" s="164" customFormat="1" ht="14.25" customHeight="1">
      <c r="A415" s="166"/>
      <c r="B415" s="167"/>
      <c r="C415" s="4" t="s">
        <v>6</v>
      </c>
      <c r="D415" s="172"/>
      <c r="E415" s="2">
        <v>43831</v>
      </c>
      <c r="F415" s="2">
        <v>43831</v>
      </c>
      <c r="G415" s="2"/>
      <c r="H415" s="177"/>
      <c r="I415" s="177"/>
      <c r="J415" s="177"/>
      <c r="M415" s="2">
        <v>43929</v>
      </c>
      <c r="N415" s="2">
        <v>43936</v>
      </c>
      <c r="O415" s="2"/>
    </row>
    <row r="416" spans="1:15" s="163" customFormat="1" ht="11.25">
      <c r="A416" s="6"/>
      <c r="B416" s="5"/>
      <c r="C416" s="5"/>
      <c r="D416" s="5"/>
      <c r="E416" s="5"/>
      <c r="F416" s="5"/>
      <c r="G416" s="5"/>
      <c r="H416" s="176"/>
      <c r="I416" s="176"/>
      <c r="J416" s="176"/>
      <c r="M416" s="5"/>
      <c r="N416" s="5"/>
      <c r="O416" s="5"/>
    </row>
    <row r="417" spans="1:15" s="164" customFormat="1" ht="33.75">
      <c r="A417" s="183" t="s">
        <v>8196</v>
      </c>
      <c r="B417" s="184" t="s">
        <v>8200</v>
      </c>
      <c r="C417" s="185">
        <f>MIN(E419:G419)</f>
        <v>20915.961100605869</v>
      </c>
      <c r="D417" s="186" t="s">
        <v>90</v>
      </c>
      <c r="E417" s="187" t="s">
        <v>8238</v>
      </c>
      <c r="F417" s="187" t="s">
        <v>7873</v>
      </c>
      <c r="G417" s="187" t="s">
        <v>26935</v>
      </c>
      <c r="H417" s="177" t="s">
        <v>170</v>
      </c>
      <c r="I417" s="177"/>
      <c r="J417" s="177"/>
      <c r="M417" s="187" t="s">
        <v>8238</v>
      </c>
      <c r="N417" s="187" t="s">
        <v>7873</v>
      </c>
      <c r="O417" s="187"/>
    </row>
    <row r="418" spans="1:15" s="164" customFormat="1" ht="11.25">
      <c r="A418" s="161"/>
      <c r="B418" s="165"/>
      <c r="C418" s="4" t="s">
        <v>272</v>
      </c>
      <c r="D418" s="170"/>
      <c r="E418" s="55" t="s">
        <v>7876</v>
      </c>
      <c r="F418" s="55" t="s">
        <v>7871</v>
      </c>
      <c r="G418" s="55"/>
      <c r="H418" s="177" t="s">
        <v>271</v>
      </c>
      <c r="I418" s="177" t="s">
        <v>268</v>
      </c>
      <c r="J418" s="177" t="s">
        <v>269</v>
      </c>
      <c r="M418" s="55" t="s">
        <v>7876</v>
      </c>
      <c r="N418" s="55" t="s">
        <v>7871</v>
      </c>
      <c r="O418" s="55"/>
    </row>
    <row r="419" spans="1:15" s="164" customFormat="1" ht="15">
      <c r="A419" s="371"/>
      <c r="B419" s="167"/>
      <c r="C419" s="4" t="s">
        <v>9</v>
      </c>
      <c r="D419" s="171"/>
      <c r="E419" s="74">
        <f>M419/'Reajustamento INCC'!$C$79</f>
        <v>53240.628256087672</v>
      </c>
      <c r="F419" s="74">
        <f>N419/'Reajustamento INCC'!$C$79</f>
        <v>20915.961100605869</v>
      </c>
      <c r="G419" s="74">
        <v>59678.688600000001</v>
      </c>
      <c r="H419" s="177">
        <f>MEDIAN(E419:G419)</f>
        <v>53240.628256087672</v>
      </c>
      <c r="I419" s="177">
        <f>H419*1.3</f>
        <v>69212.816732913969</v>
      </c>
      <c r="J419" s="177">
        <f>H419*0.7</f>
        <v>37268.439779261367</v>
      </c>
      <c r="M419" s="74">
        <v>53900</v>
      </c>
      <c r="N419" s="74">
        <v>21175</v>
      </c>
      <c r="O419" s="74"/>
    </row>
    <row r="420" spans="1:15" s="164" customFormat="1" ht="15">
      <c r="A420" s="166"/>
      <c r="B420" s="167"/>
      <c r="C420" s="4" t="s">
        <v>8</v>
      </c>
      <c r="D420" s="171"/>
      <c r="E420" s="55" t="s">
        <v>8239</v>
      </c>
      <c r="F420" s="55" t="s">
        <v>7872</v>
      </c>
      <c r="G420" s="55"/>
      <c r="H420" s="177"/>
      <c r="I420" s="177"/>
      <c r="J420" s="177"/>
      <c r="M420" s="55" t="s">
        <v>8239</v>
      </c>
      <c r="N420" s="55" t="s">
        <v>7872</v>
      </c>
      <c r="O420" s="55"/>
    </row>
    <row r="421" spans="1:15" s="164" customFormat="1" ht="15">
      <c r="A421" s="166"/>
      <c r="B421" s="167"/>
      <c r="C421" s="4" t="s">
        <v>7</v>
      </c>
      <c r="D421" s="171"/>
      <c r="E421" s="3" t="s">
        <v>7875</v>
      </c>
      <c r="F421" s="3" t="s">
        <v>7870</v>
      </c>
      <c r="G421" s="3"/>
      <c r="H421" s="177"/>
      <c r="I421" s="177"/>
      <c r="J421" s="177"/>
      <c r="M421" s="3" t="s">
        <v>7875</v>
      </c>
      <c r="N421" s="3" t="s">
        <v>7870</v>
      </c>
      <c r="O421" s="3"/>
    </row>
    <row r="422" spans="1:15" s="164" customFormat="1" ht="14.25" customHeight="1">
      <c r="A422" s="166"/>
      <c r="B422" s="167"/>
      <c r="C422" s="4" t="s">
        <v>6</v>
      </c>
      <c r="D422" s="172"/>
      <c r="E422" s="2">
        <v>43831</v>
      </c>
      <c r="F422" s="2">
        <v>43831</v>
      </c>
      <c r="G422" s="2"/>
      <c r="H422" s="177"/>
      <c r="I422" s="177"/>
      <c r="J422" s="177"/>
      <c r="M422" s="2">
        <v>43929</v>
      </c>
      <c r="N422" s="2">
        <v>43936</v>
      </c>
      <c r="O422" s="2"/>
    </row>
    <row r="423" spans="1:15" s="163" customFormat="1" ht="11.25">
      <c r="A423" s="6"/>
      <c r="B423" s="5"/>
      <c r="C423" s="5"/>
      <c r="D423" s="5"/>
      <c r="E423" s="5"/>
      <c r="F423" s="5"/>
      <c r="G423" s="5"/>
      <c r="H423" s="176"/>
      <c r="I423" s="176"/>
      <c r="J423" s="176"/>
      <c r="M423" s="5"/>
      <c r="N423" s="5"/>
      <c r="O423" s="5"/>
    </row>
    <row r="424" spans="1:15" s="164" customFormat="1" ht="22.9" customHeight="1">
      <c r="A424" s="183" t="s">
        <v>8215</v>
      </c>
      <c r="B424" s="184" t="s">
        <v>8228</v>
      </c>
      <c r="C424" s="185">
        <f>MIN(E426:G426)</f>
        <v>44.469259445066172</v>
      </c>
      <c r="D424" s="186" t="s">
        <v>90</v>
      </c>
      <c r="E424" s="187" t="s">
        <v>26941</v>
      </c>
      <c r="F424" s="187" t="s">
        <v>6730</v>
      </c>
      <c r="G424" s="187" t="s">
        <v>8232</v>
      </c>
      <c r="H424" s="177" t="s">
        <v>170</v>
      </c>
      <c r="I424" s="177"/>
      <c r="J424" s="177"/>
      <c r="M424" s="187" t="s">
        <v>26941</v>
      </c>
      <c r="N424" s="187" t="s">
        <v>6730</v>
      </c>
      <c r="O424" s="187" t="s">
        <v>8232</v>
      </c>
    </row>
    <row r="425" spans="1:15" s="164" customFormat="1" ht="21" customHeight="1">
      <c r="A425" s="161"/>
      <c r="B425" s="165"/>
      <c r="C425" s="4" t="s">
        <v>272</v>
      </c>
      <c r="D425" s="170"/>
      <c r="E425" s="55" t="s">
        <v>26944</v>
      </c>
      <c r="F425" s="55"/>
      <c r="G425" s="55" t="s">
        <v>8233</v>
      </c>
      <c r="H425" s="177" t="s">
        <v>271</v>
      </c>
      <c r="I425" s="177" t="s">
        <v>268</v>
      </c>
      <c r="J425" s="177" t="s">
        <v>269</v>
      </c>
      <c r="M425" s="55" t="s">
        <v>26944</v>
      </c>
      <c r="N425" s="55"/>
      <c r="O425" s="55" t="s">
        <v>8233</v>
      </c>
    </row>
    <row r="426" spans="1:15" s="164" customFormat="1" ht="15">
      <c r="A426" s="371"/>
      <c r="B426" s="167"/>
      <c r="C426" s="4" t="s">
        <v>9</v>
      </c>
      <c r="D426" s="171"/>
      <c r="E426" s="74">
        <f>M426/'Reajustamento INCC'!$C$103</f>
        <v>46.370723275607105</v>
      </c>
      <c r="F426" s="74">
        <f>N426/'Reajustamento INCC'!$C$79</f>
        <v>44.469259445066172</v>
      </c>
      <c r="G426" s="74">
        <f>O426/'Reajustamento INCC'!$C$79</f>
        <v>50.376104657893713</v>
      </c>
      <c r="H426" s="177">
        <f>MEDIAN(E426:G426)</f>
        <v>46.370723275607105</v>
      </c>
      <c r="I426" s="177">
        <f>H426*1.3</f>
        <v>60.281940258289239</v>
      </c>
      <c r="J426" s="177">
        <f>H426*0.7</f>
        <v>32.459506292924971</v>
      </c>
      <c r="M426" s="74">
        <f>44.44+10.69</f>
        <v>55.129999999999995</v>
      </c>
      <c r="N426" s="74">
        <f>14.94+30.08</f>
        <v>45.019999999999996</v>
      </c>
      <c r="O426" s="74">
        <f>204/4</f>
        <v>51</v>
      </c>
    </row>
    <row r="427" spans="1:15" s="164" customFormat="1" ht="15">
      <c r="A427" s="166"/>
      <c r="B427" s="167"/>
      <c r="C427" s="4" t="s">
        <v>8</v>
      </c>
      <c r="D427" s="171"/>
      <c r="E427" s="55" t="s">
        <v>26943</v>
      </c>
      <c r="F427" s="55" t="s">
        <v>6731</v>
      </c>
      <c r="G427" s="55" t="s">
        <v>8234</v>
      </c>
      <c r="H427" s="177"/>
      <c r="I427" s="177"/>
      <c r="J427" s="177"/>
      <c r="M427" s="55" t="s">
        <v>26943</v>
      </c>
      <c r="N427" s="55" t="s">
        <v>6731</v>
      </c>
      <c r="O427" s="55" t="s">
        <v>8234</v>
      </c>
    </row>
    <row r="428" spans="1:15" s="164" customFormat="1" ht="15">
      <c r="A428" s="166"/>
      <c r="B428" s="167"/>
      <c r="C428" s="4" t="s">
        <v>7</v>
      </c>
      <c r="D428" s="171"/>
      <c r="E428" s="3" t="s">
        <v>26942</v>
      </c>
      <c r="F428" s="3" t="s">
        <v>6732</v>
      </c>
      <c r="G428" s="3" t="s">
        <v>8231</v>
      </c>
      <c r="H428" s="177"/>
      <c r="I428" s="177"/>
      <c r="J428" s="177"/>
      <c r="M428" s="3" t="s">
        <v>26942</v>
      </c>
      <c r="N428" s="3" t="s">
        <v>6732</v>
      </c>
      <c r="O428" s="3" t="s">
        <v>8231</v>
      </c>
    </row>
    <row r="429" spans="1:15" s="164" customFormat="1" ht="14.25" customHeight="1">
      <c r="A429" s="166"/>
      <c r="B429" s="167"/>
      <c r="C429" s="4" t="s">
        <v>6</v>
      </c>
      <c r="D429" s="172"/>
      <c r="E429" s="2">
        <v>43831</v>
      </c>
      <c r="F429" s="2">
        <v>43831</v>
      </c>
      <c r="G429" s="2">
        <v>43831</v>
      </c>
      <c r="H429" s="177"/>
      <c r="I429" s="177"/>
      <c r="J429" s="177"/>
      <c r="M429" s="2">
        <v>44369</v>
      </c>
      <c r="N429" s="2">
        <v>43929</v>
      </c>
      <c r="O429" s="2">
        <v>43929</v>
      </c>
    </row>
    <row r="430" spans="1:15" s="163" customFormat="1" ht="11.25">
      <c r="A430" s="302"/>
      <c r="B430" s="309"/>
      <c r="C430" s="309"/>
      <c r="D430" s="309"/>
      <c r="E430" s="309"/>
      <c r="F430" s="309"/>
      <c r="G430" s="309"/>
      <c r="H430" s="176"/>
      <c r="I430" s="176"/>
      <c r="J430" s="176"/>
      <c r="M430" s="309"/>
      <c r="N430" s="309"/>
      <c r="O430" s="309"/>
    </row>
    <row r="431" spans="1:15" s="164" customFormat="1" ht="56.25">
      <c r="A431" s="183" t="s">
        <v>8280</v>
      </c>
      <c r="B431" s="184" t="s">
        <v>8290</v>
      </c>
      <c r="C431" s="185">
        <f>MIN(E433:G433)</f>
        <v>382.20363852530625</v>
      </c>
      <c r="D431" s="186" t="s">
        <v>89</v>
      </c>
      <c r="E431" s="705" t="s">
        <v>8076</v>
      </c>
      <c r="F431" s="706"/>
      <c r="G431" s="707"/>
      <c r="H431" s="177" t="s">
        <v>170</v>
      </c>
      <c r="I431" s="177"/>
      <c r="J431" s="177"/>
      <c r="M431" s="705" t="s">
        <v>8076</v>
      </c>
      <c r="N431" s="706"/>
      <c r="O431" s="707"/>
    </row>
    <row r="432" spans="1:15" s="164" customFormat="1" ht="11.25">
      <c r="A432" s="161"/>
      <c r="B432" s="165"/>
      <c r="C432" s="4" t="s">
        <v>272</v>
      </c>
      <c r="D432" s="170"/>
      <c r="E432" s="708" t="s">
        <v>8072</v>
      </c>
      <c r="F432" s="709"/>
      <c r="G432" s="710"/>
      <c r="H432" s="177" t="s">
        <v>271</v>
      </c>
      <c r="I432" s="177" t="s">
        <v>268</v>
      </c>
      <c r="J432" s="177" t="s">
        <v>269</v>
      </c>
      <c r="M432" s="708" t="s">
        <v>8072</v>
      </c>
      <c r="N432" s="709"/>
      <c r="O432" s="710"/>
    </row>
    <row r="433" spans="1:15" s="164" customFormat="1" ht="15">
      <c r="A433" s="371" t="s">
        <v>8063</v>
      </c>
      <c r="B433" s="167"/>
      <c r="C433" s="4" t="s">
        <v>9</v>
      </c>
      <c r="D433" s="349"/>
      <c r="E433" s="711">
        <f>M433*'Reajustamento INCC'!$C$47</f>
        <v>382.20363852530625</v>
      </c>
      <c r="F433" s="712"/>
      <c r="G433" s="713"/>
      <c r="H433" s="177">
        <f>MEDIAN(E433:G433)</f>
        <v>382.20363852530625</v>
      </c>
      <c r="I433" s="177">
        <f>H433*1.3</f>
        <v>496.86473008289812</v>
      </c>
      <c r="J433" s="177">
        <f>H433*0.7</f>
        <v>267.54254696771437</v>
      </c>
      <c r="M433" s="711">
        <v>374.5</v>
      </c>
      <c r="N433" s="712"/>
      <c r="O433" s="713"/>
    </row>
    <row r="434" spans="1:15" s="164" customFormat="1" ht="15">
      <c r="A434" s="166"/>
      <c r="B434" s="167"/>
      <c r="C434" s="4" t="s">
        <v>8</v>
      </c>
      <c r="D434" s="171"/>
      <c r="E434" s="708" t="s">
        <v>8070</v>
      </c>
      <c r="F434" s="709"/>
      <c r="G434" s="710"/>
      <c r="H434" s="177"/>
      <c r="I434" s="177"/>
      <c r="J434" s="177"/>
      <c r="M434" s="708" t="s">
        <v>8070</v>
      </c>
      <c r="N434" s="709"/>
      <c r="O434" s="710"/>
    </row>
    <row r="435" spans="1:15" s="164" customFormat="1" ht="15">
      <c r="A435" s="166"/>
      <c r="B435" s="167"/>
      <c r="C435" s="4" t="s">
        <v>7</v>
      </c>
      <c r="D435" s="171"/>
      <c r="E435" s="714" t="s">
        <v>8071</v>
      </c>
      <c r="F435" s="715"/>
      <c r="G435" s="716"/>
      <c r="H435" s="177"/>
      <c r="I435" s="177"/>
      <c r="J435" s="177"/>
      <c r="M435" s="714" t="s">
        <v>8071</v>
      </c>
      <c r="N435" s="715"/>
      <c r="O435" s="716"/>
    </row>
    <row r="436" spans="1:15" s="164" customFormat="1" ht="15">
      <c r="A436" s="168"/>
      <c r="B436" s="169"/>
      <c r="C436" s="4" t="s">
        <v>6</v>
      </c>
      <c r="D436" s="172"/>
      <c r="E436" s="717">
        <v>43831</v>
      </c>
      <c r="F436" s="718"/>
      <c r="G436" s="719"/>
      <c r="H436" s="177"/>
      <c r="I436" s="177"/>
      <c r="J436" s="177"/>
      <c r="M436" s="717">
        <v>43617</v>
      </c>
      <c r="N436" s="718"/>
      <c r="O436" s="719"/>
    </row>
    <row r="437" spans="1:15" s="163" customFormat="1" ht="11.25">
      <c r="A437" s="302"/>
      <c r="B437" s="309"/>
      <c r="C437" s="309"/>
      <c r="D437" s="309"/>
      <c r="E437" s="309"/>
      <c r="F437" s="309"/>
      <c r="G437" s="309"/>
      <c r="H437" s="176"/>
      <c r="I437" s="176"/>
      <c r="J437" s="176"/>
      <c r="M437" s="309"/>
      <c r="N437" s="309"/>
      <c r="O437" s="309"/>
    </row>
    <row r="438" spans="1:15" s="164" customFormat="1" ht="45">
      <c r="A438" s="183" t="s">
        <v>8282</v>
      </c>
      <c r="B438" s="184" t="s">
        <v>8284</v>
      </c>
      <c r="C438" s="185">
        <f>MIN(E440:G440)</f>
        <v>117.51868885497734</v>
      </c>
      <c r="D438" s="186" t="s">
        <v>89</v>
      </c>
      <c r="E438" s="705" t="s">
        <v>8076</v>
      </c>
      <c r="F438" s="706"/>
      <c r="G438" s="707"/>
      <c r="H438" s="177" t="s">
        <v>170</v>
      </c>
      <c r="I438" s="177"/>
      <c r="J438" s="177"/>
      <c r="M438" s="705" t="s">
        <v>8076</v>
      </c>
      <c r="N438" s="706"/>
      <c r="O438" s="707"/>
    </row>
    <row r="439" spans="1:15" s="164" customFormat="1" ht="11.25">
      <c r="A439" s="161"/>
      <c r="B439" s="165"/>
      <c r="C439" s="4" t="s">
        <v>272</v>
      </c>
      <c r="D439" s="170"/>
      <c r="E439" s="708" t="s">
        <v>8072</v>
      </c>
      <c r="F439" s="709"/>
      <c r="G439" s="710"/>
      <c r="H439" s="177" t="s">
        <v>271</v>
      </c>
      <c r="I439" s="177" t="s">
        <v>268</v>
      </c>
      <c r="J439" s="177" t="s">
        <v>269</v>
      </c>
      <c r="M439" s="708" t="s">
        <v>8072</v>
      </c>
      <c r="N439" s="709"/>
      <c r="O439" s="710"/>
    </row>
    <row r="440" spans="1:15" s="164" customFormat="1" ht="15">
      <c r="A440" s="371" t="s">
        <v>8063</v>
      </c>
      <c r="B440" s="167"/>
      <c r="C440" s="4" t="s">
        <v>9</v>
      </c>
      <c r="D440" s="349"/>
      <c r="E440" s="711">
        <f>M440*'Reajustamento INCC'!$C$47</f>
        <v>117.51868885497734</v>
      </c>
      <c r="F440" s="712"/>
      <c r="G440" s="713"/>
      <c r="H440" s="177">
        <f>MEDIAN(E440:G440)</f>
        <v>117.51868885497734</v>
      </c>
      <c r="I440" s="177">
        <f>H440*1.3</f>
        <v>152.77429551147054</v>
      </c>
      <c r="J440" s="177">
        <f>H440*0.7</f>
        <v>82.263082198484128</v>
      </c>
      <c r="M440" s="711">
        <v>115.15</v>
      </c>
      <c r="N440" s="712"/>
      <c r="O440" s="713"/>
    </row>
    <row r="441" spans="1:15" s="164" customFormat="1" ht="15">
      <c r="A441" s="166"/>
      <c r="B441" s="167"/>
      <c r="C441" s="4" t="s">
        <v>8</v>
      </c>
      <c r="D441" s="171"/>
      <c r="E441" s="708" t="s">
        <v>8070</v>
      </c>
      <c r="F441" s="709"/>
      <c r="G441" s="710"/>
      <c r="H441" s="177"/>
      <c r="I441" s="177"/>
      <c r="J441" s="177"/>
      <c r="M441" s="708" t="s">
        <v>8070</v>
      </c>
      <c r="N441" s="709"/>
      <c r="O441" s="710"/>
    </row>
    <row r="442" spans="1:15" s="164" customFormat="1" ht="15">
      <c r="A442" s="166"/>
      <c r="B442" s="167"/>
      <c r="C442" s="4" t="s">
        <v>7</v>
      </c>
      <c r="D442" s="171"/>
      <c r="E442" s="714" t="s">
        <v>8071</v>
      </c>
      <c r="F442" s="715"/>
      <c r="G442" s="716"/>
      <c r="H442" s="177"/>
      <c r="I442" s="177"/>
      <c r="J442" s="177"/>
      <c r="M442" s="714" t="s">
        <v>8071</v>
      </c>
      <c r="N442" s="715"/>
      <c r="O442" s="716"/>
    </row>
    <row r="443" spans="1:15" s="164" customFormat="1" ht="15">
      <c r="A443" s="168"/>
      <c r="B443" s="169"/>
      <c r="C443" s="4" t="s">
        <v>6</v>
      </c>
      <c r="D443" s="172"/>
      <c r="E443" s="717">
        <v>43831</v>
      </c>
      <c r="F443" s="718"/>
      <c r="G443" s="719"/>
      <c r="H443" s="177"/>
      <c r="I443" s="177"/>
      <c r="J443" s="177"/>
      <c r="M443" s="717">
        <v>43617</v>
      </c>
      <c r="N443" s="718"/>
      <c r="O443" s="719"/>
    </row>
    <row r="444" spans="1:15" s="163" customFormat="1" ht="11.25">
      <c r="A444" s="302"/>
      <c r="B444" s="309"/>
      <c r="C444" s="309"/>
      <c r="D444" s="309"/>
      <c r="E444" s="309"/>
      <c r="F444" s="309"/>
      <c r="G444" s="309"/>
      <c r="H444" s="176"/>
      <c r="I444" s="176"/>
      <c r="J444" s="176"/>
      <c r="M444" s="309"/>
      <c r="N444" s="309"/>
      <c r="O444" s="309"/>
    </row>
    <row r="445" spans="1:15" s="164" customFormat="1" ht="56.25">
      <c r="A445" s="183" t="s">
        <v>8283</v>
      </c>
      <c r="B445" s="184" t="s">
        <v>8285</v>
      </c>
      <c r="C445" s="185">
        <f>MIN(E447:G447)</f>
        <v>307.19170946893774</v>
      </c>
      <c r="D445" s="186" t="s">
        <v>89</v>
      </c>
      <c r="E445" s="705" t="s">
        <v>8076</v>
      </c>
      <c r="F445" s="706"/>
      <c r="G445" s="707"/>
      <c r="H445" s="177" t="s">
        <v>170</v>
      </c>
      <c r="I445" s="177"/>
      <c r="J445" s="177"/>
      <c r="M445" s="705" t="s">
        <v>8076</v>
      </c>
      <c r="N445" s="706"/>
      <c r="O445" s="707"/>
    </row>
    <row r="446" spans="1:15" s="164" customFormat="1" ht="11.25">
      <c r="A446" s="161"/>
      <c r="B446" s="165"/>
      <c r="C446" s="4" t="s">
        <v>272</v>
      </c>
      <c r="D446" s="170"/>
      <c r="E446" s="708" t="s">
        <v>8072</v>
      </c>
      <c r="F446" s="709"/>
      <c r="G446" s="710"/>
      <c r="H446" s="177" t="s">
        <v>271</v>
      </c>
      <c r="I446" s="177" t="s">
        <v>268</v>
      </c>
      <c r="J446" s="177" t="s">
        <v>269</v>
      </c>
      <c r="M446" s="708" t="s">
        <v>8072</v>
      </c>
      <c r="N446" s="709"/>
      <c r="O446" s="710"/>
    </row>
    <row r="447" spans="1:15" s="164" customFormat="1" ht="15">
      <c r="A447" s="371" t="s">
        <v>8063</v>
      </c>
      <c r="B447" s="167"/>
      <c r="C447" s="4" t="s">
        <v>9</v>
      </c>
      <c r="D447" s="349"/>
      <c r="E447" s="711">
        <f>M447*'Reajustamento INCC'!$C$47</f>
        <v>307.19170946893774</v>
      </c>
      <c r="F447" s="712"/>
      <c r="G447" s="713"/>
      <c r="H447" s="177">
        <f>MEDIAN(E447:G447)</f>
        <v>307.19170946893774</v>
      </c>
      <c r="I447" s="177">
        <f>H447*1.3</f>
        <v>399.34922230961911</v>
      </c>
      <c r="J447" s="177">
        <f>H447*0.7</f>
        <v>215.03419662825641</v>
      </c>
      <c r="M447" s="711">
        <v>301</v>
      </c>
      <c r="N447" s="712"/>
      <c r="O447" s="713"/>
    </row>
    <row r="448" spans="1:15" s="164" customFormat="1" ht="15">
      <c r="A448" s="166"/>
      <c r="B448" s="167"/>
      <c r="C448" s="4" t="s">
        <v>8</v>
      </c>
      <c r="D448" s="171"/>
      <c r="E448" s="708" t="s">
        <v>8070</v>
      </c>
      <c r="F448" s="709"/>
      <c r="G448" s="710"/>
      <c r="H448" s="177"/>
      <c r="I448" s="177"/>
      <c r="J448" s="177"/>
      <c r="M448" s="708" t="s">
        <v>8070</v>
      </c>
      <c r="N448" s="709"/>
      <c r="O448" s="710"/>
    </row>
    <row r="449" spans="1:15" s="164" customFormat="1" ht="15">
      <c r="A449" s="166"/>
      <c r="B449" s="167"/>
      <c r="C449" s="4" t="s">
        <v>7</v>
      </c>
      <c r="D449" s="171"/>
      <c r="E449" s="714" t="s">
        <v>8071</v>
      </c>
      <c r="F449" s="715"/>
      <c r="G449" s="716"/>
      <c r="H449" s="177"/>
      <c r="I449" s="177"/>
      <c r="J449" s="177"/>
      <c r="M449" s="714" t="s">
        <v>8071</v>
      </c>
      <c r="N449" s="715"/>
      <c r="O449" s="716"/>
    </row>
    <row r="450" spans="1:15" s="164" customFormat="1" ht="15">
      <c r="A450" s="168"/>
      <c r="B450" s="169"/>
      <c r="C450" s="4" t="s">
        <v>6</v>
      </c>
      <c r="D450" s="172"/>
      <c r="E450" s="717">
        <v>43831</v>
      </c>
      <c r="F450" s="718"/>
      <c r="G450" s="719"/>
      <c r="H450" s="177"/>
      <c r="I450" s="177"/>
      <c r="J450" s="177"/>
      <c r="M450" s="717">
        <v>43617</v>
      </c>
      <c r="N450" s="718"/>
      <c r="O450" s="719"/>
    </row>
    <row r="451" spans="1:15" s="163" customFormat="1" ht="11.25">
      <c r="A451" s="302"/>
      <c r="B451" s="309"/>
      <c r="C451" s="309"/>
      <c r="D451" s="309"/>
      <c r="E451" s="309"/>
      <c r="F451" s="309"/>
      <c r="G451" s="309"/>
      <c r="H451" s="176"/>
      <c r="I451" s="176"/>
      <c r="J451" s="176"/>
      <c r="M451" s="309"/>
      <c r="N451" s="309"/>
      <c r="O451" s="309"/>
    </row>
    <row r="452" spans="1:15" s="164" customFormat="1" ht="22.5">
      <c r="A452" s="183" t="s">
        <v>8323</v>
      </c>
      <c r="B452" s="184" t="s">
        <v>8324</v>
      </c>
      <c r="C452" s="185">
        <f>MIN(E454:G454)</f>
        <v>35.684246251101023</v>
      </c>
      <c r="D452" s="186" t="s">
        <v>89</v>
      </c>
      <c r="E452" s="705" t="s">
        <v>8076</v>
      </c>
      <c r="F452" s="706"/>
      <c r="G452" s="707"/>
      <c r="H452" s="177" t="s">
        <v>170</v>
      </c>
      <c r="I452" s="177"/>
      <c r="J452" s="177"/>
      <c r="M452" s="705" t="s">
        <v>8076</v>
      </c>
      <c r="N452" s="706"/>
      <c r="O452" s="707"/>
    </row>
    <row r="453" spans="1:15" s="164" customFormat="1" ht="11.25">
      <c r="A453" s="161"/>
      <c r="B453" s="165"/>
      <c r="C453" s="4" t="s">
        <v>272</v>
      </c>
      <c r="D453" s="170"/>
      <c r="E453" s="708" t="s">
        <v>8072</v>
      </c>
      <c r="F453" s="709"/>
      <c r="G453" s="710"/>
      <c r="H453" s="177" t="s">
        <v>271</v>
      </c>
      <c r="I453" s="177" t="s">
        <v>268</v>
      </c>
      <c r="J453" s="177" t="s">
        <v>269</v>
      </c>
      <c r="M453" s="708" t="s">
        <v>8072</v>
      </c>
      <c r="N453" s="709"/>
      <c r="O453" s="710"/>
    </row>
    <row r="454" spans="1:15" s="164" customFormat="1" ht="15">
      <c r="A454" s="371" t="s">
        <v>8063</v>
      </c>
      <c r="B454" s="167"/>
      <c r="C454" s="4" t="s">
        <v>9</v>
      </c>
      <c r="D454" s="349"/>
      <c r="E454" s="711">
        <f>M454*'Reajustamento INCC'!$C$47</f>
        <v>35.684246251101023</v>
      </c>
      <c r="F454" s="712"/>
      <c r="G454" s="713"/>
      <c r="H454" s="177">
        <f>MEDIAN(E454:G454)</f>
        <v>35.684246251101023</v>
      </c>
      <c r="I454" s="177">
        <f>H454*1.3</f>
        <v>46.389520126431329</v>
      </c>
      <c r="J454" s="177">
        <f>H454*0.7</f>
        <v>24.978972375770713</v>
      </c>
      <c r="M454" s="711">
        <f>31.5*1.11</f>
        <v>34.965000000000003</v>
      </c>
      <c r="N454" s="712"/>
      <c r="O454" s="713"/>
    </row>
    <row r="455" spans="1:15" s="164" customFormat="1" ht="15">
      <c r="A455" s="166"/>
      <c r="B455" s="167"/>
      <c r="C455" s="4" t="s">
        <v>8</v>
      </c>
      <c r="D455" s="171"/>
      <c r="E455" s="708" t="s">
        <v>8070</v>
      </c>
      <c r="F455" s="709"/>
      <c r="G455" s="710"/>
      <c r="H455" s="177"/>
      <c r="I455" s="177"/>
      <c r="J455" s="177"/>
      <c r="M455" s="708" t="s">
        <v>8070</v>
      </c>
      <c r="N455" s="709"/>
      <c r="O455" s="710"/>
    </row>
    <row r="456" spans="1:15" s="164" customFormat="1" ht="15">
      <c r="A456" s="166"/>
      <c r="B456" s="167"/>
      <c r="C456" s="4" t="s">
        <v>7</v>
      </c>
      <c r="D456" s="171"/>
      <c r="E456" s="714" t="s">
        <v>8071</v>
      </c>
      <c r="F456" s="715"/>
      <c r="G456" s="716"/>
      <c r="H456" s="177"/>
      <c r="I456" s="177"/>
      <c r="J456" s="177"/>
      <c r="M456" s="714" t="s">
        <v>8071</v>
      </c>
      <c r="N456" s="715"/>
      <c r="O456" s="716"/>
    </row>
    <row r="457" spans="1:15" s="164" customFormat="1" ht="15">
      <c r="A457" s="168"/>
      <c r="B457" s="169"/>
      <c r="C457" s="4" t="s">
        <v>6</v>
      </c>
      <c r="D457" s="172"/>
      <c r="E457" s="717">
        <v>43831</v>
      </c>
      <c r="F457" s="718"/>
      <c r="G457" s="719"/>
      <c r="H457" s="177"/>
      <c r="I457" s="177"/>
      <c r="J457" s="177"/>
      <c r="M457" s="717">
        <v>43617</v>
      </c>
      <c r="N457" s="718"/>
      <c r="O457" s="719"/>
    </row>
    <row r="458" spans="1:15" s="163" customFormat="1" ht="11.25">
      <c r="A458" s="302"/>
      <c r="B458" s="309"/>
      <c r="C458" s="309"/>
      <c r="D458" s="309"/>
      <c r="E458" s="309"/>
      <c r="F458" s="309"/>
      <c r="G458" s="309"/>
      <c r="H458" s="176"/>
      <c r="I458" s="176"/>
      <c r="J458" s="176"/>
      <c r="M458" s="309"/>
      <c r="N458" s="309"/>
      <c r="O458" s="309"/>
    </row>
    <row r="459" spans="1:15" s="164" customFormat="1" ht="22.5">
      <c r="A459" s="183" t="s">
        <v>8333</v>
      </c>
      <c r="B459" s="184" t="s">
        <v>8334</v>
      </c>
      <c r="C459" s="185">
        <f>MIN(E461:G461)</f>
        <v>71.148219377195247</v>
      </c>
      <c r="D459" s="186" t="s">
        <v>89</v>
      </c>
      <c r="E459" s="705" t="s">
        <v>8076</v>
      </c>
      <c r="F459" s="706"/>
      <c r="G459" s="707"/>
      <c r="H459" s="177" t="s">
        <v>170</v>
      </c>
      <c r="I459" s="177"/>
      <c r="J459" s="177"/>
      <c r="M459" s="705" t="s">
        <v>8076</v>
      </c>
      <c r="N459" s="706"/>
      <c r="O459" s="707"/>
    </row>
    <row r="460" spans="1:15" s="164" customFormat="1" ht="11.25">
      <c r="A460" s="161"/>
      <c r="B460" s="165"/>
      <c r="C460" s="4" t="s">
        <v>272</v>
      </c>
      <c r="D460" s="170"/>
      <c r="E460" s="708" t="s">
        <v>8072</v>
      </c>
      <c r="F460" s="709"/>
      <c r="G460" s="710"/>
      <c r="H460" s="177" t="s">
        <v>271</v>
      </c>
      <c r="I460" s="177" t="s">
        <v>268</v>
      </c>
      <c r="J460" s="177" t="s">
        <v>269</v>
      </c>
      <c r="L460" s="164" t="s">
        <v>8335</v>
      </c>
      <c r="M460" s="708" t="s">
        <v>8072</v>
      </c>
      <c r="N460" s="709"/>
      <c r="O460" s="710"/>
    </row>
    <row r="461" spans="1:15" s="164" customFormat="1" ht="15">
      <c r="A461" s="371" t="s">
        <v>8063</v>
      </c>
      <c r="B461" s="167"/>
      <c r="C461" s="4" t="s">
        <v>9</v>
      </c>
      <c r="D461" s="349"/>
      <c r="E461" s="711">
        <f>M461*'Reajustamento INCC'!$C$47</f>
        <v>71.148219377195247</v>
      </c>
      <c r="F461" s="712"/>
      <c r="G461" s="713"/>
      <c r="H461" s="177">
        <f>MEDIAN(E461:G461)</f>
        <v>71.148219377195247</v>
      </c>
      <c r="I461" s="177">
        <f>H461*1.3</f>
        <v>92.492685190353825</v>
      </c>
      <c r="J461" s="177">
        <f>H461*0.7</f>
        <v>49.803753564036668</v>
      </c>
      <c r="M461" s="711">
        <f>(66.5*1.11*1.02)/1.08</f>
        <v>69.714166666666671</v>
      </c>
      <c r="N461" s="712"/>
      <c r="O461" s="713"/>
    </row>
    <row r="462" spans="1:15" s="164" customFormat="1" ht="15">
      <c r="A462" s="166"/>
      <c r="B462" s="167"/>
      <c r="C462" s="4" t="s">
        <v>8</v>
      </c>
      <c r="D462" s="171"/>
      <c r="E462" s="708" t="s">
        <v>8070</v>
      </c>
      <c r="F462" s="709"/>
      <c r="G462" s="710"/>
      <c r="H462" s="177"/>
      <c r="I462" s="177"/>
      <c r="J462" s="177"/>
      <c r="M462" s="708" t="s">
        <v>8070</v>
      </c>
      <c r="N462" s="709"/>
      <c r="O462" s="710"/>
    </row>
    <row r="463" spans="1:15" s="164" customFormat="1" ht="15">
      <c r="A463" s="166"/>
      <c r="B463" s="167"/>
      <c r="C463" s="4" t="s">
        <v>7</v>
      </c>
      <c r="D463" s="171"/>
      <c r="E463" s="714" t="s">
        <v>8071</v>
      </c>
      <c r="F463" s="715"/>
      <c r="G463" s="716"/>
      <c r="H463" s="177"/>
      <c r="I463" s="177"/>
      <c r="J463" s="177"/>
      <c r="M463" s="714" t="s">
        <v>8071</v>
      </c>
      <c r="N463" s="715"/>
      <c r="O463" s="716"/>
    </row>
    <row r="464" spans="1:15" s="164" customFormat="1" ht="15">
      <c r="A464" s="168"/>
      <c r="B464" s="169"/>
      <c r="C464" s="4" t="s">
        <v>6</v>
      </c>
      <c r="D464" s="172"/>
      <c r="E464" s="717">
        <v>43831</v>
      </c>
      <c r="F464" s="718"/>
      <c r="G464" s="719"/>
      <c r="H464" s="177"/>
      <c r="I464" s="177"/>
      <c r="J464" s="177"/>
      <c r="M464" s="717">
        <v>43617</v>
      </c>
      <c r="N464" s="718"/>
      <c r="O464" s="719"/>
    </row>
    <row r="465" spans="1:15" s="163" customFormat="1" ht="11.25">
      <c r="A465" s="302"/>
      <c r="B465" s="309"/>
      <c r="C465" s="309"/>
      <c r="D465" s="309"/>
      <c r="E465" s="309"/>
      <c r="F465" s="309"/>
      <c r="G465" s="309"/>
      <c r="H465" s="176"/>
      <c r="I465" s="176"/>
      <c r="J465" s="176"/>
      <c r="M465" s="309"/>
      <c r="N465" s="309"/>
      <c r="O465" s="309"/>
    </row>
    <row r="466" spans="1:15" s="164" customFormat="1" ht="22.5">
      <c r="A466" s="183" t="s">
        <v>8357</v>
      </c>
      <c r="B466" s="184" t="s">
        <v>8359</v>
      </c>
      <c r="C466" s="185">
        <f>MIN(E468:G468)</f>
        <v>2.8575972973854671</v>
      </c>
      <c r="D466" s="186" t="s">
        <v>89</v>
      </c>
      <c r="E466" s="705" t="s">
        <v>8076</v>
      </c>
      <c r="F466" s="706"/>
      <c r="G466" s="707"/>
      <c r="H466" s="177" t="s">
        <v>170</v>
      </c>
      <c r="I466" s="177"/>
      <c r="J466" s="177"/>
      <c r="M466" s="705" t="s">
        <v>8076</v>
      </c>
      <c r="N466" s="706"/>
      <c r="O466" s="707"/>
    </row>
    <row r="467" spans="1:15" s="164" customFormat="1" ht="11.25">
      <c r="A467" s="161"/>
      <c r="B467" s="165"/>
      <c r="C467" s="4" t="s">
        <v>272</v>
      </c>
      <c r="D467" s="170"/>
      <c r="E467" s="708" t="s">
        <v>8072</v>
      </c>
      <c r="F467" s="709"/>
      <c r="G467" s="710"/>
      <c r="H467" s="177" t="s">
        <v>271</v>
      </c>
      <c r="I467" s="177" t="s">
        <v>268</v>
      </c>
      <c r="J467" s="177" t="s">
        <v>269</v>
      </c>
      <c r="M467" s="708" t="s">
        <v>8072</v>
      </c>
      <c r="N467" s="709"/>
      <c r="O467" s="710"/>
    </row>
    <row r="468" spans="1:15" s="164" customFormat="1" ht="15">
      <c r="A468" s="371" t="s">
        <v>8063</v>
      </c>
      <c r="B468" s="167"/>
      <c r="C468" s="4" t="s">
        <v>9</v>
      </c>
      <c r="D468" s="349"/>
      <c r="E468" s="711">
        <f>M468*'Reajustamento INCC'!$C$47</f>
        <v>2.8575972973854671</v>
      </c>
      <c r="F468" s="712"/>
      <c r="G468" s="713"/>
      <c r="H468" s="177">
        <f>MEDIAN(E468:G468)</f>
        <v>2.8575972973854671</v>
      </c>
      <c r="I468" s="177">
        <f>H468*1.3</f>
        <v>3.7148764866011073</v>
      </c>
      <c r="J468" s="177">
        <f>H468*0.7</f>
        <v>2.0003181081698269</v>
      </c>
      <c r="M468" s="711">
        <v>2.8</v>
      </c>
      <c r="N468" s="712"/>
      <c r="O468" s="713"/>
    </row>
    <row r="469" spans="1:15" s="164" customFormat="1" ht="15">
      <c r="A469" s="166"/>
      <c r="B469" s="167"/>
      <c r="C469" s="4" t="s">
        <v>8</v>
      </c>
      <c r="D469" s="171"/>
      <c r="E469" s="708" t="s">
        <v>8070</v>
      </c>
      <c r="F469" s="709"/>
      <c r="G469" s="710"/>
      <c r="H469" s="177"/>
      <c r="I469" s="177"/>
      <c r="J469" s="177"/>
      <c r="M469" s="708" t="s">
        <v>8070</v>
      </c>
      <c r="N469" s="709"/>
      <c r="O469" s="710"/>
    </row>
    <row r="470" spans="1:15" s="164" customFormat="1" ht="15">
      <c r="A470" s="166"/>
      <c r="B470" s="167"/>
      <c r="C470" s="4" t="s">
        <v>7</v>
      </c>
      <c r="D470" s="171"/>
      <c r="E470" s="714" t="s">
        <v>8071</v>
      </c>
      <c r="F470" s="715"/>
      <c r="G470" s="716"/>
      <c r="H470" s="177"/>
      <c r="I470" s="177"/>
      <c r="J470" s="177"/>
      <c r="M470" s="714" t="s">
        <v>8071</v>
      </c>
      <c r="N470" s="715"/>
      <c r="O470" s="716"/>
    </row>
    <row r="471" spans="1:15" s="164" customFormat="1" ht="15">
      <c r="A471" s="168"/>
      <c r="B471" s="169"/>
      <c r="C471" s="4" t="s">
        <v>6</v>
      </c>
      <c r="D471" s="172"/>
      <c r="E471" s="717">
        <v>43831</v>
      </c>
      <c r="F471" s="718"/>
      <c r="G471" s="719"/>
      <c r="H471" s="177"/>
      <c r="I471" s="177"/>
      <c r="J471" s="177"/>
      <c r="M471" s="717">
        <v>43617</v>
      </c>
      <c r="N471" s="718"/>
      <c r="O471" s="719"/>
    </row>
    <row r="472" spans="1:15" s="163" customFormat="1" ht="11.25">
      <c r="A472" s="6"/>
      <c r="B472" s="5"/>
      <c r="C472" s="5"/>
      <c r="D472" s="5"/>
      <c r="E472" s="5"/>
      <c r="F472" s="5"/>
      <c r="G472" s="5"/>
      <c r="H472" s="176"/>
      <c r="I472" s="176"/>
      <c r="J472" s="176"/>
      <c r="M472" s="5"/>
      <c r="N472" s="5"/>
      <c r="O472" s="5"/>
    </row>
    <row r="473" spans="1:15" s="164" customFormat="1" ht="56.25">
      <c r="A473" s="183" t="s">
        <v>8414</v>
      </c>
      <c r="B473" s="184" t="s">
        <v>8415</v>
      </c>
      <c r="C473" s="185">
        <f>MIN(E475:G475)</f>
        <v>2522.5067858433836</v>
      </c>
      <c r="D473" s="186" t="s">
        <v>90</v>
      </c>
      <c r="E473" s="187" t="s">
        <v>8416</v>
      </c>
      <c r="F473" s="187" t="s">
        <v>8421</v>
      </c>
      <c r="G473" s="187" t="s">
        <v>26945</v>
      </c>
      <c r="H473" s="177" t="s">
        <v>170</v>
      </c>
      <c r="I473" s="177"/>
      <c r="J473" s="177"/>
      <c r="M473" s="187" t="s">
        <v>8416</v>
      </c>
      <c r="N473" s="187" t="s">
        <v>8421</v>
      </c>
      <c r="O473" s="187" t="s">
        <v>26945</v>
      </c>
    </row>
    <row r="474" spans="1:15" s="164" customFormat="1" ht="21" customHeight="1">
      <c r="A474" s="161"/>
      <c r="B474" s="165"/>
      <c r="C474" s="4" t="s">
        <v>272</v>
      </c>
      <c r="D474" s="170"/>
      <c r="E474" s="55" t="s">
        <v>8423</v>
      </c>
      <c r="F474" s="55" t="s">
        <v>8422</v>
      </c>
      <c r="G474" s="55" t="s">
        <v>26946</v>
      </c>
      <c r="H474" s="177" t="s">
        <v>271</v>
      </c>
      <c r="I474" s="177" t="s">
        <v>268</v>
      </c>
      <c r="J474" s="177" t="s">
        <v>269</v>
      </c>
      <c r="M474" s="55" t="s">
        <v>8423</v>
      </c>
      <c r="N474" s="55" t="s">
        <v>8422</v>
      </c>
      <c r="O474" s="55" t="s">
        <v>26946</v>
      </c>
    </row>
    <row r="475" spans="1:15" s="164" customFormat="1" ht="15">
      <c r="A475" s="371"/>
      <c r="B475" s="167"/>
      <c r="C475" s="4" t="s">
        <v>9</v>
      </c>
      <c r="D475" s="171"/>
      <c r="E475" s="74">
        <f>M475/'Reajustamento INCC'!$C$79</f>
        <v>3042.3216146335812</v>
      </c>
      <c r="F475" s="74">
        <f>N475/'Reajustamento INCC'!$C$79</f>
        <v>2666.9702465943728</v>
      </c>
      <c r="G475" s="74">
        <f>O475/'Reajustamento INCC'!$C$103</f>
        <v>2522.5067858433836</v>
      </c>
      <c r="H475" s="177">
        <f>MEDIAN(E475:G475)</f>
        <v>2666.9702465943728</v>
      </c>
      <c r="I475" s="177">
        <f>H475*1.3</f>
        <v>3467.061320572685</v>
      </c>
      <c r="J475" s="177">
        <f>H475*0.7</f>
        <v>1866.8791726160609</v>
      </c>
      <c r="M475" s="74">
        <v>3080</v>
      </c>
      <c r="N475" s="74">
        <v>2700</v>
      </c>
      <c r="O475" s="74">
        <v>2999</v>
      </c>
    </row>
    <row r="476" spans="1:15" s="164" customFormat="1" ht="15">
      <c r="A476" s="166"/>
      <c r="B476" s="167"/>
      <c r="C476" s="4" t="s">
        <v>8</v>
      </c>
      <c r="D476" s="171"/>
      <c r="E476" s="55"/>
      <c r="F476" s="55"/>
      <c r="G476" s="55"/>
      <c r="H476" s="177"/>
      <c r="I476" s="177"/>
      <c r="J476" s="177"/>
      <c r="M476" s="55"/>
      <c r="N476" s="55"/>
      <c r="O476" s="55"/>
    </row>
    <row r="477" spans="1:15" s="164" customFormat="1" ht="15">
      <c r="A477" s="166"/>
      <c r="B477" s="167"/>
      <c r="C477" s="4" t="s">
        <v>7</v>
      </c>
      <c r="D477" s="171"/>
      <c r="E477" s="3" t="s">
        <v>8417</v>
      </c>
      <c r="F477" s="3" t="s">
        <v>8424</v>
      </c>
      <c r="G477" s="3" t="s">
        <v>26947</v>
      </c>
      <c r="H477" s="177"/>
      <c r="I477" s="177"/>
      <c r="J477" s="177"/>
      <c r="M477" s="3" t="s">
        <v>8417</v>
      </c>
      <c r="N477" s="3" t="s">
        <v>8424</v>
      </c>
      <c r="O477" s="3" t="s">
        <v>26947</v>
      </c>
    </row>
    <row r="478" spans="1:15" s="164" customFormat="1" ht="14.25" customHeight="1">
      <c r="A478" s="166"/>
      <c r="B478" s="167"/>
      <c r="C478" s="4" t="s">
        <v>6</v>
      </c>
      <c r="D478" s="172"/>
      <c r="E478" s="2">
        <v>43831</v>
      </c>
      <c r="F478" s="2">
        <v>43831</v>
      </c>
      <c r="G478" s="2">
        <v>44369</v>
      </c>
      <c r="H478" s="177"/>
      <c r="I478" s="177"/>
      <c r="J478" s="177"/>
      <c r="M478" s="2">
        <v>43948</v>
      </c>
      <c r="N478" s="2">
        <v>43948</v>
      </c>
      <c r="O478" s="2">
        <v>44369</v>
      </c>
    </row>
    <row r="479" spans="1:15" s="163" customFormat="1" ht="11.25">
      <c r="A479" s="302"/>
      <c r="B479" s="309"/>
      <c r="C479" s="309"/>
      <c r="D479" s="309"/>
      <c r="E479" s="309"/>
      <c r="F479" s="309"/>
      <c r="G479" s="309"/>
      <c r="H479" s="176"/>
      <c r="I479" s="176"/>
      <c r="J479" s="176"/>
      <c r="M479" s="309"/>
      <c r="N479" s="309"/>
      <c r="O479" s="309"/>
    </row>
    <row r="480" spans="1:15" s="164" customFormat="1" ht="11.25">
      <c r="A480" s="183" t="s">
        <v>8449</v>
      </c>
      <c r="B480" s="184" t="s">
        <v>8450</v>
      </c>
      <c r="C480" s="185">
        <f>MIN(E482:G482)</f>
        <v>58.574568749276409</v>
      </c>
      <c r="D480" s="186" t="s">
        <v>150</v>
      </c>
      <c r="E480" s="187" t="s">
        <v>8455</v>
      </c>
      <c r="F480" s="187" t="s">
        <v>8453</v>
      </c>
      <c r="G480" s="187" t="s">
        <v>6734</v>
      </c>
      <c r="H480" s="177" t="s">
        <v>170</v>
      </c>
      <c r="I480" s="177"/>
      <c r="J480" s="177"/>
      <c r="M480" s="187" t="s">
        <v>8455</v>
      </c>
      <c r="N480" s="187" t="s">
        <v>8453</v>
      </c>
      <c r="O480" s="187" t="s">
        <v>6734</v>
      </c>
    </row>
    <row r="481" spans="1:15" s="164" customFormat="1" ht="11.25">
      <c r="A481" s="161"/>
      <c r="B481" s="165"/>
      <c r="C481" s="4" t="s">
        <v>272</v>
      </c>
      <c r="D481" s="170"/>
      <c r="E481" s="55"/>
      <c r="F481" s="55"/>
      <c r="G481" s="55" t="s">
        <v>6758</v>
      </c>
      <c r="H481" s="177" t="s">
        <v>271</v>
      </c>
      <c r="I481" s="177" t="s">
        <v>268</v>
      </c>
      <c r="J481" s="177" t="s">
        <v>269</v>
      </c>
      <c r="M481" s="55"/>
      <c r="N481" s="55"/>
      <c r="O481" s="55" t="s">
        <v>6758</v>
      </c>
    </row>
    <row r="482" spans="1:15" s="164" customFormat="1" ht="15">
      <c r="A482" s="166"/>
      <c r="B482" s="167"/>
      <c r="C482" s="4" t="s">
        <v>9</v>
      </c>
      <c r="D482" s="349"/>
      <c r="E482" s="74">
        <f>M482/'Reajustamento INCC'!$C$79</f>
        <v>58.574568749276409</v>
      </c>
      <c r="F482" s="74">
        <f>N482/'Reajustamento INCC'!$C$79</f>
        <v>64.145573264384666</v>
      </c>
      <c r="G482" s="74">
        <f>O482/'Reajustamento INCC'!$C$79</f>
        <v>85.165249874580311</v>
      </c>
      <c r="H482" s="177">
        <f>MEDIAN(E482:G482)</f>
        <v>64.145573264384666</v>
      </c>
      <c r="I482" s="177">
        <f>H482*1.3</f>
        <v>83.389245243700074</v>
      </c>
      <c r="J482" s="177">
        <f>H482*0.7</f>
        <v>44.901901285069265</v>
      </c>
      <c r="M482" s="74">
        <v>59.3</v>
      </c>
      <c r="N482" s="74">
        <v>64.94</v>
      </c>
      <c r="O482" s="74">
        <v>86.22</v>
      </c>
    </row>
    <row r="483" spans="1:15" s="164" customFormat="1" ht="15">
      <c r="A483" s="166"/>
      <c r="B483" s="167"/>
      <c r="C483" s="4" t="s">
        <v>8</v>
      </c>
      <c r="D483" s="171"/>
      <c r="E483" s="55" t="s">
        <v>8457</v>
      </c>
      <c r="F483" s="55" t="s">
        <v>6735</v>
      </c>
      <c r="G483" s="55" t="s">
        <v>6735</v>
      </c>
      <c r="H483" s="177"/>
      <c r="I483" s="177"/>
      <c r="J483" s="177"/>
      <c r="M483" s="55" t="s">
        <v>8457</v>
      </c>
      <c r="N483" s="55" t="s">
        <v>6735</v>
      </c>
      <c r="O483" s="55" t="s">
        <v>6735</v>
      </c>
    </row>
    <row r="484" spans="1:15" s="164" customFormat="1" ht="15">
      <c r="A484" s="166"/>
      <c r="B484" s="167"/>
      <c r="C484" s="4" t="s">
        <v>7</v>
      </c>
      <c r="D484" s="171"/>
      <c r="E484" s="3" t="s">
        <v>8456</v>
      </c>
      <c r="F484" s="3" t="s">
        <v>8454</v>
      </c>
      <c r="G484" s="3" t="s">
        <v>6736</v>
      </c>
      <c r="H484" s="177"/>
      <c r="I484" s="177"/>
      <c r="J484" s="177"/>
      <c r="M484" s="3" t="s">
        <v>8456</v>
      </c>
      <c r="N484" s="3" t="s">
        <v>8454</v>
      </c>
      <c r="O484" s="3" t="s">
        <v>6736</v>
      </c>
    </row>
    <row r="485" spans="1:15" s="164" customFormat="1" ht="15">
      <c r="A485" s="168"/>
      <c r="B485" s="169"/>
      <c r="C485" s="4" t="s">
        <v>6</v>
      </c>
      <c r="D485" s="172"/>
      <c r="E485" s="2">
        <v>43831</v>
      </c>
      <c r="F485" s="2">
        <v>43831</v>
      </c>
      <c r="G485" s="2">
        <v>43831</v>
      </c>
      <c r="H485" s="177"/>
      <c r="I485" s="177"/>
      <c r="J485" s="177"/>
      <c r="M485" s="2">
        <v>43949</v>
      </c>
      <c r="N485" s="2">
        <v>43949</v>
      </c>
      <c r="O485" s="2">
        <v>43949</v>
      </c>
    </row>
    <row r="486" spans="1:15" s="163" customFormat="1" ht="11.25">
      <c r="A486" s="302"/>
      <c r="B486" s="309"/>
      <c r="C486" s="309"/>
      <c r="D486" s="309"/>
      <c r="E486" s="309"/>
      <c r="F486" s="309"/>
      <c r="G486" s="309"/>
      <c r="H486" s="176"/>
      <c r="I486" s="176"/>
      <c r="J486" s="176"/>
      <c r="M486" s="309"/>
      <c r="N486" s="309"/>
      <c r="O486" s="309"/>
    </row>
    <row r="487" spans="1:15" s="164" customFormat="1" ht="11.25">
      <c r="A487" s="183" t="s">
        <v>8459</v>
      </c>
      <c r="B487" s="184" t="s">
        <v>8463</v>
      </c>
      <c r="C487" s="185">
        <f>MIN(E489:G489)</f>
        <v>1.3097787211052365</v>
      </c>
      <c r="D487" s="186" t="s">
        <v>90</v>
      </c>
      <c r="E487" s="187" t="s">
        <v>6720</v>
      </c>
      <c r="F487" s="187" t="s">
        <v>8465</v>
      </c>
      <c r="G487" s="187" t="s">
        <v>8466</v>
      </c>
      <c r="H487" s="177" t="s">
        <v>170</v>
      </c>
      <c r="I487" s="177"/>
      <c r="J487" s="177"/>
      <c r="M487" s="187" t="s">
        <v>6720</v>
      </c>
      <c r="N487" s="187" t="s">
        <v>8465</v>
      </c>
      <c r="O487" s="187" t="s">
        <v>8466</v>
      </c>
    </row>
    <row r="488" spans="1:15" s="164" customFormat="1" ht="22.5">
      <c r="A488" s="161"/>
      <c r="B488" s="165"/>
      <c r="C488" s="4" t="s">
        <v>272</v>
      </c>
      <c r="D488" s="170"/>
      <c r="E488" s="55" t="s">
        <v>6721</v>
      </c>
      <c r="F488" s="55" t="s">
        <v>8470</v>
      </c>
      <c r="G488" s="55" t="s">
        <v>8468</v>
      </c>
      <c r="H488" s="177" t="s">
        <v>271</v>
      </c>
      <c r="I488" s="177" t="s">
        <v>268</v>
      </c>
      <c r="J488" s="177" t="s">
        <v>269</v>
      </c>
      <c r="M488" s="55" t="s">
        <v>6721</v>
      </c>
      <c r="N488" s="55" t="s">
        <v>8470</v>
      </c>
      <c r="O488" s="55" t="s">
        <v>8468</v>
      </c>
    </row>
    <row r="489" spans="1:15" s="164" customFormat="1" ht="15">
      <c r="A489" s="166"/>
      <c r="B489" s="167"/>
      <c r="C489" s="4" t="s">
        <v>9</v>
      </c>
      <c r="D489" s="349"/>
      <c r="E489" s="74">
        <f>M489/'Reajustamento INCC'!$C$79</f>
        <v>1.3097787211052365</v>
      </c>
      <c r="F489" s="74">
        <f>N489/'Reajustamento INCC'!$C$79</f>
        <v>1.9755335159958318</v>
      </c>
      <c r="G489" s="74">
        <f>O489/'Reajustamento INCC'!$C$79</f>
        <v>1.9557781808358736</v>
      </c>
      <c r="H489" s="177">
        <f>MEDIAN(E489:G489)</f>
        <v>1.9557781808358736</v>
      </c>
      <c r="I489" s="177">
        <f>H489*1.3</f>
        <v>2.5425116350866359</v>
      </c>
      <c r="J489" s="177">
        <f>H489*0.7</f>
        <v>1.3690447265851116</v>
      </c>
      <c r="M489" s="74">
        <f>13.26/10</f>
        <v>1.3260000000000001</v>
      </c>
      <c r="N489" s="74">
        <v>2</v>
      </c>
      <c r="O489" s="74">
        <v>1.98</v>
      </c>
    </row>
    <row r="490" spans="1:15" s="164" customFormat="1" ht="15">
      <c r="A490" s="166"/>
      <c r="B490" s="167"/>
      <c r="C490" s="4" t="s">
        <v>8</v>
      </c>
      <c r="D490" s="171"/>
      <c r="E490" s="55" t="s">
        <v>8461</v>
      </c>
      <c r="F490" s="55" t="s">
        <v>8472</v>
      </c>
      <c r="G490" s="55" t="s">
        <v>8469</v>
      </c>
      <c r="H490" s="177"/>
      <c r="I490" s="177"/>
      <c r="J490" s="177"/>
      <c r="M490" s="55" t="s">
        <v>8461</v>
      </c>
      <c r="N490" s="55" t="s">
        <v>8472</v>
      </c>
      <c r="O490" s="55" t="s">
        <v>8469</v>
      </c>
    </row>
    <row r="491" spans="1:15" s="164" customFormat="1" ht="15">
      <c r="A491" s="166"/>
      <c r="B491" s="167"/>
      <c r="C491" s="4" t="s">
        <v>7</v>
      </c>
      <c r="D491" s="171"/>
      <c r="E491" s="3" t="s">
        <v>6722</v>
      </c>
      <c r="F491" s="3" t="s">
        <v>8471</v>
      </c>
      <c r="G491" s="3" t="s">
        <v>8467</v>
      </c>
      <c r="H491" s="177"/>
      <c r="I491" s="177"/>
      <c r="J491" s="177"/>
      <c r="M491" s="3" t="s">
        <v>6722</v>
      </c>
      <c r="N491" s="3" t="s">
        <v>8471</v>
      </c>
      <c r="O491" s="3" t="s">
        <v>8467</v>
      </c>
    </row>
    <row r="492" spans="1:15" s="164" customFormat="1" ht="15">
      <c r="A492" s="168"/>
      <c r="B492" s="169"/>
      <c r="C492" s="4" t="s">
        <v>6</v>
      </c>
      <c r="D492" s="172"/>
      <c r="E492" s="2">
        <v>43831</v>
      </c>
      <c r="F492" s="2">
        <v>43831</v>
      </c>
      <c r="G492" s="2">
        <v>43831</v>
      </c>
      <c r="H492" s="177"/>
      <c r="I492" s="177"/>
      <c r="J492" s="177"/>
      <c r="M492" s="2">
        <v>43949</v>
      </c>
      <c r="N492" s="2">
        <v>43949</v>
      </c>
      <c r="O492" s="2">
        <v>43949</v>
      </c>
    </row>
    <row r="493" spans="1:15" s="163" customFormat="1" ht="11.25">
      <c r="A493" s="302"/>
      <c r="B493" s="309"/>
      <c r="C493" s="309"/>
      <c r="D493" s="309"/>
      <c r="E493" s="309"/>
      <c r="F493" s="309"/>
      <c r="G493" s="309"/>
      <c r="H493" s="176"/>
      <c r="I493" s="176"/>
      <c r="J493" s="176"/>
      <c r="M493" s="309"/>
      <c r="N493" s="309"/>
      <c r="O493" s="309"/>
    </row>
    <row r="494" spans="1:15" s="164" customFormat="1" ht="11.25">
      <c r="A494" s="183" t="s">
        <v>8460</v>
      </c>
      <c r="B494" s="184" t="s">
        <v>8462</v>
      </c>
      <c r="C494" s="185">
        <f>MIN(E496:G496)</f>
        <v>0.34818778219426533</v>
      </c>
      <c r="D494" s="186" t="s">
        <v>90</v>
      </c>
      <c r="E494" s="187" t="s">
        <v>6720</v>
      </c>
      <c r="F494" s="187" t="s">
        <v>8465</v>
      </c>
      <c r="G494" s="187" t="s">
        <v>8466</v>
      </c>
      <c r="H494" s="177" t="s">
        <v>170</v>
      </c>
      <c r="I494" s="177"/>
      <c r="J494" s="177"/>
      <c r="M494" s="187" t="s">
        <v>6720</v>
      </c>
      <c r="N494" s="187" t="s">
        <v>8465</v>
      </c>
      <c r="O494" s="187" t="s">
        <v>8466</v>
      </c>
    </row>
    <row r="495" spans="1:15" s="164" customFormat="1" ht="22.5">
      <c r="A495" s="161"/>
      <c r="B495" s="165"/>
      <c r="C495" s="4" t="s">
        <v>272</v>
      </c>
      <c r="D495" s="170"/>
      <c r="E495" s="55" t="s">
        <v>6721</v>
      </c>
      <c r="F495" s="55" t="s">
        <v>8470</v>
      </c>
      <c r="G495" s="55" t="s">
        <v>8468</v>
      </c>
      <c r="H495" s="177" t="s">
        <v>271</v>
      </c>
      <c r="I495" s="177" t="s">
        <v>268</v>
      </c>
      <c r="J495" s="177" t="s">
        <v>269</v>
      </c>
      <c r="M495" s="55" t="s">
        <v>6721</v>
      </c>
      <c r="N495" s="55" t="s">
        <v>8470</v>
      </c>
      <c r="O495" s="55" t="s">
        <v>8468</v>
      </c>
    </row>
    <row r="496" spans="1:15" s="164" customFormat="1" ht="15">
      <c r="A496" s="166"/>
      <c r="B496" s="167"/>
      <c r="C496" s="4" t="s">
        <v>9</v>
      </c>
      <c r="D496" s="349"/>
      <c r="E496" s="74">
        <f>M496/'Reajustamento INCC'!$C$79</f>
        <v>0.34818778219426533</v>
      </c>
      <c r="F496" s="74">
        <f>N496/'Reajustamento INCC'!$C$79</f>
        <v>0.5926600547987495</v>
      </c>
      <c r="G496" s="74">
        <f>O496/'Reajustamento INCC'!$C$79</f>
        <v>0.55314938447883299</v>
      </c>
      <c r="H496" s="177">
        <f>MEDIAN(E496:G496)</f>
        <v>0.55314938447883299</v>
      </c>
      <c r="I496" s="177">
        <f>H496*1.3</f>
        <v>0.7190941998224829</v>
      </c>
      <c r="J496" s="177">
        <f>H496*0.7</f>
        <v>0.38720456913518309</v>
      </c>
      <c r="M496" s="74">
        <f>7.05/20</f>
        <v>0.35249999999999998</v>
      </c>
      <c r="N496" s="74">
        <v>0.6</v>
      </c>
      <c r="O496" s="74">
        <v>0.56000000000000005</v>
      </c>
    </row>
    <row r="497" spans="1:15" s="164" customFormat="1" ht="15">
      <c r="A497" s="166"/>
      <c r="B497" s="167"/>
      <c r="C497" s="4" t="s">
        <v>8</v>
      </c>
      <c r="D497" s="171"/>
      <c r="E497" s="55" t="s">
        <v>8461</v>
      </c>
      <c r="F497" s="55" t="s">
        <v>8472</v>
      </c>
      <c r="G497" s="55" t="s">
        <v>8469</v>
      </c>
      <c r="H497" s="177"/>
      <c r="I497" s="177"/>
      <c r="J497" s="177"/>
      <c r="M497" s="55" t="s">
        <v>8461</v>
      </c>
      <c r="N497" s="55" t="s">
        <v>8472</v>
      </c>
      <c r="O497" s="55" t="s">
        <v>8469</v>
      </c>
    </row>
    <row r="498" spans="1:15" s="164" customFormat="1" ht="15">
      <c r="A498" s="166"/>
      <c r="B498" s="167"/>
      <c r="C498" s="4" t="s">
        <v>7</v>
      </c>
      <c r="D498" s="171"/>
      <c r="E498" s="3" t="s">
        <v>6722</v>
      </c>
      <c r="F498" s="3" t="s">
        <v>8471</v>
      </c>
      <c r="G498" s="3" t="s">
        <v>8467</v>
      </c>
      <c r="H498" s="177"/>
      <c r="I498" s="177"/>
      <c r="J498" s="177"/>
      <c r="M498" s="3" t="s">
        <v>6722</v>
      </c>
      <c r="N498" s="3" t="s">
        <v>8471</v>
      </c>
      <c r="O498" s="3" t="s">
        <v>8467</v>
      </c>
    </row>
    <row r="499" spans="1:15" s="164" customFormat="1" ht="15">
      <c r="A499" s="168"/>
      <c r="B499" s="169"/>
      <c r="C499" s="4" t="s">
        <v>6</v>
      </c>
      <c r="D499" s="172"/>
      <c r="E499" s="2">
        <v>43831</v>
      </c>
      <c r="F499" s="2">
        <v>43831</v>
      </c>
      <c r="G499" s="2">
        <v>43831</v>
      </c>
      <c r="H499" s="177"/>
      <c r="I499" s="177"/>
      <c r="J499" s="177"/>
      <c r="M499" s="2">
        <v>43949</v>
      </c>
      <c r="N499" s="2">
        <v>43949</v>
      </c>
      <c r="O499" s="2">
        <v>43949</v>
      </c>
    </row>
    <row r="500" spans="1:15" s="163" customFormat="1" ht="11.25">
      <c r="A500" s="302"/>
      <c r="B500" s="309"/>
      <c r="C500" s="309"/>
      <c r="D500" s="309"/>
      <c r="E500" s="309"/>
      <c r="F500" s="309"/>
      <c r="G500" s="309"/>
      <c r="H500" s="176"/>
      <c r="I500" s="176"/>
      <c r="J500" s="176"/>
      <c r="M500" s="309"/>
      <c r="N500" s="309"/>
      <c r="O500" s="309"/>
    </row>
    <row r="501" spans="1:15" s="164" customFormat="1" ht="11.25">
      <c r="A501" s="183" t="s">
        <v>8478</v>
      </c>
      <c r="B501" s="184" t="s">
        <v>8479</v>
      </c>
      <c r="C501" s="185">
        <f>MIN(E503:G503)</f>
        <v>4.1786641253984422</v>
      </c>
      <c r="D501" s="186" t="s">
        <v>5</v>
      </c>
      <c r="E501" s="187" t="s">
        <v>26937</v>
      </c>
      <c r="F501" s="187" t="s">
        <v>6311</v>
      </c>
      <c r="G501" s="187" t="s">
        <v>6724</v>
      </c>
      <c r="H501" s="177" t="s">
        <v>170</v>
      </c>
      <c r="I501" s="177"/>
      <c r="J501" s="177"/>
      <c r="M501" s="187" t="s">
        <v>26937</v>
      </c>
      <c r="N501" s="187" t="s">
        <v>6311</v>
      </c>
      <c r="O501" s="187" t="s">
        <v>6724</v>
      </c>
    </row>
    <row r="502" spans="1:15" s="164" customFormat="1" ht="22.5">
      <c r="A502" s="161"/>
      <c r="B502" s="165"/>
      <c r="C502" s="4" t="s">
        <v>272</v>
      </c>
      <c r="D502" s="170"/>
      <c r="E502" s="55" t="s">
        <v>26939</v>
      </c>
      <c r="F502" s="55" t="s">
        <v>6313</v>
      </c>
      <c r="G502" s="55" t="s">
        <v>6725</v>
      </c>
      <c r="H502" s="177" t="s">
        <v>271</v>
      </c>
      <c r="I502" s="177" t="s">
        <v>268</v>
      </c>
      <c r="J502" s="177" t="s">
        <v>269</v>
      </c>
      <c r="M502" s="55" t="s">
        <v>26939</v>
      </c>
      <c r="N502" s="55" t="s">
        <v>6313</v>
      </c>
      <c r="O502" s="55" t="s">
        <v>6725</v>
      </c>
    </row>
    <row r="503" spans="1:15" s="164" customFormat="1" ht="15">
      <c r="A503" s="166"/>
      <c r="B503" s="167"/>
      <c r="C503" s="4" t="s">
        <v>9</v>
      </c>
      <c r="D503" s="349"/>
      <c r="E503" s="74">
        <f>M503/'Reajustamento INCC'!$C$103</f>
        <v>4.6429601393316027</v>
      </c>
      <c r="F503" s="74">
        <f>N503/'Reajustamento INCC'!$C$103</f>
        <v>4.6429601393316027</v>
      </c>
      <c r="G503" s="74">
        <f>O503/'Reajustamento INCC'!$C$103</f>
        <v>4.1786641253984422</v>
      </c>
      <c r="H503" s="177">
        <f>MEDIAN(E503:G503)</f>
        <v>4.6429601393316027</v>
      </c>
      <c r="I503" s="177">
        <f>H503*1.3</f>
        <v>6.035848181131084</v>
      </c>
      <c r="J503" s="177">
        <f>H503*0.7</f>
        <v>3.2500720975321218</v>
      </c>
      <c r="M503" s="74">
        <f>552/100</f>
        <v>5.52</v>
      </c>
      <c r="N503" s="74">
        <f>552/100</f>
        <v>5.52</v>
      </c>
      <c r="O503" s="74">
        <f>496.8/100</f>
        <v>4.968</v>
      </c>
    </row>
    <row r="504" spans="1:15" s="164" customFormat="1" ht="15">
      <c r="A504" s="166"/>
      <c r="B504" s="167"/>
      <c r="C504" s="4" t="s">
        <v>8</v>
      </c>
      <c r="D504" s="171"/>
      <c r="E504" s="55" t="s">
        <v>26938</v>
      </c>
      <c r="F504" s="55" t="s">
        <v>91</v>
      </c>
      <c r="G504" s="55" t="s">
        <v>91</v>
      </c>
      <c r="H504" s="177"/>
      <c r="I504" s="177"/>
      <c r="J504" s="177"/>
      <c r="M504" s="55" t="s">
        <v>26938</v>
      </c>
      <c r="N504" s="55" t="s">
        <v>91</v>
      </c>
      <c r="O504" s="55" t="s">
        <v>91</v>
      </c>
    </row>
    <row r="505" spans="1:15" s="164" customFormat="1" ht="15">
      <c r="A505" s="166"/>
      <c r="B505" s="167"/>
      <c r="C505" s="4" t="s">
        <v>7</v>
      </c>
      <c r="D505" s="171"/>
      <c r="E505" s="3" t="s">
        <v>26940</v>
      </c>
      <c r="F505" s="3" t="s">
        <v>6312</v>
      </c>
      <c r="G505" s="3" t="s">
        <v>6726</v>
      </c>
      <c r="H505" s="177"/>
      <c r="I505" s="177"/>
      <c r="J505" s="177"/>
      <c r="M505" s="3" t="s">
        <v>26940</v>
      </c>
      <c r="N505" s="3" t="s">
        <v>6312</v>
      </c>
      <c r="O505" s="3" t="s">
        <v>6726</v>
      </c>
    </row>
    <row r="506" spans="1:15" s="164" customFormat="1" ht="15">
      <c r="A506" s="168"/>
      <c r="B506" s="169"/>
      <c r="C506" s="4" t="s">
        <v>6</v>
      </c>
      <c r="D506" s="172"/>
      <c r="E506" s="2">
        <v>43831</v>
      </c>
      <c r="F506" s="2">
        <v>43831</v>
      </c>
      <c r="G506" s="2">
        <v>43831</v>
      </c>
      <c r="H506" s="177"/>
      <c r="I506" s="177"/>
      <c r="J506" s="177"/>
      <c r="M506" s="2">
        <v>44369</v>
      </c>
      <c r="N506" s="2">
        <v>44369</v>
      </c>
      <c r="O506" s="2">
        <v>44369</v>
      </c>
    </row>
    <row r="507" spans="1:15" s="163" customFormat="1" ht="11.25">
      <c r="A507" s="302"/>
      <c r="B507" s="309"/>
      <c r="C507" s="309"/>
      <c r="D507" s="309"/>
      <c r="E507" s="309"/>
      <c r="F507" s="309"/>
      <c r="G507" s="309"/>
      <c r="H507" s="176"/>
      <c r="I507" s="176"/>
      <c r="J507" s="176"/>
      <c r="M507" s="309"/>
      <c r="N507" s="309"/>
      <c r="O507" s="309"/>
    </row>
    <row r="508" spans="1:15" s="164" customFormat="1" ht="33.75">
      <c r="A508" s="183" t="s">
        <v>8568</v>
      </c>
      <c r="B508" s="184" t="s">
        <v>8569</v>
      </c>
      <c r="C508" s="185">
        <f>MIN(E510:G510)</f>
        <v>6.3717715151653023</v>
      </c>
      <c r="D508" s="186" t="s">
        <v>150</v>
      </c>
      <c r="E508" s="187" t="s">
        <v>8570</v>
      </c>
      <c r="F508" s="187" t="s">
        <v>8572</v>
      </c>
      <c r="G508" s="187" t="s">
        <v>26941</v>
      </c>
      <c r="H508" s="177" t="s">
        <v>170</v>
      </c>
      <c r="I508" s="177"/>
      <c r="J508" s="177"/>
      <c r="M508" s="187" t="s">
        <v>8570</v>
      </c>
      <c r="N508" s="187" t="s">
        <v>8572</v>
      </c>
      <c r="O508" s="187" t="s">
        <v>26941</v>
      </c>
    </row>
    <row r="509" spans="1:15" s="164" customFormat="1" ht="22.5">
      <c r="A509" s="161"/>
      <c r="B509" s="165"/>
      <c r="C509" s="4" t="s">
        <v>272</v>
      </c>
      <c r="D509" s="170"/>
      <c r="E509" s="55" t="s">
        <v>8577</v>
      </c>
      <c r="F509" s="55" t="s">
        <v>8574</v>
      </c>
      <c r="G509" s="55" t="s">
        <v>26944</v>
      </c>
      <c r="H509" s="177" t="s">
        <v>271</v>
      </c>
      <c r="I509" s="177" t="s">
        <v>268</v>
      </c>
      <c r="J509" s="177" t="s">
        <v>269</v>
      </c>
      <c r="M509" s="55" t="s">
        <v>8577</v>
      </c>
      <c r="N509" s="55" t="s">
        <v>8574</v>
      </c>
      <c r="O509" s="55" t="s">
        <v>26944</v>
      </c>
    </row>
    <row r="510" spans="1:15" s="164" customFormat="1" ht="15">
      <c r="A510" s="166"/>
      <c r="B510" s="167"/>
      <c r="C510" s="4" t="s">
        <v>9</v>
      </c>
      <c r="D510" s="349"/>
      <c r="E510" s="74">
        <f>M510/'Reajustamento INCC'!$C$87</f>
        <v>6.3717715151653023</v>
      </c>
      <c r="F510" s="74">
        <f>N510/'Reajustamento INCC'!$C$87</f>
        <v>8.8683865616507624</v>
      </c>
      <c r="G510" s="74">
        <f>O510/'Reajustamento INCC'!$C$103</f>
        <v>6.9305151983175053</v>
      </c>
      <c r="H510" s="177">
        <f>MEDIAN(E510:G510)</f>
        <v>6.9305151983175053</v>
      </c>
      <c r="I510" s="177">
        <f>H510*1.3</f>
        <v>9.0096697578127571</v>
      </c>
      <c r="J510" s="177">
        <f>H510*0.7</f>
        <v>4.8513606388222534</v>
      </c>
      <c r="M510" s="74">
        <f>193.99/(1.5*20)</f>
        <v>6.4663333333333339</v>
      </c>
      <c r="N510" s="74">
        <f>270/(1.5*20)</f>
        <v>9</v>
      </c>
      <c r="O510" s="74">
        <f>247.19/(1.5*20)</f>
        <v>8.2396666666666665</v>
      </c>
    </row>
    <row r="511" spans="1:15" s="164" customFormat="1" ht="15">
      <c r="A511" s="166"/>
      <c r="B511" s="167"/>
      <c r="C511" s="4" t="s">
        <v>8</v>
      </c>
      <c r="D511" s="171"/>
      <c r="E511" s="55" t="s">
        <v>8576</v>
      </c>
      <c r="F511" s="55" t="s">
        <v>8575</v>
      </c>
      <c r="G511" s="55" t="s">
        <v>26943</v>
      </c>
      <c r="H511" s="177"/>
      <c r="I511" s="177"/>
      <c r="J511" s="177"/>
      <c r="M511" s="55" t="s">
        <v>8576</v>
      </c>
      <c r="N511" s="55" t="s">
        <v>8575</v>
      </c>
      <c r="O511" s="55" t="s">
        <v>26943</v>
      </c>
    </row>
    <row r="512" spans="1:15" s="164" customFormat="1" ht="15">
      <c r="A512" s="166"/>
      <c r="B512" s="167"/>
      <c r="C512" s="4" t="s">
        <v>7</v>
      </c>
      <c r="D512" s="171"/>
      <c r="E512" s="3" t="s">
        <v>8571</v>
      </c>
      <c r="F512" s="3" t="s">
        <v>8573</v>
      </c>
      <c r="G512" s="3" t="s">
        <v>26942</v>
      </c>
      <c r="H512" s="177"/>
      <c r="I512" s="177"/>
      <c r="J512" s="177"/>
      <c r="M512" s="3" t="s">
        <v>8571</v>
      </c>
      <c r="N512" s="3" t="s">
        <v>8573</v>
      </c>
      <c r="O512" s="3" t="s">
        <v>26942</v>
      </c>
    </row>
    <row r="513" spans="1:15" s="164" customFormat="1" ht="15">
      <c r="A513" s="168"/>
      <c r="B513" s="169"/>
      <c r="C513" s="4" t="s">
        <v>6</v>
      </c>
      <c r="D513" s="172"/>
      <c r="E513" s="2">
        <v>43831</v>
      </c>
      <c r="F513" s="2">
        <v>43831</v>
      </c>
      <c r="G513" s="2">
        <v>43831</v>
      </c>
      <c r="H513" s="177"/>
      <c r="I513" s="177"/>
      <c r="J513" s="177"/>
      <c r="M513" s="2">
        <v>43957</v>
      </c>
      <c r="N513" s="2">
        <v>43957</v>
      </c>
      <c r="O513" s="2">
        <v>44369</v>
      </c>
    </row>
    <row r="514" spans="1:15" s="163" customFormat="1" ht="11.25">
      <c r="A514" s="302"/>
      <c r="B514" s="309"/>
      <c r="C514" s="309"/>
      <c r="D514" s="309"/>
      <c r="E514" s="309"/>
      <c r="F514" s="309"/>
      <c r="G514" s="309"/>
      <c r="H514" s="176"/>
      <c r="I514" s="176"/>
      <c r="J514" s="176"/>
      <c r="M514" s="309"/>
      <c r="N514" s="309"/>
      <c r="O514" s="309"/>
    </row>
    <row r="515" spans="1:15" s="164" customFormat="1" ht="56.25">
      <c r="A515" s="183" t="s">
        <v>13170</v>
      </c>
      <c r="B515" s="184" t="s">
        <v>13219</v>
      </c>
      <c r="C515" s="185">
        <f>MIN(E517:G517)</f>
        <v>6104.1334624975279</v>
      </c>
      <c r="D515" s="186" t="s">
        <v>5</v>
      </c>
      <c r="E515" s="705" t="s">
        <v>13171</v>
      </c>
      <c r="F515" s="706"/>
      <c r="G515" s="707"/>
      <c r="H515" s="177" t="s">
        <v>170</v>
      </c>
      <c r="I515" s="177"/>
      <c r="J515" s="177"/>
      <c r="M515" s="705" t="s">
        <v>13171</v>
      </c>
      <c r="N515" s="706"/>
      <c r="O515" s="707"/>
    </row>
    <row r="516" spans="1:15" s="164" customFormat="1" ht="14.45" customHeight="1">
      <c r="A516" s="161"/>
      <c r="B516" s="165"/>
      <c r="C516" s="4" t="s">
        <v>272</v>
      </c>
      <c r="D516" s="170"/>
      <c r="E516" s="708" t="s">
        <v>13172</v>
      </c>
      <c r="F516" s="709"/>
      <c r="G516" s="710"/>
      <c r="H516" s="177" t="s">
        <v>271</v>
      </c>
      <c r="I516" s="177" t="s">
        <v>268</v>
      </c>
      <c r="J516" s="177" t="s">
        <v>269</v>
      </c>
      <c r="M516" s="708" t="s">
        <v>13172</v>
      </c>
      <c r="N516" s="709"/>
      <c r="O516" s="710"/>
    </row>
    <row r="517" spans="1:15" s="164" customFormat="1" ht="15">
      <c r="A517" s="371" t="s">
        <v>8063</v>
      </c>
      <c r="B517" s="167"/>
      <c r="C517" s="4" t="s">
        <v>9</v>
      </c>
      <c r="D517" s="349"/>
      <c r="E517" s="711">
        <f>M517/'Reajustamento INCC'!$C$87</f>
        <v>6104.1334624975279</v>
      </c>
      <c r="F517" s="712"/>
      <c r="G517" s="713"/>
      <c r="H517" s="177">
        <f>MEDIAN(E517:G517)</f>
        <v>6104.1334624975279</v>
      </c>
      <c r="I517" s="177">
        <f>H517*1.3</f>
        <v>7935.3735012467869</v>
      </c>
      <c r="J517" s="177">
        <f>H517*0.7</f>
        <v>4272.893423748269</v>
      </c>
      <c r="M517" s="711">
        <f>446020.08/72</f>
        <v>6194.7233333333334</v>
      </c>
      <c r="N517" s="712"/>
      <c r="O517" s="713"/>
    </row>
    <row r="518" spans="1:15" s="164" customFormat="1" ht="22.15" customHeight="1">
      <c r="A518" s="720" t="s">
        <v>13451</v>
      </c>
      <c r="B518" s="721"/>
      <c r="C518" s="4" t="s">
        <v>13174</v>
      </c>
      <c r="D518" s="171"/>
      <c r="E518" s="708" t="s">
        <v>13175</v>
      </c>
      <c r="F518" s="709"/>
      <c r="G518" s="710"/>
      <c r="H518" s="177"/>
      <c r="I518" s="177"/>
      <c r="J518" s="177"/>
      <c r="M518" s="708" t="s">
        <v>13175</v>
      </c>
      <c r="N518" s="709"/>
      <c r="O518" s="710"/>
    </row>
    <row r="519" spans="1:15" s="164" customFormat="1" ht="15">
      <c r="A519" s="371"/>
      <c r="B519" s="481"/>
      <c r="C519" s="4" t="s">
        <v>7</v>
      </c>
      <c r="D519" s="171"/>
      <c r="E519" s="714" t="s">
        <v>13173</v>
      </c>
      <c r="F519" s="715"/>
      <c r="G519" s="716"/>
      <c r="H519" s="177"/>
      <c r="I519" s="177"/>
      <c r="J519" s="177"/>
      <c r="M519" s="714" t="s">
        <v>13173</v>
      </c>
      <c r="N519" s="715"/>
      <c r="O519" s="716"/>
    </row>
    <row r="520" spans="1:15" s="164" customFormat="1" ht="15">
      <c r="A520" s="168"/>
      <c r="B520" s="169"/>
      <c r="C520" s="4" t="s">
        <v>6</v>
      </c>
      <c r="D520" s="172"/>
      <c r="E520" s="717">
        <v>43831</v>
      </c>
      <c r="F520" s="718"/>
      <c r="G520" s="719"/>
      <c r="H520" s="177"/>
      <c r="I520" s="177"/>
      <c r="J520" s="177"/>
      <c r="M520" s="717">
        <v>43958</v>
      </c>
      <c r="N520" s="718"/>
      <c r="O520" s="719"/>
    </row>
    <row r="521" spans="1:15" s="163" customFormat="1" ht="11.25">
      <c r="A521" s="302"/>
      <c r="B521" s="309"/>
      <c r="C521" s="309"/>
      <c r="D521" s="309"/>
      <c r="E521" s="309"/>
      <c r="F521" s="309"/>
      <c r="G521" s="309"/>
      <c r="H521" s="176"/>
      <c r="I521" s="176"/>
      <c r="J521" s="176"/>
      <c r="M521" s="309"/>
      <c r="N521" s="309"/>
      <c r="O521" s="309"/>
    </row>
    <row r="522" spans="1:15" s="164" customFormat="1" ht="11.25">
      <c r="A522" s="183" t="s">
        <v>13190</v>
      </c>
      <c r="B522" s="184" t="s">
        <v>13191</v>
      </c>
      <c r="C522" s="185">
        <f>MIN(E524:G524)</f>
        <v>7.5381285774031479</v>
      </c>
      <c r="D522" s="186" t="s">
        <v>5</v>
      </c>
      <c r="E522" s="187" t="s">
        <v>13192</v>
      </c>
      <c r="F522" s="187" t="s">
        <v>13196</v>
      </c>
      <c r="G522" s="187" t="s">
        <v>13200</v>
      </c>
      <c r="H522" s="177" t="s">
        <v>170</v>
      </c>
      <c r="I522" s="177"/>
      <c r="J522" s="177"/>
      <c r="M522" s="187" t="s">
        <v>13192</v>
      </c>
      <c r="N522" s="187" t="s">
        <v>13196</v>
      </c>
      <c r="O522" s="187" t="s">
        <v>13200</v>
      </c>
    </row>
    <row r="523" spans="1:15" s="164" customFormat="1" ht="22.5">
      <c r="A523" s="161"/>
      <c r="B523" s="165"/>
      <c r="C523" s="4" t="s">
        <v>272</v>
      </c>
      <c r="D523" s="170"/>
      <c r="E523" s="55" t="s">
        <v>13193</v>
      </c>
      <c r="F523" s="55" t="s">
        <v>13197</v>
      </c>
      <c r="G523" s="55" t="s">
        <v>13201</v>
      </c>
      <c r="H523" s="177" t="s">
        <v>271</v>
      </c>
      <c r="I523" s="177" t="s">
        <v>268</v>
      </c>
      <c r="J523" s="177" t="s">
        <v>269</v>
      </c>
      <c r="M523" s="55" t="s">
        <v>13193</v>
      </c>
      <c r="N523" s="55" t="s">
        <v>13197</v>
      </c>
      <c r="O523" s="55" t="s">
        <v>13201</v>
      </c>
    </row>
    <row r="524" spans="1:15" s="164" customFormat="1" ht="15">
      <c r="A524" s="371"/>
      <c r="B524" s="167"/>
      <c r="C524" s="4" t="s">
        <v>9</v>
      </c>
      <c r="D524" s="349"/>
      <c r="E524" s="74">
        <f>M524/'Reajustamento INCC'!$C$87</f>
        <v>9.4596123324274792</v>
      </c>
      <c r="F524" s="74">
        <f>N524/'Reajustamento INCC'!$C$87</f>
        <v>7.5381285774031479</v>
      </c>
      <c r="G524" s="74">
        <f>O524/'Reajustamento INCC'!$C$87</f>
        <v>10.81943160521393</v>
      </c>
      <c r="H524" s="177">
        <f>MEDIAN(E524:G524)</f>
        <v>9.4596123324274792</v>
      </c>
      <c r="I524" s="177">
        <f>H524*1.3</f>
        <v>12.297496032155724</v>
      </c>
      <c r="J524" s="177">
        <f>H524*0.7</f>
        <v>6.6217286326992353</v>
      </c>
      <c r="M524" s="74">
        <v>9.6</v>
      </c>
      <c r="N524" s="74">
        <v>7.65</v>
      </c>
      <c r="O524" s="74">
        <v>10.98</v>
      </c>
    </row>
    <row r="525" spans="1:15" s="164" customFormat="1" ht="15">
      <c r="A525" s="371"/>
      <c r="B525" s="167"/>
      <c r="C525" s="4" t="s">
        <v>13174</v>
      </c>
      <c r="D525" s="171"/>
      <c r="E525" s="55" t="s">
        <v>13194</v>
      </c>
      <c r="F525" s="55" t="s">
        <v>13198</v>
      </c>
      <c r="G525" s="55" t="s">
        <v>13202</v>
      </c>
      <c r="H525" s="177"/>
      <c r="I525" s="177"/>
      <c r="J525" s="177"/>
      <c r="M525" s="55" t="s">
        <v>13194</v>
      </c>
      <c r="N525" s="55" t="s">
        <v>13198</v>
      </c>
      <c r="O525" s="55" t="s">
        <v>13202</v>
      </c>
    </row>
    <row r="526" spans="1:15" s="164" customFormat="1" ht="15">
      <c r="A526" s="480"/>
      <c r="B526" s="481"/>
      <c r="C526" s="4" t="s">
        <v>7</v>
      </c>
      <c r="D526" s="171"/>
      <c r="E526" s="3" t="s">
        <v>13195</v>
      </c>
      <c r="F526" s="3" t="s">
        <v>13199</v>
      </c>
      <c r="G526" s="3" t="s">
        <v>13203</v>
      </c>
      <c r="H526" s="177"/>
      <c r="I526" s="177"/>
      <c r="J526" s="177"/>
      <c r="M526" s="3" t="s">
        <v>13195</v>
      </c>
      <c r="N526" s="3" t="s">
        <v>13199</v>
      </c>
      <c r="O526" s="3" t="s">
        <v>13203</v>
      </c>
    </row>
    <row r="527" spans="1:15" s="164" customFormat="1" ht="15">
      <c r="A527" s="168"/>
      <c r="B527" s="169"/>
      <c r="C527" s="4" t="s">
        <v>6</v>
      </c>
      <c r="D527" s="172"/>
      <c r="E527" s="2">
        <v>43831</v>
      </c>
      <c r="F527" s="2">
        <v>43831</v>
      </c>
      <c r="G527" s="2">
        <v>43831</v>
      </c>
      <c r="H527" s="177"/>
      <c r="I527" s="177"/>
      <c r="J527" s="177"/>
      <c r="M527" s="2">
        <v>43956</v>
      </c>
      <c r="N527" s="2">
        <v>43956</v>
      </c>
      <c r="O527" s="2">
        <v>43956</v>
      </c>
    </row>
    <row r="528" spans="1:15" s="163" customFormat="1" ht="11.25">
      <c r="A528" s="302"/>
      <c r="B528" s="309"/>
      <c r="C528" s="309"/>
      <c r="D528" s="309"/>
      <c r="E528" s="309"/>
      <c r="F528" s="309"/>
      <c r="G528" s="309"/>
      <c r="H528" s="176"/>
      <c r="I528" s="176"/>
      <c r="J528" s="176"/>
    </row>
    <row r="529" spans="1:10" ht="15">
      <c r="A529" s="75"/>
      <c r="B529" s="75"/>
      <c r="C529" s="75"/>
      <c r="D529" s="75"/>
      <c r="E529" s="75"/>
      <c r="F529" s="75"/>
      <c r="G529" s="75"/>
    </row>
    <row r="530" spans="1:10" s="54" customFormat="1" ht="58.5" customHeight="1">
      <c r="A530" s="671" t="str">
        <f>'036-20-CAPA'!B40</f>
        <v>ENG. GILMAR DA MOTA FERNANDES
CREA 23785/D-DF
ART: 0720200027743</v>
      </c>
      <c r="B530" s="671"/>
      <c r="C530" s="671"/>
      <c r="D530" s="671"/>
      <c r="E530" s="671"/>
      <c r="F530" s="671"/>
      <c r="G530" s="671"/>
      <c r="H530" s="180"/>
      <c r="I530" s="180"/>
      <c r="J530" s="180"/>
    </row>
  </sheetData>
  <autoFilter ref="A9:G530"/>
  <mergeCells count="313">
    <mergeCell ref="M515:O515"/>
    <mergeCell ref="M516:O516"/>
    <mergeCell ref="M517:O517"/>
    <mergeCell ref="M518:O518"/>
    <mergeCell ref="M519:O519"/>
    <mergeCell ref="M520:O520"/>
    <mergeCell ref="M9:O9"/>
    <mergeCell ref="M462:O462"/>
    <mergeCell ref="M463:O463"/>
    <mergeCell ref="M464:O464"/>
    <mergeCell ref="M466:O466"/>
    <mergeCell ref="M467:O467"/>
    <mergeCell ref="M468:O468"/>
    <mergeCell ref="M469:O469"/>
    <mergeCell ref="M470:O470"/>
    <mergeCell ref="M471:O471"/>
    <mergeCell ref="M452:O452"/>
    <mergeCell ref="M453:O453"/>
    <mergeCell ref="M454:O454"/>
    <mergeCell ref="M455:O455"/>
    <mergeCell ref="M456:O456"/>
    <mergeCell ref="M457:O457"/>
    <mergeCell ref="M459:O459"/>
    <mergeCell ref="M460:O460"/>
    <mergeCell ref="M461:O461"/>
    <mergeCell ref="M441:O441"/>
    <mergeCell ref="M442:O442"/>
    <mergeCell ref="M443:O443"/>
    <mergeCell ref="M445:O445"/>
    <mergeCell ref="M446:O446"/>
    <mergeCell ref="M447:O447"/>
    <mergeCell ref="M448:O448"/>
    <mergeCell ref="M449:O449"/>
    <mergeCell ref="M450:O450"/>
    <mergeCell ref="M431:O431"/>
    <mergeCell ref="M432:O432"/>
    <mergeCell ref="M433:O433"/>
    <mergeCell ref="M434:O434"/>
    <mergeCell ref="M435:O435"/>
    <mergeCell ref="M436:O436"/>
    <mergeCell ref="M438:O438"/>
    <mergeCell ref="M439:O439"/>
    <mergeCell ref="M440:O440"/>
    <mergeCell ref="M336:O336"/>
    <mergeCell ref="M337:O337"/>
    <mergeCell ref="M338:O338"/>
    <mergeCell ref="M340:O340"/>
    <mergeCell ref="M341:O341"/>
    <mergeCell ref="M342:O342"/>
    <mergeCell ref="M343:O343"/>
    <mergeCell ref="M344:O344"/>
    <mergeCell ref="M345:O345"/>
    <mergeCell ref="M326:O326"/>
    <mergeCell ref="M327:O327"/>
    <mergeCell ref="M328:O328"/>
    <mergeCell ref="M329:O329"/>
    <mergeCell ref="M330:O330"/>
    <mergeCell ref="M331:O331"/>
    <mergeCell ref="M333:O333"/>
    <mergeCell ref="M334:O334"/>
    <mergeCell ref="M335:O335"/>
    <mergeCell ref="M315:O315"/>
    <mergeCell ref="M316:O316"/>
    <mergeCell ref="M317:O317"/>
    <mergeCell ref="M319:O319"/>
    <mergeCell ref="M320:O320"/>
    <mergeCell ref="M321:O321"/>
    <mergeCell ref="M322:O322"/>
    <mergeCell ref="M323:O323"/>
    <mergeCell ref="M324:O324"/>
    <mergeCell ref="M305:O305"/>
    <mergeCell ref="M306:O306"/>
    <mergeCell ref="M307:O307"/>
    <mergeCell ref="M308:O308"/>
    <mergeCell ref="M309:O309"/>
    <mergeCell ref="M310:O310"/>
    <mergeCell ref="M312:O312"/>
    <mergeCell ref="M313:O313"/>
    <mergeCell ref="M314:O314"/>
    <mergeCell ref="M273:O273"/>
    <mergeCell ref="M274:O274"/>
    <mergeCell ref="M275:O275"/>
    <mergeCell ref="M298:O298"/>
    <mergeCell ref="M299:O299"/>
    <mergeCell ref="M300:O300"/>
    <mergeCell ref="M301:O301"/>
    <mergeCell ref="M302:O302"/>
    <mergeCell ref="M303:O303"/>
    <mergeCell ref="M263:O263"/>
    <mergeCell ref="M264:O264"/>
    <mergeCell ref="M265:O265"/>
    <mergeCell ref="M266:O266"/>
    <mergeCell ref="M267:O267"/>
    <mergeCell ref="M268:O268"/>
    <mergeCell ref="M270:O270"/>
    <mergeCell ref="M271:O271"/>
    <mergeCell ref="M272:O272"/>
    <mergeCell ref="M252:O252"/>
    <mergeCell ref="M253:O253"/>
    <mergeCell ref="M254:O254"/>
    <mergeCell ref="M256:O256"/>
    <mergeCell ref="M257:O257"/>
    <mergeCell ref="M258:O258"/>
    <mergeCell ref="M259:O259"/>
    <mergeCell ref="M260:O260"/>
    <mergeCell ref="M261:O261"/>
    <mergeCell ref="M242:O242"/>
    <mergeCell ref="M243:O243"/>
    <mergeCell ref="M244:O244"/>
    <mergeCell ref="M245:O245"/>
    <mergeCell ref="M246:O246"/>
    <mergeCell ref="M247:O247"/>
    <mergeCell ref="M249:O249"/>
    <mergeCell ref="M250:O250"/>
    <mergeCell ref="M251:O251"/>
    <mergeCell ref="M210:O210"/>
    <mergeCell ref="M211:O211"/>
    <mergeCell ref="M212:O212"/>
    <mergeCell ref="M214:O214"/>
    <mergeCell ref="M215:O215"/>
    <mergeCell ref="M216:O216"/>
    <mergeCell ref="M217:O217"/>
    <mergeCell ref="M218:O218"/>
    <mergeCell ref="M219:O219"/>
    <mergeCell ref="M200:O200"/>
    <mergeCell ref="M201:O201"/>
    <mergeCell ref="M202:O202"/>
    <mergeCell ref="M203:O203"/>
    <mergeCell ref="M204:O204"/>
    <mergeCell ref="M205:O205"/>
    <mergeCell ref="M207:O207"/>
    <mergeCell ref="M208:O208"/>
    <mergeCell ref="M209:O209"/>
    <mergeCell ref="M175:O175"/>
    <mergeCell ref="M176:O176"/>
    <mergeCell ref="M177:O177"/>
    <mergeCell ref="M193:O193"/>
    <mergeCell ref="M194:O194"/>
    <mergeCell ref="M195:O195"/>
    <mergeCell ref="M196:O196"/>
    <mergeCell ref="M197:O197"/>
    <mergeCell ref="M198:O198"/>
    <mergeCell ref="M109:O109"/>
    <mergeCell ref="M110:O110"/>
    <mergeCell ref="M111:O111"/>
    <mergeCell ref="M112:O112"/>
    <mergeCell ref="M113:O113"/>
    <mergeCell ref="M114:O114"/>
    <mergeCell ref="M172:O172"/>
    <mergeCell ref="M173:O173"/>
    <mergeCell ref="M174:O174"/>
    <mergeCell ref="E114:G114"/>
    <mergeCell ref="A203:B203"/>
    <mergeCell ref="E462:G462"/>
    <mergeCell ref="E463:G463"/>
    <mergeCell ref="E464:G464"/>
    <mergeCell ref="E452:G452"/>
    <mergeCell ref="E453:G453"/>
    <mergeCell ref="E454:G454"/>
    <mergeCell ref="E455:G455"/>
    <mergeCell ref="E456:G456"/>
    <mergeCell ref="E457:G457"/>
    <mergeCell ref="E459:G459"/>
    <mergeCell ref="E460:G460"/>
    <mergeCell ref="E461:G461"/>
    <mergeCell ref="E267:G267"/>
    <mergeCell ref="E274:G274"/>
    <mergeCell ref="E308:G308"/>
    <mergeCell ref="E309:G309"/>
    <mergeCell ref="E333:G333"/>
    <mergeCell ref="E268:G268"/>
    <mergeCell ref="E270:G270"/>
    <mergeCell ref="E271:G271"/>
    <mergeCell ref="E272:G272"/>
    <mergeCell ref="E273:G273"/>
    <mergeCell ref="A1:G1"/>
    <mergeCell ref="A2:G2"/>
    <mergeCell ref="A3:G3"/>
    <mergeCell ref="A4:G4"/>
    <mergeCell ref="A5:G5"/>
    <mergeCell ref="E257:G257"/>
    <mergeCell ref="E258:G258"/>
    <mergeCell ref="E259:G259"/>
    <mergeCell ref="E193:G193"/>
    <mergeCell ref="E194:G194"/>
    <mergeCell ref="B6:E6"/>
    <mergeCell ref="B7:E7"/>
    <mergeCell ref="E195:G195"/>
    <mergeCell ref="E196:G196"/>
    <mergeCell ref="E197:G197"/>
    <mergeCell ref="E198:G198"/>
    <mergeCell ref="E109:G109"/>
    <mergeCell ref="E210:G210"/>
    <mergeCell ref="E110:G110"/>
    <mergeCell ref="E111:G111"/>
    <mergeCell ref="E112:G112"/>
    <mergeCell ref="E113:G113"/>
    <mergeCell ref="E200:G200"/>
    <mergeCell ref="E201:G201"/>
    <mergeCell ref="A530:G530"/>
    <mergeCell ref="E242:G242"/>
    <mergeCell ref="E243:G243"/>
    <mergeCell ref="E244:G244"/>
    <mergeCell ref="E245:G245"/>
    <mergeCell ref="E246:G246"/>
    <mergeCell ref="E247:G247"/>
    <mergeCell ref="E249:G249"/>
    <mergeCell ref="E250:G250"/>
    <mergeCell ref="E251:G251"/>
    <mergeCell ref="E252:G252"/>
    <mergeCell ref="E253:G253"/>
    <mergeCell ref="E254:G254"/>
    <mergeCell ref="E256:G256"/>
    <mergeCell ref="E298:G298"/>
    <mergeCell ref="E299:G299"/>
    <mergeCell ref="E260:G260"/>
    <mergeCell ref="E261:G261"/>
    <mergeCell ref="E263:G263"/>
    <mergeCell ref="E264:G264"/>
    <mergeCell ref="E265:G265"/>
    <mergeCell ref="E266:G266"/>
    <mergeCell ref="E345:G345"/>
    <mergeCell ref="E341:G341"/>
    <mergeCell ref="E202:G202"/>
    <mergeCell ref="E203:G203"/>
    <mergeCell ref="E204:G204"/>
    <mergeCell ref="E205:G205"/>
    <mergeCell ref="E207:G207"/>
    <mergeCell ref="E208:G208"/>
    <mergeCell ref="E209:G209"/>
    <mergeCell ref="A210:B210"/>
    <mergeCell ref="E214:G214"/>
    <mergeCell ref="E446:G446"/>
    <mergeCell ref="E447:G447"/>
    <mergeCell ref="E334:G334"/>
    <mergeCell ref="E335:G335"/>
    <mergeCell ref="E329:G329"/>
    <mergeCell ref="E330:G330"/>
    <mergeCell ref="E431:G431"/>
    <mergeCell ref="E219:G219"/>
    <mergeCell ref="E324:G324"/>
    <mergeCell ref="E326:G326"/>
    <mergeCell ref="E303:G303"/>
    <mergeCell ref="E305:G305"/>
    <mergeCell ref="E306:G306"/>
    <mergeCell ref="E307:G307"/>
    <mergeCell ref="E322:G322"/>
    <mergeCell ref="E323:G323"/>
    <mergeCell ref="E300:G300"/>
    <mergeCell ref="E301:G301"/>
    <mergeCell ref="E302:G302"/>
    <mergeCell ref="E316:G316"/>
    <mergeCell ref="E317:G317"/>
    <mergeCell ref="E319:G319"/>
    <mergeCell ref="E320:G320"/>
    <mergeCell ref="E321:G321"/>
    <mergeCell ref="E435:G435"/>
    <mergeCell ref="E436:G436"/>
    <mergeCell ref="E438:G438"/>
    <mergeCell ref="E439:G439"/>
    <mergeCell ref="E440:G440"/>
    <mergeCell ref="E441:G441"/>
    <mergeCell ref="E442:G442"/>
    <mergeCell ref="E443:G443"/>
    <mergeCell ref="E445:G445"/>
    <mergeCell ref="E519:G519"/>
    <mergeCell ref="E520:G520"/>
    <mergeCell ref="E466:G466"/>
    <mergeCell ref="E467:G467"/>
    <mergeCell ref="E468:G468"/>
    <mergeCell ref="E469:G469"/>
    <mergeCell ref="E470:G470"/>
    <mergeCell ref="E471:G471"/>
    <mergeCell ref="A217:B217"/>
    <mergeCell ref="E450:G450"/>
    <mergeCell ref="E310:G310"/>
    <mergeCell ref="E312:G312"/>
    <mergeCell ref="E313:G313"/>
    <mergeCell ref="E314:G314"/>
    <mergeCell ref="E315:G315"/>
    <mergeCell ref="E342:G342"/>
    <mergeCell ref="E343:G343"/>
    <mergeCell ref="E336:G336"/>
    <mergeCell ref="E337:G337"/>
    <mergeCell ref="E338:G338"/>
    <mergeCell ref="E340:G340"/>
    <mergeCell ref="E331:G331"/>
    <mergeCell ref="E275:G275"/>
    <mergeCell ref="E432:G432"/>
    <mergeCell ref="E172:G172"/>
    <mergeCell ref="E173:G173"/>
    <mergeCell ref="E174:G174"/>
    <mergeCell ref="E175:G175"/>
    <mergeCell ref="E176:G176"/>
    <mergeCell ref="E177:G177"/>
    <mergeCell ref="A518:B518"/>
    <mergeCell ref="E515:G515"/>
    <mergeCell ref="E516:G516"/>
    <mergeCell ref="E517:G517"/>
    <mergeCell ref="E518:G518"/>
    <mergeCell ref="E211:G211"/>
    <mergeCell ref="E212:G212"/>
    <mergeCell ref="E433:G433"/>
    <mergeCell ref="E434:G434"/>
    <mergeCell ref="E327:G327"/>
    <mergeCell ref="E328:G328"/>
    <mergeCell ref="E344:G344"/>
    <mergeCell ref="E215:G215"/>
    <mergeCell ref="E216:G216"/>
    <mergeCell ref="E217:G217"/>
    <mergeCell ref="E218:G218"/>
    <mergeCell ref="E448:G448"/>
    <mergeCell ref="E449:G449"/>
  </mergeCells>
  <hyperlinks>
    <hyperlink ref="E47" r:id="rId1"/>
    <hyperlink ref="F47" r:id="rId2"/>
    <hyperlink ref="G47" r:id="rId3"/>
    <hyperlink ref="E68" r:id="rId4"/>
    <hyperlink ref="F68" r:id="rId5"/>
    <hyperlink ref="G68" r:id="rId6"/>
    <hyperlink ref="E75" r:id="rId7"/>
    <hyperlink ref="F75" r:id="rId8"/>
    <hyperlink ref="G75" r:id="rId9"/>
    <hyperlink ref="E82" r:id="rId10"/>
    <hyperlink ref="F82" r:id="rId11"/>
    <hyperlink ref="E89" r:id="rId12"/>
    <hyperlink ref="G89" r:id="rId13"/>
    <hyperlink ref="G33" r:id="rId14"/>
    <hyperlink ref="G26" r:id="rId15"/>
    <hyperlink ref="E33" r:id="rId16"/>
    <hyperlink ref="F89" r:id="rId17"/>
    <hyperlink ref="E96" r:id="rId18"/>
    <hyperlink ref="F96" r:id="rId19"/>
    <hyperlink ref="F285" r:id="rId20"/>
    <hyperlink ref="G292" r:id="rId21"/>
    <hyperlink ref="G425" r:id="rId22"/>
    <hyperlink ref="F180" r:id="rId23"/>
    <hyperlink ref="E474" r:id="rId24"/>
    <hyperlink ref="G481" r:id="rId25"/>
    <hyperlink ref="E495" r:id="rId26"/>
    <hyperlink ref="E488" r:id="rId27"/>
    <hyperlink ref="F509" r:id="rId28"/>
    <hyperlink ref="E509" r:id="rId29"/>
    <hyperlink ref="F523" r:id="rId30"/>
    <hyperlink ref="G523" r:id="rId31"/>
    <hyperlink ref="F222" r:id="rId32"/>
    <hyperlink ref="G222" r:id="rId33"/>
    <hyperlink ref="F117" r:id="rId34"/>
    <hyperlink ref="M47" r:id="rId35"/>
    <hyperlink ref="N47" r:id="rId36"/>
    <hyperlink ref="O47" r:id="rId37"/>
    <hyperlink ref="M68" r:id="rId38"/>
    <hyperlink ref="N68" r:id="rId39"/>
    <hyperlink ref="O68" r:id="rId40"/>
    <hyperlink ref="M75" r:id="rId41"/>
    <hyperlink ref="N75" r:id="rId42"/>
    <hyperlink ref="O75" r:id="rId43"/>
    <hyperlink ref="M82" r:id="rId44"/>
    <hyperlink ref="N82" r:id="rId45"/>
    <hyperlink ref="M89" r:id="rId46"/>
    <hyperlink ref="O89" r:id="rId47"/>
    <hyperlink ref="O33" r:id="rId48"/>
    <hyperlink ref="O26" r:id="rId49"/>
    <hyperlink ref="M33" r:id="rId50"/>
    <hyperlink ref="N89" r:id="rId51"/>
    <hyperlink ref="M96" r:id="rId52"/>
    <hyperlink ref="N96" r:id="rId53"/>
    <hyperlink ref="N285" r:id="rId54"/>
    <hyperlink ref="O292" r:id="rId55"/>
    <hyperlink ref="O425" r:id="rId56"/>
    <hyperlink ref="N180" r:id="rId57"/>
    <hyperlink ref="M474" r:id="rId58"/>
    <hyperlink ref="O481" r:id="rId59"/>
    <hyperlink ref="M495" r:id="rId60"/>
    <hyperlink ref="M488" r:id="rId61"/>
    <hyperlink ref="N509" r:id="rId62"/>
    <hyperlink ref="M509" r:id="rId63"/>
    <hyperlink ref="N523" r:id="rId64"/>
    <hyperlink ref="O523" r:id="rId65"/>
    <hyperlink ref="N222" r:id="rId66"/>
    <hyperlink ref="N229" r:id="rId67"/>
    <hyperlink ref="N236" r:id="rId68"/>
    <hyperlink ref="O229" r:id="rId69"/>
    <hyperlink ref="O222" r:id="rId70"/>
    <hyperlink ref="O236" r:id="rId71"/>
    <hyperlink ref="N117" r:id="rId72"/>
    <hyperlink ref="G103" r:id="rId73"/>
    <hyperlink ref="O103" r:id="rId74"/>
    <hyperlink ref="F229" r:id="rId75"/>
    <hyperlink ref="G229" r:id="rId76"/>
    <hyperlink ref="F236" r:id="rId77"/>
    <hyperlink ref="G236" r:id="rId78"/>
    <hyperlink ref="G502" r:id="rId79"/>
    <hyperlink ref="O502" r:id="rId80"/>
    <hyperlink ref="E502" r:id="rId81"/>
    <hyperlink ref="M502" r:id="rId82"/>
    <hyperlink ref="F502" r:id="rId83"/>
    <hyperlink ref="N502" r:id="rId84"/>
    <hyperlink ref="G509" r:id="rId85"/>
    <hyperlink ref="O509" r:id="rId86"/>
    <hyperlink ref="O474" r:id="rId87"/>
    <hyperlink ref="G474" r:id="rId88"/>
    <hyperlink ref="E425" r:id="rId89"/>
    <hyperlink ref="M425" r:id="rId90"/>
  </hyperlinks>
  <printOptions horizontalCentered="1"/>
  <pageMargins left="0.78740157480314965" right="0.78740157480314965" top="0.39370078740157483" bottom="0.39370078740157483" header="0.11811023622047245" footer="0.11811023622047245"/>
  <pageSetup paperSize="9" scale="74" orientation="portrait" r:id="rId91"/>
  <headerFooter>
    <oddHeader>&amp;C&amp;F</oddHeader>
    <oddFooter>Página &amp;P de &amp;N</oddFooter>
  </headerFooter>
  <drawing r:id="rId92"/>
  <legacyDrawing r:id="rId93"/>
</worksheet>
</file>

<file path=xl/worksheets/sheet9.xml><?xml version="1.0" encoding="utf-8"?>
<worksheet xmlns="http://schemas.openxmlformats.org/spreadsheetml/2006/main" xmlns:r="http://schemas.openxmlformats.org/officeDocument/2006/relationships">
  <sheetPr>
    <tabColor rgb="FFFF0000"/>
  </sheetPr>
  <dimension ref="A1:IV111"/>
  <sheetViews>
    <sheetView view="pageBreakPreview" zoomScale="110" zoomScaleNormal="100" zoomScaleSheetLayoutView="110" workbookViewId="0">
      <selection activeCell="M33" sqref="M33"/>
    </sheetView>
  </sheetViews>
  <sheetFormatPr defaultRowHeight="15"/>
  <cols>
    <col min="1" max="1" width="10.42578125" style="557" customWidth="1"/>
    <col min="2" max="6" width="20" style="557" customWidth="1"/>
    <col min="7" max="7" width="16.42578125" style="557" customWidth="1"/>
    <col min="8" max="8" width="16.85546875" style="557" customWidth="1"/>
    <col min="9" max="255" width="9.140625" style="557"/>
    <col min="256" max="256" width="14.140625" style="557" customWidth="1"/>
    <col min="257" max="258" width="9.140625" style="557"/>
    <col min="259" max="259" width="9.5703125" style="557" customWidth="1"/>
    <col min="260" max="260" width="17" style="557" customWidth="1"/>
    <col min="261" max="261" width="15.85546875" style="557" bestFit="1" customWidth="1"/>
    <col min="262" max="262" width="14.28515625" style="557" bestFit="1" customWidth="1"/>
    <col min="263" max="263" width="14.28515625" style="557" customWidth="1"/>
    <col min="264" max="511" width="9.140625" style="557"/>
    <col min="512" max="512" width="14.140625" style="557" customWidth="1"/>
    <col min="513" max="514" width="9.140625" style="557"/>
    <col min="515" max="515" width="9.5703125" style="557" customWidth="1"/>
    <col min="516" max="516" width="17" style="557" customWidth="1"/>
    <col min="517" max="517" width="15.85546875" style="557" bestFit="1" customWidth="1"/>
    <col min="518" max="518" width="14.28515625" style="557" bestFit="1" customWidth="1"/>
    <col min="519" max="519" width="14.28515625" style="557" customWidth="1"/>
    <col min="520" max="767" width="9.140625" style="557"/>
    <col min="768" max="768" width="14.140625" style="557" customWidth="1"/>
    <col min="769" max="770" width="9.140625" style="557"/>
    <col min="771" max="771" width="9.5703125" style="557" customWidth="1"/>
    <col min="772" max="772" width="17" style="557" customWidth="1"/>
    <col min="773" max="773" width="15.85546875" style="557" bestFit="1" customWidth="1"/>
    <col min="774" max="774" width="14.28515625" style="557" bestFit="1" customWidth="1"/>
    <col min="775" max="775" width="14.28515625" style="557" customWidth="1"/>
    <col min="776" max="1023" width="9.140625" style="557"/>
    <col min="1024" max="1024" width="14.140625" style="557" customWidth="1"/>
    <col min="1025" max="1026" width="9.140625" style="557"/>
    <col min="1027" max="1027" width="9.5703125" style="557" customWidth="1"/>
    <col min="1028" max="1028" width="17" style="557" customWidth="1"/>
    <col min="1029" max="1029" width="15.85546875" style="557" bestFit="1" customWidth="1"/>
    <col min="1030" max="1030" width="14.28515625" style="557" bestFit="1" customWidth="1"/>
    <col min="1031" max="1031" width="14.28515625" style="557" customWidth="1"/>
    <col min="1032" max="1279" width="9.140625" style="557"/>
    <col min="1280" max="1280" width="14.140625" style="557" customWidth="1"/>
    <col min="1281" max="1282" width="9.140625" style="557"/>
    <col min="1283" max="1283" width="9.5703125" style="557" customWidth="1"/>
    <col min="1284" max="1284" width="17" style="557" customWidth="1"/>
    <col min="1285" max="1285" width="15.85546875" style="557" bestFit="1" customWidth="1"/>
    <col min="1286" max="1286" width="14.28515625" style="557" bestFit="1" customWidth="1"/>
    <col min="1287" max="1287" width="14.28515625" style="557" customWidth="1"/>
    <col min="1288" max="1535" width="9.140625" style="557"/>
    <col min="1536" max="1536" width="14.140625" style="557" customWidth="1"/>
    <col min="1537" max="1538" width="9.140625" style="557"/>
    <col min="1539" max="1539" width="9.5703125" style="557" customWidth="1"/>
    <col min="1540" max="1540" width="17" style="557" customWidth="1"/>
    <col min="1541" max="1541" width="15.85546875" style="557" bestFit="1" customWidth="1"/>
    <col min="1542" max="1542" width="14.28515625" style="557" bestFit="1" customWidth="1"/>
    <col min="1543" max="1543" width="14.28515625" style="557" customWidth="1"/>
    <col min="1544" max="1791" width="9.140625" style="557"/>
    <col min="1792" max="1792" width="14.140625" style="557" customWidth="1"/>
    <col min="1793" max="1794" width="9.140625" style="557"/>
    <col min="1795" max="1795" width="9.5703125" style="557" customWidth="1"/>
    <col min="1796" max="1796" width="17" style="557" customWidth="1"/>
    <col min="1797" max="1797" width="15.85546875" style="557" bestFit="1" customWidth="1"/>
    <col min="1798" max="1798" width="14.28515625" style="557" bestFit="1" customWidth="1"/>
    <col min="1799" max="1799" width="14.28515625" style="557" customWidth="1"/>
    <col min="1800" max="2047" width="9.140625" style="557"/>
    <col min="2048" max="2048" width="14.140625" style="557" customWidth="1"/>
    <col min="2049" max="2050" width="9.140625" style="557"/>
    <col min="2051" max="2051" width="9.5703125" style="557" customWidth="1"/>
    <col min="2052" max="2052" width="17" style="557" customWidth="1"/>
    <col min="2053" max="2053" width="15.85546875" style="557" bestFit="1" customWidth="1"/>
    <col min="2054" max="2054" width="14.28515625" style="557" bestFit="1" customWidth="1"/>
    <col min="2055" max="2055" width="14.28515625" style="557" customWidth="1"/>
    <col min="2056" max="2303" width="9.140625" style="557"/>
    <col min="2304" max="2304" width="14.140625" style="557" customWidth="1"/>
    <col min="2305" max="2306" width="9.140625" style="557"/>
    <col min="2307" max="2307" width="9.5703125" style="557" customWidth="1"/>
    <col min="2308" max="2308" width="17" style="557" customWidth="1"/>
    <col min="2309" max="2309" width="15.85546875" style="557" bestFit="1" customWidth="1"/>
    <col min="2310" max="2310" width="14.28515625" style="557" bestFit="1" customWidth="1"/>
    <col min="2311" max="2311" width="14.28515625" style="557" customWidth="1"/>
    <col min="2312" max="2559" width="9.140625" style="557"/>
    <col min="2560" max="2560" width="14.140625" style="557" customWidth="1"/>
    <col min="2561" max="2562" width="9.140625" style="557"/>
    <col min="2563" max="2563" width="9.5703125" style="557" customWidth="1"/>
    <col min="2564" max="2564" width="17" style="557" customWidth="1"/>
    <col min="2565" max="2565" width="15.85546875" style="557" bestFit="1" customWidth="1"/>
    <col min="2566" max="2566" width="14.28515625" style="557" bestFit="1" customWidth="1"/>
    <col min="2567" max="2567" width="14.28515625" style="557" customWidth="1"/>
    <col min="2568" max="2815" width="9.140625" style="557"/>
    <col min="2816" max="2816" width="14.140625" style="557" customWidth="1"/>
    <col min="2817" max="2818" width="9.140625" style="557"/>
    <col min="2819" max="2819" width="9.5703125" style="557" customWidth="1"/>
    <col min="2820" max="2820" width="17" style="557" customWidth="1"/>
    <col min="2821" max="2821" width="15.85546875" style="557" bestFit="1" customWidth="1"/>
    <col min="2822" max="2822" width="14.28515625" style="557" bestFit="1" customWidth="1"/>
    <col min="2823" max="2823" width="14.28515625" style="557" customWidth="1"/>
    <col min="2824" max="3071" width="9.140625" style="557"/>
    <col min="3072" max="3072" width="14.140625" style="557" customWidth="1"/>
    <col min="3073" max="3074" width="9.140625" style="557"/>
    <col min="3075" max="3075" width="9.5703125" style="557" customWidth="1"/>
    <col min="3076" max="3076" width="17" style="557" customWidth="1"/>
    <col min="3077" max="3077" width="15.85546875" style="557" bestFit="1" customWidth="1"/>
    <col min="3078" max="3078" width="14.28515625" style="557" bestFit="1" customWidth="1"/>
    <col min="3079" max="3079" width="14.28515625" style="557" customWidth="1"/>
    <col min="3080" max="3327" width="9.140625" style="557"/>
    <col min="3328" max="3328" width="14.140625" style="557" customWidth="1"/>
    <col min="3329" max="3330" width="9.140625" style="557"/>
    <col min="3331" max="3331" width="9.5703125" style="557" customWidth="1"/>
    <col min="3332" max="3332" width="17" style="557" customWidth="1"/>
    <col min="3333" max="3333" width="15.85546875" style="557" bestFit="1" customWidth="1"/>
    <col min="3334" max="3334" width="14.28515625" style="557" bestFit="1" customWidth="1"/>
    <col min="3335" max="3335" width="14.28515625" style="557" customWidth="1"/>
    <col min="3336" max="3583" width="9.140625" style="557"/>
    <col min="3584" max="3584" width="14.140625" style="557" customWidth="1"/>
    <col min="3585" max="3586" width="9.140625" style="557"/>
    <col min="3587" max="3587" width="9.5703125" style="557" customWidth="1"/>
    <col min="3588" max="3588" width="17" style="557" customWidth="1"/>
    <col min="3589" max="3589" width="15.85546875" style="557" bestFit="1" customWidth="1"/>
    <col min="3590" max="3590" width="14.28515625" style="557" bestFit="1" customWidth="1"/>
    <col min="3591" max="3591" width="14.28515625" style="557" customWidth="1"/>
    <col min="3592" max="3839" width="9.140625" style="557"/>
    <col min="3840" max="3840" width="14.140625" style="557" customWidth="1"/>
    <col min="3841" max="3842" width="9.140625" style="557"/>
    <col min="3843" max="3843" width="9.5703125" style="557" customWidth="1"/>
    <col min="3844" max="3844" width="17" style="557" customWidth="1"/>
    <col min="3845" max="3845" width="15.85546875" style="557" bestFit="1" customWidth="1"/>
    <col min="3846" max="3846" width="14.28515625" style="557" bestFit="1" customWidth="1"/>
    <col min="3847" max="3847" width="14.28515625" style="557" customWidth="1"/>
    <col min="3848" max="4095" width="9.140625" style="557"/>
    <col min="4096" max="4096" width="14.140625" style="557" customWidth="1"/>
    <col min="4097" max="4098" width="9.140625" style="557"/>
    <col min="4099" max="4099" width="9.5703125" style="557" customWidth="1"/>
    <col min="4100" max="4100" width="17" style="557" customWidth="1"/>
    <col min="4101" max="4101" width="15.85546875" style="557" bestFit="1" customWidth="1"/>
    <col min="4102" max="4102" width="14.28515625" style="557" bestFit="1" customWidth="1"/>
    <col min="4103" max="4103" width="14.28515625" style="557" customWidth="1"/>
    <col min="4104" max="4351" width="9.140625" style="557"/>
    <col min="4352" max="4352" width="14.140625" style="557" customWidth="1"/>
    <col min="4353" max="4354" width="9.140625" style="557"/>
    <col min="4355" max="4355" width="9.5703125" style="557" customWidth="1"/>
    <col min="4356" max="4356" width="17" style="557" customWidth="1"/>
    <col min="4357" max="4357" width="15.85546875" style="557" bestFit="1" customWidth="1"/>
    <col min="4358" max="4358" width="14.28515625" style="557" bestFit="1" customWidth="1"/>
    <col min="4359" max="4359" width="14.28515625" style="557" customWidth="1"/>
    <col min="4360" max="4607" width="9.140625" style="557"/>
    <col min="4608" max="4608" width="14.140625" style="557" customWidth="1"/>
    <col min="4609" max="4610" width="9.140625" style="557"/>
    <col min="4611" max="4611" width="9.5703125" style="557" customWidth="1"/>
    <col min="4612" max="4612" width="17" style="557" customWidth="1"/>
    <col min="4613" max="4613" width="15.85546875" style="557" bestFit="1" customWidth="1"/>
    <col min="4614" max="4614" width="14.28515625" style="557" bestFit="1" customWidth="1"/>
    <col min="4615" max="4615" width="14.28515625" style="557" customWidth="1"/>
    <col min="4616" max="4863" width="9.140625" style="557"/>
    <col min="4864" max="4864" width="14.140625" style="557" customWidth="1"/>
    <col min="4865" max="4866" width="9.140625" style="557"/>
    <col min="4867" max="4867" width="9.5703125" style="557" customWidth="1"/>
    <col min="4868" max="4868" width="17" style="557" customWidth="1"/>
    <col min="4869" max="4869" width="15.85546875" style="557" bestFit="1" customWidth="1"/>
    <col min="4870" max="4870" width="14.28515625" style="557" bestFit="1" customWidth="1"/>
    <col min="4871" max="4871" width="14.28515625" style="557" customWidth="1"/>
    <col min="4872" max="5119" width="9.140625" style="557"/>
    <col min="5120" max="5120" width="14.140625" style="557" customWidth="1"/>
    <col min="5121" max="5122" width="9.140625" style="557"/>
    <col min="5123" max="5123" width="9.5703125" style="557" customWidth="1"/>
    <col min="5124" max="5124" width="17" style="557" customWidth="1"/>
    <col min="5125" max="5125" width="15.85546875" style="557" bestFit="1" customWidth="1"/>
    <col min="5126" max="5126" width="14.28515625" style="557" bestFit="1" customWidth="1"/>
    <col min="5127" max="5127" width="14.28515625" style="557" customWidth="1"/>
    <col min="5128" max="5375" width="9.140625" style="557"/>
    <col min="5376" max="5376" width="14.140625" style="557" customWidth="1"/>
    <col min="5377" max="5378" width="9.140625" style="557"/>
    <col min="5379" max="5379" width="9.5703125" style="557" customWidth="1"/>
    <col min="5380" max="5380" width="17" style="557" customWidth="1"/>
    <col min="5381" max="5381" width="15.85546875" style="557" bestFit="1" customWidth="1"/>
    <col min="5382" max="5382" width="14.28515625" style="557" bestFit="1" customWidth="1"/>
    <col min="5383" max="5383" width="14.28515625" style="557" customWidth="1"/>
    <col min="5384" max="5631" width="9.140625" style="557"/>
    <col min="5632" max="5632" width="14.140625" style="557" customWidth="1"/>
    <col min="5633" max="5634" width="9.140625" style="557"/>
    <col min="5635" max="5635" width="9.5703125" style="557" customWidth="1"/>
    <col min="5636" max="5636" width="17" style="557" customWidth="1"/>
    <col min="5637" max="5637" width="15.85546875" style="557" bestFit="1" customWidth="1"/>
    <col min="5638" max="5638" width="14.28515625" style="557" bestFit="1" customWidth="1"/>
    <col min="5639" max="5639" width="14.28515625" style="557" customWidth="1"/>
    <col min="5640" max="5887" width="9.140625" style="557"/>
    <col min="5888" max="5888" width="14.140625" style="557" customWidth="1"/>
    <col min="5889" max="5890" width="9.140625" style="557"/>
    <col min="5891" max="5891" width="9.5703125" style="557" customWidth="1"/>
    <col min="5892" max="5892" width="17" style="557" customWidth="1"/>
    <col min="5893" max="5893" width="15.85546875" style="557" bestFit="1" customWidth="1"/>
    <col min="5894" max="5894" width="14.28515625" style="557" bestFit="1" customWidth="1"/>
    <col min="5895" max="5895" width="14.28515625" style="557" customWidth="1"/>
    <col min="5896" max="6143" width="9.140625" style="557"/>
    <col min="6144" max="6144" width="14.140625" style="557" customWidth="1"/>
    <col min="6145" max="6146" width="9.140625" style="557"/>
    <col min="6147" max="6147" width="9.5703125" style="557" customWidth="1"/>
    <col min="6148" max="6148" width="17" style="557" customWidth="1"/>
    <col min="6149" max="6149" width="15.85546875" style="557" bestFit="1" customWidth="1"/>
    <col min="6150" max="6150" width="14.28515625" style="557" bestFit="1" customWidth="1"/>
    <col min="6151" max="6151" width="14.28515625" style="557" customWidth="1"/>
    <col min="6152" max="6399" width="9.140625" style="557"/>
    <col min="6400" max="6400" width="14.140625" style="557" customWidth="1"/>
    <col min="6401" max="6402" width="9.140625" style="557"/>
    <col min="6403" max="6403" width="9.5703125" style="557" customWidth="1"/>
    <col min="6404" max="6404" width="17" style="557" customWidth="1"/>
    <col min="6405" max="6405" width="15.85546875" style="557" bestFit="1" customWidth="1"/>
    <col min="6406" max="6406" width="14.28515625" style="557" bestFit="1" customWidth="1"/>
    <col min="6407" max="6407" width="14.28515625" style="557" customWidth="1"/>
    <col min="6408" max="6655" width="9.140625" style="557"/>
    <col min="6656" max="6656" width="14.140625" style="557" customWidth="1"/>
    <col min="6657" max="6658" width="9.140625" style="557"/>
    <col min="6659" max="6659" width="9.5703125" style="557" customWidth="1"/>
    <col min="6660" max="6660" width="17" style="557" customWidth="1"/>
    <col min="6661" max="6661" width="15.85546875" style="557" bestFit="1" customWidth="1"/>
    <col min="6662" max="6662" width="14.28515625" style="557" bestFit="1" customWidth="1"/>
    <col min="6663" max="6663" width="14.28515625" style="557" customWidth="1"/>
    <col min="6664" max="6911" width="9.140625" style="557"/>
    <col min="6912" max="6912" width="14.140625" style="557" customWidth="1"/>
    <col min="6913" max="6914" width="9.140625" style="557"/>
    <col min="6915" max="6915" width="9.5703125" style="557" customWidth="1"/>
    <col min="6916" max="6916" width="17" style="557" customWidth="1"/>
    <col min="6917" max="6917" width="15.85546875" style="557" bestFit="1" customWidth="1"/>
    <col min="6918" max="6918" width="14.28515625" style="557" bestFit="1" customWidth="1"/>
    <col min="6919" max="6919" width="14.28515625" style="557" customWidth="1"/>
    <col min="6920" max="7167" width="9.140625" style="557"/>
    <col min="7168" max="7168" width="14.140625" style="557" customWidth="1"/>
    <col min="7169" max="7170" width="9.140625" style="557"/>
    <col min="7171" max="7171" width="9.5703125" style="557" customWidth="1"/>
    <col min="7172" max="7172" width="17" style="557" customWidth="1"/>
    <col min="7173" max="7173" width="15.85546875" style="557" bestFit="1" customWidth="1"/>
    <col min="7174" max="7174" width="14.28515625" style="557" bestFit="1" customWidth="1"/>
    <col min="7175" max="7175" width="14.28515625" style="557" customWidth="1"/>
    <col min="7176" max="7423" width="9.140625" style="557"/>
    <col min="7424" max="7424" width="14.140625" style="557" customWidth="1"/>
    <col min="7425" max="7426" width="9.140625" style="557"/>
    <col min="7427" max="7427" width="9.5703125" style="557" customWidth="1"/>
    <col min="7428" max="7428" width="17" style="557" customWidth="1"/>
    <col min="7429" max="7429" width="15.85546875" style="557" bestFit="1" customWidth="1"/>
    <col min="7430" max="7430" width="14.28515625" style="557" bestFit="1" customWidth="1"/>
    <col min="7431" max="7431" width="14.28515625" style="557" customWidth="1"/>
    <col min="7432" max="7679" width="9.140625" style="557"/>
    <col min="7680" max="7680" width="14.140625" style="557" customWidth="1"/>
    <col min="7681" max="7682" width="9.140625" style="557"/>
    <col min="7683" max="7683" width="9.5703125" style="557" customWidth="1"/>
    <col min="7684" max="7684" width="17" style="557" customWidth="1"/>
    <col min="7685" max="7685" width="15.85546875" style="557" bestFit="1" customWidth="1"/>
    <col min="7686" max="7686" width="14.28515625" style="557" bestFit="1" customWidth="1"/>
    <col min="7687" max="7687" width="14.28515625" style="557" customWidth="1"/>
    <col min="7688" max="7935" width="9.140625" style="557"/>
    <col min="7936" max="7936" width="14.140625" style="557" customWidth="1"/>
    <col min="7937" max="7938" width="9.140625" style="557"/>
    <col min="7939" max="7939" width="9.5703125" style="557" customWidth="1"/>
    <col min="7940" max="7940" width="17" style="557" customWidth="1"/>
    <col min="7941" max="7941" width="15.85546875" style="557" bestFit="1" customWidth="1"/>
    <col min="7942" max="7942" width="14.28515625" style="557" bestFit="1" customWidth="1"/>
    <col min="7943" max="7943" width="14.28515625" style="557" customWidth="1"/>
    <col min="7944" max="8191" width="9.140625" style="557"/>
    <col min="8192" max="8192" width="14.140625" style="557" customWidth="1"/>
    <col min="8193" max="8194" width="9.140625" style="557"/>
    <col min="8195" max="8195" width="9.5703125" style="557" customWidth="1"/>
    <col min="8196" max="8196" width="17" style="557" customWidth="1"/>
    <col min="8197" max="8197" width="15.85546875" style="557" bestFit="1" customWidth="1"/>
    <col min="8198" max="8198" width="14.28515625" style="557" bestFit="1" customWidth="1"/>
    <col min="8199" max="8199" width="14.28515625" style="557" customWidth="1"/>
    <col min="8200" max="8447" width="9.140625" style="557"/>
    <col min="8448" max="8448" width="14.140625" style="557" customWidth="1"/>
    <col min="8449" max="8450" width="9.140625" style="557"/>
    <col min="8451" max="8451" width="9.5703125" style="557" customWidth="1"/>
    <col min="8452" max="8452" width="17" style="557" customWidth="1"/>
    <col min="8453" max="8453" width="15.85546875" style="557" bestFit="1" customWidth="1"/>
    <col min="8454" max="8454" width="14.28515625" style="557" bestFit="1" customWidth="1"/>
    <col min="8455" max="8455" width="14.28515625" style="557" customWidth="1"/>
    <col min="8456" max="8703" width="9.140625" style="557"/>
    <col min="8704" max="8704" width="14.140625" style="557" customWidth="1"/>
    <col min="8705" max="8706" width="9.140625" style="557"/>
    <col min="8707" max="8707" width="9.5703125" style="557" customWidth="1"/>
    <col min="8708" max="8708" width="17" style="557" customWidth="1"/>
    <col min="8709" max="8709" width="15.85546875" style="557" bestFit="1" customWidth="1"/>
    <col min="8710" max="8710" width="14.28515625" style="557" bestFit="1" customWidth="1"/>
    <col min="8711" max="8711" width="14.28515625" style="557" customWidth="1"/>
    <col min="8712" max="8959" width="9.140625" style="557"/>
    <col min="8960" max="8960" width="14.140625" style="557" customWidth="1"/>
    <col min="8961" max="8962" width="9.140625" style="557"/>
    <col min="8963" max="8963" width="9.5703125" style="557" customWidth="1"/>
    <col min="8964" max="8964" width="17" style="557" customWidth="1"/>
    <col min="8965" max="8965" width="15.85546875" style="557" bestFit="1" customWidth="1"/>
    <col min="8966" max="8966" width="14.28515625" style="557" bestFit="1" customWidth="1"/>
    <col min="8967" max="8967" width="14.28515625" style="557" customWidth="1"/>
    <col min="8968" max="9215" width="9.140625" style="557"/>
    <col min="9216" max="9216" width="14.140625" style="557" customWidth="1"/>
    <col min="9217" max="9218" width="9.140625" style="557"/>
    <col min="9219" max="9219" width="9.5703125" style="557" customWidth="1"/>
    <col min="9220" max="9220" width="17" style="557" customWidth="1"/>
    <col min="9221" max="9221" width="15.85546875" style="557" bestFit="1" customWidth="1"/>
    <col min="9222" max="9222" width="14.28515625" style="557" bestFit="1" customWidth="1"/>
    <col min="9223" max="9223" width="14.28515625" style="557" customWidth="1"/>
    <col min="9224" max="9471" width="9.140625" style="557"/>
    <col min="9472" max="9472" width="14.140625" style="557" customWidth="1"/>
    <col min="9473" max="9474" width="9.140625" style="557"/>
    <col min="9475" max="9475" width="9.5703125" style="557" customWidth="1"/>
    <col min="9476" max="9476" width="17" style="557" customWidth="1"/>
    <col min="9477" max="9477" width="15.85546875" style="557" bestFit="1" customWidth="1"/>
    <col min="9478" max="9478" width="14.28515625" style="557" bestFit="1" customWidth="1"/>
    <col min="9479" max="9479" width="14.28515625" style="557" customWidth="1"/>
    <col min="9480" max="9727" width="9.140625" style="557"/>
    <col min="9728" max="9728" width="14.140625" style="557" customWidth="1"/>
    <col min="9729" max="9730" width="9.140625" style="557"/>
    <col min="9731" max="9731" width="9.5703125" style="557" customWidth="1"/>
    <col min="9732" max="9732" width="17" style="557" customWidth="1"/>
    <col min="9733" max="9733" width="15.85546875" style="557" bestFit="1" customWidth="1"/>
    <col min="9734" max="9734" width="14.28515625" style="557" bestFit="1" customWidth="1"/>
    <col min="9735" max="9735" width="14.28515625" style="557" customWidth="1"/>
    <col min="9736" max="9983" width="9.140625" style="557"/>
    <col min="9984" max="9984" width="14.140625" style="557" customWidth="1"/>
    <col min="9985" max="9986" width="9.140625" style="557"/>
    <col min="9987" max="9987" width="9.5703125" style="557" customWidth="1"/>
    <col min="9988" max="9988" width="17" style="557" customWidth="1"/>
    <col min="9989" max="9989" width="15.85546875" style="557" bestFit="1" customWidth="1"/>
    <col min="9990" max="9990" width="14.28515625" style="557" bestFit="1" customWidth="1"/>
    <col min="9991" max="9991" width="14.28515625" style="557" customWidth="1"/>
    <col min="9992" max="10239" width="9.140625" style="557"/>
    <col min="10240" max="10240" width="14.140625" style="557" customWidth="1"/>
    <col min="10241" max="10242" width="9.140625" style="557"/>
    <col min="10243" max="10243" width="9.5703125" style="557" customWidth="1"/>
    <col min="10244" max="10244" width="17" style="557" customWidth="1"/>
    <col min="10245" max="10245" width="15.85546875" style="557" bestFit="1" customWidth="1"/>
    <col min="10246" max="10246" width="14.28515625" style="557" bestFit="1" customWidth="1"/>
    <col min="10247" max="10247" width="14.28515625" style="557" customWidth="1"/>
    <col min="10248" max="10495" width="9.140625" style="557"/>
    <col min="10496" max="10496" width="14.140625" style="557" customWidth="1"/>
    <col min="10497" max="10498" width="9.140625" style="557"/>
    <col min="10499" max="10499" width="9.5703125" style="557" customWidth="1"/>
    <col min="10500" max="10500" width="17" style="557" customWidth="1"/>
    <col min="10501" max="10501" width="15.85546875" style="557" bestFit="1" customWidth="1"/>
    <col min="10502" max="10502" width="14.28515625" style="557" bestFit="1" customWidth="1"/>
    <col min="10503" max="10503" width="14.28515625" style="557" customWidth="1"/>
    <col min="10504" max="10751" width="9.140625" style="557"/>
    <col min="10752" max="10752" width="14.140625" style="557" customWidth="1"/>
    <col min="10753" max="10754" width="9.140625" style="557"/>
    <col min="10755" max="10755" width="9.5703125" style="557" customWidth="1"/>
    <col min="10756" max="10756" width="17" style="557" customWidth="1"/>
    <col min="10757" max="10757" width="15.85546875" style="557" bestFit="1" customWidth="1"/>
    <col min="10758" max="10758" width="14.28515625" style="557" bestFit="1" customWidth="1"/>
    <col min="10759" max="10759" width="14.28515625" style="557" customWidth="1"/>
    <col min="10760" max="11007" width="9.140625" style="557"/>
    <col min="11008" max="11008" width="14.140625" style="557" customWidth="1"/>
    <col min="11009" max="11010" width="9.140625" style="557"/>
    <col min="11011" max="11011" width="9.5703125" style="557" customWidth="1"/>
    <col min="11012" max="11012" width="17" style="557" customWidth="1"/>
    <col min="11013" max="11013" width="15.85546875" style="557" bestFit="1" customWidth="1"/>
    <col min="11014" max="11014" width="14.28515625" style="557" bestFit="1" customWidth="1"/>
    <col min="11015" max="11015" width="14.28515625" style="557" customWidth="1"/>
    <col min="11016" max="11263" width="9.140625" style="557"/>
    <col min="11264" max="11264" width="14.140625" style="557" customWidth="1"/>
    <col min="11265" max="11266" width="9.140625" style="557"/>
    <col min="11267" max="11267" width="9.5703125" style="557" customWidth="1"/>
    <col min="11268" max="11268" width="17" style="557" customWidth="1"/>
    <col min="11269" max="11269" width="15.85546875" style="557" bestFit="1" customWidth="1"/>
    <col min="11270" max="11270" width="14.28515625" style="557" bestFit="1" customWidth="1"/>
    <col min="11271" max="11271" width="14.28515625" style="557" customWidth="1"/>
    <col min="11272" max="11519" width="9.140625" style="557"/>
    <col min="11520" max="11520" width="14.140625" style="557" customWidth="1"/>
    <col min="11521" max="11522" width="9.140625" style="557"/>
    <col min="11523" max="11523" width="9.5703125" style="557" customWidth="1"/>
    <col min="11524" max="11524" width="17" style="557" customWidth="1"/>
    <col min="11525" max="11525" width="15.85546875" style="557" bestFit="1" customWidth="1"/>
    <col min="11526" max="11526" width="14.28515625" style="557" bestFit="1" customWidth="1"/>
    <col min="11527" max="11527" width="14.28515625" style="557" customWidth="1"/>
    <col min="11528" max="11775" width="9.140625" style="557"/>
    <col min="11776" max="11776" width="14.140625" style="557" customWidth="1"/>
    <col min="11777" max="11778" width="9.140625" style="557"/>
    <col min="11779" max="11779" width="9.5703125" style="557" customWidth="1"/>
    <col min="11780" max="11780" width="17" style="557" customWidth="1"/>
    <col min="11781" max="11781" width="15.85546875" style="557" bestFit="1" customWidth="1"/>
    <col min="11782" max="11782" width="14.28515625" style="557" bestFit="1" customWidth="1"/>
    <col min="11783" max="11783" width="14.28515625" style="557" customWidth="1"/>
    <col min="11784" max="12031" width="9.140625" style="557"/>
    <col min="12032" max="12032" width="14.140625" style="557" customWidth="1"/>
    <col min="12033" max="12034" width="9.140625" style="557"/>
    <col min="12035" max="12035" width="9.5703125" style="557" customWidth="1"/>
    <col min="12036" max="12036" width="17" style="557" customWidth="1"/>
    <col min="12037" max="12037" width="15.85546875" style="557" bestFit="1" customWidth="1"/>
    <col min="12038" max="12038" width="14.28515625" style="557" bestFit="1" customWidth="1"/>
    <col min="12039" max="12039" width="14.28515625" style="557" customWidth="1"/>
    <col min="12040" max="12287" width="9.140625" style="557"/>
    <col min="12288" max="12288" width="14.140625" style="557" customWidth="1"/>
    <col min="12289" max="12290" width="9.140625" style="557"/>
    <col min="12291" max="12291" width="9.5703125" style="557" customWidth="1"/>
    <col min="12292" max="12292" width="17" style="557" customWidth="1"/>
    <col min="12293" max="12293" width="15.85546875" style="557" bestFit="1" customWidth="1"/>
    <col min="12294" max="12294" width="14.28515625" style="557" bestFit="1" customWidth="1"/>
    <col min="12295" max="12295" width="14.28515625" style="557" customWidth="1"/>
    <col min="12296" max="12543" width="9.140625" style="557"/>
    <col min="12544" max="12544" width="14.140625" style="557" customWidth="1"/>
    <col min="12545" max="12546" width="9.140625" style="557"/>
    <col min="12547" max="12547" width="9.5703125" style="557" customWidth="1"/>
    <col min="12548" max="12548" width="17" style="557" customWidth="1"/>
    <col min="12549" max="12549" width="15.85546875" style="557" bestFit="1" customWidth="1"/>
    <col min="12550" max="12550" width="14.28515625" style="557" bestFit="1" customWidth="1"/>
    <col min="12551" max="12551" width="14.28515625" style="557" customWidth="1"/>
    <col min="12552" max="12799" width="9.140625" style="557"/>
    <col min="12800" max="12800" width="14.140625" style="557" customWidth="1"/>
    <col min="12801" max="12802" width="9.140625" style="557"/>
    <col min="12803" max="12803" width="9.5703125" style="557" customWidth="1"/>
    <col min="12804" max="12804" width="17" style="557" customWidth="1"/>
    <col min="12805" max="12805" width="15.85546875" style="557" bestFit="1" customWidth="1"/>
    <col min="12806" max="12806" width="14.28515625" style="557" bestFit="1" customWidth="1"/>
    <col min="12807" max="12807" width="14.28515625" style="557" customWidth="1"/>
    <col min="12808" max="13055" width="9.140625" style="557"/>
    <col min="13056" max="13056" width="14.140625" style="557" customWidth="1"/>
    <col min="13057" max="13058" width="9.140625" style="557"/>
    <col min="13059" max="13059" width="9.5703125" style="557" customWidth="1"/>
    <col min="13060" max="13060" width="17" style="557" customWidth="1"/>
    <col min="13061" max="13061" width="15.85546875" style="557" bestFit="1" customWidth="1"/>
    <col min="13062" max="13062" width="14.28515625" style="557" bestFit="1" customWidth="1"/>
    <col min="13063" max="13063" width="14.28515625" style="557" customWidth="1"/>
    <col min="13064" max="13311" width="9.140625" style="557"/>
    <col min="13312" max="13312" width="14.140625" style="557" customWidth="1"/>
    <col min="13313" max="13314" width="9.140625" style="557"/>
    <col min="13315" max="13315" width="9.5703125" style="557" customWidth="1"/>
    <col min="13316" max="13316" width="17" style="557" customWidth="1"/>
    <col min="13317" max="13317" width="15.85546875" style="557" bestFit="1" customWidth="1"/>
    <col min="13318" max="13318" width="14.28515625" style="557" bestFit="1" customWidth="1"/>
    <col min="13319" max="13319" width="14.28515625" style="557" customWidth="1"/>
    <col min="13320" max="13567" width="9.140625" style="557"/>
    <col min="13568" max="13568" width="14.140625" style="557" customWidth="1"/>
    <col min="13569" max="13570" width="9.140625" style="557"/>
    <col min="13571" max="13571" width="9.5703125" style="557" customWidth="1"/>
    <col min="13572" max="13572" width="17" style="557" customWidth="1"/>
    <col min="13573" max="13573" width="15.85546875" style="557" bestFit="1" customWidth="1"/>
    <col min="13574" max="13574" width="14.28515625" style="557" bestFit="1" customWidth="1"/>
    <col min="13575" max="13575" width="14.28515625" style="557" customWidth="1"/>
    <col min="13576" max="13823" width="9.140625" style="557"/>
    <col min="13824" max="13824" width="14.140625" style="557" customWidth="1"/>
    <col min="13825" max="13826" width="9.140625" style="557"/>
    <col min="13827" max="13827" width="9.5703125" style="557" customWidth="1"/>
    <col min="13828" max="13828" width="17" style="557" customWidth="1"/>
    <col min="13829" max="13829" width="15.85546875" style="557" bestFit="1" customWidth="1"/>
    <col min="13830" max="13830" width="14.28515625" style="557" bestFit="1" customWidth="1"/>
    <col min="13831" max="13831" width="14.28515625" style="557" customWidth="1"/>
    <col min="13832" max="14079" width="9.140625" style="557"/>
    <col min="14080" max="14080" width="14.140625" style="557" customWidth="1"/>
    <col min="14081" max="14082" width="9.140625" style="557"/>
    <col min="14083" max="14083" width="9.5703125" style="557" customWidth="1"/>
    <col min="14084" max="14084" width="17" style="557" customWidth="1"/>
    <col min="14085" max="14085" width="15.85546875" style="557" bestFit="1" customWidth="1"/>
    <col min="14086" max="14086" width="14.28515625" style="557" bestFit="1" customWidth="1"/>
    <col min="14087" max="14087" width="14.28515625" style="557" customWidth="1"/>
    <col min="14088" max="14335" width="9.140625" style="557"/>
    <col min="14336" max="14336" width="14.140625" style="557" customWidth="1"/>
    <col min="14337" max="14338" width="9.140625" style="557"/>
    <col min="14339" max="14339" width="9.5703125" style="557" customWidth="1"/>
    <col min="14340" max="14340" width="17" style="557" customWidth="1"/>
    <col min="14341" max="14341" width="15.85546875" style="557" bestFit="1" customWidth="1"/>
    <col min="14342" max="14342" width="14.28515625" style="557" bestFit="1" customWidth="1"/>
    <col min="14343" max="14343" width="14.28515625" style="557" customWidth="1"/>
    <col min="14344" max="14591" width="9.140625" style="557"/>
    <col min="14592" max="14592" width="14.140625" style="557" customWidth="1"/>
    <col min="14593" max="14594" width="9.140625" style="557"/>
    <col min="14595" max="14595" width="9.5703125" style="557" customWidth="1"/>
    <col min="14596" max="14596" width="17" style="557" customWidth="1"/>
    <col min="14597" max="14597" width="15.85546875" style="557" bestFit="1" customWidth="1"/>
    <col min="14598" max="14598" width="14.28515625" style="557" bestFit="1" customWidth="1"/>
    <col min="14599" max="14599" width="14.28515625" style="557" customWidth="1"/>
    <col min="14600" max="14847" width="9.140625" style="557"/>
    <col min="14848" max="14848" width="14.140625" style="557" customWidth="1"/>
    <col min="14849" max="14850" width="9.140625" style="557"/>
    <col min="14851" max="14851" width="9.5703125" style="557" customWidth="1"/>
    <col min="14852" max="14852" width="17" style="557" customWidth="1"/>
    <col min="14853" max="14853" width="15.85546875" style="557" bestFit="1" customWidth="1"/>
    <col min="14854" max="14854" width="14.28515625" style="557" bestFit="1" customWidth="1"/>
    <col min="14855" max="14855" width="14.28515625" style="557" customWidth="1"/>
    <col min="14856" max="15103" width="9.140625" style="557"/>
    <col min="15104" max="15104" width="14.140625" style="557" customWidth="1"/>
    <col min="15105" max="15106" width="9.140625" style="557"/>
    <col min="15107" max="15107" width="9.5703125" style="557" customWidth="1"/>
    <col min="15108" max="15108" width="17" style="557" customWidth="1"/>
    <col min="15109" max="15109" width="15.85546875" style="557" bestFit="1" customWidth="1"/>
    <col min="15110" max="15110" width="14.28515625" style="557" bestFit="1" customWidth="1"/>
    <col min="15111" max="15111" width="14.28515625" style="557" customWidth="1"/>
    <col min="15112" max="15359" width="9.140625" style="557"/>
    <col min="15360" max="15360" width="14.140625" style="557" customWidth="1"/>
    <col min="15361" max="15362" width="9.140625" style="557"/>
    <col min="15363" max="15363" width="9.5703125" style="557" customWidth="1"/>
    <col min="15364" max="15364" width="17" style="557" customWidth="1"/>
    <col min="15365" max="15365" width="15.85546875" style="557" bestFit="1" customWidth="1"/>
    <col min="15366" max="15366" width="14.28515625" style="557" bestFit="1" customWidth="1"/>
    <col min="15367" max="15367" width="14.28515625" style="557" customWidth="1"/>
    <col min="15368" max="15615" width="9.140625" style="557"/>
    <col min="15616" max="15616" width="14.140625" style="557" customWidth="1"/>
    <col min="15617" max="15618" width="9.140625" style="557"/>
    <col min="15619" max="15619" width="9.5703125" style="557" customWidth="1"/>
    <col min="15620" max="15620" width="17" style="557" customWidth="1"/>
    <col min="15621" max="15621" width="15.85546875" style="557" bestFit="1" customWidth="1"/>
    <col min="15622" max="15622" width="14.28515625" style="557" bestFit="1" customWidth="1"/>
    <col min="15623" max="15623" width="14.28515625" style="557" customWidth="1"/>
    <col min="15624" max="15871" width="9.140625" style="557"/>
    <col min="15872" max="15872" width="14.140625" style="557" customWidth="1"/>
    <col min="15873" max="15874" width="9.140625" style="557"/>
    <col min="15875" max="15875" width="9.5703125" style="557" customWidth="1"/>
    <col min="15876" max="15876" width="17" style="557" customWidth="1"/>
    <col min="15877" max="15877" width="15.85546875" style="557" bestFit="1" customWidth="1"/>
    <col min="15878" max="15878" width="14.28515625" style="557" bestFit="1" customWidth="1"/>
    <col min="15879" max="15879" width="14.28515625" style="557" customWidth="1"/>
    <col min="15880" max="16127" width="9.140625" style="557"/>
    <col min="16128" max="16128" width="14.140625" style="557" customWidth="1"/>
    <col min="16129" max="16130" width="9.140625" style="557"/>
    <col min="16131" max="16131" width="9.5703125" style="557" customWidth="1"/>
    <col min="16132" max="16132" width="17" style="557" customWidth="1"/>
    <col min="16133" max="16133" width="15.85546875" style="557" bestFit="1" customWidth="1"/>
    <col min="16134" max="16134" width="14.28515625" style="557" bestFit="1" customWidth="1"/>
    <col min="16135" max="16135" width="14.28515625" style="557" customWidth="1"/>
    <col min="16136" max="16384" width="9.140625" style="557"/>
  </cols>
  <sheetData>
    <row r="1" spans="1:256" ht="18.75">
      <c r="A1" s="727" t="s">
        <v>26851</v>
      </c>
      <c r="B1" s="727"/>
      <c r="C1" s="727"/>
      <c r="D1" s="727"/>
      <c r="E1" s="727"/>
      <c r="F1" s="727"/>
      <c r="G1" s="727"/>
      <c r="H1" s="727"/>
    </row>
    <row r="2" spans="1:256" ht="15.75" thickBot="1">
      <c r="A2" s="728"/>
      <c r="B2" s="728"/>
      <c r="C2" s="728"/>
      <c r="D2" s="728"/>
      <c r="E2" s="728"/>
      <c r="F2" s="728"/>
    </row>
    <row r="3" spans="1:256" ht="15.75" thickBot="1">
      <c r="A3" s="558"/>
      <c r="B3" s="559" t="s">
        <v>26852</v>
      </c>
      <c r="C3" s="560"/>
      <c r="D3" s="561"/>
      <c r="E3" s="562"/>
      <c r="F3" s="563"/>
      <c r="G3" s="564"/>
      <c r="H3" s="563"/>
    </row>
    <row r="4" spans="1:256" ht="9" customHeight="1">
      <c r="A4" s="565"/>
      <c r="B4" s="566" t="s">
        <v>26853</v>
      </c>
      <c r="C4" s="567" t="s">
        <v>26854</v>
      </c>
      <c r="D4" s="568"/>
      <c r="E4" s="569"/>
      <c r="F4" s="570" t="s">
        <v>26855</v>
      </c>
      <c r="G4" s="571"/>
      <c r="H4" s="570" t="s">
        <v>26856</v>
      </c>
    </row>
    <row r="5" spans="1:256" ht="15.75" thickBot="1">
      <c r="A5" s="572"/>
      <c r="B5" s="573" t="s">
        <v>26857</v>
      </c>
      <c r="C5" s="574" t="s">
        <v>26858</v>
      </c>
      <c r="D5" s="575" t="s">
        <v>26859</v>
      </c>
      <c r="E5" s="576" t="s">
        <v>26860</v>
      </c>
      <c r="F5" s="577" t="s">
        <v>26861</v>
      </c>
      <c r="G5" s="576" t="s">
        <v>26860</v>
      </c>
      <c r="H5" s="577" t="s">
        <v>26862</v>
      </c>
    </row>
    <row r="6" spans="1:256" s="582" customFormat="1">
      <c r="A6" s="578" t="s">
        <v>26863</v>
      </c>
      <c r="B6" s="579">
        <v>863.51400000000001</v>
      </c>
      <c r="C6" s="580">
        <v>525.52800000000002</v>
      </c>
      <c r="D6" s="580"/>
      <c r="E6" s="580"/>
      <c r="F6" s="580">
        <v>672.38499999999999</v>
      </c>
      <c r="G6" s="580"/>
      <c r="H6" s="581">
        <v>733.98400000000004</v>
      </c>
      <c r="I6" s="557"/>
      <c r="J6" s="557"/>
      <c r="K6" s="557"/>
      <c r="L6" s="557"/>
      <c r="M6" s="557"/>
      <c r="N6" s="557"/>
      <c r="O6" s="557"/>
      <c r="P6" s="557"/>
      <c r="Q6" s="557"/>
      <c r="R6" s="557"/>
      <c r="S6" s="557"/>
      <c r="T6" s="557"/>
      <c r="U6" s="557"/>
      <c r="V6" s="557"/>
      <c r="W6" s="557"/>
      <c r="X6" s="557"/>
      <c r="Y6" s="557"/>
      <c r="Z6" s="557"/>
      <c r="AA6" s="557"/>
      <c r="AB6" s="557"/>
      <c r="AC6" s="557"/>
      <c r="AD6" s="557"/>
      <c r="AE6" s="557"/>
      <c r="AF6" s="557"/>
      <c r="AG6" s="557"/>
      <c r="AH6" s="557"/>
      <c r="AI6" s="557"/>
      <c r="AJ6" s="557"/>
      <c r="AK6" s="557"/>
      <c r="AL6" s="557"/>
      <c r="AM6" s="557"/>
      <c r="AN6" s="557"/>
      <c r="AO6" s="557"/>
      <c r="AP6" s="557"/>
      <c r="AQ6" s="557"/>
      <c r="AR6" s="557"/>
      <c r="AS6" s="557"/>
      <c r="AT6" s="557"/>
      <c r="AU6" s="557"/>
      <c r="AV6" s="557"/>
      <c r="AW6" s="557"/>
      <c r="AX6" s="557"/>
      <c r="AY6" s="557"/>
      <c r="AZ6" s="557"/>
      <c r="BA6" s="557"/>
      <c r="BB6" s="557"/>
      <c r="BC6" s="557"/>
      <c r="BD6" s="557"/>
      <c r="BE6" s="557"/>
      <c r="BF6" s="557"/>
      <c r="BG6" s="557"/>
      <c r="BH6" s="557"/>
      <c r="BI6" s="557"/>
      <c r="BJ6" s="557"/>
      <c r="BK6" s="557"/>
      <c r="BL6" s="557"/>
      <c r="BM6" s="557"/>
      <c r="BN6" s="557"/>
      <c r="BO6" s="557"/>
      <c r="BP6" s="557"/>
      <c r="BQ6" s="557"/>
      <c r="BR6" s="557"/>
      <c r="BS6" s="557"/>
      <c r="BT6" s="557"/>
      <c r="BU6" s="557"/>
      <c r="BV6" s="557"/>
      <c r="BW6" s="557"/>
      <c r="BX6" s="557"/>
      <c r="BY6" s="557"/>
      <c r="BZ6" s="557"/>
      <c r="CA6" s="557"/>
      <c r="CB6" s="557"/>
      <c r="CC6" s="557"/>
      <c r="CD6" s="557"/>
      <c r="CE6" s="557"/>
      <c r="CF6" s="557"/>
      <c r="CG6" s="557"/>
      <c r="CH6" s="557"/>
      <c r="CI6" s="557"/>
      <c r="CJ6" s="557"/>
      <c r="CK6" s="557"/>
      <c r="CL6" s="557"/>
      <c r="CM6" s="557"/>
      <c r="CN6" s="557"/>
      <c r="CO6" s="557"/>
      <c r="CP6" s="557"/>
      <c r="CQ6" s="557"/>
      <c r="CR6" s="557"/>
      <c r="CS6" s="557"/>
      <c r="CT6" s="557"/>
      <c r="CU6" s="557"/>
      <c r="CV6" s="557"/>
      <c r="CW6" s="557"/>
      <c r="CX6" s="557"/>
      <c r="CY6" s="557"/>
      <c r="CZ6" s="557"/>
      <c r="DA6" s="557"/>
      <c r="DB6" s="557"/>
      <c r="DC6" s="557"/>
      <c r="DD6" s="557"/>
      <c r="DE6" s="557"/>
      <c r="DF6" s="557"/>
      <c r="DG6" s="557"/>
      <c r="DH6" s="557"/>
      <c r="DI6" s="557"/>
      <c r="DJ6" s="557"/>
      <c r="DK6" s="557"/>
      <c r="DL6" s="557"/>
      <c r="DM6" s="557"/>
      <c r="DN6" s="557"/>
      <c r="DO6" s="557"/>
      <c r="DP6" s="557"/>
      <c r="DQ6" s="557"/>
      <c r="DR6" s="557"/>
      <c r="DS6" s="557"/>
      <c r="DT6" s="557"/>
      <c r="DU6" s="557"/>
      <c r="DV6" s="557"/>
      <c r="DW6" s="557"/>
      <c r="DX6" s="557"/>
      <c r="DY6" s="557"/>
      <c r="DZ6" s="557"/>
      <c r="EA6" s="557"/>
      <c r="EB6" s="557"/>
      <c r="EC6" s="557"/>
      <c r="ED6" s="557"/>
      <c r="EE6" s="557"/>
      <c r="EF6" s="557"/>
      <c r="EG6" s="557"/>
      <c r="EH6" s="557"/>
      <c r="EI6" s="557"/>
      <c r="EJ6" s="557"/>
      <c r="EK6" s="557"/>
      <c r="EL6" s="557"/>
      <c r="EM6" s="557"/>
      <c r="EN6" s="557"/>
      <c r="EO6" s="557"/>
      <c r="EP6" s="557"/>
      <c r="EQ6" s="557"/>
      <c r="ER6" s="557"/>
      <c r="ES6" s="557"/>
      <c r="ET6" s="557"/>
      <c r="EU6" s="557"/>
      <c r="EV6" s="557"/>
      <c r="EW6" s="557"/>
      <c r="EX6" s="557"/>
      <c r="EY6" s="557"/>
      <c r="EZ6" s="557"/>
      <c r="FA6" s="557"/>
      <c r="FB6" s="557"/>
      <c r="FC6" s="557"/>
      <c r="FD6" s="557"/>
      <c r="FE6" s="557"/>
      <c r="FF6" s="557"/>
      <c r="FG6" s="557"/>
      <c r="FH6" s="557"/>
      <c r="FI6" s="557"/>
      <c r="FJ6" s="557"/>
      <c r="FK6" s="557"/>
      <c r="FL6" s="557"/>
      <c r="FM6" s="557"/>
      <c r="FN6" s="557"/>
      <c r="FO6" s="557"/>
      <c r="FP6" s="557"/>
      <c r="FQ6" s="557"/>
      <c r="FR6" s="557"/>
      <c r="FS6" s="557"/>
      <c r="FT6" s="557"/>
      <c r="FU6" s="557"/>
      <c r="FV6" s="557"/>
      <c r="FW6" s="557"/>
      <c r="FX6" s="557"/>
      <c r="FY6" s="557"/>
      <c r="FZ6" s="557"/>
      <c r="GA6" s="557"/>
      <c r="GB6" s="557"/>
      <c r="GC6" s="557"/>
      <c r="GD6" s="557"/>
      <c r="GE6" s="557"/>
      <c r="GF6" s="557"/>
      <c r="GG6" s="557"/>
      <c r="GH6" s="557"/>
      <c r="GI6" s="557"/>
      <c r="GJ6" s="557"/>
      <c r="GK6" s="557"/>
      <c r="GL6" s="557"/>
      <c r="GM6" s="557"/>
      <c r="GN6" s="557"/>
      <c r="GO6" s="557"/>
      <c r="GP6" s="557"/>
      <c r="GQ6" s="557"/>
      <c r="GR6" s="557"/>
      <c r="GS6" s="557"/>
      <c r="GT6" s="557"/>
      <c r="GU6" s="557"/>
      <c r="GV6" s="557"/>
      <c r="GW6" s="557"/>
      <c r="GX6" s="557"/>
      <c r="GY6" s="557"/>
      <c r="GZ6" s="557"/>
      <c r="HA6" s="557"/>
      <c r="HB6" s="557"/>
      <c r="HC6" s="557"/>
      <c r="HD6" s="557"/>
      <c r="HE6" s="557"/>
      <c r="HF6" s="557"/>
      <c r="HG6" s="557"/>
      <c r="HH6" s="557"/>
      <c r="HI6" s="557"/>
      <c r="HJ6" s="557"/>
      <c r="HK6" s="557"/>
      <c r="HL6" s="557"/>
      <c r="HM6" s="557"/>
      <c r="HN6" s="557"/>
      <c r="HO6" s="557"/>
      <c r="HP6" s="557"/>
      <c r="HQ6" s="557"/>
      <c r="HR6" s="557"/>
      <c r="HS6" s="557"/>
      <c r="HT6" s="557"/>
      <c r="HU6" s="557"/>
      <c r="HV6" s="557"/>
      <c r="HW6" s="557"/>
      <c r="HX6" s="557"/>
      <c r="HY6" s="557"/>
      <c r="HZ6" s="557"/>
      <c r="IA6" s="557"/>
      <c r="IB6" s="557"/>
      <c r="IC6" s="557"/>
      <c r="ID6" s="557"/>
      <c r="IE6" s="557"/>
      <c r="IF6" s="557"/>
      <c r="IG6" s="557"/>
      <c r="IH6" s="557"/>
      <c r="II6" s="557"/>
      <c r="IJ6" s="557"/>
      <c r="IK6" s="557"/>
      <c r="IL6" s="557"/>
      <c r="IM6" s="557"/>
      <c r="IN6" s="557"/>
      <c r="IO6" s="557"/>
      <c r="IP6" s="557"/>
      <c r="IQ6" s="557"/>
      <c r="IR6" s="557"/>
      <c r="IS6" s="557"/>
      <c r="IT6" s="557"/>
      <c r="IU6" s="557"/>
      <c r="IV6" s="557"/>
    </row>
    <row r="7" spans="1:256" s="582" customFormat="1">
      <c r="A7" s="583" t="s">
        <v>26864</v>
      </c>
      <c r="B7" s="584">
        <v>863.51400000000001</v>
      </c>
      <c r="C7" s="585">
        <v>529.90700000000004</v>
      </c>
      <c r="D7" s="585">
        <f t="shared" ref="D7:D10" si="0">C7/C6</f>
        <v>1.0083325721940601</v>
      </c>
      <c r="E7" s="585">
        <f t="shared" ref="E7:E10" si="1">F7/F6</f>
        <v>1.0038043680331952</v>
      </c>
      <c r="F7" s="585">
        <v>674.94299999999998</v>
      </c>
      <c r="G7" s="585">
        <f t="shared" ref="G7:G40" si="2">H7/H6</f>
        <v>1.0061350111174086</v>
      </c>
      <c r="H7" s="586">
        <v>738.48699999999997</v>
      </c>
      <c r="I7" s="557"/>
      <c r="J7" s="557"/>
      <c r="K7" s="557"/>
      <c r="L7" s="557"/>
      <c r="M7" s="557"/>
      <c r="N7" s="557"/>
      <c r="O7" s="557"/>
      <c r="P7" s="557"/>
      <c r="Q7" s="557"/>
      <c r="R7" s="557"/>
      <c r="S7" s="557"/>
      <c r="T7" s="557"/>
      <c r="U7" s="557"/>
      <c r="V7" s="557"/>
      <c r="W7" s="557"/>
      <c r="X7" s="557"/>
      <c r="Y7" s="557"/>
      <c r="Z7" s="557"/>
      <c r="AA7" s="557"/>
      <c r="AB7" s="557"/>
      <c r="AC7" s="557"/>
      <c r="AD7" s="557"/>
      <c r="AE7" s="557"/>
      <c r="AF7" s="557"/>
      <c r="AG7" s="557"/>
      <c r="AH7" s="557"/>
      <c r="AI7" s="557"/>
      <c r="AJ7" s="557"/>
      <c r="AK7" s="557"/>
      <c r="AL7" s="557"/>
      <c r="AM7" s="557"/>
      <c r="AN7" s="557"/>
      <c r="AO7" s="557"/>
      <c r="AP7" s="557"/>
      <c r="AQ7" s="557"/>
      <c r="AR7" s="557"/>
      <c r="AS7" s="557"/>
      <c r="AT7" s="557"/>
      <c r="AU7" s="557"/>
      <c r="AV7" s="557"/>
      <c r="AW7" s="557"/>
      <c r="AX7" s="557"/>
      <c r="AY7" s="557"/>
      <c r="AZ7" s="557"/>
      <c r="BA7" s="557"/>
      <c r="BB7" s="557"/>
      <c r="BC7" s="557"/>
      <c r="BD7" s="557"/>
      <c r="BE7" s="557"/>
      <c r="BF7" s="557"/>
      <c r="BG7" s="557"/>
      <c r="BH7" s="557"/>
      <c r="BI7" s="557"/>
      <c r="BJ7" s="557"/>
      <c r="BK7" s="557"/>
      <c r="BL7" s="557"/>
      <c r="BM7" s="557"/>
      <c r="BN7" s="557"/>
      <c r="BO7" s="557"/>
      <c r="BP7" s="557"/>
      <c r="BQ7" s="557"/>
      <c r="BR7" s="557"/>
      <c r="BS7" s="557"/>
      <c r="BT7" s="557"/>
      <c r="BU7" s="557"/>
      <c r="BV7" s="557"/>
      <c r="BW7" s="557"/>
      <c r="BX7" s="557"/>
      <c r="BY7" s="557"/>
      <c r="BZ7" s="557"/>
      <c r="CA7" s="557"/>
      <c r="CB7" s="557"/>
      <c r="CC7" s="557"/>
      <c r="CD7" s="557"/>
      <c r="CE7" s="557"/>
      <c r="CF7" s="557"/>
      <c r="CG7" s="557"/>
      <c r="CH7" s="557"/>
      <c r="CI7" s="557"/>
      <c r="CJ7" s="557"/>
      <c r="CK7" s="557"/>
      <c r="CL7" s="557"/>
      <c r="CM7" s="557"/>
      <c r="CN7" s="557"/>
      <c r="CO7" s="557"/>
      <c r="CP7" s="557"/>
      <c r="CQ7" s="557"/>
      <c r="CR7" s="557"/>
      <c r="CS7" s="557"/>
      <c r="CT7" s="557"/>
      <c r="CU7" s="557"/>
      <c r="CV7" s="557"/>
      <c r="CW7" s="557"/>
      <c r="CX7" s="557"/>
      <c r="CY7" s="557"/>
      <c r="CZ7" s="557"/>
      <c r="DA7" s="557"/>
      <c r="DB7" s="557"/>
      <c r="DC7" s="557"/>
      <c r="DD7" s="557"/>
      <c r="DE7" s="557"/>
      <c r="DF7" s="557"/>
      <c r="DG7" s="557"/>
      <c r="DH7" s="557"/>
      <c r="DI7" s="557"/>
      <c r="DJ7" s="557"/>
      <c r="DK7" s="557"/>
      <c r="DL7" s="557"/>
      <c r="DM7" s="557"/>
      <c r="DN7" s="557"/>
      <c r="DO7" s="557"/>
      <c r="DP7" s="557"/>
      <c r="DQ7" s="557"/>
      <c r="DR7" s="557"/>
      <c r="DS7" s="557"/>
      <c r="DT7" s="557"/>
      <c r="DU7" s="557"/>
      <c r="DV7" s="557"/>
      <c r="DW7" s="557"/>
      <c r="DX7" s="557"/>
      <c r="DY7" s="557"/>
      <c r="DZ7" s="557"/>
      <c r="EA7" s="557"/>
      <c r="EB7" s="557"/>
      <c r="EC7" s="557"/>
      <c r="ED7" s="557"/>
      <c r="EE7" s="557"/>
      <c r="EF7" s="557"/>
      <c r="EG7" s="557"/>
      <c r="EH7" s="557"/>
      <c r="EI7" s="557"/>
      <c r="EJ7" s="557"/>
      <c r="EK7" s="557"/>
      <c r="EL7" s="557"/>
      <c r="EM7" s="557"/>
      <c r="EN7" s="557"/>
      <c r="EO7" s="557"/>
      <c r="EP7" s="557"/>
      <c r="EQ7" s="557"/>
      <c r="ER7" s="557"/>
      <c r="ES7" s="557"/>
      <c r="ET7" s="557"/>
      <c r="EU7" s="557"/>
      <c r="EV7" s="557"/>
      <c r="EW7" s="557"/>
      <c r="EX7" s="557"/>
      <c r="EY7" s="557"/>
      <c r="EZ7" s="557"/>
      <c r="FA7" s="557"/>
      <c r="FB7" s="557"/>
      <c r="FC7" s="557"/>
      <c r="FD7" s="557"/>
      <c r="FE7" s="557"/>
      <c r="FF7" s="557"/>
      <c r="FG7" s="557"/>
      <c r="FH7" s="557"/>
      <c r="FI7" s="557"/>
      <c r="FJ7" s="557"/>
      <c r="FK7" s="557"/>
      <c r="FL7" s="557"/>
      <c r="FM7" s="557"/>
      <c r="FN7" s="557"/>
      <c r="FO7" s="557"/>
      <c r="FP7" s="557"/>
      <c r="FQ7" s="557"/>
      <c r="FR7" s="557"/>
      <c r="FS7" s="557"/>
      <c r="FT7" s="557"/>
      <c r="FU7" s="557"/>
      <c r="FV7" s="557"/>
      <c r="FW7" s="557"/>
      <c r="FX7" s="557"/>
      <c r="FY7" s="557"/>
      <c r="FZ7" s="557"/>
      <c r="GA7" s="557"/>
      <c r="GB7" s="557"/>
      <c r="GC7" s="557"/>
      <c r="GD7" s="557"/>
      <c r="GE7" s="557"/>
      <c r="GF7" s="557"/>
      <c r="GG7" s="557"/>
      <c r="GH7" s="557"/>
      <c r="GI7" s="557"/>
      <c r="GJ7" s="557"/>
      <c r="GK7" s="557"/>
      <c r="GL7" s="557"/>
      <c r="GM7" s="557"/>
      <c r="GN7" s="557"/>
      <c r="GO7" s="557"/>
      <c r="GP7" s="557"/>
      <c r="GQ7" s="557"/>
      <c r="GR7" s="557"/>
      <c r="GS7" s="557"/>
      <c r="GT7" s="557"/>
      <c r="GU7" s="557"/>
      <c r="GV7" s="557"/>
      <c r="GW7" s="557"/>
      <c r="GX7" s="557"/>
      <c r="GY7" s="557"/>
      <c r="GZ7" s="557"/>
      <c r="HA7" s="557"/>
      <c r="HB7" s="557"/>
      <c r="HC7" s="557"/>
      <c r="HD7" s="557"/>
      <c r="HE7" s="557"/>
      <c r="HF7" s="557"/>
      <c r="HG7" s="557"/>
      <c r="HH7" s="557"/>
      <c r="HI7" s="557"/>
      <c r="HJ7" s="557"/>
      <c r="HK7" s="557"/>
      <c r="HL7" s="557"/>
      <c r="HM7" s="557"/>
      <c r="HN7" s="557"/>
      <c r="HO7" s="557"/>
      <c r="HP7" s="557"/>
      <c r="HQ7" s="557"/>
      <c r="HR7" s="557"/>
      <c r="HS7" s="557"/>
      <c r="HT7" s="557"/>
      <c r="HU7" s="557"/>
      <c r="HV7" s="557"/>
      <c r="HW7" s="557"/>
      <c r="HX7" s="557"/>
      <c r="HY7" s="557"/>
      <c r="HZ7" s="557"/>
      <c r="IA7" s="557"/>
      <c r="IB7" s="557"/>
      <c r="IC7" s="557"/>
      <c r="ID7" s="557"/>
      <c r="IE7" s="557"/>
      <c r="IF7" s="557"/>
      <c r="IG7" s="557"/>
      <c r="IH7" s="557"/>
      <c r="II7" s="557"/>
      <c r="IJ7" s="557"/>
      <c r="IK7" s="557"/>
      <c r="IL7" s="557"/>
      <c r="IM7" s="557"/>
      <c r="IN7" s="557"/>
      <c r="IO7" s="557"/>
      <c r="IP7" s="557"/>
      <c r="IQ7" s="557"/>
      <c r="IR7" s="557"/>
      <c r="IS7" s="557"/>
      <c r="IT7" s="557"/>
      <c r="IU7" s="557"/>
      <c r="IV7" s="557"/>
    </row>
    <row r="8" spans="1:256" s="582" customFormat="1">
      <c r="A8" s="583" t="s">
        <v>26865</v>
      </c>
      <c r="B8" s="584">
        <v>863.51400000000001</v>
      </c>
      <c r="C8" s="585">
        <v>531.24900000000002</v>
      </c>
      <c r="D8" s="585">
        <f t="shared" si="0"/>
        <v>1.0025325198572579</v>
      </c>
      <c r="E8" s="585">
        <f t="shared" si="1"/>
        <v>1.001161579570423</v>
      </c>
      <c r="F8" s="585">
        <v>675.72699999999998</v>
      </c>
      <c r="G8" s="585">
        <f t="shared" si="2"/>
        <v>1.0014841154956011</v>
      </c>
      <c r="H8" s="586">
        <v>739.58299999999997</v>
      </c>
      <c r="I8" s="557"/>
      <c r="J8" s="557"/>
      <c r="K8" s="557"/>
      <c r="L8" s="557"/>
      <c r="M8" s="557"/>
      <c r="N8" s="557"/>
      <c r="O8" s="557"/>
      <c r="P8" s="557"/>
      <c r="Q8" s="557"/>
      <c r="R8" s="557"/>
      <c r="S8" s="557"/>
      <c r="T8" s="557"/>
      <c r="U8" s="557"/>
      <c r="V8" s="557"/>
      <c r="W8" s="557"/>
      <c r="X8" s="557"/>
      <c r="Y8" s="557"/>
      <c r="Z8" s="557"/>
      <c r="AA8" s="557"/>
      <c r="AB8" s="557"/>
      <c r="AC8" s="557"/>
      <c r="AD8" s="557"/>
      <c r="AE8" s="557"/>
      <c r="AF8" s="557"/>
      <c r="AG8" s="557"/>
      <c r="AH8" s="557"/>
      <c r="AI8" s="557"/>
      <c r="AJ8" s="557"/>
      <c r="AK8" s="557"/>
      <c r="AL8" s="557"/>
      <c r="AM8" s="557"/>
      <c r="AN8" s="557"/>
      <c r="AO8" s="557"/>
      <c r="AP8" s="557"/>
      <c r="AQ8" s="557"/>
      <c r="AR8" s="557"/>
      <c r="AS8" s="557"/>
      <c r="AT8" s="557"/>
      <c r="AU8" s="557"/>
      <c r="AV8" s="557"/>
      <c r="AW8" s="557"/>
      <c r="AX8" s="557"/>
      <c r="AY8" s="557"/>
      <c r="AZ8" s="557"/>
      <c r="BA8" s="557"/>
      <c r="BB8" s="557"/>
      <c r="BC8" s="557"/>
      <c r="BD8" s="557"/>
      <c r="BE8" s="557"/>
      <c r="BF8" s="557"/>
      <c r="BG8" s="557"/>
      <c r="BH8" s="557"/>
      <c r="BI8" s="557"/>
      <c r="BJ8" s="557"/>
      <c r="BK8" s="557"/>
      <c r="BL8" s="557"/>
      <c r="BM8" s="557"/>
      <c r="BN8" s="557"/>
      <c r="BO8" s="557"/>
      <c r="BP8" s="557"/>
      <c r="BQ8" s="557"/>
      <c r="BR8" s="557"/>
      <c r="BS8" s="557"/>
      <c r="BT8" s="557"/>
      <c r="BU8" s="557"/>
      <c r="BV8" s="557"/>
      <c r="BW8" s="557"/>
      <c r="BX8" s="557"/>
      <c r="BY8" s="557"/>
      <c r="BZ8" s="557"/>
      <c r="CA8" s="557"/>
      <c r="CB8" s="557"/>
      <c r="CC8" s="557"/>
      <c r="CD8" s="557"/>
      <c r="CE8" s="557"/>
      <c r="CF8" s="557"/>
      <c r="CG8" s="557"/>
      <c r="CH8" s="557"/>
      <c r="CI8" s="557"/>
      <c r="CJ8" s="557"/>
      <c r="CK8" s="557"/>
      <c r="CL8" s="557"/>
      <c r="CM8" s="557"/>
      <c r="CN8" s="557"/>
      <c r="CO8" s="557"/>
      <c r="CP8" s="557"/>
      <c r="CQ8" s="557"/>
      <c r="CR8" s="557"/>
      <c r="CS8" s="557"/>
      <c r="CT8" s="557"/>
      <c r="CU8" s="557"/>
      <c r="CV8" s="557"/>
      <c r="CW8" s="557"/>
      <c r="CX8" s="557"/>
      <c r="CY8" s="557"/>
      <c r="CZ8" s="557"/>
      <c r="DA8" s="557"/>
      <c r="DB8" s="557"/>
      <c r="DC8" s="557"/>
      <c r="DD8" s="557"/>
      <c r="DE8" s="557"/>
      <c r="DF8" s="557"/>
      <c r="DG8" s="557"/>
      <c r="DH8" s="557"/>
      <c r="DI8" s="557"/>
      <c r="DJ8" s="557"/>
      <c r="DK8" s="557"/>
      <c r="DL8" s="557"/>
      <c r="DM8" s="557"/>
      <c r="DN8" s="557"/>
      <c r="DO8" s="557"/>
      <c r="DP8" s="557"/>
      <c r="DQ8" s="557"/>
      <c r="DR8" s="557"/>
      <c r="DS8" s="557"/>
      <c r="DT8" s="557"/>
      <c r="DU8" s="557"/>
      <c r="DV8" s="557"/>
      <c r="DW8" s="557"/>
      <c r="DX8" s="557"/>
      <c r="DY8" s="557"/>
      <c r="DZ8" s="557"/>
      <c r="EA8" s="557"/>
      <c r="EB8" s="557"/>
      <c r="EC8" s="557"/>
      <c r="ED8" s="557"/>
      <c r="EE8" s="557"/>
      <c r="EF8" s="557"/>
      <c r="EG8" s="557"/>
      <c r="EH8" s="557"/>
      <c r="EI8" s="557"/>
      <c r="EJ8" s="557"/>
      <c r="EK8" s="557"/>
      <c r="EL8" s="557"/>
      <c r="EM8" s="557"/>
      <c r="EN8" s="557"/>
      <c r="EO8" s="557"/>
      <c r="EP8" s="557"/>
      <c r="EQ8" s="557"/>
      <c r="ER8" s="557"/>
      <c r="ES8" s="557"/>
      <c r="ET8" s="557"/>
      <c r="EU8" s="557"/>
      <c r="EV8" s="557"/>
      <c r="EW8" s="557"/>
      <c r="EX8" s="557"/>
      <c r="EY8" s="557"/>
      <c r="EZ8" s="557"/>
      <c r="FA8" s="557"/>
      <c r="FB8" s="557"/>
      <c r="FC8" s="557"/>
      <c r="FD8" s="557"/>
      <c r="FE8" s="557"/>
      <c r="FF8" s="557"/>
      <c r="FG8" s="557"/>
      <c r="FH8" s="557"/>
      <c r="FI8" s="557"/>
      <c r="FJ8" s="557"/>
      <c r="FK8" s="557"/>
      <c r="FL8" s="557"/>
      <c r="FM8" s="557"/>
      <c r="FN8" s="557"/>
      <c r="FO8" s="557"/>
      <c r="FP8" s="557"/>
      <c r="FQ8" s="557"/>
      <c r="FR8" s="557"/>
      <c r="FS8" s="557"/>
      <c r="FT8" s="557"/>
      <c r="FU8" s="557"/>
      <c r="FV8" s="557"/>
      <c r="FW8" s="557"/>
      <c r="FX8" s="557"/>
      <c r="FY8" s="557"/>
      <c r="FZ8" s="557"/>
      <c r="GA8" s="557"/>
      <c r="GB8" s="557"/>
      <c r="GC8" s="557"/>
      <c r="GD8" s="557"/>
      <c r="GE8" s="557"/>
      <c r="GF8" s="557"/>
      <c r="GG8" s="557"/>
      <c r="GH8" s="557"/>
      <c r="GI8" s="557"/>
      <c r="GJ8" s="557"/>
      <c r="GK8" s="557"/>
      <c r="GL8" s="557"/>
      <c r="GM8" s="557"/>
      <c r="GN8" s="557"/>
      <c r="GO8" s="557"/>
      <c r="GP8" s="557"/>
      <c r="GQ8" s="557"/>
      <c r="GR8" s="557"/>
      <c r="GS8" s="557"/>
      <c r="GT8" s="557"/>
      <c r="GU8" s="557"/>
      <c r="GV8" s="557"/>
      <c r="GW8" s="557"/>
      <c r="GX8" s="557"/>
      <c r="GY8" s="557"/>
      <c r="GZ8" s="557"/>
      <c r="HA8" s="557"/>
      <c r="HB8" s="557"/>
      <c r="HC8" s="557"/>
      <c r="HD8" s="557"/>
      <c r="HE8" s="557"/>
      <c r="HF8" s="557"/>
      <c r="HG8" s="557"/>
      <c r="HH8" s="557"/>
      <c r="HI8" s="557"/>
      <c r="HJ8" s="557"/>
      <c r="HK8" s="557"/>
      <c r="HL8" s="557"/>
      <c r="HM8" s="557"/>
      <c r="HN8" s="557"/>
      <c r="HO8" s="557"/>
      <c r="HP8" s="557"/>
      <c r="HQ8" s="557"/>
      <c r="HR8" s="557"/>
      <c r="HS8" s="557"/>
      <c r="HT8" s="557"/>
      <c r="HU8" s="557"/>
      <c r="HV8" s="557"/>
      <c r="HW8" s="557"/>
      <c r="HX8" s="557"/>
      <c r="HY8" s="557"/>
      <c r="HZ8" s="557"/>
      <c r="IA8" s="557"/>
      <c r="IB8" s="557"/>
      <c r="IC8" s="557"/>
      <c r="ID8" s="557"/>
      <c r="IE8" s="557"/>
      <c r="IF8" s="557"/>
      <c r="IG8" s="557"/>
      <c r="IH8" s="557"/>
      <c r="II8" s="557"/>
      <c r="IJ8" s="557"/>
      <c r="IK8" s="557"/>
      <c r="IL8" s="557"/>
      <c r="IM8" s="557"/>
      <c r="IN8" s="557"/>
      <c r="IO8" s="557"/>
      <c r="IP8" s="557"/>
      <c r="IQ8" s="557"/>
      <c r="IR8" s="557"/>
      <c r="IS8" s="557"/>
      <c r="IT8" s="557"/>
      <c r="IU8" s="557"/>
      <c r="IV8" s="557"/>
    </row>
    <row r="9" spans="1:256" s="582" customFormat="1">
      <c r="A9" s="583" t="s">
        <v>26866</v>
      </c>
      <c r="B9" s="584">
        <v>868.70899999999995</v>
      </c>
      <c r="C9" s="585">
        <v>532.47699999999998</v>
      </c>
      <c r="D9" s="585">
        <f t="shared" si="0"/>
        <v>1.002311533762887</v>
      </c>
      <c r="E9" s="585">
        <f t="shared" si="1"/>
        <v>1.0043138723182587</v>
      </c>
      <c r="F9" s="585">
        <v>678.64200000000005</v>
      </c>
      <c r="G9" s="585">
        <f t="shared" si="2"/>
        <v>1.0023283390775612</v>
      </c>
      <c r="H9" s="586">
        <v>741.30499999999995</v>
      </c>
      <c r="I9" s="557"/>
      <c r="J9" s="557"/>
      <c r="K9" s="557"/>
      <c r="L9" s="557"/>
      <c r="M9" s="557"/>
      <c r="N9" s="557"/>
      <c r="O9" s="557"/>
      <c r="P9" s="557"/>
      <c r="Q9" s="557"/>
      <c r="R9" s="557"/>
      <c r="S9" s="557"/>
      <c r="T9" s="557"/>
      <c r="U9" s="557"/>
      <c r="V9" s="557"/>
      <c r="W9" s="557"/>
      <c r="X9" s="557"/>
      <c r="Y9" s="557"/>
      <c r="Z9" s="557"/>
      <c r="AA9" s="557"/>
      <c r="AB9" s="557"/>
      <c r="AC9" s="557"/>
      <c r="AD9" s="557"/>
      <c r="AE9" s="557"/>
      <c r="AF9" s="557"/>
      <c r="AG9" s="557"/>
      <c r="AH9" s="557"/>
      <c r="AI9" s="557"/>
      <c r="AJ9" s="557"/>
      <c r="AK9" s="557"/>
      <c r="AL9" s="557"/>
      <c r="AM9" s="557"/>
      <c r="AN9" s="557"/>
      <c r="AO9" s="557"/>
      <c r="AP9" s="557"/>
      <c r="AQ9" s="557"/>
      <c r="AR9" s="557"/>
      <c r="AS9" s="557"/>
      <c r="AT9" s="557"/>
      <c r="AU9" s="557"/>
      <c r="AV9" s="557"/>
      <c r="AW9" s="557"/>
      <c r="AX9" s="557"/>
      <c r="AY9" s="557"/>
      <c r="AZ9" s="557"/>
      <c r="BA9" s="557"/>
      <c r="BB9" s="557"/>
      <c r="BC9" s="557"/>
      <c r="BD9" s="557"/>
      <c r="BE9" s="557"/>
      <c r="BF9" s="557"/>
      <c r="BG9" s="557"/>
      <c r="BH9" s="557"/>
      <c r="BI9" s="557"/>
      <c r="BJ9" s="557"/>
      <c r="BK9" s="557"/>
      <c r="BL9" s="557"/>
      <c r="BM9" s="557"/>
      <c r="BN9" s="557"/>
      <c r="BO9" s="557"/>
      <c r="BP9" s="557"/>
      <c r="BQ9" s="557"/>
      <c r="BR9" s="557"/>
      <c r="BS9" s="557"/>
      <c r="BT9" s="557"/>
      <c r="BU9" s="557"/>
      <c r="BV9" s="557"/>
      <c r="BW9" s="557"/>
      <c r="BX9" s="557"/>
      <c r="BY9" s="557"/>
      <c r="BZ9" s="557"/>
      <c r="CA9" s="557"/>
      <c r="CB9" s="557"/>
      <c r="CC9" s="557"/>
      <c r="CD9" s="557"/>
      <c r="CE9" s="557"/>
      <c r="CF9" s="557"/>
      <c r="CG9" s="557"/>
      <c r="CH9" s="557"/>
      <c r="CI9" s="557"/>
      <c r="CJ9" s="557"/>
      <c r="CK9" s="557"/>
      <c r="CL9" s="557"/>
      <c r="CM9" s="557"/>
      <c r="CN9" s="557"/>
      <c r="CO9" s="557"/>
      <c r="CP9" s="557"/>
      <c r="CQ9" s="557"/>
      <c r="CR9" s="557"/>
      <c r="CS9" s="557"/>
      <c r="CT9" s="557"/>
      <c r="CU9" s="557"/>
      <c r="CV9" s="557"/>
      <c r="CW9" s="557"/>
      <c r="CX9" s="557"/>
      <c r="CY9" s="557"/>
      <c r="CZ9" s="557"/>
      <c r="DA9" s="557"/>
      <c r="DB9" s="557"/>
      <c r="DC9" s="557"/>
      <c r="DD9" s="557"/>
      <c r="DE9" s="557"/>
      <c r="DF9" s="557"/>
      <c r="DG9" s="557"/>
      <c r="DH9" s="557"/>
      <c r="DI9" s="557"/>
      <c r="DJ9" s="557"/>
      <c r="DK9" s="557"/>
      <c r="DL9" s="557"/>
      <c r="DM9" s="557"/>
      <c r="DN9" s="557"/>
      <c r="DO9" s="557"/>
      <c r="DP9" s="557"/>
      <c r="DQ9" s="557"/>
      <c r="DR9" s="557"/>
      <c r="DS9" s="557"/>
      <c r="DT9" s="557"/>
      <c r="DU9" s="557"/>
      <c r="DV9" s="557"/>
      <c r="DW9" s="557"/>
      <c r="DX9" s="557"/>
      <c r="DY9" s="557"/>
      <c r="DZ9" s="557"/>
      <c r="EA9" s="557"/>
      <c r="EB9" s="557"/>
      <c r="EC9" s="557"/>
      <c r="ED9" s="557"/>
      <c r="EE9" s="557"/>
      <c r="EF9" s="557"/>
      <c r="EG9" s="557"/>
      <c r="EH9" s="557"/>
      <c r="EI9" s="557"/>
      <c r="EJ9" s="557"/>
      <c r="EK9" s="557"/>
      <c r="EL9" s="557"/>
      <c r="EM9" s="557"/>
      <c r="EN9" s="557"/>
      <c r="EO9" s="557"/>
      <c r="EP9" s="557"/>
      <c r="EQ9" s="557"/>
      <c r="ER9" s="557"/>
      <c r="ES9" s="557"/>
      <c r="ET9" s="557"/>
      <c r="EU9" s="557"/>
      <c r="EV9" s="557"/>
      <c r="EW9" s="557"/>
      <c r="EX9" s="557"/>
      <c r="EY9" s="557"/>
      <c r="EZ9" s="557"/>
      <c r="FA9" s="557"/>
      <c r="FB9" s="557"/>
      <c r="FC9" s="557"/>
      <c r="FD9" s="557"/>
      <c r="FE9" s="557"/>
      <c r="FF9" s="557"/>
      <c r="FG9" s="557"/>
      <c r="FH9" s="557"/>
      <c r="FI9" s="557"/>
      <c r="FJ9" s="557"/>
      <c r="FK9" s="557"/>
      <c r="FL9" s="557"/>
      <c r="FM9" s="557"/>
      <c r="FN9" s="557"/>
      <c r="FO9" s="557"/>
      <c r="FP9" s="557"/>
      <c r="FQ9" s="557"/>
      <c r="FR9" s="557"/>
      <c r="FS9" s="557"/>
      <c r="FT9" s="557"/>
      <c r="FU9" s="557"/>
      <c r="FV9" s="557"/>
      <c r="FW9" s="557"/>
      <c r="FX9" s="557"/>
      <c r="FY9" s="557"/>
      <c r="FZ9" s="557"/>
      <c r="GA9" s="557"/>
      <c r="GB9" s="557"/>
      <c r="GC9" s="557"/>
      <c r="GD9" s="557"/>
      <c r="GE9" s="557"/>
      <c r="GF9" s="557"/>
      <c r="GG9" s="557"/>
      <c r="GH9" s="557"/>
      <c r="GI9" s="557"/>
      <c r="GJ9" s="557"/>
      <c r="GK9" s="557"/>
      <c r="GL9" s="557"/>
      <c r="GM9" s="557"/>
      <c r="GN9" s="557"/>
      <c r="GO9" s="557"/>
      <c r="GP9" s="557"/>
      <c r="GQ9" s="557"/>
      <c r="GR9" s="557"/>
      <c r="GS9" s="557"/>
      <c r="GT9" s="557"/>
      <c r="GU9" s="557"/>
      <c r="GV9" s="557"/>
      <c r="GW9" s="557"/>
      <c r="GX9" s="557"/>
      <c r="GY9" s="557"/>
      <c r="GZ9" s="557"/>
      <c r="HA9" s="557"/>
      <c r="HB9" s="557"/>
      <c r="HC9" s="557"/>
      <c r="HD9" s="557"/>
      <c r="HE9" s="557"/>
      <c r="HF9" s="557"/>
      <c r="HG9" s="557"/>
      <c r="HH9" s="557"/>
      <c r="HI9" s="557"/>
      <c r="HJ9" s="557"/>
      <c r="HK9" s="557"/>
      <c r="HL9" s="557"/>
      <c r="HM9" s="557"/>
      <c r="HN9" s="557"/>
      <c r="HO9" s="557"/>
      <c r="HP9" s="557"/>
      <c r="HQ9" s="557"/>
      <c r="HR9" s="557"/>
      <c r="HS9" s="557"/>
      <c r="HT9" s="557"/>
      <c r="HU9" s="557"/>
      <c r="HV9" s="557"/>
      <c r="HW9" s="557"/>
      <c r="HX9" s="557"/>
      <c r="HY9" s="557"/>
      <c r="HZ9" s="557"/>
      <c r="IA9" s="557"/>
      <c r="IB9" s="557"/>
      <c r="IC9" s="557"/>
      <c r="ID9" s="557"/>
      <c r="IE9" s="557"/>
      <c r="IF9" s="557"/>
      <c r="IG9" s="557"/>
      <c r="IH9" s="557"/>
      <c r="II9" s="557"/>
      <c r="IJ9" s="557"/>
      <c r="IK9" s="557"/>
      <c r="IL9" s="557"/>
      <c r="IM9" s="557"/>
      <c r="IN9" s="557"/>
      <c r="IO9" s="557"/>
      <c r="IP9" s="557"/>
      <c r="IQ9" s="557"/>
      <c r="IR9" s="557"/>
      <c r="IS9" s="557"/>
      <c r="IT9" s="557"/>
      <c r="IU9" s="557"/>
      <c r="IV9" s="557"/>
    </row>
    <row r="10" spans="1:256" s="582" customFormat="1">
      <c r="A10" s="583" t="s">
        <v>26867</v>
      </c>
      <c r="B10" s="584">
        <v>881.93600000000004</v>
      </c>
      <c r="C10" s="585">
        <v>535.28599999999994</v>
      </c>
      <c r="D10" s="585">
        <f t="shared" si="0"/>
        <v>1.0052753452261787</v>
      </c>
      <c r="E10" s="585">
        <f t="shared" si="1"/>
        <v>1.0106639435814464</v>
      </c>
      <c r="F10" s="585">
        <v>685.87900000000002</v>
      </c>
      <c r="G10" s="585">
        <f t="shared" si="2"/>
        <v>1.0034547183682829</v>
      </c>
      <c r="H10" s="586">
        <v>743.86599999999999</v>
      </c>
      <c r="I10" s="557"/>
      <c r="J10" s="557"/>
      <c r="K10" s="557"/>
      <c r="L10" s="557"/>
      <c r="M10" s="557"/>
      <c r="N10" s="557"/>
      <c r="O10" s="557"/>
      <c r="P10" s="557"/>
      <c r="Q10" s="557"/>
      <c r="R10" s="557"/>
      <c r="S10" s="557"/>
      <c r="T10" s="557"/>
      <c r="U10" s="557"/>
      <c r="V10" s="557"/>
      <c r="W10" s="557"/>
      <c r="X10" s="557"/>
      <c r="Y10" s="557"/>
      <c r="Z10" s="557"/>
      <c r="AA10" s="557"/>
      <c r="AB10" s="557"/>
      <c r="AC10" s="557"/>
      <c r="AD10" s="557"/>
      <c r="AE10" s="557"/>
      <c r="AF10" s="557"/>
      <c r="AG10" s="557"/>
      <c r="AH10" s="557"/>
      <c r="AI10" s="557"/>
      <c r="AJ10" s="557"/>
      <c r="AK10" s="557"/>
      <c r="AL10" s="557"/>
      <c r="AM10" s="557"/>
      <c r="AN10" s="557"/>
      <c r="AO10" s="557"/>
      <c r="AP10" s="557"/>
      <c r="AQ10" s="557"/>
      <c r="AR10" s="557"/>
      <c r="AS10" s="557"/>
      <c r="AT10" s="557"/>
      <c r="AU10" s="557"/>
      <c r="AV10" s="557"/>
      <c r="AW10" s="557"/>
      <c r="AX10" s="557"/>
      <c r="AY10" s="557"/>
      <c r="AZ10" s="557"/>
      <c r="BA10" s="557"/>
      <c r="BB10" s="557"/>
      <c r="BC10" s="557"/>
      <c r="BD10" s="557"/>
      <c r="BE10" s="557"/>
      <c r="BF10" s="557"/>
      <c r="BG10" s="557"/>
      <c r="BH10" s="557"/>
      <c r="BI10" s="557"/>
      <c r="BJ10" s="557"/>
      <c r="BK10" s="557"/>
      <c r="BL10" s="557"/>
      <c r="BM10" s="557"/>
      <c r="BN10" s="557"/>
      <c r="BO10" s="557"/>
      <c r="BP10" s="557"/>
      <c r="BQ10" s="557"/>
      <c r="BR10" s="557"/>
      <c r="BS10" s="557"/>
      <c r="BT10" s="557"/>
      <c r="BU10" s="557"/>
      <c r="BV10" s="557"/>
      <c r="BW10" s="557"/>
      <c r="BX10" s="557"/>
      <c r="BY10" s="557"/>
      <c r="BZ10" s="557"/>
      <c r="CA10" s="557"/>
      <c r="CB10" s="557"/>
      <c r="CC10" s="557"/>
      <c r="CD10" s="557"/>
      <c r="CE10" s="557"/>
      <c r="CF10" s="557"/>
      <c r="CG10" s="557"/>
      <c r="CH10" s="557"/>
      <c r="CI10" s="557"/>
      <c r="CJ10" s="557"/>
      <c r="CK10" s="557"/>
      <c r="CL10" s="557"/>
      <c r="CM10" s="557"/>
      <c r="CN10" s="557"/>
      <c r="CO10" s="557"/>
      <c r="CP10" s="557"/>
      <c r="CQ10" s="557"/>
      <c r="CR10" s="557"/>
      <c r="CS10" s="557"/>
      <c r="CT10" s="557"/>
      <c r="CU10" s="557"/>
      <c r="CV10" s="557"/>
      <c r="CW10" s="557"/>
      <c r="CX10" s="557"/>
      <c r="CY10" s="557"/>
      <c r="CZ10" s="557"/>
      <c r="DA10" s="557"/>
      <c r="DB10" s="557"/>
      <c r="DC10" s="557"/>
      <c r="DD10" s="557"/>
      <c r="DE10" s="557"/>
      <c r="DF10" s="557"/>
      <c r="DG10" s="557"/>
      <c r="DH10" s="557"/>
      <c r="DI10" s="557"/>
      <c r="DJ10" s="557"/>
      <c r="DK10" s="557"/>
      <c r="DL10" s="557"/>
      <c r="DM10" s="557"/>
      <c r="DN10" s="557"/>
      <c r="DO10" s="557"/>
      <c r="DP10" s="557"/>
      <c r="DQ10" s="557"/>
      <c r="DR10" s="557"/>
      <c r="DS10" s="557"/>
      <c r="DT10" s="557"/>
      <c r="DU10" s="557"/>
      <c r="DV10" s="557"/>
      <c r="DW10" s="557"/>
      <c r="DX10" s="557"/>
      <c r="DY10" s="557"/>
      <c r="DZ10" s="557"/>
      <c r="EA10" s="557"/>
      <c r="EB10" s="557"/>
      <c r="EC10" s="557"/>
      <c r="ED10" s="557"/>
      <c r="EE10" s="557"/>
      <c r="EF10" s="557"/>
      <c r="EG10" s="557"/>
      <c r="EH10" s="557"/>
      <c r="EI10" s="557"/>
      <c r="EJ10" s="557"/>
      <c r="EK10" s="557"/>
      <c r="EL10" s="557"/>
      <c r="EM10" s="557"/>
      <c r="EN10" s="557"/>
      <c r="EO10" s="557"/>
      <c r="EP10" s="557"/>
      <c r="EQ10" s="557"/>
      <c r="ER10" s="557"/>
      <c r="ES10" s="557"/>
      <c r="ET10" s="557"/>
      <c r="EU10" s="557"/>
      <c r="EV10" s="557"/>
      <c r="EW10" s="557"/>
      <c r="EX10" s="557"/>
      <c r="EY10" s="557"/>
      <c r="EZ10" s="557"/>
      <c r="FA10" s="557"/>
      <c r="FB10" s="557"/>
      <c r="FC10" s="557"/>
      <c r="FD10" s="557"/>
      <c r="FE10" s="557"/>
      <c r="FF10" s="557"/>
      <c r="FG10" s="557"/>
      <c r="FH10" s="557"/>
      <c r="FI10" s="557"/>
      <c r="FJ10" s="557"/>
      <c r="FK10" s="557"/>
      <c r="FL10" s="557"/>
      <c r="FM10" s="557"/>
      <c r="FN10" s="557"/>
      <c r="FO10" s="557"/>
      <c r="FP10" s="557"/>
      <c r="FQ10" s="557"/>
      <c r="FR10" s="557"/>
      <c r="FS10" s="557"/>
      <c r="FT10" s="557"/>
      <c r="FU10" s="557"/>
      <c r="FV10" s="557"/>
      <c r="FW10" s="557"/>
      <c r="FX10" s="557"/>
      <c r="FY10" s="557"/>
      <c r="FZ10" s="557"/>
      <c r="GA10" s="557"/>
      <c r="GB10" s="557"/>
      <c r="GC10" s="557"/>
      <c r="GD10" s="557"/>
      <c r="GE10" s="557"/>
      <c r="GF10" s="557"/>
      <c r="GG10" s="557"/>
      <c r="GH10" s="557"/>
      <c r="GI10" s="557"/>
      <c r="GJ10" s="557"/>
      <c r="GK10" s="557"/>
      <c r="GL10" s="557"/>
      <c r="GM10" s="557"/>
      <c r="GN10" s="557"/>
      <c r="GO10" s="557"/>
      <c r="GP10" s="557"/>
      <c r="GQ10" s="557"/>
      <c r="GR10" s="557"/>
      <c r="GS10" s="557"/>
      <c r="GT10" s="557"/>
      <c r="GU10" s="557"/>
      <c r="GV10" s="557"/>
      <c r="GW10" s="557"/>
      <c r="GX10" s="557"/>
      <c r="GY10" s="557"/>
      <c r="GZ10" s="557"/>
      <c r="HA10" s="557"/>
      <c r="HB10" s="557"/>
      <c r="HC10" s="557"/>
      <c r="HD10" s="557"/>
      <c r="HE10" s="557"/>
      <c r="HF10" s="557"/>
      <c r="HG10" s="557"/>
      <c r="HH10" s="557"/>
      <c r="HI10" s="557"/>
      <c r="HJ10" s="557"/>
      <c r="HK10" s="557"/>
      <c r="HL10" s="557"/>
      <c r="HM10" s="557"/>
      <c r="HN10" s="557"/>
      <c r="HO10" s="557"/>
      <c r="HP10" s="557"/>
      <c r="HQ10" s="557"/>
      <c r="HR10" s="557"/>
      <c r="HS10" s="557"/>
      <c r="HT10" s="557"/>
      <c r="HU10" s="557"/>
      <c r="HV10" s="557"/>
      <c r="HW10" s="557"/>
      <c r="HX10" s="557"/>
      <c r="HY10" s="557"/>
      <c r="HZ10" s="557"/>
      <c r="IA10" s="557"/>
      <c r="IB10" s="557"/>
      <c r="IC10" s="557"/>
      <c r="ID10" s="557"/>
      <c r="IE10" s="557"/>
      <c r="IF10" s="557"/>
      <c r="IG10" s="557"/>
      <c r="IH10" s="557"/>
      <c r="II10" s="557"/>
      <c r="IJ10" s="557"/>
      <c r="IK10" s="557"/>
      <c r="IL10" s="557"/>
      <c r="IM10" s="557"/>
      <c r="IN10" s="557"/>
      <c r="IO10" s="557"/>
      <c r="IP10" s="557"/>
      <c r="IQ10" s="557"/>
      <c r="IR10" s="557"/>
      <c r="IS10" s="557"/>
      <c r="IT10" s="557"/>
      <c r="IU10" s="557"/>
      <c r="IV10" s="557"/>
    </row>
    <row r="11" spans="1:256" s="582" customFormat="1">
      <c r="A11" s="583" t="s">
        <v>26868</v>
      </c>
      <c r="B11" s="584">
        <v>881.93600000000004</v>
      </c>
      <c r="C11" s="585">
        <v>540.05499999999995</v>
      </c>
      <c r="D11" s="585">
        <f>C11/C10</f>
        <v>1.0089092559865194</v>
      </c>
      <c r="E11" s="585">
        <f>F11/F10</f>
        <v>1.0040619409545999</v>
      </c>
      <c r="F11" s="585">
        <v>688.66499999999996</v>
      </c>
      <c r="G11" s="585">
        <f t="shared" si="2"/>
        <v>1.0013429838169778</v>
      </c>
      <c r="H11" s="586">
        <v>744.86500000000001</v>
      </c>
      <c r="I11" s="557"/>
      <c r="J11" s="557"/>
      <c r="K11" s="557"/>
      <c r="L11" s="557"/>
      <c r="M11" s="557"/>
      <c r="N11" s="557"/>
      <c r="O11" s="557"/>
      <c r="P11" s="557"/>
      <c r="Q11" s="557"/>
      <c r="R11" s="557"/>
      <c r="S11" s="557"/>
      <c r="T11" s="557"/>
      <c r="U11" s="557"/>
      <c r="V11" s="557"/>
      <c r="W11" s="557"/>
      <c r="X11" s="557"/>
      <c r="Y11" s="557"/>
      <c r="Z11" s="557"/>
      <c r="AA11" s="557"/>
      <c r="AB11" s="557"/>
      <c r="AC11" s="557"/>
      <c r="AD11" s="557"/>
      <c r="AE11" s="557"/>
      <c r="AF11" s="557"/>
      <c r="AG11" s="557"/>
      <c r="AH11" s="557"/>
      <c r="AI11" s="557"/>
      <c r="AJ11" s="557"/>
      <c r="AK11" s="557"/>
      <c r="AL11" s="557"/>
      <c r="AM11" s="557"/>
      <c r="AN11" s="557"/>
      <c r="AO11" s="557"/>
      <c r="AP11" s="557"/>
      <c r="AQ11" s="557"/>
      <c r="AR11" s="557"/>
      <c r="AS11" s="557"/>
      <c r="AT11" s="557"/>
      <c r="AU11" s="557"/>
      <c r="AV11" s="557"/>
      <c r="AW11" s="557"/>
      <c r="AX11" s="557"/>
      <c r="AY11" s="557"/>
      <c r="AZ11" s="557"/>
      <c r="BA11" s="557"/>
      <c r="BB11" s="557"/>
      <c r="BC11" s="557"/>
      <c r="BD11" s="557"/>
      <c r="BE11" s="557"/>
      <c r="BF11" s="557"/>
      <c r="BG11" s="557"/>
      <c r="BH11" s="557"/>
      <c r="BI11" s="557"/>
      <c r="BJ11" s="557"/>
      <c r="BK11" s="557"/>
      <c r="BL11" s="557"/>
      <c r="BM11" s="557"/>
      <c r="BN11" s="557"/>
      <c r="BO11" s="557"/>
      <c r="BP11" s="557"/>
      <c r="BQ11" s="557"/>
      <c r="BR11" s="557"/>
      <c r="BS11" s="557"/>
      <c r="BT11" s="557"/>
      <c r="BU11" s="557"/>
      <c r="BV11" s="557"/>
      <c r="BW11" s="557"/>
      <c r="BX11" s="557"/>
      <c r="BY11" s="557"/>
      <c r="BZ11" s="557"/>
      <c r="CA11" s="557"/>
      <c r="CB11" s="557"/>
      <c r="CC11" s="557"/>
      <c r="CD11" s="557"/>
      <c r="CE11" s="557"/>
      <c r="CF11" s="557"/>
      <c r="CG11" s="557"/>
      <c r="CH11" s="557"/>
      <c r="CI11" s="557"/>
      <c r="CJ11" s="557"/>
      <c r="CK11" s="557"/>
      <c r="CL11" s="557"/>
      <c r="CM11" s="557"/>
      <c r="CN11" s="557"/>
      <c r="CO11" s="557"/>
      <c r="CP11" s="557"/>
      <c r="CQ11" s="557"/>
      <c r="CR11" s="557"/>
      <c r="CS11" s="557"/>
      <c r="CT11" s="557"/>
      <c r="CU11" s="557"/>
      <c r="CV11" s="557"/>
      <c r="CW11" s="557"/>
      <c r="CX11" s="557"/>
      <c r="CY11" s="557"/>
      <c r="CZ11" s="557"/>
      <c r="DA11" s="557"/>
      <c r="DB11" s="557"/>
      <c r="DC11" s="557"/>
      <c r="DD11" s="557"/>
      <c r="DE11" s="557"/>
      <c r="DF11" s="557"/>
      <c r="DG11" s="557"/>
      <c r="DH11" s="557"/>
      <c r="DI11" s="557"/>
      <c r="DJ11" s="557"/>
      <c r="DK11" s="557"/>
      <c r="DL11" s="557"/>
      <c r="DM11" s="557"/>
      <c r="DN11" s="557"/>
      <c r="DO11" s="557"/>
      <c r="DP11" s="557"/>
      <c r="DQ11" s="557"/>
      <c r="DR11" s="557"/>
      <c r="DS11" s="557"/>
      <c r="DT11" s="557"/>
      <c r="DU11" s="557"/>
      <c r="DV11" s="557"/>
      <c r="DW11" s="557"/>
      <c r="DX11" s="557"/>
      <c r="DY11" s="557"/>
      <c r="DZ11" s="557"/>
      <c r="EA11" s="557"/>
      <c r="EB11" s="557"/>
      <c r="EC11" s="557"/>
      <c r="ED11" s="557"/>
      <c r="EE11" s="557"/>
      <c r="EF11" s="557"/>
      <c r="EG11" s="557"/>
      <c r="EH11" s="557"/>
      <c r="EI11" s="557"/>
      <c r="EJ11" s="557"/>
      <c r="EK11" s="557"/>
      <c r="EL11" s="557"/>
      <c r="EM11" s="557"/>
      <c r="EN11" s="557"/>
      <c r="EO11" s="557"/>
      <c r="EP11" s="557"/>
      <c r="EQ11" s="557"/>
      <c r="ER11" s="557"/>
      <c r="ES11" s="557"/>
      <c r="ET11" s="557"/>
      <c r="EU11" s="557"/>
      <c r="EV11" s="557"/>
      <c r="EW11" s="557"/>
      <c r="EX11" s="557"/>
      <c r="EY11" s="557"/>
      <c r="EZ11" s="557"/>
      <c r="FA11" s="557"/>
      <c r="FB11" s="557"/>
      <c r="FC11" s="557"/>
      <c r="FD11" s="557"/>
      <c r="FE11" s="557"/>
      <c r="FF11" s="557"/>
      <c r="FG11" s="557"/>
      <c r="FH11" s="557"/>
      <c r="FI11" s="557"/>
      <c r="FJ11" s="557"/>
      <c r="FK11" s="557"/>
      <c r="FL11" s="557"/>
      <c r="FM11" s="557"/>
      <c r="FN11" s="557"/>
      <c r="FO11" s="557"/>
      <c r="FP11" s="557"/>
      <c r="FQ11" s="557"/>
      <c r="FR11" s="557"/>
      <c r="FS11" s="557"/>
      <c r="FT11" s="557"/>
      <c r="FU11" s="557"/>
      <c r="FV11" s="557"/>
      <c r="FW11" s="557"/>
      <c r="FX11" s="557"/>
      <c r="FY11" s="557"/>
      <c r="FZ11" s="557"/>
      <c r="GA11" s="557"/>
      <c r="GB11" s="557"/>
      <c r="GC11" s="557"/>
      <c r="GD11" s="557"/>
      <c r="GE11" s="557"/>
      <c r="GF11" s="557"/>
      <c r="GG11" s="557"/>
      <c r="GH11" s="557"/>
      <c r="GI11" s="557"/>
      <c r="GJ11" s="557"/>
      <c r="GK11" s="557"/>
      <c r="GL11" s="557"/>
      <c r="GM11" s="557"/>
      <c r="GN11" s="557"/>
      <c r="GO11" s="557"/>
      <c r="GP11" s="557"/>
      <c r="GQ11" s="557"/>
      <c r="GR11" s="557"/>
      <c r="GS11" s="557"/>
      <c r="GT11" s="557"/>
      <c r="GU11" s="557"/>
      <c r="GV11" s="557"/>
      <c r="GW11" s="557"/>
      <c r="GX11" s="557"/>
      <c r="GY11" s="557"/>
      <c r="GZ11" s="557"/>
      <c r="HA11" s="557"/>
      <c r="HB11" s="557"/>
      <c r="HC11" s="557"/>
      <c r="HD11" s="557"/>
      <c r="HE11" s="557"/>
      <c r="HF11" s="557"/>
      <c r="HG11" s="557"/>
      <c r="HH11" s="557"/>
      <c r="HI11" s="557"/>
      <c r="HJ11" s="557"/>
      <c r="HK11" s="557"/>
      <c r="HL11" s="557"/>
      <c r="HM11" s="557"/>
      <c r="HN11" s="557"/>
      <c r="HO11" s="557"/>
      <c r="HP11" s="557"/>
      <c r="HQ11" s="557"/>
      <c r="HR11" s="557"/>
      <c r="HS11" s="557"/>
      <c r="HT11" s="557"/>
      <c r="HU11" s="557"/>
      <c r="HV11" s="557"/>
      <c r="HW11" s="557"/>
      <c r="HX11" s="557"/>
      <c r="HY11" s="557"/>
      <c r="HZ11" s="557"/>
      <c r="IA11" s="557"/>
      <c r="IB11" s="557"/>
      <c r="IC11" s="557"/>
      <c r="ID11" s="557"/>
      <c r="IE11" s="557"/>
      <c r="IF11" s="557"/>
      <c r="IG11" s="557"/>
      <c r="IH11" s="557"/>
      <c r="II11" s="557"/>
      <c r="IJ11" s="557"/>
      <c r="IK11" s="557"/>
      <c r="IL11" s="557"/>
      <c r="IM11" s="557"/>
      <c r="IN11" s="557"/>
      <c r="IO11" s="557"/>
      <c r="IP11" s="557"/>
      <c r="IQ11" s="557"/>
      <c r="IR11" s="557"/>
      <c r="IS11" s="557"/>
      <c r="IT11" s="557"/>
      <c r="IU11" s="557"/>
      <c r="IV11" s="557"/>
    </row>
    <row r="12" spans="1:256" s="582" customFormat="1">
      <c r="A12" s="583" t="s">
        <v>26869</v>
      </c>
      <c r="B12" s="584">
        <v>881.93600000000004</v>
      </c>
      <c r="C12" s="585">
        <v>543.59799999999996</v>
      </c>
      <c r="D12" s="585">
        <f t="shared" ref="D12:D40" si="3">C12/C11</f>
        <v>1.006560442917851</v>
      </c>
      <c r="E12" s="585">
        <f t="shared" ref="E12:E40" si="4">F12/F11</f>
        <v>1.0030058155997474</v>
      </c>
      <c r="F12" s="585">
        <v>690.73500000000001</v>
      </c>
      <c r="G12" s="585">
        <f t="shared" si="2"/>
        <v>1.0013304424291649</v>
      </c>
      <c r="H12" s="586">
        <v>745.85599999999999</v>
      </c>
      <c r="I12" s="557"/>
      <c r="J12" s="557"/>
      <c r="K12" s="557"/>
      <c r="L12" s="557"/>
      <c r="M12" s="557"/>
      <c r="N12" s="557"/>
      <c r="O12" s="557"/>
      <c r="P12" s="557"/>
      <c r="Q12" s="557"/>
      <c r="R12" s="557"/>
      <c r="S12" s="557"/>
      <c r="T12" s="557"/>
      <c r="U12" s="557"/>
      <c r="V12" s="557"/>
      <c r="W12" s="557"/>
      <c r="X12" s="557"/>
      <c r="Y12" s="557"/>
      <c r="Z12" s="557"/>
      <c r="AA12" s="557"/>
      <c r="AB12" s="557"/>
      <c r="AC12" s="557"/>
      <c r="AD12" s="557"/>
      <c r="AE12" s="557"/>
      <c r="AF12" s="557"/>
      <c r="AG12" s="557"/>
      <c r="AH12" s="557"/>
      <c r="AI12" s="557"/>
      <c r="AJ12" s="557"/>
      <c r="AK12" s="557"/>
      <c r="AL12" s="557"/>
      <c r="AM12" s="557"/>
      <c r="AN12" s="557"/>
      <c r="AO12" s="557"/>
      <c r="AP12" s="557"/>
      <c r="AQ12" s="557"/>
      <c r="AR12" s="557"/>
      <c r="AS12" s="557"/>
      <c r="AT12" s="557"/>
      <c r="AU12" s="557"/>
      <c r="AV12" s="557"/>
      <c r="AW12" s="557"/>
      <c r="AX12" s="557"/>
      <c r="AY12" s="557"/>
      <c r="AZ12" s="557"/>
      <c r="BA12" s="557"/>
      <c r="BB12" s="557"/>
      <c r="BC12" s="557"/>
      <c r="BD12" s="557"/>
      <c r="BE12" s="557"/>
      <c r="BF12" s="557"/>
      <c r="BG12" s="557"/>
      <c r="BH12" s="557"/>
      <c r="BI12" s="557"/>
      <c r="BJ12" s="557"/>
      <c r="BK12" s="557"/>
      <c r="BL12" s="557"/>
      <c r="BM12" s="557"/>
      <c r="BN12" s="557"/>
      <c r="BO12" s="557"/>
      <c r="BP12" s="557"/>
      <c r="BQ12" s="557"/>
      <c r="BR12" s="557"/>
      <c r="BS12" s="557"/>
      <c r="BT12" s="557"/>
      <c r="BU12" s="557"/>
      <c r="BV12" s="557"/>
      <c r="BW12" s="557"/>
      <c r="BX12" s="557"/>
      <c r="BY12" s="557"/>
      <c r="BZ12" s="557"/>
      <c r="CA12" s="557"/>
      <c r="CB12" s="557"/>
      <c r="CC12" s="557"/>
      <c r="CD12" s="557"/>
      <c r="CE12" s="557"/>
      <c r="CF12" s="557"/>
      <c r="CG12" s="557"/>
      <c r="CH12" s="557"/>
      <c r="CI12" s="557"/>
      <c r="CJ12" s="557"/>
      <c r="CK12" s="557"/>
      <c r="CL12" s="557"/>
      <c r="CM12" s="557"/>
      <c r="CN12" s="557"/>
      <c r="CO12" s="557"/>
      <c r="CP12" s="557"/>
      <c r="CQ12" s="557"/>
      <c r="CR12" s="557"/>
      <c r="CS12" s="557"/>
      <c r="CT12" s="557"/>
      <c r="CU12" s="557"/>
      <c r="CV12" s="557"/>
      <c r="CW12" s="557"/>
      <c r="CX12" s="557"/>
      <c r="CY12" s="557"/>
      <c r="CZ12" s="557"/>
      <c r="DA12" s="557"/>
      <c r="DB12" s="557"/>
      <c r="DC12" s="557"/>
      <c r="DD12" s="557"/>
      <c r="DE12" s="557"/>
      <c r="DF12" s="557"/>
      <c r="DG12" s="557"/>
      <c r="DH12" s="557"/>
      <c r="DI12" s="557"/>
      <c r="DJ12" s="557"/>
      <c r="DK12" s="557"/>
      <c r="DL12" s="557"/>
      <c r="DM12" s="557"/>
      <c r="DN12" s="557"/>
      <c r="DO12" s="557"/>
      <c r="DP12" s="557"/>
      <c r="DQ12" s="557"/>
      <c r="DR12" s="557"/>
      <c r="DS12" s="557"/>
      <c r="DT12" s="557"/>
      <c r="DU12" s="557"/>
      <c r="DV12" s="557"/>
      <c r="DW12" s="557"/>
      <c r="DX12" s="557"/>
      <c r="DY12" s="557"/>
      <c r="DZ12" s="557"/>
      <c r="EA12" s="557"/>
      <c r="EB12" s="557"/>
      <c r="EC12" s="557"/>
      <c r="ED12" s="557"/>
      <c r="EE12" s="557"/>
      <c r="EF12" s="557"/>
      <c r="EG12" s="557"/>
      <c r="EH12" s="557"/>
      <c r="EI12" s="557"/>
      <c r="EJ12" s="557"/>
      <c r="EK12" s="557"/>
      <c r="EL12" s="557"/>
      <c r="EM12" s="557"/>
      <c r="EN12" s="557"/>
      <c r="EO12" s="557"/>
      <c r="EP12" s="557"/>
      <c r="EQ12" s="557"/>
      <c r="ER12" s="557"/>
      <c r="ES12" s="557"/>
      <c r="ET12" s="557"/>
      <c r="EU12" s="557"/>
      <c r="EV12" s="557"/>
      <c r="EW12" s="557"/>
      <c r="EX12" s="557"/>
      <c r="EY12" s="557"/>
      <c r="EZ12" s="557"/>
      <c r="FA12" s="557"/>
      <c r="FB12" s="557"/>
      <c r="FC12" s="557"/>
      <c r="FD12" s="557"/>
      <c r="FE12" s="557"/>
      <c r="FF12" s="557"/>
      <c r="FG12" s="557"/>
      <c r="FH12" s="557"/>
      <c r="FI12" s="557"/>
      <c r="FJ12" s="557"/>
      <c r="FK12" s="557"/>
      <c r="FL12" s="557"/>
      <c r="FM12" s="557"/>
      <c r="FN12" s="557"/>
      <c r="FO12" s="557"/>
      <c r="FP12" s="557"/>
      <c r="FQ12" s="557"/>
      <c r="FR12" s="557"/>
      <c r="FS12" s="557"/>
      <c r="FT12" s="557"/>
      <c r="FU12" s="557"/>
      <c r="FV12" s="557"/>
      <c r="FW12" s="557"/>
      <c r="FX12" s="557"/>
      <c r="FY12" s="557"/>
      <c r="FZ12" s="557"/>
      <c r="GA12" s="557"/>
      <c r="GB12" s="557"/>
      <c r="GC12" s="557"/>
      <c r="GD12" s="557"/>
      <c r="GE12" s="557"/>
      <c r="GF12" s="557"/>
      <c r="GG12" s="557"/>
      <c r="GH12" s="557"/>
      <c r="GI12" s="557"/>
      <c r="GJ12" s="557"/>
      <c r="GK12" s="557"/>
      <c r="GL12" s="557"/>
      <c r="GM12" s="557"/>
      <c r="GN12" s="557"/>
      <c r="GO12" s="557"/>
      <c r="GP12" s="557"/>
      <c r="GQ12" s="557"/>
      <c r="GR12" s="557"/>
      <c r="GS12" s="557"/>
      <c r="GT12" s="557"/>
      <c r="GU12" s="557"/>
      <c r="GV12" s="557"/>
      <c r="GW12" s="557"/>
      <c r="GX12" s="557"/>
      <c r="GY12" s="557"/>
      <c r="GZ12" s="557"/>
      <c r="HA12" s="557"/>
      <c r="HB12" s="557"/>
      <c r="HC12" s="557"/>
      <c r="HD12" s="557"/>
      <c r="HE12" s="557"/>
      <c r="HF12" s="557"/>
      <c r="HG12" s="557"/>
      <c r="HH12" s="557"/>
      <c r="HI12" s="557"/>
      <c r="HJ12" s="557"/>
      <c r="HK12" s="557"/>
      <c r="HL12" s="557"/>
      <c r="HM12" s="557"/>
      <c r="HN12" s="557"/>
      <c r="HO12" s="557"/>
      <c r="HP12" s="557"/>
      <c r="HQ12" s="557"/>
      <c r="HR12" s="557"/>
      <c r="HS12" s="557"/>
      <c r="HT12" s="557"/>
      <c r="HU12" s="557"/>
      <c r="HV12" s="557"/>
      <c r="HW12" s="557"/>
      <c r="HX12" s="557"/>
      <c r="HY12" s="557"/>
      <c r="HZ12" s="557"/>
      <c r="IA12" s="557"/>
      <c r="IB12" s="557"/>
      <c r="IC12" s="557"/>
      <c r="ID12" s="557"/>
      <c r="IE12" s="557"/>
      <c r="IF12" s="557"/>
      <c r="IG12" s="557"/>
      <c r="IH12" s="557"/>
      <c r="II12" s="557"/>
      <c r="IJ12" s="557"/>
      <c r="IK12" s="557"/>
      <c r="IL12" s="557"/>
      <c r="IM12" s="557"/>
      <c r="IN12" s="557"/>
      <c r="IO12" s="557"/>
      <c r="IP12" s="557"/>
      <c r="IQ12" s="557"/>
      <c r="IR12" s="557"/>
      <c r="IS12" s="557"/>
      <c r="IT12" s="557"/>
      <c r="IU12" s="557"/>
      <c r="IV12" s="557"/>
    </row>
    <row r="13" spans="1:256" s="582" customFormat="1">
      <c r="A13" s="583" t="s">
        <v>26870</v>
      </c>
      <c r="B13" s="584">
        <v>882.29600000000005</v>
      </c>
      <c r="C13" s="585">
        <v>544.99199999999996</v>
      </c>
      <c r="D13" s="585">
        <f t="shared" si="3"/>
        <v>1.0025643950124909</v>
      </c>
      <c r="E13" s="585">
        <f t="shared" si="4"/>
        <v>1.0013999580157369</v>
      </c>
      <c r="F13" s="585">
        <v>691.702</v>
      </c>
      <c r="G13" s="585">
        <f t="shared" si="2"/>
        <v>1.0049084541788229</v>
      </c>
      <c r="H13" s="586">
        <v>749.51700000000005</v>
      </c>
      <c r="I13" s="557"/>
      <c r="J13" s="557"/>
      <c r="K13" s="557"/>
      <c r="L13" s="557"/>
      <c r="M13" s="557"/>
      <c r="N13" s="557"/>
      <c r="O13" s="557"/>
      <c r="P13" s="557"/>
      <c r="Q13" s="557"/>
      <c r="R13" s="557"/>
      <c r="S13" s="557"/>
      <c r="T13" s="557"/>
      <c r="U13" s="557"/>
      <c r="V13" s="557"/>
      <c r="W13" s="557"/>
      <c r="X13" s="557"/>
      <c r="Y13" s="557"/>
      <c r="Z13" s="557"/>
      <c r="AA13" s="557"/>
      <c r="AB13" s="557"/>
      <c r="AC13" s="557"/>
      <c r="AD13" s="557"/>
      <c r="AE13" s="557"/>
      <c r="AF13" s="557"/>
      <c r="AG13" s="557"/>
      <c r="AH13" s="557"/>
      <c r="AI13" s="557"/>
      <c r="AJ13" s="557"/>
      <c r="AK13" s="557"/>
      <c r="AL13" s="557"/>
      <c r="AM13" s="557"/>
      <c r="AN13" s="557"/>
      <c r="AO13" s="557"/>
      <c r="AP13" s="557"/>
      <c r="AQ13" s="557"/>
      <c r="AR13" s="557"/>
      <c r="AS13" s="557"/>
      <c r="AT13" s="557"/>
      <c r="AU13" s="557"/>
      <c r="AV13" s="557"/>
      <c r="AW13" s="557"/>
      <c r="AX13" s="557"/>
      <c r="AY13" s="557"/>
      <c r="AZ13" s="557"/>
      <c r="BA13" s="557"/>
      <c r="BB13" s="557"/>
      <c r="BC13" s="557"/>
      <c r="BD13" s="557"/>
      <c r="BE13" s="557"/>
      <c r="BF13" s="557"/>
      <c r="BG13" s="557"/>
      <c r="BH13" s="557"/>
      <c r="BI13" s="557"/>
      <c r="BJ13" s="557"/>
      <c r="BK13" s="557"/>
      <c r="BL13" s="557"/>
      <c r="BM13" s="557"/>
      <c r="BN13" s="557"/>
      <c r="BO13" s="557"/>
      <c r="BP13" s="557"/>
      <c r="BQ13" s="557"/>
      <c r="BR13" s="557"/>
      <c r="BS13" s="557"/>
      <c r="BT13" s="557"/>
      <c r="BU13" s="557"/>
      <c r="BV13" s="557"/>
      <c r="BW13" s="557"/>
      <c r="BX13" s="557"/>
      <c r="BY13" s="557"/>
      <c r="BZ13" s="557"/>
      <c r="CA13" s="557"/>
      <c r="CB13" s="557"/>
      <c r="CC13" s="557"/>
      <c r="CD13" s="557"/>
      <c r="CE13" s="557"/>
      <c r="CF13" s="557"/>
      <c r="CG13" s="557"/>
      <c r="CH13" s="557"/>
      <c r="CI13" s="557"/>
      <c r="CJ13" s="557"/>
      <c r="CK13" s="557"/>
      <c r="CL13" s="557"/>
      <c r="CM13" s="557"/>
      <c r="CN13" s="557"/>
      <c r="CO13" s="557"/>
      <c r="CP13" s="557"/>
      <c r="CQ13" s="557"/>
      <c r="CR13" s="557"/>
      <c r="CS13" s="557"/>
      <c r="CT13" s="557"/>
      <c r="CU13" s="557"/>
      <c r="CV13" s="557"/>
      <c r="CW13" s="557"/>
      <c r="CX13" s="557"/>
      <c r="CY13" s="557"/>
      <c r="CZ13" s="557"/>
      <c r="DA13" s="557"/>
      <c r="DB13" s="557"/>
      <c r="DC13" s="557"/>
      <c r="DD13" s="557"/>
      <c r="DE13" s="557"/>
      <c r="DF13" s="557"/>
      <c r="DG13" s="557"/>
      <c r="DH13" s="557"/>
      <c r="DI13" s="557"/>
      <c r="DJ13" s="557"/>
      <c r="DK13" s="557"/>
      <c r="DL13" s="557"/>
      <c r="DM13" s="557"/>
      <c r="DN13" s="557"/>
      <c r="DO13" s="557"/>
      <c r="DP13" s="557"/>
      <c r="DQ13" s="557"/>
      <c r="DR13" s="557"/>
      <c r="DS13" s="557"/>
      <c r="DT13" s="557"/>
      <c r="DU13" s="557"/>
      <c r="DV13" s="557"/>
      <c r="DW13" s="557"/>
      <c r="DX13" s="557"/>
      <c r="DY13" s="557"/>
      <c r="DZ13" s="557"/>
      <c r="EA13" s="557"/>
      <c r="EB13" s="557"/>
      <c r="EC13" s="557"/>
      <c r="ED13" s="557"/>
      <c r="EE13" s="557"/>
      <c r="EF13" s="557"/>
      <c r="EG13" s="557"/>
      <c r="EH13" s="557"/>
      <c r="EI13" s="557"/>
      <c r="EJ13" s="557"/>
      <c r="EK13" s="557"/>
      <c r="EL13" s="557"/>
      <c r="EM13" s="557"/>
      <c r="EN13" s="557"/>
      <c r="EO13" s="557"/>
      <c r="EP13" s="557"/>
      <c r="EQ13" s="557"/>
      <c r="ER13" s="557"/>
      <c r="ES13" s="557"/>
      <c r="ET13" s="557"/>
      <c r="EU13" s="557"/>
      <c r="EV13" s="557"/>
      <c r="EW13" s="557"/>
      <c r="EX13" s="557"/>
      <c r="EY13" s="557"/>
      <c r="EZ13" s="557"/>
      <c r="FA13" s="557"/>
      <c r="FB13" s="557"/>
      <c r="FC13" s="557"/>
      <c r="FD13" s="557"/>
      <c r="FE13" s="557"/>
      <c r="FF13" s="557"/>
      <c r="FG13" s="557"/>
      <c r="FH13" s="557"/>
      <c r="FI13" s="557"/>
      <c r="FJ13" s="557"/>
      <c r="FK13" s="557"/>
      <c r="FL13" s="557"/>
      <c r="FM13" s="557"/>
      <c r="FN13" s="557"/>
      <c r="FO13" s="557"/>
      <c r="FP13" s="557"/>
      <c r="FQ13" s="557"/>
      <c r="FR13" s="557"/>
      <c r="FS13" s="557"/>
      <c r="FT13" s="557"/>
      <c r="FU13" s="557"/>
      <c r="FV13" s="557"/>
      <c r="FW13" s="557"/>
      <c r="FX13" s="557"/>
      <c r="FY13" s="557"/>
      <c r="FZ13" s="557"/>
      <c r="GA13" s="557"/>
      <c r="GB13" s="557"/>
      <c r="GC13" s="557"/>
      <c r="GD13" s="557"/>
      <c r="GE13" s="557"/>
      <c r="GF13" s="557"/>
      <c r="GG13" s="557"/>
      <c r="GH13" s="557"/>
      <c r="GI13" s="557"/>
      <c r="GJ13" s="557"/>
      <c r="GK13" s="557"/>
      <c r="GL13" s="557"/>
      <c r="GM13" s="557"/>
      <c r="GN13" s="557"/>
      <c r="GO13" s="557"/>
      <c r="GP13" s="557"/>
      <c r="GQ13" s="557"/>
      <c r="GR13" s="557"/>
      <c r="GS13" s="557"/>
      <c r="GT13" s="557"/>
      <c r="GU13" s="557"/>
      <c r="GV13" s="557"/>
      <c r="GW13" s="557"/>
      <c r="GX13" s="557"/>
      <c r="GY13" s="557"/>
      <c r="GZ13" s="557"/>
      <c r="HA13" s="557"/>
      <c r="HB13" s="557"/>
      <c r="HC13" s="557"/>
      <c r="HD13" s="557"/>
      <c r="HE13" s="557"/>
      <c r="HF13" s="557"/>
      <c r="HG13" s="557"/>
      <c r="HH13" s="557"/>
      <c r="HI13" s="557"/>
      <c r="HJ13" s="557"/>
      <c r="HK13" s="557"/>
      <c r="HL13" s="557"/>
      <c r="HM13" s="557"/>
      <c r="HN13" s="557"/>
      <c r="HO13" s="557"/>
      <c r="HP13" s="557"/>
      <c r="HQ13" s="557"/>
      <c r="HR13" s="557"/>
      <c r="HS13" s="557"/>
      <c r="HT13" s="557"/>
      <c r="HU13" s="557"/>
      <c r="HV13" s="557"/>
      <c r="HW13" s="557"/>
      <c r="HX13" s="557"/>
      <c r="HY13" s="557"/>
      <c r="HZ13" s="557"/>
      <c r="IA13" s="557"/>
      <c r="IB13" s="557"/>
      <c r="IC13" s="557"/>
      <c r="ID13" s="557"/>
      <c r="IE13" s="557"/>
      <c r="IF13" s="557"/>
      <c r="IG13" s="557"/>
      <c r="IH13" s="557"/>
      <c r="II13" s="557"/>
      <c r="IJ13" s="557"/>
      <c r="IK13" s="557"/>
      <c r="IL13" s="557"/>
      <c r="IM13" s="557"/>
      <c r="IN13" s="557"/>
      <c r="IO13" s="557"/>
      <c r="IP13" s="557"/>
      <c r="IQ13" s="557"/>
      <c r="IR13" s="557"/>
      <c r="IS13" s="557"/>
      <c r="IT13" s="557"/>
      <c r="IU13" s="557"/>
      <c r="IV13" s="557"/>
    </row>
    <row r="14" spans="1:256" s="582" customFormat="1">
      <c r="A14" s="583" t="s">
        <v>26871</v>
      </c>
      <c r="B14" s="584">
        <v>882.29600000000005</v>
      </c>
      <c r="C14" s="585">
        <v>545.36400000000003</v>
      </c>
      <c r="D14" s="585">
        <f t="shared" si="3"/>
        <v>1.0006825788268452</v>
      </c>
      <c r="E14" s="585">
        <f t="shared" si="4"/>
        <v>1.0003137189136362</v>
      </c>
      <c r="F14" s="585">
        <v>691.91899999999998</v>
      </c>
      <c r="G14" s="585">
        <f t="shared" si="2"/>
        <v>1.0008845696628628</v>
      </c>
      <c r="H14" s="586">
        <v>750.18</v>
      </c>
      <c r="I14" s="557"/>
      <c r="J14" s="557"/>
      <c r="K14" s="557"/>
      <c r="L14" s="557"/>
      <c r="M14" s="557"/>
      <c r="N14" s="557"/>
      <c r="O14" s="557"/>
      <c r="P14" s="557"/>
      <c r="Q14" s="557"/>
      <c r="R14" s="557"/>
      <c r="S14" s="557"/>
      <c r="T14" s="557"/>
      <c r="U14" s="557"/>
      <c r="V14" s="557"/>
      <c r="W14" s="557"/>
      <c r="X14" s="557"/>
      <c r="Y14" s="557"/>
      <c r="Z14" s="557"/>
      <c r="AA14" s="557"/>
      <c r="AB14" s="557"/>
      <c r="AC14" s="557"/>
      <c r="AD14" s="557"/>
      <c r="AE14" s="557"/>
      <c r="AF14" s="557"/>
      <c r="AG14" s="557"/>
      <c r="AH14" s="557"/>
      <c r="AI14" s="557"/>
      <c r="AJ14" s="557"/>
      <c r="AK14" s="557"/>
      <c r="AL14" s="557"/>
      <c r="AM14" s="557"/>
      <c r="AN14" s="557"/>
      <c r="AO14" s="557"/>
      <c r="AP14" s="557"/>
      <c r="AQ14" s="557"/>
      <c r="AR14" s="557"/>
      <c r="AS14" s="557"/>
      <c r="AT14" s="557"/>
      <c r="AU14" s="557"/>
      <c r="AV14" s="557"/>
      <c r="AW14" s="557"/>
      <c r="AX14" s="557"/>
      <c r="AY14" s="557"/>
      <c r="AZ14" s="557"/>
      <c r="BA14" s="557"/>
      <c r="BB14" s="557"/>
      <c r="BC14" s="557"/>
      <c r="BD14" s="557"/>
      <c r="BE14" s="557"/>
      <c r="BF14" s="557"/>
      <c r="BG14" s="557"/>
      <c r="BH14" s="557"/>
      <c r="BI14" s="557"/>
      <c r="BJ14" s="557"/>
      <c r="BK14" s="557"/>
      <c r="BL14" s="557"/>
      <c r="BM14" s="557"/>
      <c r="BN14" s="557"/>
      <c r="BO14" s="557"/>
      <c r="BP14" s="557"/>
      <c r="BQ14" s="557"/>
      <c r="BR14" s="557"/>
      <c r="BS14" s="557"/>
      <c r="BT14" s="557"/>
      <c r="BU14" s="557"/>
      <c r="BV14" s="557"/>
      <c r="BW14" s="557"/>
      <c r="BX14" s="557"/>
      <c r="BY14" s="557"/>
      <c r="BZ14" s="557"/>
      <c r="CA14" s="557"/>
      <c r="CB14" s="557"/>
      <c r="CC14" s="557"/>
      <c r="CD14" s="557"/>
      <c r="CE14" s="557"/>
      <c r="CF14" s="557"/>
      <c r="CG14" s="557"/>
      <c r="CH14" s="557"/>
      <c r="CI14" s="557"/>
      <c r="CJ14" s="557"/>
      <c r="CK14" s="557"/>
      <c r="CL14" s="557"/>
      <c r="CM14" s="557"/>
      <c r="CN14" s="557"/>
      <c r="CO14" s="557"/>
      <c r="CP14" s="557"/>
      <c r="CQ14" s="557"/>
      <c r="CR14" s="557"/>
      <c r="CS14" s="557"/>
      <c r="CT14" s="557"/>
      <c r="CU14" s="557"/>
      <c r="CV14" s="557"/>
      <c r="CW14" s="557"/>
      <c r="CX14" s="557"/>
      <c r="CY14" s="557"/>
      <c r="CZ14" s="557"/>
      <c r="DA14" s="557"/>
      <c r="DB14" s="557"/>
      <c r="DC14" s="557"/>
      <c r="DD14" s="557"/>
      <c r="DE14" s="557"/>
      <c r="DF14" s="557"/>
      <c r="DG14" s="557"/>
      <c r="DH14" s="557"/>
      <c r="DI14" s="557"/>
      <c r="DJ14" s="557"/>
      <c r="DK14" s="557"/>
      <c r="DL14" s="557"/>
      <c r="DM14" s="557"/>
      <c r="DN14" s="557"/>
      <c r="DO14" s="557"/>
      <c r="DP14" s="557"/>
      <c r="DQ14" s="557"/>
      <c r="DR14" s="557"/>
      <c r="DS14" s="557"/>
      <c r="DT14" s="557"/>
      <c r="DU14" s="557"/>
      <c r="DV14" s="557"/>
      <c r="DW14" s="557"/>
      <c r="DX14" s="557"/>
      <c r="DY14" s="557"/>
      <c r="DZ14" s="557"/>
      <c r="EA14" s="557"/>
      <c r="EB14" s="557"/>
      <c r="EC14" s="557"/>
      <c r="ED14" s="557"/>
      <c r="EE14" s="557"/>
      <c r="EF14" s="557"/>
      <c r="EG14" s="557"/>
      <c r="EH14" s="557"/>
      <c r="EI14" s="557"/>
      <c r="EJ14" s="557"/>
      <c r="EK14" s="557"/>
      <c r="EL14" s="557"/>
      <c r="EM14" s="557"/>
      <c r="EN14" s="557"/>
      <c r="EO14" s="557"/>
      <c r="EP14" s="557"/>
      <c r="EQ14" s="557"/>
      <c r="ER14" s="557"/>
      <c r="ES14" s="557"/>
      <c r="ET14" s="557"/>
      <c r="EU14" s="557"/>
      <c r="EV14" s="557"/>
      <c r="EW14" s="557"/>
      <c r="EX14" s="557"/>
      <c r="EY14" s="557"/>
      <c r="EZ14" s="557"/>
      <c r="FA14" s="557"/>
      <c r="FB14" s="557"/>
      <c r="FC14" s="557"/>
      <c r="FD14" s="557"/>
      <c r="FE14" s="557"/>
      <c r="FF14" s="557"/>
      <c r="FG14" s="557"/>
      <c r="FH14" s="557"/>
      <c r="FI14" s="557"/>
      <c r="FJ14" s="557"/>
      <c r="FK14" s="557"/>
      <c r="FL14" s="557"/>
      <c r="FM14" s="557"/>
      <c r="FN14" s="557"/>
      <c r="FO14" s="557"/>
      <c r="FP14" s="557"/>
      <c r="FQ14" s="557"/>
      <c r="FR14" s="557"/>
      <c r="FS14" s="557"/>
      <c r="FT14" s="557"/>
      <c r="FU14" s="557"/>
      <c r="FV14" s="557"/>
      <c r="FW14" s="557"/>
      <c r="FX14" s="557"/>
      <c r="FY14" s="557"/>
      <c r="FZ14" s="557"/>
      <c r="GA14" s="557"/>
      <c r="GB14" s="557"/>
      <c r="GC14" s="557"/>
      <c r="GD14" s="557"/>
      <c r="GE14" s="557"/>
      <c r="GF14" s="557"/>
      <c r="GG14" s="557"/>
      <c r="GH14" s="557"/>
      <c r="GI14" s="557"/>
      <c r="GJ14" s="557"/>
      <c r="GK14" s="557"/>
      <c r="GL14" s="557"/>
      <c r="GM14" s="557"/>
      <c r="GN14" s="557"/>
      <c r="GO14" s="557"/>
      <c r="GP14" s="557"/>
      <c r="GQ14" s="557"/>
      <c r="GR14" s="557"/>
      <c r="GS14" s="557"/>
      <c r="GT14" s="557"/>
      <c r="GU14" s="557"/>
      <c r="GV14" s="557"/>
      <c r="GW14" s="557"/>
      <c r="GX14" s="557"/>
      <c r="GY14" s="557"/>
      <c r="GZ14" s="557"/>
      <c r="HA14" s="557"/>
      <c r="HB14" s="557"/>
      <c r="HC14" s="557"/>
      <c r="HD14" s="557"/>
      <c r="HE14" s="557"/>
      <c r="HF14" s="557"/>
      <c r="HG14" s="557"/>
      <c r="HH14" s="557"/>
      <c r="HI14" s="557"/>
      <c r="HJ14" s="557"/>
      <c r="HK14" s="557"/>
      <c r="HL14" s="557"/>
      <c r="HM14" s="557"/>
      <c r="HN14" s="557"/>
      <c r="HO14" s="557"/>
      <c r="HP14" s="557"/>
      <c r="HQ14" s="557"/>
      <c r="HR14" s="557"/>
      <c r="HS14" s="557"/>
      <c r="HT14" s="557"/>
      <c r="HU14" s="557"/>
      <c r="HV14" s="557"/>
      <c r="HW14" s="557"/>
      <c r="HX14" s="557"/>
      <c r="HY14" s="557"/>
      <c r="HZ14" s="557"/>
      <c r="IA14" s="557"/>
      <c r="IB14" s="557"/>
      <c r="IC14" s="557"/>
      <c r="ID14" s="557"/>
      <c r="IE14" s="557"/>
      <c r="IF14" s="557"/>
      <c r="IG14" s="557"/>
      <c r="IH14" s="557"/>
      <c r="II14" s="557"/>
      <c r="IJ14" s="557"/>
      <c r="IK14" s="557"/>
      <c r="IL14" s="557"/>
      <c r="IM14" s="557"/>
      <c r="IN14" s="557"/>
      <c r="IO14" s="557"/>
      <c r="IP14" s="557"/>
      <c r="IQ14" s="557"/>
      <c r="IR14" s="557"/>
      <c r="IS14" s="557"/>
      <c r="IT14" s="557"/>
      <c r="IU14" s="557"/>
      <c r="IV14" s="557"/>
    </row>
    <row r="15" spans="1:256" s="582" customFormat="1">
      <c r="A15" s="583" t="s">
        <v>26872</v>
      </c>
      <c r="B15" s="584">
        <v>882.29600000000005</v>
      </c>
      <c r="C15" s="585">
        <v>544.52</v>
      </c>
      <c r="D15" s="585">
        <f t="shared" si="3"/>
        <v>0.99845240976668781</v>
      </c>
      <c r="E15" s="585">
        <f t="shared" si="4"/>
        <v>0.99928748885346419</v>
      </c>
      <c r="F15" s="585">
        <v>691.42600000000004</v>
      </c>
      <c r="G15" s="585">
        <f t="shared" si="2"/>
        <v>1.0031245834333093</v>
      </c>
      <c r="H15" s="586">
        <v>752.524</v>
      </c>
      <c r="I15" s="557"/>
      <c r="J15" s="557"/>
      <c r="K15" s="557"/>
      <c r="L15" s="557"/>
      <c r="M15" s="557"/>
      <c r="N15" s="557"/>
      <c r="O15" s="557"/>
      <c r="P15" s="557"/>
      <c r="Q15" s="557"/>
      <c r="R15" s="557"/>
      <c r="S15" s="557"/>
      <c r="T15" s="557"/>
      <c r="U15" s="557"/>
      <c r="V15" s="557"/>
      <c r="W15" s="557"/>
      <c r="X15" s="557"/>
      <c r="Y15" s="557"/>
      <c r="Z15" s="557"/>
      <c r="AA15" s="557"/>
      <c r="AB15" s="557"/>
      <c r="AC15" s="557"/>
      <c r="AD15" s="557"/>
      <c r="AE15" s="557"/>
      <c r="AF15" s="557"/>
      <c r="AG15" s="557"/>
      <c r="AH15" s="557"/>
      <c r="AI15" s="557"/>
      <c r="AJ15" s="557"/>
      <c r="AK15" s="557"/>
      <c r="AL15" s="557"/>
      <c r="AM15" s="557"/>
      <c r="AN15" s="557"/>
      <c r="AO15" s="557"/>
      <c r="AP15" s="557"/>
      <c r="AQ15" s="557"/>
      <c r="AR15" s="557"/>
      <c r="AS15" s="557"/>
      <c r="AT15" s="557"/>
      <c r="AU15" s="557"/>
      <c r="AV15" s="557"/>
      <c r="AW15" s="557"/>
      <c r="AX15" s="557"/>
      <c r="AY15" s="557"/>
      <c r="AZ15" s="557"/>
      <c r="BA15" s="557"/>
      <c r="BB15" s="557"/>
      <c r="BC15" s="557"/>
      <c r="BD15" s="557"/>
      <c r="BE15" s="557"/>
      <c r="BF15" s="557"/>
      <c r="BG15" s="557"/>
      <c r="BH15" s="557"/>
      <c r="BI15" s="557"/>
      <c r="BJ15" s="557"/>
      <c r="BK15" s="557"/>
      <c r="BL15" s="557"/>
      <c r="BM15" s="557"/>
      <c r="BN15" s="557"/>
      <c r="BO15" s="557"/>
      <c r="BP15" s="557"/>
      <c r="BQ15" s="557"/>
      <c r="BR15" s="557"/>
      <c r="BS15" s="557"/>
      <c r="BT15" s="557"/>
      <c r="BU15" s="557"/>
      <c r="BV15" s="557"/>
      <c r="BW15" s="557"/>
      <c r="BX15" s="557"/>
      <c r="BY15" s="557"/>
      <c r="BZ15" s="557"/>
      <c r="CA15" s="557"/>
      <c r="CB15" s="557"/>
      <c r="CC15" s="557"/>
      <c r="CD15" s="557"/>
      <c r="CE15" s="557"/>
      <c r="CF15" s="557"/>
      <c r="CG15" s="557"/>
      <c r="CH15" s="557"/>
      <c r="CI15" s="557"/>
      <c r="CJ15" s="557"/>
      <c r="CK15" s="557"/>
      <c r="CL15" s="557"/>
      <c r="CM15" s="557"/>
      <c r="CN15" s="557"/>
      <c r="CO15" s="557"/>
      <c r="CP15" s="557"/>
      <c r="CQ15" s="557"/>
      <c r="CR15" s="557"/>
      <c r="CS15" s="557"/>
      <c r="CT15" s="557"/>
      <c r="CU15" s="557"/>
      <c r="CV15" s="557"/>
      <c r="CW15" s="557"/>
      <c r="CX15" s="557"/>
      <c r="CY15" s="557"/>
      <c r="CZ15" s="557"/>
      <c r="DA15" s="557"/>
      <c r="DB15" s="557"/>
      <c r="DC15" s="557"/>
      <c r="DD15" s="557"/>
      <c r="DE15" s="557"/>
      <c r="DF15" s="557"/>
      <c r="DG15" s="557"/>
      <c r="DH15" s="557"/>
      <c r="DI15" s="557"/>
      <c r="DJ15" s="557"/>
      <c r="DK15" s="557"/>
      <c r="DL15" s="557"/>
      <c r="DM15" s="557"/>
      <c r="DN15" s="557"/>
      <c r="DO15" s="557"/>
      <c r="DP15" s="557"/>
      <c r="DQ15" s="557"/>
      <c r="DR15" s="557"/>
      <c r="DS15" s="557"/>
      <c r="DT15" s="557"/>
      <c r="DU15" s="557"/>
      <c r="DV15" s="557"/>
      <c r="DW15" s="557"/>
      <c r="DX15" s="557"/>
      <c r="DY15" s="557"/>
      <c r="DZ15" s="557"/>
      <c r="EA15" s="557"/>
      <c r="EB15" s="557"/>
      <c r="EC15" s="557"/>
      <c r="ED15" s="557"/>
      <c r="EE15" s="557"/>
      <c r="EF15" s="557"/>
      <c r="EG15" s="557"/>
      <c r="EH15" s="557"/>
      <c r="EI15" s="557"/>
      <c r="EJ15" s="557"/>
      <c r="EK15" s="557"/>
      <c r="EL15" s="557"/>
      <c r="EM15" s="557"/>
      <c r="EN15" s="557"/>
      <c r="EO15" s="557"/>
      <c r="EP15" s="557"/>
      <c r="EQ15" s="557"/>
      <c r="ER15" s="557"/>
      <c r="ES15" s="557"/>
      <c r="ET15" s="557"/>
      <c r="EU15" s="557"/>
      <c r="EV15" s="557"/>
      <c r="EW15" s="557"/>
      <c r="EX15" s="557"/>
      <c r="EY15" s="557"/>
      <c r="EZ15" s="557"/>
      <c r="FA15" s="557"/>
      <c r="FB15" s="557"/>
      <c r="FC15" s="557"/>
      <c r="FD15" s="557"/>
      <c r="FE15" s="557"/>
      <c r="FF15" s="557"/>
      <c r="FG15" s="557"/>
      <c r="FH15" s="557"/>
      <c r="FI15" s="557"/>
      <c r="FJ15" s="557"/>
      <c r="FK15" s="557"/>
      <c r="FL15" s="557"/>
      <c r="FM15" s="557"/>
      <c r="FN15" s="557"/>
      <c r="FO15" s="557"/>
      <c r="FP15" s="557"/>
      <c r="FQ15" s="557"/>
      <c r="FR15" s="557"/>
      <c r="FS15" s="557"/>
      <c r="FT15" s="557"/>
      <c r="FU15" s="557"/>
      <c r="FV15" s="557"/>
      <c r="FW15" s="557"/>
      <c r="FX15" s="557"/>
      <c r="FY15" s="557"/>
      <c r="FZ15" s="557"/>
      <c r="GA15" s="557"/>
      <c r="GB15" s="557"/>
      <c r="GC15" s="557"/>
      <c r="GD15" s="557"/>
      <c r="GE15" s="557"/>
      <c r="GF15" s="557"/>
      <c r="GG15" s="557"/>
      <c r="GH15" s="557"/>
      <c r="GI15" s="557"/>
      <c r="GJ15" s="557"/>
      <c r="GK15" s="557"/>
      <c r="GL15" s="557"/>
      <c r="GM15" s="557"/>
      <c r="GN15" s="557"/>
      <c r="GO15" s="557"/>
      <c r="GP15" s="557"/>
      <c r="GQ15" s="557"/>
      <c r="GR15" s="557"/>
      <c r="GS15" s="557"/>
      <c r="GT15" s="557"/>
      <c r="GU15" s="557"/>
      <c r="GV15" s="557"/>
      <c r="GW15" s="557"/>
      <c r="GX15" s="557"/>
      <c r="GY15" s="557"/>
      <c r="GZ15" s="557"/>
      <c r="HA15" s="557"/>
      <c r="HB15" s="557"/>
      <c r="HC15" s="557"/>
      <c r="HD15" s="557"/>
      <c r="HE15" s="557"/>
      <c r="HF15" s="557"/>
      <c r="HG15" s="557"/>
      <c r="HH15" s="557"/>
      <c r="HI15" s="557"/>
      <c r="HJ15" s="557"/>
      <c r="HK15" s="557"/>
      <c r="HL15" s="557"/>
      <c r="HM15" s="557"/>
      <c r="HN15" s="557"/>
      <c r="HO15" s="557"/>
      <c r="HP15" s="557"/>
      <c r="HQ15" s="557"/>
      <c r="HR15" s="557"/>
      <c r="HS15" s="557"/>
      <c r="HT15" s="557"/>
      <c r="HU15" s="557"/>
      <c r="HV15" s="557"/>
      <c r="HW15" s="557"/>
      <c r="HX15" s="557"/>
      <c r="HY15" s="557"/>
      <c r="HZ15" s="557"/>
      <c r="IA15" s="557"/>
      <c r="IB15" s="557"/>
      <c r="IC15" s="557"/>
      <c r="ID15" s="557"/>
      <c r="IE15" s="557"/>
      <c r="IF15" s="557"/>
      <c r="IG15" s="557"/>
      <c r="IH15" s="557"/>
      <c r="II15" s="557"/>
      <c r="IJ15" s="557"/>
      <c r="IK15" s="557"/>
      <c r="IL15" s="557"/>
      <c r="IM15" s="557"/>
      <c r="IN15" s="557"/>
      <c r="IO15" s="557"/>
      <c r="IP15" s="557"/>
      <c r="IQ15" s="557"/>
      <c r="IR15" s="557"/>
      <c r="IS15" s="557"/>
      <c r="IT15" s="557"/>
      <c r="IU15" s="557"/>
      <c r="IV15" s="557"/>
    </row>
    <row r="16" spans="1:256" s="582" customFormat="1">
      <c r="A16" s="583" t="s">
        <v>26873</v>
      </c>
      <c r="B16" s="584">
        <v>882.29600000000005</v>
      </c>
      <c r="C16" s="585">
        <v>547.58900000000006</v>
      </c>
      <c r="D16" s="585">
        <f t="shared" si="3"/>
        <v>1.0056361566150005</v>
      </c>
      <c r="E16" s="585">
        <f t="shared" si="4"/>
        <v>1.0025931914622823</v>
      </c>
      <c r="F16" s="585">
        <v>693.21900000000005</v>
      </c>
      <c r="G16" s="585">
        <f t="shared" si="2"/>
        <v>1.0037859257644939</v>
      </c>
      <c r="H16" s="586">
        <v>755.37300000000005</v>
      </c>
      <c r="I16" s="557"/>
      <c r="J16" s="557"/>
      <c r="K16" s="557"/>
      <c r="L16" s="557"/>
      <c r="M16" s="557"/>
      <c r="N16" s="557"/>
      <c r="O16" s="557"/>
      <c r="P16" s="557"/>
      <c r="Q16" s="557"/>
      <c r="R16" s="557"/>
      <c r="S16" s="557"/>
      <c r="T16" s="557"/>
      <c r="U16" s="557"/>
      <c r="V16" s="557"/>
      <c r="W16" s="557"/>
      <c r="X16" s="557"/>
      <c r="Y16" s="557"/>
      <c r="Z16" s="557"/>
      <c r="AA16" s="557"/>
      <c r="AB16" s="557"/>
      <c r="AC16" s="557"/>
      <c r="AD16" s="557"/>
      <c r="AE16" s="557"/>
      <c r="AF16" s="557"/>
      <c r="AG16" s="557"/>
      <c r="AH16" s="557"/>
      <c r="AI16" s="557"/>
      <c r="AJ16" s="557"/>
      <c r="AK16" s="557"/>
      <c r="AL16" s="557"/>
      <c r="AM16" s="557"/>
      <c r="AN16" s="557"/>
      <c r="AO16" s="557"/>
      <c r="AP16" s="557"/>
      <c r="AQ16" s="557"/>
      <c r="AR16" s="557"/>
      <c r="AS16" s="557"/>
      <c r="AT16" s="557"/>
      <c r="AU16" s="557"/>
      <c r="AV16" s="557"/>
      <c r="AW16" s="557"/>
      <c r="AX16" s="557"/>
      <c r="AY16" s="557"/>
      <c r="AZ16" s="557"/>
      <c r="BA16" s="557"/>
      <c r="BB16" s="557"/>
      <c r="BC16" s="557"/>
      <c r="BD16" s="557"/>
      <c r="BE16" s="557"/>
      <c r="BF16" s="557"/>
      <c r="BG16" s="557"/>
      <c r="BH16" s="557"/>
      <c r="BI16" s="557"/>
      <c r="BJ16" s="557"/>
      <c r="BK16" s="557"/>
      <c r="BL16" s="557"/>
      <c r="BM16" s="557"/>
      <c r="BN16" s="557"/>
      <c r="BO16" s="557"/>
      <c r="BP16" s="557"/>
      <c r="BQ16" s="557"/>
      <c r="BR16" s="557"/>
      <c r="BS16" s="557"/>
      <c r="BT16" s="557"/>
      <c r="BU16" s="557"/>
      <c r="BV16" s="557"/>
      <c r="BW16" s="557"/>
      <c r="BX16" s="557"/>
      <c r="BY16" s="557"/>
      <c r="BZ16" s="557"/>
      <c r="CA16" s="557"/>
      <c r="CB16" s="557"/>
      <c r="CC16" s="557"/>
      <c r="CD16" s="557"/>
      <c r="CE16" s="557"/>
      <c r="CF16" s="557"/>
      <c r="CG16" s="557"/>
      <c r="CH16" s="557"/>
      <c r="CI16" s="557"/>
      <c r="CJ16" s="557"/>
      <c r="CK16" s="557"/>
      <c r="CL16" s="557"/>
      <c r="CM16" s="557"/>
      <c r="CN16" s="557"/>
      <c r="CO16" s="557"/>
      <c r="CP16" s="557"/>
      <c r="CQ16" s="557"/>
      <c r="CR16" s="557"/>
      <c r="CS16" s="557"/>
      <c r="CT16" s="557"/>
      <c r="CU16" s="557"/>
      <c r="CV16" s="557"/>
      <c r="CW16" s="557"/>
      <c r="CX16" s="557"/>
      <c r="CY16" s="557"/>
      <c r="CZ16" s="557"/>
      <c r="DA16" s="557"/>
      <c r="DB16" s="557"/>
      <c r="DC16" s="557"/>
      <c r="DD16" s="557"/>
      <c r="DE16" s="557"/>
      <c r="DF16" s="557"/>
      <c r="DG16" s="557"/>
      <c r="DH16" s="557"/>
      <c r="DI16" s="557"/>
      <c r="DJ16" s="557"/>
      <c r="DK16" s="557"/>
      <c r="DL16" s="557"/>
      <c r="DM16" s="557"/>
      <c r="DN16" s="557"/>
      <c r="DO16" s="557"/>
      <c r="DP16" s="557"/>
      <c r="DQ16" s="557"/>
      <c r="DR16" s="557"/>
      <c r="DS16" s="557"/>
      <c r="DT16" s="557"/>
      <c r="DU16" s="557"/>
      <c r="DV16" s="557"/>
      <c r="DW16" s="557"/>
      <c r="DX16" s="557"/>
      <c r="DY16" s="557"/>
      <c r="DZ16" s="557"/>
      <c r="EA16" s="557"/>
      <c r="EB16" s="557"/>
      <c r="EC16" s="557"/>
      <c r="ED16" s="557"/>
      <c r="EE16" s="557"/>
      <c r="EF16" s="557"/>
      <c r="EG16" s="557"/>
      <c r="EH16" s="557"/>
      <c r="EI16" s="557"/>
      <c r="EJ16" s="557"/>
      <c r="EK16" s="557"/>
      <c r="EL16" s="557"/>
      <c r="EM16" s="557"/>
      <c r="EN16" s="557"/>
      <c r="EO16" s="557"/>
      <c r="EP16" s="557"/>
      <c r="EQ16" s="557"/>
      <c r="ER16" s="557"/>
      <c r="ES16" s="557"/>
      <c r="ET16" s="557"/>
      <c r="EU16" s="557"/>
      <c r="EV16" s="557"/>
      <c r="EW16" s="557"/>
      <c r="EX16" s="557"/>
      <c r="EY16" s="557"/>
      <c r="EZ16" s="557"/>
      <c r="FA16" s="557"/>
      <c r="FB16" s="557"/>
      <c r="FC16" s="557"/>
      <c r="FD16" s="557"/>
      <c r="FE16" s="557"/>
      <c r="FF16" s="557"/>
      <c r="FG16" s="557"/>
      <c r="FH16" s="557"/>
      <c r="FI16" s="557"/>
      <c r="FJ16" s="557"/>
      <c r="FK16" s="557"/>
      <c r="FL16" s="557"/>
      <c r="FM16" s="557"/>
      <c r="FN16" s="557"/>
      <c r="FO16" s="557"/>
      <c r="FP16" s="557"/>
      <c r="FQ16" s="557"/>
      <c r="FR16" s="557"/>
      <c r="FS16" s="557"/>
      <c r="FT16" s="557"/>
      <c r="FU16" s="557"/>
      <c r="FV16" s="557"/>
      <c r="FW16" s="557"/>
      <c r="FX16" s="557"/>
      <c r="FY16" s="557"/>
      <c r="FZ16" s="557"/>
      <c r="GA16" s="557"/>
      <c r="GB16" s="557"/>
      <c r="GC16" s="557"/>
      <c r="GD16" s="557"/>
      <c r="GE16" s="557"/>
      <c r="GF16" s="557"/>
      <c r="GG16" s="557"/>
      <c r="GH16" s="557"/>
      <c r="GI16" s="557"/>
      <c r="GJ16" s="557"/>
      <c r="GK16" s="557"/>
      <c r="GL16" s="557"/>
      <c r="GM16" s="557"/>
      <c r="GN16" s="557"/>
      <c r="GO16" s="557"/>
      <c r="GP16" s="557"/>
      <c r="GQ16" s="557"/>
      <c r="GR16" s="557"/>
      <c r="GS16" s="557"/>
      <c r="GT16" s="557"/>
      <c r="GU16" s="557"/>
      <c r="GV16" s="557"/>
      <c r="GW16" s="557"/>
      <c r="GX16" s="557"/>
      <c r="GY16" s="557"/>
      <c r="GZ16" s="557"/>
      <c r="HA16" s="557"/>
      <c r="HB16" s="557"/>
      <c r="HC16" s="557"/>
      <c r="HD16" s="557"/>
      <c r="HE16" s="557"/>
      <c r="HF16" s="557"/>
      <c r="HG16" s="557"/>
      <c r="HH16" s="557"/>
      <c r="HI16" s="557"/>
      <c r="HJ16" s="557"/>
      <c r="HK16" s="557"/>
      <c r="HL16" s="557"/>
      <c r="HM16" s="557"/>
      <c r="HN16" s="557"/>
      <c r="HO16" s="557"/>
      <c r="HP16" s="557"/>
      <c r="HQ16" s="557"/>
      <c r="HR16" s="557"/>
      <c r="HS16" s="557"/>
      <c r="HT16" s="557"/>
      <c r="HU16" s="557"/>
      <c r="HV16" s="557"/>
      <c r="HW16" s="557"/>
      <c r="HX16" s="557"/>
      <c r="HY16" s="557"/>
      <c r="HZ16" s="557"/>
      <c r="IA16" s="557"/>
      <c r="IB16" s="557"/>
      <c r="IC16" s="557"/>
      <c r="ID16" s="557"/>
      <c r="IE16" s="557"/>
      <c r="IF16" s="557"/>
      <c r="IG16" s="557"/>
      <c r="IH16" s="557"/>
      <c r="II16" s="557"/>
      <c r="IJ16" s="557"/>
      <c r="IK16" s="557"/>
      <c r="IL16" s="557"/>
      <c r="IM16" s="557"/>
      <c r="IN16" s="557"/>
      <c r="IO16" s="557"/>
      <c r="IP16" s="557"/>
      <c r="IQ16" s="557"/>
      <c r="IR16" s="557"/>
      <c r="IS16" s="557"/>
      <c r="IT16" s="557"/>
      <c r="IU16" s="557"/>
      <c r="IV16" s="557"/>
    </row>
    <row r="17" spans="1:256" s="582" customFormat="1">
      <c r="A17" s="583" t="s">
        <v>26874</v>
      </c>
      <c r="B17" s="584">
        <v>882.29600000000005</v>
      </c>
      <c r="C17" s="585">
        <v>549.53200000000004</v>
      </c>
      <c r="D17" s="585">
        <f t="shared" si="3"/>
        <v>1.003548281649193</v>
      </c>
      <c r="E17" s="585">
        <f t="shared" si="4"/>
        <v>1.0016372892260599</v>
      </c>
      <c r="F17" s="585">
        <v>694.35400000000004</v>
      </c>
      <c r="G17" s="585">
        <f t="shared" si="2"/>
        <v>1.0003336100178322</v>
      </c>
      <c r="H17" s="586">
        <v>755.625</v>
      </c>
      <c r="I17" s="557"/>
      <c r="J17" s="557"/>
      <c r="K17" s="557"/>
      <c r="L17" s="557"/>
      <c r="M17" s="557"/>
      <c r="N17" s="557"/>
      <c r="O17" s="557"/>
      <c r="P17" s="557"/>
      <c r="Q17" s="557"/>
      <c r="R17" s="557"/>
      <c r="S17" s="557"/>
      <c r="T17" s="557"/>
      <c r="U17" s="557"/>
      <c r="V17" s="557"/>
      <c r="W17" s="557"/>
      <c r="X17" s="557"/>
      <c r="Y17" s="557"/>
      <c r="Z17" s="557"/>
      <c r="AA17" s="557"/>
      <c r="AB17" s="557"/>
      <c r="AC17" s="557"/>
      <c r="AD17" s="557"/>
      <c r="AE17" s="557"/>
      <c r="AF17" s="557"/>
      <c r="AG17" s="557"/>
      <c r="AH17" s="557"/>
      <c r="AI17" s="557"/>
      <c r="AJ17" s="557"/>
      <c r="AK17" s="557"/>
      <c r="AL17" s="557"/>
      <c r="AM17" s="557"/>
      <c r="AN17" s="557"/>
      <c r="AO17" s="557"/>
      <c r="AP17" s="557"/>
      <c r="AQ17" s="557"/>
      <c r="AR17" s="557"/>
      <c r="AS17" s="557"/>
      <c r="AT17" s="557"/>
      <c r="AU17" s="557"/>
      <c r="AV17" s="557"/>
      <c r="AW17" s="557"/>
      <c r="AX17" s="557"/>
      <c r="AY17" s="557"/>
      <c r="AZ17" s="557"/>
      <c r="BA17" s="557"/>
      <c r="BB17" s="557"/>
      <c r="BC17" s="557"/>
      <c r="BD17" s="557"/>
      <c r="BE17" s="557"/>
      <c r="BF17" s="557"/>
      <c r="BG17" s="557"/>
      <c r="BH17" s="557"/>
      <c r="BI17" s="557"/>
      <c r="BJ17" s="557"/>
      <c r="BK17" s="557"/>
      <c r="BL17" s="557"/>
      <c r="BM17" s="557"/>
      <c r="BN17" s="557"/>
      <c r="BO17" s="557"/>
      <c r="BP17" s="557"/>
      <c r="BQ17" s="557"/>
      <c r="BR17" s="557"/>
      <c r="BS17" s="557"/>
      <c r="BT17" s="557"/>
      <c r="BU17" s="557"/>
      <c r="BV17" s="557"/>
      <c r="BW17" s="557"/>
      <c r="BX17" s="557"/>
      <c r="BY17" s="557"/>
      <c r="BZ17" s="557"/>
      <c r="CA17" s="557"/>
      <c r="CB17" s="557"/>
      <c r="CC17" s="557"/>
      <c r="CD17" s="557"/>
      <c r="CE17" s="557"/>
      <c r="CF17" s="557"/>
      <c r="CG17" s="557"/>
      <c r="CH17" s="557"/>
      <c r="CI17" s="557"/>
      <c r="CJ17" s="557"/>
      <c r="CK17" s="557"/>
      <c r="CL17" s="557"/>
      <c r="CM17" s="557"/>
      <c r="CN17" s="557"/>
      <c r="CO17" s="557"/>
      <c r="CP17" s="557"/>
      <c r="CQ17" s="557"/>
      <c r="CR17" s="557"/>
      <c r="CS17" s="557"/>
      <c r="CT17" s="557"/>
      <c r="CU17" s="557"/>
      <c r="CV17" s="557"/>
      <c r="CW17" s="557"/>
      <c r="CX17" s="557"/>
      <c r="CY17" s="557"/>
      <c r="CZ17" s="557"/>
      <c r="DA17" s="557"/>
      <c r="DB17" s="557"/>
      <c r="DC17" s="557"/>
      <c r="DD17" s="557"/>
      <c r="DE17" s="557"/>
      <c r="DF17" s="557"/>
      <c r="DG17" s="557"/>
      <c r="DH17" s="557"/>
      <c r="DI17" s="557"/>
      <c r="DJ17" s="557"/>
      <c r="DK17" s="557"/>
      <c r="DL17" s="557"/>
      <c r="DM17" s="557"/>
      <c r="DN17" s="557"/>
      <c r="DO17" s="557"/>
      <c r="DP17" s="557"/>
      <c r="DQ17" s="557"/>
      <c r="DR17" s="557"/>
      <c r="DS17" s="557"/>
      <c r="DT17" s="557"/>
      <c r="DU17" s="557"/>
      <c r="DV17" s="557"/>
      <c r="DW17" s="557"/>
      <c r="DX17" s="557"/>
      <c r="DY17" s="557"/>
      <c r="DZ17" s="557"/>
      <c r="EA17" s="557"/>
      <c r="EB17" s="557"/>
      <c r="EC17" s="557"/>
      <c r="ED17" s="557"/>
      <c r="EE17" s="557"/>
      <c r="EF17" s="557"/>
      <c r="EG17" s="557"/>
      <c r="EH17" s="557"/>
      <c r="EI17" s="557"/>
      <c r="EJ17" s="557"/>
      <c r="EK17" s="557"/>
      <c r="EL17" s="557"/>
      <c r="EM17" s="557"/>
      <c r="EN17" s="557"/>
      <c r="EO17" s="557"/>
      <c r="EP17" s="557"/>
      <c r="EQ17" s="557"/>
      <c r="ER17" s="557"/>
      <c r="ES17" s="557"/>
      <c r="ET17" s="557"/>
      <c r="EU17" s="557"/>
      <c r="EV17" s="557"/>
      <c r="EW17" s="557"/>
      <c r="EX17" s="557"/>
      <c r="EY17" s="557"/>
      <c r="EZ17" s="557"/>
      <c r="FA17" s="557"/>
      <c r="FB17" s="557"/>
      <c r="FC17" s="557"/>
      <c r="FD17" s="557"/>
      <c r="FE17" s="557"/>
      <c r="FF17" s="557"/>
      <c r="FG17" s="557"/>
      <c r="FH17" s="557"/>
      <c r="FI17" s="557"/>
      <c r="FJ17" s="557"/>
      <c r="FK17" s="557"/>
      <c r="FL17" s="557"/>
      <c r="FM17" s="557"/>
      <c r="FN17" s="557"/>
      <c r="FO17" s="557"/>
      <c r="FP17" s="557"/>
      <c r="FQ17" s="557"/>
      <c r="FR17" s="557"/>
      <c r="FS17" s="557"/>
      <c r="FT17" s="557"/>
      <c r="FU17" s="557"/>
      <c r="FV17" s="557"/>
      <c r="FW17" s="557"/>
      <c r="FX17" s="557"/>
      <c r="FY17" s="557"/>
      <c r="FZ17" s="557"/>
      <c r="GA17" s="557"/>
      <c r="GB17" s="557"/>
      <c r="GC17" s="557"/>
      <c r="GD17" s="557"/>
      <c r="GE17" s="557"/>
      <c r="GF17" s="557"/>
      <c r="GG17" s="557"/>
      <c r="GH17" s="557"/>
      <c r="GI17" s="557"/>
      <c r="GJ17" s="557"/>
      <c r="GK17" s="557"/>
      <c r="GL17" s="557"/>
      <c r="GM17" s="557"/>
      <c r="GN17" s="557"/>
      <c r="GO17" s="557"/>
      <c r="GP17" s="557"/>
      <c r="GQ17" s="557"/>
      <c r="GR17" s="557"/>
      <c r="GS17" s="557"/>
      <c r="GT17" s="557"/>
      <c r="GU17" s="557"/>
      <c r="GV17" s="557"/>
      <c r="GW17" s="557"/>
      <c r="GX17" s="557"/>
      <c r="GY17" s="557"/>
      <c r="GZ17" s="557"/>
      <c r="HA17" s="557"/>
      <c r="HB17" s="557"/>
      <c r="HC17" s="557"/>
      <c r="HD17" s="557"/>
      <c r="HE17" s="557"/>
      <c r="HF17" s="557"/>
      <c r="HG17" s="557"/>
      <c r="HH17" s="557"/>
      <c r="HI17" s="557"/>
      <c r="HJ17" s="557"/>
      <c r="HK17" s="557"/>
      <c r="HL17" s="557"/>
      <c r="HM17" s="557"/>
      <c r="HN17" s="557"/>
      <c r="HO17" s="557"/>
      <c r="HP17" s="557"/>
      <c r="HQ17" s="557"/>
      <c r="HR17" s="557"/>
      <c r="HS17" s="557"/>
      <c r="HT17" s="557"/>
      <c r="HU17" s="557"/>
      <c r="HV17" s="557"/>
      <c r="HW17" s="557"/>
      <c r="HX17" s="557"/>
      <c r="HY17" s="557"/>
      <c r="HZ17" s="557"/>
      <c r="IA17" s="557"/>
      <c r="IB17" s="557"/>
      <c r="IC17" s="557"/>
      <c r="ID17" s="557"/>
      <c r="IE17" s="557"/>
      <c r="IF17" s="557"/>
      <c r="IG17" s="557"/>
      <c r="IH17" s="557"/>
      <c r="II17" s="557"/>
      <c r="IJ17" s="557"/>
      <c r="IK17" s="557"/>
      <c r="IL17" s="557"/>
      <c r="IM17" s="557"/>
      <c r="IN17" s="557"/>
      <c r="IO17" s="557"/>
      <c r="IP17" s="557"/>
      <c r="IQ17" s="557"/>
      <c r="IR17" s="557"/>
      <c r="IS17" s="557"/>
      <c r="IT17" s="557"/>
      <c r="IU17" s="557"/>
      <c r="IV17" s="557"/>
    </row>
    <row r="18" spans="1:256" s="582" customFormat="1">
      <c r="A18" s="583" t="s">
        <v>26875</v>
      </c>
      <c r="B18" s="584">
        <v>882.29600000000005</v>
      </c>
      <c r="C18" s="585">
        <v>551.76199999999994</v>
      </c>
      <c r="D18" s="585">
        <f t="shared" si="3"/>
        <v>1.0040579984423108</v>
      </c>
      <c r="E18" s="585">
        <f t="shared" si="4"/>
        <v>1.0018765644037479</v>
      </c>
      <c r="F18" s="585">
        <v>695.65700000000004</v>
      </c>
      <c r="G18" s="585">
        <f t="shared" si="2"/>
        <v>1.008839040529363</v>
      </c>
      <c r="H18" s="586">
        <v>762.30399999999997</v>
      </c>
      <c r="I18" s="557"/>
      <c r="J18" s="557"/>
      <c r="K18" s="557"/>
      <c r="L18" s="557"/>
      <c r="M18" s="557"/>
      <c r="N18" s="557"/>
      <c r="O18" s="557"/>
      <c r="P18" s="557"/>
      <c r="Q18" s="557"/>
      <c r="R18" s="557"/>
      <c r="S18" s="557"/>
      <c r="T18" s="557"/>
      <c r="U18" s="557"/>
      <c r="V18" s="557"/>
      <c r="W18" s="557"/>
      <c r="X18" s="557"/>
      <c r="Y18" s="557"/>
      <c r="Z18" s="557"/>
      <c r="AA18" s="557"/>
      <c r="AB18" s="557"/>
      <c r="AC18" s="557"/>
      <c r="AD18" s="557"/>
      <c r="AE18" s="557"/>
      <c r="AF18" s="557"/>
      <c r="AG18" s="557"/>
      <c r="AH18" s="557"/>
      <c r="AI18" s="557"/>
      <c r="AJ18" s="557"/>
      <c r="AK18" s="557"/>
      <c r="AL18" s="557"/>
      <c r="AM18" s="557"/>
      <c r="AN18" s="557"/>
      <c r="AO18" s="557"/>
      <c r="AP18" s="557"/>
      <c r="AQ18" s="557"/>
      <c r="AR18" s="557"/>
      <c r="AS18" s="557"/>
      <c r="AT18" s="557"/>
      <c r="AU18" s="557"/>
      <c r="AV18" s="557"/>
      <c r="AW18" s="557"/>
      <c r="AX18" s="557"/>
      <c r="AY18" s="557"/>
      <c r="AZ18" s="557"/>
      <c r="BA18" s="557"/>
      <c r="BB18" s="557"/>
      <c r="BC18" s="557"/>
      <c r="BD18" s="557"/>
      <c r="BE18" s="557"/>
      <c r="BF18" s="557"/>
      <c r="BG18" s="557"/>
      <c r="BH18" s="557"/>
      <c r="BI18" s="557"/>
      <c r="BJ18" s="557"/>
      <c r="BK18" s="557"/>
      <c r="BL18" s="557"/>
      <c r="BM18" s="557"/>
      <c r="BN18" s="557"/>
      <c r="BO18" s="557"/>
      <c r="BP18" s="557"/>
      <c r="BQ18" s="557"/>
      <c r="BR18" s="557"/>
      <c r="BS18" s="557"/>
      <c r="BT18" s="557"/>
      <c r="BU18" s="557"/>
      <c r="BV18" s="557"/>
      <c r="BW18" s="557"/>
      <c r="BX18" s="557"/>
      <c r="BY18" s="557"/>
      <c r="BZ18" s="557"/>
      <c r="CA18" s="557"/>
      <c r="CB18" s="557"/>
      <c r="CC18" s="557"/>
      <c r="CD18" s="557"/>
      <c r="CE18" s="557"/>
      <c r="CF18" s="557"/>
      <c r="CG18" s="557"/>
      <c r="CH18" s="557"/>
      <c r="CI18" s="557"/>
      <c r="CJ18" s="557"/>
      <c r="CK18" s="557"/>
      <c r="CL18" s="557"/>
      <c r="CM18" s="557"/>
      <c r="CN18" s="557"/>
      <c r="CO18" s="557"/>
      <c r="CP18" s="557"/>
      <c r="CQ18" s="557"/>
      <c r="CR18" s="557"/>
      <c r="CS18" s="557"/>
      <c r="CT18" s="557"/>
      <c r="CU18" s="557"/>
      <c r="CV18" s="557"/>
      <c r="CW18" s="557"/>
      <c r="CX18" s="557"/>
      <c r="CY18" s="557"/>
      <c r="CZ18" s="557"/>
      <c r="DA18" s="557"/>
      <c r="DB18" s="557"/>
      <c r="DC18" s="557"/>
      <c r="DD18" s="557"/>
      <c r="DE18" s="557"/>
      <c r="DF18" s="557"/>
      <c r="DG18" s="557"/>
      <c r="DH18" s="557"/>
      <c r="DI18" s="557"/>
      <c r="DJ18" s="557"/>
      <c r="DK18" s="557"/>
      <c r="DL18" s="557"/>
      <c r="DM18" s="557"/>
      <c r="DN18" s="557"/>
      <c r="DO18" s="557"/>
      <c r="DP18" s="557"/>
      <c r="DQ18" s="557"/>
      <c r="DR18" s="557"/>
      <c r="DS18" s="557"/>
      <c r="DT18" s="557"/>
      <c r="DU18" s="557"/>
      <c r="DV18" s="557"/>
      <c r="DW18" s="557"/>
      <c r="DX18" s="557"/>
      <c r="DY18" s="557"/>
      <c r="DZ18" s="557"/>
      <c r="EA18" s="557"/>
      <c r="EB18" s="557"/>
      <c r="EC18" s="557"/>
      <c r="ED18" s="557"/>
      <c r="EE18" s="557"/>
      <c r="EF18" s="557"/>
      <c r="EG18" s="557"/>
      <c r="EH18" s="557"/>
      <c r="EI18" s="557"/>
      <c r="EJ18" s="557"/>
      <c r="EK18" s="557"/>
      <c r="EL18" s="557"/>
      <c r="EM18" s="557"/>
      <c r="EN18" s="557"/>
      <c r="EO18" s="557"/>
      <c r="EP18" s="557"/>
      <c r="EQ18" s="557"/>
      <c r="ER18" s="557"/>
      <c r="ES18" s="557"/>
      <c r="ET18" s="557"/>
      <c r="EU18" s="557"/>
      <c r="EV18" s="557"/>
      <c r="EW18" s="557"/>
      <c r="EX18" s="557"/>
      <c r="EY18" s="557"/>
      <c r="EZ18" s="557"/>
      <c r="FA18" s="557"/>
      <c r="FB18" s="557"/>
      <c r="FC18" s="557"/>
      <c r="FD18" s="557"/>
      <c r="FE18" s="557"/>
      <c r="FF18" s="557"/>
      <c r="FG18" s="557"/>
      <c r="FH18" s="557"/>
      <c r="FI18" s="557"/>
      <c r="FJ18" s="557"/>
      <c r="FK18" s="557"/>
      <c r="FL18" s="557"/>
      <c r="FM18" s="557"/>
      <c r="FN18" s="557"/>
      <c r="FO18" s="557"/>
      <c r="FP18" s="557"/>
      <c r="FQ18" s="557"/>
      <c r="FR18" s="557"/>
      <c r="FS18" s="557"/>
      <c r="FT18" s="557"/>
      <c r="FU18" s="557"/>
      <c r="FV18" s="557"/>
      <c r="FW18" s="557"/>
      <c r="FX18" s="557"/>
      <c r="FY18" s="557"/>
      <c r="FZ18" s="557"/>
      <c r="GA18" s="557"/>
      <c r="GB18" s="557"/>
      <c r="GC18" s="557"/>
      <c r="GD18" s="557"/>
      <c r="GE18" s="557"/>
      <c r="GF18" s="557"/>
      <c r="GG18" s="557"/>
      <c r="GH18" s="557"/>
      <c r="GI18" s="557"/>
      <c r="GJ18" s="557"/>
      <c r="GK18" s="557"/>
      <c r="GL18" s="557"/>
      <c r="GM18" s="557"/>
      <c r="GN18" s="557"/>
      <c r="GO18" s="557"/>
      <c r="GP18" s="557"/>
      <c r="GQ18" s="557"/>
      <c r="GR18" s="557"/>
      <c r="GS18" s="557"/>
      <c r="GT18" s="557"/>
      <c r="GU18" s="557"/>
      <c r="GV18" s="557"/>
      <c r="GW18" s="557"/>
      <c r="GX18" s="557"/>
      <c r="GY18" s="557"/>
      <c r="GZ18" s="557"/>
      <c r="HA18" s="557"/>
      <c r="HB18" s="557"/>
      <c r="HC18" s="557"/>
      <c r="HD18" s="557"/>
      <c r="HE18" s="557"/>
      <c r="HF18" s="557"/>
      <c r="HG18" s="557"/>
      <c r="HH18" s="557"/>
      <c r="HI18" s="557"/>
      <c r="HJ18" s="557"/>
      <c r="HK18" s="557"/>
      <c r="HL18" s="557"/>
      <c r="HM18" s="557"/>
      <c r="HN18" s="557"/>
      <c r="HO18" s="557"/>
      <c r="HP18" s="557"/>
      <c r="HQ18" s="557"/>
      <c r="HR18" s="557"/>
      <c r="HS18" s="557"/>
      <c r="HT18" s="557"/>
      <c r="HU18" s="557"/>
      <c r="HV18" s="557"/>
      <c r="HW18" s="557"/>
      <c r="HX18" s="557"/>
      <c r="HY18" s="557"/>
      <c r="HZ18" s="557"/>
      <c r="IA18" s="557"/>
      <c r="IB18" s="557"/>
      <c r="IC18" s="557"/>
      <c r="ID18" s="557"/>
      <c r="IE18" s="557"/>
      <c r="IF18" s="557"/>
      <c r="IG18" s="557"/>
      <c r="IH18" s="557"/>
      <c r="II18" s="557"/>
      <c r="IJ18" s="557"/>
      <c r="IK18" s="557"/>
      <c r="IL18" s="557"/>
      <c r="IM18" s="557"/>
      <c r="IN18" s="557"/>
      <c r="IO18" s="557"/>
      <c r="IP18" s="557"/>
      <c r="IQ18" s="557"/>
      <c r="IR18" s="557"/>
      <c r="IS18" s="557"/>
      <c r="IT18" s="557"/>
      <c r="IU18" s="557"/>
      <c r="IV18" s="557"/>
    </row>
    <row r="19" spans="1:256" s="582" customFormat="1">
      <c r="A19" s="583" t="s">
        <v>26876</v>
      </c>
      <c r="B19" s="584">
        <v>882.29600000000005</v>
      </c>
      <c r="C19" s="585">
        <v>553.24199999999996</v>
      </c>
      <c r="D19" s="585">
        <f t="shared" si="3"/>
        <v>1.0026823159260696</v>
      </c>
      <c r="E19" s="585">
        <f t="shared" si="4"/>
        <v>1.0012434288737122</v>
      </c>
      <c r="F19" s="585">
        <v>696.52200000000005</v>
      </c>
      <c r="G19" s="585">
        <f t="shared" si="2"/>
        <v>1.0057654164217951</v>
      </c>
      <c r="H19" s="586">
        <v>766.69899999999996</v>
      </c>
      <c r="I19" s="557"/>
      <c r="J19" s="557"/>
      <c r="K19" s="557"/>
      <c r="L19" s="557"/>
      <c r="M19" s="557"/>
      <c r="N19" s="557"/>
      <c r="O19" s="557"/>
      <c r="P19" s="557"/>
      <c r="Q19" s="557"/>
      <c r="R19" s="557"/>
      <c r="S19" s="557"/>
      <c r="T19" s="557"/>
      <c r="U19" s="557"/>
      <c r="V19" s="557"/>
      <c r="W19" s="557"/>
      <c r="X19" s="557"/>
      <c r="Y19" s="557"/>
      <c r="Z19" s="557"/>
      <c r="AA19" s="557"/>
      <c r="AB19" s="557"/>
      <c r="AC19" s="557"/>
      <c r="AD19" s="557"/>
      <c r="AE19" s="557"/>
      <c r="AF19" s="557"/>
      <c r="AG19" s="557"/>
      <c r="AH19" s="557"/>
      <c r="AI19" s="557"/>
      <c r="AJ19" s="557"/>
      <c r="AK19" s="557"/>
      <c r="AL19" s="557"/>
      <c r="AM19" s="557"/>
      <c r="AN19" s="557"/>
      <c r="AO19" s="557"/>
      <c r="AP19" s="557"/>
      <c r="AQ19" s="557"/>
      <c r="AR19" s="557"/>
      <c r="AS19" s="557"/>
      <c r="AT19" s="557"/>
      <c r="AU19" s="557"/>
      <c r="AV19" s="557"/>
      <c r="AW19" s="557"/>
      <c r="AX19" s="557"/>
      <c r="AY19" s="557"/>
      <c r="AZ19" s="557"/>
      <c r="BA19" s="557"/>
      <c r="BB19" s="557"/>
      <c r="BC19" s="557"/>
      <c r="BD19" s="557"/>
      <c r="BE19" s="557"/>
      <c r="BF19" s="557"/>
      <c r="BG19" s="557"/>
      <c r="BH19" s="557"/>
      <c r="BI19" s="557"/>
      <c r="BJ19" s="557"/>
      <c r="BK19" s="557"/>
      <c r="BL19" s="557"/>
      <c r="BM19" s="557"/>
      <c r="BN19" s="557"/>
      <c r="BO19" s="557"/>
      <c r="BP19" s="557"/>
      <c r="BQ19" s="557"/>
      <c r="BR19" s="557"/>
      <c r="BS19" s="557"/>
      <c r="BT19" s="557"/>
      <c r="BU19" s="557"/>
      <c r="BV19" s="557"/>
      <c r="BW19" s="557"/>
      <c r="BX19" s="557"/>
      <c r="BY19" s="557"/>
      <c r="BZ19" s="557"/>
      <c r="CA19" s="557"/>
      <c r="CB19" s="557"/>
      <c r="CC19" s="557"/>
      <c r="CD19" s="557"/>
      <c r="CE19" s="557"/>
      <c r="CF19" s="557"/>
      <c r="CG19" s="557"/>
      <c r="CH19" s="557"/>
      <c r="CI19" s="557"/>
      <c r="CJ19" s="557"/>
      <c r="CK19" s="557"/>
      <c r="CL19" s="557"/>
      <c r="CM19" s="557"/>
      <c r="CN19" s="557"/>
      <c r="CO19" s="557"/>
      <c r="CP19" s="557"/>
      <c r="CQ19" s="557"/>
      <c r="CR19" s="557"/>
      <c r="CS19" s="557"/>
      <c r="CT19" s="557"/>
      <c r="CU19" s="557"/>
      <c r="CV19" s="557"/>
      <c r="CW19" s="557"/>
      <c r="CX19" s="557"/>
      <c r="CY19" s="557"/>
      <c r="CZ19" s="557"/>
      <c r="DA19" s="557"/>
      <c r="DB19" s="557"/>
      <c r="DC19" s="557"/>
      <c r="DD19" s="557"/>
      <c r="DE19" s="557"/>
      <c r="DF19" s="557"/>
      <c r="DG19" s="557"/>
      <c r="DH19" s="557"/>
      <c r="DI19" s="557"/>
      <c r="DJ19" s="557"/>
      <c r="DK19" s="557"/>
      <c r="DL19" s="557"/>
      <c r="DM19" s="557"/>
      <c r="DN19" s="557"/>
      <c r="DO19" s="557"/>
      <c r="DP19" s="557"/>
      <c r="DQ19" s="557"/>
      <c r="DR19" s="557"/>
      <c r="DS19" s="557"/>
      <c r="DT19" s="557"/>
      <c r="DU19" s="557"/>
      <c r="DV19" s="557"/>
      <c r="DW19" s="557"/>
      <c r="DX19" s="557"/>
      <c r="DY19" s="557"/>
      <c r="DZ19" s="557"/>
      <c r="EA19" s="557"/>
      <c r="EB19" s="557"/>
      <c r="EC19" s="557"/>
      <c r="ED19" s="557"/>
      <c r="EE19" s="557"/>
      <c r="EF19" s="557"/>
      <c r="EG19" s="557"/>
      <c r="EH19" s="557"/>
      <c r="EI19" s="557"/>
      <c r="EJ19" s="557"/>
      <c r="EK19" s="557"/>
      <c r="EL19" s="557"/>
      <c r="EM19" s="557"/>
      <c r="EN19" s="557"/>
      <c r="EO19" s="557"/>
      <c r="EP19" s="557"/>
      <c r="EQ19" s="557"/>
      <c r="ER19" s="557"/>
      <c r="ES19" s="557"/>
      <c r="ET19" s="557"/>
      <c r="EU19" s="557"/>
      <c r="EV19" s="557"/>
      <c r="EW19" s="557"/>
      <c r="EX19" s="557"/>
      <c r="EY19" s="557"/>
      <c r="EZ19" s="557"/>
      <c r="FA19" s="557"/>
      <c r="FB19" s="557"/>
      <c r="FC19" s="557"/>
      <c r="FD19" s="557"/>
      <c r="FE19" s="557"/>
      <c r="FF19" s="557"/>
      <c r="FG19" s="557"/>
      <c r="FH19" s="557"/>
      <c r="FI19" s="557"/>
      <c r="FJ19" s="557"/>
      <c r="FK19" s="557"/>
      <c r="FL19" s="557"/>
      <c r="FM19" s="557"/>
      <c r="FN19" s="557"/>
      <c r="FO19" s="557"/>
      <c r="FP19" s="557"/>
      <c r="FQ19" s="557"/>
      <c r="FR19" s="557"/>
      <c r="FS19" s="557"/>
      <c r="FT19" s="557"/>
      <c r="FU19" s="557"/>
      <c r="FV19" s="557"/>
      <c r="FW19" s="557"/>
      <c r="FX19" s="557"/>
      <c r="FY19" s="557"/>
      <c r="FZ19" s="557"/>
      <c r="GA19" s="557"/>
      <c r="GB19" s="557"/>
      <c r="GC19" s="557"/>
      <c r="GD19" s="557"/>
      <c r="GE19" s="557"/>
      <c r="GF19" s="557"/>
      <c r="GG19" s="557"/>
      <c r="GH19" s="557"/>
      <c r="GI19" s="557"/>
      <c r="GJ19" s="557"/>
      <c r="GK19" s="557"/>
      <c r="GL19" s="557"/>
      <c r="GM19" s="557"/>
      <c r="GN19" s="557"/>
      <c r="GO19" s="557"/>
      <c r="GP19" s="557"/>
      <c r="GQ19" s="557"/>
      <c r="GR19" s="557"/>
      <c r="GS19" s="557"/>
      <c r="GT19" s="557"/>
      <c r="GU19" s="557"/>
      <c r="GV19" s="557"/>
      <c r="GW19" s="557"/>
      <c r="GX19" s="557"/>
      <c r="GY19" s="557"/>
      <c r="GZ19" s="557"/>
      <c r="HA19" s="557"/>
      <c r="HB19" s="557"/>
      <c r="HC19" s="557"/>
      <c r="HD19" s="557"/>
      <c r="HE19" s="557"/>
      <c r="HF19" s="557"/>
      <c r="HG19" s="557"/>
      <c r="HH19" s="557"/>
      <c r="HI19" s="557"/>
      <c r="HJ19" s="557"/>
      <c r="HK19" s="557"/>
      <c r="HL19" s="557"/>
      <c r="HM19" s="557"/>
      <c r="HN19" s="557"/>
      <c r="HO19" s="557"/>
      <c r="HP19" s="557"/>
      <c r="HQ19" s="557"/>
      <c r="HR19" s="557"/>
      <c r="HS19" s="557"/>
      <c r="HT19" s="557"/>
      <c r="HU19" s="557"/>
      <c r="HV19" s="557"/>
      <c r="HW19" s="557"/>
      <c r="HX19" s="557"/>
      <c r="HY19" s="557"/>
      <c r="HZ19" s="557"/>
      <c r="IA19" s="557"/>
      <c r="IB19" s="557"/>
      <c r="IC19" s="557"/>
      <c r="ID19" s="557"/>
      <c r="IE19" s="557"/>
      <c r="IF19" s="557"/>
      <c r="IG19" s="557"/>
      <c r="IH19" s="557"/>
      <c r="II19" s="557"/>
      <c r="IJ19" s="557"/>
      <c r="IK19" s="557"/>
      <c r="IL19" s="557"/>
      <c r="IM19" s="557"/>
      <c r="IN19" s="557"/>
      <c r="IO19" s="557"/>
      <c r="IP19" s="557"/>
      <c r="IQ19" s="557"/>
      <c r="IR19" s="557"/>
      <c r="IS19" s="557"/>
      <c r="IT19" s="557"/>
      <c r="IU19" s="557"/>
      <c r="IV19" s="557"/>
    </row>
    <row r="20" spans="1:256" s="582" customFormat="1">
      <c r="A20" s="583" t="s">
        <v>26877</v>
      </c>
      <c r="B20" s="584">
        <v>907.97500000000002</v>
      </c>
      <c r="C20" s="585">
        <v>554.21299999999997</v>
      </c>
      <c r="D20" s="585">
        <f t="shared" si="3"/>
        <v>1.001755108975819</v>
      </c>
      <c r="E20" s="585">
        <f t="shared" si="4"/>
        <v>1.0164144133279351</v>
      </c>
      <c r="F20" s="585">
        <v>707.95500000000004</v>
      </c>
      <c r="G20" s="585">
        <f t="shared" si="2"/>
        <v>1.0042415602472419</v>
      </c>
      <c r="H20" s="586">
        <v>769.95100000000002</v>
      </c>
      <c r="I20" s="557"/>
      <c r="J20" s="557"/>
      <c r="K20" s="557"/>
      <c r="L20" s="557"/>
      <c r="M20" s="557"/>
      <c r="N20" s="557"/>
      <c r="O20" s="557"/>
      <c r="P20" s="557"/>
      <c r="Q20" s="557"/>
      <c r="R20" s="557"/>
      <c r="S20" s="557"/>
      <c r="T20" s="557"/>
      <c r="U20" s="557"/>
      <c r="V20" s="557"/>
      <c r="W20" s="557"/>
      <c r="X20" s="557"/>
      <c r="Y20" s="557"/>
      <c r="Z20" s="557"/>
      <c r="AA20" s="557"/>
      <c r="AB20" s="557"/>
      <c r="AC20" s="557"/>
      <c r="AD20" s="557"/>
      <c r="AE20" s="557"/>
      <c r="AF20" s="557"/>
      <c r="AG20" s="557"/>
      <c r="AH20" s="557"/>
      <c r="AI20" s="557"/>
      <c r="AJ20" s="557"/>
      <c r="AK20" s="557"/>
      <c r="AL20" s="557"/>
      <c r="AM20" s="557"/>
      <c r="AN20" s="557"/>
      <c r="AO20" s="557"/>
      <c r="AP20" s="557"/>
      <c r="AQ20" s="557"/>
      <c r="AR20" s="557"/>
      <c r="AS20" s="557"/>
      <c r="AT20" s="557"/>
      <c r="AU20" s="557"/>
      <c r="AV20" s="557"/>
      <c r="AW20" s="557"/>
      <c r="AX20" s="557"/>
      <c r="AY20" s="557"/>
      <c r="AZ20" s="557"/>
      <c r="BA20" s="557"/>
      <c r="BB20" s="557"/>
      <c r="BC20" s="557"/>
      <c r="BD20" s="557"/>
      <c r="BE20" s="557"/>
      <c r="BF20" s="557"/>
      <c r="BG20" s="557"/>
      <c r="BH20" s="557"/>
      <c r="BI20" s="557"/>
      <c r="BJ20" s="557"/>
      <c r="BK20" s="557"/>
      <c r="BL20" s="557"/>
      <c r="BM20" s="557"/>
      <c r="BN20" s="557"/>
      <c r="BO20" s="557"/>
      <c r="BP20" s="557"/>
      <c r="BQ20" s="557"/>
      <c r="BR20" s="557"/>
      <c r="BS20" s="557"/>
      <c r="BT20" s="557"/>
      <c r="BU20" s="557"/>
      <c r="BV20" s="557"/>
      <c r="BW20" s="557"/>
      <c r="BX20" s="557"/>
      <c r="BY20" s="557"/>
      <c r="BZ20" s="557"/>
      <c r="CA20" s="557"/>
      <c r="CB20" s="557"/>
      <c r="CC20" s="557"/>
      <c r="CD20" s="557"/>
      <c r="CE20" s="557"/>
      <c r="CF20" s="557"/>
      <c r="CG20" s="557"/>
      <c r="CH20" s="557"/>
      <c r="CI20" s="557"/>
      <c r="CJ20" s="557"/>
      <c r="CK20" s="557"/>
      <c r="CL20" s="557"/>
      <c r="CM20" s="557"/>
      <c r="CN20" s="557"/>
      <c r="CO20" s="557"/>
      <c r="CP20" s="557"/>
      <c r="CQ20" s="557"/>
      <c r="CR20" s="557"/>
      <c r="CS20" s="557"/>
      <c r="CT20" s="557"/>
      <c r="CU20" s="557"/>
      <c r="CV20" s="557"/>
      <c r="CW20" s="557"/>
      <c r="CX20" s="557"/>
      <c r="CY20" s="557"/>
      <c r="CZ20" s="557"/>
      <c r="DA20" s="557"/>
      <c r="DB20" s="557"/>
      <c r="DC20" s="557"/>
      <c r="DD20" s="557"/>
      <c r="DE20" s="557"/>
      <c r="DF20" s="557"/>
      <c r="DG20" s="557"/>
      <c r="DH20" s="557"/>
      <c r="DI20" s="557"/>
      <c r="DJ20" s="557"/>
      <c r="DK20" s="557"/>
      <c r="DL20" s="557"/>
      <c r="DM20" s="557"/>
      <c r="DN20" s="557"/>
      <c r="DO20" s="557"/>
      <c r="DP20" s="557"/>
      <c r="DQ20" s="557"/>
      <c r="DR20" s="557"/>
      <c r="DS20" s="557"/>
      <c r="DT20" s="557"/>
      <c r="DU20" s="557"/>
      <c r="DV20" s="557"/>
      <c r="DW20" s="557"/>
      <c r="DX20" s="557"/>
      <c r="DY20" s="557"/>
      <c r="DZ20" s="557"/>
      <c r="EA20" s="557"/>
      <c r="EB20" s="557"/>
      <c r="EC20" s="557"/>
      <c r="ED20" s="557"/>
      <c r="EE20" s="557"/>
      <c r="EF20" s="557"/>
      <c r="EG20" s="557"/>
      <c r="EH20" s="557"/>
      <c r="EI20" s="557"/>
      <c r="EJ20" s="557"/>
      <c r="EK20" s="557"/>
      <c r="EL20" s="557"/>
      <c r="EM20" s="557"/>
      <c r="EN20" s="557"/>
      <c r="EO20" s="557"/>
      <c r="EP20" s="557"/>
      <c r="EQ20" s="557"/>
      <c r="ER20" s="557"/>
      <c r="ES20" s="557"/>
      <c r="ET20" s="557"/>
      <c r="EU20" s="557"/>
      <c r="EV20" s="557"/>
      <c r="EW20" s="557"/>
      <c r="EX20" s="557"/>
      <c r="EY20" s="557"/>
      <c r="EZ20" s="557"/>
      <c r="FA20" s="557"/>
      <c r="FB20" s="557"/>
      <c r="FC20" s="557"/>
      <c r="FD20" s="557"/>
      <c r="FE20" s="557"/>
      <c r="FF20" s="557"/>
      <c r="FG20" s="557"/>
      <c r="FH20" s="557"/>
      <c r="FI20" s="557"/>
      <c r="FJ20" s="557"/>
      <c r="FK20" s="557"/>
      <c r="FL20" s="557"/>
      <c r="FM20" s="557"/>
      <c r="FN20" s="557"/>
      <c r="FO20" s="557"/>
      <c r="FP20" s="557"/>
      <c r="FQ20" s="557"/>
      <c r="FR20" s="557"/>
      <c r="FS20" s="557"/>
      <c r="FT20" s="557"/>
      <c r="FU20" s="557"/>
      <c r="FV20" s="557"/>
      <c r="FW20" s="557"/>
      <c r="FX20" s="557"/>
      <c r="FY20" s="557"/>
      <c r="FZ20" s="557"/>
      <c r="GA20" s="557"/>
      <c r="GB20" s="557"/>
      <c r="GC20" s="557"/>
      <c r="GD20" s="557"/>
      <c r="GE20" s="557"/>
      <c r="GF20" s="557"/>
      <c r="GG20" s="557"/>
      <c r="GH20" s="557"/>
      <c r="GI20" s="557"/>
      <c r="GJ20" s="557"/>
      <c r="GK20" s="557"/>
      <c r="GL20" s="557"/>
      <c r="GM20" s="557"/>
      <c r="GN20" s="557"/>
      <c r="GO20" s="557"/>
      <c r="GP20" s="557"/>
      <c r="GQ20" s="557"/>
      <c r="GR20" s="557"/>
      <c r="GS20" s="557"/>
      <c r="GT20" s="557"/>
      <c r="GU20" s="557"/>
      <c r="GV20" s="557"/>
      <c r="GW20" s="557"/>
      <c r="GX20" s="557"/>
      <c r="GY20" s="557"/>
      <c r="GZ20" s="557"/>
      <c r="HA20" s="557"/>
      <c r="HB20" s="557"/>
      <c r="HC20" s="557"/>
      <c r="HD20" s="557"/>
      <c r="HE20" s="557"/>
      <c r="HF20" s="557"/>
      <c r="HG20" s="557"/>
      <c r="HH20" s="557"/>
      <c r="HI20" s="557"/>
      <c r="HJ20" s="557"/>
      <c r="HK20" s="557"/>
      <c r="HL20" s="557"/>
      <c r="HM20" s="557"/>
      <c r="HN20" s="557"/>
      <c r="HO20" s="557"/>
      <c r="HP20" s="557"/>
      <c r="HQ20" s="557"/>
      <c r="HR20" s="557"/>
      <c r="HS20" s="557"/>
      <c r="HT20" s="557"/>
      <c r="HU20" s="557"/>
      <c r="HV20" s="557"/>
      <c r="HW20" s="557"/>
      <c r="HX20" s="557"/>
      <c r="HY20" s="557"/>
      <c r="HZ20" s="557"/>
      <c r="IA20" s="557"/>
      <c r="IB20" s="557"/>
      <c r="IC20" s="557"/>
      <c r="ID20" s="557"/>
      <c r="IE20" s="557"/>
      <c r="IF20" s="557"/>
      <c r="IG20" s="557"/>
      <c r="IH20" s="557"/>
      <c r="II20" s="557"/>
      <c r="IJ20" s="557"/>
      <c r="IK20" s="557"/>
      <c r="IL20" s="557"/>
      <c r="IM20" s="557"/>
      <c r="IN20" s="557"/>
      <c r="IO20" s="557"/>
      <c r="IP20" s="557"/>
      <c r="IQ20" s="557"/>
      <c r="IR20" s="557"/>
      <c r="IS20" s="557"/>
      <c r="IT20" s="557"/>
      <c r="IU20" s="557"/>
      <c r="IV20" s="557"/>
    </row>
    <row r="21" spans="1:256" s="582" customFormat="1">
      <c r="A21" s="583" t="s">
        <v>26878</v>
      </c>
      <c r="B21" s="584">
        <v>926.03800000000001</v>
      </c>
      <c r="C21" s="585">
        <v>555.73</v>
      </c>
      <c r="D21" s="585">
        <f t="shared" si="3"/>
        <v>1.0027372147531726</v>
      </c>
      <c r="E21" s="585">
        <f t="shared" si="4"/>
        <v>1.0120473758925355</v>
      </c>
      <c r="F21" s="585">
        <v>716.48400000000004</v>
      </c>
      <c r="G21" s="585">
        <f t="shared" si="2"/>
        <v>1.004635359912514</v>
      </c>
      <c r="H21" s="586">
        <v>773.52</v>
      </c>
      <c r="I21" s="557"/>
      <c r="J21" s="557"/>
      <c r="K21" s="557"/>
      <c r="L21" s="557"/>
      <c r="M21" s="557"/>
      <c r="N21" s="557"/>
      <c r="O21" s="557"/>
      <c r="P21" s="557"/>
      <c r="Q21" s="557"/>
      <c r="R21" s="557"/>
      <c r="S21" s="557"/>
      <c r="T21" s="557"/>
      <c r="U21" s="557"/>
      <c r="V21" s="557"/>
      <c r="W21" s="557"/>
      <c r="X21" s="557"/>
      <c r="Y21" s="557"/>
      <c r="Z21" s="557"/>
      <c r="AA21" s="557"/>
      <c r="AB21" s="557"/>
      <c r="AC21" s="557"/>
      <c r="AD21" s="557"/>
      <c r="AE21" s="557"/>
      <c r="AF21" s="557"/>
      <c r="AG21" s="557"/>
      <c r="AH21" s="557"/>
      <c r="AI21" s="557"/>
      <c r="AJ21" s="557"/>
      <c r="AK21" s="557"/>
      <c r="AL21" s="557"/>
      <c r="AM21" s="557"/>
      <c r="AN21" s="557"/>
      <c r="AO21" s="557"/>
      <c r="AP21" s="557"/>
      <c r="AQ21" s="557"/>
      <c r="AR21" s="557"/>
      <c r="AS21" s="557"/>
      <c r="AT21" s="557"/>
      <c r="AU21" s="557"/>
      <c r="AV21" s="557"/>
      <c r="AW21" s="557"/>
      <c r="AX21" s="557"/>
      <c r="AY21" s="557"/>
      <c r="AZ21" s="557"/>
      <c r="BA21" s="557"/>
      <c r="BB21" s="557"/>
      <c r="BC21" s="557"/>
      <c r="BD21" s="557"/>
      <c r="BE21" s="557"/>
      <c r="BF21" s="557"/>
      <c r="BG21" s="557"/>
      <c r="BH21" s="557"/>
      <c r="BI21" s="557"/>
      <c r="BJ21" s="557"/>
      <c r="BK21" s="557"/>
      <c r="BL21" s="557"/>
      <c r="BM21" s="557"/>
      <c r="BN21" s="557"/>
      <c r="BO21" s="557"/>
      <c r="BP21" s="557"/>
      <c r="BQ21" s="557"/>
      <c r="BR21" s="557"/>
      <c r="BS21" s="557"/>
      <c r="BT21" s="557"/>
      <c r="BU21" s="557"/>
      <c r="BV21" s="557"/>
      <c r="BW21" s="557"/>
      <c r="BX21" s="557"/>
      <c r="BY21" s="557"/>
      <c r="BZ21" s="557"/>
      <c r="CA21" s="557"/>
      <c r="CB21" s="557"/>
      <c r="CC21" s="557"/>
      <c r="CD21" s="557"/>
      <c r="CE21" s="557"/>
      <c r="CF21" s="557"/>
      <c r="CG21" s="557"/>
      <c r="CH21" s="557"/>
      <c r="CI21" s="557"/>
      <c r="CJ21" s="557"/>
      <c r="CK21" s="557"/>
      <c r="CL21" s="557"/>
      <c r="CM21" s="557"/>
      <c r="CN21" s="557"/>
      <c r="CO21" s="557"/>
      <c r="CP21" s="557"/>
      <c r="CQ21" s="557"/>
      <c r="CR21" s="557"/>
      <c r="CS21" s="557"/>
      <c r="CT21" s="557"/>
      <c r="CU21" s="557"/>
      <c r="CV21" s="557"/>
      <c r="CW21" s="557"/>
      <c r="CX21" s="557"/>
      <c r="CY21" s="557"/>
      <c r="CZ21" s="557"/>
      <c r="DA21" s="557"/>
      <c r="DB21" s="557"/>
      <c r="DC21" s="557"/>
      <c r="DD21" s="557"/>
      <c r="DE21" s="557"/>
      <c r="DF21" s="557"/>
      <c r="DG21" s="557"/>
      <c r="DH21" s="557"/>
      <c r="DI21" s="557"/>
      <c r="DJ21" s="557"/>
      <c r="DK21" s="557"/>
      <c r="DL21" s="557"/>
      <c r="DM21" s="557"/>
      <c r="DN21" s="557"/>
      <c r="DO21" s="557"/>
      <c r="DP21" s="557"/>
      <c r="DQ21" s="557"/>
      <c r="DR21" s="557"/>
      <c r="DS21" s="557"/>
      <c r="DT21" s="557"/>
      <c r="DU21" s="557"/>
      <c r="DV21" s="557"/>
      <c r="DW21" s="557"/>
      <c r="DX21" s="557"/>
      <c r="DY21" s="557"/>
      <c r="DZ21" s="557"/>
      <c r="EA21" s="557"/>
      <c r="EB21" s="557"/>
      <c r="EC21" s="557"/>
      <c r="ED21" s="557"/>
      <c r="EE21" s="557"/>
      <c r="EF21" s="557"/>
      <c r="EG21" s="557"/>
      <c r="EH21" s="557"/>
      <c r="EI21" s="557"/>
      <c r="EJ21" s="557"/>
      <c r="EK21" s="557"/>
      <c r="EL21" s="557"/>
      <c r="EM21" s="557"/>
      <c r="EN21" s="557"/>
      <c r="EO21" s="557"/>
      <c r="EP21" s="557"/>
      <c r="EQ21" s="557"/>
      <c r="ER21" s="557"/>
      <c r="ES21" s="557"/>
      <c r="ET21" s="557"/>
      <c r="EU21" s="557"/>
      <c r="EV21" s="557"/>
      <c r="EW21" s="557"/>
      <c r="EX21" s="557"/>
      <c r="EY21" s="557"/>
      <c r="EZ21" s="557"/>
      <c r="FA21" s="557"/>
      <c r="FB21" s="557"/>
      <c r="FC21" s="557"/>
      <c r="FD21" s="557"/>
      <c r="FE21" s="557"/>
      <c r="FF21" s="557"/>
      <c r="FG21" s="557"/>
      <c r="FH21" s="557"/>
      <c r="FI21" s="557"/>
      <c r="FJ21" s="557"/>
      <c r="FK21" s="557"/>
      <c r="FL21" s="557"/>
      <c r="FM21" s="557"/>
      <c r="FN21" s="557"/>
      <c r="FO21" s="557"/>
      <c r="FP21" s="557"/>
      <c r="FQ21" s="557"/>
      <c r="FR21" s="557"/>
      <c r="FS21" s="557"/>
      <c r="FT21" s="557"/>
      <c r="FU21" s="557"/>
      <c r="FV21" s="557"/>
      <c r="FW21" s="557"/>
      <c r="FX21" s="557"/>
      <c r="FY21" s="557"/>
      <c r="FZ21" s="557"/>
      <c r="GA21" s="557"/>
      <c r="GB21" s="557"/>
      <c r="GC21" s="557"/>
      <c r="GD21" s="557"/>
      <c r="GE21" s="557"/>
      <c r="GF21" s="557"/>
      <c r="GG21" s="557"/>
      <c r="GH21" s="557"/>
      <c r="GI21" s="557"/>
      <c r="GJ21" s="557"/>
      <c r="GK21" s="557"/>
      <c r="GL21" s="557"/>
      <c r="GM21" s="557"/>
      <c r="GN21" s="557"/>
      <c r="GO21" s="557"/>
      <c r="GP21" s="557"/>
      <c r="GQ21" s="557"/>
      <c r="GR21" s="557"/>
      <c r="GS21" s="557"/>
      <c r="GT21" s="557"/>
      <c r="GU21" s="557"/>
      <c r="GV21" s="557"/>
      <c r="GW21" s="557"/>
      <c r="GX21" s="557"/>
      <c r="GY21" s="557"/>
      <c r="GZ21" s="557"/>
      <c r="HA21" s="557"/>
      <c r="HB21" s="557"/>
      <c r="HC21" s="557"/>
      <c r="HD21" s="557"/>
      <c r="HE21" s="557"/>
      <c r="HF21" s="557"/>
      <c r="HG21" s="557"/>
      <c r="HH21" s="557"/>
      <c r="HI21" s="557"/>
      <c r="HJ21" s="557"/>
      <c r="HK21" s="557"/>
      <c r="HL21" s="557"/>
      <c r="HM21" s="557"/>
      <c r="HN21" s="557"/>
      <c r="HO21" s="557"/>
      <c r="HP21" s="557"/>
      <c r="HQ21" s="557"/>
      <c r="HR21" s="557"/>
      <c r="HS21" s="557"/>
      <c r="HT21" s="557"/>
      <c r="HU21" s="557"/>
      <c r="HV21" s="557"/>
      <c r="HW21" s="557"/>
      <c r="HX21" s="557"/>
      <c r="HY21" s="557"/>
      <c r="HZ21" s="557"/>
      <c r="IA21" s="557"/>
      <c r="IB21" s="557"/>
      <c r="IC21" s="557"/>
      <c r="ID21" s="557"/>
      <c r="IE21" s="557"/>
      <c r="IF21" s="557"/>
      <c r="IG21" s="557"/>
      <c r="IH21" s="557"/>
      <c r="II21" s="557"/>
      <c r="IJ21" s="557"/>
      <c r="IK21" s="557"/>
      <c r="IL21" s="557"/>
      <c r="IM21" s="557"/>
      <c r="IN21" s="557"/>
      <c r="IO21" s="557"/>
      <c r="IP21" s="557"/>
      <c r="IQ21" s="557"/>
      <c r="IR21" s="557"/>
      <c r="IS21" s="557"/>
      <c r="IT21" s="557"/>
      <c r="IU21" s="557"/>
      <c r="IV21" s="557"/>
    </row>
    <row r="22" spans="1:256" s="582" customFormat="1">
      <c r="A22" s="583" t="s">
        <v>26879</v>
      </c>
      <c r="B22" s="584">
        <v>926.03800000000001</v>
      </c>
      <c r="C22" s="585">
        <v>557.17899999999997</v>
      </c>
      <c r="D22" s="585">
        <f t="shared" si="3"/>
        <v>1.0026073812822773</v>
      </c>
      <c r="E22" s="585">
        <f t="shared" si="4"/>
        <v>1.0011807660743297</v>
      </c>
      <c r="F22" s="585">
        <v>717.33</v>
      </c>
      <c r="G22" s="585">
        <f t="shared" si="2"/>
        <v>1.0018344709897611</v>
      </c>
      <c r="H22" s="586">
        <v>774.93899999999996</v>
      </c>
      <c r="I22" s="557"/>
      <c r="J22" s="557"/>
      <c r="K22" s="557"/>
      <c r="L22" s="557"/>
      <c r="M22" s="557"/>
      <c r="N22" s="557"/>
      <c r="O22" s="557"/>
      <c r="P22" s="557"/>
      <c r="Q22" s="557"/>
      <c r="R22" s="557"/>
      <c r="S22" s="557"/>
      <c r="T22" s="557"/>
      <c r="U22" s="557"/>
      <c r="V22" s="557"/>
      <c r="W22" s="557"/>
      <c r="X22" s="557"/>
      <c r="Y22" s="557"/>
      <c r="Z22" s="557"/>
      <c r="AA22" s="557"/>
      <c r="AB22" s="557"/>
      <c r="AC22" s="557"/>
      <c r="AD22" s="557"/>
      <c r="AE22" s="557"/>
      <c r="AF22" s="557"/>
      <c r="AG22" s="557"/>
      <c r="AH22" s="557"/>
      <c r="AI22" s="557"/>
      <c r="AJ22" s="557"/>
      <c r="AK22" s="557"/>
      <c r="AL22" s="557"/>
      <c r="AM22" s="557"/>
      <c r="AN22" s="557"/>
      <c r="AO22" s="557"/>
      <c r="AP22" s="557"/>
      <c r="AQ22" s="557"/>
      <c r="AR22" s="557"/>
      <c r="AS22" s="557"/>
      <c r="AT22" s="557"/>
      <c r="AU22" s="557"/>
      <c r="AV22" s="557"/>
      <c r="AW22" s="557"/>
      <c r="AX22" s="557"/>
      <c r="AY22" s="557"/>
      <c r="AZ22" s="557"/>
      <c r="BA22" s="557"/>
      <c r="BB22" s="557"/>
      <c r="BC22" s="557"/>
      <c r="BD22" s="557"/>
      <c r="BE22" s="557"/>
      <c r="BF22" s="557"/>
      <c r="BG22" s="557"/>
      <c r="BH22" s="557"/>
      <c r="BI22" s="557"/>
      <c r="BJ22" s="557"/>
      <c r="BK22" s="557"/>
      <c r="BL22" s="557"/>
      <c r="BM22" s="557"/>
      <c r="BN22" s="557"/>
      <c r="BO22" s="557"/>
      <c r="BP22" s="557"/>
      <c r="BQ22" s="557"/>
      <c r="BR22" s="557"/>
      <c r="BS22" s="557"/>
      <c r="BT22" s="557"/>
      <c r="BU22" s="557"/>
      <c r="BV22" s="557"/>
      <c r="BW22" s="557"/>
      <c r="BX22" s="557"/>
      <c r="BY22" s="557"/>
      <c r="BZ22" s="557"/>
      <c r="CA22" s="557"/>
      <c r="CB22" s="557"/>
      <c r="CC22" s="557"/>
      <c r="CD22" s="557"/>
      <c r="CE22" s="557"/>
      <c r="CF22" s="557"/>
      <c r="CG22" s="557"/>
      <c r="CH22" s="557"/>
      <c r="CI22" s="557"/>
      <c r="CJ22" s="557"/>
      <c r="CK22" s="557"/>
      <c r="CL22" s="557"/>
      <c r="CM22" s="557"/>
      <c r="CN22" s="557"/>
      <c r="CO22" s="557"/>
      <c r="CP22" s="557"/>
      <c r="CQ22" s="557"/>
      <c r="CR22" s="557"/>
      <c r="CS22" s="557"/>
      <c r="CT22" s="557"/>
      <c r="CU22" s="557"/>
      <c r="CV22" s="557"/>
      <c r="CW22" s="557"/>
      <c r="CX22" s="557"/>
      <c r="CY22" s="557"/>
      <c r="CZ22" s="557"/>
      <c r="DA22" s="557"/>
      <c r="DB22" s="557"/>
      <c r="DC22" s="557"/>
      <c r="DD22" s="557"/>
      <c r="DE22" s="557"/>
      <c r="DF22" s="557"/>
      <c r="DG22" s="557"/>
      <c r="DH22" s="557"/>
      <c r="DI22" s="557"/>
      <c r="DJ22" s="557"/>
      <c r="DK22" s="557"/>
      <c r="DL22" s="557"/>
      <c r="DM22" s="557"/>
      <c r="DN22" s="557"/>
      <c r="DO22" s="557"/>
      <c r="DP22" s="557"/>
      <c r="DQ22" s="557"/>
      <c r="DR22" s="557"/>
      <c r="DS22" s="557"/>
      <c r="DT22" s="557"/>
      <c r="DU22" s="557"/>
      <c r="DV22" s="557"/>
      <c r="DW22" s="557"/>
      <c r="DX22" s="557"/>
      <c r="DY22" s="557"/>
      <c r="DZ22" s="557"/>
      <c r="EA22" s="557"/>
      <c r="EB22" s="557"/>
      <c r="EC22" s="557"/>
      <c r="ED22" s="557"/>
      <c r="EE22" s="557"/>
      <c r="EF22" s="557"/>
      <c r="EG22" s="557"/>
      <c r="EH22" s="557"/>
      <c r="EI22" s="557"/>
      <c r="EJ22" s="557"/>
      <c r="EK22" s="557"/>
      <c r="EL22" s="557"/>
      <c r="EM22" s="557"/>
      <c r="EN22" s="557"/>
      <c r="EO22" s="557"/>
      <c r="EP22" s="557"/>
      <c r="EQ22" s="557"/>
      <c r="ER22" s="557"/>
      <c r="ES22" s="557"/>
      <c r="ET22" s="557"/>
      <c r="EU22" s="557"/>
      <c r="EV22" s="557"/>
      <c r="EW22" s="557"/>
      <c r="EX22" s="557"/>
      <c r="EY22" s="557"/>
      <c r="EZ22" s="557"/>
      <c r="FA22" s="557"/>
      <c r="FB22" s="557"/>
      <c r="FC22" s="557"/>
      <c r="FD22" s="557"/>
      <c r="FE22" s="557"/>
      <c r="FF22" s="557"/>
      <c r="FG22" s="557"/>
      <c r="FH22" s="557"/>
      <c r="FI22" s="557"/>
      <c r="FJ22" s="557"/>
      <c r="FK22" s="557"/>
      <c r="FL22" s="557"/>
      <c r="FM22" s="557"/>
      <c r="FN22" s="557"/>
      <c r="FO22" s="557"/>
      <c r="FP22" s="557"/>
      <c r="FQ22" s="557"/>
      <c r="FR22" s="557"/>
      <c r="FS22" s="557"/>
      <c r="FT22" s="557"/>
      <c r="FU22" s="557"/>
      <c r="FV22" s="557"/>
      <c r="FW22" s="557"/>
      <c r="FX22" s="557"/>
      <c r="FY22" s="557"/>
      <c r="FZ22" s="557"/>
      <c r="GA22" s="557"/>
      <c r="GB22" s="557"/>
      <c r="GC22" s="557"/>
      <c r="GD22" s="557"/>
      <c r="GE22" s="557"/>
      <c r="GF22" s="557"/>
      <c r="GG22" s="557"/>
      <c r="GH22" s="557"/>
      <c r="GI22" s="557"/>
      <c r="GJ22" s="557"/>
      <c r="GK22" s="557"/>
      <c r="GL22" s="557"/>
      <c r="GM22" s="557"/>
      <c r="GN22" s="557"/>
      <c r="GO22" s="557"/>
      <c r="GP22" s="557"/>
      <c r="GQ22" s="557"/>
      <c r="GR22" s="557"/>
      <c r="GS22" s="557"/>
      <c r="GT22" s="557"/>
      <c r="GU22" s="557"/>
      <c r="GV22" s="557"/>
      <c r="GW22" s="557"/>
      <c r="GX22" s="557"/>
      <c r="GY22" s="557"/>
      <c r="GZ22" s="557"/>
      <c r="HA22" s="557"/>
      <c r="HB22" s="557"/>
      <c r="HC22" s="557"/>
      <c r="HD22" s="557"/>
      <c r="HE22" s="557"/>
      <c r="HF22" s="557"/>
      <c r="HG22" s="557"/>
      <c r="HH22" s="557"/>
      <c r="HI22" s="557"/>
      <c r="HJ22" s="557"/>
      <c r="HK22" s="557"/>
      <c r="HL22" s="557"/>
      <c r="HM22" s="557"/>
      <c r="HN22" s="557"/>
      <c r="HO22" s="557"/>
      <c r="HP22" s="557"/>
      <c r="HQ22" s="557"/>
      <c r="HR22" s="557"/>
      <c r="HS22" s="557"/>
      <c r="HT22" s="557"/>
      <c r="HU22" s="557"/>
      <c r="HV22" s="557"/>
      <c r="HW22" s="557"/>
      <c r="HX22" s="557"/>
      <c r="HY22" s="557"/>
      <c r="HZ22" s="557"/>
      <c r="IA22" s="557"/>
      <c r="IB22" s="557"/>
      <c r="IC22" s="557"/>
      <c r="ID22" s="557"/>
      <c r="IE22" s="557"/>
      <c r="IF22" s="557"/>
      <c r="IG22" s="557"/>
      <c r="IH22" s="557"/>
      <c r="II22" s="557"/>
      <c r="IJ22" s="557"/>
      <c r="IK22" s="557"/>
      <c r="IL22" s="557"/>
      <c r="IM22" s="557"/>
      <c r="IN22" s="557"/>
      <c r="IO22" s="557"/>
      <c r="IP22" s="557"/>
      <c r="IQ22" s="557"/>
      <c r="IR22" s="557"/>
      <c r="IS22" s="557"/>
      <c r="IT22" s="557"/>
      <c r="IU22" s="557"/>
      <c r="IV22" s="557"/>
    </row>
    <row r="23" spans="1:256" s="582" customFormat="1">
      <c r="A23" s="583" t="s">
        <v>26880</v>
      </c>
      <c r="B23" s="584">
        <v>926.03800000000001</v>
      </c>
      <c r="C23" s="585">
        <v>557.50900000000001</v>
      </c>
      <c r="D23" s="585">
        <f t="shared" si="3"/>
        <v>1.0005922692707372</v>
      </c>
      <c r="E23" s="585">
        <f t="shared" si="4"/>
        <v>1.0002690532948573</v>
      </c>
      <c r="F23" s="585">
        <v>717.52300000000002</v>
      </c>
      <c r="G23" s="585">
        <f t="shared" si="2"/>
        <v>1.0003690613067611</v>
      </c>
      <c r="H23" s="586">
        <v>775.22500000000002</v>
      </c>
      <c r="I23" s="557"/>
      <c r="J23" s="557"/>
      <c r="K23" s="557"/>
      <c r="L23" s="557"/>
      <c r="M23" s="557"/>
      <c r="N23" s="557"/>
      <c r="O23" s="557"/>
      <c r="P23" s="557"/>
      <c r="Q23" s="557"/>
      <c r="R23" s="557"/>
      <c r="S23" s="557"/>
      <c r="T23" s="557"/>
      <c r="U23" s="557"/>
      <c r="V23" s="557"/>
      <c r="W23" s="557"/>
      <c r="X23" s="557"/>
      <c r="Y23" s="557"/>
      <c r="Z23" s="557"/>
      <c r="AA23" s="557"/>
      <c r="AB23" s="557"/>
      <c r="AC23" s="557"/>
      <c r="AD23" s="557"/>
      <c r="AE23" s="557"/>
      <c r="AF23" s="557"/>
      <c r="AG23" s="557"/>
      <c r="AH23" s="557"/>
      <c r="AI23" s="557"/>
      <c r="AJ23" s="557"/>
      <c r="AK23" s="557"/>
      <c r="AL23" s="557"/>
      <c r="AM23" s="557"/>
      <c r="AN23" s="557"/>
      <c r="AO23" s="557"/>
      <c r="AP23" s="557"/>
      <c r="AQ23" s="557"/>
      <c r="AR23" s="557"/>
      <c r="AS23" s="557"/>
      <c r="AT23" s="557"/>
      <c r="AU23" s="557"/>
      <c r="AV23" s="557"/>
      <c r="AW23" s="557"/>
      <c r="AX23" s="557"/>
      <c r="AY23" s="557"/>
      <c r="AZ23" s="557"/>
      <c r="BA23" s="557"/>
      <c r="BB23" s="557"/>
      <c r="BC23" s="557"/>
      <c r="BD23" s="557"/>
      <c r="BE23" s="557"/>
      <c r="BF23" s="557"/>
      <c r="BG23" s="557"/>
      <c r="BH23" s="557"/>
      <c r="BI23" s="557"/>
      <c r="BJ23" s="557"/>
      <c r="BK23" s="557"/>
      <c r="BL23" s="557"/>
      <c r="BM23" s="557"/>
      <c r="BN23" s="557"/>
      <c r="BO23" s="557"/>
      <c r="BP23" s="557"/>
      <c r="BQ23" s="557"/>
      <c r="BR23" s="557"/>
      <c r="BS23" s="557"/>
      <c r="BT23" s="557"/>
      <c r="BU23" s="557"/>
      <c r="BV23" s="557"/>
      <c r="BW23" s="557"/>
      <c r="BX23" s="557"/>
      <c r="BY23" s="557"/>
      <c r="BZ23" s="557"/>
      <c r="CA23" s="557"/>
      <c r="CB23" s="557"/>
      <c r="CC23" s="557"/>
      <c r="CD23" s="557"/>
      <c r="CE23" s="557"/>
      <c r="CF23" s="557"/>
      <c r="CG23" s="557"/>
      <c r="CH23" s="557"/>
      <c r="CI23" s="557"/>
      <c r="CJ23" s="557"/>
      <c r="CK23" s="557"/>
      <c r="CL23" s="557"/>
      <c r="CM23" s="557"/>
      <c r="CN23" s="557"/>
      <c r="CO23" s="557"/>
      <c r="CP23" s="557"/>
      <c r="CQ23" s="557"/>
      <c r="CR23" s="557"/>
      <c r="CS23" s="557"/>
      <c r="CT23" s="557"/>
      <c r="CU23" s="557"/>
      <c r="CV23" s="557"/>
      <c r="CW23" s="557"/>
      <c r="CX23" s="557"/>
      <c r="CY23" s="557"/>
      <c r="CZ23" s="557"/>
      <c r="DA23" s="557"/>
      <c r="DB23" s="557"/>
      <c r="DC23" s="557"/>
      <c r="DD23" s="557"/>
      <c r="DE23" s="557"/>
      <c r="DF23" s="557"/>
      <c r="DG23" s="557"/>
      <c r="DH23" s="557"/>
      <c r="DI23" s="557"/>
      <c r="DJ23" s="557"/>
      <c r="DK23" s="557"/>
      <c r="DL23" s="557"/>
      <c r="DM23" s="557"/>
      <c r="DN23" s="557"/>
      <c r="DO23" s="557"/>
      <c r="DP23" s="557"/>
      <c r="DQ23" s="557"/>
      <c r="DR23" s="557"/>
      <c r="DS23" s="557"/>
      <c r="DT23" s="557"/>
      <c r="DU23" s="557"/>
      <c r="DV23" s="557"/>
      <c r="DW23" s="557"/>
      <c r="DX23" s="557"/>
      <c r="DY23" s="557"/>
      <c r="DZ23" s="557"/>
      <c r="EA23" s="557"/>
      <c r="EB23" s="557"/>
      <c r="EC23" s="557"/>
      <c r="ED23" s="557"/>
      <c r="EE23" s="557"/>
      <c r="EF23" s="557"/>
      <c r="EG23" s="557"/>
      <c r="EH23" s="557"/>
      <c r="EI23" s="557"/>
      <c r="EJ23" s="557"/>
      <c r="EK23" s="557"/>
      <c r="EL23" s="557"/>
      <c r="EM23" s="557"/>
      <c r="EN23" s="557"/>
      <c r="EO23" s="557"/>
      <c r="EP23" s="557"/>
      <c r="EQ23" s="557"/>
      <c r="ER23" s="557"/>
      <c r="ES23" s="557"/>
      <c r="ET23" s="557"/>
      <c r="EU23" s="557"/>
      <c r="EV23" s="557"/>
      <c r="EW23" s="557"/>
      <c r="EX23" s="557"/>
      <c r="EY23" s="557"/>
      <c r="EZ23" s="557"/>
      <c r="FA23" s="557"/>
      <c r="FB23" s="557"/>
      <c r="FC23" s="557"/>
      <c r="FD23" s="557"/>
      <c r="FE23" s="557"/>
      <c r="FF23" s="557"/>
      <c r="FG23" s="557"/>
      <c r="FH23" s="557"/>
      <c r="FI23" s="557"/>
      <c r="FJ23" s="557"/>
      <c r="FK23" s="557"/>
      <c r="FL23" s="557"/>
      <c r="FM23" s="557"/>
      <c r="FN23" s="557"/>
      <c r="FO23" s="557"/>
      <c r="FP23" s="557"/>
      <c r="FQ23" s="557"/>
      <c r="FR23" s="557"/>
      <c r="FS23" s="557"/>
      <c r="FT23" s="557"/>
      <c r="FU23" s="557"/>
      <c r="FV23" s="557"/>
      <c r="FW23" s="557"/>
      <c r="FX23" s="557"/>
      <c r="FY23" s="557"/>
      <c r="FZ23" s="557"/>
      <c r="GA23" s="557"/>
      <c r="GB23" s="557"/>
      <c r="GC23" s="557"/>
      <c r="GD23" s="557"/>
      <c r="GE23" s="557"/>
      <c r="GF23" s="557"/>
      <c r="GG23" s="557"/>
      <c r="GH23" s="557"/>
      <c r="GI23" s="557"/>
      <c r="GJ23" s="557"/>
      <c r="GK23" s="557"/>
      <c r="GL23" s="557"/>
      <c r="GM23" s="557"/>
      <c r="GN23" s="557"/>
      <c r="GO23" s="557"/>
      <c r="GP23" s="557"/>
      <c r="GQ23" s="557"/>
      <c r="GR23" s="557"/>
      <c r="GS23" s="557"/>
      <c r="GT23" s="557"/>
      <c r="GU23" s="557"/>
      <c r="GV23" s="557"/>
      <c r="GW23" s="557"/>
      <c r="GX23" s="557"/>
      <c r="GY23" s="557"/>
      <c r="GZ23" s="557"/>
      <c r="HA23" s="557"/>
      <c r="HB23" s="557"/>
      <c r="HC23" s="557"/>
      <c r="HD23" s="557"/>
      <c r="HE23" s="557"/>
      <c r="HF23" s="557"/>
      <c r="HG23" s="557"/>
      <c r="HH23" s="557"/>
      <c r="HI23" s="557"/>
      <c r="HJ23" s="557"/>
      <c r="HK23" s="557"/>
      <c r="HL23" s="557"/>
      <c r="HM23" s="557"/>
      <c r="HN23" s="557"/>
      <c r="HO23" s="557"/>
      <c r="HP23" s="557"/>
      <c r="HQ23" s="557"/>
      <c r="HR23" s="557"/>
      <c r="HS23" s="557"/>
      <c r="HT23" s="557"/>
      <c r="HU23" s="557"/>
      <c r="HV23" s="557"/>
      <c r="HW23" s="557"/>
      <c r="HX23" s="557"/>
      <c r="HY23" s="557"/>
      <c r="HZ23" s="557"/>
      <c r="IA23" s="557"/>
      <c r="IB23" s="557"/>
      <c r="IC23" s="557"/>
      <c r="ID23" s="557"/>
      <c r="IE23" s="557"/>
      <c r="IF23" s="557"/>
      <c r="IG23" s="557"/>
      <c r="IH23" s="557"/>
      <c r="II23" s="557"/>
      <c r="IJ23" s="557"/>
      <c r="IK23" s="557"/>
      <c r="IL23" s="557"/>
      <c r="IM23" s="557"/>
      <c r="IN23" s="557"/>
      <c r="IO23" s="557"/>
      <c r="IP23" s="557"/>
      <c r="IQ23" s="557"/>
      <c r="IR23" s="557"/>
      <c r="IS23" s="557"/>
      <c r="IT23" s="557"/>
      <c r="IU23" s="557"/>
      <c r="IV23" s="557"/>
    </row>
    <row r="24" spans="1:256" s="582" customFormat="1">
      <c r="A24" s="583" t="s">
        <v>26881</v>
      </c>
      <c r="B24" s="584">
        <v>926.03800000000001</v>
      </c>
      <c r="C24" s="585">
        <v>558.904</v>
      </c>
      <c r="D24" s="585">
        <f t="shared" si="3"/>
        <v>1.0025022017581779</v>
      </c>
      <c r="E24" s="585">
        <f t="shared" si="4"/>
        <v>1.0011358520911524</v>
      </c>
      <c r="F24" s="585">
        <v>718.33799999999997</v>
      </c>
      <c r="G24" s="585">
        <f t="shared" si="2"/>
        <v>1.002081976200458</v>
      </c>
      <c r="H24" s="586">
        <v>776.83900000000006</v>
      </c>
      <c r="I24" s="557"/>
      <c r="J24" s="557"/>
      <c r="K24" s="557"/>
      <c r="L24" s="557"/>
      <c r="M24" s="557"/>
      <c r="N24" s="557"/>
      <c r="O24" s="557"/>
      <c r="P24" s="557"/>
      <c r="Q24" s="557"/>
      <c r="R24" s="557"/>
      <c r="S24" s="557"/>
      <c r="T24" s="557"/>
      <c r="U24" s="557"/>
      <c r="V24" s="557"/>
      <c r="W24" s="557"/>
      <c r="X24" s="557"/>
      <c r="Y24" s="557"/>
      <c r="Z24" s="557"/>
      <c r="AA24" s="557"/>
      <c r="AB24" s="557"/>
      <c r="AC24" s="557"/>
      <c r="AD24" s="557"/>
      <c r="AE24" s="557"/>
      <c r="AF24" s="557"/>
      <c r="AG24" s="557"/>
      <c r="AH24" s="557"/>
      <c r="AI24" s="557"/>
      <c r="AJ24" s="557"/>
      <c r="AK24" s="557"/>
      <c r="AL24" s="557"/>
      <c r="AM24" s="557"/>
      <c r="AN24" s="557"/>
      <c r="AO24" s="557"/>
      <c r="AP24" s="557"/>
      <c r="AQ24" s="557"/>
      <c r="AR24" s="557"/>
      <c r="AS24" s="557"/>
      <c r="AT24" s="557"/>
      <c r="AU24" s="557"/>
      <c r="AV24" s="557"/>
      <c r="AW24" s="557"/>
      <c r="AX24" s="557"/>
      <c r="AY24" s="557"/>
      <c r="AZ24" s="557"/>
      <c r="BA24" s="557"/>
      <c r="BB24" s="557"/>
      <c r="BC24" s="557"/>
      <c r="BD24" s="557"/>
      <c r="BE24" s="557"/>
      <c r="BF24" s="557"/>
      <c r="BG24" s="557"/>
      <c r="BH24" s="557"/>
      <c r="BI24" s="557"/>
      <c r="BJ24" s="557"/>
      <c r="BK24" s="557"/>
      <c r="BL24" s="557"/>
      <c r="BM24" s="557"/>
      <c r="BN24" s="557"/>
      <c r="BO24" s="557"/>
      <c r="BP24" s="557"/>
      <c r="BQ24" s="557"/>
      <c r="BR24" s="557"/>
      <c r="BS24" s="557"/>
      <c r="BT24" s="557"/>
      <c r="BU24" s="557"/>
      <c r="BV24" s="557"/>
      <c r="BW24" s="557"/>
      <c r="BX24" s="557"/>
      <c r="BY24" s="557"/>
      <c r="BZ24" s="557"/>
      <c r="CA24" s="557"/>
      <c r="CB24" s="557"/>
      <c r="CC24" s="557"/>
      <c r="CD24" s="557"/>
      <c r="CE24" s="557"/>
      <c r="CF24" s="557"/>
      <c r="CG24" s="557"/>
      <c r="CH24" s="557"/>
      <c r="CI24" s="557"/>
      <c r="CJ24" s="557"/>
      <c r="CK24" s="557"/>
      <c r="CL24" s="557"/>
      <c r="CM24" s="557"/>
      <c r="CN24" s="557"/>
      <c r="CO24" s="557"/>
      <c r="CP24" s="557"/>
      <c r="CQ24" s="557"/>
      <c r="CR24" s="557"/>
      <c r="CS24" s="557"/>
      <c r="CT24" s="557"/>
      <c r="CU24" s="557"/>
      <c r="CV24" s="557"/>
      <c r="CW24" s="557"/>
      <c r="CX24" s="557"/>
      <c r="CY24" s="557"/>
      <c r="CZ24" s="557"/>
      <c r="DA24" s="557"/>
      <c r="DB24" s="557"/>
      <c r="DC24" s="557"/>
      <c r="DD24" s="557"/>
      <c r="DE24" s="557"/>
      <c r="DF24" s="557"/>
      <c r="DG24" s="557"/>
      <c r="DH24" s="557"/>
      <c r="DI24" s="557"/>
      <c r="DJ24" s="557"/>
      <c r="DK24" s="557"/>
      <c r="DL24" s="557"/>
      <c r="DM24" s="557"/>
      <c r="DN24" s="557"/>
      <c r="DO24" s="557"/>
      <c r="DP24" s="557"/>
      <c r="DQ24" s="557"/>
      <c r="DR24" s="557"/>
      <c r="DS24" s="557"/>
      <c r="DT24" s="557"/>
      <c r="DU24" s="557"/>
      <c r="DV24" s="557"/>
      <c r="DW24" s="557"/>
      <c r="DX24" s="557"/>
      <c r="DY24" s="557"/>
      <c r="DZ24" s="557"/>
      <c r="EA24" s="557"/>
      <c r="EB24" s="557"/>
      <c r="EC24" s="557"/>
      <c r="ED24" s="557"/>
      <c r="EE24" s="557"/>
      <c r="EF24" s="557"/>
      <c r="EG24" s="557"/>
      <c r="EH24" s="557"/>
      <c r="EI24" s="557"/>
      <c r="EJ24" s="557"/>
      <c r="EK24" s="557"/>
      <c r="EL24" s="557"/>
      <c r="EM24" s="557"/>
      <c r="EN24" s="557"/>
      <c r="EO24" s="557"/>
      <c r="EP24" s="557"/>
      <c r="EQ24" s="557"/>
      <c r="ER24" s="557"/>
      <c r="ES24" s="557"/>
      <c r="ET24" s="557"/>
      <c r="EU24" s="557"/>
      <c r="EV24" s="557"/>
      <c r="EW24" s="557"/>
      <c r="EX24" s="557"/>
      <c r="EY24" s="557"/>
      <c r="EZ24" s="557"/>
      <c r="FA24" s="557"/>
      <c r="FB24" s="557"/>
      <c r="FC24" s="557"/>
      <c r="FD24" s="557"/>
      <c r="FE24" s="557"/>
      <c r="FF24" s="557"/>
      <c r="FG24" s="557"/>
      <c r="FH24" s="557"/>
      <c r="FI24" s="557"/>
      <c r="FJ24" s="557"/>
      <c r="FK24" s="557"/>
      <c r="FL24" s="557"/>
      <c r="FM24" s="557"/>
      <c r="FN24" s="557"/>
      <c r="FO24" s="557"/>
      <c r="FP24" s="557"/>
      <c r="FQ24" s="557"/>
      <c r="FR24" s="557"/>
      <c r="FS24" s="557"/>
      <c r="FT24" s="557"/>
      <c r="FU24" s="557"/>
      <c r="FV24" s="557"/>
      <c r="FW24" s="557"/>
      <c r="FX24" s="557"/>
      <c r="FY24" s="557"/>
      <c r="FZ24" s="557"/>
      <c r="GA24" s="557"/>
      <c r="GB24" s="557"/>
      <c r="GC24" s="557"/>
      <c r="GD24" s="557"/>
      <c r="GE24" s="557"/>
      <c r="GF24" s="557"/>
      <c r="GG24" s="557"/>
      <c r="GH24" s="557"/>
      <c r="GI24" s="557"/>
      <c r="GJ24" s="557"/>
      <c r="GK24" s="557"/>
      <c r="GL24" s="557"/>
      <c r="GM24" s="557"/>
      <c r="GN24" s="557"/>
      <c r="GO24" s="557"/>
      <c r="GP24" s="557"/>
      <c r="GQ24" s="557"/>
      <c r="GR24" s="557"/>
      <c r="GS24" s="557"/>
      <c r="GT24" s="557"/>
      <c r="GU24" s="557"/>
      <c r="GV24" s="557"/>
      <c r="GW24" s="557"/>
      <c r="GX24" s="557"/>
      <c r="GY24" s="557"/>
      <c r="GZ24" s="557"/>
      <c r="HA24" s="557"/>
      <c r="HB24" s="557"/>
      <c r="HC24" s="557"/>
      <c r="HD24" s="557"/>
      <c r="HE24" s="557"/>
      <c r="HF24" s="557"/>
      <c r="HG24" s="557"/>
      <c r="HH24" s="557"/>
      <c r="HI24" s="557"/>
      <c r="HJ24" s="557"/>
      <c r="HK24" s="557"/>
      <c r="HL24" s="557"/>
      <c r="HM24" s="557"/>
      <c r="HN24" s="557"/>
      <c r="HO24" s="557"/>
      <c r="HP24" s="557"/>
      <c r="HQ24" s="557"/>
      <c r="HR24" s="557"/>
      <c r="HS24" s="557"/>
      <c r="HT24" s="557"/>
      <c r="HU24" s="557"/>
      <c r="HV24" s="557"/>
      <c r="HW24" s="557"/>
      <c r="HX24" s="557"/>
      <c r="HY24" s="557"/>
      <c r="HZ24" s="557"/>
      <c r="IA24" s="557"/>
      <c r="IB24" s="557"/>
      <c r="IC24" s="557"/>
      <c r="ID24" s="557"/>
      <c r="IE24" s="557"/>
      <c r="IF24" s="557"/>
      <c r="IG24" s="557"/>
      <c r="IH24" s="557"/>
      <c r="II24" s="557"/>
      <c r="IJ24" s="557"/>
      <c r="IK24" s="557"/>
      <c r="IL24" s="557"/>
      <c r="IM24" s="557"/>
      <c r="IN24" s="557"/>
      <c r="IO24" s="557"/>
      <c r="IP24" s="557"/>
      <c r="IQ24" s="557"/>
      <c r="IR24" s="557"/>
      <c r="IS24" s="557"/>
      <c r="IT24" s="557"/>
      <c r="IU24" s="557"/>
      <c r="IV24" s="557"/>
    </row>
    <row r="25" spans="1:256" s="582" customFormat="1">
      <c r="A25" s="583" t="s">
        <v>26882</v>
      </c>
      <c r="B25" s="584">
        <v>926.03800000000001</v>
      </c>
      <c r="C25" s="585">
        <v>563.11199999999997</v>
      </c>
      <c r="D25" s="585">
        <f t="shared" si="3"/>
        <v>1.0075290210841217</v>
      </c>
      <c r="E25" s="585">
        <f t="shared" si="4"/>
        <v>1.0034217875150697</v>
      </c>
      <c r="F25" s="585">
        <v>720.79600000000005</v>
      </c>
      <c r="G25" s="585">
        <f t="shared" si="2"/>
        <v>1.0037678334893072</v>
      </c>
      <c r="H25" s="586">
        <v>779.76599999999996</v>
      </c>
      <c r="I25" s="557"/>
      <c r="J25" s="557"/>
      <c r="K25" s="557"/>
      <c r="L25" s="557"/>
      <c r="M25" s="557"/>
      <c r="N25" s="557"/>
      <c r="O25" s="557"/>
      <c r="P25" s="557"/>
      <c r="Q25" s="557"/>
      <c r="R25" s="557"/>
      <c r="S25" s="557"/>
      <c r="T25" s="557"/>
      <c r="U25" s="557"/>
      <c r="V25" s="557"/>
      <c r="W25" s="557"/>
      <c r="X25" s="557"/>
      <c r="Y25" s="557"/>
      <c r="Z25" s="557"/>
      <c r="AA25" s="557"/>
      <c r="AB25" s="557"/>
      <c r="AC25" s="557"/>
      <c r="AD25" s="557"/>
      <c r="AE25" s="557"/>
      <c r="AF25" s="557"/>
      <c r="AG25" s="557"/>
      <c r="AH25" s="557"/>
      <c r="AI25" s="557"/>
      <c r="AJ25" s="557"/>
      <c r="AK25" s="557"/>
      <c r="AL25" s="557"/>
      <c r="AM25" s="557"/>
      <c r="AN25" s="557"/>
      <c r="AO25" s="557"/>
      <c r="AP25" s="557"/>
      <c r="AQ25" s="557"/>
      <c r="AR25" s="557"/>
      <c r="AS25" s="557"/>
      <c r="AT25" s="557"/>
      <c r="AU25" s="557"/>
      <c r="AV25" s="557"/>
      <c r="AW25" s="557"/>
      <c r="AX25" s="557"/>
      <c r="AY25" s="557"/>
      <c r="AZ25" s="557"/>
      <c r="BA25" s="557"/>
      <c r="BB25" s="557"/>
      <c r="BC25" s="557"/>
      <c r="BD25" s="557"/>
      <c r="BE25" s="557"/>
      <c r="BF25" s="557"/>
      <c r="BG25" s="557"/>
      <c r="BH25" s="557"/>
      <c r="BI25" s="557"/>
      <c r="BJ25" s="557"/>
      <c r="BK25" s="557"/>
      <c r="BL25" s="557"/>
      <c r="BM25" s="557"/>
      <c r="BN25" s="557"/>
      <c r="BO25" s="557"/>
      <c r="BP25" s="557"/>
      <c r="BQ25" s="557"/>
      <c r="BR25" s="557"/>
      <c r="BS25" s="557"/>
      <c r="BT25" s="557"/>
      <c r="BU25" s="557"/>
      <c r="BV25" s="557"/>
      <c r="BW25" s="557"/>
      <c r="BX25" s="557"/>
      <c r="BY25" s="557"/>
      <c r="BZ25" s="557"/>
      <c r="CA25" s="557"/>
      <c r="CB25" s="557"/>
      <c r="CC25" s="557"/>
      <c r="CD25" s="557"/>
      <c r="CE25" s="557"/>
      <c r="CF25" s="557"/>
      <c r="CG25" s="557"/>
      <c r="CH25" s="557"/>
      <c r="CI25" s="557"/>
      <c r="CJ25" s="557"/>
      <c r="CK25" s="557"/>
      <c r="CL25" s="557"/>
      <c r="CM25" s="557"/>
      <c r="CN25" s="557"/>
      <c r="CO25" s="557"/>
      <c r="CP25" s="557"/>
      <c r="CQ25" s="557"/>
      <c r="CR25" s="557"/>
      <c r="CS25" s="557"/>
      <c r="CT25" s="557"/>
      <c r="CU25" s="557"/>
      <c r="CV25" s="557"/>
      <c r="CW25" s="557"/>
      <c r="CX25" s="557"/>
      <c r="CY25" s="557"/>
      <c r="CZ25" s="557"/>
      <c r="DA25" s="557"/>
      <c r="DB25" s="557"/>
      <c r="DC25" s="557"/>
      <c r="DD25" s="557"/>
      <c r="DE25" s="557"/>
      <c r="DF25" s="557"/>
      <c r="DG25" s="557"/>
      <c r="DH25" s="557"/>
      <c r="DI25" s="557"/>
      <c r="DJ25" s="557"/>
      <c r="DK25" s="557"/>
      <c r="DL25" s="557"/>
      <c r="DM25" s="557"/>
      <c r="DN25" s="557"/>
      <c r="DO25" s="557"/>
      <c r="DP25" s="557"/>
      <c r="DQ25" s="557"/>
      <c r="DR25" s="557"/>
      <c r="DS25" s="557"/>
      <c r="DT25" s="557"/>
      <c r="DU25" s="557"/>
      <c r="DV25" s="557"/>
      <c r="DW25" s="557"/>
      <c r="DX25" s="557"/>
      <c r="DY25" s="557"/>
      <c r="DZ25" s="557"/>
      <c r="EA25" s="557"/>
      <c r="EB25" s="557"/>
      <c r="EC25" s="557"/>
      <c r="ED25" s="557"/>
      <c r="EE25" s="557"/>
      <c r="EF25" s="557"/>
      <c r="EG25" s="557"/>
      <c r="EH25" s="557"/>
      <c r="EI25" s="557"/>
      <c r="EJ25" s="557"/>
      <c r="EK25" s="557"/>
      <c r="EL25" s="557"/>
      <c r="EM25" s="557"/>
      <c r="EN25" s="557"/>
      <c r="EO25" s="557"/>
      <c r="EP25" s="557"/>
      <c r="EQ25" s="557"/>
      <c r="ER25" s="557"/>
      <c r="ES25" s="557"/>
      <c r="ET25" s="557"/>
      <c r="EU25" s="557"/>
      <c r="EV25" s="557"/>
      <c r="EW25" s="557"/>
      <c r="EX25" s="557"/>
      <c r="EY25" s="557"/>
      <c r="EZ25" s="557"/>
      <c r="FA25" s="557"/>
      <c r="FB25" s="557"/>
      <c r="FC25" s="557"/>
      <c r="FD25" s="557"/>
      <c r="FE25" s="557"/>
      <c r="FF25" s="557"/>
      <c r="FG25" s="557"/>
      <c r="FH25" s="557"/>
      <c r="FI25" s="557"/>
      <c r="FJ25" s="557"/>
      <c r="FK25" s="557"/>
      <c r="FL25" s="557"/>
      <c r="FM25" s="557"/>
      <c r="FN25" s="557"/>
      <c r="FO25" s="557"/>
      <c r="FP25" s="557"/>
      <c r="FQ25" s="557"/>
      <c r="FR25" s="557"/>
      <c r="FS25" s="557"/>
      <c r="FT25" s="557"/>
      <c r="FU25" s="557"/>
      <c r="FV25" s="557"/>
      <c r="FW25" s="557"/>
      <c r="FX25" s="557"/>
      <c r="FY25" s="557"/>
      <c r="FZ25" s="557"/>
      <c r="GA25" s="557"/>
      <c r="GB25" s="557"/>
      <c r="GC25" s="557"/>
      <c r="GD25" s="557"/>
      <c r="GE25" s="557"/>
      <c r="GF25" s="557"/>
      <c r="GG25" s="557"/>
      <c r="GH25" s="557"/>
      <c r="GI25" s="557"/>
      <c r="GJ25" s="557"/>
      <c r="GK25" s="557"/>
      <c r="GL25" s="557"/>
      <c r="GM25" s="557"/>
      <c r="GN25" s="557"/>
      <c r="GO25" s="557"/>
      <c r="GP25" s="557"/>
      <c r="GQ25" s="557"/>
      <c r="GR25" s="557"/>
      <c r="GS25" s="557"/>
      <c r="GT25" s="557"/>
      <c r="GU25" s="557"/>
      <c r="GV25" s="557"/>
      <c r="GW25" s="557"/>
      <c r="GX25" s="557"/>
      <c r="GY25" s="557"/>
      <c r="GZ25" s="557"/>
      <c r="HA25" s="557"/>
      <c r="HB25" s="557"/>
      <c r="HC25" s="557"/>
      <c r="HD25" s="557"/>
      <c r="HE25" s="557"/>
      <c r="HF25" s="557"/>
      <c r="HG25" s="557"/>
      <c r="HH25" s="557"/>
      <c r="HI25" s="557"/>
      <c r="HJ25" s="557"/>
      <c r="HK25" s="557"/>
      <c r="HL25" s="557"/>
      <c r="HM25" s="557"/>
      <c r="HN25" s="557"/>
      <c r="HO25" s="557"/>
      <c r="HP25" s="557"/>
      <c r="HQ25" s="557"/>
      <c r="HR25" s="557"/>
      <c r="HS25" s="557"/>
      <c r="HT25" s="557"/>
      <c r="HU25" s="557"/>
      <c r="HV25" s="557"/>
      <c r="HW25" s="557"/>
      <c r="HX25" s="557"/>
      <c r="HY25" s="557"/>
      <c r="HZ25" s="557"/>
      <c r="IA25" s="557"/>
      <c r="IB25" s="557"/>
      <c r="IC25" s="557"/>
      <c r="ID25" s="557"/>
      <c r="IE25" s="557"/>
      <c r="IF25" s="557"/>
      <c r="IG25" s="557"/>
      <c r="IH25" s="557"/>
      <c r="II25" s="557"/>
      <c r="IJ25" s="557"/>
      <c r="IK25" s="557"/>
      <c r="IL25" s="557"/>
      <c r="IM25" s="557"/>
      <c r="IN25" s="557"/>
      <c r="IO25" s="557"/>
      <c r="IP25" s="557"/>
      <c r="IQ25" s="557"/>
      <c r="IR25" s="557"/>
      <c r="IS25" s="557"/>
      <c r="IT25" s="557"/>
      <c r="IU25" s="557"/>
      <c r="IV25" s="557"/>
    </row>
    <row r="26" spans="1:256" s="582" customFormat="1">
      <c r="A26" s="583" t="s">
        <v>26883</v>
      </c>
      <c r="B26" s="584">
        <v>926.03800000000001</v>
      </c>
      <c r="C26" s="585">
        <v>566.81299999999999</v>
      </c>
      <c r="D26" s="585">
        <f t="shared" si="3"/>
        <v>1.0065724047791558</v>
      </c>
      <c r="E26" s="585">
        <f t="shared" si="4"/>
        <v>1.0029994617062248</v>
      </c>
      <c r="F26" s="585">
        <v>722.95799999999997</v>
      </c>
      <c r="G26" s="585">
        <f t="shared" si="2"/>
        <v>1.0032958605530378</v>
      </c>
      <c r="H26" s="586">
        <v>782.33600000000001</v>
      </c>
      <c r="I26" s="557"/>
      <c r="J26" s="557"/>
      <c r="K26" s="557"/>
      <c r="L26" s="557"/>
      <c r="M26" s="557"/>
      <c r="N26" s="557"/>
      <c r="O26" s="557"/>
      <c r="P26" s="557"/>
      <c r="Q26" s="557"/>
      <c r="R26" s="557"/>
      <c r="S26" s="557"/>
      <c r="T26" s="557"/>
      <c r="U26" s="557"/>
      <c r="V26" s="557"/>
      <c r="W26" s="557"/>
      <c r="X26" s="557"/>
      <c r="Y26" s="557"/>
      <c r="Z26" s="557"/>
      <c r="AA26" s="557"/>
      <c r="AB26" s="557"/>
      <c r="AC26" s="557"/>
      <c r="AD26" s="557"/>
      <c r="AE26" s="557"/>
      <c r="AF26" s="557"/>
      <c r="AG26" s="557"/>
      <c r="AH26" s="557"/>
      <c r="AI26" s="557"/>
      <c r="AJ26" s="557"/>
      <c r="AK26" s="557"/>
      <c r="AL26" s="557"/>
      <c r="AM26" s="557"/>
      <c r="AN26" s="557"/>
      <c r="AO26" s="557"/>
      <c r="AP26" s="557"/>
      <c r="AQ26" s="557"/>
      <c r="AR26" s="557"/>
      <c r="AS26" s="557"/>
      <c r="AT26" s="557"/>
      <c r="AU26" s="557"/>
      <c r="AV26" s="557"/>
      <c r="AW26" s="557"/>
      <c r="AX26" s="557"/>
      <c r="AY26" s="557"/>
      <c r="AZ26" s="557"/>
      <c r="BA26" s="557"/>
      <c r="BB26" s="557"/>
      <c r="BC26" s="557"/>
      <c r="BD26" s="557"/>
      <c r="BE26" s="557"/>
      <c r="BF26" s="557"/>
      <c r="BG26" s="557"/>
      <c r="BH26" s="557"/>
      <c r="BI26" s="557"/>
      <c r="BJ26" s="557"/>
      <c r="BK26" s="557"/>
      <c r="BL26" s="557"/>
      <c r="BM26" s="557"/>
      <c r="BN26" s="557"/>
      <c r="BO26" s="557"/>
      <c r="BP26" s="557"/>
      <c r="BQ26" s="557"/>
      <c r="BR26" s="557"/>
      <c r="BS26" s="557"/>
      <c r="BT26" s="557"/>
      <c r="BU26" s="557"/>
      <c r="BV26" s="557"/>
      <c r="BW26" s="557"/>
      <c r="BX26" s="557"/>
      <c r="BY26" s="557"/>
      <c r="BZ26" s="557"/>
      <c r="CA26" s="557"/>
      <c r="CB26" s="557"/>
      <c r="CC26" s="557"/>
      <c r="CD26" s="557"/>
      <c r="CE26" s="557"/>
      <c r="CF26" s="557"/>
      <c r="CG26" s="557"/>
      <c r="CH26" s="557"/>
      <c r="CI26" s="557"/>
      <c r="CJ26" s="557"/>
      <c r="CK26" s="557"/>
      <c r="CL26" s="557"/>
      <c r="CM26" s="557"/>
      <c r="CN26" s="557"/>
      <c r="CO26" s="557"/>
      <c r="CP26" s="557"/>
      <c r="CQ26" s="557"/>
      <c r="CR26" s="557"/>
      <c r="CS26" s="557"/>
      <c r="CT26" s="557"/>
      <c r="CU26" s="557"/>
      <c r="CV26" s="557"/>
      <c r="CW26" s="557"/>
      <c r="CX26" s="557"/>
      <c r="CY26" s="557"/>
      <c r="CZ26" s="557"/>
      <c r="DA26" s="557"/>
      <c r="DB26" s="557"/>
      <c r="DC26" s="557"/>
      <c r="DD26" s="557"/>
      <c r="DE26" s="557"/>
      <c r="DF26" s="557"/>
      <c r="DG26" s="557"/>
      <c r="DH26" s="557"/>
      <c r="DI26" s="557"/>
      <c r="DJ26" s="557"/>
      <c r="DK26" s="557"/>
      <c r="DL26" s="557"/>
      <c r="DM26" s="557"/>
      <c r="DN26" s="557"/>
      <c r="DO26" s="557"/>
      <c r="DP26" s="557"/>
      <c r="DQ26" s="557"/>
      <c r="DR26" s="557"/>
      <c r="DS26" s="557"/>
      <c r="DT26" s="557"/>
      <c r="DU26" s="557"/>
      <c r="DV26" s="557"/>
      <c r="DW26" s="557"/>
      <c r="DX26" s="557"/>
      <c r="DY26" s="557"/>
      <c r="DZ26" s="557"/>
      <c r="EA26" s="557"/>
      <c r="EB26" s="557"/>
      <c r="EC26" s="557"/>
      <c r="ED26" s="557"/>
      <c r="EE26" s="557"/>
      <c r="EF26" s="557"/>
      <c r="EG26" s="557"/>
      <c r="EH26" s="557"/>
      <c r="EI26" s="557"/>
      <c r="EJ26" s="557"/>
      <c r="EK26" s="557"/>
      <c r="EL26" s="557"/>
      <c r="EM26" s="557"/>
      <c r="EN26" s="557"/>
      <c r="EO26" s="557"/>
      <c r="EP26" s="557"/>
      <c r="EQ26" s="557"/>
      <c r="ER26" s="557"/>
      <c r="ES26" s="557"/>
      <c r="ET26" s="557"/>
      <c r="EU26" s="557"/>
      <c r="EV26" s="557"/>
      <c r="EW26" s="557"/>
      <c r="EX26" s="557"/>
      <c r="EY26" s="557"/>
      <c r="EZ26" s="557"/>
      <c r="FA26" s="557"/>
      <c r="FB26" s="557"/>
      <c r="FC26" s="557"/>
      <c r="FD26" s="557"/>
      <c r="FE26" s="557"/>
      <c r="FF26" s="557"/>
      <c r="FG26" s="557"/>
      <c r="FH26" s="557"/>
      <c r="FI26" s="557"/>
      <c r="FJ26" s="557"/>
      <c r="FK26" s="557"/>
      <c r="FL26" s="557"/>
      <c r="FM26" s="557"/>
      <c r="FN26" s="557"/>
      <c r="FO26" s="557"/>
      <c r="FP26" s="557"/>
      <c r="FQ26" s="557"/>
      <c r="FR26" s="557"/>
      <c r="FS26" s="557"/>
      <c r="FT26" s="557"/>
      <c r="FU26" s="557"/>
      <c r="FV26" s="557"/>
      <c r="FW26" s="557"/>
      <c r="FX26" s="557"/>
      <c r="FY26" s="557"/>
      <c r="FZ26" s="557"/>
      <c r="GA26" s="557"/>
      <c r="GB26" s="557"/>
      <c r="GC26" s="557"/>
      <c r="GD26" s="557"/>
      <c r="GE26" s="557"/>
      <c r="GF26" s="557"/>
      <c r="GG26" s="557"/>
      <c r="GH26" s="557"/>
      <c r="GI26" s="557"/>
      <c r="GJ26" s="557"/>
      <c r="GK26" s="557"/>
      <c r="GL26" s="557"/>
      <c r="GM26" s="557"/>
      <c r="GN26" s="557"/>
      <c r="GO26" s="557"/>
      <c r="GP26" s="557"/>
      <c r="GQ26" s="557"/>
      <c r="GR26" s="557"/>
      <c r="GS26" s="557"/>
      <c r="GT26" s="557"/>
      <c r="GU26" s="557"/>
      <c r="GV26" s="557"/>
      <c r="GW26" s="557"/>
      <c r="GX26" s="557"/>
      <c r="GY26" s="557"/>
      <c r="GZ26" s="557"/>
      <c r="HA26" s="557"/>
      <c r="HB26" s="557"/>
      <c r="HC26" s="557"/>
      <c r="HD26" s="557"/>
      <c r="HE26" s="557"/>
      <c r="HF26" s="557"/>
      <c r="HG26" s="557"/>
      <c r="HH26" s="557"/>
      <c r="HI26" s="557"/>
      <c r="HJ26" s="557"/>
      <c r="HK26" s="557"/>
      <c r="HL26" s="557"/>
      <c r="HM26" s="557"/>
      <c r="HN26" s="557"/>
      <c r="HO26" s="557"/>
      <c r="HP26" s="557"/>
      <c r="HQ26" s="557"/>
      <c r="HR26" s="557"/>
      <c r="HS26" s="557"/>
      <c r="HT26" s="557"/>
      <c r="HU26" s="557"/>
      <c r="HV26" s="557"/>
      <c r="HW26" s="557"/>
      <c r="HX26" s="557"/>
      <c r="HY26" s="557"/>
      <c r="HZ26" s="557"/>
      <c r="IA26" s="557"/>
      <c r="IB26" s="557"/>
      <c r="IC26" s="557"/>
      <c r="ID26" s="557"/>
      <c r="IE26" s="557"/>
      <c r="IF26" s="557"/>
      <c r="IG26" s="557"/>
      <c r="IH26" s="557"/>
      <c r="II26" s="557"/>
      <c r="IJ26" s="557"/>
      <c r="IK26" s="557"/>
      <c r="IL26" s="557"/>
      <c r="IM26" s="557"/>
      <c r="IN26" s="557"/>
      <c r="IO26" s="557"/>
      <c r="IP26" s="557"/>
      <c r="IQ26" s="557"/>
      <c r="IR26" s="557"/>
      <c r="IS26" s="557"/>
      <c r="IT26" s="557"/>
      <c r="IU26" s="557"/>
      <c r="IV26" s="557"/>
    </row>
    <row r="27" spans="1:256" s="582" customFormat="1">
      <c r="A27" s="583" t="s">
        <v>26884</v>
      </c>
      <c r="B27" s="584">
        <v>926.03800000000001</v>
      </c>
      <c r="C27" s="585">
        <v>568.76700000000005</v>
      </c>
      <c r="D27" s="585">
        <f t="shared" si="3"/>
        <v>1.0034473450679502</v>
      </c>
      <c r="E27" s="585">
        <f t="shared" si="4"/>
        <v>1.0015782382932343</v>
      </c>
      <c r="F27" s="585">
        <v>724.09900000000005</v>
      </c>
      <c r="G27" s="585">
        <f t="shared" si="2"/>
        <v>1.0025590027814135</v>
      </c>
      <c r="H27" s="586">
        <v>784.33799999999997</v>
      </c>
      <c r="I27" s="557"/>
      <c r="J27" s="557"/>
      <c r="K27" s="557"/>
      <c r="L27" s="557"/>
      <c r="M27" s="557"/>
      <c r="N27" s="557"/>
      <c r="O27" s="557"/>
      <c r="P27" s="557"/>
      <c r="Q27" s="557"/>
      <c r="R27" s="557"/>
      <c r="S27" s="557"/>
      <c r="T27" s="557"/>
      <c r="U27" s="557"/>
      <c r="V27" s="557"/>
      <c r="W27" s="557"/>
      <c r="X27" s="557"/>
      <c r="Y27" s="557"/>
      <c r="Z27" s="557"/>
      <c r="AA27" s="557"/>
      <c r="AB27" s="557"/>
      <c r="AC27" s="557"/>
      <c r="AD27" s="557"/>
      <c r="AE27" s="557"/>
      <c r="AF27" s="557"/>
      <c r="AG27" s="557"/>
      <c r="AH27" s="557"/>
      <c r="AI27" s="557"/>
      <c r="AJ27" s="557"/>
      <c r="AK27" s="557"/>
      <c r="AL27" s="557"/>
      <c r="AM27" s="557"/>
      <c r="AN27" s="557"/>
      <c r="AO27" s="557"/>
      <c r="AP27" s="557"/>
      <c r="AQ27" s="557"/>
      <c r="AR27" s="557"/>
      <c r="AS27" s="557"/>
      <c r="AT27" s="557"/>
      <c r="AU27" s="557"/>
      <c r="AV27" s="557"/>
      <c r="AW27" s="557"/>
      <c r="AX27" s="557"/>
      <c r="AY27" s="557"/>
      <c r="AZ27" s="557"/>
      <c r="BA27" s="557"/>
      <c r="BB27" s="557"/>
      <c r="BC27" s="557"/>
      <c r="BD27" s="557"/>
      <c r="BE27" s="557"/>
      <c r="BF27" s="557"/>
      <c r="BG27" s="557"/>
      <c r="BH27" s="557"/>
      <c r="BI27" s="557"/>
      <c r="BJ27" s="557"/>
      <c r="BK27" s="557"/>
      <c r="BL27" s="557"/>
      <c r="BM27" s="557"/>
      <c r="BN27" s="557"/>
      <c r="BO27" s="557"/>
      <c r="BP27" s="557"/>
      <c r="BQ27" s="557"/>
      <c r="BR27" s="557"/>
      <c r="BS27" s="557"/>
      <c r="BT27" s="557"/>
      <c r="BU27" s="557"/>
      <c r="BV27" s="557"/>
      <c r="BW27" s="557"/>
      <c r="BX27" s="557"/>
      <c r="BY27" s="557"/>
      <c r="BZ27" s="557"/>
      <c r="CA27" s="557"/>
      <c r="CB27" s="557"/>
      <c r="CC27" s="557"/>
      <c r="CD27" s="557"/>
      <c r="CE27" s="557"/>
      <c r="CF27" s="557"/>
      <c r="CG27" s="557"/>
      <c r="CH27" s="557"/>
      <c r="CI27" s="557"/>
      <c r="CJ27" s="557"/>
      <c r="CK27" s="557"/>
      <c r="CL27" s="557"/>
      <c r="CM27" s="557"/>
      <c r="CN27" s="557"/>
      <c r="CO27" s="557"/>
      <c r="CP27" s="557"/>
      <c r="CQ27" s="557"/>
      <c r="CR27" s="557"/>
      <c r="CS27" s="557"/>
      <c r="CT27" s="557"/>
      <c r="CU27" s="557"/>
      <c r="CV27" s="557"/>
      <c r="CW27" s="557"/>
      <c r="CX27" s="557"/>
      <c r="CY27" s="557"/>
      <c r="CZ27" s="557"/>
      <c r="DA27" s="557"/>
      <c r="DB27" s="557"/>
      <c r="DC27" s="557"/>
      <c r="DD27" s="557"/>
      <c r="DE27" s="557"/>
      <c r="DF27" s="557"/>
      <c r="DG27" s="557"/>
      <c r="DH27" s="557"/>
      <c r="DI27" s="557"/>
      <c r="DJ27" s="557"/>
      <c r="DK27" s="557"/>
      <c r="DL27" s="557"/>
      <c r="DM27" s="557"/>
      <c r="DN27" s="557"/>
      <c r="DO27" s="557"/>
      <c r="DP27" s="557"/>
      <c r="DQ27" s="557"/>
      <c r="DR27" s="557"/>
      <c r="DS27" s="557"/>
      <c r="DT27" s="557"/>
      <c r="DU27" s="557"/>
      <c r="DV27" s="557"/>
      <c r="DW27" s="557"/>
      <c r="DX27" s="557"/>
      <c r="DY27" s="557"/>
      <c r="DZ27" s="557"/>
      <c r="EA27" s="557"/>
      <c r="EB27" s="557"/>
      <c r="EC27" s="557"/>
      <c r="ED27" s="557"/>
      <c r="EE27" s="557"/>
      <c r="EF27" s="557"/>
      <c r="EG27" s="557"/>
      <c r="EH27" s="557"/>
      <c r="EI27" s="557"/>
      <c r="EJ27" s="557"/>
      <c r="EK27" s="557"/>
      <c r="EL27" s="557"/>
      <c r="EM27" s="557"/>
      <c r="EN27" s="557"/>
      <c r="EO27" s="557"/>
      <c r="EP27" s="557"/>
      <c r="EQ27" s="557"/>
      <c r="ER27" s="557"/>
      <c r="ES27" s="557"/>
      <c r="ET27" s="557"/>
      <c r="EU27" s="557"/>
      <c r="EV27" s="557"/>
      <c r="EW27" s="557"/>
      <c r="EX27" s="557"/>
      <c r="EY27" s="557"/>
      <c r="EZ27" s="557"/>
      <c r="FA27" s="557"/>
      <c r="FB27" s="557"/>
      <c r="FC27" s="557"/>
      <c r="FD27" s="557"/>
      <c r="FE27" s="557"/>
      <c r="FF27" s="557"/>
      <c r="FG27" s="557"/>
      <c r="FH27" s="557"/>
      <c r="FI27" s="557"/>
      <c r="FJ27" s="557"/>
      <c r="FK27" s="557"/>
      <c r="FL27" s="557"/>
      <c r="FM27" s="557"/>
      <c r="FN27" s="557"/>
      <c r="FO27" s="557"/>
      <c r="FP27" s="557"/>
      <c r="FQ27" s="557"/>
      <c r="FR27" s="557"/>
      <c r="FS27" s="557"/>
      <c r="FT27" s="557"/>
      <c r="FU27" s="557"/>
      <c r="FV27" s="557"/>
      <c r="FW27" s="557"/>
      <c r="FX27" s="557"/>
      <c r="FY27" s="557"/>
      <c r="FZ27" s="557"/>
      <c r="GA27" s="557"/>
      <c r="GB27" s="557"/>
      <c r="GC27" s="557"/>
      <c r="GD27" s="557"/>
      <c r="GE27" s="557"/>
      <c r="GF27" s="557"/>
      <c r="GG27" s="557"/>
      <c r="GH27" s="557"/>
      <c r="GI27" s="557"/>
      <c r="GJ27" s="557"/>
      <c r="GK27" s="557"/>
      <c r="GL27" s="557"/>
      <c r="GM27" s="557"/>
      <c r="GN27" s="557"/>
      <c r="GO27" s="557"/>
      <c r="GP27" s="557"/>
      <c r="GQ27" s="557"/>
      <c r="GR27" s="557"/>
      <c r="GS27" s="557"/>
      <c r="GT27" s="557"/>
      <c r="GU27" s="557"/>
      <c r="GV27" s="557"/>
      <c r="GW27" s="557"/>
      <c r="GX27" s="557"/>
      <c r="GY27" s="557"/>
      <c r="GZ27" s="557"/>
      <c r="HA27" s="557"/>
      <c r="HB27" s="557"/>
      <c r="HC27" s="557"/>
      <c r="HD27" s="557"/>
      <c r="HE27" s="557"/>
      <c r="HF27" s="557"/>
      <c r="HG27" s="557"/>
      <c r="HH27" s="557"/>
      <c r="HI27" s="557"/>
      <c r="HJ27" s="557"/>
      <c r="HK27" s="557"/>
      <c r="HL27" s="557"/>
      <c r="HM27" s="557"/>
      <c r="HN27" s="557"/>
      <c r="HO27" s="557"/>
      <c r="HP27" s="557"/>
      <c r="HQ27" s="557"/>
      <c r="HR27" s="557"/>
      <c r="HS27" s="557"/>
      <c r="HT27" s="557"/>
      <c r="HU27" s="557"/>
      <c r="HV27" s="557"/>
      <c r="HW27" s="557"/>
      <c r="HX27" s="557"/>
      <c r="HY27" s="557"/>
      <c r="HZ27" s="557"/>
      <c r="IA27" s="557"/>
      <c r="IB27" s="557"/>
      <c r="IC27" s="557"/>
      <c r="ID27" s="557"/>
      <c r="IE27" s="557"/>
      <c r="IF27" s="557"/>
      <c r="IG27" s="557"/>
      <c r="IH27" s="557"/>
      <c r="II27" s="557"/>
      <c r="IJ27" s="557"/>
      <c r="IK27" s="557"/>
      <c r="IL27" s="557"/>
      <c r="IM27" s="557"/>
      <c r="IN27" s="557"/>
      <c r="IO27" s="557"/>
      <c r="IP27" s="557"/>
      <c r="IQ27" s="557"/>
      <c r="IR27" s="557"/>
      <c r="IS27" s="557"/>
      <c r="IT27" s="557"/>
      <c r="IU27" s="557"/>
      <c r="IV27" s="557"/>
    </row>
    <row r="28" spans="1:256" s="582" customFormat="1">
      <c r="A28" s="583" t="s">
        <v>26885</v>
      </c>
      <c r="B28" s="584">
        <v>926.03800000000001</v>
      </c>
      <c r="C28" s="585">
        <v>570.08600000000001</v>
      </c>
      <c r="D28" s="585">
        <f t="shared" si="3"/>
        <v>1.0023190515624147</v>
      </c>
      <c r="E28" s="585">
        <f t="shared" si="4"/>
        <v>1.0010647715298597</v>
      </c>
      <c r="F28" s="585">
        <v>724.87</v>
      </c>
      <c r="G28" s="585">
        <f t="shared" si="2"/>
        <v>1.0022082316552303</v>
      </c>
      <c r="H28" s="586">
        <v>786.07</v>
      </c>
      <c r="I28" s="557"/>
      <c r="J28" s="557"/>
      <c r="K28" s="557"/>
      <c r="L28" s="557"/>
      <c r="M28" s="557"/>
      <c r="N28" s="557"/>
      <c r="O28" s="557"/>
      <c r="P28" s="557"/>
      <c r="Q28" s="557"/>
      <c r="R28" s="557"/>
      <c r="S28" s="557"/>
      <c r="T28" s="557"/>
      <c r="U28" s="557"/>
      <c r="V28" s="557"/>
      <c r="W28" s="557"/>
      <c r="X28" s="557"/>
      <c r="Y28" s="557"/>
      <c r="Z28" s="557"/>
      <c r="AA28" s="557"/>
      <c r="AB28" s="557"/>
      <c r="AC28" s="557"/>
      <c r="AD28" s="557"/>
      <c r="AE28" s="557"/>
      <c r="AF28" s="557"/>
      <c r="AG28" s="557"/>
      <c r="AH28" s="557"/>
      <c r="AI28" s="557"/>
      <c r="AJ28" s="557"/>
      <c r="AK28" s="557"/>
      <c r="AL28" s="557"/>
      <c r="AM28" s="557"/>
      <c r="AN28" s="557"/>
      <c r="AO28" s="557"/>
      <c r="AP28" s="557"/>
      <c r="AQ28" s="557"/>
      <c r="AR28" s="557"/>
      <c r="AS28" s="557"/>
      <c r="AT28" s="557"/>
      <c r="AU28" s="557"/>
      <c r="AV28" s="557"/>
      <c r="AW28" s="557"/>
      <c r="AX28" s="557"/>
      <c r="AY28" s="557"/>
      <c r="AZ28" s="557"/>
      <c r="BA28" s="557"/>
      <c r="BB28" s="557"/>
      <c r="BC28" s="557"/>
      <c r="BD28" s="557"/>
      <c r="BE28" s="557"/>
      <c r="BF28" s="557"/>
      <c r="BG28" s="557"/>
      <c r="BH28" s="557"/>
      <c r="BI28" s="557"/>
      <c r="BJ28" s="557"/>
      <c r="BK28" s="557"/>
      <c r="BL28" s="557"/>
      <c r="BM28" s="557"/>
      <c r="BN28" s="557"/>
      <c r="BO28" s="557"/>
      <c r="BP28" s="557"/>
      <c r="BQ28" s="557"/>
      <c r="BR28" s="557"/>
      <c r="BS28" s="557"/>
      <c r="BT28" s="557"/>
      <c r="BU28" s="557"/>
      <c r="BV28" s="557"/>
      <c r="BW28" s="557"/>
      <c r="BX28" s="557"/>
      <c r="BY28" s="557"/>
      <c r="BZ28" s="557"/>
      <c r="CA28" s="557"/>
      <c r="CB28" s="557"/>
      <c r="CC28" s="557"/>
      <c r="CD28" s="557"/>
      <c r="CE28" s="557"/>
      <c r="CF28" s="557"/>
      <c r="CG28" s="557"/>
      <c r="CH28" s="557"/>
      <c r="CI28" s="557"/>
      <c r="CJ28" s="557"/>
      <c r="CK28" s="557"/>
      <c r="CL28" s="557"/>
      <c r="CM28" s="557"/>
      <c r="CN28" s="557"/>
      <c r="CO28" s="557"/>
      <c r="CP28" s="557"/>
      <c r="CQ28" s="557"/>
      <c r="CR28" s="557"/>
      <c r="CS28" s="557"/>
      <c r="CT28" s="557"/>
      <c r="CU28" s="557"/>
      <c r="CV28" s="557"/>
      <c r="CW28" s="557"/>
      <c r="CX28" s="557"/>
      <c r="CY28" s="557"/>
      <c r="CZ28" s="557"/>
      <c r="DA28" s="557"/>
      <c r="DB28" s="557"/>
      <c r="DC28" s="557"/>
      <c r="DD28" s="557"/>
      <c r="DE28" s="557"/>
      <c r="DF28" s="557"/>
      <c r="DG28" s="557"/>
      <c r="DH28" s="557"/>
      <c r="DI28" s="557"/>
      <c r="DJ28" s="557"/>
      <c r="DK28" s="557"/>
      <c r="DL28" s="557"/>
      <c r="DM28" s="557"/>
      <c r="DN28" s="557"/>
      <c r="DO28" s="557"/>
      <c r="DP28" s="557"/>
      <c r="DQ28" s="557"/>
      <c r="DR28" s="557"/>
      <c r="DS28" s="557"/>
      <c r="DT28" s="557"/>
      <c r="DU28" s="557"/>
      <c r="DV28" s="557"/>
      <c r="DW28" s="557"/>
      <c r="DX28" s="557"/>
      <c r="DY28" s="557"/>
      <c r="DZ28" s="557"/>
      <c r="EA28" s="557"/>
      <c r="EB28" s="557"/>
      <c r="EC28" s="557"/>
      <c r="ED28" s="557"/>
      <c r="EE28" s="557"/>
      <c r="EF28" s="557"/>
      <c r="EG28" s="557"/>
      <c r="EH28" s="557"/>
      <c r="EI28" s="557"/>
      <c r="EJ28" s="557"/>
      <c r="EK28" s="557"/>
      <c r="EL28" s="557"/>
      <c r="EM28" s="557"/>
      <c r="EN28" s="557"/>
      <c r="EO28" s="557"/>
      <c r="EP28" s="557"/>
      <c r="EQ28" s="557"/>
      <c r="ER28" s="557"/>
      <c r="ES28" s="557"/>
      <c r="ET28" s="557"/>
      <c r="EU28" s="557"/>
      <c r="EV28" s="557"/>
      <c r="EW28" s="557"/>
      <c r="EX28" s="557"/>
      <c r="EY28" s="557"/>
      <c r="EZ28" s="557"/>
      <c r="FA28" s="557"/>
      <c r="FB28" s="557"/>
      <c r="FC28" s="557"/>
      <c r="FD28" s="557"/>
      <c r="FE28" s="557"/>
      <c r="FF28" s="557"/>
      <c r="FG28" s="557"/>
      <c r="FH28" s="557"/>
      <c r="FI28" s="557"/>
      <c r="FJ28" s="557"/>
      <c r="FK28" s="557"/>
      <c r="FL28" s="557"/>
      <c r="FM28" s="557"/>
      <c r="FN28" s="557"/>
      <c r="FO28" s="557"/>
      <c r="FP28" s="557"/>
      <c r="FQ28" s="557"/>
      <c r="FR28" s="557"/>
      <c r="FS28" s="557"/>
      <c r="FT28" s="557"/>
      <c r="FU28" s="557"/>
      <c r="FV28" s="557"/>
      <c r="FW28" s="557"/>
      <c r="FX28" s="557"/>
      <c r="FY28" s="557"/>
      <c r="FZ28" s="557"/>
      <c r="GA28" s="557"/>
      <c r="GB28" s="557"/>
      <c r="GC28" s="557"/>
      <c r="GD28" s="557"/>
      <c r="GE28" s="557"/>
      <c r="GF28" s="557"/>
      <c r="GG28" s="557"/>
      <c r="GH28" s="557"/>
      <c r="GI28" s="557"/>
      <c r="GJ28" s="557"/>
      <c r="GK28" s="557"/>
      <c r="GL28" s="557"/>
      <c r="GM28" s="557"/>
      <c r="GN28" s="557"/>
      <c r="GO28" s="557"/>
      <c r="GP28" s="557"/>
      <c r="GQ28" s="557"/>
      <c r="GR28" s="557"/>
      <c r="GS28" s="557"/>
      <c r="GT28" s="557"/>
      <c r="GU28" s="557"/>
      <c r="GV28" s="557"/>
      <c r="GW28" s="557"/>
      <c r="GX28" s="557"/>
      <c r="GY28" s="557"/>
      <c r="GZ28" s="557"/>
      <c r="HA28" s="557"/>
      <c r="HB28" s="557"/>
      <c r="HC28" s="557"/>
      <c r="HD28" s="557"/>
      <c r="HE28" s="557"/>
      <c r="HF28" s="557"/>
      <c r="HG28" s="557"/>
      <c r="HH28" s="557"/>
      <c r="HI28" s="557"/>
      <c r="HJ28" s="557"/>
      <c r="HK28" s="557"/>
      <c r="HL28" s="557"/>
      <c r="HM28" s="557"/>
      <c r="HN28" s="557"/>
      <c r="HO28" s="557"/>
      <c r="HP28" s="557"/>
      <c r="HQ28" s="557"/>
      <c r="HR28" s="557"/>
      <c r="HS28" s="557"/>
      <c r="HT28" s="557"/>
      <c r="HU28" s="557"/>
      <c r="HV28" s="557"/>
      <c r="HW28" s="557"/>
      <c r="HX28" s="557"/>
      <c r="HY28" s="557"/>
      <c r="HZ28" s="557"/>
      <c r="IA28" s="557"/>
      <c r="IB28" s="557"/>
      <c r="IC28" s="557"/>
      <c r="ID28" s="557"/>
      <c r="IE28" s="557"/>
      <c r="IF28" s="557"/>
      <c r="IG28" s="557"/>
      <c r="IH28" s="557"/>
      <c r="II28" s="557"/>
      <c r="IJ28" s="557"/>
      <c r="IK28" s="557"/>
      <c r="IL28" s="557"/>
      <c r="IM28" s="557"/>
      <c r="IN28" s="557"/>
      <c r="IO28" s="557"/>
      <c r="IP28" s="557"/>
      <c r="IQ28" s="557"/>
      <c r="IR28" s="557"/>
      <c r="IS28" s="557"/>
      <c r="IT28" s="557"/>
      <c r="IU28" s="557"/>
      <c r="IV28" s="557"/>
    </row>
    <row r="29" spans="1:256" s="582" customFormat="1">
      <c r="A29" s="583" t="s">
        <v>26886</v>
      </c>
      <c r="B29" s="584">
        <v>926.03800000000001</v>
      </c>
      <c r="C29" s="585">
        <v>571.46900000000005</v>
      </c>
      <c r="D29" s="585">
        <f t="shared" si="3"/>
        <v>1.0024259497689822</v>
      </c>
      <c r="E29" s="585">
        <f t="shared" si="4"/>
        <v>1.0011146826327479</v>
      </c>
      <c r="F29" s="585">
        <v>725.678</v>
      </c>
      <c r="G29" s="585">
        <f t="shared" si="2"/>
        <v>1.0020303535308561</v>
      </c>
      <c r="H29" s="586">
        <v>787.66600000000005</v>
      </c>
      <c r="I29" s="557"/>
      <c r="J29" s="557"/>
      <c r="K29" s="557"/>
      <c r="L29" s="557"/>
      <c r="M29" s="557"/>
      <c r="N29" s="557"/>
      <c r="O29" s="557"/>
      <c r="P29" s="557"/>
      <c r="Q29" s="557"/>
      <c r="R29" s="557"/>
      <c r="S29" s="557"/>
      <c r="T29" s="557"/>
      <c r="U29" s="557"/>
      <c r="V29" s="557"/>
      <c r="W29" s="557"/>
      <c r="X29" s="557"/>
      <c r="Y29" s="557"/>
      <c r="Z29" s="557"/>
      <c r="AA29" s="557"/>
      <c r="AB29" s="557"/>
      <c r="AC29" s="557"/>
      <c r="AD29" s="557"/>
      <c r="AE29" s="557"/>
      <c r="AF29" s="557"/>
      <c r="AG29" s="557"/>
      <c r="AH29" s="557"/>
      <c r="AI29" s="557"/>
      <c r="AJ29" s="557"/>
      <c r="AK29" s="557"/>
      <c r="AL29" s="557"/>
      <c r="AM29" s="557"/>
      <c r="AN29" s="557"/>
      <c r="AO29" s="557"/>
      <c r="AP29" s="557"/>
      <c r="AQ29" s="557"/>
      <c r="AR29" s="557"/>
      <c r="AS29" s="557"/>
      <c r="AT29" s="557"/>
      <c r="AU29" s="557"/>
      <c r="AV29" s="557"/>
      <c r="AW29" s="557"/>
      <c r="AX29" s="557"/>
      <c r="AY29" s="557"/>
      <c r="AZ29" s="557"/>
      <c r="BA29" s="557"/>
      <c r="BB29" s="557"/>
      <c r="BC29" s="557"/>
      <c r="BD29" s="557"/>
      <c r="BE29" s="557"/>
      <c r="BF29" s="557"/>
      <c r="BG29" s="557"/>
      <c r="BH29" s="557"/>
      <c r="BI29" s="557"/>
      <c r="BJ29" s="557"/>
      <c r="BK29" s="557"/>
      <c r="BL29" s="557"/>
      <c r="BM29" s="557"/>
      <c r="BN29" s="557"/>
      <c r="BO29" s="557"/>
      <c r="BP29" s="557"/>
      <c r="BQ29" s="557"/>
      <c r="BR29" s="557"/>
      <c r="BS29" s="557"/>
      <c r="BT29" s="557"/>
      <c r="BU29" s="557"/>
      <c r="BV29" s="557"/>
      <c r="BW29" s="557"/>
      <c r="BX29" s="557"/>
      <c r="BY29" s="557"/>
      <c r="BZ29" s="557"/>
      <c r="CA29" s="557"/>
      <c r="CB29" s="557"/>
      <c r="CC29" s="557"/>
      <c r="CD29" s="557"/>
      <c r="CE29" s="557"/>
      <c r="CF29" s="557"/>
      <c r="CG29" s="557"/>
      <c r="CH29" s="557"/>
      <c r="CI29" s="557"/>
      <c r="CJ29" s="557"/>
      <c r="CK29" s="557"/>
      <c r="CL29" s="557"/>
      <c r="CM29" s="557"/>
      <c r="CN29" s="557"/>
      <c r="CO29" s="557"/>
      <c r="CP29" s="557"/>
      <c r="CQ29" s="557"/>
      <c r="CR29" s="557"/>
      <c r="CS29" s="557"/>
      <c r="CT29" s="557"/>
      <c r="CU29" s="557"/>
      <c r="CV29" s="557"/>
      <c r="CW29" s="557"/>
      <c r="CX29" s="557"/>
      <c r="CY29" s="557"/>
      <c r="CZ29" s="557"/>
      <c r="DA29" s="557"/>
      <c r="DB29" s="557"/>
      <c r="DC29" s="557"/>
      <c r="DD29" s="557"/>
      <c r="DE29" s="557"/>
      <c r="DF29" s="557"/>
      <c r="DG29" s="557"/>
      <c r="DH29" s="557"/>
      <c r="DI29" s="557"/>
      <c r="DJ29" s="557"/>
      <c r="DK29" s="557"/>
      <c r="DL29" s="557"/>
      <c r="DM29" s="557"/>
      <c r="DN29" s="557"/>
      <c r="DO29" s="557"/>
      <c r="DP29" s="557"/>
      <c r="DQ29" s="557"/>
      <c r="DR29" s="557"/>
      <c r="DS29" s="557"/>
      <c r="DT29" s="557"/>
      <c r="DU29" s="557"/>
      <c r="DV29" s="557"/>
      <c r="DW29" s="557"/>
      <c r="DX29" s="557"/>
      <c r="DY29" s="557"/>
      <c r="DZ29" s="557"/>
      <c r="EA29" s="557"/>
      <c r="EB29" s="557"/>
      <c r="EC29" s="557"/>
      <c r="ED29" s="557"/>
      <c r="EE29" s="557"/>
      <c r="EF29" s="557"/>
      <c r="EG29" s="557"/>
      <c r="EH29" s="557"/>
      <c r="EI29" s="557"/>
      <c r="EJ29" s="557"/>
      <c r="EK29" s="557"/>
      <c r="EL29" s="557"/>
      <c r="EM29" s="557"/>
      <c r="EN29" s="557"/>
      <c r="EO29" s="557"/>
      <c r="EP29" s="557"/>
      <c r="EQ29" s="557"/>
      <c r="ER29" s="557"/>
      <c r="ES29" s="557"/>
      <c r="ET29" s="557"/>
      <c r="EU29" s="557"/>
      <c r="EV29" s="557"/>
      <c r="EW29" s="557"/>
      <c r="EX29" s="557"/>
      <c r="EY29" s="557"/>
      <c r="EZ29" s="557"/>
      <c r="FA29" s="557"/>
      <c r="FB29" s="557"/>
      <c r="FC29" s="557"/>
      <c r="FD29" s="557"/>
      <c r="FE29" s="557"/>
      <c r="FF29" s="557"/>
      <c r="FG29" s="557"/>
      <c r="FH29" s="557"/>
      <c r="FI29" s="557"/>
      <c r="FJ29" s="557"/>
      <c r="FK29" s="557"/>
      <c r="FL29" s="557"/>
      <c r="FM29" s="557"/>
      <c r="FN29" s="557"/>
      <c r="FO29" s="557"/>
      <c r="FP29" s="557"/>
      <c r="FQ29" s="557"/>
      <c r="FR29" s="557"/>
      <c r="FS29" s="557"/>
      <c r="FT29" s="557"/>
      <c r="FU29" s="557"/>
      <c r="FV29" s="557"/>
      <c r="FW29" s="557"/>
      <c r="FX29" s="557"/>
      <c r="FY29" s="557"/>
      <c r="FZ29" s="557"/>
      <c r="GA29" s="557"/>
      <c r="GB29" s="557"/>
      <c r="GC29" s="557"/>
      <c r="GD29" s="557"/>
      <c r="GE29" s="557"/>
      <c r="GF29" s="557"/>
      <c r="GG29" s="557"/>
      <c r="GH29" s="557"/>
      <c r="GI29" s="557"/>
      <c r="GJ29" s="557"/>
      <c r="GK29" s="557"/>
      <c r="GL29" s="557"/>
      <c r="GM29" s="557"/>
      <c r="GN29" s="557"/>
      <c r="GO29" s="557"/>
      <c r="GP29" s="557"/>
      <c r="GQ29" s="557"/>
      <c r="GR29" s="557"/>
      <c r="GS29" s="557"/>
      <c r="GT29" s="557"/>
      <c r="GU29" s="557"/>
      <c r="GV29" s="557"/>
      <c r="GW29" s="557"/>
      <c r="GX29" s="557"/>
      <c r="GY29" s="557"/>
      <c r="GZ29" s="557"/>
      <c r="HA29" s="557"/>
      <c r="HB29" s="557"/>
      <c r="HC29" s="557"/>
      <c r="HD29" s="557"/>
      <c r="HE29" s="557"/>
      <c r="HF29" s="557"/>
      <c r="HG29" s="557"/>
      <c r="HH29" s="557"/>
      <c r="HI29" s="557"/>
      <c r="HJ29" s="557"/>
      <c r="HK29" s="557"/>
      <c r="HL29" s="557"/>
      <c r="HM29" s="557"/>
      <c r="HN29" s="557"/>
      <c r="HO29" s="557"/>
      <c r="HP29" s="557"/>
      <c r="HQ29" s="557"/>
      <c r="HR29" s="557"/>
      <c r="HS29" s="557"/>
      <c r="HT29" s="557"/>
      <c r="HU29" s="557"/>
      <c r="HV29" s="557"/>
      <c r="HW29" s="557"/>
      <c r="HX29" s="557"/>
      <c r="HY29" s="557"/>
      <c r="HZ29" s="557"/>
      <c r="IA29" s="557"/>
      <c r="IB29" s="557"/>
      <c r="IC29" s="557"/>
      <c r="ID29" s="557"/>
      <c r="IE29" s="557"/>
      <c r="IF29" s="557"/>
      <c r="IG29" s="557"/>
      <c r="IH29" s="557"/>
      <c r="II29" s="557"/>
      <c r="IJ29" s="557"/>
      <c r="IK29" s="557"/>
      <c r="IL29" s="557"/>
      <c r="IM29" s="557"/>
      <c r="IN29" s="557"/>
      <c r="IO29" s="557"/>
      <c r="IP29" s="557"/>
      <c r="IQ29" s="557"/>
      <c r="IR29" s="557"/>
      <c r="IS29" s="557"/>
      <c r="IT29" s="557"/>
      <c r="IU29" s="557"/>
      <c r="IV29" s="557"/>
    </row>
    <row r="30" spans="1:256" s="582" customFormat="1">
      <c r="A30" s="583" t="s">
        <v>26887</v>
      </c>
      <c r="B30" s="584">
        <v>926.03800000000001</v>
      </c>
      <c r="C30" s="585">
        <v>575.28899999999999</v>
      </c>
      <c r="D30" s="585">
        <f t="shared" si="3"/>
        <v>1.0066845270697098</v>
      </c>
      <c r="E30" s="585">
        <f t="shared" si="4"/>
        <v>1.003075744338398</v>
      </c>
      <c r="F30" s="585">
        <v>727.91</v>
      </c>
      <c r="G30" s="585">
        <f t="shared" si="2"/>
        <v>1.0033834137819837</v>
      </c>
      <c r="H30" s="586">
        <v>790.33100000000002</v>
      </c>
      <c r="I30" s="557"/>
      <c r="J30" s="557"/>
      <c r="K30" s="557"/>
      <c r="L30" s="557"/>
      <c r="M30" s="557"/>
      <c r="N30" s="557"/>
      <c r="O30" s="557"/>
      <c r="P30" s="557"/>
      <c r="Q30" s="557"/>
      <c r="R30" s="557"/>
      <c r="S30" s="557"/>
      <c r="T30" s="557"/>
      <c r="U30" s="557"/>
      <c r="V30" s="557"/>
      <c r="W30" s="557"/>
      <c r="X30" s="557"/>
      <c r="Y30" s="557"/>
      <c r="Z30" s="557"/>
      <c r="AA30" s="557"/>
      <c r="AB30" s="557"/>
      <c r="AC30" s="557"/>
      <c r="AD30" s="557"/>
      <c r="AE30" s="557"/>
      <c r="AF30" s="557"/>
      <c r="AG30" s="557"/>
      <c r="AH30" s="557"/>
      <c r="AI30" s="557"/>
      <c r="AJ30" s="557"/>
      <c r="AK30" s="557"/>
      <c r="AL30" s="557"/>
      <c r="AM30" s="557"/>
      <c r="AN30" s="557"/>
      <c r="AO30" s="557"/>
      <c r="AP30" s="557"/>
      <c r="AQ30" s="557"/>
      <c r="AR30" s="557"/>
      <c r="AS30" s="557"/>
      <c r="AT30" s="557"/>
      <c r="AU30" s="557"/>
      <c r="AV30" s="557"/>
      <c r="AW30" s="557"/>
      <c r="AX30" s="557"/>
      <c r="AY30" s="557"/>
      <c r="AZ30" s="557"/>
      <c r="BA30" s="557"/>
      <c r="BB30" s="557"/>
      <c r="BC30" s="557"/>
      <c r="BD30" s="557"/>
      <c r="BE30" s="557"/>
      <c r="BF30" s="557"/>
      <c r="BG30" s="557"/>
      <c r="BH30" s="557"/>
      <c r="BI30" s="557"/>
      <c r="BJ30" s="557"/>
      <c r="BK30" s="557"/>
      <c r="BL30" s="557"/>
      <c r="BM30" s="557"/>
      <c r="BN30" s="557"/>
      <c r="BO30" s="557"/>
      <c r="BP30" s="557"/>
      <c r="BQ30" s="557"/>
      <c r="BR30" s="557"/>
      <c r="BS30" s="557"/>
      <c r="BT30" s="557"/>
      <c r="BU30" s="557"/>
      <c r="BV30" s="557"/>
      <c r="BW30" s="557"/>
      <c r="BX30" s="557"/>
      <c r="BY30" s="557"/>
      <c r="BZ30" s="557"/>
      <c r="CA30" s="557"/>
      <c r="CB30" s="557"/>
      <c r="CC30" s="557"/>
      <c r="CD30" s="557"/>
      <c r="CE30" s="557"/>
      <c r="CF30" s="557"/>
      <c r="CG30" s="557"/>
      <c r="CH30" s="557"/>
      <c r="CI30" s="557"/>
      <c r="CJ30" s="557"/>
      <c r="CK30" s="557"/>
      <c r="CL30" s="557"/>
      <c r="CM30" s="557"/>
      <c r="CN30" s="557"/>
      <c r="CO30" s="557"/>
      <c r="CP30" s="557"/>
      <c r="CQ30" s="557"/>
      <c r="CR30" s="557"/>
      <c r="CS30" s="557"/>
      <c r="CT30" s="557"/>
      <c r="CU30" s="557"/>
      <c r="CV30" s="557"/>
      <c r="CW30" s="557"/>
      <c r="CX30" s="557"/>
      <c r="CY30" s="557"/>
      <c r="CZ30" s="557"/>
      <c r="DA30" s="557"/>
      <c r="DB30" s="557"/>
      <c r="DC30" s="557"/>
      <c r="DD30" s="557"/>
      <c r="DE30" s="557"/>
      <c r="DF30" s="557"/>
      <c r="DG30" s="557"/>
      <c r="DH30" s="557"/>
      <c r="DI30" s="557"/>
      <c r="DJ30" s="557"/>
      <c r="DK30" s="557"/>
      <c r="DL30" s="557"/>
      <c r="DM30" s="557"/>
      <c r="DN30" s="557"/>
      <c r="DO30" s="557"/>
      <c r="DP30" s="557"/>
      <c r="DQ30" s="557"/>
      <c r="DR30" s="557"/>
      <c r="DS30" s="557"/>
      <c r="DT30" s="557"/>
      <c r="DU30" s="557"/>
      <c r="DV30" s="557"/>
      <c r="DW30" s="557"/>
      <c r="DX30" s="557"/>
      <c r="DY30" s="557"/>
      <c r="DZ30" s="557"/>
      <c r="EA30" s="557"/>
      <c r="EB30" s="557"/>
      <c r="EC30" s="557"/>
      <c r="ED30" s="557"/>
      <c r="EE30" s="557"/>
      <c r="EF30" s="557"/>
      <c r="EG30" s="557"/>
      <c r="EH30" s="557"/>
      <c r="EI30" s="557"/>
      <c r="EJ30" s="557"/>
      <c r="EK30" s="557"/>
      <c r="EL30" s="557"/>
      <c r="EM30" s="557"/>
      <c r="EN30" s="557"/>
      <c r="EO30" s="557"/>
      <c r="EP30" s="557"/>
      <c r="EQ30" s="557"/>
      <c r="ER30" s="557"/>
      <c r="ES30" s="557"/>
      <c r="ET30" s="557"/>
      <c r="EU30" s="557"/>
      <c r="EV30" s="557"/>
      <c r="EW30" s="557"/>
      <c r="EX30" s="557"/>
      <c r="EY30" s="557"/>
      <c r="EZ30" s="557"/>
      <c r="FA30" s="557"/>
      <c r="FB30" s="557"/>
      <c r="FC30" s="557"/>
      <c r="FD30" s="557"/>
      <c r="FE30" s="557"/>
      <c r="FF30" s="557"/>
      <c r="FG30" s="557"/>
      <c r="FH30" s="557"/>
      <c r="FI30" s="557"/>
      <c r="FJ30" s="557"/>
      <c r="FK30" s="557"/>
      <c r="FL30" s="557"/>
      <c r="FM30" s="557"/>
      <c r="FN30" s="557"/>
      <c r="FO30" s="557"/>
      <c r="FP30" s="557"/>
      <c r="FQ30" s="557"/>
      <c r="FR30" s="557"/>
      <c r="FS30" s="557"/>
      <c r="FT30" s="557"/>
      <c r="FU30" s="557"/>
      <c r="FV30" s="557"/>
      <c r="FW30" s="557"/>
      <c r="FX30" s="557"/>
      <c r="FY30" s="557"/>
      <c r="FZ30" s="557"/>
      <c r="GA30" s="557"/>
      <c r="GB30" s="557"/>
      <c r="GC30" s="557"/>
      <c r="GD30" s="557"/>
      <c r="GE30" s="557"/>
      <c r="GF30" s="557"/>
      <c r="GG30" s="557"/>
      <c r="GH30" s="557"/>
      <c r="GI30" s="557"/>
      <c r="GJ30" s="557"/>
      <c r="GK30" s="557"/>
      <c r="GL30" s="557"/>
      <c r="GM30" s="557"/>
      <c r="GN30" s="557"/>
      <c r="GO30" s="557"/>
      <c r="GP30" s="557"/>
      <c r="GQ30" s="557"/>
      <c r="GR30" s="557"/>
      <c r="GS30" s="557"/>
      <c r="GT30" s="557"/>
      <c r="GU30" s="557"/>
      <c r="GV30" s="557"/>
      <c r="GW30" s="557"/>
      <c r="GX30" s="557"/>
      <c r="GY30" s="557"/>
      <c r="GZ30" s="557"/>
      <c r="HA30" s="557"/>
      <c r="HB30" s="557"/>
      <c r="HC30" s="557"/>
      <c r="HD30" s="557"/>
      <c r="HE30" s="557"/>
      <c r="HF30" s="557"/>
      <c r="HG30" s="557"/>
      <c r="HH30" s="557"/>
      <c r="HI30" s="557"/>
      <c r="HJ30" s="557"/>
      <c r="HK30" s="557"/>
      <c r="HL30" s="557"/>
      <c r="HM30" s="557"/>
      <c r="HN30" s="557"/>
      <c r="HO30" s="557"/>
      <c r="HP30" s="557"/>
      <c r="HQ30" s="557"/>
      <c r="HR30" s="557"/>
      <c r="HS30" s="557"/>
      <c r="HT30" s="557"/>
      <c r="HU30" s="557"/>
      <c r="HV30" s="557"/>
      <c r="HW30" s="557"/>
      <c r="HX30" s="557"/>
      <c r="HY30" s="557"/>
      <c r="HZ30" s="557"/>
      <c r="IA30" s="557"/>
      <c r="IB30" s="557"/>
      <c r="IC30" s="557"/>
      <c r="ID30" s="557"/>
      <c r="IE30" s="557"/>
      <c r="IF30" s="557"/>
      <c r="IG30" s="557"/>
      <c r="IH30" s="557"/>
      <c r="II30" s="557"/>
      <c r="IJ30" s="557"/>
      <c r="IK30" s="557"/>
      <c r="IL30" s="557"/>
      <c r="IM30" s="557"/>
      <c r="IN30" s="557"/>
      <c r="IO30" s="557"/>
      <c r="IP30" s="557"/>
      <c r="IQ30" s="557"/>
      <c r="IR30" s="557"/>
      <c r="IS30" s="557"/>
      <c r="IT30" s="557"/>
      <c r="IU30" s="557"/>
      <c r="IV30" s="557"/>
    </row>
    <row r="31" spans="1:256" s="582" customFormat="1">
      <c r="A31" s="583" t="s">
        <v>26888</v>
      </c>
      <c r="B31" s="584">
        <v>926.03800000000001</v>
      </c>
      <c r="C31" s="585">
        <v>579.78399999999999</v>
      </c>
      <c r="D31" s="585">
        <f t="shared" si="3"/>
        <v>1.0078134641893031</v>
      </c>
      <c r="E31" s="585">
        <f t="shared" si="4"/>
        <v>1.00360758885027</v>
      </c>
      <c r="F31" s="585">
        <v>730.53599999999994</v>
      </c>
      <c r="G31" s="585">
        <f t="shared" si="2"/>
        <v>1.0117140792908288</v>
      </c>
      <c r="H31" s="586">
        <v>799.58900000000006</v>
      </c>
      <c r="I31" s="557"/>
      <c r="J31" s="557"/>
      <c r="K31" s="557"/>
      <c r="L31" s="557"/>
      <c r="M31" s="557"/>
      <c r="N31" s="557"/>
      <c r="O31" s="557"/>
      <c r="P31" s="557"/>
      <c r="Q31" s="557"/>
      <c r="R31" s="557"/>
      <c r="S31" s="557"/>
      <c r="T31" s="557"/>
      <c r="U31" s="557"/>
      <c r="V31" s="557"/>
      <c r="W31" s="557"/>
      <c r="X31" s="557"/>
      <c r="Y31" s="557"/>
      <c r="Z31" s="557"/>
      <c r="AA31" s="557"/>
      <c r="AB31" s="557"/>
      <c r="AC31" s="557"/>
      <c r="AD31" s="557"/>
      <c r="AE31" s="557"/>
      <c r="AF31" s="557"/>
      <c r="AG31" s="557"/>
      <c r="AH31" s="557"/>
      <c r="AI31" s="557"/>
      <c r="AJ31" s="557"/>
      <c r="AK31" s="557"/>
      <c r="AL31" s="557"/>
      <c r="AM31" s="557"/>
      <c r="AN31" s="557"/>
      <c r="AO31" s="557"/>
      <c r="AP31" s="557"/>
      <c r="AQ31" s="557"/>
      <c r="AR31" s="557"/>
      <c r="AS31" s="557"/>
      <c r="AT31" s="557"/>
      <c r="AU31" s="557"/>
      <c r="AV31" s="557"/>
      <c r="AW31" s="557"/>
      <c r="AX31" s="557"/>
      <c r="AY31" s="557"/>
      <c r="AZ31" s="557"/>
      <c r="BA31" s="557"/>
      <c r="BB31" s="557"/>
      <c r="BC31" s="557"/>
      <c r="BD31" s="557"/>
      <c r="BE31" s="557"/>
      <c r="BF31" s="557"/>
      <c r="BG31" s="557"/>
      <c r="BH31" s="557"/>
      <c r="BI31" s="557"/>
      <c r="BJ31" s="557"/>
      <c r="BK31" s="557"/>
      <c r="BL31" s="557"/>
      <c r="BM31" s="557"/>
      <c r="BN31" s="557"/>
      <c r="BO31" s="557"/>
      <c r="BP31" s="557"/>
      <c r="BQ31" s="557"/>
      <c r="BR31" s="557"/>
      <c r="BS31" s="557"/>
      <c r="BT31" s="557"/>
      <c r="BU31" s="557"/>
      <c r="BV31" s="557"/>
      <c r="BW31" s="557"/>
      <c r="BX31" s="557"/>
      <c r="BY31" s="557"/>
      <c r="BZ31" s="557"/>
      <c r="CA31" s="557"/>
      <c r="CB31" s="557"/>
      <c r="CC31" s="557"/>
      <c r="CD31" s="557"/>
      <c r="CE31" s="557"/>
      <c r="CF31" s="557"/>
      <c r="CG31" s="557"/>
      <c r="CH31" s="557"/>
      <c r="CI31" s="557"/>
      <c r="CJ31" s="557"/>
      <c r="CK31" s="557"/>
      <c r="CL31" s="557"/>
      <c r="CM31" s="557"/>
      <c r="CN31" s="557"/>
      <c r="CO31" s="557"/>
      <c r="CP31" s="557"/>
      <c r="CQ31" s="557"/>
      <c r="CR31" s="557"/>
      <c r="CS31" s="557"/>
      <c r="CT31" s="557"/>
      <c r="CU31" s="557"/>
      <c r="CV31" s="557"/>
      <c r="CW31" s="557"/>
      <c r="CX31" s="557"/>
      <c r="CY31" s="557"/>
      <c r="CZ31" s="557"/>
      <c r="DA31" s="557"/>
      <c r="DB31" s="557"/>
      <c r="DC31" s="557"/>
      <c r="DD31" s="557"/>
      <c r="DE31" s="557"/>
      <c r="DF31" s="557"/>
      <c r="DG31" s="557"/>
      <c r="DH31" s="557"/>
      <c r="DI31" s="557"/>
      <c r="DJ31" s="557"/>
      <c r="DK31" s="557"/>
      <c r="DL31" s="557"/>
      <c r="DM31" s="557"/>
      <c r="DN31" s="557"/>
      <c r="DO31" s="557"/>
      <c r="DP31" s="557"/>
      <c r="DQ31" s="557"/>
      <c r="DR31" s="557"/>
      <c r="DS31" s="557"/>
      <c r="DT31" s="557"/>
      <c r="DU31" s="557"/>
      <c r="DV31" s="557"/>
      <c r="DW31" s="557"/>
      <c r="DX31" s="557"/>
      <c r="DY31" s="557"/>
      <c r="DZ31" s="557"/>
      <c r="EA31" s="557"/>
      <c r="EB31" s="557"/>
      <c r="EC31" s="557"/>
      <c r="ED31" s="557"/>
      <c r="EE31" s="557"/>
      <c r="EF31" s="557"/>
      <c r="EG31" s="557"/>
      <c r="EH31" s="557"/>
      <c r="EI31" s="557"/>
      <c r="EJ31" s="557"/>
      <c r="EK31" s="557"/>
      <c r="EL31" s="557"/>
      <c r="EM31" s="557"/>
      <c r="EN31" s="557"/>
      <c r="EO31" s="557"/>
      <c r="EP31" s="557"/>
      <c r="EQ31" s="557"/>
      <c r="ER31" s="557"/>
      <c r="ES31" s="557"/>
      <c r="ET31" s="557"/>
      <c r="EU31" s="557"/>
      <c r="EV31" s="557"/>
      <c r="EW31" s="557"/>
      <c r="EX31" s="557"/>
      <c r="EY31" s="557"/>
      <c r="EZ31" s="557"/>
      <c r="FA31" s="557"/>
      <c r="FB31" s="557"/>
      <c r="FC31" s="557"/>
      <c r="FD31" s="557"/>
      <c r="FE31" s="557"/>
      <c r="FF31" s="557"/>
      <c r="FG31" s="557"/>
      <c r="FH31" s="557"/>
      <c r="FI31" s="557"/>
      <c r="FJ31" s="557"/>
      <c r="FK31" s="557"/>
      <c r="FL31" s="557"/>
      <c r="FM31" s="557"/>
      <c r="FN31" s="557"/>
      <c r="FO31" s="557"/>
      <c r="FP31" s="557"/>
      <c r="FQ31" s="557"/>
      <c r="FR31" s="557"/>
      <c r="FS31" s="557"/>
      <c r="FT31" s="557"/>
      <c r="FU31" s="557"/>
      <c r="FV31" s="557"/>
      <c r="FW31" s="557"/>
      <c r="FX31" s="557"/>
      <c r="FY31" s="557"/>
      <c r="FZ31" s="557"/>
      <c r="GA31" s="557"/>
      <c r="GB31" s="557"/>
      <c r="GC31" s="557"/>
      <c r="GD31" s="557"/>
      <c r="GE31" s="557"/>
      <c r="GF31" s="557"/>
      <c r="GG31" s="557"/>
      <c r="GH31" s="557"/>
      <c r="GI31" s="557"/>
      <c r="GJ31" s="557"/>
      <c r="GK31" s="557"/>
      <c r="GL31" s="557"/>
      <c r="GM31" s="557"/>
      <c r="GN31" s="557"/>
      <c r="GO31" s="557"/>
      <c r="GP31" s="557"/>
      <c r="GQ31" s="557"/>
      <c r="GR31" s="557"/>
      <c r="GS31" s="557"/>
      <c r="GT31" s="557"/>
      <c r="GU31" s="557"/>
      <c r="GV31" s="557"/>
      <c r="GW31" s="557"/>
      <c r="GX31" s="557"/>
      <c r="GY31" s="557"/>
      <c r="GZ31" s="557"/>
      <c r="HA31" s="557"/>
      <c r="HB31" s="557"/>
      <c r="HC31" s="557"/>
      <c r="HD31" s="557"/>
      <c r="HE31" s="557"/>
      <c r="HF31" s="557"/>
      <c r="HG31" s="557"/>
      <c r="HH31" s="557"/>
      <c r="HI31" s="557"/>
      <c r="HJ31" s="557"/>
      <c r="HK31" s="557"/>
      <c r="HL31" s="557"/>
      <c r="HM31" s="557"/>
      <c r="HN31" s="557"/>
      <c r="HO31" s="557"/>
      <c r="HP31" s="557"/>
      <c r="HQ31" s="557"/>
      <c r="HR31" s="557"/>
      <c r="HS31" s="557"/>
      <c r="HT31" s="557"/>
      <c r="HU31" s="557"/>
      <c r="HV31" s="557"/>
      <c r="HW31" s="557"/>
      <c r="HX31" s="557"/>
      <c r="HY31" s="557"/>
      <c r="HZ31" s="557"/>
      <c r="IA31" s="557"/>
      <c r="IB31" s="557"/>
      <c r="IC31" s="557"/>
      <c r="ID31" s="557"/>
      <c r="IE31" s="557"/>
      <c r="IF31" s="557"/>
      <c r="IG31" s="557"/>
      <c r="IH31" s="557"/>
      <c r="II31" s="557"/>
      <c r="IJ31" s="557"/>
      <c r="IK31" s="557"/>
      <c r="IL31" s="557"/>
      <c r="IM31" s="557"/>
      <c r="IN31" s="557"/>
      <c r="IO31" s="557"/>
      <c r="IP31" s="557"/>
      <c r="IQ31" s="557"/>
      <c r="IR31" s="557"/>
      <c r="IS31" s="557"/>
      <c r="IT31" s="557"/>
      <c r="IU31" s="557"/>
      <c r="IV31" s="557"/>
    </row>
    <row r="32" spans="1:256" s="587" customFormat="1">
      <c r="A32" s="583" t="s">
        <v>26889</v>
      </c>
      <c r="B32" s="584">
        <v>926.03800000000001</v>
      </c>
      <c r="C32" s="585">
        <v>588.21100000000001</v>
      </c>
      <c r="D32" s="585">
        <f t="shared" si="3"/>
        <v>1.0145347232762547</v>
      </c>
      <c r="E32" s="585">
        <f t="shared" si="4"/>
        <v>1.0067402564692227</v>
      </c>
      <c r="F32" s="585">
        <v>735.46</v>
      </c>
      <c r="G32" s="585">
        <f t="shared" si="2"/>
        <v>1.0072124553989612</v>
      </c>
      <c r="H32" s="586">
        <v>805.35599999999999</v>
      </c>
      <c r="I32" s="557"/>
      <c r="J32" s="557"/>
      <c r="K32" s="557"/>
      <c r="L32" s="557"/>
      <c r="M32" s="557"/>
      <c r="N32" s="557"/>
      <c r="O32" s="557"/>
      <c r="P32" s="557"/>
      <c r="Q32" s="557"/>
      <c r="R32" s="557"/>
      <c r="S32" s="557"/>
      <c r="T32" s="557"/>
      <c r="U32" s="557"/>
      <c r="V32" s="557"/>
      <c r="W32" s="557"/>
      <c r="X32" s="557"/>
      <c r="Y32" s="557"/>
      <c r="Z32" s="557"/>
      <c r="AA32" s="557"/>
      <c r="AB32" s="557"/>
      <c r="AC32" s="557"/>
      <c r="AD32" s="557"/>
      <c r="AE32" s="557"/>
      <c r="AF32" s="557"/>
      <c r="AG32" s="557"/>
      <c r="AH32" s="557"/>
      <c r="AI32" s="557"/>
      <c r="AJ32" s="557"/>
      <c r="AK32" s="557"/>
      <c r="AL32" s="557"/>
      <c r="AM32" s="557"/>
      <c r="AN32" s="557"/>
      <c r="AO32" s="557"/>
      <c r="AP32" s="557"/>
      <c r="AQ32" s="557"/>
      <c r="AR32" s="557"/>
      <c r="AS32" s="557"/>
      <c r="AT32" s="557"/>
      <c r="AU32" s="557"/>
      <c r="AV32" s="557"/>
      <c r="AW32" s="557"/>
      <c r="AX32" s="557"/>
      <c r="AY32" s="557"/>
      <c r="AZ32" s="557"/>
      <c r="BA32" s="557"/>
      <c r="BB32" s="557"/>
      <c r="BC32" s="557"/>
      <c r="BD32" s="557"/>
      <c r="BE32" s="557"/>
      <c r="BF32" s="557"/>
      <c r="BG32" s="557"/>
      <c r="BH32" s="557"/>
      <c r="BI32" s="557"/>
      <c r="BJ32" s="557"/>
      <c r="BK32" s="557"/>
      <c r="BL32" s="557"/>
      <c r="BM32" s="557"/>
      <c r="BN32" s="557"/>
      <c r="BO32" s="557"/>
      <c r="BP32" s="557"/>
      <c r="BQ32" s="557"/>
      <c r="BR32" s="557"/>
      <c r="BS32" s="557"/>
      <c r="BT32" s="557"/>
      <c r="BU32" s="557"/>
      <c r="BV32" s="557"/>
      <c r="BW32" s="557"/>
      <c r="BX32" s="557"/>
      <c r="BY32" s="557"/>
      <c r="BZ32" s="557"/>
      <c r="CA32" s="557"/>
      <c r="CB32" s="557"/>
      <c r="CC32" s="557"/>
      <c r="CD32" s="557"/>
      <c r="CE32" s="557"/>
      <c r="CF32" s="557"/>
      <c r="CG32" s="557"/>
      <c r="CH32" s="557"/>
      <c r="CI32" s="557"/>
      <c r="CJ32" s="557"/>
      <c r="CK32" s="557"/>
      <c r="CL32" s="557"/>
      <c r="CM32" s="557"/>
      <c r="CN32" s="557"/>
      <c r="CO32" s="557"/>
      <c r="CP32" s="557"/>
      <c r="CQ32" s="557"/>
      <c r="CR32" s="557"/>
      <c r="CS32" s="557"/>
      <c r="CT32" s="557"/>
      <c r="CU32" s="557"/>
      <c r="CV32" s="557"/>
      <c r="CW32" s="557"/>
      <c r="CX32" s="557"/>
      <c r="CY32" s="557"/>
      <c r="CZ32" s="557"/>
      <c r="DA32" s="557"/>
      <c r="DB32" s="557"/>
      <c r="DC32" s="557"/>
      <c r="DD32" s="557"/>
      <c r="DE32" s="557"/>
      <c r="DF32" s="557"/>
      <c r="DG32" s="557"/>
      <c r="DH32" s="557"/>
      <c r="DI32" s="557"/>
      <c r="DJ32" s="557"/>
      <c r="DK32" s="557"/>
      <c r="DL32" s="557"/>
      <c r="DM32" s="557"/>
      <c r="DN32" s="557"/>
      <c r="DO32" s="557"/>
      <c r="DP32" s="557"/>
      <c r="DQ32" s="557"/>
      <c r="DR32" s="557"/>
      <c r="DS32" s="557"/>
      <c r="DT32" s="557"/>
      <c r="DU32" s="557"/>
      <c r="DV32" s="557"/>
      <c r="DW32" s="557"/>
      <c r="DX32" s="557"/>
      <c r="DY32" s="557"/>
      <c r="DZ32" s="557"/>
      <c r="EA32" s="557"/>
      <c r="EB32" s="557"/>
      <c r="EC32" s="557"/>
      <c r="ED32" s="557"/>
      <c r="EE32" s="557"/>
      <c r="EF32" s="557"/>
      <c r="EG32" s="557"/>
      <c r="EH32" s="557"/>
      <c r="EI32" s="557"/>
      <c r="EJ32" s="557"/>
      <c r="EK32" s="557"/>
      <c r="EL32" s="557"/>
      <c r="EM32" s="557"/>
      <c r="EN32" s="557"/>
      <c r="EO32" s="557"/>
      <c r="EP32" s="557"/>
      <c r="EQ32" s="557"/>
      <c r="ER32" s="557"/>
      <c r="ES32" s="557"/>
      <c r="ET32" s="557"/>
      <c r="EU32" s="557"/>
      <c r="EV32" s="557"/>
      <c r="EW32" s="557"/>
      <c r="EX32" s="557"/>
      <c r="EY32" s="557"/>
      <c r="EZ32" s="557"/>
      <c r="FA32" s="557"/>
      <c r="FB32" s="557"/>
      <c r="FC32" s="557"/>
      <c r="FD32" s="557"/>
      <c r="FE32" s="557"/>
      <c r="FF32" s="557"/>
      <c r="FG32" s="557"/>
      <c r="FH32" s="557"/>
      <c r="FI32" s="557"/>
      <c r="FJ32" s="557"/>
      <c r="FK32" s="557"/>
      <c r="FL32" s="557"/>
      <c r="FM32" s="557"/>
      <c r="FN32" s="557"/>
      <c r="FO32" s="557"/>
      <c r="FP32" s="557"/>
      <c r="FQ32" s="557"/>
      <c r="FR32" s="557"/>
      <c r="FS32" s="557"/>
      <c r="FT32" s="557"/>
      <c r="FU32" s="557"/>
      <c r="FV32" s="557"/>
      <c r="FW32" s="557"/>
      <c r="FX32" s="557"/>
      <c r="FY32" s="557"/>
      <c r="FZ32" s="557"/>
      <c r="GA32" s="557"/>
      <c r="GB32" s="557"/>
      <c r="GC32" s="557"/>
      <c r="GD32" s="557"/>
      <c r="GE32" s="557"/>
      <c r="GF32" s="557"/>
      <c r="GG32" s="557"/>
      <c r="GH32" s="557"/>
      <c r="GI32" s="557"/>
      <c r="GJ32" s="557"/>
      <c r="GK32" s="557"/>
      <c r="GL32" s="557"/>
      <c r="GM32" s="557"/>
      <c r="GN32" s="557"/>
      <c r="GO32" s="557"/>
      <c r="GP32" s="557"/>
      <c r="GQ32" s="557"/>
      <c r="GR32" s="557"/>
      <c r="GS32" s="557"/>
      <c r="GT32" s="557"/>
      <c r="GU32" s="557"/>
      <c r="GV32" s="557"/>
      <c r="GW32" s="557"/>
      <c r="GX32" s="557"/>
      <c r="GY32" s="557"/>
      <c r="GZ32" s="557"/>
      <c r="HA32" s="557"/>
      <c r="HB32" s="557"/>
      <c r="HC32" s="557"/>
      <c r="HD32" s="557"/>
      <c r="HE32" s="557"/>
      <c r="HF32" s="557"/>
      <c r="HG32" s="557"/>
      <c r="HH32" s="557"/>
      <c r="HI32" s="557"/>
      <c r="HJ32" s="557"/>
      <c r="HK32" s="557"/>
      <c r="HL32" s="557"/>
      <c r="HM32" s="557"/>
      <c r="HN32" s="557"/>
      <c r="HO32" s="557"/>
      <c r="HP32" s="557"/>
      <c r="HQ32" s="557"/>
      <c r="HR32" s="557"/>
      <c r="HS32" s="557"/>
      <c r="HT32" s="557"/>
      <c r="HU32" s="557"/>
      <c r="HV32" s="557"/>
      <c r="HW32" s="557"/>
      <c r="HX32" s="557"/>
      <c r="HY32" s="557"/>
      <c r="HZ32" s="557"/>
      <c r="IA32" s="557"/>
      <c r="IB32" s="557"/>
      <c r="IC32" s="557"/>
      <c r="ID32" s="557"/>
      <c r="IE32" s="557"/>
      <c r="IF32" s="557"/>
      <c r="IG32" s="557"/>
      <c r="IH32" s="557"/>
      <c r="II32" s="557"/>
      <c r="IJ32" s="557"/>
      <c r="IK32" s="557"/>
      <c r="IL32" s="557"/>
      <c r="IM32" s="557"/>
      <c r="IN32" s="557"/>
      <c r="IO32" s="557"/>
      <c r="IP32" s="557"/>
      <c r="IQ32" s="557"/>
      <c r="IR32" s="557"/>
      <c r="IS32" s="557"/>
      <c r="IT32" s="557"/>
      <c r="IU32" s="557"/>
      <c r="IV32" s="557"/>
    </row>
    <row r="33" spans="1:256" s="588" customFormat="1">
      <c r="A33" s="583" t="s">
        <v>26890</v>
      </c>
      <c r="B33" s="584">
        <v>926.03800000000001</v>
      </c>
      <c r="C33" s="585">
        <v>599.20699999999999</v>
      </c>
      <c r="D33" s="585">
        <f t="shared" si="3"/>
        <v>1.0186939720610462</v>
      </c>
      <c r="E33" s="585">
        <f t="shared" si="4"/>
        <v>1.0087346694585702</v>
      </c>
      <c r="F33" s="585">
        <v>741.88400000000001</v>
      </c>
      <c r="G33" s="585">
        <f t="shared" si="2"/>
        <v>1.0116035641380954</v>
      </c>
      <c r="H33" s="586">
        <v>814.70100000000002</v>
      </c>
      <c r="I33" s="557"/>
      <c r="J33" s="557"/>
      <c r="K33" s="557"/>
      <c r="L33" s="557"/>
      <c r="M33" s="557"/>
      <c r="N33" s="557"/>
      <c r="O33" s="557"/>
      <c r="P33" s="557"/>
      <c r="Q33" s="557"/>
      <c r="R33" s="557"/>
      <c r="S33" s="557"/>
      <c r="T33" s="557"/>
      <c r="U33" s="557"/>
      <c r="V33" s="557"/>
      <c r="W33" s="557"/>
      <c r="X33" s="557"/>
      <c r="Y33" s="557"/>
      <c r="Z33" s="557"/>
      <c r="AA33" s="557"/>
      <c r="AB33" s="557"/>
      <c r="AC33" s="557"/>
      <c r="AD33" s="557"/>
      <c r="AE33" s="557"/>
      <c r="AF33" s="557"/>
      <c r="AG33" s="557"/>
      <c r="AH33" s="557"/>
      <c r="AI33" s="557"/>
      <c r="AJ33" s="557"/>
      <c r="AK33" s="557"/>
      <c r="AL33" s="557"/>
      <c r="AM33" s="557"/>
      <c r="AN33" s="557"/>
      <c r="AO33" s="557"/>
      <c r="AP33" s="557"/>
      <c r="AQ33" s="557"/>
      <c r="AR33" s="557"/>
      <c r="AS33" s="557"/>
      <c r="AT33" s="557"/>
      <c r="AU33" s="557"/>
      <c r="AV33" s="557"/>
      <c r="AW33" s="557"/>
      <c r="AX33" s="557"/>
      <c r="AY33" s="557"/>
      <c r="AZ33" s="557"/>
      <c r="BA33" s="557"/>
      <c r="BB33" s="557"/>
      <c r="BC33" s="557"/>
      <c r="BD33" s="557"/>
      <c r="BE33" s="557"/>
      <c r="BF33" s="557"/>
      <c r="BG33" s="557"/>
      <c r="BH33" s="557"/>
      <c r="BI33" s="557"/>
      <c r="BJ33" s="557"/>
      <c r="BK33" s="557"/>
      <c r="BL33" s="557"/>
      <c r="BM33" s="557"/>
      <c r="BN33" s="557"/>
      <c r="BO33" s="557"/>
      <c r="BP33" s="557"/>
      <c r="BQ33" s="557"/>
      <c r="BR33" s="557"/>
      <c r="BS33" s="557"/>
      <c r="BT33" s="557"/>
      <c r="BU33" s="557"/>
      <c r="BV33" s="557"/>
      <c r="BW33" s="557"/>
      <c r="BX33" s="557"/>
      <c r="BY33" s="557"/>
      <c r="BZ33" s="557"/>
      <c r="CA33" s="557"/>
      <c r="CB33" s="557"/>
      <c r="CC33" s="557"/>
      <c r="CD33" s="557"/>
      <c r="CE33" s="557"/>
      <c r="CF33" s="557"/>
      <c r="CG33" s="557"/>
      <c r="CH33" s="557"/>
      <c r="CI33" s="557"/>
      <c r="CJ33" s="557"/>
      <c r="CK33" s="557"/>
      <c r="CL33" s="557"/>
      <c r="CM33" s="557"/>
      <c r="CN33" s="557"/>
      <c r="CO33" s="557"/>
      <c r="CP33" s="557"/>
      <c r="CQ33" s="557"/>
      <c r="CR33" s="557"/>
      <c r="CS33" s="557"/>
      <c r="CT33" s="557"/>
      <c r="CU33" s="557"/>
      <c r="CV33" s="557"/>
      <c r="CW33" s="557"/>
      <c r="CX33" s="557"/>
      <c r="CY33" s="557"/>
      <c r="CZ33" s="557"/>
      <c r="DA33" s="557"/>
      <c r="DB33" s="557"/>
      <c r="DC33" s="557"/>
      <c r="DD33" s="557"/>
      <c r="DE33" s="557"/>
      <c r="DF33" s="557"/>
      <c r="DG33" s="557"/>
      <c r="DH33" s="557"/>
      <c r="DI33" s="557"/>
      <c r="DJ33" s="557"/>
      <c r="DK33" s="557"/>
      <c r="DL33" s="557"/>
      <c r="DM33" s="557"/>
      <c r="DN33" s="557"/>
      <c r="DO33" s="557"/>
      <c r="DP33" s="557"/>
      <c r="DQ33" s="557"/>
      <c r="DR33" s="557"/>
      <c r="DS33" s="557"/>
      <c r="DT33" s="557"/>
      <c r="DU33" s="557"/>
      <c r="DV33" s="557"/>
      <c r="DW33" s="557"/>
      <c r="DX33" s="557"/>
      <c r="DY33" s="557"/>
      <c r="DZ33" s="557"/>
      <c r="EA33" s="557"/>
      <c r="EB33" s="557"/>
      <c r="EC33" s="557"/>
      <c r="ED33" s="557"/>
      <c r="EE33" s="557"/>
      <c r="EF33" s="557"/>
      <c r="EG33" s="557"/>
      <c r="EH33" s="557"/>
      <c r="EI33" s="557"/>
      <c r="EJ33" s="557"/>
      <c r="EK33" s="557"/>
      <c r="EL33" s="557"/>
      <c r="EM33" s="557"/>
      <c r="EN33" s="557"/>
      <c r="EO33" s="557"/>
      <c r="EP33" s="557"/>
      <c r="EQ33" s="557"/>
      <c r="ER33" s="557"/>
      <c r="ES33" s="557"/>
      <c r="ET33" s="557"/>
      <c r="EU33" s="557"/>
      <c r="EV33" s="557"/>
      <c r="EW33" s="557"/>
      <c r="EX33" s="557"/>
      <c r="EY33" s="557"/>
      <c r="EZ33" s="557"/>
      <c r="FA33" s="557"/>
      <c r="FB33" s="557"/>
      <c r="FC33" s="557"/>
      <c r="FD33" s="557"/>
      <c r="FE33" s="557"/>
      <c r="FF33" s="557"/>
      <c r="FG33" s="557"/>
      <c r="FH33" s="557"/>
      <c r="FI33" s="557"/>
      <c r="FJ33" s="557"/>
      <c r="FK33" s="557"/>
      <c r="FL33" s="557"/>
      <c r="FM33" s="557"/>
      <c r="FN33" s="557"/>
      <c r="FO33" s="557"/>
      <c r="FP33" s="557"/>
      <c r="FQ33" s="557"/>
      <c r="FR33" s="557"/>
      <c r="FS33" s="557"/>
      <c r="FT33" s="557"/>
      <c r="FU33" s="557"/>
      <c r="FV33" s="557"/>
      <c r="FW33" s="557"/>
      <c r="FX33" s="557"/>
      <c r="FY33" s="557"/>
      <c r="FZ33" s="557"/>
      <c r="GA33" s="557"/>
      <c r="GB33" s="557"/>
      <c r="GC33" s="557"/>
      <c r="GD33" s="557"/>
      <c r="GE33" s="557"/>
      <c r="GF33" s="557"/>
      <c r="GG33" s="557"/>
      <c r="GH33" s="557"/>
      <c r="GI33" s="557"/>
      <c r="GJ33" s="557"/>
      <c r="GK33" s="557"/>
      <c r="GL33" s="557"/>
      <c r="GM33" s="557"/>
      <c r="GN33" s="557"/>
      <c r="GO33" s="557"/>
      <c r="GP33" s="557"/>
      <c r="GQ33" s="557"/>
      <c r="GR33" s="557"/>
      <c r="GS33" s="557"/>
      <c r="GT33" s="557"/>
      <c r="GU33" s="557"/>
      <c r="GV33" s="557"/>
      <c r="GW33" s="557"/>
      <c r="GX33" s="557"/>
      <c r="GY33" s="557"/>
      <c r="GZ33" s="557"/>
      <c r="HA33" s="557"/>
      <c r="HB33" s="557"/>
      <c r="HC33" s="557"/>
      <c r="HD33" s="557"/>
      <c r="HE33" s="557"/>
      <c r="HF33" s="557"/>
      <c r="HG33" s="557"/>
      <c r="HH33" s="557"/>
      <c r="HI33" s="557"/>
      <c r="HJ33" s="557"/>
      <c r="HK33" s="557"/>
      <c r="HL33" s="557"/>
      <c r="HM33" s="557"/>
      <c r="HN33" s="557"/>
      <c r="HO33" s="557"/>
      <c r="HP33" s="557"/>
      <c r="HQ33" s="557"/>
      <c r="HR33" s="557"/>
      <c r="HS33" s="557"/>
      <c r="HT33" s="557"/>
      <c r="HU33" s="557"/>
      <c r="HV33" s="557"/>
      <c r="HW33" s="557"/>
      <c r="HX33" s="557"/>
      <c r="HY33" s="557"/>
      <c r="HZ33" s="557"/>
      <c r="IA33" s="557"/>
      <c r="IB33" s="557"/>
      <c r="IC33" s="557"/>
      <c r="ID33" s="557"/>
      <c r="IE33" s="557"/>
      <c r="IF33" s="557"/>
      <c r="IG33" s="557"/>
      <c r="IH33" s="557"/>
      <c r="II33" s="557"/>
      <c r="IJ33" s="557"/>
      <c r="IK33" s="557"/>
      <c r="IL33" s="557"/>
      <c r="IM33" s="557"/>
      <c r="IN33" s="557"/>
      <c r="IO33" s="557"/>
      <c r="IP33" s="557"/>
      <c r="IQ33" s="557"/>
      <c r="IR33" s="557"/>
      <c r="IS33" s="557"/>
      <c r="IT33" s="557"/>
      <c r="IU33" s="557"/>
      <c r="IV33" s="557"/>
    </row>
    <row r="34" spans="1:256" s="588" customFormat="1">
      <c r="A34" s="604" t="s">
        <v>26911</v>
      </c>
      <c r="B34" s="605">
        <v>949.00599999999997</v>
      </c>
      <c r="C34" s="606">
        <v>613.86300000000006</v>
      </c>
      <c r="D34" s="607">
        <f t="shared" si="3"/>
        <v>1.0244589933028154</v>
      </c>
      <c r="E34" s="607">
        <f t="shared" si="4"/>
        <v>1.024639970669269</v>
      </c>
      <c r="F34" s="606">
        <v>760.16399999999999</v>
      </c>
      <c r="G34" s="607">
        <f t="shared" si="2"/>
        <v>1.0172787317064789</v>
      </c>
      <c r="H34" s="606">
        <v>828.77800000000002</v>
      </c>
      <c r="I34" s="557"/>
      <c r="J34" s="557"/>
      <c r="K34" s="557"/>
      <c r="L34" s="557"/>
      <c r="M34" s="557"/>
      <c r="N34" s="557"/>
      <c r="O34" s="557"/>
      <c r="P34" s="557"/>
      <c r="Q34" s="557"/>
      <c r="R34" s="557"/>
      <c r="S34" s="557"/>
      <c r="T34" s="557"/>
      <c r="U34" s="557"/>
      <c r="V34" s="557"/>
      <c r="W34" s="557"/>
      <c r="X34" s="557"/>
      <c r="Y34" s="557"/>
      <c r="Z34" s="557"/>
      <c r="AA34" s="557"/>
      <c r="AB34" s="557"/>
      <c r="AC34" s="557"/>
      <c r="AD34" s="557"/>
      <c r="AE34" s="557"/>
      <c r="AF34" s="557"/>
      <c r="AG34" s="557"/>
      <c r="AH34" s="557"/>
      <c r="AI34" s="557"/>
      <c r="AJ34" s="557"/>
      <c r="AK34" s="557"/>
      <c r="AL34" s="557"/>
      <c r="AM34" s="557"/>
      <c r="AN34" s="557"/>
      <c r="AO34" s="557"/>
      <c r="AP34" s="557"/>
      <c r="AQ34" s="557"/>
      <c r="AR34" s="557"/>
      <c r="AS34" s="557"/>
      <c r="AT34" s="557"/>
      <c r="AU34" s="557"/>
      <c r="AV34" s="557"/>
      <c r="AW34" s="557"/>
      <c r="AX34" s="557"/>
      <c r="AY34" s="557"/>
      <c r="AZ34" s="557"/>
      <c r="BA34" s="557"/>
      <c r="BB34" s="557"/>
      <c r="BC34" s="557"/>
      <c r="BD34" s="557"/>
      <c r="BE34" s="557"/>
      <c r="BF34" s="557"/>
      <c r="BG34" s="557"/>
      <c r="BH34" s="557"/>
      <c r="BI34" s="557"/>
      <c r="BJ34" s="557"/>
      <c r="BK34" s="557"/>
      <c r="BL34" s="557"/>
      <c r="BM34" s="557"/>
      <c r="BN34" s="557"/>
      <c r="BO34" s="557"/>
      <c r="BP34" s="557"/>
      <c r="BQ34" s="557"/>
      <c r="BR34" s="557"/>
      <c r="BS34" s="557"/>
      <c r="BT34" s="557"/>
      <c r="BU34" s="557"/>
      <c r="BV34" s="557"/>
      <c r="BW34" s="557"/>
      <c r="BX34" s="557"/>
      <c r="BY34" s="557"/>
      <c r="BZ34" s="557"/>
      <c r="CA34" s="557"/>
      <c r="CB34" s="557"/>
      <c r="CC34" s="557"/>
      <c r="CD34" s="557"/>
      <c r="CE34" s="557"/>
      <c r="CF34" s="557"/>
      <c r="CG34" s="557"/>
      <c r="CH34" s="557"/>
      <c r="CI34" s="557"/>
      <c r="CJ34" s="557"/>
      <c r="CK34" s="557"/>
      <c r="CL34" s="557"/>
      <c r="CM34" s="557"/>
      <c r="CN34" s="557"/>
      <c r="CO34" s="557"/>
      <c r="CP34" s="557"/>
      <c r="CQ34" s="557"/>
      <c r="CR34" s="557"/>
      <c r="CS34" s="557"/>
      <c r="CT34" s="557"/>
      <c r="CU34" s="557"/>
      <c r="CV34" s="557"/>
      <c r="CW34" s="557"/>
      <c r="CX34" s="557"/>
      <c r="CY34" s="557"/>
      <c r="CZ34" s="557"/>
      <c r="DA34" s="557"/>
      <c r="DB34" s="557"/>
      <c r="DC34" s="557"/>
      <c r="DD34" s="557"/>
      <c r="DE34" s="557"/>
      <c r="DF34" s="557"/>
      <c r="DG34" s="557"/>
      <c r="DH34" s="557"/>
      <c r="DI34" s="557"/>
      <c r="DJ34" s="557"/>
      <c r="DK34" s="557"/>
      <c r="DL34" s="557"/>
      <c r="DM34" s="557"/>
      <c r="DN34" s="557"/>
      <c r="DO34" s="557"/>
      <c r="DP34" s="557"/>
      <c r="DQ34" s="557"/>
      <c r="DR34" s="557"/>
      <c r="DS34" s="557"/>
      <c r="DT34" s="557"/>
      <c r="DU34" s="557"/>
      <c r="DV34" s="557"/>
      <c r="DW34" s="557"/>
      <c r="DX34" s="557"/>
      <c r="DY34" s="557"/>
      <c r="DZ34" s="557"/>
      <c r="EA34" s="557"/>
      <c r="EB34" s="557"/>
      <c r="EC34" s="557"/>
      <c r="ED34" s="557"/>
      <c r="EE34" s="557"/>
      <c r="EF34" s="557"/>
      <c r="EG34" s="557"/>
      <c r="EH34" s="557"/>
      <c r="EI34" s="557"/>
      <c r="EJ34" s="557"/>
      <c r="EK34" s="557"/>
      <c r="EL34" s="557"/>
      <c r="EM34" s="557"/>
      <c r="EN34" s="557"/>
      <c r="EO34" s="557"/>
      <c r="EP34" s="557"/>
      <c r="EQ34" s="557"/>
      <c r="ER34" s="557"/>
      <c r="ES34" s="557"/>
      <c r="ET34" s="557"/>
      <c r="EU34" s="557"/>
      <c r="EV34" s="557"/>
      <c r="EW34" s="557"/>
      <c r="EX34" s="557"/>
      <c r="EY34" s="557"/>
      <c r="EZ34" s="557"/>
      <c r="FA34" s="557"/>
      <c r="FB34" s="557"/>
      <c r="FC34" s="557"/>
      <c r="FD34" s="557"/>
      <c r="FE34" s="557"/>
      <c r="FF34" s="557"/>
      <c r="FG34" s="557"/>
      <c r="FH34" s="557"/>
      <c r="FI34" s="557"/>
      <c r="FJ34" s="557"/>
      <c r="FK34" s="557"/>
      <c r="FL34" s="557"/>
      <c r="FM34" s="557"/>
      <c r="FN34" s="557"/>
      <c r="FO34" s="557"/>
      <c r="FP34" s="557"/>
      <c r="FQ34" s="557"/>
      <c r="FR34" s="557"/>
      <c r="FS34" s="557"/>
      <c r="FT34" s="557"/>
      <c r="FU34" s="557"/>
      <c r="FV34" s="557"/>
      <c r="FW34" s="557"/>
      <c r="FX34" s="557"/>
      <c r="FY34" s="557"/>
      <c r="FZ34" s="557"/>
      <c r="GA34" s="557"/>
      <c r="GB34" s="557"/>
      <c r="GC34" s="557"/>
      <c r="GD34" s="557"/>
      <c r="GE34" s="557"/>
      <c r="GF34" s="557"/>
      <c r="GG34" s="557"/>
      <c r="GH34" s="557"/>
      <c r="GI34" s="557"/>
      <c r="GJ34" s="557"/>
      <c r="GK34" s="557"/>
      <c r="GL34" s="557"/>
      <c r="GM34" s="557"/>
      <c r="GN34" s="557"/>
      <c r="GO34" s="557"/>
      <c r="GP34" s="557"/>
      <c r="GQ34" s="557"/>
      <c r="GR34" s="557"/>
      <c r="GS34" s="557"/>
      <c r="GT34" s="557"/>
      <c r="GU34" s="557"/>
      <c r="GV34" s="557"/>
      <c r="GW34" s="557"/>
      <c r="GX34" s="557"/>
      <c r="GY34" s="557"/>
      <c r="GZ34" s="557"/>
      <c r="HA34" s="557"/>
      <c r="HB34" s="557"/>
      <c r="HC34" s="557"/>
      <c r="HD34" s="557"/>
      <c r="HE34" s="557"/>
      <c r="HF34" s="557"/>
      <c r="HG34" s="557"/>
      <c r="HH34" s="557"/>
      <c r="HI34" s="557"/>
      <c r="HJ34" s="557"/>
      <c r="HK34" s="557"/>
      <c r="HL34" s="557"/>
      <c r="HM34" s="557"/>
      <c r="HN34" s="557"/>
      <c r="HO34" s="557"/>
      <c r="HP34" s="557"/>
      <c r="HQ34" s="557"/>
      <c r="HR34" s="557"/>
      <c r="HS34" s="557"/>
      <c r="HT34" s="557"/>
      <c r="HU34" s="557"/>
      <c r="HV34" s="557"/>
      <c r="HW34" s="557"/>
      <c r="HX34" s="557"/>
      <c r="HY34" s="557"/>
      <c r="HZ34" s="557"/>
      <c r="IA34" s="557"/>
      <c r="IB34" s="557"/>
      <c r="IC34" s="557"/>
      <c r="ID34" s="557"/>
      <c r="IE34" s="557"/>
      <c r="IF34" s="557"/>
      <c r="IG34" s="557"/>
      <c r="IH34" s="557"/>
      <c r="II34" s="557"/>
      <c r="IJ34" s="557"/>
      <c r="IK34" s="557"/>
      <c r="IL34" s="557"/>
      <c r="IM34" s="557"/>
      <c r="IN34" s="557"/>
      <c r="IO34" s="557"/>
      <c r="IP34" s="557"/>
      <c r="IQ34" s="557"/>
      <c r="IR34" s="557"/>
      <c r="IS34" s="557"/>
      <c r="IT34" s="557"/>
      <c r="IU34" s="557"/>
      <c r="IV34" s="557"/>
    </row>
    <row r="35" spans="1:256" s="588" customFormat="1">
      <c r="A35" s="583" t="s">
        <v>26912</v>
      </c>
      <c r="B35" s="602">
        <v>949.00599999999997</v>
      </c>
      <c r="C35" s="603">
        <v>624.59100000000001</v>
      </c>
      <c r="D35" s="585">
        <f t="shared" si="3"/>
        <v>1.0174762121189906</v>
      </c>
      <c r="E35" s="585">
        <f t="shared" si="4"/>
        <v>1.0082455891097184</v>
      </c>
      <c r="F35" s="603">
        <v>766.43200000000002</v>
      </c>
      <c r="G35" s="585">
        <f t="shared" si="2"/>
        <v>1.0127947411731488</v>
      </c>
      <c r="H35" s="603">
        <v>839.38199999999995</v>
      </c>
      <c r="I35" s="557"/>
      <c r="J35" s="557"/>
      <c r="K35" s="557"/>
      <c r="L35" s="557"/>
      <c r="M35" s="557"/>
      <c r="N35" s="557"/>
      <c r="O35" s="557"/>
      <c r="P35" s="557"/>
      <c r="Q35" s="557"/>
      <c r="R35" s="557"/>
      <c r="S35" s="557"/>
      <c r="T35" s="557"/>
      <c r="U35" s="557"/>
      <c r="V35" s="557"/>
      <c r="W35" s="557"/>
      <c r="X35" s="557"/>
      <c r="Y35" s="557"/>
      <c r="Z35" s="557"/>
      <c r="AA35" s="557"/>
      <c r="AB35" s="557"/>
      <c r="AC35" s="557"/>
      <c r="AD35" s="557"/>
      <c r="AE35" s="557"/>
      <c r="AF35" s="557"/>
      <c r="AG35" s="557"/>
      <c r="AH35" s="557"/>
      <c r="AI35" s="557"/>
      <c r="AJ35" s="557"/>
      <c r="AK35" s="557"/>
      <c r="AL35" s="557"/>
      <c r="AM35" s="557"/>
      <c r="AN35" s="557"/>
      <c r="AO35" s="557"/>
      <c r="AP35" s="557"/>
      <c r="AQ35" s="557"/>
      <c r="AR35" s="557"/>
      <c r="AS35" s="557"/>
      <c r="AT35" s="557"/>
      <c r="AU35" s="557"/>
      <c r="AV35" s="557"/>
      <c r="AW35" s="557"/>
      <c r="AX35" s="557"/>
      <c r="AY35" s="557"/>
      <c r="AZ35" s="557"/>
      <c r="BA35" s="557"/>
      <c r="BB35" s="557"/>
      <c r="BC35" s="557"/>
      <c r="BD35" s="557"/>
      <c r="BE35" s="557"/>
      <c r="BF35" s="557"/>
      <c r="BG35" s="557"/>
      <c r="BH35" s="557"/>
      <c r="BI35" s="557"/>
      <c r="BJ35" s="557"/>
      <c r="BK35" s="557"/>
      <c r="BL35" s="557"/>
      <c r="BM35" s="557"/>
      <c r="BN35" s="557"/>
      <c r="BO35" s="557"/>
      <c r="BP35" s="557"/>
      <c r="BQ35" s="557"/>
      <c r="BR35" s="557"/>
      <c r="BS35" s="557"/>
      <c r="BT35" s="557"/>
      <c r="BU35" s="557"/>
      <c r="BV35" s="557"/>
      <c r="BW35" s="557"/>
      <c r="BX35" s="557"/>
      <c r="BY35" s="557"/>
      <c r="BZ35" s="557"/>
      <c r="CA35" s="557"/>
      <c r="CB35" s="557"/>
      <c r="CC35" s="557"/>
      <c r="CD35" s="557"/>
      <c r="CE35" s="557"/>
      <c r="CF35" s="557"/>
      <c r="CG35" s="557"/>
      <c r="CH35" s="557"/>
      <c r="CI35" s="557"/>
      <c r="CJ35" s="557"/>
      <c r="CK35" s="557"/>
      <c r="CL35" s="557"/>
      <c r="CM35" s="557"/>
      <c r="CN35" s="557"/>
      <c r="CO35" s="557"/>
      <c r="CP35" s="557"/>
      <c r="CQ35" s="557"/>
      <c r="CR35" s="557"/>
      <c r="CS35" s="557"/>
      <c r="CT35" s="557"/>
      <c r="CU35" s="557"/>
      <c r="CV35" s="557"/>
      <c r="CW35" s="557"/>
      <c r="CX35" s="557"/>
      <c r="CY35" s="557"/>
      <c r="CZ35" s="557"/>
      <c r="DA35" s="557"/>
      <c r="DB35" s="557"/>
      <c r="DC35" s="557"/>
      <c r="DD35" s="557"/>
      <c r="DE35" s="557"/>
      <c r="DF35" s="557"/>
      <c r="DG35" s="557"/>
      <c r="DH35" s="557"/>
      <c r="DI35" s="557"/>
      <c r="DJ35" s="557"/>
      <c r="DK35" s="557"/>
      <c r="DL35" s="557"/>
      <c r="DM35" s="557"/>
      <c r="DN35" s="557"/>
      <c r="DO35" s="557"/>
      <c r="DP35" s="557"/>
      <c r="DQ35" s="557"/>
      <c r="DR35" s="557"/>
      <c r="DS35" s="557"/>
      <c r="DT35" s="557"/>
      <c r="DU35" s="557"/>
      <c r="DV35" s="557"/>
      <c r="DW35" s="557"/>
      <c r="DX35" s="557"/>
      <c r="DY35" s="557"/>
      <c r="DZ35" s="557"/>
      <c r="EA35" s="557"/>
      <c r="EB35" s="557"/>
      <c r="EC35" s="557"/>
      <c r="ED35" s="557"/>
      <c r="EE35" s="557"/>
      <c r="EF35" s="557"/>
      <c r="EG35" s="557"/>
      <c r="EH35" s="557"/>
      <c r="EI35" s="557"/>
      <c r="EJ35" s="557"/>
      <c r="EK35" s="557"/>
      <c r="EL35" s="557"/>
      <c r="EM35" s="557"/>
      <c r="EN35" s="557"/>
      <c r="EO35" s="557"/>
      <c r="EP35" s="557"/>
      <c r="EQ35" s="557"/>
      <c r="ER35" s="557"/>
      <c r="ES35" s="557"/>
      <c r="ET35" s="557"/>
      <c r="EU35" s="557"/>
      <c r="EV35" s="557"/>
      <c r="EW35" s="557"/>
      <c r="EX35" s="557"/>
      <c r="EY35" s="557"/>
      <c r="EZ35" s="557"/>
      <c r="FA35" s="557"/>
      <c r="FB35" s="557"/>
      <c r="FC35" s="557"/>
      <c r="FD35" s="557"/>
      <c r="FE35" s="557"/>
      <c r="FF35" s="557"/>
      <c r="FG35" s="557"/>
      <c r="FH35" s="557"/>
      <c r="FI35" s="557"/>
      <c r="FJ35" s="557"/>
      <c r="FK35" s="557"/>
      <c r="FL35" s="557"/>
      <c r="FM35" s="557"/>
      <c r="FN35" s="557"/>
      <c r="FO35" s="557"/>
      <c r="FP35" s="557"/>
      <c r="FQ35" s="557"/>
      <c r="FR35" s="557"/>
      <c r="FS35" s="557"/>
      <c r="FT35" s="557"/>
      <c r="FU35" s="557"/>
      <c r="FV35" s="557"/>
      <c r="FW35" s="557"/>
      <c r="FX35" s="557"/>
      <c r="FY35" s="557"/>
      <c r="FZ35" s="557"/>
      <c r="GA35" s="557"/>
      <c r="GB35" s="557"/>
      <c r="GC35" s="557"/>
      <c r="GD35" s="557"/>
      <c r="GE35" s="557"/>
      <c r="GF35" s="557"/>
      <c r="GG35" s="557"/>
      <c r="GH35" s="557"/>
      <c r="GI35" s="557"/>
      <c r="GJ35" s="557"/>
      <c r="GK35" s="557"/>
      <c r="GL35" s="557"/>
      <c r="GM35" s="557"/>
      <c r="GN35" s="557"/>
      <c r="GO35" s="557"/>
      <c r="GP35" s="557"/>
      <c r="GQ35" s="557"/>
      <c r="GR35" s="557"/>
      <c r="GS35" s="557"/>
      <c r="GT35" s="557"/>
      <c r="GU35" s="557"/>
      <c r="GV35" s="557"/>
      <c r="GW35" s="557"/>
      <c r="GX35" s="557"/>
      <c r="GY35" s="557"/>
      <c r="GZ35" s="557"/>
      <c r="HA35" s="557"/>
      <c r="HB35" s="557"/>
      <c r="HC35" s="557"/>
      <c r="HD35" s="557"/>
      <c r="HE35" s="557"/>
      <c r="HF35" s="557"/>
      <c r="HG35" s="557"/>
      <c r="HH35" s="557"/>
      <c r="HI35" s="557"/>
      <c r="HJ35" s="557"/>
      <c r="HK35" s="557"/>
      <c r="HL35" s="557"/>
      <c r="HM35" s="557"/>
      <c r="HN35" s="557"/>
      <c r="HO35" s="557"/>
      <c r="HP35" s="557"/>
      <c r="HQ35" s="557"/>
      <c r="HR35" s="557"/>
      <c r="HS35" s="557"/>
      <c r="HT35" s="557"/>
      <c r="HU35" s="557"/>
      <c r="HV35" s="557"/>
      <c r="HW35" s="557"/>
      <c r="HX35" s="557"/>
      <c r="HY35" s="557"/>
      <c r="HZ35" s="557"/>
      <c r="IA35" s="557"/>
      <c r="IB35" s="557"/>
      <c r="IC35" s="557"/>
      <c r="ID35" s="557"/>
      <c r="IE35" s="557"/>
      <c r="IF35" s="557"/>
      <c r="IG35" s="557"/>
      <c r="IH35" s="557"/>
      <c r="II35" s="557"/>
      <c r="IJ35" s="557"/>
      <c r="IK35" s="557"/>
      <c r="IL35" s="557"/>
      <c r="IM35" s="557"/>
      <c r="IN35" s="557"/>
      <c r="IO35" s="557"/>
      <c r="IP35" s="557"/>
      <c r="IQ35" s="557"/>
      <c r="IR35" s="557"/>
      <c r="IS35" s="557"/>
      <c r="IT35" s="557"/>
      <c r="IU35" s="557"/>
      <c r="IV35" s="557"/>
    </row>
    <row r="36" spans="1:256" s="588" customFormat="1">
      <c r="A36" s="583" t="s">
        <v>26913</v>
      </c>
      <c r="B36" s="602">
        <v>949.00599999999997</v>
      </c>
      <c r="C36" s="603">
        <v>631.75099999999998</v>
      </c>
      <c r="D36" s="585">
        <f t="shared" si="3"/>
        <v>1.0114635017155227</v>
      </c>
      <c r="E36" s="585">
        <f t="shared" si="4"/>
        <v>1.0054577575049057</v>
      </c>
      <c r="F36" s="603">
        <v>770.61500000000001</v>
      </c>
      <c r="G36" s="585">
        <f t="shared" si="2"/>
        <v>1.0070123019078323</v>
      </c>
      <c r="H36" s="603">
        <v>845.26800000000003</v>
      </c>
      <c r="I36" s="557"/>
      <c r="J36" s="557"/>
      <c r="K36" s="557"/>
      <c r="L36" s="557"/>
      <c r="M36" s="557"/>
      <c r="N36" s="557"/>
      <c r="O36" s="557"/>
      <c r="P36" s="557"/>
      <c r="Q36" s="557"/>
      <c r="R36" s="557"/>
      <c r="S36" s="557"/>
      <c r="T36" s="557"/>
      <c r="U36" s="557"/>
      <c r="V36" s="557"/>
      <c r="W36" s="557"/>
      <c r="X36" s="557"/>
      <c r="Y36" s="557"/>
      <c r="Z36" s="557"/>
      <c r="AA36" s="557"/>
      <c r="AB36" s="557"/>
      <c r="AC36" s="557"/>
      <c r="AD36" s="557"/>
      <c r="AE36" s="557"/>
      <c r="AF36" s="557"/>
      <c r="AG36" s="557"/>
      <c r="AH36" s="557"/>
      <c r="AI36" s="557"/>
      <c r="AJ36" s="557"/>
      <c r="AK36" s="557"/>
      <c r="AL36" s="557"/>
      <c r="AM36" s="557"/>
      <c r="AN36" s="557"/>
      <c r="AO36" s="557"/>
      <c r="AP36" s="557"/>
      <c r="AQ36" s="557"/>
      <c r="AR36" s="557"/>
      <c r="AS36" s="557"/>
      <c r="AT36" s="557"/>
      <c r="AU36" s="557"/>
      <c r="AV36" s="557"/>
      <c r="AW36" s="557"/>
      <c r="AX36" s="557"/>
      <c r="AY36" s="557"/>
      <c r="AZ36" s="557"/>
      <c r="BA36" s="557"/>
      <c r="BB36" s="557"/>
      <c r="BC36" s="557"/>
      <c r="BD36" s="557"/>
      <c r="BE36" s="557"/>
      <c r="BF36" s="557"/>
      <c r="BG36" s="557"/>
      <c r="BH36" s="557"/>
      <c r="BI36" s="557"/>
      <c r="BJ36" s="557"/>
      <c r="BK36" s="557"/>
      <c r="BL36" s="557"/>
      <c r="BM36" s="557"/>
      <c r="BN36" s="557"/>
      <c r="BO36" s="557"/>
      <c r="BP36" s="557"/>
      <c r="BQ36" s="557"/>
      <c r="BR36" s="557"/>
      <c r="BS36" s="557"/>
      <c r="BT36" s="557"/>
      <c r="BU36" s="557"/>
      <c r="BV36" s="557"/>
      <c r="BW36" s="557"/>
      <c r="BX36" s="557"/>
      <c r="BY36" s="557"/>
      <c r="BZ36" s="557"/>
      <c r="CA36" s="557"/>
      <c r="CB36" s="557"/>
      <c r="CC36" s="557"/>
      <c r="CD36" s="557"/>
      <c r="CE36" s="557"/>
      <c r="CF36" s="557"/>
      <c r="CG36" s="557"/>
      <c r="CH36" s="557"/>
      <c r="CI36" s="557"/>
      <c r="CJ36" s="557"/>
      <c r="CK36" s="557"/>
      <c r="CL36" s="557"/>
      <c r="CM36" s="557"/>
      <c r="CN36" s="557"/>
      <c r="CO36" s="557"/>
      <c r="CP36" s="557"/>
      <c r="CQ36" s="557"/>
      <c r="CR36" s="557"/>
      <c r="CS36" s="557"/>
      <c r="CT36" s="557"/>
      <c r="CU36" s="557"/>
      <c r="CV36" s="557"/>
      <c r="CW36" s="557"/>
      <c r="CX36" s="557"/>
      <c r="CY36" s="557"/>
      <c r="CZ36" s="557"/>
      <c r="DA36" s="557"/>
      <c r="DB36" s="557"/>
      <c r="DC36" s="557"/>
      <c r="DD36" s="557"/>
      <c r="DE36" s="557"/>
      <c r="DF36" s="557"/>
      <c r="DG36" s="557"/>
      <c r="DH36" s="557"/>
      <c r="DI36" s="557"/>
      <c r="DJ36" s="557"/>
      <c r="DK36" s="557"/>
      <c r="DL36" s="557"/>
      <c r="DM36" s="557"/>
      <c r="DN36" s="557"/>
      <c r="DO36" s="557"/>
      <c r="DP36" s="557"/>
      <c r="DQ36" s="557"/>
      <c r="DR36" s="557"/>
      <c r="DS36" s="557"/>
      <c r="DT36" s="557"/>
      <c r="DU36" s="557"/>
      <c r="DV36" s="557"/>
      <c r="DW36" s="557"/>
      <c r="DX36" s="557"/>
      <c r="DY36" s="557"/>
      <c r="DZ36" s="557"/>
      <c r="EA36" s="557"/>
      <c r="EB36" s="557"/>
      <c r="EC36" s="557"/>
      <c r="ED36" s="557"/>
      <c r="EE36" s="557"/>
      <c r="EF36" s="557"/>
      <c r="EG36" s="557"/>
      <c r="EH36" s="557"/>
      <c r="EI36" s="557"/>
      <c r="EJ36" s="557"/>
      <c r="EK36" s="557"/>
      <c r="EL36" s="557"/>
      <c r="EM36" s="557"/>
      <c r="EN36" s="557"/>
      <c r="EO36" s="557"/>
      <c r="EP36" s="557"/>
      <c r="EQ36" s="557"/>
      <c r="ER36" s="557"/>
      <c r="ES36" s="557"/>
      <c r="ET36" s="557"/>
      <c r="EU36" s="557"/>
      <c r="EV36" s="557"/>
      <c r="EW36" s="557"/>
      <c r="EX36" s="557"/>
      <c r="EY36" s="557"/>
      <c r="EZ36" s="557"/>
      <c r="FA36" s="557"/>
      <c r="FB36" s="557"/>
      <c r="FC36" s="557"/>
      <c r="FD36" s="557"/>
      <c r="FE36" s="557"/>
      <c r="FF36" s="557"/>
      <c r="FG36" s="557"/>
      <c r="FH36" s="557"/>
      <c r="FI36" s="557"/>
      <c r="FJ36" s="557"/>
      <c r="FK36" s="557"/>
      <c r="FL36" s="557"/>
      <c r="FM36" s="557"/>
      <c r="FN36" s="557"/>
      <c r="FO36" s="557"/>
      <c r="FP36" s="557"/>
      <c r="FQ36" s="557"/>
      <c r="FR36" s="557"/>
      <c r="FS36" s="557"/>
      <c r="FT36" s="557"/>
      <c r="FU36" s="557"/>
      <c r="FV36" s="557"/>
      <c r="FW36" s="557"/>
      <c r="FX36" s="557"/>
      <c r="FY36" s="557"/>
      <c r="FZ36" s="557"/>
      <c r="GA36" s="557"/>
      <c r="GB36" s="557"/>
      <c r="GC36" s="557"/>
      <c r="GD36" s="557"/>
      <c r="GE36" s="557"/>
      <c r="GF36" s="557"/>
      <c r="GG36" s="557"/>
      <c r="GH36" s="557"/>
      <c r="GI36" s="557"/>
      <c r="GJ36" s="557"/>
      <c r="GK36" s="557"/>
      <c r="GL36" s="557"/>
      <c r="GM36" s="557"/>
      <c r="GN36" s="557"/>
      <c r="GO36" s="557"/>
      <c r="GP36" s="557"/>
      <c r="GQ36" s="557"/>
      <c r="GR36" s="557"/>
      <c r="GS36" s="557"/>
      <c r="GT36" s="557"/>
      <c r="GU36" s="557"/>
      <c r="GV36" s="557"/>
      <c r="GW36" s="557"/>
      <c r="GX36" s="557"/>
      <c r="GY36" s="557"/>
      <c r="GZ36" s="557"/>
      <c r="HA36" s="557"/>
      <c r="HB36" s="557"/>
      <c r="HC36" s="557"/>
      <c r="HD36" s="557"/>
      <c r="HE36" s="557"/>
      <c r="HF36" s="557"/>
      <c r="HG36" s="557"/>
      <c r="HH36" s="557"/>
      <c r="HI36" s="557"/>
      <c r="HJ36" s="557"/>
      <c r="HK36" s="557"/>
      <c r="HL36" s="557"/>
      <c r="HM36" s="557"/>
      <c r="HN36" s="557"/>
      <c r="HO36" s="557"/>
      <c r="HP36" s="557"/>
      <c r="HQ36" s="557"/>
      <c r="HR36" s="557"/>
      <c r="HS36" s="557"/>
      <c r="HT36" s="557"/>
      <c r="HU36" s="557"/>
      <c r="HV36" s="557"/>
      <c r="HW36" s="557"/>
      <c r="HX36" s="557"/>
      <c r="HY36" s="557"/>
      <c r="HZ36" s="557"/>
      <c r="IA36" s="557"/>
      <c r="IB36" s="557"/>
      <c r="IC36" s="557"/>
      <c r="ID36" s="557"/>
      <c r="IE36" s="557"/>
      <c r="IF36" s="557"/>
      <c r="IG36" s="557"/>
      <c r="IH36" s="557"/>
      <c r="II36" s="557"/>
      <c r="IJ36" s="557"/>
      <c r="IK36" s="557"/>
      <c r="IL36" s="557"/>
      <c r="IM36" s="557"/>
      <c r="IN36" s="557"/>
      <c r="IO36" s="557"/>
      <c r="IP36" s="557"/>
      <c r="IQ36" s="557"/>
      <c r="IR36" s="557"/>
      <c r="IS36" s="557"/>
      <c r="IT36" s="557"/>
      <c r="IU36" s="557"/>
      <c r="IV36" s="557"/>
    </row>
    <row r="37" spans="1:256" s="588" customFormat="1">
      <c r="A37" s="583" t="s">
        <v>26914</v>
      </c>
      <c r="B37" s="602">
        <v>949.49</v>
      </c>
      <c r="C37" s="603">
        <v>636.76499999999999</v>
      </c>
      <c r="D37" s="585">
        <f t="shared" si="3"/>
        <v>1.0079366712518065</v>
      </c>
      <c r="E37" s="585">
        <f t="shared" si="4"/>
        <v>1.0040681793113293</v>
      </c>
      <c r="F37" s="603">
        <v>773.75</v>
      </c>
      <c r="G37" s="585">
        <f t="shared" si="2"/>
        <v>1.0089214308361372</v>
      </c>
      <c r="H37" s="603">
        <v>852.80899999999997</v>
      </c>
      <c r="I37" s="557"/>
      <c r="J37" s="557"/>
      <c r="K37" s="557"/>
      <c r="L37" s="557"/>
      <c r="M37" s="557"/>
      <c r="N37" s="557"/>
      <c r="O37" s="557"/>
      <c r="P37" s="557"/>
      <c r="Q37" s="557"/>
      <c r="R37" s="557"/>
      <c r="S37" s="557"/>
      <c r="T37" s="557"/>
      <c r="U37" s="557"/>
      <c r="V37" s="557"/>
      <c r="W37" s="557"/>
      <c r="X37" s="557"/>
      <c r="Y37" s="557"/>
      <c r="Z37" s="557"/>
      <c r="AA37" s="557"/>
      <c r="AB37" s="557"/>
      <c r="AC37" s="557"/>
      <c r="AD37" s="557"/>
      <c r="AE37" s="557"/>
      <c r="AF37" s="557"/>
      <c r="AG37" s="557"/>
      <c r="AH37" s="557"/>
      <c r="AI37" s="557"/>
      <c r="AJ37" s="557"/>
      <c r="AK37" s="557"/>
      <c r="AL37" s="557"/>
      <c r="AM37" s="557"/>
      <c r="AN37" s="557"/>
      <c r="AO37" s="557"/>
      <c r="AP37" s="557"/>
      <c r="AQ37" s="557"/>
      <c r="AR37" s="557"/>
      <c r="AS37" s="557"/>
      <c r="AT37" s="557"/>
      <c r="AU37" s="557"/>
      <c r="AV37" s="557"/>
      <c r="AW37" s="557"/>
      <c r="AX37" s="557"/>
      <c r="AY37" s="557"/>
      <c r="AZ37" s="557"/>
      <c r="BA37" s="557"/>
      <c r="BB37" s="557"/>
      <c r="BC37" s="557"/>
      <c r="BD37" s="557"/>
      <c r="BE37" s="557"/>
      <c r="BF37" s="557"/>
      <c r="BG37" s="557"/>
      <c r="BH37" s="557"/>
      <c r="BI37" s="557"/>
      <c r="BJ37" s="557"/>
      <c r="BK37" s="557"/>
      <c r="BL37" s="557"/>
      <c r="BM37" s="557"/>
      <c r="BN37" s="557"/>
      <c r="BO37" s="557"/>
      <c r="BP37" s="557"/>
      <c r="BQ37" s="557"/>
      <c r="BR37" s="557"/>
      <c r="BS37" s="557"/>
      <c r="BT37" s="557"/>
      <c r="BU37" s="557"/>
      <c r="BV37" s="557"/>
      <c r="BW37" s="557"/>
      <c r="BX37" s="557"/>
      <c r="BY37" s="557"/>
      <c r="BZ37" s="557"/>
      <c r="CA37" s="557"/>
      <c r="CB37" s="557"/>
      <c r="CC37" s="557"/>
      <c r="CD37" s="557"/>
      <c r="CE37" s="557"/>
      <c r="CF37" s="557"/>
      <c r="CG37" s="557"/>
      <c r="CH37" s="557"/>
      <c r="CI37" s="557"/>
      <c r="CJ37" s="557"/>
      <c r="CK37" s="557"/>
      <c r="CL37" s="557"/>
      <c r="CM37" s="557"/>
      <c r="CN37" s="557"/>
      <c r="CO37" s="557"/>
      <c r="CP37" s="557"/>
      <c r="CQ37" s="557"/>
      <c r="CR37" s="557"/>
      <c r="CS37" s="557"/>
      <c r="CT37" s="557"/>
      <c r="CU37" s="557"/>
      <c r="CV37" s="557"/>
      <c r="CW37" s="557"/>
      <c r="CX37" s="557"/>
      <c r="CY37" s="557"/>
      <c r="CZ37" s="557"/>
      <c r="DA37" s="557"/>
      <c r="DB37" s="557"/>
      <c r="DC37" s="557"/>
      <c r="DD37" s="557"/>
      <c r="DE37" s="557"/>
      <c r="DF37" s="557"/>
      <c r="DG37" s="557"/>
      <c r="DH37" s="557"/>
      <c r="DI37" s="557"/>
      <c r="DJ37" s="557"/>
      <c r="DK37" s="557"/>
      <c r="DL37" s="557"/>
      <c r="DM37" s="557"/>
      <c r="DN37" s="557"/>
      <c r="DO37" s="557"/>
      <c r="DP37" s="557"/>
      <c r="DQ37" s="557"/>
      <c r="DR37" s="557"/>
      <c r="DS37" s="557"/>
      <c r="DT37" s="557"/>
      <c r="DU37" s="557"/>
      <c r="DV37" s="557"/>
      <c r="DW37" s="557"/>
      <c r="DX37" s="557"/>
      <c r="DY37" s="557"/>
      <c r="DZ37" s="557"/>
      <c r="EA37" s="557"/>
      <c r="EB37" s="557"/>
      <c r="EC37" s="557"/>
      <c r="ED37" s="557"/>
      <c r="EE37" s="557"/>
      <c r="EF37" s="557"/>
      <c r="EG37" s="557"/>
      <c r="EH37" s="557"/>
      <c r="EI37" s="557"/>
      <c r="EJ37" s="557"/>
      <c r="EK37" s="557"/>
      <c r="EL37" s="557"/>
      <c r="EM37" s="557"/>
      <c r="EN37" s="557"/>
      <c r="EO37" s="557"/>
      <c r="EP37" s="557"/>
      <c r="EQ37" s="557"/>
      <c r="ER37" s="557"/>
      <c r="ES37" s="557"/>
      <c r="ET37" s="557"/>
      <c r="EU37" s="557"/>
      <c r="EV37" s="557"/>
      <c r="EW37" s="557"/>
      <c r="EX37" s="557"/>
      <c r="EY37" s="557"/>
      <c r="EZ37" s="557"/>
      <c r="FA37" s="557"/>
      <c r="FB37" s="557"/>
      <c r="FC37" s="557"/>
      <c r="FD37" s="557"/>
      <c r="FE37" s="557"/>
      <c r="FF37" s="557"/>
      <c r="FG37" s="557"/>
      <c r="FH37" s="557"/>
      <c r="FI37" s="557"/>
      <c r="FJ37" s="557"/>
      <c r="FK37" s="557"/>
      <c r="FL37" s="557"/>
      <c r="FM37" s="557"/>
      <c r="FN37" s="557"/>
      <c r="FO37" s="557"/>
      <c r="FP37" s="557"/>
      <c r="FQ37" s="557"/>
      <c r="FR37" s="557"/>
      <c r="FS37" s="557"/>
      <c r="FT37" s="557"/>
      <c r="FU37" s="557"/>
      <c r="FV37" s="557"/>
      <c r="FW37" s="557"/>
      <c r="FX37" s="557"/>
      <c r="FY37" s="557"/>
      <c r="FZ37" s="557"/>
      <c r="GA37" s="557"/>
      <c r="GB37" s="557"/>
      <c r="GC37" s="557"/>
      <c r="GD37" s="557"/>
      <c r="GE37" s="557"/>
      <c r="GF37" s="557"/>
      <c r="GG37" s="557"/>
      <c r="GH37" s="557"/>
      <c r="GI37" s="557"/>
      <c r="GJ37" s="557"/>
      <c r="GK37" s="557"/>
      <c r="GL37" s="557"/>
      <c r="GM37" s="557"/>
      <c r="GN37" s="557"/>
      <c r="GO37" s="557"/>
      <c r="GP37" s="557"/>
      <c r="GQ37" s="557"/>
      <c r="GR37" s="557"/>
      <c r="GS37" s="557"/>
      <c r="GT37" s="557"/>
      <c r="GU37" s="557"/>
      <c r="GV37" s="557"/>
      <c r="GW37" s="557"/>
      <c r="GX37" s="557"/>
      <c r="GY37" s="557"/>
      <c r="GZ37" s="557"/>
      <c r="HA37" s="557"/>
      <c r="HB37" s="557"/>
      <c r="HC37" s="557"/>
      <c r="HD37" s="557"/>
      <c r="HE37" s="557"/>
      <c r="HF37" s="557"/>
      <c r="HG37" s="557"/>
      <c r="HH37" s="557"/>
      <c r="HI37" s="557"/>
      <c r="HJ37" s="557"/>
      <c r="HK37" s="557"/>
      <c r="HL37" s="557"/>
      <c r="HM37" s="557"/>
      <c r="HN37" s="557"/>
      <c r="HO37" s="557"/>
      <c r="HP37" s="557"/>
      <c r="HQ37" s="557"/>
      <c r="HR37" s="557"/>
      <c r="HS37" s="557"/>
      <c r="HT37" s="557"/>
      <c r="HU37" s="557"/>
      <c r="HV37" s="557"/>
      <c r="HW37" s="557"/>
      <c r="HX37" s="557"/>
      <c r="HY37" s="557"/>
      <c r="HZ37" s="557"/>
      <c r="IA37" s="557"/>
      <c r="IB37" s="557"/>
      <c r="IC37" s="557"/>
      <c r="ID37" s="557"/>
      <c r="IE37" s="557"/>
      <c r="IF37" s="557"/>
      <c r="IG37" s="557"/>
      <c r="IH37" s="557"/>
      <c r="II37" s="557"/>
      <c r="IJ37" s="557"/>
      <c r="IK37" s="557"/>
      <c r="IL37" s="557"/>
      <c r="IM37" s="557"/>
      <c r="IN37" s="557"/>
      <c r="IO37" s="557"/>
      <c r="IP37" s="557"/>
      <c r="IQ37" s="557"/>
      <c r="IR37" s="557"/>
      <c r="IS37" s="557"/>
      <c r="IT37" s="557"/>
      <c r="IU37" s="557"/>
      <c r="IV37" s="557"/>
    </row>
    <row r="38" spans="1:256" s="588" customFormat="1">
      <c r="A38" s="583" t="s">
        <v>26915</v>
      </c>
      <c r="B38" s="602">
        <v>949.49</v>
      </c>
      <c r="C38" s="603">
        <v>648.21400000000006</v>
      </c>
      <c r="D38" s="585">
        <f t="shared" si="3"/>
        <v>1.017979945505799</v>
      </c>
      <c r="E38" s="585">
        <f t="shared" si="4"/>
        <v>1.0086449111470113</v>
      </c>
      <c r="F38" s="603">
        <v>780.43899999999996</v>
      </c>
      <c r="G38" s="585">
        <f t="shared" si="2"/>
        <v>1.018902239540155</v>
      </c>
      <c r="H38" s="603">
        <v>868.92899999999997</v>
      </c>
      <c r="I38" s="557"/>
      <c r="J38" s="557"/>
      <c r="K38" s="557"/>
      <c r="L38" s="557"/>
      <c r="M38" s="557"/>
      <c r="N38" s="557"/>
      <c r="O38" s="557"/>
      <c r="P38" s="557"/>
      <c r="Q38" s="557"/>
      <c r="R38" s="557"/>
      <c r="S38" s="557"/>
      <c r="T38" s="557"/>
      <c r="U38" s="557"/>
      <c r="V38" s="557"/>
      <c r="W38" s="557"/>
      <c r="X38" s="557"/>
      <c r="Y38" s="557"/>
      <c r="Z38" s="557"/>
      <c r="AA38" s="557"/>
      <c r="AB38" s="557"/>
      <c r="AC38" s="557"/>
      <c r="AD38" s="557"/>
      <c r="AE38" s="557"/>
      <c r="AF38" s="557"/>
      <c r="AG38" s="557"/>
      <c r="AH38" s="557"/>
      <c r="AI38" s="557"/>
      <c r="AJ38" s="557"/>
      <c r="AK38" s="557"/>
      <c r="AL38" s="557"/>
      <c r="AM38" s="557"/>
      <c r="AN38" s="557"/>
      <c r="AO38" s="557"/>
      <c r="AP38" s="557"/>
      <c r="AQ38" s="557"/>
      <c r="AR38" s="557"/>
      <c r="AS38" s="557"/>
      <c r="AT38" s="557"/>
      <c r="AU38" s="557"/>
      <c r="AV38" s="557"/>
      <c r="AW38" s="557"/>
      <c r="AX38" s="557"/>
      <c r="AY38" s="557"/>
      <c r="AZ38" s="557"/>
      <c r="BA38" s="557"/>
      <c r="BB38" s="557"/>
      <c r="BC38" s="557"/>
      <c r="BD38" s="557"/>
      <c r="BE38" s="557"/>
      <c r="BF38" s="557"/>
      <c r="BG38" s="557"/>
      <c r="BH38" s="557"/>
      <c r="BI38" s="557"/>
      <c r="BJ38" s="557"/>
      <c r="BK38" s="557"/>
      <c r="BL38" s="557"/>
      <c r="BM38" s="557"/>
      <c r="BN38" s="557"/>
      <c r="BO38" s="557"/>
      <c r="BP38" s="557"/>
      <c r="BQ38" s="557"/>
      <c r="BR38" s="557"/>
      <c r="BS38" s="557"/>
      <c r="BT38" s="557"/>
      <c r="BU38" s="557"/>
      <c r="BV38" s="557"/>
      <c r="BW38" s="557"/>
      <c r="BX38" s="557"/>
      <c r="BY38" s="557"/>
      <c r="BZ38" s="557"/>
      <c r="CA38" s="557"/>
      <c r="CB38" s="557"/>
      <c r="CC38" s="557"/>
      <c r="CD38" s="557"/>
      <c r="CE38" s="557"/>
      <c r="CF38" s="557"/>
      <c r="CG38" s="557"/>
      <c r="CH38" s="557"/>
      <c r="CI38" s="557"/>
      <c r="CJ38" s="557"/>
      <c r="CK38" s="557"/>
      <c r="CL38" s="557"/>
      <c r="CM38" s="557"/>
      <c r="CN38" s="557"/>
      <c r="CO38" s="557"/>
      <c r="CP38" s="557"/>
      <c r="CQ38" s="557"/>
      <c r="CR38" s="557"/>
      <c r="CS38" s="557"/>
      <c r="CT38" s="557"/>
      <c r="CU38" s="557"/>
      <c r="CV38" s="557"/>
      <c r="CW38" s="557"/>
      <c r="CX38" s="557"/>
      <c r="CY38" s="557"/>
      <c r="CZ38" s="557"/>
      <c r="DA38" s="557"/>
      <c r="DB38" s="557"/>
      <c r="DC38" s="557"/>
      <c r="DD38" s="557"/>
      <c r="DE38" s="557"/>
      <c r="DF38" s="557"/>
      <c r="DG38" s="557"/>
      <c r="DH38" s="557"/>
      <c r="DI38" s="557"/>
      <c r="DJ38" s="557"/>
      <c r="DK38" s="557"/>
      <c r="DL38" s="557"/>
      <c r="DM38" s="557"/>
      <c r="DN38" s="557"/>
      <c r="DO38" s="557"/>
      <c r="DP38" s="557"/>
      <c r="DQ38" s="557"/>
      <c r="DR38" s="557"/>
      <c r="DS38" s="557"/>
      <c r="DT38" s="557"/>
      <c r="DU38" s="557"/>
      <c r="DV38" s="557"/>
      <c r="DW38" s="557"/>
      <c r="DX38" s="557"/>
      <c r="DY38" s="557"/>
      <c r="DZ38" s="557"/>
      <c r="EA38" s="557"/>
      <c r="EB38" s="557"/>
      <c r="EC38" s="557"/>
      <c r="ED38" s="557"/>
      <c r="EE38" s="557"/>
      <c r="EF38" s="557"/>
      <c r="EG38" s="557"/>
      <c r="EH38" s="557"/>
      <c r="EI38" s="557"/>
      <c r="EJ38" s="557"/>
      <c r="EK38" s="557"/>
      <c r="EL38" s="557"/>
      <c r="EM38" s="557"/>
      <c r="EN38" s="557"/>
      <c r="EO38" s="557"/>
      <c r="EP38" s="557"/>
      <c r="EQ38" s="557"/>
      <c r="ER38" s="557"/>
      <c r="ES38" s="557"/>
      <c r="ET38" s="557"/>
      <c r="EU38" s="557"/>
      <c r="EV38" s="557"/>
      <c r="EW38" s="557"/>
      <c r="EX38" s="557"/>
      <c r="EY38" s="557"/>
      <c r="EZ38" s="557"/>
      <c r="FA38" s="557"/>
      <c r="FB38" s="557"/>
      <c r="FC38" s="557"/>
      <c r="FD38" s="557"/>
      <c r="FE38" s="557"/>
      <c r="FF38" s="557"/>
      <c r="FG38" s="557"/>
      <c r="FH38" s="557"/>
      <c r="FI38" s="557"/>
      <c r="FJ38" s="557"/>
      <c r="FK38" s="557"/>
      <c r="FL38" s="557"/>
      <c r="FM38" s="557"/>
      <c r="FN38" s="557"/>
      <c r="FO38" s="557"/>
      <c r="FP38" s="557"/>
      <c r="FQ38" s="557"/>
      <c r="FR38" s="557"/>
      <c r="FS38" s="557"/>
      <c r="FT38" s="557"/>
      <c r="FU38" s="557"/>
      <c r="FV38" s="557"/>
      <c r="FW38" s="557"/>
      <c r="FX38" s="557"/>
      <c r="FY38" s="557"/>
      <c r="FZ38" s="557"/>
      <c r="GA38" s="557"/>
      <c r="GB38" s="557"/>
      <c r="GC38" s="557"/>
      <c r="GD38" s="557"/>
      <c r="GE38" s="557"/>
      <c r="GF38" s="557"/>
      <c r="GG38" s="557"/>
      <c r="GH38" s="557"/>
      <c r="GI38" s="557"/>
      <c r="GJ38" s="557"/>
      <c r="GK38" s="557"/>
      <c r="GL38" s="557"/>
      <c r="GM38" s="557"/>
      <c r="GN38" s="557"/>
      <c r="GO38" s="557"/>
      <c r="GP38" s="557"/>
      <c r="GQ38" s="557"/>
      <c r="GR38" s="557"/>
      <c r="GS38" s="557"/>
      <c r="GT38" s="557"/>
      <c r="GU38" s="557"/>
      <c r="GV38" s="557"/>
      <c r="GW38" s="557"/>
      <c r="GX38" s="557"/>
      <c r="GY38" s="557"/>
      <c r="GZ38" s="557"/>
      <c r="HA38" s="557"/>
      <c r="HB38" s="557"/>
      <c r="HC38" s="557"/>
      <c r="HD38" s="557"/>
      <c r="HE38" s="557"/>
      <c r="HF38" s="557"/>
      <c r="HG38" s="557"/>
      <c r="HH38" s="557"/>
      <c r="HI38" s="557"/>
      <c r="HJ38" s="557"/>
      <c r="HK38" s="557"/>
      <c r="HL38" s="557"/>
      <c r="HM38" s="557"/>
      <c r="HN38" s="557"/>
      <c r="HO38" s="557"/>
      <c r="HP38" s="557"/>
      <c r="HQ38" s="557"/>
      <c r="HR38" s="557"/>
      <c r="HS38" s="557"/>
      <c r="HT38" s="557"/>
      <c r="HU38" s="557"/>
      <c r="HV38" s="557"/>
      <c r="HW38" s="557"/>
      <c r="HX38" s="557"/>
      <c r="HY38" s="557"/>
      <c r="HZ38" s="557"/>
      <c r="IA38" s="557"/>
      <c r="IB38" s="557"/>
      <c r="IC38" s="557"/>
      <c r="ID38" s="557"/>
      <c r="IE38" s="557"/>
      <c r="IF38" s="557"/>
      <c r="IG38" s="557"/>
      <c r="IH38" s="557"/>
      <c r="II38" s="557"/>
      <c r="IJ38" s="557"/>
      <c r="IK38" s="557"/>
      <c r="IL38" s="557"/>
      <c r="IM38" s="557"/>
      <c r="IN38" s="557"/>
      <c r="IO38" s="557"/>
      <c r="IP38" s="557"/>
      <c r="IQ38" s="557"/>
      <c r="IR38" s="557"/>
      <c r="IS38" s="557"/>
      <c r="IT38" s="557"/>
      <c r="IU38" s="557"/>
      <c r="IV38" s="557"/>
    </row>
    <row r="39" spans="1:256" s="588" customFormat="1">
      <c r="A39" s="583" t="s">
        <v>26916</v>
      </c>
      <c r="B39" s="602">
        <v>949.49</v>
      </c>
      <c r="C39" s="603">
        <v>661.36300000000006</v>
      </c>
      <c r="D39" s="585">
        <f t="shared" si="3"/>
        <v>1.0202849676187185</v>
      </c>
      <c r="E39" s="585">
        <f t="shared" si="4"/>
        <v>1.0098431780062247</v>
      </c>
      <c r="F39" s="603">
        <v>788.12099999999998</v>
      </c>
      <c r="G39" s="585">
        <f t="shared" si="2"/>
        <v>1.0130459450657074</v>
      </c>
      <c r="H39" s="603">
        <v>880.26499999999999</v>
      </c>
      <c r="I39" s="557"/>
      <c r="J39" s="557"/>
      <c r="K39" s="557"/>
      <c r="L39" s="557"/>
      <c r="M39" s="557"/>
      <c r="N39" s="557"/>
      <c r="O39" s="557"/>
      <c r="P39" s="557"/>
      <c r="Q39" s="557"/>
      <c r="R39" s="557"/>
      <c r="S39" s="557"/>
      <c r="T39" s="557"/>
      <c r="U39" s="557"/>
      <c r="V39" s="557"/>
      <c r="W39" s="557"/>
      <c r="X39" s="557"/>
      <c r="Y39" s="557"/>
      <c r="Z39" s="557"/>
      <c r="AA39" s="557"/>
      <c r="AB39" s="557"/>
      <c r="AC39" s="557"/>
      <c r="AD39" s="557"/>
      <c r="AE39" s="557"/>
      <c r="AF39" s="557"/>
      <c r="AG39" s="557"/>
      <c r="AH39" s="557"/>
      <c r="AI39" s="557"/>
      <c r="AJ39" s="557"/>
      <c r="AK39" s="557"/>
      <c r="AL39" s="557"/>
      <c r="AM39" s="557"/>
      <c r="AN39" s="557"/>
      <c r="AO39" s="557"/>
      <c r="AP39" s="557"/>
      <c r="AQ39" s="557"/>
      <c r="AR39" s="557"/>
      <c r="AS39" s="557"/>
      <c r="AT39" s="557"/>
      <c r="AU39" s="557"/>
      <c r="AV39" s="557"/>
      <c r="AW39" s="557"/>
      <c r="AX39" s="557"/>
      <c r="AY39" s="557"/>
      <c r="AZ39" s="557"/>
      <c r="BA39" s="557"/>
      <c r="BB39" s="557"/>
      <c r="BC39" s="557"/>
      <c r="BD39" s="557"/>
      <c r="BE39" s="557"/>
      <c r="BF39" s="557"/>
      <c r="BG39" s="557"/>
      <c r="BH39" s="557"/>
      <c r="BI39" s="557"/>
      <c r="BJ39" s="557"/>
      <c r="BK39" s="557"/>
      <c r="BL39" s="557"/>
      <c r="BM39" s="557"/>
      <c r="BN39" s="557"/>
      <c r="BO39" s="557"/>
      <c r="BP39" s="557"/>
      <c r="BQ39" s="557"/>
      <c r="BR39" s="557"/>
      <c r="BS39" s="557"/>
      <c r="BT39" s="557"/>
      <c r="BU39" s="557"/>
      <c r="BV39" s="557"/>
      <c r="BW39" s="557"/>
      <c r="BX39" s="557"/>
      <c r="BY39" s="557"/>
      <c r="BZ39" s="557"/>
      <c r="CA39" s="557"/>
      <c r="CB39" s="557"/>
      <c r="CC39" s="557"/>
      <c r="CD39" s="557"/>
      <c r="CE39" s="557"/>
      <c r="CF39" s="557"/>
      <c r="CG39" s="557"/>
      <c r="CH39" s="557"/>
      <c r="CI39" s="557"/>
      <c r="CJ39" s="557"/>
      <c r="CK39" s="557"/>
      <c r="CL39" s="557"/>
      <c r="CM39" s="557"/>
      <c r="CN39" s="557"/>
      <c r="CO39" s="557"/>
      <c r="CP39" s="557"/>
      <c r="CQ39" s="557"/>
      <c r="CR39" s="557"/>
      <c r="CS39" s="557"/>
      <c r="CT39" s="557"/>
      <c r="CU39" s="557"/>
      <c r="CV39" s="557"/>
      <c r="CW39" s="557"/>
      <c r="CX39" s="557"/>
      <c r="CY39" s="557"/>
      <c r="CZ39" s="557"/>
      <c r="DA39" s="557"/>
      <c r="DB39" s="557"/>
      <c r="DC39" s="557"/>
      <c r="DD39" s="557"/>
      <c r="DE39" s="557"/>
      <c r="DF39" s="557"/>
      <c r="DG39" s="557"/>
      <c r="DH39" s="557"/>
      <c r="DI39" s="557"/>
      <c r="DJ39" s="557"/>
      <c r="DK39" s="557"/>
      <c r="DL39" s="557"/>
      <c r="DM39" s="557"/>
      <c r="DN39" s="557"/>
      <c r="DO39" s="557"/>
      <c r="DP39" s="557"/>
      <c r="DQ39" s="557"/>
      <c r="DR39" s="557"/>
      <c r="DS39" s="557"/>
      <c r="DT39" s="557"/>
      <c r="DU39" s="557"/>
      <c r="DV39" s="557"/>
      <c r="DW39" s="557"/>
      <c r="DX39" s="557"/>
      <c r="DY39" s="557"/>
      <c r="DZ39" s="557"/>
      <c r="EA39" s="557"/>
      <c r="EB39" s="557"/>
      <c r="EC39" s="557"/>
      <c r="ED39" s="557"/>
      <c r="EE39" s="557"/>
      <c r="EF39" s="557"/>
      <c r="EG39" s="557"/>
      <c r="EH39" s="557"/>
      <c r="EI39" s="557"/>
      <c r="EJ39" s="557"/>
      <c r="EK39" s="557"/>
      <c r="EL39" s="557"/>
      <c r="EM39" s="557"/>
      <c r="EN39" s="557"/>
      <c r="EO39" s="557"/>
      <c r="EP39" s="557"/>
      <c r="EQ39" s="557"/>
      <c r="ER39" s="557"/>
      <c r="ES39" s="557"/>
      <c r="ET39" s="557"/>
      <c r="EU39" s="557"/>
      <c r="EV39" s="557"/>
      <c r="EW39" s="557"/>
      <c r="EX39" s="557"/>
      <c r="EY39" s="557"/>
      <c r="EZ39" s="557"/>
      <c r="FA39" s="557"/>
      <c r="FB39" s="557"/>
      <c r="FC39" s="557"/>
      <c r="FD39" s="557"/>
      <c r="FE39" s="557"/>
      <c r="FF39" s="557"/>
      <c r="FG39" s="557"/>
      <c r="FH39" s="557"/>
      <c r="FI39" s="557"/>
      <c r="FJ39" s="557"/>
      <c r="FK39" s="557"/>
      <c r="FL39" s="557"/>
      <c r="FM39" s="557"/>
      <c r="FN39" s="557"/>
      <c r="FO39" s="557"/>
      <c r="FP39" s="557"/>
      <c r="FQ39" s="557"/>
      <c r="FR39" s="557"/>
      <c r="FS39" s="557"/>
      <c r="FT39" s="557"/>
      <c r="FU39" s="557"/>
      <c r="FV39" s="557"/>
      <c r="FW39" s="557"/>
      <c r="FX39" s="557"/>
      <c r="FY39" s="557"/>
      <c r="FZ39" s="557"/>
      <c r="GA39" s="557"/>
      <c r="GB39" s="557"/>
      <c r="GC39" s="557"/>
      <c r="GD39" s="557"/>
      <c r="GE39" s="557"/>
      <c r="GF39" s="557"/>
      <c r="GG39" s="557"/>
      <c r="GH39" s="557"/>
      <c r="GI39" s="557"/>
      <c r="GJ39" s="557"/>
      <c r="GK39" s="557"/>
      <c r="GL39" s="557"/>
      <c r="GM39" s="557"/>
      <c r="GN39" s="557"/>
      <c r="GO39" s="557"/>
      <c r="GP39" s="557"/>
      <c r="GQ39" s="557"/>
      <c r="GR39" s="557"/>
      <c r="GS39" s="557"/>
      <c r="GT39" s="557"/>
      <c r="GU39" s="557"/>
      <c r="GV39" s="557"/>
      <c r="GW39" s="557"/>
      <c r="GX39" s="557"/>
      <c r="GY39" s="557"/>
      <c r="GZ39" s="557"/>
      <c r="HA39" s="557"/>
      <c r="HB39" s="557"/>
      <c r="HC39" s="557"/>
      <c r="HD39" s="557"/>
      <c r="HE39" s="557"/>
      <c r="HF39" s="557"/>
      <c r="HG39" s="557"/>
      <c r="HH39" s="557"/>
      <c r="HI39" s="557"/>
      <c r="HJ39" s="557"/>
      <c r="HK39" s="557"/>
      <c r="HL39" s="557"/>
      <c r="HM39" s="557"/>
      <c r="HN39" s="557"/>
      <c r="HO39" s="557"/>
      <c r="HP39" s="557"/>
      <c r="HQ39" s="557"/>
      <c r="HR39" s="557"/>
      <c r="HS39" s="557"/>
      <c r="HT39" s="557"/>
      <c r="HU39" s="557"/>
      <c r="HV39" s="557"/>
      <c r="HW39" s="557"/>
      <c r="HX39" s="557"/>
      <c r="HY39" s="557"/>
      <c r="HZ39" s="557"/>
      <c r="IA39" s="557"/>
      <c r="IB39" s="557"/>
      <c r="IC39" s="557"/>
      <c r="ID39" s="557"/>
      <c r="IE39" s="557"/>
      <c r="IF39" s="557"/>
      <c r="IG39" s="557"/>
      <c r="IH39" s="557"/>
      <c r="II39" s="557"/>
      <c r="IJ39" s="557"/>
      <c r="IK39" s="557"/>
      <c r="IL39" s="557"/>
      <c r="IM39" s="557"/>
      <c r="IN39" s="557"/>
      <c r="IO39" s="557"/>
      <c r="IP39" s="557"/>
      <c r="IQ39" s="557"/>
      <c r="IR39" s="557"/>
      <c r="IS39" s="557"/>
      <c r="IT39" s="557"/>
      <c r="IU39" s="557"/>
      <c r="IV39" s="557"/>
    </row>
    <row r="40" spans="1:256" s="588" customFormat="1" ht="15.75" thickBot="1">
      <c r="A40" s="608" t="s">
        <v>26917</v>
      </c>
      <c r="B40" s="609">
        <v>949.49</v>
      </c>
      <c r="C40" s="610">
        <v>669.48199999999997</v>
      </c>
      <c r="D40" s="611">
        <f t="shared" si="3"/>
        <v>1.0122761630148647</v>
      </c>
      <c r="E40" s="611">
        <f t="shared" si="4"/>
        <v>1.0060181114321278</v>
      </c>
      <c r="F40" s="610">
        <v>792.86400000000003</v>
      </c>
      <c r="G40" s="611">
        <f t="shared" si="2"/>
        <v>1.0090041067178634</v>
      </c>
      <c r="H40" s="610">
        <v>888.19100000000003</v>
      </c>
      <c r="I40" s="557"/>
      <c r="J40" s="557"/>
      <c r="K40" s="557"/>
      <c r="L40" s="557"/>
      <c r="M40" s="557"/>
      <c r="N40" s="557"/>
      <c r="O40" s="557"/>
      <c r="P40" s="557"/>
      <c r="Q40" s="557"/>
      <c r="R40" s="557"/>
      <c r="S40" s="557"/>
      <c r="T40" s="557"/>
      <c r="U40" s="557"/>
      <c r="V40" s="557"/>
      <c r="W40" s="557"/>
      <c r="X40" s="557"/>
      <c r="Y40" s="557"/>
      <c r="Z40" s="557"/>
      <c r="AA40" s="557"/>
      <c r="AB40" s="557"/>
      <c r="AC40" s="557"/>
      <c r="AD40" s="557"/>
      <c r="AE40" s="557"/>
      <c r="AF40" s="557"/>
      <c r="AG40" s="557"/>
      <c r="AH40" s="557"/>
      <c r="AI40" s="557"/>
      <c r="AJ40" s="557"/>
      <c r="AK40" s="557"/>
      <c r="AL40" s="557"/>
      <c r="AM40" s="557"/>
      <c r="AN40" s="557"/>
      <c r="AO40" s="557"/>
      <c r="AP40" s="557"/>
      <c r="AQ40" s="557"/>
      <c r="AR40" s="557"/>
      <c r="AS40" s="557"/>
      <c r="AT40" s="557"/>
      <c r="AU40" s="557"/>
      <c r="AV40" s="557"/>
      <c r="AW40" s="557"/>
      <c r="AX40" s="557"/>
      <c r="AY40" s="557"/>
      <c r="AZ40" s="557"/>
      <c r="BA40" s="557"/>
      <c r="BB40" s="557"/>
      <c r="BC40" s="557"/>
      <c r="BD40" s="557"/>
      <c r="BE40" s="557"/>
      <c r="BF40" s="557"/>
      <c r="BG40" s="557"/>
      <c r="BH40" s="557"/>
      <c r="BI40" s="557"/>
      <c r="BJ40" s="557"/>
      <c r="BK40" s="557"/>
      <c r="BL40" s="557"/>
      <c r="BM40" s="557"/>
      <c r="BN40" s="557"/>
      <c r="BO40" s="557"/>
      <c r="BP40" s="557"/>
      <c r="BQ40" s="557"/>
      <c r="BR40" s="557"/>
      <c r="BS40" s="557"/>
      <c r="BT40" s="557"/>
      <c r="BU40" s="557"/>
      <c r="BV40" s="557"/>
      <c r="BW40" s="557"/>
      <c r="BX40" s="557"/>
      <c r="BY40" s="557"/>
      <c r="BZ40" s="557"/>
      <c r="CA40" s="557"/>
      <c r="CB40" s="557"/>
      <c r="CC40" s="557"/>
      <c r="CD40" s="557"/>
      <c r="CE40" s="557"/>
      <c r="CF40" s="557"/>
      <c r="CG40" s="557"/>
      <c r="CH40" s="557"/>
      <c r="CI40" s="557"/>
      <c r="CJ40" s="557"/>
      <c r="CK40" s="557"/>
      <c r="CL40" s="557"/>
      <c r="CM40" s="557"/>
      <c r="CN40" s="557"/>
      <c r="CO40" s="557"/>
      <c r="CP40" s="557"/>
      <c r="CQ40" s="557"/>
      <c r="CR40" s="557"/>
      <c r="CS40" s="557"/>
      <c r="CT40" s="557"/>
      <c r="CU40" s="557"/>
      <c r="CV40" s="557"/>
      <c r="CW40" s="557"/>
      <c r="CX40" s="557"/>
      <c r="CY40" s="557"/>
      <c r="CZ40" s="557"/>
      <c r="DA40" s="557"/>
      <c r="DB40" s="557"/>
      <c r="DC40" s="557"/>
      <c r="DD40" s="557"/>
      <c r="DE40" s="557"/>
      <c r="DF40" s="557"/>
      <c r="DG40" s="557"/>
      <c r="DH40" s="557"/>
      <c r="DI40" s="557"/>
      <c r="DJ40" s="557"/>
      <c r="DK40" s="557"/>
      <c r="DL40" s="557"/>
      <c r="DM40" s="557"/>
      <c r="DN40" s="557"/>
      <c r="DO40" s="557"/>
      <c r="DP40" s="557"/>
      <c r="DQ40" s="557"/>
      <c r="DR40" s="557"/>
      <c r="DS40" s="557"/>
      <c r="DT40" s="557"/>
      <c r="DU40" s="557"/>
      <c r="DV40" s="557"/>
      <c r="DW40" s="557"/>
      <c r="DX40" s="557"/>
      <c r="DY40" s="557"/>
      <c r="DZ40" s="557"/>
      <c r="EA40" s="557"/>
      <c r="EB40" s="557"/>
      <c r="EC40" s="557"/>
      <c r="ED40" s="557"/>
      <c r="EE40" s="557"/>
      <c r="EF40" s="557"/>
      <c r="EG40" s="557"/>
      <c r="EH40" s="557"/>
      <c r="EI40" s="557"/>
      <c r="EJ40" s="557"/>
      <c r="EK40" s="557"/>
      <c r="EL40" s="557"/>
      <c r="EM40" s="557"/>
      <c r="EN40" s="557"/>
      <c r="EO40" s="557"/>
      <c r="EP40" s="557"/>
      <c r="EQ40" s="557"/>
      <c r="ER40" s="557"/>
      <c r="ES40" s="557"/>
      <c r="ET40" s="557"/>
      <c r="EU40" s="557"/>
      <c r="EV40" s="557"/>
      <c r="EW40" s="557"/>
      <c r="EX40" s="557"/>
      <c r="EY40" s="557"/>
      <c r="EZ40" s="557"/>
      <c r="FA40" s="557"/>
      <c r="FB40" s="557"/>
      <c r="FC40" s="557"/>
      <c r="FD40" s="557"/>
      <c r="FE40" s="557"/>
      <c r="FF40" s="557"/>
      <c r="FG40" s="557"/>
      <c r="FH40" s="557"/>
      <c r="FI40" s="557"/>
      <c r="FJ40" s="557"/>
      <c r="FK40" s="557"/>
      <c r="FL40" s="557"/>
      <c r="FM40" s="557"/>
      <c r="FN40" s="557"/>
      <c r="FO40" s="557"/>
      <c r="FP40" s="557"/>
      <c r="FQ40" s="557"/>
      <c r="FR40" s="557"/>
      <c r="FS40" s="557"/>
      <c r="FT40" s="557"/>
      <c r="FU40" s="557"/>
      <c r="FV40" s="557"/>
      <c r="FW40" s="557"/>
      <c r="FX40" s="557"/>
      <c r="FY40" s="557"/>
      <c r="FZ40" s="557"/>
      <c r="GA40" s="557"/>
      <c r="GB40" s="557"/>
      <c r="GC40" s="557"/>
      <c r="GD40" s="557"/>
      <c r="GE40" s="557"/>
      <c r="GF40" s="557"/>
      <c r="GG40" s="557"/>
      <c r="GH40" s="557"/>
      <c r="GI40" s="557"/>
      <c r="GJ40" s="557"/>
      <c r="GK40" s="557"/>
      <c r="GL40" s="557"/>
      <c r="GM40" s="557"/>
      <c r="GN40" s="557"/>
      <c r="GO40" s="557"/>
      <c r="GP40" s="557"/>
      <c r="GQ40" s="557"/>
      <c r="GR40" s="557"/>
      <c r="GS40" s="557"/>
      <c r="GT40" s="557"/>
      <c r="GU40" s="557"/>
      <c r="GV40" s="557"/>
      <c r="GW40" s="557"/>
      <c r="GX40" s="557"/>
      <c r="GY40" s="557"/>
      <c r="GZ40" s="557"/>
      <c r="HA40" s="557"/>
      <c r="HB40" s="557"/>
      <c r="HC40" s="557"/>
      <c r="HD40" s="557"/>
      <c r="HE40" s="557"/>
      <c r="HF40" s="557"/>
      <c r="HG40" s="557"/>
      <c r="HH40" s="557"/>
      <c r="HI40" s="557"/>
      <c r="HJ40" s="557"/>
      <c r="HK40" s="557"/>
      <c r="HL40" s="557"/>
      <c r="HM40" s="557"/>
      <c r="HN40" s="557"/>
      <c r="HO40" s="557"/>
      <c r="HP40" s="557"/>
      <c r="HQ40" s="557"/>
      <c r="HR40" s="557"/>
      <c r="HS40" s="557"/>
      <c r="HT40" s="557"/>
      <c r="HU40" s="557"/>
      <c r="HV40" s="557"/>
      <c r="HW40" s="557"/>
      <c r="HX40" s="557"/>
      <c r="HY40" s="557"/>
      <c r="HZ40" s="557"/>
      <c r="IA40" s="557"/>
      <c r="IB40" s="557"/>
      <c r="IC40" s="557"/>
      <c r="ID40" s="557"/>
      <c r="IE40" s="557"/>
      <c r="IF40" s="557"/>
      <c r="IG40" s="557"/>
      <c r="IH40" s="557"/>
      <c r="II40" s="557"/>
      <c r="IJ40" s="557"/>
      <c r="IK40" s="557"/>
      <c r="IL40" s="557"/>
      <c r="IM40" s="557"/>
      <c r="IN40" s="557"/>
      <c r="IO40" s="557"/>
      <c r="IP40" s="557"/>
      <c r="IQ40" s="557"/>
      <c r="IR40" s="557"/>
      <c r="IS40" s="557"/>
      <c r="IT40" s="557"/>
      <c r="IU40" s="557"/>
      <c r="IV40" s="557"/>
    </row>
    <row r="41" spans="1:256" ht="15.75" thickBot="1">
      <c r="A41" s="589"/>
      <c r="B41" s="589"/>
      <c r="C41" s="589"/>
      <c r="D41" s="589"/>
      <c r="E41" s="589"/>
      <c r="F41" s="589"/>
      <c r="G41" s="589"/>
    </row>
    <row r="42" spans="1:256" ht="15.75" thickBot="1">
      <c r="A42" s="723" t="s">
        <v>26891</v>
      </c>
      <c r="B42" s="724"/>
      <c r="C42" s="723" t="s">
        <v>11</v>
      </c>
      <c r="D42" s="724"/>
      <c r="E42" s="723" t="s">
        <v>4542</v>
      </c>
      <c r="F42" s="724"/>
      <c r="G42" s="723" t="s">
        <v>26892</v>
      </c>
      <c r="H42" s="724"/>
    </row>
    <row r="43" spans="1:256" ht="28.5">
      <c r="A43" s="590" t="s">
        <v>26893</v>
      </c>
      <c r="B43" s="591" t="s">
        <v>26894</v>
      </c>
      <c r="C43" s="590" t="s">
        <v>26893</v>
      </c>
      <c r="D43" s="591" t="s">
        <v>26894</v>
      </c>
      <c r="E43" s="590" t="s">
        <v>26893</v>
      </c>
      <c r="F43" s="591" t="s">
        <v>26894</v>
      </c>
      <c r="G43" s="590" t="s">
        <v>26893</v>
      </c>
      <c r="H43" s="591" t="s">
        <v>26894</v>
      </c>
    </row>
    <row r="44" spans="1:256">
      <c r="A44" s="592"/>
      <c r="B44" s="601"/>
      <c r="C44" s="592">
        <f>PRODUCT($D$19:$D$25)</f>
        <v>1.0205704633519526</v>
      </c>
      <c r="D44" s="593"/>
      <c r="E44" s="594">
        <f>PRODUCT($E$19:$E$25)</f>
        <v>1.0361370617991337</v>
      </c>
      <c r="F44" s="593"/>
      <c r="G44" s="594">
        <f>PRODUCT($G$19:$G$25)</f>
        <v>1.0229068717991776</v>
      </c>
      <c r="H44" s="593"/>
    </row>
    <row r="45" spans="1:256">
      <c r="A45" s="592"/>
      <c r="B45" s="593"/>
      <c r="C45" s="592"/>
      <c r="D45" s="593"/>
      <c r="E45" s="592"/>
      <c r="F45" s="593"/>
      <c r="G45" s="592"/>
      <c r="H45" s="593"/>
    </row>
    <row r="46" spans="1:256" ht="28.5">
      <c r="A46" s="595" t="s">
        <v>26895</v>
      </c>
      <c r="B46" s="591" t="s">
        <v>26896</v>
      </c>
      <c r="C46" s="595" t="s">
        <v>26895</v>
      </c>
      <c r="D46" s="591" t="s">
        <v>26896</v>
      </c>
      <c r="E46" s="595" t="s">
        <v>26895</v>
      </c>
      <c r="F46" s="591" t="s">
        <v>26896</v>
      </c>
      <c r="G46" s="595" t="s">
        <v>26895</v>
      </c>
      <c r="H46" s="591" t="s">
        <v>26896</v>
      </c>
      <c r="I46" s="596"/>
    </row>
    <row r="47" spans="1:256">
      <c r="A47" s="597">
        <f>$B$25/$B$18</f>
        <v>1.0495774660658101</v>
      </c>
      <c r="B47" s="598" t="s">
        <v>26919</v>
      </c>
      <c r="C47" s="597">
        <f>$C$25/$C$18</f>
        <v>1.0205704633519526</v>
      </c>
      <c r="D47" s="598" t="s">
        <v>26919</v>
      </c>
      <c r="E47" s="597">
        <f>$F$25/$F$18</f>
        <v>1.0361370617991337</v>
      </c>
      <c r="F47" s="598" t="s">
        <v>26919</v>
      </c>
      <c r="G47" s="597">
        <f>$H$25/$H$18</f>
        <v>1.0229068717991772</v>
      </c>
      <c r="H47" s="598" t="s">
        <v>26919</v>
      </c>
      <c r="J47" s="596"/>
    </row>
    <row r="48" spans="1:256" ht="15.75" thickBot="1">
      <c r="A48" s="725" t="s">
        <v>26897</v>
      </c>
      <c r="B48" s="726"/>
      <c r="C48" s="725" t="s">
        <v>26898</v>
      </c>
      <c r="D48" s="726"/>
      <c r="E48" s="725" t="s">
        <v>26899</v>
      </c>
      <c r="F48" s="726"/>
      <c r="G48" s="725" t="s">
        <v>26900</v>
      </c>
      <c r="H48" s="726"/>
      <c r="J48" s="596"/>
    </row>
    <row r="49" spans="1:10" ht="15.75" thickBot="1">
      <c r="A49" s="589"/>
      <c r="B49" s="589"/>
      <c r="C49" s="589"/>
      <c r="D49" s="589"/>
      <c r="E49" s="589"/>
      <c r="F49" s="589"/>
      <c r="G49" s="589"/>
    </row>
    <row r="50" spans="1:10" ht="15.75" thickBot="1">
      <c r="A50" s="723" t="s">
        <v>26891</v>
      </c>
      <c r="B50" s="724"/>
      <c r="C50" s="723" t="s">
        <v>11</v>
      </c>
      <c r="D50" s="724"/>
      <c r="E50" s="723" t="s">
        <v>4542</v>
      </c>
      <c r="F50" s="724"/>
      <c r="G50" s="723" t="s">
        <v>26892</v>
      </c>
      <c r="H50" s="724"/>
    </row>
    <row r="51" spans="1:10" ht="28.5">
      <c r="A51" s="590" t="s">
        <v>26893</v>
      </c>
      <c r="B51" s="591" t="s">
        <v>26894</v>
      </c>
      <c r="C51" s="590" t="s">
        <v>26893</v>
      </c>
      <c r="D51" s="591" t="s">
        <v>26894</v>
      </c>
      <c r="E51" s="590" t="s">
        <v>26893</v>
      </c>
      <c r="F51" s="591" t="s">
        <v>26894</v>
      </c>
      <c r="G51" s="590" t="s">
        <v>26893</v>
      </c>
      <c r="H51" s="591" t="s">
        <v>26894</v>
      </c>
    </row>
    <row r="52" spans="1:10">
      <c r="A52" s="592"/>
      <c r="B52" s="601"/>
      <c r="C52" s="592">
        <f>PRODUCT($D$20:$D$25)</f>
        <v>1.0178402941208373</v>
      </c>
      <c r="D52" s="593"/>
      <c r="E52" s="594">
        <f>PRODUCT($E$20:$E$25)</f>
        <v>1.0348502990573165</v>
      </c>
      <c r="F52" s="593"/>
      <c r="G52" s="594">
        <f>PRODUCT($G$20:$G$25)</f>
        <v>1.0170431942652856</v>
      </c>
      <c r="H52" s="593"/>
    </row>
    <row r="53" spans="1:10">
      <c r="A53" s="592"/>
      <c r="B53" s="593"/>
      <c r="C53" s="592"/>
      <c r="D53" s="593"/>
      <c r="E53" s="592"/>
      <c r="F53" s="593"/>
      <c r="G53" s="592"/>
      <c r="H53" s="593"/>
    </row>
    <row r="54" spans="1:10" ht="28.5">
      <c r="A54" s="595" t="s">
        <v>26895</v>
      </c>
      <c r="B54" s="591" t="s">
        <v>26896</v>
      </c>
      <c r="C54" s="595" t="s">
        <v>26895</v>
      </c>
      <c r="D54" s="591" t="s">
        <v>26896</v>
      </c>
      <c r="E54" s="595" t="s">
        <v>26895</v>
      </c>
      <c r="F54" s="591" t="s">
        <v>26896</v>
      </c>
      <c r="G54" s="595" t="s">
        <v>26895</v>
      </c>
      <c r="H54" s="591" t="s">
        <v>26896</v>
      </c>
      <c r="I54" s="596"/>
    </row>
    <row r="55" spans="1:10">
      <c r="A55" s="597">
        <f>$B$25/$B$19</f>
        <v>1.0495774660658101</v>
      </c>
      <c r="B55" s="598" t="s">
        <v>26910</v>
      </c>
      <c r="C55" s="597">
        <f>$C$25/$C$19</f>
        <v>1.0178402941208369</v>
      </c>
      <c r="D55" s="598" t="s">
        <v>26910</v>
      </c>
      <c r="E55" s="597">
        <f>$F$25/$F$19</f>
        <v>1.0348502990573163</v>
      </c>
      <c r="F55" s="598" t="s">
        <v>26910</v>
      </c>
      <c r="G55" s="597">
        <f>$H$25/$H$19</f>
        <v>1.0170431942652853</v>
      </c>
      <c r="H55" s="598" t="s">
        <v>26910</v>
      </c>
      <c r="J55" s="596"/>
    </row>
    <row r="56" spans="1:10" ht="15.75" thickBot="1">
      <c r="A56" s="725" t="s">
        <v>26897</v>
      </c>
      <c r="B56" s="726"/>
      <c r="C56" s="725" t="s">
        <v>26898</v>
      </c>
      <c r="D56" s="726"/>
      <c r="E56" s="725" t="s">
        <v>26899</v>
      </c>
      <c r="F56" s="726"/>
      <c r="G56" s="725" t="s">
        <v>26900</v>
      </c>
      <c r="H56" s="726"/>
      <c r="J56" s="596"/>
    </row>
    <row r="57" spans="1:10" ht="15.75" thickBot="1">
      <c r="A57" s="589"/>
      <c r="B57" s="589"/>
      <c r="C57" s="589"/>
      <c r="D57" s="589"/>
      <c r="E57" s="589"/>
      <c r="F57" s="589"/>
      <c r="G57" s="589"/>
    </row>
    <row r="58" spans="1:10" ht="15.75" thickBot="1">
      <c r="A58" s="723" t="s">
        <v>26891</v>
      </c>
      <c r="B58" s="724"/>
      <c r="C58" s="723" t="s">
        <v>11</v>
      </c>
      <c r="D58" s="724"/>
      <c r="E58" s="723" t="s">
        <v>4542</v>
      </c>
      <c r="F58" s="724"/>
      <c r="G58" s="723" t="s">
        <v>26892</v>
      </c>
      <c r="H58" s="724"/>
    </row>
    <row r="59" spans="1:10" ht="28.5">
      <c r="A59" s="590" t="s">
        <v>26893</v>
      </c>
      <c r="B59" s="591" t="s">
        <v>26894</v>
      </c>
      <c r="C59" s="590" t="s">
        <v>26893</v>
      </c>
      <c r="D59" s="591" t="s">
        <v>26894</v>
      </c>
      <c r="E59" s="590" t="s">
        <v>26893</v>
      </c>
      <c r="F59" s="591" t="s">
        <v>26894</v>
      </c>
      <c r="G59" s="590" t="s">
        <v>26893</v>
      </c>
      <c r="H59" s="591" t="s">
        <v>26894</v>
      </c>
    </row>
    <row r="60" spans="1:10">
      <c r="A60" s="592"/>
      <c r="B60" s="601"/>
      <c r="C60" s="592">
        <f>PRODUCT($D$26)</f>
        <v>1.0065724047791558</v>
      </c>
      <c r="D60" s="593"/>
      <c r="E60" s="594">
        <f>PRODUCT($E$26)</f>
        <v>1.0029994617062248</v>
      </c>
      <c r="F60" s="593"/>
      <c r="G60" s="594">
        <f>PRODUCT($G$26)</f>
        <v>1.0032958605530378</v>
      </c>
      <c r="H60" s="593"/>
    </row>
    <row r="61" spans="1:10">
      <c r="A61" s="592"/>
      <c r="B61" s="593"/>
      <c r="C61" s="592"/>
      <c r="D61" s="593"/>
      <c r="E61" s="592"/>
      <c r="F61" s="593"/>
      <c r="G61" s="592"/>
      <c r="H61" s="593"/>
    </row>
    <row r="62" spans="1:10" ht="28.5">
      <c r="A62" s="595" t="s">
        <v>26895</v>
      </c>
      <c r="B62" s="591" t="s">
        <v>26896</v>
      </c>
      <c r="C62" s="595" t="s">
        <v>26895</v>
      </c>
      <c r="D62" s="591" t="s">
        <v>26896</v>
      </c>
      <c r="E62" s="595" t="s">
        <v>26895</v>
      </c>
      <c r="F62" s="591" t="s">
        <v>26896</v>
      </c>
      <c r="G62" s="595" t="s">
        <v>26895</v>
      </c>
      <c r="H62" s="591" t="s">
        <v>26896</v>
      </c>
      <c r="I62" s="596"/>
    </row>
    <row r="63" spans="1:10">
      <c r="A63" s="597">
        <f>$B$26/$B$25</f>
        <v>1</v>
      </c>
      <c r="B63" s="598" t="s">
        <v>26901</v>
      </c>
      <c r="C63" s="597">
        <f>$C$26/$C$25</f>
        <v>1.0065724047791558</v>
      </c>
      <c r="D63" s="598" t="s">
        <v>26901</v>
      </c>
      <c r="E63" s="597">
        <f>$F$26/$F$25</f>
        <v>1.0029994617062248</v>
      </c>
      <c r="F63" s="598" t="s">
        <v>26901</v>
      </c>
      <c r="G63" s="597">
        <f>$H$26/$H$25</f>
        <v>1.0032958605530378</v>
      </c>
      <c r="H63" s="598" t="s">
        <v>26901</v>
      </c>
      <c r="J63" s="596"/>
    </row>
    <row r="64" spans="1:10" ht="15.75" thickBot="1">
      <c r="A64" s="725" t="s">
        <v>26897</v>
      </c>
      <c r="B64" s="726"/>
      <c r="C64" s="725" t="s">
        <v>26898</v>
      </c>
      <c r="D64" s="726"/>
      <c r="E64" s="725" t="s">
        <v>26899</v>
      </c>
      <c r="F64" s="726"/>
      <c r="G64" s="725" t="s">
        <v>26900</v>
      </c>
      <c r="H64" s="726"/>
      <c r="J64" s="596"/>
    </row>
    <row r="65" spans="1:10" ht="15.75" thickBot="1">
      <c r="A65" s="589"/>
      <c r="B65" s="589"/>
      <c r="C65" s="589"/>
      <c r="D65" s="589"/>
      <c r="E65" s="589"/>
      <c r="F65" s="589"/>
      <c r="G65" s="589"/>
    </row>
    <row r="66" spans="1:10" ht="15.75" thickBot="1">
      <c r="A66" s="723" t="s">
        <v>26891</v>
      </c>
      <c r="B66" s="724"/>
      <c r="C66" s="723" t="s">
        <v>11</v>
      </c>
      <c r="D66" s="724"/>
      <c r="E66" s="723" t="s">
        <v>4542</v>
      </c>
      <c r="F66" s="724"/>
      <c r="G66" s="723" t="s">
        <v>26892</v>
      </c>
      <c r="H66" s="724"/>
    </row>
    <row r="67" spans="1:10" ht="28.5">
      <c r="A67" s="590" t="s">
        <v>26893</v>
      </c>
      <c r="B67" s="591" t="s">
        <v>26894</v>
      </c>
      <c r="C67" s="590" t="s">
        <v>26893</v>
      </c>
      <c r="D67" s="591" t="s">
        <v>26894</v>
      </c>
      <c r="E67" s="590" t="s">
        <v>26893</v>
      </c>
      <c r="F67" s="591" t="s">
        <v>26894</v>
      </c>
      <c r="G67" s="590" t="s">
        <v>26893</v>
      </c>
      <c r="H67" s="591" t="s">
        <v>26894</v>
      </c>
    </row>
    <row r="68" spans="1:10">
      <c r="A68" s="592"/>
      <c r="B68" s="601"/>
      <c r="C68" s="592">
        <f>PRODUCT($D$26:$D$27)</f>
        <v>1.0100424071943059</v>
      </c>
      <c r="D68" s="593"/>
      <c r="E68" s="594">
        <f>PRODUCT($E$26:$E$27)</f>
        <v>1.0045824338647831</v>
      </c>
      <c r="F68" s="593"/>
      <c r="G68" s="594">
        <f>PRODUCT($G$26:$G$27)</f>
        <v>1.0058632974507737</v>
      </c>
      <c r="H68" s="593"/>
    </row>
    <row r="69" spans="1:10">
      <c r="A69" s="592"/>
      <c r="B69" s="593"/>
      <c r="C69" s="592"/>
      <c r="D69" s="593"/>
      <c r="E69" s="592"/>
      <c r="F69" s="593"/>
      <c r="G69" s="592"/>
      <c r="H69" s="593"/>
    </row>
    <row r="70" spans="1:10" ht="28.5">
      <c r="A70" s="595" t="s">
        <v>26895</v>
      </c>
      <c r="B70" s="591" t="s">
        <v>26896</v>
      </c>
      <c r="C70" s="595" t="s">
        <v>26895</v>
      </c>
      <c r="D70" s="591" t="s">
        <v>26896</v>
      </c>
      <c r="E70" s="595" t="s">
        <v>26895</v>
      </c>
      <c r="F70" s="591" t="s">
        <v>26896</v>
      </c>
      <c r="G70" s="595" t="s">
        <v>26895</v>
      </c>
      <c r="H70" s="591" t="s">
        <v>26896</v>
      </c>
      <c r="I70" s="596"/>
    </row>
    <row r="71" spans="1:10">
      <c r="A71" s="597">
        <f>$B$27/$B$25</f>
        <v>1</v>
      </c>
      <c r="B71" s="598" t="s">
        <v>26902</v>
      </c>
      <c r="C71" s="597">
        <f>$C$27/$C$25</f>
        <v>1.0100424071943062</v>
      </c>
      <c r="D71" s="598" t="s">
        <v>26902</v>
      </c>
      <c r="E71" s="597">
        <f>$F$27/$F$25</f>
        <v>1.0045824338647829</v>
      </c>
      <c r="F71" s="598" t="s">
        <v>26902</v>
      </c>
      <c r="G71" s="597">
        <f>$H$27/$H$25</f>
        <v>1.0058632974507737</v>
      </c>
      <c r="H71" s="598" t="s">
        <v>26902</v>
      </c>
      <c r="J71" s="596"/>
    </row>
    <row r="72" spans="1:10" ht="15.75" thickBot="1">
      <c r="A72" s="725" t="s">
        <v>26897</v>
      </c>
      <c r="B72" s="726"/>
      <c r="C72" s="725" t="s">
        <v>26898</v>
      </c>
      <c r="D72" s="726"/>
      <c r="E72" s="725" t="s">
        <v>26899</v>
      </c>
      <c r="F72" s="726"/>
      <c r="G72" s="725" t="s">
        <v>26900</v>
      </c>
      <c r="H72" s="726"/>
      <c r="J72" s="596"/>
    </row>
    <row r="73" spans="1:10" ht="15.75" thickBot="1">
      <c r="A73" s="589"/>
      <c r="B73" s="589"/>
      <c r="C73" s="589"/>
      <c r="D73" s="589"/>
      <c r="E73" s="589"/>
      <c r="F73" s="589"/>
      <c r="G73" s="589"/>
    </row>
    <row r="74" spans="1:10" ht="15.75" thickBot="1">
      <c r="A74" s="723" t="s">
        <v>26891</v>
      </c>
      <c r="B74" s="724"/>
      <c r="C74" s="723" t="s">
        <v>11</v>
      </c>
      <c r="D74" s="724"/>
      <c r="E74" s="723" t="s">
        <v>4542</v>
      </c>
      <c r="F74" s="724"/>
      <c r="G74" s="723" t="s">
        <v>26892</v>
      </c>
      <c r="H74" s="724"/>
    </row>
    <row r="75" spans="1:10" ht="28.5">
      <c r="A75" s="590" t="s">
        <v>26893</v>
      </c>
      <c r="B75" s="591" t="s">
        <v>26894</v>
      </c>
      <c r="C75" s="590" t="s">
        <v>26893</v>
      </c>
      <c r="D75" s="591" t="s">
        <v>26894</v>
      </c>
      <c r="E75" s="590" t="s">
        <v>26893</v>
      </c>
      <c r="F75" s="591" t="s">
        <v>26894</v>
      </c>
      <c r="G75" s="590" t="s">
        <v>26893</v>
      </c>
      <c r="H75" s="591" t="s">
        <v>26894</v>
      </c>
    </row>
    <row r="76" spans="1:10">
      <c r="A76" s="592"/>
      <c r="B76" s="601"/>
      <c r="C76" s="592">
        <f>PRODUCT($D$26:$D$28)</f>
        <v>1.0123847476168151</v>
      </c>
      <c r="D76" s="593"/>
      <c r="E76" s="594">
        <f>PRODUCT($E$26:$E$28)</f>
        <v>1.0056520846397594</v>
      </c>
      <c r="F76" s="593"/>
      <c r="G76" s="594">
        <f>PRODUCT($G$26:$G$28)</f>
        <v>1.008084476625039</v>
      </c>
      <c r="H76" s="593"/>
    </row>
    <row r="77" spans="1:10">
      <c r="A77" s="592"/>
      <c r="B77" s="593"/>
      <c r="C77" s="592"/>
      <c r="D77" s="593"/>
      <c r="E77" s="592"/>
      <c r="F77" s="593"/>
      <c r="G77" s="592"/>
      <c r="H77" s="593"/>
    </row>
    <row r="78" spans="1:10" ht="28.5">
      <c r="A78" s="595" t="s">
        <v>26895</v>
      </c>
      <c r="B78" s="591" t="s">
        <v>26896</v>
      </c>
      <c r="C78" s="595" t="s">
        <v>26895</v>
      </c>
      <c r="D78" s="591" t="s">
        <v>26896</v>
      </c>
      <c r="E78" s="595" t="s">
        <v>26895</v>
      </c>
      <c r="F78" s="591" t="s">
        <v>26896</v>
      </c>
      <c r="G78" s="595" t="s">
        <v>26895</v>
      </c>
      <c r="H78" s="591" t="s">
        <v>26896</v>
      </c>
      <c r="I78" s="596"/>
    </row>
    <row r="79" spans="1:10">
      <c r="A79" s="597">
        <f>$B$28/$B$25</f>
        <v>1</v>
      </c>
      <c r="B79" s="598" t="s">
        <v>26903</v>
      </c>
      <c r="C79" s="597">
        <f>$C$28/$C$25</f>
        <v>1.0123847476168153</v>
      </c>
      <c r="D79" s="598" t="s">
        <v>26903</v>
      </c>
      <c r="E79" s="597">
        <f>$F$28/$F$25</f>
        <v>1.0056520846397594</v>
      </c>
      <c r="F79" s="598" t="s">
        <v>26903</v>
      </c>
      <c r="G79" s="597">
        <f>$H$28/$H$25</f>
        <v>1.008084476625039</v>
      </c>
      <c r="H79" s="598" t="s">
        <v>26903</v>
      </c>
      <c r="J79" s="596"/>
    </row>
    <row r="80" spans="1:10" ht="15.75" thickBot="1">
      <c r="A80" s="725" t="s">
        <v>26897</v>
      </c>
      <c r="B80" s="726"/>
      <c r="C80" s="725" t="s">
        <v>26898</v>
      </c>
      <c r="D80" s="726"/>
      <c r="E80" s="725" t="s">
        <v>26899</v>
      </c>
      <c r="F80" s="726"/>
      <c r="G80" s="725" t="s">
        <v>26900</v>
      </c>
      <c r="H80" s="726"/>
      <c r="J80" s="596"/>
    </row>
    <row r="81" spans="1:10" ht="15.75" thickBot="1">
      <c r="A81" s="589"/>
      <c r="B81" s="589"/>
      <c r="C81" s="589"/>
      <c r="D81" s="589"/>
      <c r="E81" s="589"/>
      <c r="F81" s="589"/>
      <c r="G81" s="589"/>
    </row>
    <row r="82" spans="1:10" ht="15.75" thickBot="1">
      <c r="A82" s="723" t="s">
        <v>26891</v>
      </c>
      <c r="B82" s="724"/>
      <c r="C82" s="723" t="s">
        <v>11</v>
      </c>
      <c r="D82" s="724"/>
      <c r="E82" s="723" t="s">
        <v>4542</v>
      </c>
      <c r="F82" s="724"/>
      <c r="G82" s="723" t="s">
        <v>26892</v>
      </c>
      <c r="H82" s="724"/>
    </row>
    <row r="83" spans="1:10" ht="28.5">
      <c r="A83" s="590" t="s">
        <v>26893</v>
      </c>
      <c r="B83" s="591" t="s">
        <v>26894</v>
      </c>
      <c r="C83" s="590" t="s">
        <v>26893</v>
      </c>
      <c r="D83" s="591" t="s">
        <v>26894</v>
      </c>
      <c r="E83" s="590" t="s">
        <v>26893</v>
      </c>
      <c r="F83" s="591" t="s">
        <v>26894</v>
      </c>
      <c r="G83" s="590" t="s">
        <v>26893</v>
      </c>
      <c r="H83" s="591" t="s">
        <v>26894</v>
      </c>
    </row>
    <row r="84" spans="1:10">
      <c r="A84" s="592"/>
      <c r="B84" s="601"/>
      <c r="C84" s="592">
        <f>PRODUCT($D$26:$D$29)</f>
        <v>1.0148407421614172</v>
      </c>
      <c r="D84" s="593"/>
      <c r="E84" s="594">
        <f>PRODUCT($E$26:$E$29)</f>
        <v>1.0067730675530941</v>
      </c>
      <c r="F84" s="593"/>
      <c r="G84" s="594">
        <f>PRODUCT($G$26:$G$29)</f>
        <v>1.0101312445015558</v>
      </c>
      <c r="H84" s="593"/>
    </row>
    <row r="85" spans="1:10">
      <c r="A85" s="592"/>
      <c r="B85" s="593"/>
      <c r="C85" s="592"/>
      <c r="D85" s="593"/>
      <c r="E85" s="592"/>
      <c r="F85" s="593"/>
      <c r="G85" s="592"/>
      <c r="H85" s="593"/>
    </row>
    <row r="86" spans="1:10" ht="28.5">
      <c r="A86" s="595" t="s">
        <v>26895</v>
      </c>
      <c r="B86" s="591" t="s">
        <v>26896</v>
      </c>
      <c r="C86" s="595" t="s">
        <v>26895</v>
      </c>
      <c r="D86" s="591" t="s">
        <v>26896</v>
      </c>
      <c r="E86" s="595" t="s">
        <v>26895</v>
      </c>
      <c r="F86" s="591" t="s">
        <v>26896</v>
      </c>
      <c r="G86" s="595" t="s">
        <v>26895</v>
      </c>
      <c r="H86" s="591" t="s">
        <v>26896</v>
      </c>
      <c r="I86" s="596"/>
    </row>
    <row r="87" spans="1:10">
      <c r="A87" s="597">
        <f>$B$29/$B$25</f>
        <v>1</v>
      </c>
      <c r="B87" s="598" t="s">
        <v>26904</v>
      </c>
      <c r="C87" s="597">
        <f>$C$29/$C$25</f>
        <v>1.0148407421614174</v>
      </c>
      <c r="D87" s="598" t="s">
        <v>26904</v>
      </c>
      <c r="E87" s="597">
        <f>$F$29/$F$25</f>
        <v>1.0067730675530939</v>
      </c>
      <c r="F87" s="598" t="s">
        <v>26904</v>
      </c>
      <c r="G87" s="597">
        <f>$H$29/$H$25</f>
        <v>1.0101312445015558</v>
      </c>
      <c r="H87" s="598" t="s">
        <v>26904</v>
      </c>
      <c r="J87" s="596"/>
    </row>
    <row r="88" spans="1:10" ht="15.75" thickBot="1">
      <c r="A88" s="725" t="s">
        <v>26897</v>
      </c>
      <c r="B88" s="726"/>
      <c r="C88" s="725" t="s">
        <v>26898</v>
      </c>
      <c r="D88" s="726"/>
      <c r="E88" s="725" t="s">
        <v>26899</v>
      </c>
      <c r="F88" s="726"/>
      <c r="G88" s="725" t="s">
        <v>26900</v>
      </c>
      <c r="H88" s="726"/>
      <c r="J88" s="596"/>
    </row>
    <row r="89" spans="1:10" ht="15.75" thickBot="1">
      <c r="A89" s="589"/>
      <c r="B89" s="589"/>
      <c r="C89" s="589"/>
      <c r="D89" s="589"/>
      <c r="E89" s="589"/>
      <c r="F89" s="589"/>
      <c r="G89" s="589"/>
    </row>
    <row r="90" spans="1:10" ht="15.75" thickBot="1">
      <c r="A90" s="723" t="s">
        <v>26891</v>
      </c>
      <c r="B90" s="724"/>
      <c r="C90" s="723" t="s">
        <v>11</v>
      </c>
      <c r="D90" s="724"/>
      <c r="E90" s="723" t="s">
        <v>4542</v>
      </c>
      <c r="F90" s="724"/>
      <c r="G90" s="723" t="s">
        <v>26892</v>
      </c>
      <c r="H90" s="724"/>
    </row>
    <row r="91" spans="1:10" ht="28.5">
      <c r="A91" s="590" t="s">
        <v>26893</v>
      </c>
      <c r="B91" s="591" t="s">
        <v>26894</v>
      </c>
      <c r="C91" s="590" t="s">
        <v>26893</v>
      </c>
      <c r="D91" s="591" t="s">
        <v>26894</v>
      </c>
      <c r="E91" s="590" t="s">
        <v>26893</v>
      </c>
      <c r="F91" s="591" t="s">
        <v>26894</v>
      </c>
      <c r="G91" s="590" t="s">
        <v>26893</v>
      </c>
      <c r="H91" s="591" t="s">
        <v>26894</v>
      </c>
    </row>
    <row r="92" spans="1:10">
      <c r="A92" s="592"/>
      <c r="B92" s="601"/>
      <c r="C92" s="592">
        <f>PRODUCT($D$26:$D$30)</f>
        <v>1.0216244725738395</v>
      </c>
      <c r="D92" s="593"/>
      <c r="E92" s="594">
        <f>PRODUCT($E$26:$E$30)</f>
        <v>1.009869644115672</v>
      </c>
      <c r="F92" s="593"/>
      <c r="G92" s="594">
        <f>PRODUCT($G$26:$G$30)</f>
        <v>1.0135489364758148</v>
      </c>
      <c r="H92" s="593"/>
    </row>
    <row r="93" spans="1:10">
      <c r="A93" s="592"/>
      <c r="B93" s="593"/>
      <c r="C93" s="592"/>
      <c r="D93" s="593"/>
      <c r="E93" s="592"/>
      <c r="F93" s="593"/>
      <c r="G93" s="592"/>
      <c r="H93" s="593"/>
    </row>
    <row r="94" spans="1:10" ht="28.5">
      <c r="A94" s="595" t="s">
        <v>26895</v>
      </c>
      <c r="B94" s="591" t="s">
        <v>26896</v>
      </c>
      <c r="C94" s="595" t="s">
        <v>26895</v>
      </c>
      <c r="D94" s="591" t="s">
        <v>26896</v>
      </c>
      <c r="E94" s="595" t="s">
        <v>26895</v>
      </c>
      <c r="F94" s="591" t="s">
        <v>26896</v>
      </c>
      <c r="G94" s="595" t="s">
        <v>26895</v>
      </c>
      <c r="H94" s="591" t="s">
        <v>26896</v>
      </c>
      <c r="I94" s="596"/>
    </row>
    <row r="95" spans="1:10">
      <c r="A95" s="597">
        <f>$B$30/$B$25</f>
        <v>1</v>
      </c>
      <c r="B95" s="598" t="s">
        <v>26905</v>
      </c>
      <c r="C95" s="597">
        <f>$C$30/$C$25</f>
        <v>1.0216244725738397</v>
      </c>
      <c r="D95" s="598" t="s">
        <v>26905</v>
      </c>
      <c r="E95" s="597">
        <f>$F$30/$F$25</f>
        <v>1.009869644115672</v>
      </c>
      <c r="F95" s="598" t="s">
        <v>26905</v>
      </c>
      <c r="G95" s="597">
        <f>$H$30/$H$25</f>
        <v>1.0135489364758146</v>
      </c>
      <c r="H95" s="598" t="s">
        <v>26905</v>
      </c>
      <c r="J95" s="596"/>
    </row>
    <row r="96" spans="1:10" ht="15.75" thickBot="1">
      <c r="A96" s="725" t="s">
        <v>26897</v>
      </c>
      <c r="B96" s="726"/>
      <c r="C96" s="725" t="s">
        <v>26898</v>
      </c>
      <c r="D96" s="726"/>
      <c r="E96" s="725" t="s">
        <v>26899</v>
      </c>
      <c r="F96" s="726"/>
      <c r="G96" s="725" t="s">
        <v>26900</v>
      </c>
      <c r="H96" s="726"/>
      <c r="J96" s="596"/>
    </row>
    <row r="97" spans="1:10" ht="15.75" thickBot="1">
      <c r="A97" s="589"/>
      <c r="B97" s="589"/>
      <c r="C97" s="589"/>
      <c r="D97" s="589"/>
      <c r="E97" s="589"/>
      <c r="F97" s="589"/>
      <c r="G97" s="589"/>
    </row>
    <row r="98" spans="1:10" ht="15.75" thickBot="1">
      <c r="A98" s="723" t="s">
        <v>26891</v>
      </c>
      <c r="B98" s="724"/>
      <c r="C98" s="723" t="s">
        <v>11</v>
      </c>
      <c r="D98" s="724"/>
      <c r="E98" s="723" t="s">
        <v>4542</v>
      </c>
      <c r="F98" s="724"/>
      <c r="G98" s="723" t="s">
        <v>26892</v>
      </c>
      <c r="H98" s="724"/>
    </row>
    <row r="99" spans="1:10" ht="28.5">
      <c r="A99" s="590" t="s">
        <v>26893</v>
      </c>
      <c r="B99" s="591" t="s">
        <v>26894</v>
      </c>
      <c r="C99" s="590" t="s">
        <v>26893</v>
      </c>
      <c r="D99" s="591" t="s">
        <v>26894</v>
      </c>
      <c r="E99" s="590" t="s">
        <v>26893</v>
      </c>
      <c r="F99" s="591" t="s">
        <v>26894</v>
      </c>
      <c r="G99" s="590" t="s">
        <v>26893</v>
      </c>
      <c r="H99" s="591" t="s">
        <v>26894</v>
      </c>
    </row>
    <row r="100" spans="1:10">
      <c r="A100" s="592"/>
      <c r="B100" s="601"/>
      <c r="C100" s="592">
        <f>PRODUCT($D$26:$D$40)</f>
        <v>1.1888967026097828</v>
      </c>
      <c r="D100" s="593"/>
      <c r="E100" s="594">
        <f>PRODUCT($E$26:$E$40)</f>
        <v>1.0999839066809471</v>
      </c>
      <c r="F100" s="593"/>
      <c r="G100" s="594">
        <f>PRODUCT($G$26:$G$40)</f>
        <v>1.1390481246938189</v>
      </c>
      <c r="H100" s="593"/>
    </row>
    <row r="101" spans="1:10">
      <c r="A101" s="592"/>
      <c r="B101" s="593"/>
      <c r="C101" s="592"/>
      <c r="D101" s="593"/>
      <c r="E101" s="592"/>
      <c r="F101" s="593"/>
      <c r="G101" s="592"/>
      <c r="H101" s="593"/>
    </row>
    <row r="102" spans="1:10" ht="28.5">
      <c r="A102" s="595" t="s">
        <v>26895</v>
      </c>
      <c r="B102" s="591" t="s">
        <v>26896</v>
      </c>
      <c r="C102" s="595" t="s">
        <v>26895</v>
      </c>
      <c r="D102" s="591" t="s">
        <v>26896</v>
      </c>
      <c r="E102" s="595" t="s">
        <v>26895</v>
      </c>
      <c r="F102" s="591" t="s">
        <v>26896</v>
      </c>
      <c r="G102" s="595" t="s">
        <v>26895</v>
      </c>
      <c r="H102" s="591" t="s">
        <v>26896</v>
      </c>
      <c r="I102" s="596"/>
    </row>
    <row r="103" spans="1:10">
      <c r="A103" s="597">
        <f>$B$40/$B$25</f>
        <v>1.0253250946505434</v>
      </c>
      <c r="B103" s="598" t="s">
        <v>26918</v>
      </c>
      <c r="C103" s="597">
        <f>$C$40/$C$25</f>
        <v>1.1888967026097828</v>
      </c>
      <c r="D103" s="598" t="s">
        <v>26918</v>
      </c>
      <c r="E103" s="597">
        <f>$F$40/$F$25</f>
        <v>1.0999839066809471</v>
      </c>
      <c r="F103" s="598" t="s">
        <v>26918</v>
      </c>
      <c r="G103" s="597">
        <f>$H$40/$H$25</f>
        <v>1.1390481246938184</v>
      </c>
      <c r="H103" s="598" t="s">
        <v>26918</v>
      </c>
      <c r="J103" s="596"/>
    </row>
    <row r="104" spans="1:10" ht="15.75" thickBot="1">
      <c r="A104" s="725" t="s">
        <v>26897</v>
      </c>
      <c r="B104" s="726"/>
      <c r="C104" s="725" t="s">
        <v>26898</v>
      </c>
      <c r="D104" s="726"/>
      <c r="E104" s="725" t="s">
        <v>26899</v>
      </c>
      <c r="F104" s="726"/>
      <c r="G104" s="725" t="s">
        <v>26900</v>
      </c>
      <c r="H104" s="726"/>
      <c r="J104" s="596"/>
    </row>
    <row r="105" spans="1:10">
      <c r="A105" s="589"/>
      <c r="B105" s="589"/>
      <c r="C105" s="589"/>
      <c r="D105" s="589"/>
      <c r="E105" s="589"/>
      <c r="F105" s="589"/>
      <c r="G105" s="589"/>
    </row>
    <row r="106" spans="1:10">
      <c r="A106" s="599"/>
      <c r="B106" s="599"/>
      <c r="C106" s="599"/>
      <c r="D106" s="599"/>
      <c r="E106" s="599"/>
      <c r="F106" s="599"/>
      <c r="G106" s="599"/>
      <c r="H106" s="599"/>
      <c r="J106" s="596"/>
    </row>
    <row r="107" spans="1:10">
      <c r="A107" s="599"/>
      <c r="B107" s="599"/>
      <c r="C107" s="599"/>
      <c r="D107" s="599"/>
      <c r="E107" s="599"/>
      <c r="F107" s="599"/>
      <c r="G107" s="599"/>
      <c r="H107" s="599"/>
      <c r="J107" s="596"/>
    </row>
    <row r="108" spans="1:10">
      <c r="A108" s="599"/>
      <c r="B108" s="599"/>
      <c r="C108" s="599"/>
      <c r="D108" s="599"/>
      <c r="E108" s="599"/>
      <c r="F108" s="599"/>
      <c r="G108" s="599"/>
      <c r="H108" s="599"/>
      <c r="J108" s="596"/>
    </row>
    <row r="109" spans="1:10" s="54" customFormat="1" ht="41.25" customHeight="1">
      <c r="A109" s="671" t="str">
        <f>'036-20-CAPA'!B40</f>
        <v>ENG. GILMAR DA MOTA FERNANDES
CREA 23785/D-DF
ART: 0720200027743</v>
      </c>
      <c r="B109" s="671"/>
      <c r="C109" s="671"/>
      <c r="D109" s="671"/>
      <c r="E109" s="671"/>
      <c r="F109" s="671"/>
      <c r="G109" s="671"/>
      <c r="H109" s="671"/>
    </row>
    <row r="110" spans="1:10">
      <c r="A110" s="599"/>
      <c r="B110" s="599"/>
      <c r="C110" s="599"/>
      <c r="D110" s="599"/>
      <c r="E110" s="599"/>
      <c r="F110" s="599"/>
      <c r="G110" s="599"/>
      <c r="H110" s="599"/>
      <c r="J110" s="596"/>
    </row>
    <row r="111" spans="1:10">
      <c r="D111" s="600"/>
      <c r="H111" s="596"/>
    </row>
  </sheetData>
  <mergeCells count="67">
    <mergeCell ref="A1:H1"/>
    <mergeCell ref="A2:F2"/>
    <mergeCell ref="C64:D64"/>
    <mergeCell ref="E64:F64"/>
    <mergeCell ref="G64:H64"/>
    <mergeCell ref="A50:B50"/>
    <mergeCell ref="C50:D50"/>
    <mergeCell ref="E50:F50"/>
    <mergeCell ref="G50:H50"/>
    <mergeCell ref="A56:B56"/>
    <mergeCell ref="C56:D56"/>
    <mergeCell ref="E56:F56"/>
    <mergeCell ref="G56:H56"/>
    <mergeCell ref="A42:B42"/>
    <mergeCell ref="C42:D42"/>
    <mergeCell ref="E42:F42"/>
    <mergeCell ref="E80:F80"/>
    <mergeCell ref="G80:H80"/>
    <mergeCell ref="A72:B72"/>
    <mergeCell ref="C72:D72"/>
    <mergeCell ref="E72:F72"/>
    <mergeCell ref="G72:H72"/>
    <mergeCell ref="A109:H109"/>
    <mergeCell ref="A58:B58"/>
    <mergeCell ref="C58:D58"/>
    <mergeCell ref="E58:F58"/>
    <mergeCell ref="G58:H58"/>
    <mergeCell ref="A64:B64"/>
    <mergeCell ref="A96:B96"/>
    <mergeCell ref="C96:D96"/>
    <mergeCell ref="E96:F96"/>
    <mergeCell ref="G96:H96"/>
    <mergeCell ref="A88:B88"/>
    <mergeCell ref="C88:D88"/>
    <mergeCell ref="E88:F88"/>
    <mergeCell ref="G88:H88"/>
    <mergeCell ref="A80:B80"/>
    <mergeCell ref="C80:D80"/>
    <mergeCell ref="A66:B66"/>
    <mergeCell ref="C66:D66"/>
    <mergeCell ref="E66:F66"/>
    <mergeCell ref="G66:H66"/>
    <mergeCell ref="A74:B74"/>
    <mergeCell ref="C74:D74"/>
    <mergeCell ref="E74:F74"/>
    <mergeCell ref="G74:H74"/>
    <mergeCell ref="A82:B82"/>
    <mergeCell ref="C82:D82"/>
    <mergeCell ref="E82:F82"/>
    <mergeCell ref="G82:H82"/>
    <mergeCell ref="A90:B90"/>
    <mergeCell ref="C90:D90"/>
    <mergeCell ref="E90:F90"/>
    <mergeCell ref="G90:H90"/>
    <mergeCell ref="A98:B98"/>
    <mergeCell ref="C98:D98"/>
    <mergeCell ref="E98:F98"/>
    <mergeCell ref="G98:H98"/>
    <mergeCell ref="A104:B104"/>
    <mergeCell ref="C104:D104"/>
    <mergeCell ref="E104:F104"/>
    <mergeCell ref="G104:H104"/>
    <mergeCell ref="G42:H42"/>
    <mergeCell ref="A48:B48"/>
    <mergeCell ref="C48:D48"/>
    <mergeCell ref="E48:F48"/>
    <mergeCell ref="G48:H48"/>
  </mergeCells>
  <pageMargins left="0.51181102362204722" right="0.51181102362204722" top="0.78740157480314965" bottom="0.78740157480314965" header="0.31496062992125984" footer="0.31496062992125984"/>
  <pageSetup paperSize="9" scale="63" orientation="portrait" r:id="rId1"/>
  <headerFooter>
    <oddHeader>&amp;F</oddHeader>
    <oddFooter>Página &amp;P de &amp;N</oddFooter>
  </headerFooter>
  <legacyDrawing r:id="rId2"/>
</worksheet>
</file>

<file path=xl/worksheets/sheet10.xml><?xml version="1.0" encoding="utf-8"?>
<worksheet xmlns="http://schemas.openxmlformats.org/spreadsheetml/2006/main" xmlns:r="http://schemas.openxmlformats.org/officeDocument/2006/relationships">
  <sheetPr>
    <tabColor rgb="FFFF0000"/>
  </sheetPr>
  <dimension ref="A1:IN606"/>
  <sheetViews>
    <sheetView view="pageBreakPreview" topLeftCell="A43" zoomScale="85" zoomScaleNormal="100" zoomScaleSheetLayoutView="85" workbookViewId="0">
      <selection activeCell="R76" sqref="R76"/>
    </sheetView>
  </sheetViews>
  <sheetFormatPr defaultRowHeight="11.25"/>
  <cols>
    <col min="1" max="1" width="12.85546875" style="116" customWidth="1"/>
    <col min="2" max="2" width="30.42578125" style="114" customWidth="1"/>
    <col min="3" max="3" width="14" style="116" customWidth="1"/>
    <col min="4" max="6" width="14.7109375" style="117" customWidth="1"/>
    <col min="7" max="7" width="14.7109375" style="116" customWidth="1"/>
    <col min="8" max="13" width="14.7109375" style="125" customWidth="1"/>
    <col min="14" max="14" width="14.28515625" style="116" customWidth="1"/>
    <col min="15" max="15" width="15.140625" style="116" customWidth="1"/>
    <col min="16" max="16" width="16.28515625" style="116" customWidth="1"/>
    <col min="17" max="250" width="9.140625" style="116"/>
    <col min="251" max="251" width="8.85546875" style="116" customWidth="1"/>
    <col min="252" max="252" width="34.140625" style="116" customWidth="1"/>
    <col min="253" max="253" width="17.7109375" style="116" bestFit="1" customWidth="1"/>
    <col min="254" max="254" width="12.28515625" style="116" customWidth="1"/>
    <col min="255" max="256" width="13" style="116" customWidth="1"/>
    <col min="257" max="257" width="12.28515625" style="116" customWidth="1"/>
    <col min="258" max="258" width="13.28515625" style="116" customWidth="1"/>
    <col min="259" max="259" width="12.28515625" style="116" customWidth="1"/>
    <col min="260" max="260" width="13.28515625" style="116" customWidth="1"/>
    <col min="261" max="261" width="12.28515625" style="116" customWidth="1"/>
    <col min="262" max="262" width="13.28515625" style="116" customWidth="1"/>
    <col min="263" max="263" width="12.28515625" style="116" customWidth="1"/>
    <col min="264" max="264" width="13.28515625" style="116" customWidth="1"/>
    <col min="265" max="265" width="12.28515625" style="116" customWidth="1"/>
    <col min="266" max="266" width="13.28515625" style="116" customWidth="1"/>
    <col min="267" max="267" width="12.28515625" style="116" customWidth="1"/>
    <col min="268" max="268" width="13.28515625" style="116" customWidth="1"/>
    <col min="269" max="269" width="12.28515625" style="116" customWidth="1"/>
    <col min="270" max="270" width="14.28515625" style="116" customWidth="1"/>
    <col min="271" max="271" width="15.140625" style="116" customWidth="1"/>
    <col min="272" max="506" width="9.140625" style="116"/>
    <col min="507" max="507" width="8.85546875" style="116" customWidth="1"/>
    <col min="508" max="508" width="34.140625" style="116" customWidth="1"/>
    <col min="509" max="509" width="17.7109375" style="116" bestFit="1" customWidth="1"/>
    <col min="510" max="510" width="12.28515625" style="116" customWidth="1"/>
    <col min="511" max="512" width="13" style="116" customWidth="1"/>
    <col min="513" max="513" width="12.28515625" style="116" customWidth="1"/>
    <col min="514" max="514" width="13.28515625" style="116" customWidth="1"/>
    <col min="515" max="515" width="12.28515625" style="116" customWidth="1"/>
    <col min="516" max="516" width="13.28515625" style="116" customWidth="1"/>
    <col min="517" max="517" width="12.28515625" style="116" customWidth="1"/>
    <col min="518" max="518" width="13.28515625" style="116" customWidth="1"/>
    <col min="519" max="519" width="12.28515625" style="116" customWidth="1"/>
    <col min="520" max="520" width="13.28515625" style="116" customWidth="1"/>
    <col min="521" max="521" width="12.28515625" style="116" customWidth="1"/>
    <col min="522" max="522" width="13.28515625" style="116" customWidth="1"/>
    <col min="523" max="523" width="12.28515625" style="116" customWidth="1"/>
    <col min="524" max="524" width="13.28515625" style="116" customWidth="1"/>
    <col min="525" max="525" width="12.28515625" style="116" customWidth="1"/>
    <col min="526" max="526" width="14.28515625" style="116" customWidth="1"/>
    <col min="527" max="527" width="15.140625" style="116" customWidth="1"/>
    <col min="528" max="762" width="9.140625" style="116"/>
    <col min="763" max="763" width="8.85546875" style="116" customWidth="1"/>
    <col min="764" max="764" width="34.140625" style="116" customWidth="1"/>
    <col min="765" max="765" width="17.7109375" style="116" bestFit="1" customWidth="1"/>
    <col min="766" max="766" width="12.28515625" style="116" customWidth="1"/>
    <col min="767" max="768" width="13" style="116" customWidth="1"/>
    <col min="769" max="769" width="12.28515625" style="116" customWidth="1"/>
    <col min="770" max="770" width="13.28515625" style="116" customWidth="1"/>
    <col min="771" max="771" width="12.28515625" style="116" customWidth="1"/>
    <col min="772" max="772" width="13.28515625" style="116" customWidth="1"/>
    <col min="773" max="773" width="12.28515625" style="116" customWidth="1"/>
    <col min="774" max="774" width="13.28515625" style="116" customWidth="1"/>
    <col min="775" max="775" width="12.28515625" style="116" customWidth="1"/>
    <col min="776" max="776" width="13.28515625" style="116" customWidth="1"/>
    <col min="777" max="777" width="12.28515625" style="116" customWidth="1"/>
    <col min="778" max="778" width="13.28515625" style="116" customWidth="1"/>
    <col min="779" max="779" width="12.28515625" style="116" customWidth="1"/>
    <col min="780" max="780" width="13.28515625" style="116" customWidth="1"/>
    <col min="781" max="781" width="12.28515625" style="116" customWidth="1"/>
    <col min="782" max="782" width="14.28515625" style="116" customWidth="1"/>
    <col min="783" max="783" width="15.140625" style="116" customWidth="1"/>
    <col min="784" max="1018" width="9.140625" style="116"/>
    <col min="1019" max="1019" width="8.85546875" style="116" customWidth="1"/>
    <col min="1020" max="1020" width="34.140625" style="116" customWidth="1"/>
    <col min="1021" max="1021" width="17.7109375" style="116" bestFit="1" customWidth="1"/>
    <col min="1022" max="1022" width="12.28515625" style="116" customWidth="1"/>
    <col min="1023" max="1024" width="13" style="116" customWidth="1"/>
    <col min="1025" max="1025" width="12.28515625" style="116" customWidth="1"/>
    <col min="1026" max="1026" width="13.28515625" style="116" customWidth="1"/>
    <col min="1027" max="1027" width="12.28515625" style="116" customWidth="1"/>
    <col min="1028" max="1028" width="13.28515625" style="116" customWidth="1"/>
    <col min="1029" max="1029" width="12.28515625" style="116" customWidth="1"/>
    <col min="1030" max="1030" width="13.28515625" style="116" customWidth="1"/>
    <col min="1031" max="1031" width="12.28515625" style="116" customWidth="1"/>
    <col min="1032" max="1032" width="13.28515625" style="116" customWidth="1"/>
    <col min="1033" max="1033" width="12.28515625" style="116" customWidth="1"/>
    <col min="1034" max="1034" width="13.28515625" style="116" customWidth="1"/>
    <col min="1035" max="1035" width="12.28515625" style="116" customWidth="1"/>
    <col min="1036" max="1036" width="13.28515625" style="116" customWidth="1"/>
    <col min="1037" max="1037" width="12.28515625" style="116" customWidth="1"/>
    <col min="1038" max="1038" width="14.28515625" style="116" customWidth="1"/>
    <col min="1039" max="1039" width="15.140625" style="116" customWidth="1"/>
    <col min="1040" max="1274" width="9.140625" style="116"/>
    <col min="1275" max="1275" width="8.85546875" style="116" customWidth="1"/>
    <col min="1276" max="1276" width="34.140625" style="116" customWidth="1"/>
    <col min="1277" max="1277" width="17.7109375" style="116" bestFit="1" customWidth="1"/>
    <col min="1278" max="1278" width="12.28515625" style="116" customWidth="1"/>
    <col min="1279" max="1280" width="13" style="116" customWidth="1"/>
    <col min="1281" max="1281" width="12.28515625" style="116" customWidth="1"/>
    <col min="1282" max="1282" width="13.28515625" style="116" customWidth="1"/>
    <col min="1283" max="1283" width="12.28515625" style="116" customWidth="1"/>
    <col min="1284" max="1284" width="13.28515625" style="116" customWidth="1"/>
    <col min="1285" max="1285" width="12.28515625" style="116" customWidth="1"/>
    <col min="1286" max="1286" width="13.28515625" style="116" customWidth="1"/>
    <col min="1287" max="1287" width="12.28515625" style="116" customWidth="1"/>
    <col min="1288" max="1288" width="13.28515625" style="116" customWidth="1"/>
    <col min="1289" max="1289" width="12.28515625" style="116" customWidth="1"/>
    <col min="1290" max="1290" width="13.28515625" style="116" customWidth="1"/>
    <col min="1291" max="1291" width="12.28515625" style="116" customWidth="1"/>
    <col min="1292" max="1292" width="13.28515625" style="116" customWidth="1"/>
    <col min="1293" max="1293" width="12.28515625" style="116" customWidth="1"/>
    <col min="1294" max="1294" width="14.28515625" style="116" customWidth="1"/>
    <col min="1295" max="1295" width="15.140625" style="116" customWidth="1"/>
    <col min="1296" max="1530" width="9.140625" style="116"/>
    <col min="1531" max="1531" width="8.85546875" style="116" customWidth="1"/>
    <col min="1532" max="1532" width="34.140625" style="116" customWidth="1"/>
    <col min="1533" max="1533" width="17.7109375" style="116" bestFit="1" customWidth="1"/>
    <col min="1534" max="1534" width="12.28515625" style="116" customWidth="1"/>
    <col min="1535" max="1536" width="13" style="116" customWidth="1"/>
    <col min="1537" max="1537" width="12.28515625" style="116" customWidth="1"/>
    <col min="1538" max="1538" width="13.28515625" style="116" customWidth="1"/>
    <col min="1539" max="1539" width="12.28515625" style="116" customWidth="1"/>
    <col min="1540" max="1540" width="13.28515625" style="116" customWidth="1"/>
    <col min="1541" max="1541" width="12.28515625" style="116" customWidth="1"/>
    <col min="1542" max="1542" width="13.28515625" style="116" customWidth="1"/>
    <col min="1543" max="1543" width="12.28515625" style="116" customWidth="1"/>
    <col min="1544" max="1544" width="13.28515625" style="116" customWidth="1"/>
    <col min="1545" max="1545" width="12.28515625" style="116" customWidth="1"/>
    <col min="1546" max="1546" width="13.28515625" style="116" customWidth="1"/>
    <col min="1547" max="1547" width="12.28515625" style="116" customWidth="1"/>
    <col min="1548" max="1548" width="13.28515625" style="116" customWidth="1"/>
    <col min="1549" max="1549" width="12.28515625" style="116" customWidth="1"/>
    <col min="1550" max="1550" width="14.28515625" style="116" customWidth="1"/>
    <col min="1551" max="1551" width="15.140625" style="116" customWidth="1"/>
    <col min="1552" max="1786" width="9.140625" style="116"/>
    <col min="1787" max="1787" width="8.85546875" style="116" customWidth="1"/>
    <col min="1788" max="1788" width="34.140625" style="116" customWidth="1"/>
    <col min="1789" max="1789" width="17.7109375" style="116" bestFit="1" customWidth="1"/>
    <col min="1790" max="1790" width="12.28515625" style="116" customWidth="1"/>
    <col min="1791" max="1792" width="13" style="116" customWidth="1"/>
    <col min="1793" max="1793" width="12.28515625" style="116" customWidth="1"/>
    <col min="1794" max="1794" width="13.28515625" style="116" customWidth="1"/>
    <col min="1795" max="1795" width="12.28515625" style="116" customWidth="1"/>
    <col min="1796" max="1796" width="13.28515625" style="116" customWidth="1"/>
    <col min="1797" max="1797" width="12.28515625" style="116" customWidth="1"/>
    <col min="1798" max="1798" width="13.28515625" style="116" customWidth="1"/>
    <col min="1799" max="1799" width="12.28515625" style="116" customWidth="1"/>
    <col min="1800" max="1800" width="13.28515625" style="116" customWidth="1"/>
    <col min="1801" max="1801" width="12.28515625" style="116" customWidth="1"/>
    <col min="1802" max="1802" width="13.28515625" style="116" customWidth="1"/>
    <col min="1803" max="1803" width="12.28515625" style="116" customWidth="1"/>
    <col min="1804" max="1804" width="13.28515625" style="116" customWidth="1"/>
    <col min="1805" max="1805" width="12.28515625" style="116" customWidth="1"/>
    <col min="1806" max="1806" width="14.28515625" style="116" customWidth="1"/>
    <col min="1807" max="1807" width="15.140625" style="116" customWidth="1"/>
    <col min="1808" max="2042" width="9.140625" style="116"/>
    <col min="2043" max="2043" width="8.85546875" style="116" customWidth="1"/>
    <col min="2044" max="2044" width="34.140625" style="116" customWidth="1"/>
    <col min="2045" max="2045" width="17.7109375" style="116" bestFit="1" customWidth="1"/>
    <col min="2046" max="2046" width="12.28515625" style="116" customWidth="1"/>
    <col min="2047" max="2048" width="13" style="116" customWidth="1"/>
    <col min="2049" max="2049" width="12.28515625" style="116" customWidth="1"/>
    <col min="2050" max="2050" width="13.28515625" style="116" customWidth="1"/>
    <col min="2051" max="2051" width="12.28515625" style="116" customWidth="1"/>
    <col min="2052" max="2052" width="13.28515625" style="116" customWidth="1"/>
    <col min="2053" max="2053" width="12.28515625" style="116" customWidth="1"/>
    <col min="2054" max="2054" width="13.28515625" style="116" customWidth="1"/>
    <col min="2055" max="2055" width="12.28515625" style="116" customWidth="1"/>
    <col min="2056" max="2056" width="13.28515625" style="116" customWidth="1"/>
    <col min="2057" max="2057" width="12.28515625" style="116" customWidth="1"/>
    <col min="2058" max="2058" width="13.28515625" style="116" customWidth="1"/>
    <col min="2059" max="2059" width="12.28515625" style="116" customWidth="1"/>
    <col min="2060" max="2060" width="13.28515625" style="116" customWidth="1"/>
    <col min="2061" max="2061" width="12.28515625" style="116" customWidth="1"/>
    <col min="2062" max="2062" width="14.28515625" style="116" customWidth="1"/>
    <col min="2063" max="2063" width="15.140625" style="116" customWidth="1"/>
    <col min="2064" max="2298" width="9.140625" style="116"/>
    <col min="2299" max="2299" width="8.85546875" style="116" customWidth="1"/>
    <col min="2300" max="2300" width="34.140625" style="116" customWidth="1"/>
    <col min="2301" max="2301" width="17.7109375" style="116" bestFit="1" customWidth="1"/>
    <col min="2302" max="2302" width="12.28515625" style="116" customWidth="1"/>
    <col min="2303" max="2304" width="13" style="116" customWidth="1"/>
    <col min="2305" max="2305" width="12.28515625" style="116" customWidth="1"/>
    <col min="2306" max="2306" width="13.28515625" style="116" customWidth="1"/>
    <col min="2307" max="2307" width="12.28515625" style="116" customWidth="1"/>
    <col min="2308" max="2308" width="13.28515625" style="116" customWidth="1"/>
    <col min="2309" max="2309" width="12.28515625" style="116" customWidth="1"/>
    <col min="2310" max="2310" width="13.28515625" style="116" customWidth="1"/>
    <col min="2311" max="2311" width="12.28515625" style="116" customWidth="1"/>
    <col min="2312" max="2312" width="13.28515625" style="116" customWidth="1"/>
    <col min="2313" max="2313" width="12.28515625" style="116" customWidth="1"/>
    <col min="2314" max="2314" width="13.28515625" style="116" customWidth="1"/>
    <col min="2315" max="2315" width="12.28515625" style="116" customWidth="1"/>
    <col min="2316" max="2316" width="13.28515625" style="116" customWidth="1"/>
    <col min="2317" max="2317" width="12.28515625" style="116" customWidth="1"/>
    <col min="2318" max="2318" width="14.28515625" style="116" customWidth="1"/>
    <col min="2319" max="2319" width="15.140625" style="116" customWidth="1"/>
    <col min="2320" max="2554" width="9.140625" style="116"/>
    <col min="2555" max="2555" width="8.85546875" style="116" customWidth="1"/>
    <col min="2556" max="2556" width="34.140625" style="116" customWidth="1"/>
    <col min="2557" max="2557" width="17.7109375" style="116" bestFit="1" customWidth="1"/>
    <col min="2558" max="2558" width="12.28515625" style="116" customWidth="1"/>
    <col min="2559" max="2560" width="13" style="116" customWidth="1"/>
    <col min="2561" max="2561" width="12.28515625" style="116" customWidth="1"/>
    <col min="2562" max="2562" width="13.28515625" style="116" customWidth="1"/>
    <col min="2563" max="2563" width="12.28515625" style="116" customWidth="1"/>
    <col min="2564" max="2564" width="13.28515625" style="116" customWidth="1"/>
    <col min="2565" max="2565" width="12.28515625" style="116" customWidth="1"/>
    <col min="2566" max="2566" width="13.28515625" style="116" customWidth="1"/>
    <col min="2567" max="2567" width="12.28515625" style="116" customWidth="1"/>
    <col min="2568" max="2568" width="13.28515625" style="116" customWidth="1"/>
    <col min="2569" max="2569" width="12.28515625" style="116" customWidth="1"/>
    <col min="2570" max="2570" width="13.28515625" style="116" customWidth="1"/>
    <col min="2571" max="2571" width="12.28515625" style="116" customWidth="1"/>
    <col min="2572" max="2572" width="13.28515625" style="116" customWidth="1"/>
    <col min="2573" max="2573" width="12.28515625" style="116" customWidth="1"/>
    <col min="2574" max="2574" width="14.28515625" style="116" customWidth="1"/>
    <col min="2575" max="2575" width="15.140625" style="116" customWidth="1"/>
    <col min="2576" max="2810" width="9.140625" style="116"/>
    <col min="2811" max="2811" width="8.85546875" style="116" customWidth="1"/>
    <col min="2812" max="2812" width="34.140625" style="116" customWidth="1"/>
    <col min="2813" max="2813" width="17.7109375" style="116" bestFit="1" customWidth="1"/>
    <col min="2814" max="2814" width="12.28515625" style="116" customWidth="1"/>
    <col min="2815" max="2816" width="13" style="116" customWidth="1"/>
    <col min="2817" max="2817" width="12.28515625" style="116" customWidth="1"/>
    <col min="2818" max="2818" width="13.28515625" style="116" customWidth="1"/>
    <col min="2819" max="2819" width="12.28515625" style="116" customWidth="1"/>
    <col min="2820" max="2820" width="13.28515625" style="116" customWidth="1"/>
    <col min="2821" max="2821" width="12.28515625" style="116" customWidth="1"/>
    <col min="2822" max="2822" width="13.28515625" style="116" customWidth="1"/>
    <col min="2823" max="2823" width="12.28515625" style="116" customWidth="1"/>
    <col min="2824" max="2824" width="13.28515625" style="116" customWidth="1"/>
    <col min="2825" max="2825" width="12.28515625" style="116" customWidth="1"/>
    <col min="2826" max="2826" width="13.28515625" style="116" customWidth="1"/>
    <col min="2827" max="2827" width="12.28515625" style="116" customWidth="1"/>
    <col min="2828" max="2828" width="13.28515625" style="116" customWidth="1"/>
    <col min="2829" max="2829" width="12.28515625" style="116" customWidth="1"/>
    <col min="2830" max="2830" width="14.28515625" style="116" customWidth="1"/>
    <col min="2831" max="2831" width="15.140625" style="116" customWidth="1"/>
    <col min="2832" max="3066" width="9.140625" style="116"/>
    <col min="3067" max="3067" width="8.85546875" style="116" customWidth="1"/>
    <col min="3068" max="3068" width="34.140625" style="116" customWidth="1"/>
    <col min="3069" max="3069" width="17.7109375" style="116" bestFit="1" customWidth="1"/>
    <col min="3070" max="3070" width="12.28515625" style="116" customWidth="1"/>
    <col min="3071" max="3072" width="13" style="116" customWidth="1"/>
    <col min="3073" max="3073" width="12.28515625" style="116" customWidth="1"/>
    <col min="3074" max="3074" width="13.28515625" style="116" customWidth="1"/>
    <col min="3075" max="3075" width="12.28515625" style="116" customWidth="1"/>
    <col min="3076" max="3076" width="13.28515625" style="116" customWidth="1"/>
    <col min="3077" max="3077" width="12.28515625" style="116" customWidth="1"/>
    <col min="3078" max="3078" width="13.28515625" style="116" customWidth="1"/>
    <col min="3079" max="3079" width="12.28515625" style="116" customWidth="1"/>
    <col min="3080" max="3080" width="13.28515625" style="116" customWidth="1"/>
    <col min="3081" max="3081" width="12.28515625" style="116" customWidth="1"/>
    <col min="3082" max="3082" width="13.28515625" style="116" customWidth="1"/>
    <col min="3083" max="3083" width="12.28515625" style="116" customWidth="1"/>
    <col min="3084" max="3084" width="13.28515625" style="116" customWidth="1"/>
    <col min="3085" max="3085" width="12.28515625" style="116" customWidth="1"/>
    <col min="3086" max="3086" width="14.28515625" style="116" customWidth="1"/>
    <col min="3087" max="3087" width="15.140625" style="116" customWidth="1"/>
    <col min="3088" max="3322" width="9.140625" style="116"/>
    <col min="3323" max="3323" width="8.85546875" style="116" customWidth="1"/>
    <col min="3324" max="3324" width="34.140625" style="116" customWidth="1"/>
    <col min="3325" max="3325" width="17.7109375" style="116" bestFit="1" customWidth="1"/>
    <col min="3326" max="3326" width="12.28515625" style="116" customWidth="1"/>
    <col min="3327" max="3328" width="13" style="116" customWidth="1"/>
    <col min="3329" max="3329" width="12.28515625" style="116" customWidth="1"/>
    <col min="3330" max="3330" width="13.28515625" style="116" customWidth="1"/>
    <col min="3331" max="3331" width="12.28515625" style="116" customWidth="1"/>
    <col min="3332" max="3332" width="13.28515625" style="116" customWidth="1"/>
    <col min="3333" max="3333" width="12.28515625" style="116" customWidth="1"/>
    <col min="3334" max="3334" width="13.28515625" style="116" customWidth="1"/>
    <col min="3335" max="3335" width="12.28515625" style="116" customWidth="1"/>
    <col min="3336" max="3336" width="13.28515625" style="116" customWidth="1"/>
    <col min="3337" max="3337" width="12.28515625" style="116" customWidth="1"/>
    <col min="3338" max="3338" width="13.28515625" style="116" customWidth="1"/>
    <col min="3339" max="3339" width="12.28515625" style="116" customWidth="1"/>
    <col min="3340" max="3340" width="13.28515625" style="116" customWidth="1"/>
    <col min="3341" max="3341" width="12.28515625" style="116" customWidth="1"/>
    <col min="3342" max="3342" width="14.28515625" style="116" customWidth="1"/>
    <col min="3343" max="3343" width="15.140625" style="116" customWidth="1"/>
    <col min="3344" max="3578" width="9.140625" style="116"/>
    <col min="3579" max="3579" width="8.85546875" style="116" customWidth="1"/>
    <col min="3580" max="3580" width="34.140625" style="116" customWidth="1"/>
    <col min="3581" max="3581" width="17.7109375" style="116" bestFit="1" customWidth="1"/>
    <col min="3582" max="3582" width="12.28515625" style="116" customWidth="1"/>
    <col min="3583" max="3584" width="13" style="116" customWidth="1"/>
    <col min="3585" max="3585" width="12.28515625" style="116" customWidth="1"/>
    <col min="3586" max="3586" width="13.28515625" style="116" customWidth="1"/>
    <col min="3587" max="3587" width="12.28515625" style="116" customWidth="1"/>
    <col min="3588" max="3588" width="13.28515625" style="116" customWidth="1"/>
    <col min="3589" max="3589" width="12.28515625" style="116" customWidth="1"/>
    <col min="3590" max="3590" width="13.28515625" style="116" customWidth="1"/>
    <col min="3591" max="3591" width="12.28515625" style="116" customWidth="1"/>
    <col min="3592" max="3592" width="13.28515625" style="116" customWidth="1"/>
    <col min="3593" max="3593" width="12.28515625" style="116" customWidth="1"/>
    <col min="3594" max="3594" width="13.28515625" style="116" customWidth="1"/>
    <col min="3595" max="3595" width="12.28515625" style="116" customWidth="1"/>
    <col min="3596" max="3596" width="13.28515625" style="116" customWidth="1"/>
    <col min="3597" max="3597" width="12.28515625" style="116" customWidth="1"/>
    <col min="3598" max="3598" width="14.28515625" style="116" customWidth="1"/>
    <col min="3599" max="3599" width="15.140625" style="116" customWidth="1"/>
    <col min="3600" max="3834" width="9.140625" style="116"/>
    <col min="3835" max="3835" width="8.85546875" style="116" customWidth="1"/>
    <col min="3836" max="3836" width="34.140625" style="116" customWidth="1"/>
    <col min="3837" max="3837" width="17.7109375" style="116" bestFit="1" customWidth="1"/>
    <col min="3838" max="3838" width="12.28515625" style="116" customWidth="1"/>
    <col min="3839" max="3840" width="13" style="116" customWidth="1"/>
    <col min="3841" max="3841" width="12.28515625" style="116" customWidth="1"/>
    <col min="3842" max="3842" width="13.28515625" style="116" customWidth="1"/>
    <col min="3843" max="3843" width="12.28515625" style="116" customWidth="1"/>
    <col min="3844" max="3844" width="13.28515625" style="116" customWidth="1"/>
    <col min="3845" max="3845" width="12.28515625" style="116" customWidth="1"/>
    <col min="3846" max="3846" width="13.28515625" style="116" customWidth="1"/>
    <col min="3847" max="3847" width="12.28515625" style="116" customWidth="1"/>
    <col min="3848" max="3848" width="13.28515625" style="116" customWidth="1"/>
    <col min="3849" max="3849" width="12.28515625" style="116" customWidth="1"/>
    <col min="3850" max="3850" width="13.28515625" style="116" customWidth="1"/>
    <col min="3851" max="3851" width="12.28515625" style="116" customWidth="1"/>
    <col min="3852" max="3852" width="13.28515625" style="116" customWidth="1"/>
    <col min="3853" max="3853" width="12.28515625" style="116" customWidth="1"/>
    <col min="3854" max="3854" width="14.28515625" style="116" customWidth="1"/>
    <col min="3855" max="3855" width="15.140625" style="116" customWidth="1"/>
    <col min="3856" max="4090" width="9.140625" style="116"/>
    <col min="4091" max="4091" width="8.85546875" style="116" customWidth="1"/>
    <col min="4092" max="4092" width="34.140625" style="116" customWidth="1"/>
    <col min="4093" max="4093" width="17.7109375" style="116" bestFit="1" customWidth="1"/>
    <col min="4094" max="4094" width="12.28515625" style="116" customWidth="1"/>
    <col min="4095" max="4096" width="13" style="116" customWidth="1"/>
    <col min="4097" max="4097" width="12.28515625" style="116" customWidth="1"/>
    <col min="4098" max="4098" width="13.28515625" style="116" customWidth="1"/>
    <col min="4099" max="4099" width="12.28515625" style="116" customWidth="1"/>
    <col min="4100" max="4100" width="13.28515625" style="116" customWidth="1"/>
    <col min="4101" max="4101" width="12.28515625" style="116" customWidth="1"/>
    <col min="4102" max="4102" width="13.28515625" style="116" customWidth="1"/>
    <col min="4103" max="4103" width="12.28515625" style="116" customWidth="1"/>
    <col min="4104" max="4104" width="13.28515625" style="116" customWidth="1"/>
    <col min="4105" max="4105" width="12.28515625" style="116" customWidth="1"/>
    <col min="4106" max="4106" width="13.28515625" style="116" customWidth="1"/>
    <col min="4107" max="4107" width="12.28515625" style="116" customWidth="1"/>
    <col min="4108" max="4108" width="13.28515625" style="116" customWidth="1"/>
    <col min="4109" max="4109" width="12.28515625" style="116" customWidth="1"/>
    <col min="4110" max="4110" width="14.28515625" style="116" customWidth="1"/>
    <col min="4111" max="4111" width="15.140625" style="116" customWidth="1"/>
    <col min="4112" max="4346" width="9.140625" style="116"/>
    <col min="4347" max="4347" width="8.85546875" style="116" customWidth="1"/>
    <col min="4348" max="4348" width="34.140625" style="116" customWidth="1"/>
    <col min="4349" max="4349" width="17.7109375" style="116" bestFit="1" customWidth="1"/>
    <col min="4350" max="4350" width="12.28515625" style="116" customWidth="1"/>
    <col min="4351" max="4352" width="13" style="116" customWidth="1"/>
    <col min="4353" max="4353" width="12.28515625" style="116" customWidth="1"/>
    <col min="4354" max="4354" width="13.28515625" style="116" customWidth="1"/>
    <col min="4355" max="4355" width="12.28515625" style="116" customWidth="1"/>
    <col min="4356" max="4356" width="13.28515625" style="116" customWidth="1"/>
    <col min="4357" max="4357" width="12.28515625" style="116" customWidth="1"/>
    <col min="4358" max="4358" width="13.28515625" style="116" customWidth="1"/>
    <col min="4359" max="4359" width="12.28515625" style="116" customWidth="1"/>
    <col min="4360" max="4360" width="13.28515625" style="116" customWidth="1"/>
    <col min="4361" max="4361" width="12.28515625" style="116" customWidth="1"/>
    <col min="4362" max="4362" width="13.28515625" style="116" customWidth="1"/>
    <col min="4363" max="4363" width="12.28515625" style="116" customWidth="1"/>
    <col min="4364" max="4364" width="13.28515625" style="116" customWidth="1"/>
    <col min="4365" max="4365" width="12.28515625" style="116" customWidth="1"/>
    <col min="4366" max="4366" width="14.28515625" style="116" customWidth="1"/>
    <col min="4367" max="4367" width="15.140625" style="116" customWidth="1"/>
    <col min="4368" max="4602" width="9.140625" style="116"/>
    <col min="4603" max="4603" width="8.85546875" style="116" customWidth="1"/>
    <col min="4604" max="4604" width="34.140625" style="116" customWidth="1"/>
    <col min="4605" max="4605" width="17.7109375" style="116" bestFit="1" customWidth="1"/>
    <col min="4606" max="4606" width="12.28515625" style="116" customWidth="1"/>
    <col min="4607" max="4608" width="13" style="116" customWidth="1"/>
    <col min="4609" max="4609" width="12.28515625" style="116" customWidth="1"/>
    <col min="4610" max="4610" width="13.28515625" style="116" customWidth="1"/>
    <col min="4611" max="4611" width="12.28515625" style="116" customWidth="1"/>
    <col min="4612" max="4612" width="13.28515625" style="116" customWidth="1"/>
    <col min="4613" max="4613" width="12.28515625" style="116" customWidth="1"/>
    <col min="4614" max="4614" width="13.28515625" style="116" customWidth="1"/>
    <col min="4615" max="4615" width="12.28515625" style="116" customWidth="1"/>
    <col min="4616" max="4616" width="13.28515625" style="116" customWidth="1"/>
    <col min="4617" max="4617" width="12.28515625" style="116" customWidth="1"/>
    <col min="4618" max="4618" width="13.28515625" style="116" customWidth="1"/>
    <col min="4619" max="4619" width="12.28515625" style="116" customWidth="1"/>
    <col min="4620" max="4620" width="13.28515625" style="116" customWidth="1"/>
    <col min="4621" max="4621" width="12.28515625" style="116" customWidth="1"/>
    <col min="4622" max="4622" width="14.28515625" style="116" customWidth="1"/>
    <col min="4623" max="4623" width="15.140625" style="116" customWidth="1"/>
    <col min="4624" max="4858" width="9.140625" style="116"/>
    <col min="4859" max="4859" width="8.85546875" style="116" customWidth="1"/>
    <col min="4860" max="4860" width="34.140625" style="116" customWidth="1"/>
    <col min="4861" max="4861" width="17.7109375" style="116" bestFit="1" customWidth="1"/>
    <col min="4862" max="4862" width="12.28515625" style="116" customWidth="1"/>
    <col min="4863" max="4864" width="13" style="116" customWidth="1"/>
    <col min="4865" max="4865" width="12.28515625" style="116" customWidth="1"/>
    <col min="4866" max="4866" width="13.28515625" style="116" customWidth="1"/>
    <col min="4867" max="4867" width="12.28515625" style="116" customWidth="1"/>
    <col min="4868" max="4868" width="13.28515625" style="116" customWidth="1"/>
    <col min="4869" max="4869" width="12.28515625" style="116" customWidth="1"/>
    <col min="4870" max="4870" width="13.28515625" style="116" customWidth="1"/>
    <col min="4871" max="4871" width="12.28515625" style="116" customWidth="1"/>
    <col min="4872" max="4872" width="13.28515625" style="116" customWidth="1"/>
    <col min="4873" max="4873" width="12.28515625" style="116" customWidth="1"/>
    <col min="4874" max="4874" width="13.28515625" style="116" customWidth="1"/>
    <col min="4875" max="4875" width="12.28515625" style="116" customWidth="1"/>
    <col min="4876" max="4876" width="13.28515625" style="116" customWidth="1"/>
    <col min="4877" max="4877" width="12.28515625" style="116" customWidth="1"/>
    <col min="4878" max="4878" width="14.28515625" style="116" customWidth="1"/>
    <col min="4879" max="4879" width="15.140625" style="116" customWidth="1"/>
    <col min="4880" max="5114" width="9.140625" style="116"/>
    <col min="5115" max="5115" width="8.85546875" style="116" customWidth="1"/>
    <col min="5116" max="5116" width="34.140625" style="116" customWidth="1"/>
    <col min="5117" max="5117" width="17.7109375" style="116" bestFit="1" customWidth="1"/>
    <col min="5118" max="5118" width="12.28515625" style="116" customWidth="1"/>
    <col min="5119" max="5120" width="13" style="116" customWidth="1"/>
    <col min="5121" max="5121" width="12.28515625" style="116" customWidth="1"/>
    <col min="5122" max="5122" width="13.28515625" style="116" customWidth="1"/>
    <col min="5123" max="5123" width="12.28515625" style="116" customWidth="1"/>
    <col min="5124" max="5124" width="13.28515625" style="116" customWidth="1"/>
    <col min="5125" max="5125" width="12.28515625" style="116" customWidth="1"/>
    <col min="5126" max="5126" width="13.28515625" style="116" customWidth="1"/>
    <col min="5127" max="5127" width="12.28515625" style="116" customWidth="1"/>
    <col min="5128" max="5128" width="13.28515625" style="116" customWidth="1"/>
    <col min="5129" max="5129" width="12.28515625" style="116" customWidth="1"/>
    <col min="5130" max="5130" width="13.28515625" style="116" customWidth="1"/>
    <col min="5131" max="5131" width="12.28515625" style="116" customWidth="1"/>
    <col min="5132" max="5132" width="13.28515625" style="116" customWidth="1"/>
    <col min="5133" max="5133" width="12.28515625" style="116" customWidth="1"/>
    <col min="5134" max="5134" width="14.28515625" style="116" customWidth="1"/>
    <col min="5135" max="5135" width="15.140625" style="116" customWidth="1"/>
    <col min="5136" max="5370" width="9.140625" style="116"/>
    <col min="5371" max="5371" width="8.85546875" style="116" customWidth="1"/>
    <col min="5372" max="5372" width="34.140625" style="116" customWidth="1"/>
    <col min="5373" max="5373" width="17.7109375" style="116" bestFit="1" customWidth="1"/>
    <col min="5374" max="5374" width="12.28515625" style="116" customWidth="1"/>
    <col min="5375" max="5376" width="13" style="116" customWidth="1"/>
    <col min="5377" max="5377" width="12.28515625" style="116" customWidth="1"/>
    <col min="5378" max="5378" width="13.28515625" style="116" customWidth="1"/>
    <col min="5379" max="5379" width="12.28515625" style="116" customWidth="1"/>
    <col min="5380" max="5380" width="13.28515625" style="116" customWidth="1"/>
    <col min="5381" max="5381" width="12.28515625" style="116" customWidth="1"/>
    <col min="5382" max="5382" width="13.28515625" style="116" customWidth="1"/>
    <col min="5383" max="5383" width="12.28515625" style="116" customWidth="1"/>
    <col min="5384" max="5384" width="13.28515625" style="116" customWidth="1"/>
    <col min="5385" max="5385" width="12.28515625" style="116" customWidth="1"/>
    <col min="5386" max="5386" width="13.28515625" style="116" customWidth="1"/>
    <col min="5387" max="5387" width="12.28515625" style="116" customWidth="1"/>
    <col min="5388" max="5388" width="13.28515625" style="116" customWidth="1"/>
    <col min="5389" max="5389" width="12.28515625" style="116" customWidth="1"/>
    <col min="5390" max="5390" width="14.28515625" style="116" customWidth="1"/>
    <col min="5391" max="5391" width="15.140625" style="116" customWidth="1"/>
    <col min="5392" max="5626" width="9.140625" style="116"/>
    <col min="5627" max="5627" width="8.85546875" style="116" customWidth="1"/>
    <col min="5628" max="5628" width="34.140625" style="116" customWidth="1"/>
    <col min="5629" max="5629" width="17.7109375" style="116" bestFit="1" customWidth="1"/>
    <col min="5630" max="5630" width="12.28515625" style="116" customWidth="1"/>
    <col min="5631" max="5632" width="13" style="116" customWidth="1"/>
    <col min="5633" max="5633" width="12.28515625" style="116" customWidth="1"/>
    <col min="5634" max="5634" width="13.28515625" style="116" customWidth="1"/>
    <col min="5635" max="5635" width="12.28515625" style="116" customWidth="1"/>
    <col min="5636" max="5636" width="13.28515625" style="116" customWidth="1"/>
    <col min="5637" max="5637" width="12.28515625" style="116" customWidth="1"/>
    <col min="5638" max="5638" width="13.28515625" style="116" customWidth="1"/>
    <col min="5639" max="5639" width="12.28515625" style="116" customWidth="1"/>
    <col min="5640" max="5640" width="13.28515625" style="116" customWidth="1"/>
    <col min="5641" max="5641" width="12.28515625" style="116" customWidth="1"/>
    <col min="5642" max="5642" width="13.28515625" style="116" customWidth="1"/>
    <col min="5643" max="5643" width="12.28515625" style="116" customWidth="1"/>
    <col min="5644" max="5644" width="13.28515625" style="116" customWidth="1"/>
    <col min="5645" max="5645" width="12.28515625" style="116" customWidth="1"/>
    <col min="5646" max="5646" width="14.28515625" style="116" customWidth="1"/>
    <col min="5647" max="5647" width="15.140625" style="116" customWidth="1"/>
    <col min="5648" max="5882" width="9.140625" style="116"/>
    <col min="5883" max="5883" width="8.85546875" style="116" customWidth="1"/>
    <col min="5884" max="5884" width="34.140625" style="116" customWidth="1"/>
    <col min="5885" max="5885" width="17.7109375" style="116" bestFit="1" customWidth="1"/>
    <col min="5886" max="5886" width="12.28515625" style="116" customWidth="1"/>
    <col min="5887" max="5888" width="13" style="116" customWidth="1"/>
    <col min="5889" max="5889" width="12.28515625" style="116" customWidth="1"/>
    <col min="5890" max="5890" width="13.28515625" style="116" customWidth="1"/>
    <col min="5891" max="5891" width="12.28515625" style="116" customWidth="1"/>
    <col min="5892" max="5892" width="13.28515625" style="116" customWidth="1"/>
    <col min="5893" max="5893" width="12.28515625" style="116" customWidth="1"/>
    <col min="5894" max="5894" width="13.28515625" style="116" customWidth="1"/>
    <col min="5895" max="5895" width="12.28515625" style="116" customWidth="1"/>
    <col min="5896" max="5896" width="13.28515625" style="116" customWidth="1"/>
    <col min="5897" max="5897" width="12.28515625" style="116" customWidth="1"/>
    <col min="5898" max="5898" width="13.28515625" style="116" customWidth="1"/>
    <col min="5899" max="5899" width="12.28515625" style="116" customWidth="1"/>
    <col min="5900" max="5900" width="13.28515625" style="116" customWidth="1"/>
    <col min="5901" max="5901" width="12.28515625" style="116" customWidth="1"/>
    <col min="5902" max="5902" width="14.28515625" style="116" customWidth="1"/>
    <col min="5903" max="5903" width="15.140625" style="116" customWidth="1"/>
    <col min="5904" max="6138" width="9.140625" style="116"/>
    <col min="6139" max="6139" width="8.85546875" style="116" customWidth="1"/>
    <col min="6140" max="6140" width="34.140625" style="116" customWidth="1"/>
    <col min="6141" max="6141" width="17.7109375" style="116" bestFit="1" customWidth="1"/>
    <col min="6142" max="6142" width="12.28515625" style="116" customWidth="1"/>
    <col min="6143" max="6144" width="13" style="116" customWidth="1"/>
    <col min="6145" max="6145" width="12.28515625" style="116" customWidth="1"/>
    <col min="6146" max="6146" width="13.28515625" style="116" customWidth="1"/>
    <col min="6147" max="6147" width="12.28515625" style="116" customWidth="1"/>
    <col min="6148" max="6148" width="13.28515625" style="116" customWidth="1"/>
    <col min="6149" max="6149" width="12.28515625" style="116" customWidth="1"/>
    <col min="6150" max="6150" width="13.28515625" style="116" customWidth="1"/>
    <col min="6151" max="6151" width="12.28515625" style="116" customWidth="1"/>
    <col min="6152" max="6152" width="13.28515625" style="116" customWidth="1"/>
    <col min="6153" max="6153" width="12.28515625" style="116" customWidth="1"/>
    <col min="6154" max="6154" width="13.28515625" style="116" customWidth="1"/>
    <col min="6155" max="6155" width="12.28515625" style="116" customWidth="1"/>
    <col min="6156" max="6156" width="13.28515625" style="116" customWidth="1"/>
    <col min="6157" max="6157" width="12.28515625" style="116" customWidth="1"/>
    <col min="6158" max="6158" width="14.28515625" style="116" customWidth="1"/>
    <col min="6159" max="6159" width="15.140625" style="116" customWidth="1"/>
    <col min="6160" max="6394" width="9.140625" style="116"/>
    <col min="6395" max="6395" width="8.85546875" style="116" customWidth="1"/>
    <col min="6396" max="6396" width="34.140625" style="116" customWidth="1"/>
    <col min="6397" max="6397" width="17.7109375" style="116" bestFit="1" customWidth="1"/>
    <col min="6398" max="6398" width="12.28515625" style="116" customWidth="1"/>
    <col min="6399" max="6400" width="13" style="116" customWidth="1"/>
    <col min="6401" max="6401" width="12.28515625" style="116" customWidth="1"/>
    <col min="6402" max="6402" width="13.28515625" style="116" customWidth="1"/>
    <col min="6403" max="6403" width="12.28515625" style="116" customWidth="1"/>
    <col min="6404" max="6404" width="13.28515625" style="116" customWidth="1"/>
    <col min="6405" max="6405" width="12.28515625" style="116" customWidth="1"/>
    <col min="6406" max="6406" width="13.28515625" style="116" customWidth="1"/>
    <col min="6407" max="6407" width="12.28515625" style="116" customWidth="1"/>
    <col min="6408" max="6408" width="13.28515625" style="116" customWidth="1"/>
    <col min="6409" max="6409" width="12.28515625" style="116" customWidth="1"/>
    <col min="6410" max="6410" width="13.28515625" style="116" customWidth="1"/>
    <col min="6411" max="6411" width="12.28515625" style="116" customWidth="1"/>
    <col min="6412" max="6412" width="13.28515625" style="116" customWidth="1"/>
    <col min="6413" max="6413" width="12.28515625" style="116" customWidth="1"/>
    <col min="6414" max="6414" width="14.28515625" style="116" customWidth="1"/>
    <col min="6415" max="6415" width="15.140625" style="116" customWidth="1"/>
    <col min="6416" max="6650" width="9.140625" style="116"/>
    <col min="6651" max="6651" width="8.85546875" style="116" customWidth="1"/>
    <col min="6652" max="6652" width="34.140625" style="116" customWidth="1"/>
    <col min="6653" max="6653" width="17.7109375" style="116" bestFit="1" customWidth="1"/>
    <col min="6654" max="6654" width="12.28515625" style="116" customWidth="1"/>
    <col min="6655" max="6656" width="13" style="116" customWidth="1"/>
    <col min="6657" max="6657" width="12.28515625" style="116" customWidth="1"/>
    <col min="6658" max="6658" width="13.28515625" style="116" customWidth="1"/>
    <col min="6659" max="6659" width="12.28515625" style="116" customWidth="1"/>
    <col min="6660" max="6660" width="13.28515625" style="116" customWidth="1"/>
    <col min="6661" max="6661" width="12.28515625" style="116" customWidth="1"/>
    <col min="6662" max="6662" width="13.28515625" style="116" customWidth="1"/>
    <col min="6663" max="6663" width="12.28515625" style="116" customWidth="1"/>
    <col min="6664" max="6664" width="13.28515625" style="116" customWidth="1"/>
    <col min="6665" max="6665" width="12.28515625" style="116" customWidth="1"/>
    <col min="6666" max="6666" width="13.28515625" style="116" customWidth="1"/>
    <col min="6667" max="6667" width="12.28515625" style="116" customWidth="1"/>
    <col min="6668" max="6668" width="13.28515625" style="116" customWidth="1"/>
    <col min="6669" max="6669" width="12.28515625" style="116" customWidth="1"/>
    <col min="6670" max="6670" width="14.28515625" style="116" customWidth="1"/>
    <col min="6671" max="6671" width="15.140625" style="116" customWidth="1"/>
    <col min="6672" max="6906" width="9.140625" style="116"/>
    <col min="6907" max="6907" width="8.85546875" style="116" customWidth="1"/>
    <col min="6908" max="6908" width="34.140625" style="116" customWidth="1"/>
    <col min="6909" max="6909" width="17.7109375" style="116" bestFit="1" customWidth="1"/>
    <col min="6910" max="6910" width="12.28515625" style="116" customWidth="1"/>
    <col min="6911" max="6912" width="13" style="116" customWidth="1"/>
    <col min="6913" max="6913" width="12.28515625" style="116" customWidth="1"/>
    <col min="6914" max="6914" width="13.28515625" style="116" customWidth="1"/>
    <col min="6915" max="6915" width="12.28515625" style="116" customWidth="1"/>
    <col min="6916" max="6916" width="13.28515625" style="116" customWidth="1"/>
    <col min="6917" max="6917" width="12.28515625" style="116" customWidth="1"/>
    <col min="6918" max="6918" width="13.28515625" style="116" customWidth="1"/>
    <col min="6919" max="6919" width="12.28515625" style="116" customWidth="1"/>
    <col min="6920" max="6920" width="13.28515625" style="116" customWidth="1"/>
    <col min="6921" max="6921" width="12.28515625" style="116" customWidth="1"/>
    <col min="6922" max="6922" width="13.28515625" style="116" customWidth="1"/>
    <col min="6923" max="6923" width="12.28515625" style="116" customWidth="1"/>
    <col min="6924" max="6924" width="13.28515625" style="116" customWidth="1"/>
    <col min="6925" max="6925" width="12.28515625" style="116" customWidth="1"/>
    <col min="6926" max="6926" width="14.28515625" style="116" customWidth="1"/>
    <col min="6927" max="6927" width="15.140625" style="116" customWidth="1"/>
    <col min="6928" max="7162" width="9.140625" style="116"/>
    <col min="7163" max="7163" width="8.85546875" style="116" customWidth="1"/>
    <col min="7164" max="7164" width="34.140625" style="116" customWidth="1"/>
    <col min="7165" max="7165" width="17.7109375" style="116" bestFit="1" customWidth="1"/>
    <col min="7166" max="7166" width="12.28515625" style="116" customWidth="1"/>
    <col min="7167" max="7168" width="13" style="116" customWidth="1"/>
    <col min="7169" max="7169" width="12.28515625" style="116" customWidth="1"/>
    <col min="7170" max="7170" width="13.28515625" style="116" customWidth="1"/>
    <col min="7171" max="7171" width="12.28515625" style="116" customWidth="1"/>
    <col min="7172" max="7172" width="13.28515625" style="116" customWidth="1"/>
    <col min="7173" max="7173" width="12.28515625" style="116" customWidth="1"/>
    <col min="7174" max="7174" width="13.28515625" style="116" customWidth="1"/>
    <col min="7175" max="7175" width="12.28515625" style="116" customWidth="1"/>
    <col min="7176" max="7176" width="13.28515625" style="116" customWidth="1"/>
    <col min="7177" max="7177" width="12.28515625" style="116" customWidth="1"/>
    <col min="7178" max="7178" width="13.28515625" style="116" customWidth="1"/>
    <col min="7179" max="7179" width="12.28515625" style="116" customWidth="1"/>
    <col min="7180" max="7180" width="13.28515625" style="116" customWidth="1"/>
    <col min="7181" max="7181" width="12.28515625" style="116" customWidth="1"/>
    <col min="7182" max="7182" width="14.28515625" style="116" customWidth="1"/>
    <col min="7183" max="7183" width="15.140625" style="116" customWidth="1"/>
    <col min="7184" max="7418" width="9.140625" style="116"/>
    <col min="7419" max="7419" width="8.85546875" style="116" customWidth="1"/>
    <col min="7420" max="7420" width="34.140625" style="116" customWidth="1"/>
    <col min="7421" max="7421" width="17.7109375" style="116" bestFit="1" customWidth="1"/>
    <col min="7422" max="7422" width="12.28515625" style="116" customWidth="1"/>
    <col min="7423" max="7424" width="13" style="116" customWidth="1"/>
    <col min="7425" max="7425" width="12.28515625" style="116" customWidth="1"/>
    <col min="7426" max="7426" width="13.28515625" style="116" customWidth="1"/>
    <col min="7427" max="7427" width="12.28515625" style="116" customWidth="1"/>
    <col min="7428" max="7428" width="13.28515625" style="116" customWidth="1"/>
    <col min="7429" max="7429" width="12.28515625" style="116" customWidth="1"/>
    <col min="7430" max="7430" width="13.28515625" style="116" customWidth="1"/>
    <col min="7431" max="7431" width="12.28515625" style="116" customWidth="1"/>
    <col min="7432" max="7432" width="13.28515625" style="116" customWidth="1"/>
    <col min="7433" max="7433" width="12.28515625" style="116" customWidth="1"/>
    <col min="7434" max="7434" width="13.28515625" style="116" customWidth="1"/>
    <col min="7435" max="7435" width="12.28515625" style="116" customWidth="1"/>
    <col min="7436" max="7436" width="13.28515625" style="116" customWidth="1"/>
    <col min="7437" max="7437" width="12.28515625" style="116" customWidth="1"/>
    <col min="7438" max="7438" width="14.28515625" style="116" customWidth="1"/>
    <col min="7439" max="7439" width="15.140625" style="116" customWidth="1"/>
    <col min="7440" max="7674" width="9.140625" style="116"/>
    <col min="7675" max="7675" width="8.85546875" style="116" customWidth="1"/>
    <col min="7676" max="7676" width="34.140625" style="116" customWidth="1"/>
    <col min="7677" max="7677" width="17.7109375" style="116" bestFit="1" customWidth="1"/>
    <col min="7678" max="7678" width="12.28515625" style="116" customWidth="1"/>
    <col min="7679" max="7680" width="13" style="116" customWidth="1"/>
    <col min="7681" max="7681" width="12.28515625" style="116" customWidth="1"/>
    <col min="7682" max="7682" width="13.28515625" style="116" customWidth="1"/>
    <col min="7683" max="7683" width="12.28515625" style="116" customWidth="1"/>
    <col min="7684" max="7684" width="13.28515625" style="116" customWidth="1"/>
    <col min="7685" max="7685" width="12.28515625" style="116" customWidth="1"/>
    <col min="7686" max="7686" width="13.28515625" style="116" customWidth="1"/>
    <col min="7687" max="7687" width="12.28515625" style="116" customWidth="1"/>
    <col min="7688" max="7688" width="13.28515625" style="116" customWidth="1"/>
    <col min="7689" max="7689" width="12.28515625" style="116" customWidth="1"/>
    <col min="7690" max="7690" width="13.28515625" style="116" customWidth="1"/>
    <col min="7691" max="7691" width="12.28515625" style="116" customWidth="1"/>
    <col min="7692" max="7692" width="13.28515625" style="116" customWidth="1"/>
    <col min="7693" max="7693" width="12.28515625" style="116" customWidth="1"/>
    <col min="7694" max="7694" width="14.28515625" style="116" customWidth="1"/>
    <col min="7695" max="7695" width="15.140625" style="116" customWidth="1"/>
    <col min="7696" max="7930" width="9.140625" style="116"/>
    <col min="7931" max="7931" width="8.85546875" style="116" customWidth="1"/>
    <col min="7932" max="7932" width="34.140625" style="116" customWidth="1"/>
    <col min="7933" max="7933" width="17.7109375" style="116" bestFit="1" customWidth="1"/>
    <col min="7934" max="7934" width="12.28515625" style="116" customWidth="1"/>
    <col min="7935" max="7936" width="13" style="116" customWidth="1"/>
    <col min="7937" max="7937" width="12.28515625" style="116" customWidth="1"/>
    <col min="7938" max="7938" width="13.28515625" style="116" customWidth="1"/>
    <col min="7939" max="7939" width="12.28515625" style="116" customWidth="1"/>
    <col min="7940" max="7940" width="13.28515625" style="116" customWidth="1"/>
    <col min="7941" max="7941" width="12.28515625" style="116" customWidth="1"/>
    <col min="7942" max="7942" width="13.28515625" style="116" customWidth="1"/>
    <col min="7943" max="7943" width="12.28515625" style="116" customWidth="1"/>
    <col min="7944" max="7944" width="13.28515625" style="116" customWidth="1"/>
    <col min="7945" max="7945" width="12.28515625" style="116" customWidth="1"/>
    <col min="7946" max="7946" width="13.28515625" style="116" customWidth="1"/>
    <col min="7947" max="7947" width="12.28515625" style="116" customWidth="1"/>
    <col min="7948" max="7948" width="13.28515625" style="116" customWidth="1"/>
    <col min="7949" max="7949" width="12.28515625" style="116" customWidth="1"/>
    <col min="7950" max="7950" width="14.28515625" style="116" customWidth="1"/>
    <col min="7951" max="7951" width="15.140625" style="116" customWidth="1"/>
    <col min="7952" max="8186" width="9.140625" style="116"/>
    <col min="8187" max="8187" width="8.85546875" style="116" customWidth="1"/>
    <col min="8188" max="8188" width="34.140625" style="116" customWidth="1"/>
    <col min="8189" max="8189" width="17.7109375" style="116" bestFit="1" customWidth="1"/>
    <col min="8190" max="8190" width="12.28515625" style="116" customWidth="1"/>
    <col min="8191" max="8192" width="13" style="116" customWidth="1"/>
    <col min="8193" max="8193" width="12.28515625" style="116" customWidth="1"/>
    <col min="8194" max="8194" width="13.28515625" style="116" customWidth="1"/>
    <col min="8195" max="8195" width="12.28515625" style="116" customWidth="1"/>
    <col min="8196" max="8196" width="13.28515625" style="116" customWidth="1"/>
    <col min="8197" max="8197" width="12.28515625" style="116" customWidth="1"/>
    <col min="8198" max="8198" width="13.28515625" style="116" customWidth="1"/>
    <col min="8199" max="8199" width="12.28515625" style="116" customWidth="1"/>
    <col min="8200" max="8200" width="13.28515625" style="116" customWidth="1"/>
    <col min="8201" max="8201" width="12.28515625" style="116" customWidth="1"/>
    <col min="8202" max="8202" width="13.28515625" style="116" customWidth="1"/>
    <col min="8203" max="8203" width="12.28515625" style="116" customWidth="1"/>
    <col min="8204" max="8204" width="13.28515625" style="116" customWidth="1"/>
    <col min="8205" max="8205" width="12.28515625" style="116" customWidth="1"/>
    <col min="8206" max="8206" width="14.28515625" style="116" customWidth="1"/>
    <col min="8207" max="8207" width="15.140625" style="116" customWidth="1"/>
    <col min="8208" max="8442" width="9.140625" style="116"/>
    <col min="8443" max="8443" width="8.85546875" style="116" customWidth="1"/>
    <col min="8444" max="8444" width="34.140625" style="116" customWidth="1"/>
    <col min="8445" max="8445" width="17.7109375" style="116" bestFit="1" customWidth="1"/>
    <col min="8446" max="8446" width="12.28515625" style="116" customWidth="1"/>
    <col min="8447" max="8448" width="13" style="116" customWidth="1"/>
    <col min="8449" max="8449" width="12.28515625" style="116" customWidth="1"/>
    <col min="8450" max="8450" width="13.28515625" style="116" customWidth="1"/>
    <col min="8451" max="8451" width="12.28515625" style="116" customWidth="1"/>
    <col min="8452" max="8452" width="13.28515625" style="116" customWidth="1"/>
    <col min="8453" max="8453" width="12.28515625" style="116" customWidth="1"/>
    <col min="8454" max="8454" width="13.28515625" style="116" customWidth="1"/>
    <col min="8455" max="8455" width="12.28515625" style="116" customWidth="1"/>
    <col min="8456" max="8456" width="13.28515625" style="116" customWidth="1"/>
    <col min="8457" max="8457" width="12.28515625" style="116" customWidth="1"/>
    <col min="8458" max="8458" width="13.28515625" style="116" customWidth="1"/>
    <col min="8459" max="8459" width="12.28515625" style="116" customWidth="1"/>
    <col min="8460" max="8460" width="13.28515625" style="116" customWidth="1"/>
    <col min="8461" max="8461" width="12.28515625" style="116" customWidth="1"/>
    <col min="8462" max="8462" width="14.28515625" style="116" customWidth="1"/>
    <col min="8463" max="8463" width="15.140625" style="116" customWidth="1"/>
    <col min="8464" max="8698" width="9.140625" style="116"/>
    <col min="8699" max="8699" width="8.85546875" style="116" customWidth="1"/>
    <col min="8700" max="8700" width="34.140625" style="116" customWidth="1"/>
    <col min="8701" max="8701" width="17.7109375" style="116" bestFit="1" customWidth="1"/>
    <col min="8702" max="8702" width="12.28515625" style="116" customWidth="1"/>
    <col min="8703" max="8704" width="13" style="116" customWidth="1"/>
    <col min="8705" max="8705" width="12.28515625" style="116" customWidth="1"/>
    <col min="8706" max="8706" width="13.28515625" style="116" customWidth="1"/>
    <col min="8707" max="8707" width="12.28515625" style="116" customWidth="1"/>
    <col min="8708" max="8708" width="13.28515625" style="116" customWidth="1"/>
    <col min="8709" max="8709" width="12.28515625" style="116" customWidth="1"/>
    <col min="8710" max="8710" width="13.28515625" style="116" customWidth="1"/>
    <col min="8711" max="8711" width="12.28515625" style="116" customWidth="1"/>
    <col min="8712" max="8712" width="13.28515625" style="116" customWidth="1"/>
    <col min="8713" max="8713" width="12.28515625" style="116" customWidth="1"/>
    <col min="8714" max="8714" width="13.28515625" style="116" customWidth="1"/>
    <col min="8715" max="8715" width="12.28515625" style="116" customWidth="1"/>
    <col min="8716" max="8716" width="13.28515625" style="116" customWidth="1"/>
    <col min="8717" max="8717" width="12.28515625" style="116" customWidth="1"/>
    <col min="8718" max="8718" width="14.28515625" style="116" customWidth="1"/>
    <col min="8719" max="8719" width="15.140625" style="116" customWidth="1"/>
    <col min="8720" max="8954" width="9.140625" style="116"/>
    <col min="8955" max="8955" width="8.85546875" style="116" customWidth="1"/>
    <col min="8956" max="8956" width="34.140625" style="116" customWidth="1"/>
    <col min="8957" max="8957" width="17.7109375" style="116" bestFit="1" customWidth="1"/>
    <col min="8958" max="8958" width="12.28515625" style="116" customWidth="1"/>
    <col min="8959" max="8960" width="13" style="116" customWidth="1"/>
    <col min="8961" max="8961" width="12.28515625" style="116" customWidth="1"/>
    <col min="8962" max="8962" width="13.28515625" style="116" customWidth="1"/>
    <col min="8963" max="8963" width="12.28515625" style="116" customWidth="1"/>
    <col min="8964" max="8964" width="13.28515625" style="116" customWidth="1"/>
    <col min="8965" max="8965" width="12.28515625" style="116" customWidth="1"/>
    <col min="8966" max="8966" width="13.28515625" style="116" customWidth="1"/>
    <col min="8967" max="8967" width="12.28515625" style="116" customWidth="1"/>
    <col min="8968" max="8968" width="13.28515625" style="116" customWidth="1"/>
    <col min="8969" max="8969" width="12.28515625" style="116" customWidth="1"/>
    <col min="8970" max="8970" width="13.28515625" style="116" customWidth="1"/>
    <col min="8971" max="8971" width="12.28515625" style="116" customWidth="1"/>
    <col min="8972" max="8972" width="13.28515625" style="116" customWidth="1"/>
    <col min="8973" max="8973" width="12.28515625" style="116" customWidth="1"/>
    <col min="8974" max="8974" width="14.28515625" style="116" customWidth="1"/>
    <col min="8975" max="8975" width="15.140625" style="116" customWidth="1"/>
    <col min="8976" max="9210" width="9.140625" style="116"/>
    <col min="9211" max="9211" width="8.85546875" style="116" customWidth="1"/>
    <col min="9212" max="9212" width="34.140625" style="116" customWidth="1"/>
    <col min="9213" max="9213" width="17.7109375" style="116" bestFit="1" customWidth="1"/>
    <col min="9214" max="9214" width="12.28515625" style="116" customWidth="1"/>
    <col min="9215" max="9216" width="13" style="116" customWidth="1"/>
    <col min="9217" max="9217" width="12.28515625" style="116" customWidth="1"/>
    <col min="9218" max="9218" width="13.28515625" style="116" customWidth="1"/>
    <col min="9219" max="9219" width="12.28515625" style="116" customWidth="1"/>
    <col min="9220" max="9220" width="13.28515625" style="116" customWidth="1"/>
    <col min="9221" max="9221" width="12.28515625" style="116" customWidth="1"/>
    <col min="9222" max="9222" width="13.28515625" style="116" customWidth="1"/>
    <col min="9223" max="9223" width="12.28515625" style="116" customWidth="1"/>
    <col min="9224" max="9224" width="13.28515625" style="116" customWidth="1"/>
    <col min="9225" max="9225" width="12.28515625" style="116" customWidth="1"/>
    <col min="9226" max="9226" width="13.28515625" style="116" customWidth="1"/>
    <col min="9227" max="9227" width="12.28515625" style="116" customWidth="1"/>
    <col min="9228" max="9228" width="13.28515625" style="116" customWidth="1"/>
    <col min="9229" max="9229" width="12.28515625" style="116" customWidth="1"/>
    <col min="9230" max="9230" width="14.28515625" style="116" customWidth="1"/>
    <col min="9231" max="9231" width="15.140625" style="116" customWidth="1"/>
    <col min="9232" max="9466" width="9.140625" style="116"/>
    <col min="9467" max="9467" width="8.85546875" style="116" customWidth="1"/>
    <col min="9468" max="9468" width="34.140625" style="116" customWidth="1"/>
    <col min="9469" max="9469" width="17.7109375" style="116" bestFit="1" customWidth="1"/>
    <col min="9470" max="9470" width="12.28515625" style="116" customWidth="1"/>
    <col min="9471" max="9472" width="13" style="116" customWidth="1"/>
    <col min="9473" max="9473" width="12.28515625" style="116" customWidth="1"/>
    <col min="9474" max="9474" width="13.28515625" style="116" customWidth="1"/>
    <col min="9475" max="9475" width="12.28515625" style="116" customWidth="1"/>
    <col min="9476" max="9476" width="13.28515625" style="116" customWidth="1"/>
    <col min="9477" max="9477" width="12.28515625" style="116" customWidth="1"/>
    <col min="9478" max="9478" width="13.28515625" style="116" customWidth="1"/>
    <col min="9479" max="9479" width="12.28515625" style="116" customWidth="1"/>
    <col min="9480" max="9480" width="13.28515625" style="116" customWidth="1"/>
    <col min="9481" max="9481" width="12.28515625" style="116" customWidth="1"/>
    <col min="9482" max="9482" width="13.28515625" style="116" customWidth="1"/>
    <col min="9483" max="9483" width="12.28515625" style="116" customWidth="1"/>
    <col min="9484" max="9484" width="13.28515625" style="116" customWidth="1"/>
    <col min="9485" max="9485" width="12.28515625" style="116" customWidth="1"/>
    <col min="9486" max="9486" width="14.28515625" style="116" customWidth="1"/>
    <col min="9487" max="9487" width="15.140625" style="116" customWidth="1"/>
    <col min="9488" max="9722" width="9.140625" style="116"/>
    <col min="9723" max="9723" width="8.85546875" style="116" customWidth="1"/>
    <col min="9724" max="9724" width="34.140625" style="116" customWidth="1"/>
    <col min="9725" max="9725" width="17.7109375" style="116" bestFit="1" customWidth="1"/>
    <col min="9726" max="9726" width="12.28515625" style="116" customWidth="1"/>
    <col min="9727" max="9728" width="13" style="116" customWidth="1"/>
    <col min="9729" max="9729" width="12.28515625" style="116" customWidth="1"/>
    <col min="9730" max="9730" width="13.28515625" style="116" customWidth="1"/>
    <col min="9731" max="9731" width="12.28515625" style="116" customWidth="1"/>
    <col min="9732" max="9732" width="13.28515625" style="116" customWidth="1"/>
    <col min="9733" max="9733" width="12.28515625" style="116" customWidth="1"/>
    <col min="9734" max="9734" width="13.28515625" style="116" customWidth="1"/>
    <col min="9735" max="9735" width="12.28515625" style="116" customWidth="1"/>
    <col min="9736" max="9736" width="13.28515625" style="116" customWidth="1"/>
    <col min="9737" max="9737" width="12.28515625" style="116" customWidth="1"/>
    <col min="9738" max="9738" width="13.28515625" style="116" customWidth="1"/>
    <col min="9739" max="9739" width="12.28515625" style="116" customWidth="1"/>
    <col min="9740" max="9740" width="13.28515625" style="116" customWidth="1"/>
    <col min="9741" max="9741" width="12.28515625" style="116" customWidth="1"/>
    <col min="9742" max="9742" width="14.28515625" style="116" customWidth="1"/>
    <col min="9743" max="9743" width="15.140625" style="116" customWidth="1"/>
    <col min="9744" max="9978" width="9.140625" style="116"/>
    <col min="9979" max="9979" width="8.85546875" style="116" customWidth="1"/>
    <col min="9980" max="9980" width="34.140625" style="116" customWidth="1"/>
    <col min="9981" max="9981" width="17.7109375" style="116" bestFit="1" customWidth="1"/>
    <col min="9982" max="9982" width="12.28515625" style="116" customWidth="1"/>
    <col min="9983" max="9984" width="13" style="116" customWidth="1"/>
    <col min="9985" max="9985" width="12.28515625" style="116" customWidth="1"/>
    <col min="9986" max="9986" width="13.28515625" style="116" customWidth="1"/>
    <col min="9987" max="9987" width="12.28515625" style="116" customWidth="1"/>
    <col min="9988" max="9988" width="13.28515625" style="116" customWidth="1"/>
    <col min="9989" max="9989" width="12.28515625" style="116" customWidth="1"/>
    <col min="9990" max="9990" width="13.28515625" style="116" customWidth="1"/>
    <col min="9991" max="9991" width="12.28515625" style="116" customWidth="1"/>
    <col min="9992" max="9992" width="13.28515625" style="116" customWidth="1"/>
    <col min="9993" max="9993" width="12.28515625" style="116" customWidth="1"/>
    <col min="9994" max="9994" width="13.28515625" style="116" customWidth="1"/>
    <col min="9995" max="9995" width="12.28515625" style="116" customWidth="1"/>
    <col min="9996" max="9996" width="13.28515625" style="116" customWidth="1"/>
    <col min="9997" max="9997" width="12.28515625" style="116" customWidth="1"/>
    <col min="9998" max="9998" width="14.28515625" style="116" customWidth="1"/>
    <col min="9999" max="9999" width="15.140625" style="116" customWidth="1"/>
    <col min="10000" max="10234" width="9.140625" style="116"/>
    <col min="10235" max="10235" width="8.85546875" style="116" customWidth="1"/>
    <col min="10236" max="10236" width="34.140625" style="116" customWidth="1"/>
    <col min="10237" max="10237" width="17.7109375" style="116" bestFit="1" customWidth="1"/>
    <col min="10238" max="10238" width="12.28515625" style="116" customWidth="1"/>
    <col min="10239" max="10240" width="13" style="116" customWidth="1"/>
    <col min="10241" max="10241" width="12.28515625" style="116" customWidth="1"/>
    <col min="10242" max="10242" width="13.28515625" style="116" customWidth="1"/>
    <col min="10243" max="10243" width="12.28515625" style="116" customWidth="1"/>
    <col min="10244" max="10244" width="13.28515625" style="116" customWidth="1"/>
    <col min="10245" max="10245" width="12.28515625" style="116" customWidth="1"/>
    <col min="10246" max="10246" width="13.28515625" style="116" customWidth="1"/>
    <col min="10247" max="10247" width="12.28515625" style="116" customWidth="1"/>
    <col min="10248" max="10248" width="13.28515625" style="116" customWidth="1"/>
    <col min="10249" max="10249" width="12.28515625" style="116" customWidth="1"/>
    <col min="10250" max="10250" width="13.28515625" style="116" customWidth="1"/>
    <col min="10251" max="10251" width="12.28515625" style="116" customWidth="1"/>
    <col min="10252" max="10252" width="13.28515625" style="116" customWidth="1"/>
    <col min="10253" max="10253" width="12.28515625" style="116" customWidth="1"/>
    <col min="10254" max="10254" width="14.28515625" style="116" customWidth="1"/>
    <col min="10255" max="10255" width="15.140625" style="116" customWidth="1"/>
    <col min="10256" max="10490" width="9.140625" style="116"/>
    <col min="10491" max="10491" width="8.85546875" style="116" customWidth="1"/>
    <col min="10492" max="10492" width="34.140625" style="116" customWidth="1"/>
    <col min="10493" max="10493" width="17.7109375" style="116" bestFit="1" customWidth="1"/>
    <col min="10494" max="10494" width="12.28515625" style="116" customWidth="1"/>
    <col min="10495" max="10496" width="13" style="116" customWidth="1"/>
    <col min="10497" max="10497" width="12.28515625" style="116" customWidth="1"/>
    <col min="10498" max="10498" width="13.28515625" style="116" customWidth="1"/>
    <col min="10499" max="10499" width="12.28515625" style="116" customWidth="1"/>
    <col min="10500" max="10500" width="13.28515625" style="116" customWidth="1"/>
    <col min="10501" max="10501" width="12.28515625" style="116" customWidth="1"/>
    <col min="10502" max="10502" width="13.28515625" style="116" customWidth="1"/>
    <col min="10503" max="10503" width="12.28515625" style="116" customWidth="1"/>
    <col min="10504" max="10504" width="13.28515625" style="116" customWidth="1"/>
    <col min="10505" max="10505" width="12.28515625" style="116" customWidth="1"/>
    <col min="10506" max="10506" width="13.28515625" style="116" customWidth="1"/>
    <col min="10507" max="10507" width="12.28515625" style="116" customWidth="1"/>
    <col min="10508" max="10508" width="13.28515625" style="116" customWidth="1"/>
    <col min="10509" max="10509" width="12.28515625" style="116" customWidth="1"/>
    <col min="10510" max="10510" width="14.28515625" style="116" customWidth="1"/>
    <col min="10511" max="10511" width="15.140625" style="116" customWidth="1"/>
    <col min="10512" max="10746" width="9.140625" style="116"/>
    <col min="10747" max="10747" width="8.85546875" style="116" customWidth="1"/>
    <col min="10748" max="10748" width="34.140625" style="116" customWidth="1"/>
    <col min="10749" max="10749" width="17.7109375" style="116" bestFit="1" customWidth="1"/>
    <col min="10750" max="10750" width="12.28515625" style="116" customWidth="1"/>
    <col min="10751" max="10752" width="13" style="116" customWidth="1"/>
    <col min="10753" max="10753" width="12.28515625" style="116" customWidth="1"/>
    <col min="10754" max="10754" width="13.28515625" style="116" customWidth="1"/>
    <col min="10755" max="10755" width="12.28515625" style="116" customWidth="1"/>
    <col min="10756" max="10756" width="13.28515625" style="116" customWidth="1"/>
    <col min="10757" max="10757" width="12.28515625" style="116" customWidth="1"/>
    <col min="10758" max="10758" width="13.28515625" style="116" customWidth="1"/>
    <col min="10759" max="10759" width="12.28515625" style="116" customWidth="1"/>
    <col min="10760" max="10760" width="13.28515625" style="116" customWidth="1"/>
    <col min="10761" max="10761" width="12.28515625" style="116" customWidth="1"/>
    <col min="10762" max="10762" width="13.28515625" style="116" customWidth="1"/>
    <col min="10763" max="10763" width="12.28515625" style="116" customWidth="1"/>
    <col min="10764" max="10764" width="13.28515625" style="116" customWidth="1"/>
    <col min="10765" max="10765" width="12.28515625" style="116" customWidth="1"/>
    <col min="10766" max="10766" width="14.28515625" style="116" customWidth="1"/>
    <col min="10767" max="10767" width="15.140625" style="116" customWidth="1"/>
    <col min="10768" max="11002" width="9.140625" style="116"/>
    <col min="11003" max="11003" width="8.85546875" style="116" customWidth="1"/>
    <col min="11004" max="11004" width="34.140625" style="116" customWidth="1"/>
    <col min="11005" max="11005" width="17.7109375" style="116" bestFit="1" customWidth="1"/>
    <col min="11006" max="11006" width="12.28515625" style="116" customWidth="1"/>
    <col min="11007" max="11008" width="13" style="116" customWidth="1"/>
    <col min="11009" max="11009" width="12.28515625" style="116" customWidth="1"/>
    <col min="11010" max="11010" width="13.28515625" style="116" customWidth="1"/>
    <col min="11011" max="11011" width="12.28515625" style="116" customWidth="1"/>
    <col min="11012" max="11012" width="13.28515625" style="116" customWidth="1"/>
    <col min="11013" max="11013" width="12.28515625" style="116" customWidth="1"/>
    <col min="11014" max="11014" width="13.28515625" style="116" customWidth="1"/>
    <col min="11015" max="11015" width="12.28515625" style="116" customWidth="1"/>
    <col min="11016" max="11016" width="13.28515625" style="116" customWidth="1"/>
    <col min="11017" max="11017" width="12.28515625" style="116" customWidth="1"/>
    <col min="11018" max="11018" width="13.28515625" style="116" customWidth="1"/>
    <col min="11019" max="11019" width="12.28515625" style="116" customWidth="1"/>
    <col min="11020" max="11020" width="13.28515625" style="116" customWidth="1"/>
    <col min="11021" max="11021" width="12.28515625" style="116" customWidth="1"/>
    <col min="11022" max="11022" width="14.28515625" style="116" customWidth="1"/>
    <col min="11023" max="11023" width="15.140625" style="116" customWidth="1"/>
    <col min="11024" max="11258" width="9.140625" style="116"/>
    <col min="11259" max="11259" width="8.85546875" style="116" customWidth="1"/>
    <col min="11260" max="11260" width="34.140625" style="116" customWidth="1"/>
    <col min="11261" max="11261" width="17.7109375" style="116" bestFit="1" customWidth="1"/>
    <col min="11262" max="11262" width="12.28515625" style="116" customWidth="1"/>
    <col min="11263" max="11264" width="13" style="116" customWidth="1"/>
    <col min="11265" max="11265" width="12.28515625" style="116" customWidth="1"/>
    <col min="11266" max="11266" width="13.28515625" style="116" customWidth="1"/>
    <col min="11267" max="11267" width="12.28515625" style="116" customWidth="1"/>
    <col min="11268" max="11268" width="13.28515625" style="116" customWidth="1"/>
    <col min="11269" max="11269" width="12.28515625" style="116" customWidth="1"/>
    <col min="11270" max="11270" width="13.28515625" style="116" customWidth="1"/>
    <col min="11271" max="11271" width="12.28515625" style="116" customWidth="1"/>
    <col min="11272" max="11272" width="13.28515625" style="116" customWidth="1"/>
    <col min="11273" max="11273" width="12.28515625" style="116" customWidth="1"/>
    <col min="11274" max="11274" width="13.28515625" style="116" customWidth="1"/>
    <col min="11275" max="11275" width="12.28515625" style="116" customWidth="1"/>
    <col min="11276" max="11276" width="13.28515625" style="116" customWidth="1"/>
    <col min="11277" max="11277" width="12.28515625" style="116" customWidth="1"/>
    <col min="11278" max="11278" width="14.28515625" style="116" customWidth="1"/>
    <col min="11279" max="11279" width="15.140625" style="116" customWidth="1"/>
    <col min="11280" max="11514" width="9.140625" style="116"/>
    <col min="11515" max="11515" width="8.85546875" style="116" customWidth="1"/>
    <col min="11516" max="11516" width="34.140625" style="116" customWidth="1"/>
    <col min="11517" max="11517" width="17.7109375" style="116" bestFit="1" customWidth="1"/>
    <col min="11518" max="11518" width="12.28515625" style="116" customWidth="1"/>
    <col min="11519" max="11520" width="13" style="116" customWidth="1"/>
    <col min="11521" max="11521" width="12.28515625" style="116" customWidth="1"/>
    <col min="11522" max="11522" width="13.28515625" style="116" customWidth="1"/>
    <col min="11523" max="11523" width="12.28515625" style="116" customWidth="1"/>
    <col min="11524" max="11524" width="13.28515625" style="116" customWidth="1"/>
    <col min="11525" max="11525" width="12.28515625" style="116" customWidth="1"/>
    <col min="11526" max="11526" width="13.28515625" style="116" customWidth="1"/>
    <col min="11527" max="11527" width="12.28515625" style="116" customWidth="1"/>
    <col min="11528" max="11528" width="13.28515625" style="116" customWidth="1"/>
    <col min="11529" max="11529" width="12.28515625" style="116" customWidth="1"/>
    <col min="11530" max="11530" width="13.28515625" style="116" customWidth="1"/>
    <col min="11531" max="11531" width="12.28515625" style="116" customWidth="1"/>
    <col min="11532" max="11532" width="13.28515625" style="116" customWidth="1"/>
    <col min="11533" max="11533" width="12.28515625" style="116" customWidth="1"/>
    <col min="11534" max="11534" width="14.28515625" style="116" customWidth="1"/>
    <col min="11535" max="11535" width="15.140625" style="116" customWidth="1"/>
    <col min="11536" max="11770" width="9.140625" style="116"/>
    <col min="11771" max="11771" width="8.85546875" style="116" customWidth="1"/>
    <col min="11772" max="11772" width="34.140625" style="116" customWidth="1"/>
    <col min="11773" max="11773" width="17.7109375" style="116" bestFit="1" customWidth="1"/>
    <col min="11774" max="11774" width="12.28515625" style="116" customWidth="1"/>
    <col min="11775" max="11776" width="13" style="116" customWidth="1"/>
    <col min="11777" max="11777" width="12.28515625" style="116" customWidth="1"/>
    <col min="11778" max="11778" width="13.28515625" style="116" customWidth="1"/>
    <col min="11779" max="11779" width="12.28515625" style="116" customWidth="1"/>
    <col min="11780" max="11780" width="13.28515625" style="116" customWidth="1"/>
    <col min="11781" max="11781" width="12.28515625" style="116" customWidth="1"/>
    <col min="11782" max="11782" width="13.28515625" style="116" customWidth="1"/>
    <col min="11783" max="11783" width="12.28515625" style="116" customWidth="1"/>
    <col min="11784" max="11784" width="13.28515625" style="116" customWidth="1"/>
    <col min="11785" max="11785" width="12.28515625" style="116" customWidth="1"/>
    <col min="11786" max="11786" width="13.28515625" style="116" customWidth="1"/>
    <col min="11787" max="11787" width="12.28515625" style="116" customWidth="1"/>
    <col min="11788" max="11788" width="13.28515625" style="116" customWidth="1"/>
    <col min="11789" max="11789" width="12.28515625" style="116" customWidth="1"/>
    <col min="11790" max="11790" width="14.28515625" style="116" customWidth="1"/>
    <col min="11791" max="11791" width="15.140625" style="116" customWidth="1"/>
    <col min="11792" max="12026" width="9.140625" style="116"/>
    <col min="12027" max="12027" width="8.85546875" style="116" customWidth="1"/>
    <col min="12028" max="12028" width="34.140625" style="116" customWidth="1"/>
    <col min="12029" max="12029" width="17.7109375" style="116" bestFit="1" customWidth="1"/>
    <col min="12030" max="12030" width="12.28515625" style="116" customWidth="1"/>
    <col min="12031" max="12032" width="13" style="116" customWidth="1"/>
    <col min="12033" max="12033" width="12.28515625" style="116" customWidth="1"/>
    <col min="12034" max="12034" width="13.28515625" style="116" customWidth="1"/>
    <col min="12035" max="12035" width="12.28515625" style="116" customWidth="1"/>
    <col min="12036" max="12036" width="13.28515625" style="116" customWidth="1"/>
    <col min="12037" max="12037" width="12.28515625" style="116" customWidth="1"/>
    <col min="12038" max="12038" width="13.28515625" style="116" customWidth="1"/>
    <col min="12039" max="12039" width="12.28515625" style="116" customWidth="1"/>
    <col min="12040" max="12040" width="13.28515625" style="116" customWidth="1"/>
    <col min="12041" max="12041" width="12.28515625" style="116" customWidth="1"/>
    <col min="12042" max="12042" width="13.28515625" style="116" customWidth="1"/>
    <col min="12043" max="12043" width="12.28515625" style="116" customWidth="1"/>
    <col min="12044" max="12044" width="13.28515625" style="116" customWidth="1"/>
    <col min="12045" max="12045" width="12.28515625" style="116" customWidth="1"/>
    <col min="12046" max="12046" width="14.28515625" style="116" customWidth="1"/>
    <col min="12047" max="12047" width="15.140625" style="116" customWidth="1"/>
    <col min="12048" max="12282" width="9.140625" style="116"/>
    <col min="12283" max="12283" width="8.85546875" style="116" customWidth="1"/>
    <col min="12284" max="12284" width="34.140625" style="116" customWidth="1"/>
    <col min="12285" max="12285" width="17.7109375" style="116" bestFit="1" customWidth="1"/>
    <col min="12286" max="12286" width="12.28515625" style="116" customWidth="1"/>
    <col min="12287" max="12288" width="13" style="116" customWidth="1"/>
    <col min="12289" max="12289" width="12.28515625" style="116" customWidth="1"/>
    <col min="12290" max="12290" width="13.28515625" style="116" customWidth="1"/>
    <col min="12291" max="12291" width="12.28515625" style="116" customWidth="1"/>
    <col min="12292" max="12292" width="13.28515625" style="116" customWidth="1"/>
    <col min="12293" max="12293" width="12.28515625" style="116" customWidth="1"/>
    <col min="12294" max="12294" width="13.28515625" style="116" customWidth="1"/>
    <col min="12295" max="12295" width="12.28515625" style="116" customWidth="1"/>
    <col min="12296" max="12296" width="13.28515625" style="116" customWidth="1"/>
    <col min="12297" max="12297" width="12.28515625" style="116" customWidth="1"/>
    <col min="12298" max="12298" width="13.28515625" style="116" customWidth="1"/>
    <col min="12299" max="12299" width="12.28515625" style="116" customWidth="1"/>
    <col min="12300" max="12300" width="13.28515625" style="116" customWidth="1"/>
    <col min="12301" max="12301" width="12.28515625" style="116" customWidth="1"/>
    <col min="12302" max="12302" width="14.28515625" style="116" customWidth="1"/>
    <col min="12303" max="12303" width="15.140625" style="116" customWidth="1"/>
    <col min="12304" max="12538" width="9.140625" style="116"/>
    <col min="12539" max="12539" width="8.85546875" style="116" customWidth="1"/>
    <col min="12540" max="12540" width="34.140625" style="116" customWidth="1"/>
    <col min="12541" max="12541" width="17.7109375" style="116" bestFit="1" customWidth="1"/>
    <col min="12542" max="12542" width="12.28515625" style="116" customWidth="1"/>
    <col min="12543" max="12544" width="13" style="116" customWidth="1"/>
    <col min="12545" max="12545" width="12.28515625" style="116" customWidth="1"/>
    <col min="12546" max="12546" width="13.28515625" style="116" customWidth="1"/>
    <col min="12547" max="12547" width="12.28515625" style="116" customWidth="1"/>
    <col min="12548" max="12548" width="13.28515625" style="116" customWidth="1"/>
    <col min="12549" max="12549" width="12.28515625" style="116" customWidth="1"/>
    <col min="12550" max="12550" width="13.28515625" style="116" customWidth="1"/>
    <col min="12551" max="12551" width="12.28515625" style="116" customWidth="1"/>
    <col min="12552" max="12552" width="13.28515625" style="116" customWidth="1"/>
    <col min="12553" max="12553" width="12.28515625" style="116" customWidth="1"/>
    <col min="12554" max="12554" width="13.28515625" style="116" customWidth="1"/>
    <col min="12555" max="12555" width="12.28515625" style="116" customWidth="1"/>
    <col min="12556" max="12556" width="13.28515625" style="116" customWidth="1"/>
    <col min="12557" max="12557" width="12.28515625" style="116" customWidth="1"/>
    <col min="12558" max="12558" width="14.28515625" style="116" customWidth="1"/>
    <col min="12559" max="12559" width="15.140625" style="116" customWidth="1"/>
    <col min="12560" max="12794" width="9.140625" style="116"/>
    <col min="12795" max="12795" width="8.85546875" style="116" customWidth="1"/>
    <col min="12796" max="12796" width="34.140625" style="116" customWidth="1"/>
    <col min="12797" max="12797" width="17.7109375" style="116" bestFit="1" customWidth="1"/>
    <col min="12798" max="12798" width="12.28515625" style="116" customWidth="1"/>
    <col min="12799" max="12800" width="13" style="116" customWidth="1"/>
    <col min="12801" max="12801" width="12.28515625" style="116" customWidth="1"/>
    <col min="12802" max="12802" width="13.28515625" style="116" customWidth="1"/>
    <col min="12803" max="12803" width="12.28515625" style="116" customWidth="1"/>
    <col min="12804" max="12804" width="13.28515625" style="116" customWidth="1"/>
    <col min="12805" max="12805" width="12.28515625" style="116" customWidth="1"/>
    <col min="12806" max="12806" width="13.28515625" style="116" customWidth="1"/>
    <col min="12807" max="12807" width="12.28515625" style="116" customWidth="1"/>
    <col min="12808" max="12808" width="13.28515625" style="116" customWidth="1"/>
    <col min="12809" max="12809" width="12.28515625" style="116" customWidth="1"/>
    <col min="12810" max="12810" width="13.28515625" style="116" customWidth="1"/>
    <col min="12811" max="12811" width="12.28515625" style="116" customWidth="1"/>
    <col min="12812" max="12812" width="13.28515625" style="116" customWidth="1"/>
    <col min="12813" max="12813" width="12.28515625" style="116" customWidth="1"/>
    <col min="12814" max="12814" width="14.28515625" style="116" customWidth="1"/>
    <col min="12815" max="12815" width="15.140625" style="116" customWidth="1"/>
    <col min="12816" max="13050" width="9.140625" style="116"/>
    <col min="13051" max="13051" width="8.85546875" style="116" customWidth="1"/>
    <col min="13052" max="13052" width="34.140625" style="116" customWidth="1"/>
    <col min="13053" max="13053" width="17.7109375" style="116" bestFit="1" customWidth="1"/>
    <col min="13054" max="13054" width="12.28515625" style="116" customWidth="1"/>
    <col min="13055" max="13056" width="13" style="116" customWidth="1"/>
    <col min="13057" max="13057" width="12.28515625" style="116" customWidth="1"/>
    <col min="13058" max="13058" width="13.28515625" style="116" customWidth="1"/>
    <col min="13059" max="13059" width="12.28515625" style="116" customWidth="1"/>
    <col min="13060" max="13060" width="13.28515625" style="116" customWidth="1"/>
    <col min="13061" max="13061" width="12.28515625" style="116" customWidth="1"/>
    <col min="13062" max="13062" width="13.28515625" style="116" customWidth="1"/>
    <col min="13063" max="13063" width="12.28515625" style="116" customWidth="1"/>
    <col min="13064" max="13064" width="13.28515625" style="116" customWidth="1"/>
    <col min="13065" max="13065" width="12.28515625" style="116" customWidth="1"/>
    <col min="13066" max="13066" width="13.28515625" style="116" customWidth="1"/>
    <col min="13067" max="13067" width="12.28515625" style="116" customWidth="1"/>
    <col min="13068" max="13068" width="13.28515625" style="116" customWidth="1"/>
    <col min="13069" max="13069" width="12.28515625" style="116" customWidth="1"/>
    <col min="13070" max="13070" width="14.28515625" style="116" customWidth="1"/>
    <col min="13071" max="13071" width="15.140625" style="116" customWidth="1"/>
    <col min="13072" max="13306" width="9.140625" style="116"/>
    <col min="13307" max="13307" width="8.85546875" style="116" customWidth="1"/>
    <col min="13308" max="13308" width="34.140625" style="116" customWidth="1"/>
    <col min="13309" max="13309" width="17.7109375" style="116" bestFit="1" customWidth="1"/>
    <col min="13310" max="13310" width="12.28515625" style="116" customWidth="1"/>
    <col min="13311" max="13312" width="13" style="116" customWidth="1"/>
    <col min="13313" max="13313" width="12.28515625" style="116" customWidth="1"/>
    <col min="13314" max="13314" width="13.28515625" style="116" customWidth="1"/>
    <col min="13315" max="13315" width="12.28515625" style="116" customWidth="1"/>
    <col min="13316" max="13316" width="13.28515625" style="116" customWidth="1"/>
    <col min="13317" max="13317" width="12.28515625" style="116" customWidth="1"/>
    <col min="13318" max="13318" width="13.28515625" style="116" customWidth="1"/>
    <col min="13319" max="13319" width="12.28515625" style="116" customWidth="1"/>
    <col min="13320" max="13320" width="13.28515625" style="116" customWidth="1"/>
    <col min="13321" max="13321" width="12.28515625" style="116" customWidth="1"/>
    <col min="13322" max="13322" width="13.28515625" style="116" customWidth="1"/>
    <col min="13323" max="13323" width="12.28515625" style="116" customWidth="1"/>
    <col min="13324" max="13324" width="13.28515625" style="116" customWidth="1"/>
    <col min="13325" max="13325" width="12.28515625" style="116" customWidth="1"/>
    <col min="13326" max="13326" width="14.28515625" style="116" customWidth="1"/>
    <col min="13327" max="13327" width="15.140625" style="116" customWidth="1"/>
    <col min="13328" max="13562" width="9.140625" style="116"/>
    <col min="13563" max="13563" width="8.85546875" style="116" customWidth="1"/>
    <col min="13564" max="13564" width="34.140625" style="116" customWidth="1"/>
    <col min="13565" max="13565" width="17.7109375" style="116" bestFit="1" customWidth="1"/>
    <col min="13566" max="13566" width="12.28515625" style="116" customWidth="1"/>
    <col min="13567" max="13568" width="13" style="116" customWidth="1"/>
    <col min="13569" max="13569" width="12.28515625" style="116" customWidth="1"/>
    <col min="13570" max="13570" width="13.28515625" style="116" customWidth="1"/>
    <col min="13571" max="13571" width="12.28515625" style="116" customWidth="1"/>
    <col min="13572" max="13572" width="13.28515625" style="116" customWidth="1"/>
    <col min="13573" max="13573" width="12.28515625" style="116" customWidth="1"/>
    <col min="13574" max="13574" width="13.28515625" style="116" customWidth="1"/>
    <col min="13575" max="13575" width="12.28515625" style="116" customWidth="1"/>
    <col min="13576" max="13576" width="13.28515625" style="116" customWidth="1"/>
    <col min="13577" max="13577" width="12.28515625" style="116" customWidth="1"/>
    <col min="13578" max="13578" width="13.28515625" style="116" customWidth="1"/>
    <col min="13579" max="13579" width="12.28515625" style="116" customWidth="1"/>
    <col min="13580" max="13580" width="13.28515625" style="116" customWidth="1"/>
    <col min="13581" max="13581" width="12.28515625" style="116" customWidth="1"/>
    <col min="13582" max="13582" width="14.28515625" style="116" customWidth="1"/>
    <col min="13583" max="13583" width="15.140625" style="116" customWidth="1"/>
    <col min="13584" max="13818" width="9.140625" style="116"/>
    <col min="13819" max="13819" width="8.85546875" style="116" customWidth="1"/>
    <col min="13820" max="13820" width="34.140625" style="116" customWidth="1"/>
    <col min="13821" max="13821" width="17.7109375" style="116" bestFit="1" customWidth="1"/>
    <col min="13822" max="13822" width="12.28515625" style="116" customWidth="1"/>
    <col min="13823" max="13824" width="13" style="116" customWidth="1"/>
    <col min="13825" max="13825" width="12.28515625" style="116" customWidth="1"/>
    <col min="13826" max="13826" width="13.28515625" style="116" customWidth="1"/>
    <col min="13827" max="13827" width="12.28515625" style="116" customWidth="1"/>
    <col min="13828" max="13828" width="13.28515625" style="116" customWidth="1"/>
    <col min="13829" max="13829" width="12.28515625" style="116" customWidth="1"/>
    <col min="13830" max="13830" width="13.28515625" style="116" customWidth="1"/>
    <col min="13831" max="13831" width="12.28515625" style="116" customWidth="1"/>
    <col min="13832" max="13832" width="13.28515625" style="116" customWidth="1"/>
    <col min="13833" max="13833" width="12.28515625" style="116" customWidth="1"/>
    <col min="13834" max="13834" width="13.28515625" style="116" customWidth="1"/>
    <col min="13835" max="13835" width="12.28515625" style="116" customWidth="1"/>
    <col min="13836" max="13836" width="13.28515625" style="116" customWidth="1"/>
    <col min="13837" max="13837" width="12.28515625" style="116" customWidth="1"/>
    <col min="13838" max="13838" width="14.28515625" style="116" customWidth="1"/>
    <col min="13839" max="13839" width="15.140625" style="116" customWidth="1"/>
    <col min="13840" max="14074" width="9.140625" style="116"/>
    <col min="14075" max="14075" width="8.85546875" style="116" customWidth="1"/>
    <col min="14076" max="14076" width="34.140625" style="116" customWidth="1"/>
    <col min="14077" max="14077" width="17.7109375" style="116" bestFit="1" customWidth="1"/>
    <col min="14078" max="14078" width="12.28515625" style="116" customWidth="1"/>
    <col min="14079" max="14080" width="13" style="116" customWidth="1"/>
    <col min="14081" max="14081" width="12.28515625" style="116" customWidth="1"/>
    <col min="14082" max="14082" width="13.28515625" style="116" customWidth="1"/>
    <col min="14083" max="14083" width="12.28515625" style="116" customWidth="1"/>
    <col min="14084" max="14084" width="13.28515625" style="116" customWidth="1"/>
    <col min="14085" max="14085" width="12.28515625" style="116" customWidth="1"/>
    <col min="14086" max="14086" width="13.28515625" style="116" customWidth="1"/>
    <col min="14087" max="14087" width="12.28515625" style="116" customWidth="1"/>
    <col min="14088" max="14088" width="13.28515625" style="116" customWidth="1"/>
    <col min="14089" max="14089" width="12.28515625" style="116" customWidth="1"/>
    <col min="14090" max="14090" width="13.28515625" style="116" customWidth="1"/>
    <col min="14091" max="14091" width="12.28515625" style="116" customWidth="1"/>
    <col min="14092" max="14092" width="13.28515625" style="116" customWidth="1"/>
    <col min="14093" max="14093" width="12.28515625" style="116" customWidth="1"/>
    <col min="14094" max="14094" width="14.28515625" style="116" customWidth="1"/>
    <col min="14095" max="14095" width="15.140625" style="116" customWidth="1"/>
    <col min="14096" max="14330" width="9.140625" style="116"/>
    <col min="14331" max="14331" width="8.85546875" style="116" customWidth="1"/>
    <col min="14332" max="14332" width="34.140625" style="116" customWidth="1"/>
    <col min="14333" max="14333" width="17.7109375" style="116" bestFit="1" customWidth="1"/>
    <col min="14334" max="14334" width="12.28515625" style="116" customWidth="1"/>
    <col min="14335" max="14336" width="13" style="116" customWidth="1"/>
    <col min="14337" max="14337" width="12.28515625" style="116" customWidth="1"/>
    <col min="14338" max="14338" width="13.28515625" style="116" customWidth="1"/>
    <col min="14339" max="14339" width="12.28515625" style="116" customWidth="1"/>
    <col min="14340" max="14340" width="13.28515625" style="116" customWidth="1"/>
    <col min="14341" max="14341" width="12.28515625" style="116" customWidth="1"/>
    <col min="14342" max="14342" width="13.28515625" style="116" customWidth="1"/>
    <col min="14343" max="14343" width="12.28515625" style="116" customWidth="1"/>
    <col min="14344" max="14344" width="13.28515625" style="116" customWidth="1"/>
    <col min="14345" max="14345" width="12.28515625" style="116" customWidth="1"/>
    <col min="14346" max="14346" width="13.28515625" style="116" customWidth="1"/>
    <col min="14347" max="14347" width="12.28515625" style="116" customWidth="1"/>
    <col min="14348" max="14348" width="13.28515625" style="116" customWidth="1"/>
    <col min="14349" max="14349" width="12.28515625" style="116" customWidth="1"/>
    <col min="14350" max="14350" width="14.28515625" style="116" customWidth="1"/>
    <col min="14351" max="14351" width="15.140625" style="116" customWidth="1"/>
    <col min="14352" max="14586" width="9.140625" style="116"/>
    <col min="14587" max="14587" width="8.85546875" style="116" customWidth="1"/>
    <col min="14588" max="14588" width="34.140625" style="116" customWidth="1"/>
    <col min="14589" max="14589" width="17.7109375" style="116" bestFit="1" customWidth="1"/>
    <col min="14590" max="14590" width="12.28515625" style="116" customWidth="1"/>
    <col min="14591" max="14592" width="13" style="116" customWidth="1"/>
    <col min="14593" max="14593" width="12.28515625" style="116" customWidth="1"/>
    <col min="14594" max="14594" width="13.28515625" style="116" customWidth="1"/>
    <col min="14595" max="14595" width="12.28515625" style="116" customWidth="1"/>
    <col min="14596" max="14596" width="13.28515625" style="116" customWidth="1"/>
    <col min="14597" max="14597" width="12.28515625" style="116" customWidth="1"/>
    <col min="14598" max="14598" width="13.28515625" style="116" customWidth="1"/>
    <col min="14599" max="14599" width="12.28515625" style="116" customWidth="1"/>
    <col min="14600" max="14600" width="13.28515625" style="116" customWidth="1"/>
    <col min="14601" max="14601" width="12.28515625" style="116" customWidth="1"/>
    <col min="14602" max="14602" width="13.28515625" style="116" customWidth="1"/>
    <col min="14603" max="14603" width="12.28515625" style="116" customWidth="1"/>
    <col min="14604" max="14604" width="13.28515625" style="116" customWidth="1"/>
    <col min="14605" max="14605" width="12.28515625" style="116" customWidth="1"/>
    <col min="14606" max="14606" width="14.28515625" style="116" customWidth="1"/>
    <col min="14607" max="14607" width="15.140625" style="116" customWidth="1"/>
    <col min="14608" max="14842" width="9.140625" style="116"/>
    <col min="14843" max="14843" width="8.85546875" style="116" customWidth="1"/>
    <col min="14844" max="14844" width="34.140625" style="116" customWidth="1"/>
    <col min="14845" max="14845" width="17.7109375" style="116" bestFit="1" customWidth="1"/>
    <col min="14846" max="14846" width="12.28515625" style="116" customWidth="1"/>
    <col min="14847" max="14848" width="13" style="116" customWidth="1"/>
    <col min="14849" max="14849" width="12.28515625" style="116" customWidth="1"/>
    <col min="14850" max="14850" width="13.28515625" style="116" customWidth="1"/>
    <col min="14851" max="14851" width="12.28515625" style="116" customWidth="1"/>
    <col min="14852" max="14852" width="13.28515625" style="116" customWidth="1"/>
    <col min="14853" max="14853" width="12.28515625" style="116" customWidth="1"/>
    <col min="14854" max="14854" width="13.28515625" style="116" customWidth="1"/>
    <col min="14855" max="14855" width="12.28515625" style="116" customWidth="1"/>
    <col min="14856" max="14856" width="13.28515625" style="116" customWidth="1"/>
    <col min="14857" max="14857" width="12.28515625" style="116" customWidth="1"/>
    <col min="14858" max="14858" width="13.28515625" style="116" customWidth="1"/>
    <col min="14859" max="14859" width="12.28515625" style="116" customWidth="1"/>
    <col min="14860" max="14860" width="13.28515625" style="116" customWidth="1"/>
    <col min="14861" max="14861" width="12.28515625" style="116" customWidth="1"/>
    <col min="14862" max="14862" width="14.28515625" style="116" customWidth="1"/>
    <col min="14863" max="14863" width="15.140625" style="116" customWidth="1"/>
    <col min="14864" max="15098" width="9.140625" style="116"/>
    <col min="15099" max="15099" width="8.85546875" style="116" customWidth="1"/>
    <col min="15100" max="15100" width="34.140625" style="116" customWidth="1"/>
    <col min="15101" max="15101" width="17.7109375" style="116" bestFit="1" customWidth="1"/>
    <col min="15102" max="15102" width="12.28515625" style="116" customWidth="1"/>
    <col min="15103" max="15104" width="13" style="116" customWidth="1"/>
    <col min="15105" max="15105" width="12.28515625" style="116" customWidth="1"/>
    <col min="15106" max="15106" width="13.28515625" style="116" customWidth="1"/>
    <col min="15107" max="15107" width="12.28515625" style="116" customWidth="1"/>
    <col min="15108" max="15108" width="13.28515625" style="116" customWidth="1"/>
    <col min="15109" max="15109" width="12.28515625" style="116" customWidth="1"/>
    <col min="15110" max="15110" width="13.28515625" style="116" customWidth="1"/>
    <col min="15111" max="15111" width="12.28515625" style="116" customWidth="1"/>
    <col min="15112" max="15112" width="13.28515625" style="116" customWidth="1"/>
    <col min="15113" max="15113" width="12.28515625" style="116" customWidth="1"/>
    <col min="15114" max="15114" width="13.28515625" style="116" customWidth="1"/>
    <col min="15115" max="15115" width="12.28515625" style="116" customWidth="1"/>
    <col min="15116" max="15116" width="13.28515625" style="116" customWidth="1"/>
    <col min="15117" max="15117" width="12.28515625" style="116" customWidth="1"/>
    <col min="15118" max="15118" width="14.28515625" style="116" customWidth="1"/>
    <col min="15119" max="15119" width="15.140625" style="116" customWidth="1"/>
    <col min="15120" max="15354" width="9.140625" style="116"/>
    <col min="15355" max="15355" width="8.85546875" style="116" customWidth="1"/>
    <col min="15356" max="15356" width="34.140625" style="116" customWidth="1"/>
    <col min="15357" max="15357" width="17.7109375" style="116" bestFit="1" customWidth="1"/>
    <col min="15358" max="15358" width="12.28515625" style="116" customWidth="1"/>
    <col min="15359" max="15360" width="13" style="116" customWidth="1"/>
    <col min="15361" max="15361" width="12.28515625" style="116" customWidth="1"/>
    <col min="15362" max="15362" width="13.28515625" style="116" customWidth="1"/>
    <col min="15363" max="15363" width="12.28515625" style="116" customWidth="1"/>
    <col min="15364" max="15364" width="13.28515625" style="116" customWidth="1"/>
    <col min="15365" max="15365" width="12.28515625" style="116" customWidth="1"/>
    <col min="15366" max="15366" width="13.28515625" style="116" customWidth="1"/>
    <col min="15367" max="15367" width="12.28515625" style="116" customWidth="1"/>
    <col min="15368" max="15368" width="13.28515625" style="116" customWidth="1"/>
    <col min="15369" max="15369" width="12.28515625" style="116" customWidth="1"/>
    <col min="15370" max="15370" width="13.28515625" style="116" customWidth="1"/>
    <col min="15371" max="15371" width="12.28515625" style="116" customWidth="1"/>
    <col min="15372" max="15372" width="13.28515625" style="116" customWidth="1"/>
    <col min="15373" max="15373" width="12.28515625" style="116" customWidth="1"/>
    <col min="15374" max="15374" width="14.28515625" style="116" customWidth="1"/>
    <col min="15375" max="15375" width="15.140625" style="116" customWidth="1"/>
    <col min="15376" max="15610" width="9.140625" style="116"/>
    <col min="15611" max="15611" width="8.85546875" style="116" customWidth="1"/>
    <col min="15612" max="15612" width="34.140625" style="116" customWidth="1"/>
    <col min="15613" max="15613" width="17.7109375" style="116" bestFit="1" customWidth="1"/>
    <col min="15614" max="15614" width="12.28515625" style="116" customWidth="1"/>
    <col min="15615" max="15616" width="13" style="116" customWidth="1"/>
    <col min="15617" max="15617" width="12.28515625" style="116" customWidth="1"/>
    <col min="15618" max="15618" width="13.28515625" style="116" customWidth="1"/>
    <col min="15619" max="15619" width="12.28515625" style="116" customWidth="1"/>
    <col min="15620" max="15620" width="13.28515625" style="116" customWidth="1"/>
    <col min="15621" max="15621" width="12.28515625" style="116" customWidth="1"/>
    <col min="15622" max="15622" width="13.28515625" style="116" customWidth="1"/>
    <col min="15623" max="15623" width="12.28515625" style="116" customWidth="1"/>
    <col min="15624" max="15624" width="13.28515625" style="116" customWidth="1"/>
    <col min="15625" max="15625" width="12.28515625" style="116" customWidth="1"/>
    <col min="15626" max="15626" width="13.28515625" style="116" customWidth="1"/>
    <col min="15627" max="15627" width="12.28515625" style="116" customWidth="1"/>
    <col min="15628" max="15628" width="13.28515625" style="116" customWidth="1"/>
    <col min="15629" max="15629" width="12.28515625" style="116" customWidth="1"/>
    <col min="15630" max="15630" width="14.28515625" style="116" customWidth="1"/>
    <col min="15631" max="15631" width="15.140625" style="116" customWidth="1"/>
    <col min="15632" max="15866" width="9.140625" style="116"/>
    <col min="15867" max="15867" width="8.85546875" style="116" customWidth="1"/>
    <col min="15868" max="15868" width="34.140625" style="116" customWidth="1"/>
    <col min="15869" max="15869" width="17.7109375" style="116" bestFit="1" customWidth="1"/>
    <col min="15870" max="15870" width="12.28515625" style="116" customWidth="1"/>
    <col min="15871" max="15872" width="13" style="116" customWidth="1"/>
    <col min="15873" max="15873" width="12.28515625" style="116" customWidth="1"/>
    <col min="15874" max="15874" width="13.28515625" style="116" customWidth="1"/>
    <col min="15875" max="15875" width="12.28515625" style="116" customWidth="1"/>
    <col min="15876" max="15876" width="13.28515625" style="116" customWidth="1"/>
    <col min="15877" max="15877" width="12.28515625" style="116" customWidth="1"/>
    <col min="15878" max="15878" width="13.28515625" style="116" customWidth="1"/>
    <col min="15879" max="15879" width="12.28515625" style="116" customWidth="1"/>
    <col min="15880" max="15880" width="13.28515625" style="116" customWidth="1"/>
    <col min="15881" max="15881" width="12.28515625" style="116" customWidth="1"/>
    <col min="15882" max="15882" width="13.28515625" style="116" customWidth="1"/>
    <col min="15883" max="15883" width="12.28515625" style="116" customWidth="1"/>
    <col min="15884" max="15884" width="13.28515625" style="116" customWidth="1"/>
    <col min="15885" max="15885" width="12.28515625" style="116" customWidth="1"/>
    <col min="15886" max="15886" width="14.28515625" style="116" customWidth="1"/>
    <col min="15887" max="15887" width="15.140625" style="116" customWidth="1"/>
    <col min="15888" max="16122" width="9.140625" style="116"/>
    <col min="16123" max="16123" width="8.85546875" style="116" customWidth="1"/>
    <col min="16124" max="16124" width="34.140625" style="116" customWidth="1"/>
    <col min="16125" max="16125" width="17.7109375" style="116" bestFit="1" customWidth="1"/>
    <col min="16126" max="16126" width="12.28515625" style="116" customWidth="1"/>
    <col min="16127" max="16128" width="13" style="116" customWidth="1"/>
    <col min="16129" max="16129" width="12.28515625" style="116" customWidth="1"/>
    <col min="16130" max="16130" width="13.28515625" style="116" customWidth="1"/>
    <col min="16131" max="16131" width="12.28515625" style="116" customWidth="1"/>
    <col min="16132" max="16132" width="13.28515625" style="116" customWidth="1"/>
    <col min="16133" max="16133" width="12.28515625" style="116" customWidth="1"/>
    <col min="16134" max="16134" width="13.28515625" style="116" customWidth="1"/>
    <col min="16135" max="16135" width="12.28515625" style="116" customWidth="1"/>
    <col min="16136" max="16136" width="13.28515625" style="116" customWidth="1"/>
    <col min="16137" max="16137" width="12.28515625" style="116" customWidth="1"/>
    <col min="16138" max="16138" width="13.28515625" style="116" customWidth="1"/>
    <col min="16139" max="16139" width="12.28515625" style="116" customWidth="1"/>
    <col min="16140" max="16140" width="13.28515625" style="116" customWidth="1"/>
    <col min="16141" max="16141" width="12.28515625" style="116" customWidth="1"/>
    <col min="16142" max="16142" width="14.28515625" style="116" customWidth="1"/>
    <col min="16143" max="16143" width="15.140625" style="116" customWidth="1"/>
    <col min="16144" max="16382" width="9.140625" style="116"/>
    <col min="16383" max="16384" width="9.140625" style="116" customWidth="1"/>
  </cols>
  <sheetData>
    <row r="1" spans="1:248" s="60" customFormat="1" ht="18.75">
      <c r="A1" s="701" t="s">
        <v>5071</v>
      </c>
      <c r="B1" s="701"/>
      <c r="C1" s="701"/>
      <c r="D1" s="701"/>
      <c r="E1" s="701"/>
      <c r="F1" s="701"/>
      <c r="G1" s="701"/>
      <c r="H1" s="701"/>
      <c r="I1" s="701"/>
      <c r="J1" s="701"/>
      <c r="K1" s="701"/>
      <c r="L1" s="701"/>
      <c r="M1" s="701"/>
      <c r="N1" s="58"/>
      <c r="O1" s="58"/>
      <c r="P1" s="58"/>
      <c r="Q1" s="58"/>
      <c r="R1" s="58"/>
      <c r="S1" s="58"/>
    </row>
    <row r="2" spans="1:248" s="60" customFormat="1" ht="18.75">
      <c r="A2" s="701" t="s">
        <v>5072</v>
      </c>
      <c r="B2" s="701"/>
      <c r="C2" s="701"/>
      <c r="D2" s="701"/>
      <c r="E2" s="701"/>
      <c r="F2" s="701"/>
      <c r="G2" s="701"/>
      <c r="H2" s="701"/>
      <c r="I2" s="701"/>
      <c r="J2" s="701"/>
      <c r="K2" s="701"/>
      <c r="L2" s="701"/>
      <c r="M2" s="701"/>
      <c r="N2" s="58"/>
      <c r="O2" s="58"/>
      <c r="P2" s="58"/>
      <c r="Q2" s="58"/>
      <c r="R2" s="58"/>
      <c r="S2" s="58"/>
    </row>
    <row r="3" spans="1:248" s="60" customFormat="1" ht="18.75">
      <c r="A3" s="701" t="s">
        <v>5074</v>
      </c>
      <c r="B3" s="701"/>
      <c r="C3" s="701"/>
      <c r="D3" s="701"/>
      <c r="E3" s="701"/>
      <c r="F3" s="701"/>
      <c r="G3" s="701"/>
      <c r="H3" s="701"/>
      <c r="I3" s="701"/>
      <c r="J3" s="701"/>
      <c r="K3" s="701"/>
      <c r="L3" s="701"/>
      <c r="M3" s="701"/>
      <c r="N3" s="58"/>
      <c r="O3" s="58"/>
      <c r="P3" s="58"/>
      <c r="Q3" s="58"/>
      <c r="R3" s="58"/>
      <c r="S3" s="58"/>
    </row>
    <row r="4" spans="1:248" s="60" customFormat="1" ht="18.75">
      <c r="A4" s="701" t="s">
        <v>156</v>
      </c>
      <c r="B4" s="701"/>
      <c r="C4" s="701"/>
      <c r="D4" s="701"/>
      <c r="E4" s="701"/>
      <c r="F4" s="701"/>
      <c r="G4" s="701"/>
      <c r="H4" s="701"/>
      <c r="I4" s="701"/>
      <c r="J4" s="701"/>
      <c r="K4" s="701"/>
      <c r="L4" s="701"/>
      <c r="M4" s="701"/>
      <c r="N4" s="58"/>
      <c r="O4" s="58"/>
      <c r="P4" s="58"/>
      <c r="Q4" s="58"/>
      <c r="R4" s="58"/>
      <c r="S4" s="58"/>
      <c r="T4" s="58"/>
    </row>
    <row r="5" spans="1:248" s="48" customFormat="1" ht="15" customHeight="1">
      <c r="A5" s="50" t="s">
        <v>82</v>
      </c>
      <c r="B5" s="62" t="s">
        <v>8521</v>
      </c>
      <c r="L5" s="52" t="s">
        <v>62</v>
      </c>
      <c r="M5" s="63">
        <f>'036-20-CAPA'!C19</f>
        <v>44370</v>
      </c>
      <c r="N5" s="46"/>
    </row>
    <row r="6" spans="1:248" s="48" customFormat="1" ht="26.45" customHeight="1">
      <c r="A6" s="50" t="s">
        <v>13</v>
      </c>
      <c r="B6" s="694" t="s">
        <v>8375</v>
      </c>
      <c r="C6" s="694"/>
      <c r="D6" s="694"/>
      <c r="E6" s="694"/>
      <c r="F6" s="50" t="s">
        <v>16</v>
      </c>
      <c r="G6" s="133" t="s">
        <v>8374</v>
      </c>
      <c r="L6" s="738" t="s">
        <v>13517</v>
      </c>
      <c r="M6" s="738"/>
      <c r="N6" s="46"/>
    </row>
    <row r="7" spans="1:248" s="48" customFormat="1" ht="12.75" customHeight="1">
      <c r="A7" s="50" t="s">
        <v>83</v>
      </c>
      <c r="B7" s="62" t="s">
        <v>13516</v>
      </c>
      <c r="H7" s="130"/>
      <c r="I7" s="130"/>
      <c r="J7" s="130" t="s">
        <v>6343</v>
      </c>
      <c r="L7" s="130" t="s">
        <v>8535</v>
      </c>
      <c r="M7" s="130"/>
      <c r="N7" s="46"/>
    </row>
    <row r="8" spans="1:248" s="129" customFormat="1" ht="12.75" thickBot="1">
      <c r="A8" s="127"/>
      <c r="B8" s="127"/>
      <c r="C8" s="128"/>
      <c r="D8" s="128"/>
      <c r="E8" s="128"/>
      <c r="F8" s="128"/>
      <c r="G8" s="128"/>
      <c r="H8" s="128"/>
      <c r="I8" s="128"/>
      <c r="J8" s="128"/>
      <c r="K8" s="128"/>
      <c r="L8" s="128"/>
      <c r="M8" s="128"/>
    </row>
    <row r="9" spans="1:248" ht="22.5">
      <c r="A9" s="417" t="s">
        <v>0</v>
      </c>
      <c r="B9" s="418" t="s">
        <v>142</v>
      </c>
      <c r="C9" s="419" t="s">
        <v>8550</v>
      </c>
      <c r="D9" s="380" t="s">
        <v>27005</v>
      </c>
      <c r="E9" s="380" t="s">
        <v>27006</v>
      </c>
      <c r="F9" s="380" t="s">
        <v>27007</v>
      </c>
      <c r="G9" s="380" t="s">
        <v>27008</v>
      </c>
      <c r="H9" s="380" t="s">
        <v>27009</v>
      </c>
      <c r="I9" s="380" t="s">
        <v>27010</v>
      </c>
      <c r="J9" s="380" t="s">
        <v>27011</v>
      </c>
      <c r="K9" s="380" t="s">
        <v>27012</v>
      </c>
      <c r="L9" s="380" t="s">
        <v>27013</v>
      </c>
      <c r="M9" s="381" t="s">
        <v>27014</v>
      </c>
      <c r="N9" s="115"/>
      <c r="O9" s="115"/>
      <c r="P9" s="115"/>
      <c r="Q9" s="115"/>
      <c r="R9" s="115"/>
      <c r="S9" s="115"/>
      <c r="T9" s="115"/>
      <c r="U9" s="115"/>
      <c r="V9" s="115"/>
      <c r="W9" s="115"/>
      <c r="X9" s="115"/>
      <c r="Y9" s="115"/>
      <c r="Z9" s="115"/>
      <c r="AA9" s="115"/>
      <c r="AB9" s="115"/>
      <c r="AC9" s="115"/>
      <c r="AD9" s="115"/>
      <c r="AE9" s="115"/>
      <c r="AF9" s="115"/>
      <c r="AG9" s="115"/>
      <c r="AH9" s="115"/>
      <c r="AI9" s="115"/>
      <c r="AJ9" s="115"/>
      <c r="AK9" s="115"/>
      <c r="AL9" s="115"/>
      <c r="AM9" s="115"/>
      <c r="AN9" s="115"/>
      <c r="AO9" s="115"/>
      <c r="AP9" s="115"/>
      <c r="AQ9" s="115"/>
      <c r="AR9" s="115"/>
      <c r="AS9" s="115"/>
      <c r="AT9" s="115"/>
      <c r="AU9" s="115"/>
      <c r="AV9" s="115"/>
      <c r="AW9" s="115"/>
      <c r="AX9" s="115"/>
      <c r="AY9" s="115"/>
      <c r="AZ9" s="115"/>
      <c r="BA9" s="115"/>
      <c r="BB9" s="115"/>
      <c r="BC9" s="115"/>
      <c r="BD9" s="115"/>
      <c r="BE9" s="115"/>
      <c r="BF9" s="115"/>
      <c r="BG9" s="115"/>
      <c r="BH9" s="115"/>
      <c r="BI9" s="115"/>
      <c r="BJ9" s="115"/>
      <c r="BK9" s="115"/>
      <c r="BL9" s="115"/>
      <c r="BM9" s="115"/>
      <c r="BN9" s="115"/>
      <c r="BO9" s="115"/>
      <c r="BP9" s="115"/>
      <c r="BQ9" s="115"/>
      <c r="BR9" s="115"/>
      <c r="BS9" s="115"/>
      <c r="BT9" s="115"/>
      <c r="BU9" s="115"/>
      <c r="BV9" s="115"/>
      <c r="BW9" s="115"/>
      <c r="BX9" s="115"/>
      <c r="BY9" s="115"/>
      <c r="BZ9" s="115"/>
      <c r="CA9" s="115"/>
      <c r="CB9" s="115"/>
      <c r="CC9" s="115"/>
      <c r="CD9" s="115"/>
      <c r="CE9" s="115"/>
      <c r="CF9" s="115"/>
      <c r="CG9" s="115"/>
      <c r="CH9" s="115"/>
      <c r="CI9" s="115"/>
      <c r="CJ9" s="115"/>
      <c r="CK9" s="115"/>
      <c r="CL9" s="115"/>
      <c r="CM9" s="115"/>
      <c r="CN9" s="115"/>
      <c r="CO9" s="115"/>
      <c r="CP9" s="115"/>
      <c r="CQ9" s="115"/>
      <c r="CR9" s="115"/>
      <c r="CS9" s="115"/>
      <c r="CT9" s="115"/>
      <c r="CU9" s="115"/>
      <c r="CV9" s="115"/>
      <c r="CW9" s="115"/>
      <c r="CX9" s="115"/>
      <c r="CY9" s="115"/>
      <c r="CZ9" s="115"/>
      <c r="DA9" s="115"/>
      <c r="DB9" s="115"/>
      <c r="DC9" s="115"/>
      <c r="DD9" s="115"/>
      <c r="DE9" s="115"/>
      <c r="DF9" s="115"/>
      <c r="DG9" s="115"/>
      <c r="DH9" s="115"/>
      <c r="DI9" s="115"/>
      <c r="DJ9" s="115"/>
      <c r="DK9" s="115"/>
      <c r="DL9" s="115"/>
      <c r="DM9" s="115"/>
      <c r="DN9" s="115"/>
      <c r="DO9" s="115"/>
      <c r="DP9" s="115"/>
      <c r="DQ9" s="115"/>
      <c r="DR9" s="115"/>
      <c r="DS9" s="115"/>
      <c r="DT9" s="115"/>
      <c r="DU9" s="115"/>
      <c r="DV9" s="115"/>
      <c r="DW9" s="115"/>
      <c r="DX9" s="115"/>
      <c r="DY9" s="115"/>
      <c r="DZ9" s="115"/>
      <c r="EA9" s="115"/>
      <c r="EB9" s="115"/>
      <c r="EC9" s="115"/>
      <c r="ED9" s="115"/>
      <c r="EE9" s="115"/>
      <c r="EF9" s="115"/>
      <c r="EG9" s="115"/>
      <c r="EH9" s="115"/>
      <c r="EI9" s="115"/>
      <c r="EJ9" s="115"/>
      <c r="EK9" s="115"/>
      <c r="EL9" s="115"/>
      <c r="EM9" s="115"/>
      <c r="EN9" s="115"/>
      <c r="EO9" s="115"/>
      <c r="EP9" s="115"/>
      <c r="EQ9" s="115"/>
      <c r="ER9" s="115"/>
      <c r="ES9" s="115"/>
      <c r="ET9" s="115"/>
      <c r="EU9" s="115"/>
      <c r="EV9" s="115"/>
      <c r="EW9" s="115"/>
      <c r="EX9" s="115"/>
      <c r="EY9" s="115"/>
      <c r="EZ9" s="115"/>
      <c r="FA9" s="115"/>
      <c r="FB9" s="115"/>
      <c r="FC9" s="115"/>
      <c r="FD9" s="115"/>
      <c r="FE9" s="115"/>
      <c r="FF9" s="115"/>
      <c r="FG9" s="115"/>
      <c r="FH9" s="115"/>
      <c r="FI9" s="115"/>
      <c r="FJ9" s="115"/>
      <c r="FK9" s="115"/>
      <c r="FL9" s="115"/>
      <c r="FM9" s="115"/>
      <c r="FN9" s="115"/>
      <c r="FO9" s="115"/>
      <c r="FP9" s="115"/>
      <c r="FQ9" s="115"/>
      <c r="FR9" s="115"/>
      <c r="FS9" s="115"/>
      <c r="FT9" s="115"/>
      <c r="FU9" s="115"/>
      <c r="FV9" s="115"/>
      <c r="FW9" s="115"/>
      <c r="FX9" s="115"/>
      <c r="FY9" s="115"/>
      <c r="FZ9" s="115"/>
      <c r="GA9" s="115"/>
      <c r="GB9" s="115"/>
      <c r="GC9" s="115"/>
      <c r="GD9" s="115"/>
      <c r="GE9" s="115"/>
      <c r="GF9" s="115"/>
      <c r="GG9" s="115"/>
      <c r="GH9" s="115"/>
      <c r="GI9" s="115"/>
      <c r="GJ9" s="115"/>
      <c r="GK9" s="115"/>
      <c r="GL9" s="115"/>
      <c r="GM9" s="115"/>
      <c r="GN9" s="115"/>
      <c r="GO9" s="115"/>
      <c r="GP9" s="115"/>
      <c r="GQ9" s="115"/>
      <c r="GR9" s="115"/>
      <c r="GS9" s="115"/>
      <c r="GT9" s="115"/>
      <c r="GU9" s="115"/>
      <c r="GV9" s="115"/>
      <c r="GW9" s="115"/>
      <c r="GX9" s="115"/>
      <c r="GY9" s="115"/>
      <c r="GZ9" s="115"/>
      <c r="HA9" s="115"/>
      <c r="HB9" s="115"/>
      <c r="HC9" s="115"/>
      <c r="HD9" s="115"/>
      <c r="HE9" s="115"/>
      <c r="HF9" s="115"/>
      <c r="HG9" s="115"/>
      <c r="HH9" s="115"/>
      <c r="HI9" s="115"/>
      <c r="HJ9" s="115"/>
      <c r="HK9" s="115"/>
      <c r="HL9" s="115"/>
      <c r="HM9" s="115"/>
      <c r="HN9" s="115"/>
      <c r="HO9" s="115"/>
      <c r="HP9" s="115"/>
      <c r="HQ9" s="115"/>
      <c r="HR9" s="115"/>
      <c r="HS9" s="115"/>
      <c r="HT9" s="115"/>
      <c r="HU9" s="115"/>
      <c r="HV9" s="115"/>
      <c r="HW9" s="115"/>
      <c r="HX9" s="115"/>
      <c r="HY9" s="115"/>
      <c r="HZ9" s="115"/>
      <c r="IA9" s="115"/>
      <c r="IB9" s="115"/>
      <c r="IC9" s="115"/>
      <c r="ID9" s="115"/>
      <c r="IE9" s="115"/>
      <c r="IF9" s="115"/>
      <c r="IG9" s="115"/>
      <c r="IH9" s="115"/>
      <c r="II9" s="115"/>
      <c r="IJ9" s="115"/>
      <c r="IK9" s="115"/>
      <c r="IL9" s="115"/>
      <c r="IM9" s="115"/>
      <c r="IN9" s="115"/>
    </row>
    <row r="10" spans="1:248" ht="13.15" customHeight="1">
      <c r="A10" s="729" t="s">
        <v>73</v>
      </c>
      <c r="B10" s="732" t="s">
        <v>130</v>
      </c>
      <c r="C10" s="735">
        <f>'036.01-20-SERV. GERAIS'!$I$53</f>
        <v>1100040.989213631</v>
      </c>
      <c r="D10" s="420">
        <v>0.3</v>
      </c>
      <c r="E10" s="421">
        <v>0.2</v>
      </c>
      <c r="F10" s="420">
        <v>0.2</v>
      </c>
      <c r="G10" s="421">
        <v>0.15</v>
      </c>
      <c r="H10" s="420"/>
      <c r="I10" s="420"/>
      <c r="J10" s="420"/>
      <c r="K10" s="421"/>
      <c r="L10" s="420"/>
      <c r="M10" s="442"/>
      <c r="N10" s="117"/>
      <c r="O10" s="131"/>
      <c r="P10" s="119"/>
    </row>
    <row r="11" spans="1:248" ht="9" customHeight="1">
      <c r="A11" s="730"/>
      <c r="B11" s="733"/>
      <c r="C11" s="736"/>
      <c r="D11" s="386"/>
      <c r="E11" s="383"/>
      <c r="F11" s="386"/>
      <c r="G11" s="383"/>
      <c r="H11" s="389"/>
      <c r="I11" s="389"/>
      <c r="J11" s="389"/>
      <c r="K11" s="384"/>
      <c r="L11" s="389"/>
      <c r="M11" s="429"/>
      <c r="O11" s="131"/>
    </row>
    <row r="12" spans="1:248" ht="15" customHeight="1">
      <c r="A12" s="731"/>
      <c r="B12" s="734"/>
      <c r="C12" s="737"/>
      <c r="D12" s="422">
        <f>$C$10*D10</f>
        <v>330012.29676408932</v>
      </c>
      <c r="E12" s="423">
        <f t="shared" ref="E12:G12" si="0">$C$10*E10</f>
        <v>220008.19784272622</v>
      </c>
      <c r="F12" s="422">
        <f t="shared" si="0"/>
        <v>220008.19784272622</v>
      </c>
      <c r="G12" s="423">
        <f t="shared" si="0"/>
        <v>165006.14838204466</v>
      </c>
      <c r="H12" s="422"/>
      <c r="I12" s="422"/>
      <c r="J12" s="422"/>
      <c r="K12" s="422"/>
      <c r="L12" s="504"/>
      <c r="M12" s="443"/>
      <c r="O12" s="131"/>
      <c r="P12" s="322"/>
    </row>
    <row r="13" spans="1:248" ht="13.15" customHeight="1">
      <c r="A13" s="730" t="s">
        <v>8541</v>
      </c>
      <c r="B13" s="750" t="s">
        <v>8096</v>
      </c>
      <c r="C13" s="749">
        <f>SUM('036.02-20-CANTEIRO.'!$I$15:$I$163)</f>
        <v>2086209.6014290536</v>
      </c>
      <c r="D13" s="387"/>
      <c r="E13" s="382">
        <v>0.3</v>
      </c>
      <c r="F13" s="387">
        <v>0.35</v>
      </c>
      <c r="G13" s="382">
        <v>0.35</v>
      </c>
      <c r="H13" s="387"/>
      <c r="I13" s="387"/>
      <c r="J13" s="387"/>
      <c r="K13" s="387"/>
      <c r="L13" s="505"/>
      <c r="M13" s="428"/>
      <c r="N13" s="117"/>
      <c r="O13" s="131"/>
      <c r="P13" s="322"/>
    </row>
    <row r="14" spans="1:248" ht="9" customHeight="1">
      <c r="A14" s="730"/>
      <c r="B14" s="733"/>
      <c r="C14" s="736"/>
      <c r="D14" s="389"/>
      <c r="E14" s="383"/>
      <c r="F14" s="386"/>
      <c r="G14" s="383"/>
      <c r="H14" s="389"/>
      <c r="I14" s="389"/>
      <c r="J14" s="389"/>
      <c r="K14" s="389"/>
      <c r="L14" s="503"/>
      <c r="M14" s="429"/>
      <c r="O14" s="131"/>
      <c r="P14" s="322"/>
    </row>
    <row r="15" spans="1:248" ht="15" customHeight="1">
      <c r="A15" s="730"/>
      <c r="B15" s="739"/>
      <c r="C15" s="740"/>
      <c r="D15" s="388"/>
      <c r="E15" s="385">
        <f t="shared" ref="E15:G15" si="1">$C$13*E13</f>
        <v>625862.88042871607</v>
      </c>
      <c r="F15" s="388">
        <f t="shared" si="1"/>
        <v>730173.36050016875</v>
      </c>
      <c r="G15" s="385">
        <f t="shared" si="1"/>
        <v>730173.36050016875</v>
      </c>
      <c r="H15" s="388"/>
      <c r="I15" s="388"/>
      <c r="J15" s="388"/>
      <c r="K15" s="388"/>
      <c r="L15" s="506"/>
      <c r="M15" s="430"/>
      <c r="O15" s="131"/>
      <c r="P15" s="322"/>
    </row>
    <row r="16" spans="1:248" ht="13.15" customHeight="1">
      <c r="A16" s="729" t="s">
        <v>8540</v>
      </c>
      <c r="B16" s="732" t="s">
        <v>6548</v>
      </c>
      <c r="C16" s="735">
        <f>SUM('036.01-20-SERV. GERAIS'!$I$57:$I$66)</f>
        <v>2514496.982256094</v>
      </c>
      <c r="D16" s="420"/>
      <c r="E16" s="421"/>
      <c r="F16" s="420"/>
      <c r="G16" s="421">
        <v>0.125</v>
      </c>
      <c r="H16" s="420"/>
      <c r="I16" s="420">
        <v>0.125</v>
      </c>
      <c r="J16" s="420"/>
      <c r="K16" s="420">
        <v>0.125</v>
      </c>
      <c r="L16" s="420"/>
      <c r="M16" s="442">
        <v>0.125</v>
      </c>
      <c r="N16" s="117"/>
      <c r="O16" s="131"/>
      <c r="P16" s="322"/>
    </row>
    <row r="17" spans="1:16" ht="9" customHeight="1">
      <c r="A17" s="730"/>
      <c r="B17" s="733"/>
      <c r="C17" s="736"/>
      <c r="D17" s="389"/>
      <c r="E17" s="384"/>
      <c r="F17" s="389"/>
      <c r="G17" s="383"/>
      <c r="H17" s="389"/>
      <c r="I17" s="386"/>
      <c r="J17" s="389"/>
      <c r="K17" s="386"/>
      <c r="L17" s="389"/>
      <c r="M17" s="444"/>
      <c r="O17" s="131"/>
      <c r="P17" s="322"/>
    </row>
    <row r="18" spans="1:16" ht="15" customHeight="1">
      <c r="A18" s="731"/>
      <c r="B18" s="734"/>
      <c r="C18" s="737"/>
      <c r="D18" s="422"/>
      <c r="E18" s="423"/>
      <c r="F18" s="422"/>
      <c r="G18" s="423">
        <f t="shared" ref="G18:I18" si="2">$C$16*G16</f>
        <v>314312.12278201175</v>
      </c>
      <c r="H18" s="422"/>
      <c r="I18" s="422">
        <f t="shared" si="2"/>
        <v>314312.12278201175</v>
      </c>
      <c r="J18" s="422"/>
      <c r="K18" s="422">
        <f>$C$16*K16</f>
        <v>314312.12278201175</v>
      </c>
      <c r="L18" s="422"/>
      <c r="M18" s="443">
        <f>$C$16*M16</f>
        <v>314312.12278201175</v>
      </c>
      <c r="O18" s="131"/>
      <c r="P18" s="322"/>
    </row>
    <row r="19" spans="1:16" ht="13.15" customHeight="1">
      <c r="A19" s="730" t="s">
        <v>8539</v>
      </c>
      <c r="B19" s="750" t="s">
        <v>8097</v>
      </c>
      <c r="C19" s="749">
        <f>SUM('036.01-20-SERV. GERAIS'!$I$68:$I$81)</f>
        <v>161429.52834587108</v>
      </c>
      <c r="D19" s="387"/>
      <c r="E19" s="382"/>
      <c r="F19" s="387"/>
      <c r="G19" s="382"/>
      <c r="H19" s="387"/>
      <c r="I19" s="387">
        <v>0.15</v>
      </c>
      <c r="J19" s="387"/>
      <c r="K19" s="387"/>
      <c r="L19" s="387">
        <v>0.2</v>
      </c>
      <c r="M19" s="428"/>
      <c r="N19" s="117"/>
      <c r="O19" s="131"/>
      <c r="P19" s="322"/>
    </row>
    <row r="20" spans="1:16" ht="9" customHeight="1">
      <c r="A20" s="730"/>
      <c r="B20" s="733"/>
      <c r="C20" s="736"/>
      <c r="D20" s="389"/>
      <c r="E20" s="384"/>
      <c r="F20" s="389"/>
      <c r="G20" s="384"/>
      <c r="H20" s="389"/>
      <c r="I20" s="383"/>
      <c r="J20" s="389"/>
      <c r="K20" s="389"/>
      <c r="L20" s="386"/>
      <c r="M20" s="429"/>
      <c r="O20" s="131"/>
      <c r="P20" s="322"/>
    </row>
    <row r="21" spans="1:16" ht="15" customHeight="1">
      <c r="A21" s="730"/>
      <c r="B21" s="739"/>
      <c r="C21" s="740"/>
      <c r="D21" s="388"/>
      <c r="E21" s="385"/>
      <c r="F21" s="388"/>
      <c r="G21" s="385"/>
      <c r="H21" s="388"/>
      <c r="I21" s="385">
        <f t="shared" ref="I21" si="3">$C$19*I19</f>
        <v>24214.429251880661</v>
      </c>
      <c r="J21" s="388"/>
      <c r="K21" s="388"/>
      <c r="L21" s="388">
        <f t="shared" ref="L21" si="4">$C$19*L19</f>
        <v>32285.905669174215</v>
      </c>
      <c r="M21" s="430"/>
      <c r="O21" s="131"/>
      <c r="P21" s="322"/>
    </row>
    <row r="22" spans="1:16" ht="13.15" customHeight="1">
      <c r="A22" s="729" t="s">
        <v>6647</v>
      </c>
      <c r="B22" s="732" t="s">
        <v>8098</v>
      </c>
      <c r="C22" s="735">
        <f>SUM('036.02-20-CANTEIRO.'!$I$165:$I$183)</f>
        <v>74078.116587066659</v>
      </c>
      <c r="D22" s="420"/>
      <c r="E22" s="421"/>
      <c r="F22" s="420"/>
      <c r="G22" s="421"/>
      <c r="H22" s="420"/>
      <c r="I22" s="420"/>
      <c r="J22" s="420"/>
      <c r="K22" s="420"/>
      <c r="L22" s="420"/>
      <c r="M22" s="442"/>
      <c r="N22" s="117"/>
      <c r="O22" s="131"/>
      <c r="P22" s="322"/>
    </row>
    <row r="23" spans="1:16" ht="9" customHeight="1">
      <c r="A23" s="730"/>
      <c r="B23" s="733"/>
      <c r="C23" s="736"/>
      <c r="D23" s="389"/>
      <c r="E23" s="384"/>
      <c r="F23" s="389"/>
      <c r="G23" s="384"/>
      <c r="H23" s="389"/>
      <c r="I23" s="389"/>
      <c r="J23" s="389"/>
      <c r="K23" s="389"/>
      <c r="L23" s="389"/>
      <c r="M23" s="429"/>
      <c r="O23" s="131"/>
      <c r="P23" s="322"/>
    </row>
    <row r="24" spans="1:16" ht="15" customHeight="1">
      <c r="A24" s="731"/>
      <c r="B24" s="734"/>
      <c r="C24" s="737"/>
      <c r="D24" s="422"/>
      <c r="E24" s="423"/>
      <c r="F24" s="422"/>
      <c r="G24" s="423"/>
      <c r="H24" s="422"/>
      <c r="I24" s="422"/>
      <c r="J24" s="422"/>
      <c r="K24" s="422"/>
      <c r="L24" s="422"/>
      <c r="M24" s="443"/>
      <c r="O24" s="131"/>
      <c r="P24" s="322"/>
    </row>
    <row r="25" spans="1:16" ht="13.15" customHeight="1">
      <c r="A25" s="730" t="s">
        <v>8538</v>
      </c>
      <c r="B25" s="750" t="s">
        <v>8099</v>
      </c>
      <c r="C25" s="749">
        <f>SUM('036.01-20-SERV. GERAIS'!$I$85:$I$132)</f>
        <v>7197072.3170565329</v>
      </c>
      <c r="D25" s="387"/>
      <c r="E25" s="382"/>
      <c r="F25" s="387"/>
      <c r="G25" s="382"/>
      <c r="H25" s="387">
        <v>0.1565</v>
      </c>
      <c r="I25" s="387">
        <f>0.8435/13</f>
        <v>6.4884615384615388E-2</v>
      </c>
      <c r="J25" s="387">
        <f t="shared" ref="J25:M25" si="5">0.8435/13</f>
        <v>6.4884615384615388E-2</v>
      </c>
      <c r="K25" s="387">
        <f t="shared" si="5"/>
        <v>6.4884615384615388E-2</v>
      </c>
      <c r="L25" s="505">
        <f t="shared" si="5"/>
        <v>6.4884615384615388E-2</v>
      </c>
      <c r="M25" s="516">
        <f t="shared" si="5"/>
        <v>6.4884615384615388E-2</v>
      </c>
      <c r="N25" s="117"/>
      <c r="O25" s="131">
        <f>100-15.65</f>
        <v>84.35</v>
      </c>
      <c r="P25" s="322"/>
    </row>
    <row r="26" spans="1:16" ht="9" customHeight="1">
      <c r="A26" s="730"/>
      <c r="B26" s="733"/>
      <c r="C26" s="736"/>
      <c r="D26" s="389"/>
      <c r="E26" s="384"/>
      <c r="F26" s="389"/>
      <c r="G26" s="384"/>
      <c r="H26" s="386"/>
      <c r="I26" s="386"/>
      <c r="J26" s="386"/>
      <c r="K26" s="383"/>
      <c r="L26" s="386"/>
      <c r="M26" s="444"/>
      <c r="O26" s="131"/>
      <c r="P26" s="322"/>
    </row>
    <row r="27" spans="1:16" ht="15" customHeight="1">
      <c r="A27" s="730"/>
      <c r="B27" s="739"/>
      <c r="C27" s="740"/>
      <c r="D27" s="388"/>
      <c r="E27" s="385"/>
      <c r="F27" s="388"/>
      <c r="G27" s="385"/>
      <c r="H27" s="388">
        <f t="shared" ref="H27:I27" si="6">$C$25*H25</f>
        <v>1126341.8176193475</v>
      </c>
      <c r="I27" s="388">
        <f t="shared" si="6"/>
        <v>466979.26918747585</v>
      </c>
      <c r="J27" s="388">
        <f t="shared" ref="J27" si="7">$C$25*J25</f>
        <v>466979.26918747585</v>
      </c>
      <c r="K27" s="385">
        <f t="shared" ref="K27:M27" si="8">$C$25*K25</f>
        <v>466979.26918747585</v>
      </c>
      <c r="L27" s="422">
        <f t="shared" si="8"/>
        <v>466979.26918747585</v>
      </c>
      <c r="M27" s="510">
        <f t="shared" si="8"/>
        <v>466979.26918747585</v>
      </c>
      <c r="O27" s="131"/>
      <c r="P27" s="322"/>
    </row>
    <row r="28" spans="1:16" ht="13.15" customHeight="1">
      <c r="A28" s="729" t="s">
        <v>8537</v>
      </c>
      <c r="B28" s="732" t="s">
        <v>8100</v>
      </c>
      <c r="C28" s="735">
        <f>SUM('036.01-20-SERV. GERAIS'!$I$135:$I$150)</f>
        <v>2526199.3420825005</v>
      </c>
      <c r="D28" s="420"/>
      <c r="E28" s="421"/>
      <c r="F28" s="420"/>
      <c r="G28" s="421"/>
      <c r="H28" s="420"/>
      <c r="I28" s="420"/>
      <c r="J28" s="420"/>
      <c r="K28" s="420"/>
      <c r="L28" s="505">
        <f>1/7</f>
        <v>0.14285714285714285</v>
      </c>
      <c r="M28" s="516">
        <f>1/7</f>
        <v>0.14285714285714285</v>
      </c>
      <c r="N28" s="117"/>
      <c r="O28" s="131"/>
      <c r="P28" s="322"/>
    </row>
    <row r="29" spans="1:16" ht="9" customHeight="1">
      <c r="A29" s="730"/>
      <c r="B29" s="733"/>
      <c r="C29" s="736"/>
      <c r="D29" s="389"/>
      <c r="E29" s="384"/>
      <c r="F29" s="389"/>
      <c r="G29" s="384"/>
      <c r="H29" s="389"/>
      <c r="I29" s="389"/>
      <c r="J29" s="389"/>
      <c r="K29" s="389"/>
      <c r="L29" s="383"/>
      <c r="M29" s="521"/>
      <c r="O29" s="131"/>
      <c r="P29" s="322"/>
    </row>
    <row r="30" spans="1:16" ht="15" customHeight="1">
      <c r="A30" s="731"/>
      <c r="B30" s="734"/>
      <c r="C30" s="737"/>
      <c r="D30" s="422"/>
      <c r="E30" s="423"/>
      <c r="F30" s="422"/>
      <c r="G30" s="423"/>
      <c r="H30" s="422"/>
      <c r="I30" s="422"/>
      <c r="J30" s="422"/>
      <c r="K30" s="422"/>
      <c r="L30" s="423">
        <f t="shared" ref="L30" si="9">$C$28*L28</f>
        <v>360885.62029750005</v>
      </c>
      <c r="M30" s="510">
        <f t="shared" ref="M30" si="10">$C$28*M28</f>
        <v>360885.62029750005</v>
      </c>
      <c r="O30" s="131"/>
      <c r="P30" s="322"/>
    </row>
    <row r="31" spans="1:16" ht="13.15" customHeight="1">
      <c r="A31" s="730" t="s">
        <v>8536</v>
      </c>
      <c r="B31" s="750" t="s">
        <v>8107</v>
      </c>
      <c r="C31" s="749">
        <f>SUM('036.01-20-SERV. GERAIS'!$I$152:$I$181)</f>
        <v>929740.99546340096</v>
      </c>
      <c r="D31" s="387"/>
      <c r="E31" s="382"/>
      <c r="F31" s="387"/>
      <c r="G31" s="382"/>
      <c r="H31" s="387"/>
      <c r="I31" s="387">
        <f>1/5</f>
        <v>0.2</v>
      </c>
      <c r="J31" s="387">
        <f t="shared" ref="J31:M31" si="11">1/5</f>
        <v>0.2</v>
      </c>
      <c r="K31" s="387">
        <f t="shared" si="11"/>
        <v>0.2</v>
      </c>
      <c r="L31" s="505">
        <f t="shared" si="11"/>
        <v>0.2</v>
      </c>
      <c r="M31" s="516">
        <f t="shared" si="11"/>
        <v>0.2</v>
      </c>
      <c r="N31" s="117"/>
      <c r="O31" s="131"/>
      <c r="P31" s="322"/>
    </row>
    <row r="32" spans="1:16" ht="9" customHeight="1">
      <c r="A32" s="730"/>
      <c r="B32" s="733"/>
      <c r="C32" s="736"/>
      <c r="D32" s="389"/>
      <c r="E32" s="384"/>
      <c r="F32" s="389"/>
      <c r="G32" s="384"/>
      <c r="H32" s="389"/>
      <c r="I32" s="386"/>
      <c r="J32" s="386"/>
      <c r="K32" s="383"/>
      <c r="L32" s="386"/>
      <c r="M32" s="444"/>
      <c r="O32" s="131"/>
      <c r="P32" s="322"/>
    </row>
    <row r="33" spans="1:16" ht="15" customHeight="1">
      <c r="A33" s="730"/>
      <c r="B33" s="739"/>
      <c r="C33" s="740"/>
      <c r="D33" s="388"/>
      <c r="E33" s="385"/>
      <c r="F33" s="388"/>
      <c r="G33" s="385"/>
      <c r="H33" s="388"/>
      <c r="I33" s="388">
        <f>$C$31*I31</f>
        <v>185948.19909268021</v>
      </c>
      <c r="J33" s="388">
        <f>$C$31*J31</f>
        <v>185948.19909268021</v>
      </c>
      <c r="K33" s="385">
        <f t="shared" ref="K33:L33" si="12">$C$31*K31</f>
        <v>185948.19909268021</v>
      </c>
      <c r="L33" s="388">
        <f t="shared" si="12"/>
        <v>185948.19909268021</v>
      </c>
      <c r="M33" s="430">
        <f t="shared" ref="M33" si="13">$C$31*M31</f>
        <v>185948.19909268021</v>
      </c>
      <c r="O33" s="131"/>
      <c r="P33" s="322"/>
    </row>
    <row r="34" spans="1:16" ht="13.15" customHeight="1">
      <c r="A34" s="729" t="s">
        <v>8542</v>
      </c>
      <c r="B34" s="732" t="s">
        <v>8436</v>
      </c>
      <c r="C34" s="735">
        <f>SUM('036.01-20-SERV. GERAIS'!$I$183:$I$198)</f>
        <v>283734.01886986929</v>
      </c>
      <c r="D34" s="420"/>
      <c r="E34" s="421"/>
      <c r="F34" s="420"/>
      <c r="G34" s="421"/>
      <c r="H34" s="420"/>
      <c r="I34" s="420"/>
      <c r="J34" s="420"/>
      <c r="K34" s="421"/>
      <c r="L34" s="420"/>
      <c r="M34" s="442"/>
      <c r="N34" s="117"/>
      <c r="O34" s="131"/>
      <c r="P34" s="322"/>
    </row>
    <row r="35" spans="1:16" ht="9" customHeight="1">
      <c r="A35" s="730"/>
      <c r="B35" s="733"/>
      <c r="C35" s="736"/>
      <c r="D35" s="389"/>
      <c r="E35" s="384"/>
      <c r="F35" s="389"/>
      <c r="G35" s="384"/>
      <c r="H35" s="389"/>
      <c r="I35" s="389"/>
      <c r="J35" s="389"/>
      <c r="K35" s="384"/>
      <c r="L35" s="389"/>
      <c r="M35" s="429"/>
      <c r="O35" s="131"/>
      <c r="P35" s="322"/>
    </row>
    <row r="36" spans="1:16" ht="15" customHeight="1">
      <c r="A36" s="731"/>
      <c r="B36" s="734"/>
      <c r="C36" s="737"/>
      <c r="D36" s="422"/>
      <c r="E36" s="423"/>
      <c r="F36" s="422"/>
      <c r="G36" s="423"/>
      <c r="H36" s="422"/>
      <c r="I36" s="422"/>
      <c r="J36" s="422"/>
      <c r="K36" s="423"/>
      <c r="L36" s="422"/>
      <c r="M36" s="443"/>
      <c r="O36" s="131"/>
      <c r="P36" s="322"/>
    </row>
    <row r="37" spans="1:16" ht="13.15" customHeight="1">
      <c r="A37" s="730" t="s">
        <v>8543</v>
      </c>
      <c r="B37" s="750" t="s">
        <v>8101</v>
      </c>
      <c r="C37" s="749">
        <f>SUM('036.01-20-SERV. GERAIS'!$I$200:$I$231)</f>
        <v>6558702.8765504956</v>
      </c>
      <c r="D37" s="387"/>
      <c r="E37" s="382"/>
      <c r="F37" s="387"/>
      <c r="G37" s="382"/>
      <c r="H37" s="387"/>
      <c r="I37" s="387"/>
      <c r="J37" s="387">
        <f>1/8</f>
        <v>0.125</v>
      </c>
      <c r="K37" s="387">
        <f t="shared" ref="K37:M37" si="14">1/8</f>
        <v>0.125</v>
      </c>
      <c r="L37" s="387">
        <f t="shared" si="14"/>
        <v>0.125</v>
      </c>
      <c r="M37" s="516">
        <f t="shared" si="14"/>
        <v>0.125</v>
      </c>
      <c r="N37" s="117"/>
      <c r="O37" s="131"/>
      <c r="P37" s="322"/>
    </row>
    <row r="38" spans="1:16" ht="9" customHeight="1">
      <c r="A38" s="730"/>
      <c r="B38" s="733"/>
      <c r="C38" s="736"/>
      <c r="D38" s="389"/>
      <c r="E38" s="384"/>
      <c r="F38" s="389"/>
      <c r="G38" s="384"/>
      <c r="H38" s="389"/>
      <c r="I38" s="389"/>
      <c r="J38" s="386"/>
      <c r="K38" s="383"/>
      <c r="L38" s="386"/>
      <c r="M38" s="444"/>
      <c r="O38" s="131"/>
      <c r="P38" s="322"/>
    </row>
    <row r="39" spans="1:16" ht="15" customHeight="1">
      <c r="A39" s="730"/>
      <c r="B39" s="739"/>
      <c r="C39" s="740"/>
      <c r="D39" s="388"/>
      <c r="E39" s="385"/>
      <c r="F39" s="388"/>
      <c r="G39" s="385"/>
      <c r="H39" s="388"/>
      <c r="I39" s="388"/>
      <c r="J39" s="388">
        <f t="shared" ref="J39:M39" si="15">$C$37*J37</f>
        <v>819837.85956881195</v>
      </c>
      <c r="K39" s="385">
        <f t="shared" si="15"/>
        <v>819837.85956881195</v>
      </c>
      <c r="L39" s="388">
        <f t="shared" si="15"/>
        <v>819837.85956881195</v>
      </c>
      <c r="M39" s="430">
        <f t="shared" si="15"/>
        <v>819837.85956881195</v>
      </c>
      <c r="O39" s="131"/>
      <c r="P39" s="322"/>
    </row>
    <row r="40" spans="1:16" ht="13.15" customHeight="1">
      <c r="A40" s="729" t="s">
        <v>8544</v>
      </c>
      <c r="B40" s="732" t="s">
        <v>8102</v>
      </c>
      <c r="C40" s="735">
        <f>SUM('036.01-20-SERV. GERAIS'!$I$238:$I$256)</f>
        <v>3949718.6965327598</v>
      </c>
      <c r="D40" s="420"/>
      <c r="E40" s="421"/>
      <c r="F40" s="420"/>
      <c r="G40" s="421"/>
      <c r="H40" s="420"/>
      <c r="I40" s="420"/>
      <c r="J40" s="420"/>
      <c r="K40" s="420"/>
      <c r="L40" s="502"/>
      <c r="M40" s="442"/>
      <c r="N40" s="117"/>
      <c r="O40" s="131"/>
      <c r="P40" s="322"/>
    </row>
    <row r="41" spans="1:16" ht="9" customHeight="1">
      <c r="A41" s="730"/>
      <c r="B41" s="733"/>
      <c r="C41" s="736"/>
      <c r="D41" s="389"/>
      <c r="E41" s="384"/>
      <c r="F41" s="389"/>
      <c r="G41" s="384"/>
      <c r="H41" s="389"/>
      <c r="I41" s="389"/>
      <c r="J41" s="389"/>
      <c r="K41" s="389"/>
      <c r="L41" s="503"/>
      <c r="M41" s="429"/>
      <c r="O41" s="131"/>
      <c r="P41" s="322"/>
    </row>
    <row r="42" spans="1:16" ht="15" customHeight="1">
      <c r="A42" s="731"/>
      <c r="B42" s="734"/>
      <c r="C42" s="737"/>
      <c r="D42" s="422"/>
      <c r="E42" s="423"/>
      <c r="F42" s="422"/>
      <c r="G42" s="423"/>
      <c r="H42" s="422"/>
      <c r="I42" s="422"/>
      <c r="J42" s="422"/>
      <c r="K42" s="422"/>
      <c r="L42" s="504"/>
      <c r="M42" s="443"/>
      <c r="O42" s="131"/>
      <c r="P42" s="322"/>
    </row>
    <row r="43" spans="1:16" ht="13.15" customHeight="1">
      <c r="A43" s="730" t="s">
        <v>8546</v>
      </c>
      <c r="B43" s="750" t="s">
        <v>8545</v>
      </c>
      <c r="C43" s="749">
        <f>SUM('036.01-20-SERV. GERAIS'!$I$258:$I$266)</f>
        <v>15580.427078705645</v>
      </c>
      <c r="D43" s="387"/>
      <c r="E43" s="382"/>
      <c r="F43" s="387"/>
      <c r="G43" s="382"/>
      <c r="H43" s="387"/>
      <c r="I43" s="387"/>
      <c r="J43" s="387"/>
      <c r="K43" s="382"/>
      <c r="L43" s="387"/>
      <c r="M43" s="428"/>
      <c r="N43" s="117"/>
      <c r="O43" s="131"/>
      <c r="P43" s="322"/>
    </row>
    <row r="44" spans="1:16" ht="9" customHeight="1">
      <c r="A44" s="730"/>
      <c r="B44" s="733"/>
      <c r="C44" s="736"/>
      <c r="D44" s="389"/>
      <c r="E44" s="384"/>
      <c r="F44" s="389"/>
      <c r="G44" s="384"/>
      <c r="H44" s="389"/>
      <c r="I44" s="389"/>
      <c r="J44" s="389"/>
      <c r="K44" s="384"/>
      <c r="L44" s="389"/>
      <c r="M44" s="429"/>
      <c r="O44" s="131"/>
      <c r="P44" s="322"/>
    </row>
    <row r="45" spans="1:16" ht="15" customHeight="1">
      <c r="A45" s="730"/>
      <c r="B45" s="739"/>
      <c r="C45" s="740"/>
      <c r="D45" s="388"/>
      <c r="E45" s="385"/>
      <c r="F45" s="388"/>
      <c r="G45" s="385"/>
      <c r="H45" s="388"/>
      <c r="I45" s="388"/>
      <c r="J45" s="388"/>
      <c r="K45" s="385"/>
      <c r="L45" s="388"/>
      <c r="M45" s="430"/>
      <c r="O45" s="131"/>
      <c r="P45" s="322"/>
    </row>
    <row r="46" spans="1:16" ht="13.15" customHeight="1">
      <c r="A46" s="729" t="s">
        <v>8547</v>
      </c>
      <c r="B46" s="732" t="s">
        <v>8103</v>
      </c>
      <c r="C46" s="735">
        <f>SUM('036.01-20-SERV. GERAIS'!$I$268:$I$280)</f>
        <v>13623699.21221018</v>
      </c>
      <c r="D46" s="420"/>
      <c r="E46" s="421"/>
      <c r="F46" s="420"/>
      <c r="G46" s="421"/>
      <c r="H46" s="420"/>
      <c r="I46" s="420"/>
      <c r="J46" s="420"/>
      <c r="K46" s="421"/>
      <c r="L46" s="420"/>
      <c r="M46" s="442"/>
      <c r="N46" s="117"/>
      <c r="O46" s="131"/>
      <c r="P46" s="322"/>
    </row>
    <row r="47" spans="1:16" ht="9" customHeight="1">
      <c r="A47" s="730"/>
      <c r="B47" s="733"/>
      <c r="C47" s="736"/>
      <c r="D47" s="389"/>
      <c r="E47" s="384"/>
      <c r="F47" s="389"/>
      <c r="G47" s="384"/>
      <c r="H47" s="389"/>
      <c r="I47" s="389"/>
      <c r="J47" s="389"/>
      <c r="K47" s="384"/>
      <c r="L47" s="389"/>
      <c r="M47" s="429"/>
      <c r="O47" s="131"/>
      <c r="P47" s="322"/>
    </row>
    <row r="48" spans="1:16" ht="15" customHeight="1">
      <c r="A48" s="731"/>
      <c r="B48" s="734"/>
      <c r="C48" s="737"/>
      <c r="D48" s="422"/>
      <c r="E48" s="423"/>
      <c r="F48" s="422"/>
      <c r="G48" s="423"/>
      <c r="H48" s="422"/>
      <c r="I48" s="422"/>
      <c r="J48" s="422"/>
      <c r="K48" s="423"/>
      <c r="L48" s="422"/>
      <c r="M48" s="443"/>
      <c r="O48" s="131"/>
      <c r="P48" s="322"/>
    </row>
    <row r="49" spans="1:16" ht="13.15" customHeight="1">
      <c r="A49" s="730" t="s">
        <v>8549</v>
      </c>
      <c r="B49" s="750" t="s">
        <v>13399</v>
      </c>
      <c r="C49" s="749">
        <f>SUM('036.01-20-SERV. GERAIS'!$I$282:$I$289)</f>
        <v>43678.870766640735</v>
      </c>
      <c r="D49" s="387"/>
      <c r="E49" s="382"/>
      <c r="F49" s="387"/>
      <c r="G49" s="382"/>
      <c r="H49" s="387"/>
      <c r="I49" s="387"/>
      <c r="J49" s="387"/>
      <c r="K49" s="382"/>
      <c r="L49" s="387"/>
      <c r="M49" s="428"/>
      <c r="N49" s="117"/>
      <c r="O49" s="131"/>
      <c r="P49" s="322"/>
    </row>
    <row r="50" spans="1:16" ht="9" customHeight="1">
      <c r="A50" s="730"/>
      <c r="B50" s="733"/>
      <c r="C50" s="736"/>
      <c r="D50" s="389"/>
      <c r="E50" s="384"/>
      <c r="F50" s="389"/>
      <c r="G50" s="384"/>
      <c r="H50" s="389"/>
      <c r="I50" s="389"/>
      <c r="J50" s="389"/>
      <c r="K50" s="384"/>
      <c r="L50" s="389"/>
      <c r="M50" s="429"/>
      <c r="O50" s="131"/>
      <c r="P50" s="322"/>
    </row>
    <row r="51" spans="1:16" ht="15" customHeight="1">
      <c r="A51" s="730"/>
      <c r="B51" s="739"/>
      <c r="C51" s="740"/>
      <c r="D51" s="388"/>
      <c r="E51" s="385"/>
      <c r="F51" s="388"/>
      <c r="G51" s="385"/>
      <c r="H51" s="388"/>
      <c r="I51" s="388"/>
      <c r="J51" s="388"/>
      <c r="K51" s="385"/>
      <c r="L51" s="388"/>
      <c r="M51" s="430"/>
      <c r="O51" s="131"/>
      <c r="P51" s="322"/>
    </row>
    <row r="52" spans="1:16" ht="13.15" customHeight="1">
      <c r="A52" s="729" t="s">
        <v>13397</v>
      </c>
      <c r="B52" s="732" t="s">
        <v>8409</v>
      </c>
      <c r="C52" s="735">
        <f>'036.01-20-SERV. GERAIS'!$I$296</f>
        <v>9164.7181752918696</v>
      </c>
      <c r="D52" s="420"/>
      <c r="E52" s="421"/>
      <c r="F52" s="420"/>
      <c r="G52" s="421"/>
      <c r="H52" s="420"/>
      <c r="I52" s="420"/>
      <c r="J52" s="420"/>
      <c r="K52" s="421"/>
      <c r="L52" s="420"/>
      <c r="M52" s="442"/>
      <c r="N52" s="117"/>
      <c r="O52" s="131"/>
      <c r="P52" s="322"/>
    </row>
    <row r="53" spans="1:16" ht="9" customHeight="1">
      <c r="A53" s="730"/>
      <c r="B53" s="733"/>
      <c r="C53" s="736"/>
      <c r="D53" s="389"/>
      <c r="E53" s="384"/>
      <c r="F53" s="389"/>
      <c r="G53" s="384"/>
      <c r="H53" s="389"/>
      <c r="I53" s="389"/>
      <c r="J53" s="389"/>
      <c r="K53" s="384"/>
      <c r="L53" s="389"/>
      <c r="M53" s="429"/>
      <c r="O53" s="131"/>
      <c r="P53" s="322"/>
    </row>
    <row r="54" spans="1:16" ht="15" customHeight="1">
      <c r="A54" s="731"/>
      <c r="B54" s="734"/>
      <c r="C54" s="737"/>
      <c r="D54" s="422"/>
      <c r="E54" s="423"/>
      <c r="F54" s="422"/>
      <c r="G54" s="423"/>
      <c r="H54" s="422"/>
      <c r="I54" s="422"/>
      <c r="J54" s="422"/>
      <c r="K54" s="423"/>
      <c r="L54" s="422"/>
      <c r="M54" s="443"/>
      <c r="O54" s="131"/>
      <c r="P54" s="322"/>
    </row>
    <row r="55" spans="1:16" ht="13.15" customHeight="1">
      <c r="A55" s="729" t="s">
        <v>8104</v>
      </c>
      <c r="B55" s="732" t="s">
        <v>77</v>
      </c>
      <c r="C55" s="735">
        <f>'036.01-20-SERV. GERAIS'!$I$313</f>
        <v>252427.70179366271</v>
      </c>
      <c r="D55" s="420"/>
      <c r="E55" s="421"/>
      <c r="F55" s="420"/>
      <c r="G55" s="420">
        <v>6.6E-3</v>
      </c>
      <c r="H55" s="420">
        <f>0.9752/14</f>
        <v>6.9657142857142848E-2</v>
      </c>
      <c r="I55" s="420">
        <f t="shared" ref="I55:M55" si="16">0.9752/14</f>
        <v>6.9657142857142848E-2</v>
      </c>
      <c r="J55" s="420">
        <f t="shared" si="16"/>
        <v>6.9657142857142848E-2</v>
      </c>
      <c r="K55" s="420">
        <f t="shared" si="16"/>
        <v>6.9657142857142848E-2</v>
      </c>
      <c r="L55" s="420">
        <f t="shared" si="16"/>
        <v>6.9657142857142848E-2</v>
      </c>
      <c r="M55" s="517">
        <f t="shared" si="16"/>
        <v>6.9657142857142848E-2</v>
      </c>
      <c r="N55" s="117"/>
      <c r="O55" s="131">
        <f>100-2.48</f>
        <v>97.52</v>
      </c>
      <c r="P55" s="322"/>
    </row>
    <row r="56" spans="1:16" ht="9" customHeight="1">
      <c r="A56" s="730"/>
      <c r="B56" s="733"/>
      <c r="C56" s="736"/>
      <c r="D56" s="389"/>
      <c r="E56" s="384"/>
      <c r="F56" s="389"/>
      <c r="G56" s="386"/>
      <c r="H56" s="386"/>
      <c r="I56" s="386"/>
      <c r="J56" s="386"/>
      <c r="K56" s="383"/>
      <c r="L56" s="386"/>
      <c r="M56" s="444"/>
      <c r="O56" s="131"/>
      <c r="P56" s="322"/>
    </row>
    <row r="57" spans="1:16" ht="15" customHeight="1">
      <c r="A57" s="731"/>
      <c r="B57" s="734"/>
      <c r="C57" s="737"/>
      <c r="D57" s="422"/>
      <c r="E57" s="423"/>
      <c r="F57" s="422"/>
      <c r="G57" s="422">
        <f t="shared" ref="G57" si="17">$C$55*G55</f>
        <v>1666.0228318381739</v>
      </c>
      <c r="H57" s="422">
        <f t="shared" ref="H57:M57" si="18">$C$55*H55</f>
        <v>17583.392484941418</v>
      </c>
      <c r="I57" s="422">
        <f t="shared" si="18"/>
        <v>17583.392484941418</v>
      </c>
      <c r="J57" s="422">
        <f t="shared" si="18"/>
        <v>17583.392484941418</v>
      </c>
      <c r="K57" s="423">
        <f t="shared" si="18"/>
        <v>17583.392484941418</v>
      </c>
      <c r="L57" s="422">
        <f t="shared" si="18"/>
        <v>17583.392484941418</v>
      </c>
      <c r="M57" s="443">
        <f t="shared" si="18"/>
        <v>17583.392484941418</v>
      </c>
      <c r="O57" s="131"/>
      <c r="P57" s="322"/>
    </row>
    <row r="58" spans="1:16" ht="13.15" customHeight="1">
      <c r="A58" s="729" t="s">
        <v>145</v>
      </c>
      <c r="B58" s="732" t="s">
        <v>8105</v>
      </c>
      <c r="C58" s="735">
        <f>'036.01-20-SERV. GERAIS'!$I$376</f>
        <v>3220210.8543085428</v>
      </c>
      <c r="D58" s="420">
        <f>D139</f>
        <v>7.944287704524185E-3</v>
      </c>
      <c r="E58" s="420">
        <f t="shared" ref="E58:M58" si="19">E139</f>
        <v>2.0362402469893848E-2</v>
      </c>
      <c r="F58" s="420">
        <f t="shared" si="19"/>
        <v>2.2873437581040136E-2</v>
      </c>
      <c r="G58" s="420">
        <f t="shared" si="19"/>
        <v>2.9155837395148945E-2</v>
      </c>
      <c r="H58" s="420">
        <f t="shared" si="19"/>
        <v>2.8960459949365924E-2</v>
      </c>
      <c r="I58" s="420">
        <f t="shared" si="19"/>
        <v>2.5713346189878149E-2</v>
      </c>
      <c r="J58" s="420">
        <f t="shared" si="19"/>
        <v>3.7299809906505922E-2</v>
      </c>
      <c r="K58" s="420">
        <f t="shared" si="19"/>
        <v>4.344306284153631E-2</v>
      </c>
      <c r="L58" s="420">
        <f t="shared" si="19"/>
        <v>4.5341421761034006E-2</v>
      </c>
      <c r="M58" s="420">
        <f t="shared" si="19"/>
        <v>5.2130554865866797E-2</v>
      </c>
      <c r="N58" s="117"/>
      <c r="O58" s="131"/>
      <c r="P58" s="322"/>
    </row>
    <row r="59" spans="1:16" ht="9" customHeight="1">
      <c r="A59" s="730"/>
      <c r="B59" s="733"/>
      <c r="C59" s="736"/>
      <c r="D59" s="386"/>
      <c r="E59" s="383"/>
      <c r="F59" s="386"/>
      <c r="G59" s="383"/>
      <c r="H59" s="386"/>
      <c r="I59" s="386"/>
      <c r="J59" s="386"/>
      <c r="K59" s="383"/>
      <c r="L59" s="386"/>
      <c r="M59" s="444"/>
      <c r="O59" s="131"/>
      <c r="P59" s="322"/>
    </row>
    <row r="60" spans="1:16" ht="15" customHeight="1">
      <c r="A60" s="730"/>
      <c r="B60" s="739"/>
      <c r="C60" s="740"/>
      <c r="D60" s="388">
        <f>$C$58*D58</f>
        <v>25582.281495858679</v>
      </c>
      <c r="E60" s="385">
        <f t="shared" ref="E60:M60" si="20">$C$58*E58</f>
        <v>65571.229453351247</v>
      </c>
      <c r="F60" s="388">
        <f t="shared" si="20"/>
        <v>73657.291973814383</v>
      </c>
      <c r="G60" s="385">
        <f t="shared" si="20"/>
        <v>93887.94404631354</v>
      </c>
      <c r="H60" s="388">
        <f t="shared" si="20"/>
        <v>93258.78747471598</v>
      </c>
      <c r="I60" s="388">
        <f t="shared" si="20"/>
        <v>82802.396501238836</v>
      </c>
      <c r="J60" s="388">
        <f t="shared" si="20"/>
        <v>120113.25272457568</v>
      </c>
      <c r="K60" s="385">
        <f t="shared" si="20"/>
        <v>139895.82250672334</v>
      </c>
      <c r="L60" s="388">
        <f t="shared" si="20"/>
        <v>146008.93850466327</v>
      </c>
      <c r="M60" s="430">
        <f t="shared" si="20"/>
        <v>167871.37862019127</v>
      </c>
      <c r="O60" s="131"/>
      <c r="P60" s="322"/>
    </row>
    <row r="61" spans="1:16" ht="13.15" customHeight="1">
      <c r="A61" s="729" t="s">
        <v>8095</v>
      </c>
      <c r="B61" s="732" t="s">
        <v>8106</v>
      </c>
      <c r="C61" s="735">
        <f>'036.02-20-CANTEIRO.'!$I$197</f>
        <v>37505.65828440764</v>
      </c>
      <c r="D61" s="420"/>
      <c r="E61" s="421"/>
      <c r="F61" s="420"/>
      <c r="G61" s="421"/>
      <c r="H61" s="420"/>
      <c r="I61" s="420"/>
      <c r="J61" s="420"/>
      <c r="K61" s="421"/>
      <c r="L61" s="420"/>
      <c r="M61" s="442"/>
      <c r="N61" s="117"/>
      <c r="O61" s="131"/>
      <c r="P61" s="322"/>
    </row>
    <row r="62" spans="1:16" ht="9" customHeight="1">
      <c r="A62" s="747"/>
      <c r="B62" s="733"/>
      <c r="C62" s="736"/>
      <c r="D62" s="389"/>
      <c r="E62" s="384"/>
      <c r="F62" s="389"/>
      <c r="G62" s="384"/>
      <c r="H62" s="389"/>
      <c r="I62" s="389"/>
      <c r="J62" s="389"/>
      <c r="K62" s="384"/>
      <c r="L62" s="389"/>
      <c r="M62" s="429"/>
      <c r="O62" s="131"/>
      <c r="P62" s="322"/>
    </row>
    <row r="63" spans="1:16" ht="15" customHeight="1">
      <c r="A63" s="748"/>
      <c r="B63" s="734"/>
      <c r="C63" s="737"/>
      <c r="D63" s="422"/>
      <c r="E63" s="423"/>
      <c r="F63" s="422"/>
      <c r="G63" s="423"/>
      <c r="H63" s="422"/>
      <c r="I63" s="422"/>
      <c r="J63" s="422"/>
      <c r="K63" s="423"/>
      <c r="L63" s="422"/>
      <c r="M63" s="443"/>
      <c r="O63" s="131"/>
      <c r="P63" s="322"/>
    </row>
    <row r="64" spans="1:16" ht="13.15" customHeight="1">
      <c r="A64" s="729" t="s">
        <v>13504</v>
      </c>
      <c r="B64" s="732" t="s">
        <v>13505</v>
      </c>
      <c r="C64" s="735">
        <f>'036-20-CAPA'!$D$34</f>
        <v>177348.91</v>
      </c>
      <c r="D64" s="420"/>
      <c r="E64" s="421"/>
      <c r="F64" s="420"/>
      <c r="G64" s="421"/>
      <c r="H64" s="420">
        <f>1/3</f>
        <v>0.33333333333333331</v>
      </c>
      <c r="I64" s="420">
        <f t="shared" ref="I64:J64" si="21">1/3</f>
        <v>0.33333333333333331</v>
      </c>
      <c r="J64" s="420">
        <f t="shared" si="21"/>
        <v>0.33333333333333331</v>
      </c>
      <c r="K64" s="421"/>
      <c r="L64" s="420"/>
      <c r="M64" s="442"/>
      <c r="N64" s="117"/>
      <c r="O64" s="131"/>
      <c r="P64" s="322"/>
    </row>
    <row r="65" spans="1:248" ht="9" customHeight="1">
      <c r="A65" s="730"/>
      <c r="B65" s="733"/>
      <c r="C65" s="736"/>
      <c r="D65" s="389"/>
      <c r="E65" s="384"/>
      <c r="F65" s="389"/>
      <c r="G65" s="384"/>
      <c r="H65" s="386"/>
      <c r="I65" s="386"/>
      <c r="J65" s="386"/>
      <c r="K65" s="384"/>
      <c r="L65" s="389"/>
      <c r="M65" s="429"/>
      <c r="O65" s="131"/>
      <c r="P65" s="322"/>
    </row>
    <row r="66" spans="1:248" ht="15" customHeight="1">
      <c r="A66" s="731"/>
      <c r="B66" s="734"/>
      <c r="C66" s="737"/>
      <c r="D66" s="422"/>
      <c r="E66" s="423"/>
      <c r="F66" s="422"/>
      <c r="G66" s="423"/>
      <c r="H66" s="388">
        <f>$C$64*H64</f>
        <v>59116.30333333333</v>
      </c>
      <c r="I66" s="388">
        <f t="shared" ref="I66:J66" si="22">$C$64*I64</f>
        <v>59116.30333333333</v>
      </c>
      <c r="J66" s="388">
        <f t="shared" si="22"/>
        <v>59116.30333333333</v>
      </c>
      <c r="K66" s="423"/>
      <c r="L66" s="422"/>
      <c r="M66" s="443"/>
      <c r="O66" s="131"/>
      <c r="P66" s="322"/>
    </row>
    <row r="67" spans="1:248" ht="15" customHeight="1">
      <c r="A67" s="445"/>
      <c r="B67" s="425" t="s">
        <v>146</v>
      </c>
      <c r="C67" s="751">
        <f>SUM(C10:C66)</f>
        <v>44761039.81700471</v>
      </c>
      <c r="D67" s="431">
        <f t="shared" ref="D67" si="23">D68/$C67</f>
        <v>7.944287704524185E-3</v>
      </c>
      <c r="E67" s="427">
        <f>E68/$C67</f>
        <v>2.0362402469893848E-2</v>
      </c>
      <c r="F67" s="431">
        <f t="shared" ref="F67:M67" si="24">F68/$C67</f>
        <v>2.2873437581040136E-2</v>
      </c>
      <c r="G67" s="427">
        <f t="shared" si="24"/>
        <v>2.9155837395148945E-2</v>
      </c>
      <c r="H67" s="431">
        <f t="shared" si="24"/>
        <v>2.8960459949365924E-2</v>
      </c>
      <c r="I67" s="431">
        <f t="shared" si="24"/>
        <v>2.5713346189878142E-2</v>
      </c>
      <c r="J67" s="431">
        <f t="shared" si="24"/>
        <v>3.7299809906505922E-2</v>
      </c>
      <c r="K67" s="427">
        <f t="shared" si="24"/>
        <v>4.3443062841536303E-2</v>
      </c>
      <c r="L67" s="431">
        <f t="shared" si="24"/>
        <v>4.5341421761034E-2</v>
      </c>
      <c r="M67" s="446">
        <f t="shared" si="24"/>
        <v>5.2130554865866804E-2</v>
      </c>
      <c r="O67" s="131"/>
    </row>
    <row r="68" spans="1:248" ht="15" customHeight="1">
      <c r="A68" s="120"/>
      <c r="B68" s="121" t="s">
        <v>147</v>
      </c>
      <c r="C68" s="752"/>
      <c r="D68" s="432">
        <f>D66+D63+D60+D57+D54+D51+D48+D45+D42+D39+D36+D33+D30+D27+D24+D21+D18+D15+D12</f>
        <v>355594.578259948</v>
      </c>
      <c r="E68" s="432">
        <f t="shared" ref="E68:M68" si="25">E66+E63+E60+E57+E54+E51+E48+E45+E42+E39+E36+E33+E30+E27+E24+E21+E18+E15+E12</f>
        <v>911442.30772479356</v>
      </c>
      <c r="F68" s="432">
        <f t="shared" si="25"/>
        <v>1023838.8503167094</v>
      </c>
      <c r="G68" s="432">
        <f t="shared" si="25"/>
        <v>1305045.5985423769</v>
      </c>
      <c r="H68" s="432">
        <f t="shared" si="25"/>
        <v>1296300.3009123383</v>
      </c>
      <c r="I68" s="432">
        <f t="shared" si="25"/>
        <v>1150956.1126335619</v>
      </c>
      <c r="J68" s="432">
        <f t="shared" si="25"/>
        <v>1669578.2763918184</v>
      </c>
      <c r="K68" s="432">
        <f t="shared" si="25"/>
        <v>1944556.6656226444</v>
      </c>
      <c r="L68" s="432">
        <f t="shared" si="25"/>
        <v>2029529.1848052468</v>
      </c>
      <c r="M68" s="432">
        <f t="shared" si="25"/>
        <v>2333417.8420336125</v>
      </c>
      <c r="O68" s="131"/>
    </row>
    <row r="69" spans="1:248" ht="15" customHeight="1">
      <c r="A69" s="120"/>
      <c r="B69" s="121" t="s">
        <v>148</v>
      </c>
      <c r="C69" s="752"/>
      <c r="D69" s="433">
        <f>D67</f>
        <v>7.944287704524185E-3</v>
      </c>
      <c r="E69" s="433">
        <f>D69+E67</f>
        <v>2.8306690174418031E-2</v>
      </c>
      <c r="F69" s="426">
        <f t="shared" ref="F69:M69" si="26">E69+F67</f>
        <v>5.1180127755458167E-2</v>
      </c>
      <c r="G69" s="433">
        <f t="shared" si="26"/>
        <v>8.0335965150607119E-2</v>
      </c>
      <c r="H69" s="426">
        <f t="shared" si="26"/>
        <v>0.10929642509997305</v>
      </c>
      <c r="I69" s="433">
        <f t="shared" si="26"/>
        <v>0.1350097712898512</v>
      </c>
      <c r="J69" s="501">
        <f t="shared" si="26"/>
        <v>0.17230958119635711</v>
      </c>
      <c r="K69" s="426">
        <f t="shared" si="26"/>
        <v>0.2157526440378934</v>
      </c>
      <c r="L69" s="433">
        <f t="shared" si="26"/>
        <v>0.26109406579892741</v>
      </c>
      <c r="M69" s="379">
        <f t="shared" si="26"/>
        <v>0.31322462066479423</v>
      </c>
      <c r="O69" s="131"/>
    </row>
    <row r="70" spans="1:248" ht="15.75" customHeight="1" thickBot="1">
      <c r="A70" s="122"/>
      <c r="B70" s="123" t="s">
        <v>149</v>
      </c>
      <c r="C70" s="753"/>
      <c r="D70" s="447">
        <f>D68</f>
        <v>355594.578259948</v>
      </c>
      <c r="E70" s="440">
        <f>E68+D70</f>
        <v>1267036.8859847416</v>
      </c>
      <c r="F70" s="447">
        <f t="shared" ref="F70:I70" si="27">F68+E70</f>
        <v>2290875.736301451</v>
      </c>
      <c r="G70" s="440">
        <f t="shared" si="27"/>
        <v>3595921.3348438279</v>
      </c>
      <c r="H70" s="447">
        <f t="shared" si="27"/>
        <v>4892221.6357561667</v>
      </c>
      <c r="I70" s="447">
        <f t="shared" si="27"/>
        <v>6043177.7483897284</v>
      </c>
      <c r="J70" s="447">
        <f t="shared" ref="J70" si="28">J68+I70</f>
        <v>7712756.0247815466</v>
      </c>
      <c r="K70" s="447">
        <f t="shared" ref="K70" si="29">K68+J70</f>
        <v>9657312.6904041916</v>
      </c>
      <c r="L70" s="440">
        <f t="shared" ref="L70" si="30">L68+K70</f>
        <v>11686841.875209438</v>
      </c>
      <c r="M70" s="520">
        <f t="shared" ref="M70" si="31">M68+L70</f>
        <v>14020259.717243049</v>
      </c>
      <c r="O70" s="131"/>
    </row>
    <row r="71" spans="1:248" ht="5.45" customHeight="1" thickBot="1">
      <c r="C71" s="321"/>
      <c r="F71" s="124"/>
    </row>
    <row r="72" spans="1:248" ht="22.5">
      <c r="A72" s="434" t="s">
        <v>0</v>
      </c>
      <c r="B72" s="418" t="s">
        <v>142</v>
      </c>
      <c r="C72" s="438" t="s">
        <v>8550</v>
      </c>
      <c r="D72" s="380" t="s">
        <v>27015</v>
      </c>
      <c r="E72" s="380" t="s">
        <v>27016</v>
      </c>
      <c r="F72" s="380" t="s">
        <v>27017</v>
      </c>
      <c r="G72" s="380" t="s">
        <v>27018</v>
      </c>
      <c r="H72" s="380" t="s">
        <v>27019</v>
      </c>
      <c r="I72" s="380" t="s">
        <v>27020</v>
      </c>
      <c r="J72" s="380" t="s">
        <v>27021</v>
      </c>
      <c r="K72" s="380" t="s">
        <v>27022</v>
      </c>
      <c r="L72" s="380" t="s">
        <v>27023</v>
      </c>
      <c r="M72" s="381" t="s">
        <v>27024</v>
      </c>
      <c r="N72" s="115"/>
      <c r="O72" s="115"/>
      <c r="P72" s="115"/>
      <c r="Q72" s="115"/>
      <c r="R72" s="115"/>
      <c r="S72" s="115"/>
      <c r="T72" s="115"/>
      <c r="U72" s="115"/>
      <c r="V72" s="115"/>
      <c r="W72" s="115"/>
      <c r="X72" s="115"/>
      <c r="Y72" s="115"/>
      <c r="Z72" s="115"/>
      <c r="AA72" s="115"/>
      <c r="AB72" s="115"/>
      <c r="AC72" s="115"/>
      <c r="AD72" s="115"/>
      <c r="AE72" s="115"/>
      <c r="AF72" s="115"/>
      <c r="AG72" s="115"/>
      <c r="AH72" s="115"/>
      <c r="AI72" s="115"/>
      <c r="AJ72" s="115"/>
      <c r="AK72" s="115"/>
      <c r="AL72" s="115"/>
      <c r="AM72" s="115"/>
      <c r="AN72" s="115"/>
      <c r="AO72" s="115"/>
      <c r="AP72" s="115"/>
      <c r="AQ72" s="115"/>
      <c r="AR72" s="115"/>
      <c r="AS72" s="115"/>
      <c r="AT72" s="115"/>
      <c r="AU72" s="115"/>
      <c r="AV72" s="115"/>
      <c r="AW72" s="115"/>
      <c r="AX72" s="115"/>
      <c r="AY72" s="115"/>
      <c r="AZ72" s="115"/>
      <c r="BA72" s="115"/>
      <c r="BB72" s="115"/>
      <c r="BC72" s="115"/>
      <c r="BD72" s="115"/>
      <c r="BE72" s="115"/>
      <c r="BF72" s="115"/>
      <c r="BG72" s="115"/>
      <c r="BH72" s="115"/>
      <c r="BI72" s="115"/>
      <c r="BJ72" s="115"/>
      <c r="BK72" s="115"/>
      <c r="BL72" s="115"/>
      <c r="BM72" s="115"/>
      <c r="BN72" s="115"/>
      <c r="BO72" s="115"/>
      <c r="BP72" s="115"/>
      <c r="BQ72" s="115"/>
      <c r="BR72" s="115"/>
      <c r="BS72" s="115"/>
      <c r="BT72" s="115"/>
      <c r="BU72" s="115"/>
      <c r="BV72" s="115"/>
      <c r="BW72" s="115"/>
      <c r="BX72" s="115"/>
      <c r="BY72" s="115"/>
      <c r="BZ72" s="115"/>
      <c r="CA72" s="115"/>
      <c r="CB72" s="115"/>
      <c r="CC72" s="115"/>
      <c r="CD72" s="115"/>
      <c r="CE72" s="115"/>
      <c r="CF72" s="115"/>
      <c r="CG72" s="115"/>
      <c r="CH72" s="115"/>
      <c r="CI72" s="115"/>
      <c r="CJ72" s="115"/>
      <c r="CK72" s="115"/>
      <c r="CL72" s="115"/>
      <c r="CM72" s="115"/>
      <c r="CN72" s="115"/>
      <c r="CO72" s="115"/>
      <c r="CP72" s="115"/>
      <c r="CQ72" s="115"/>
      <c r="CR72" s="115"/>
      <c r="CS72" s="115"/>
      <c r="CT72" s="115"/>
      <c r="CU72" s="115"/>
      <c r="CV72" s="115"/>
      <c r="CW72" s="115"/>
      <c r="CX72" s="115"/>
      <c r="CY72" s="115"/>
      <c r="CZ72" s="115"/>
      <c r="DA72" s="115"/>
      <c r="DB72" s="115"/>
      <c r="DC72" s="115"/>
      <c r="DD72" s="115"/>
      <c r="DE72" s="115"/>
      <c r="DF72" s="115"/>
      <c r="DG72" s="115"/>
      <c r="DH72" s="115"/>
      <c r="DI72" s="115"/>
      <c r="DJ72" s="115"/>
      <c r="DK72" s="115"/>
      <c r="DL72" s="115"/>
      <c r="DM72" s="115"/>
      <c r="DN72" s="115"/>
      <c r="DO72" s="115"/>
      <c r="DP72" s="115"/>
      <c r="DQ72" s="115"/>
      <c r="DR72" s="115"/>
      <c r="DS72" s="115"/>
      <c r="DT72" s="115"/>
      <c r="DU72" s="115"/>
      <c r="DV72" s="115"/>
      <c r="DW72" s="115"/>
      <c r="DX72" s="115"/>
      <c r="DY72" s="115"/>
      <c r="DZ72" s="115"/>
      <c r="EA72" s="115"/>
      <c r="EB72" s="115"/>
      <c r="EC72" s="115"/>
      <c r="ED72" s="115"/>
      <c r="EE72" s="115"/>
      <c r="EF72" s="115"/>
      <c r="EG72" s="115"/>
      <c r="EH72" s="115"/>
      <c r="EI72" s="115"/>
      <c r="EJ72" s="115"/>
      <c r="EK72" s="115"/>
      <c r="EL72" s="115"/>
      <c r="EM72" s="115"/>
      <c r="EN72" s="115"/>
      <c r="EO72" s="115"/>
      <c r="EP72" s="115"/>
      <c r="EQ72" s="115"/>
      <c r="ER72" s="115"/>
      <c r="ES72" s="115"/>
      <c r="ET72" s="115"/>
      <c r="EU72" s="115"/>
      <c r="EV72" s="115"/>
      <c r="EW72" s="115"/>
      <c r="EX72" s="115"/>
      <c r="EY72" s="115"/>
      <c r="EZ72" s="115"/>
      <c r="FA72" s="115"/>
      <c r="FB72" s="115"/>
      <c r="FC72" s="115"/>
      <c r="FD72" s="115"/>
      <c r="FE72" s="115"/>
      <c r="FF72" s="115"/>
      <c r="FG72" s="115"/>
      <c r="FH72" s="115"/>
      <c r="FI72" s="115"/>
      <c r="FJ72" s="115"/>
      <c r="FK72" s="115"/>
      <c r="FL72" s="115"/>
      <c r="FM72" s="115"/>
      <c r="FN72" s="115"/>
      <c r="FO72" s="115"/>
      <c r="FP72" s="115"/>
      <c r="FQ72" s="115"/>
      <c r="FR72" s="115"/>
      <c r="FS72" s="115"/>
      <c r="FT72" s="115"/>
      <c r="FU72" s="115"/>
      <c r="FV72" s="115"/>
      <c r="FW72" s="115"/>
      <c r="FX72" s="115"/>
      <c r="FY72" s="115"/>
      <c r="FZ72" s="115"/>
      <c r="GA72" s="115"/>
      <c r="GB72" s="115"/>
      <c r="GC72" s="115"/>
      <c r="GD72" s="115"/>
      <c r="GE72" s="115"/>
      <c r="GF72" s="115"/>
      <c r="GG72" s="115"/>
      <c r="GH72" s="115"/>
      <c r="GI72" s="115"/>
      <c r="GJ72" s="115"/>
      <c r="GK72" s="115"/>
      <c r="GL72" s="115"/>
      <c r="GM72" s="115"/>
      <c r="GN72" s="115"/>
      <c r="GO72" s="115"/>
      <c r="GP72" s="115"/>
      <c r="GQ72" s="115"/>
      <c r="GR72" s="115"/>
      <c r="GS72" s="115"/>
      <c r="GT72" s="115"/>
      <c r="GU72" s="115"/>
      <c r="GV72" s="115"/>
      <c r="GW72" s="115"/>
      <c r="GX72" s="115"/>
      <c r="GY72" s="115"/>
      <c r="GZ72" s="115"/>
      <c r="HA72" s="115"/>
      <c r="HB72" s="115"/>
      <c r="HC72" s="115"/>
      <c r="HD72" s="115"/>
      <c r="HE72" s="115"/>
      <c r="HF72" s="115"/>
      <c r="HG72" s="115"/>
      <c r="HH72" s="115"/>
      <c r="HI72" s="115"/>
      <c r="HJ72" s="115"/>
      <c r="HK72" s="115"/>
      <c r="HL72" s="115"/>
      <c r="HM72" s="115"/>
      <c r="HN72" s="115"/>
      <c r="HO72" s="115"/>
      <c r="HP72" s="115"/>
      <c r="HQ72" s="115"/>
      <c r="HR72" s="115"/>
      <c r="HS72" s="115"/>
      <c r="HT72" s="115"/>
      <c r="HU72" s="115"/>
      <c r="HV72" s="115"/>
      <c r="HW72" s="115"/>
      <c r="HX72" s="115"/>
      <c r="HY72" s="115"/>
      <c r="HZ72" s="115"/>
      <c r="IA72" s="115"/>
      <c r="IB72" s="115"/>
      <c r="IC72" s="115"/>
      <c r="ID72" s="115"/>
      <c r="IE72" s="115"/>
      <c r="IF72" s="115"/>
      <c r="IG72" s="115"/>
      <c r="IH72" s="115"/>
      <c r="II72" s="115"/>
      <c r="IJ72" s="115"/>
      <c r="IK72" s="115"/>
      <c r="IL72" s="115"/>
      <c r="IM72" s="115"/>
      <c r="IN72" s="115"/>
    </row>
    <row r="73" spans="1:248" ht="13.15" customHeight="1">
      <c r="A73" s="741" t="s">
        <v>73</v>
      </c>
      <c r="B73" s="744" t="s">
        <v>130</v>
      </c>
      <c r="C73" s="735">
        <f>'036.01-20-SERV. GERAIS'!$I$53</f>
        <v>1100040.989213631</v>
      </c>
      <c r="D73" s="420"/>
      <c r="E73" s="421"/>
      <c r="F73" s="420"/>
      <c r="G73" s="421"/>
      <c r="H73" s="420"/>
      <c r="I73" s="502"/>
      <c r="J73" s="502"/>
      <c r="K73" s="421"/>
      <c r="L73" s="420">
        <v>0.1</v>
      </c>
      <c r="M73" s="442">
        <v>0.05</v>
      </c>
      <c r="N73" s="117"/>
      <c r="O73" s="131">
        <f>SUM(D73:M73)+SUM(D10:M10)</f>
        <v>1</v>
      </c>
      <c r="P73" s="119"/>
    </row>
    <row r="74" spans="1:248" ht="9" customHeight="1">
      <c r="A74" s="742"/>
      <c r="B74" s="745"/>
      <c r="C74" s="736"/>
      <c r="D74" s="389"/>
      <c r="E74" s="384"/>
      <c r="F74" s="389"/>
      <c r="G74" s="384"/>
      <c r="H74" s="389"/>
      <c r="I74" s="503"/>
      <c r="J74" s="503"/>
      <c r="K74" s="384"/>
      <c r="L74" s="386"/>
      <c r="M74" s="444"/>
      <c r="O74" s="131"/>
    </row>
    <row r="75" spans="1:248" ht="15" customHeight="1">
      <c r="A75" s="743"/>
      <c r="B75" s="746"/>
      <c r="C75" s="737"/>
      <c r="D75" s="422"/>
      <c r="E75" s="423"/>
      <c r="F75" s="422"/>
      <c r="G75" s="423"/>
      <c r="H75" s="422"/>
      <c r="I75" s="504"/>
      <c r="J75" s="504"/>
      <c r="K75" s="423"/>
      <c r="L75" s="422">
        <f>$C$10*L73</f>
        <v>110004.09892136311</v>
      </c>
      <c r="M75" s="443">
        <f>$C$10*M73</f>
        <v>55002.049460681556</v>
      </c>
      <c r="O75" s="131">
        <f>SUM(D75:M75)+SUM(D12:M12)</f>
        <v>1100040.989213631</v>
      </c>
      <c r="P75" s="322"/>
    </row>
    <row r="76" spans="1:248" ht="13.15" customHeight="1">
      <c r="A76" s="742" t="s">
        <v>8541</v>
      </c>
      <c r="B76" s="754" t="s">
        <v>8096</v>
      </c>
      <c r="C76" s="749">
        <f>SUM('036.02-20-CANTEIRO.'!$I$15:$I$163)</f>
        <v>2086209.6014290536</v>
      </c>
      <c r="D76" s="387"/>
      <c r="E76" s="382"/>
      <c r="F76" s="387"/>
      <c r="G76" s="382"/>
      <c r="H76" s="387"/>
      <c r="I76" s="505"/>
      <c r="J76" s="505"/>
      <c r="K76" s="382"/>
      <c r="L76" s="387"/>
      <c r="M76" s="428"/>
      <c r="N76" s="117"/>
      <c r="O76" s="131">
        <f>SUM(D76:M76)+SUM(D13:M13)</f>
        <v>0.99999999999999989</v>
      </c>
      <c r="P76" s="322"/>
    </row>
    <row r="77" spans="1:248" ht="9" customHeight="1">
      <c r="A77" s="742"/>
      <c r="B77" s="745"/>
      <c r="C77" s="736"/>
      <c r="D77" s="389"/>
      <c r="E77" s="384"/>
      <c r="F77" s="389"/>
      <c r="G77" s="384"/>
      <c r="H77" s="389"/>
      <c r="I77" s="503"/>
      <c r="J77" s="503"/>
      <c r="K77" s="384"/>
      <c r="L77" s="389"/>
      <c r="M77" s="429"/>
      <c r="O77" s="131"/>
      <c r="P77" s="322"/>
    </row>
    <row r="78" spans="1:248" ht="15" customHeight="1">
      <c r="A78" s="742"/>
      <c r="B78" s="755"/>
      <c r="C78" s="740"/>
      <c r="D78" s="388"/>
      <c r="E78" s="385"/>
      <c r="F78" s="388"/>
      <c r="G78" s="385"/>
      <c r="H78" s="388"/>
      <c r="I78" s="506"/>
      <c r="J78" s="506"/>
      <c r="K78" s="385"/>
      <c r="L78" s="388"/>
      <c r="M78" s="430"/>
      <c r="O78" s="131">
        <f>SUM(D78:M78)+SUM(D15:M15)</f>
        <v>2086209.6014290536</v>
      </c>
      <c r="P78" s="322"/>
    </row>
    <row r="79" spans="1:248" ht="13.15" customHeight="1">
      <c r="A79" s="741" t="s">
        <v>8540</v>
      </c>
      <c r="B79" s="744" t="s">
        <v>6548</v>
      </c>
      <c r="C79" s="735">
        <f>SUM('036.01-20-SERV. GERAIS'!$I$57:$I$66)</f>
        <v>2514496.982256094</v>
      </c>
      <c r="D79" s="420"/>
      <c r="E79" s="420">
        <v>0.125</v>
      </c>
      <c r="F79" s="420"/>
      <c r="G79" s="420">
        <v>0.125</v>
      </c>
      <c r="H79" s="420"/>
      <c r="I79" s="420">
        <v>0.125</v>
      </c>
      <c r="J79" s="502"/>
      <c r="K79" s="420">
        <v>7.4999999999999997E-2</v>
      </c>
      <c r="L79" s="420"/>
      <c r="M79" s="517">
        <v>0.05</v>
      </c>
      <c r="N79" s="117"/>
      <c r="O79" s="131">
        <f>SUM(D79:M79)+SUM(D16:M16)</f>
        <v>1</v>
      </c>
      <c r="P79" s="322"/>
    </row>
    <row r="80" spans="1:248" ht="9" customHeight="1">
      <c r="A80" s="742"/>
      <c r="B80" s="745"/>
      <c r="C80" s="736"/>
      <c r="D80" s="389"/>
      <c r="E80" s="386"/>
      <c r="F80" s="389"/>
      <c r="G80" s="386"/>
      <c r="H80" s="389"/>
      <c r="I80" s="386"/>
      <c r="J80" s="503"/>
      <c r="K80" s="386"/>
      <c r="L80" s="389"/>
      <c r="M80" s="521"/>
      <c r="O80" s="131"/>
      <c r="P80" s="322"/>
    </row>
    <row r="81" spans="1:16" ht="15" customHeight="1">
      <c r="A81" s="743"/>
      <c r="B81" s="746"/>
      <c r="C81" s="737"/>
      <c r="D81" s="422"/>
      <c r="E81" s="422">
        <f t="shared" ref="E81:G81" si="32">$C$16*E79</f>
        <v>314312.12278201175</v>
      </c>
      <c r="F81" s="422"/>
      <c r="G81" s="422">
        <f t="shared" si="32"/>
        <v>314312.12278201175</v>
      </c>
      <c r="H81" s="422"/>
      <c r="I81" s="422">
        <f t="shared" ref="I81" si="33">$C$16*I79</f>
        <v>314312.12278201175</v>
      </c>
      <c r="J81" s="504"/>
      <c r="K81" s="422">
        <f t="shared" ref="K81" si="34">$C$16*K79</f>
        <v>188587.27366920703</v>
      </c>
      <c r="L81" s="422"/>
      <c r="M81" s="510">
        <f t="shared" ref="M81" si="35">$C$16*M79</f>
        <v>125724.8491128047</v>
      </c>
      <c r="O81" s="131">
        <f>SUM(D81:M81)+SUM(D18:M18)</f>
        <v>2514496.982256094</v>
      </c>
      <c r="P81" s="322"/>
    </row>
    <row r="82" spans="1:16" ht="13.15" customHeight="1">
      <c r="A82" s="742" t="s">
        <v>8539</v>
      </c>
      <c r="B82" s="754" t="s">
        <v>8097</v>
      </c>
      <c r="C82" s="761">
        <f>SUM('036.01-20-SERV. GERAIS'!$I$68:$I$81)</f>
        <v>161429.52834587108</v>
      </c>
      <c r="D82" s="420">
        <v>0.15</v>
      </c>
      <c r="E82" s="420">
        <v>0.25</v>
      </c>
      <c r="F82" s="420"/>
      <c r="G82" s="420"/>
      <c r="H82" s="420">
        <v>0.25</v>
      </c>
      <c r="I82" s="420"/>
      <c r="J82" s="505"/>
      <c r="K82" s="382"/>
      <c r="L82" s="387"/>
      <c r="M82" s="428"/>
      <c r="N82" s="117"/>
      <c r="O82" s="131">
        <f>SUM(D82:M82)+SUM(D19:M19)</f>
        <v>1</v>
      </c>
      <c r="P82" s="322"/>
    </row>
    <row r="83" spans="1:16" ht="9" customHeight="1">
      <c r="A83" s="742"/>
      <c r="B83" s="745"/>
      <c r="C83" s="762"/>
      <c r="D83" s="386"/>
      <c r="E83" s="386"/>
      <c r="F83" s="389"/>
      <c r="G83" s="389"/>
      <c r="H83" s="386"/>
      <c r="I83" s="389"/>
      <c r="J83" s="503"/>
      <c r="K83" s="384"/>
      <c r="L83" s="389"/>
      <c r="M83" s="429"/>
      <c r="O83" s="131"/>
      <c r="P83" s="322"/>
    </row>
    <row r="84" spans="1:16" ht="15" customHeight="1">
      <c r="A84" s="742"/>
      <c r="B84" s="755"/>
      <c r="C84" s="763"/>
      <c r="D84" s="422">
        <f>$C$19*D82</f>
        <v>24214.429251880661</v>
      </c>
      <c r="E84" s="422">
        <f>$C$19*E82</f>
        <v>40357.382086467769</v>
      </c>
      <c r="F84" s="422"/>
      <c r="G84" s="422"/>
      <c r="H84" s="422">
        <f>$C$19*H82</f>
        <v>40357.382086467769</v>
      </c>
      <c r="I84" s="422"/>
      <c r="J84" s="506"/>
      <c r="K84" s="385"/>
      <c r="L84" s="388"/>
      <c r="M84" s="430"/>
      <c r="O84" s="131">
        <f>SUM(D84:M84)+SUM(D21:M21)</f>
        <v>161429.52834587108</v>
      </c>
      <c r="P84" s="322"/>
    </row>
    <row r="85" spans="1:16" ht="13.15" customHeight="1">
      <c r="A85" s="741" t="s">
        <v>6647</v>
      </c>
      <c r="B85" s="744" t="s">
        <v>8098</v>
      </c>
      <c r="C85" s="735">
        <f>SUM('036.02-20-CANTEIRO.'!$I$165:$I$183)</f>
        <v>74078.116587066659</v>
      </c>
      <c r="D85" s="420"/>
      <c r="E85" s="421"/>
      <c r="F85" s="420"/>
      <c r="G85" s="421"/>
      <c r="H85" s="420"/>
      <c r="I85" s="502"/>
      <c r="J85" s="502"/>
      <c r="K85" s="421"/>
      <c r="L85" s="420"/>
      <c r="M85" s="442">
        <v>1</v>
      </c>
      <c r="N85" s="117"/>
      <c r="O85" s="131">
        <f>SUM(D85:M85)+SUM(D22:M22)</f>
        <v>1</v>
      </c>
      <c r="P85" s="322"/>
    </row>
    <row r="86" spans="1:16" ht="9" customHeight="1">
      <c r="A86" s="742"/>
      <c r="B86" s="745"/>
      <c r="C86" s="736"/>
      <c r="D86" s="389"/>
      <c r="E86" s="384"/>
      <c r="F86" s="389"/>
      <c r="G86" s="384"/>
      <c r="H86" s="389"/>
      <c r="I86" s="503"/>
      <c r="J86" s="503"/>
      <c r="K86" s="384"/>
      <c r="L86" s="389"/>
      <c r="M86" s="444"/>
      <c r="O86" s="131"/>
      <c r="P86" s="322"/>
    </row>
    <row r="87" spans="1:16" ht="15" customHeight="1">
      <c r="A87" s="743"/>
      <c r="B87" s="746"/>
      <c r="C87" s="737"/>
      <c r="D87" s="422"/>
      <c r="E87" s="423"/>
      <c r="F87" s="422"/>
      <c r="G87" s="423"/>
      <c r="H87" s="422"/>
      <c r="I87" s="504"/>
      <c r="J87" s="504"/>
      <c r="K87" s="423"/>
      <c r="L87" s="422"/>
      <c r="M87" s="443">
        <f t="shared" ref="M87" si="36">$C$22*M85</f>
        <v>74078.116587066659</v>
      </c>
      <c r="O87" s="131">
        <f>SUM(D87:M87)+SUM(D24:M24)</f>
        <v>74078.116587066659</v>
      </c>
      <c r="P87" s="322"/>
    </row>
    <row r="88" spans="1:16" ht="13.15" customHeight="1">
      <c r="A88" s="742" t="s">
        <v>8538</v>
      </c>
      <c r="B88" s="750" t="s">
        <v>8099</v>
      </c>
      <c r="C88" s="749">
        <f>SUM('036.01-20-SERV. GERAIS'!$I$85:$I$132)</f>
        <v>7197072.3170565329</v>
      </c>
      <c r="D88" s="387">
        <f t="shared" ref="D88:K88" si="37">0.8435/13</f>
        <v>6.4884615384615388E-2</v>
      </c>
      <c r="E88" s="387">
        <f t="shared" si="37"/>
        <v>6.4884615384615388E-2</v>
      </c>
      <c r="F88" s="387">
        <f t="shared" si="37"/>
        <v>6.4884615384615388E-2</v>
      </c>
      <c r="G88" s="387">
        <f t="shared" si="37"/>
        <v>6.4884615384615388E-2</v>
      </c>
      <c r="H88" s="387">
        <f t="shared" si="37"/>
        <v>6.4884615384615388E-2</v>
      </c>
      <c r="I88" s="387">
        <f t="shared" si="37"/>
        <v>6.4884615384615388E-2</v>
      </c>
      <c r="J88" s="387">
        <f t="shared" si="37"/>
        <v>6.4884615384615388E-2</v>
      </c>
      <c r="K88" s="387">
        <f t="shared" si="37"/>
        <v>6.4884615384615388E-2</v>
      </c>
      <c r="L88" s="387"/>
      <c r="M88" s="428"/>
      <c r="N88" s="117"/>
      <c r="O88" s="131">
        <f>SUM(D88:M88)+SUM(D25:M25)</f>
        <v>1</v>
      </c>
      <c r="P88" s="322"/>
    </row>
    <row r="89" spans="1:16" ht="9" customHeight="1">
      <c r="A89" s="742"/>
      <c r="B89" s="733"/>
      <c r="C89" s="736"/>
      <c r="D89" s="386"/>
      <c r="E89" s="383"/>
      <c r="F89" s="386"/>
      <c r="G89" s="383"/>
      <c r="H89" s="386"/>
      <c r="I89" s="507"/>
      <c r="J89" s="507"/>
      <c r="K89" s="507"/>
      <c r="L89" s="389"/>
      <c r="M89" s="429"/>
      <c r="O89" s="131"/>
      <c r="P89" s="322"/>
    </row>
    <row r="90" spans="1:16" ht="15" customHeight="1">
      <c r="A90" s="742"/>
      <c r="B90" s="739"/>
      <c r="C90" s="740"/>
      <c r="D90" s="388">
        <f t="shared" ref="D90:J90" si="38">$C$25*D88</f>
        <v>466979.26918747585</v>
      </c>
      <c r="E90" s="385">
        <f t="shared" si="38"/>
        <v>466979.26918747585</v>
      </c>
      <c r="F90" s="388">
        <f t="shared" si="38"/>
        <v>466979.26918747585</v>
      </c>
      <c r="G90" s="385">
        <f t="shared" si="38"/>
        <v>466979.26918747585</v>
      </c>
      <c r="H90" s="388">
        <f t="shared" si="38"/>
        <v>466979.26918747585</v>
      </c>
      <c r="I90" s="506">
        <f t="shared" si="38"/>
        <v>466979.26918747585</v>
      </c>
      <c r="J90" s="506">
        <f t="shared" si="38"/>
        <v>466979.26918747585</v>
      </c>
      <c r="K90" s="506">
        <f t="shared" ref="K90" si="39">$C$25*K88</f>
        <v>466979.26918747585</v>
      </c>
      <c r="L90" s="388"/>
      <c r="M90" s="430"/>
      <c r="O90" s="131">
        <f>SUM(D90:M90)+SUM(D27:M27)</f>
        <v>7197072.3170565348</v>
      </c>
      <c r="P90" s="322"/>
    </row>
    <row r="91" spans="1:16" ht="13.15" customHeight="1">
      <c r="A91" s="741" t="s">
        <v>8537</v>
      </c>
      <c r="B91" s="744" t="s">
        <v>8100</v>
      </c>
      <c r="C91" s="735">
        <f>SUM('036.01-20-SERV. GERAIS'!$I$135:$I$150)</f>
        <v>2526199.3420825005</v>
      </c>
      <c r="D91" s="420">
        <f>1/7</f>
        <v>0.14285714285714285</v>
      </c>
      <c r="E91" s="420">
        <f t="shared" ref="E91:H91" si="40">1/7</f>
        <v>0.14285714285714285</v>
      </c>
      <c r="F91" s="420">
        <f t="shared" si="40"/>
        <v>0.14285714285714285</v>
      </c>
      <c r="G91" s="420">
        <f t="shared" si="40"/>
        <v>0.14285714285714285</v>
      </c>
      <c r="H91" s="420">
        <f t="shared" si="40"/>
        <v>0.14285714285714285</v>
      </c>
      <c r="I91" s="420"/>
      <c r="J91" s="420"/>
      <c r="K91" s="421"/>
      <c r="L91" s="420"/>
      <c r="M91" s="442"/>
      <c r="N91" s="117"/>
      <c r="O91" s="131">
        <f>SUM(D91:M91)+SUM(D28:M28)</f>
        <v>0.99999999999999989</v>
      </c>
      <c r="P91" s="322"/>
    </row>
    <row r="92" spans="1:16" ht="9" customHeight="1">
      <c r="A92" s="742"/>
      <c r="B92" s="745"/>
      <c r="C92" s="736"/>
      <c r="D92" s="386"/>
      <c r="E92" s="383"/>
      <c r="F92" s="386"/>
      <c r="G92" s="386"/>
      <c r="H92" s="386"/>
      <c r="I92" s="389"/>
      <c r="J92" s="389"/>
      <c r="K92" s="384"/>
      <c r="L92" s="389"/>
      <c r="M92" s="429"/>
      <c r="O92" s="131"/>
      <c r="P92" s="322"/>
    </row>
    <row r="93" spans="1:16" ht="15" customHeight="1">
      <c r="A93" s="743"/>
      <c r="B93" s="746"/>
      <c r="C93" s="737"/>
      <c r="D93" s="422">
        <f t="shared" ref="D93:F93" si="41">$C$28*D91</f>
        <v>360885.62029750005</v>
      </c>
      <c r="E93" s="423">
        <f t="shared" si="41"/>
        <v>360885.62029750005</v>
      </c>
      <c r="F93" s="422">
        <f t="shared" si="41"/>
        <v>360885.62029750005</v>
      </c>
      <c r="G93" s="422">
        <f t="shared" ref="G93:H93" si="42">$C$28*G91</f>
        <v>360885.62029750005</v>
      </c>
      <c r="H93" s="422">
        <f t="shared" si="42"/>
        <v>360885.62029750005</v>
      </c>
      <c r="I93" s="422"/>
      <c r="J93" s="422"/>
      <c r="K93" s="423"/>
      <c r="L93" s="422"/>
      <c r="M93" s="443"/>
      <c r="O93" s="131">
        <f>SUM(D93:M93)+SUM(D30:M30)</f>
        <v>2526199.3420825005</v>
      </c>
      <c r="P93" s="322"/>
    </row>
    <row r="94" spans="1:16" ht="13.15" customHeight="1">
      <c r="A94" s="742" t="s">
        <v>8536</v>
      </c>
      <c r="B94" s="754" t="s">
        <v>8107</v>
      </c>
      <c r="C94" s="749">
        <f>SUM('036.01-20-SERV. GERAIS'!$I$152:$I$181)</f>
        <v>929740.99546340096</v>
      </c>
      <c r="D94" s="387"/>
      <c r="E94" s="382"/>
      <c r="F94" s="387"/>
      <c r="G94" s="382"/>
      <c r="H94" s="387"/>
      <c r="I94" s="505"/>
      <c r="J94" s="505"/>
      <c r="K94" s="382"/>
      <c r="L94" s="387"/>
      <c r="M94" s="428"/>
      <c r="N94" s="117"/>
      <c r="O94" s="131">
        <f>SUM(D94:M94)+SUM(D31:M31)</f>
        <v>1</v>
      </c>
      <c r="P94" s="322"/>
    </row>
    <row r="95" spans="1:16" ht="9" customHeight="1">
      <c r="A95" s="742"/>
      <c r="B95" s="745"/>
      <c r="C95" s="736"/>
      <c r="D95" s="389"/>
      <c r="E95" s="384"/>
      <c r="F95" s="389"/>
      <c r="G95" s="384"/>
      <c r="H95" s="389"/>
      <c r="I95" s="503"/>
      <c r="J95" s="503"/>
      <c r="K95" s="384"/>
      <c r="L95" s="389"/>
      <c r="M95" s="429"/>
      <c r="O95" s="131"/>
      <c r="P95" s="322"/>
    </row>
    <row r="96" spans="1:16" ht="15" customHeight="1">
      <c r="A96" s="742"/>
      <c r="B96" s="755"/>
      <c r="C96" s="740"/>
      <c r="D96" s="388"/>
      <c r="E96" s="385"/>
      <c r="F96" s="388"/>
      <c r="G96" s="385"/>
      <c r="H96" s="388"/>
      <c r="I96" s="506"/>
      <c r="J96" s="506"/>
      <c r="K96" s="385"/>
      <c r="L96" s="388"/>
      <c r="M96" s="430"/>
      <c r="O96" s="131">
        <f>SUM(D96:M96)+SUM(D33:M33)</f>
        <v>929740.99546340108</v>
      </c>
      <c r="P96" s="322"/>
    </row>
    <row r="97" spans="1:16" ht="13.15" customHeight="1">
      <c r="A97" s="741" t="s">
        <v>8542</v>
      </c>
      <c r="B97" s="732" t="s">
        <v>8436</v>
      </c>
      <c r="C97" s="735">
        <f>SUM('036.01-20-SERV. GERAIS'!$I$183:$I$198)</f>
        <v>283734.01886986929</v>
      </c>
      <c r="D97" s="420"/>
      <c r="E97" s="421"/>
      <c r="F97" s="420">
        <v>0.25</v>
      </c>
      <c r="G97" s="421">
        <v>0.25</v>
      </c>
      <c r="H97" s="420">
        <v>0.25</v>
      </c>
      <c r="I97" s="502">
        <v>0.25</v>
      </c>
      <c r="J97" s="502"/>
      <c r="K97" s="421"/>
      <c r="L97" s="420"/>
      <c r="M97" s="442"/>
      <c r="N97" s="117"/>
      <c r="O97" s="131">
        <f>SUM(D97:M97)+SUM(D34:M34)</f>
        <v>1</v>
      </c>
      <c r="P97" s="322"/>
    </row>
    <row r="98" spans="1:16" ht="9" customHeight="1">
      <c r="A98" s="742"/>
      <c r="B98" s="733"/>
      <c r="C98" s="736"/>
      <c r="D98" s="389"/>
      <c r="E98" s="384"/>
      <c r="F98" s="386"/>
      <c r="G98" s="383"/>
      <c r="H98" s="386"/>
      <c r="I98" s="507"/>
      <c r="J98" s="503"/>
      <c r="K98" s="384"/>
      <c r="L98" s="389"/>
      <c r="M98" s="429"/>
      <c r="O98" s="131"/>
      <c r="P98" s="322"/>
    </row>
    <row r="99" spans="1:16" ht="15" customHeight="1">
      <c r="A99" s="743"/>
      <c r="B99" s="734"/>
      <c r="C99" s="737"/>
      <c r="D99" s="422"/>
      <c r="E99" s="423"/>
      <c r="F99" s="422">
        <f>$C$34*F97</f>
        <v>70933.504717467324</v>
      </c>
      <c r="G99" s="423">
        <f>$C$34*G97</f>
        <v>70933.504717467324</v>
      </c>
      <c r="H99" s="422">
        <f>$C$34*H97</f>
        <v>70933.504717467324</v>
      </c>
      <c r="I99" s="504">
        <f>$C$34*I97</f>
        <v>70933.504717467324</v>
      </c>
      <c r="J99" s="504"/>
      <c r="K99" s="423"/>
      <c r="L99" s="422"/>
      <c r="M99" s="443"/>
      <c r="O99" s="131">
        <f>SUM(D99:M99)+SUM(D36:M36)</f>
        <v>283734.01886986929</v>
      </c>
      <c r="P99" s="322"/>
    </row>
    <row r="100" spans="1:16" ht="13.15" customHeight="1">
      <c r="A100" s="741" t="s">
        <v>8543</v>
      </c>
      <c r="B100" s="744" t="s">
        <v>8101</v>
      </c>
      <c r="C100" s="749">
        <f>SUM('036.01-20-SERV. GERAIS'!$I$200:$I$231)</f>
        <v>6558702.8765504956</v>
      </c>
      <c r="D100" s="420">
        <f t="shared" ref="D100:G100" si="43">1/8</f>
        <v>0.125</v>
      </c>
      <c r="E100" s="420">
        <f t="shared" si="43"/>
        <v>0.125</v>
      </c>
      <c r="F100" s="420">
        <f t="shared" si="43"/>
        <v>0.125</v>
      </c>
      <c r="G100" s="420">
        <f t="shared" si="43"/>
        <v>0.125</v>
      </c>
      <c r="H100" s="420"/>
      <c r="I100" s="502"/>
      <c r="J100" s="502"/>
      <c r="K100" s="421"/>
      <c r="L100" s="420"/>
      <c r="M100" s="442"/>
      <c r="N100" s="117"/>
      <c r="O100" s="131">
        <f>SUM(D100:M100)+SUM(D37:M37)</f>
        <v>1</v>
      </c>
      <c r="P100" s="322"/>
    </row>
    <row r="101" spans="1:16" ht="9" customHeight="1">
      <c r="A101" s="742"/>
      <c r="B101" s="745"/>
      <c r="C101" s="736"/>
      <c r="D101" s="386"/>
      <c r="E101" s="383"/>
      <c r="F101" s="386"/>
      <c r="G101" s="383"/>
      <c r="H101" s="389"/>
      <c r="I101" s="503"/>
      <c r="J101" s="503"/>
      <c r="K101" s="384"/>
      <c r="L101" s="389"/>
      <c r="M101" s="429"/>
      <c r="O101" s="131"/>
      <c r="P101" s="322"/>
    </row>
    <row r="102" spans="1:16" ht="15" customHeight="1">
      <c r="A102" s="742"/>
      <c r="B102" s="755"/>
      <c r="C102" s="740"/>
      <c r="D102" s="388">
        <f>$C$37*D100</f>
        <v>819837.85956881195</v>
      </c>
      <c r="E102" s="385">
        <f>$C$37*E100</f>
        <v>819837.85956881195</v>
      </c>
      <c r="F102" s="388">
        <f>$C$37*F100</f>
        <v>819837.85956881195</v>
      </c>
      <c r="G102" s="385">
        <f>$C$37*G100</f>
        <v>819837.85956881195</v>
      </c>
      <c r="H102" s="388"/>
      <c r="I102" s="506"/>
      <c r="J102" s="506"/>
      <c r="K102" s="385"/>
      <c r="L102" s="388"/>
      <c r="M102" s="443"/>
      <c r="O102" s="131">
        <f>SUM(D102:M102)+SUM(D39:M39)</f>
        <v>6558702.8765504956</v>
      </c>
      <c r="P102" s="322"/>
    </row>
    <row r="103" spans="1:16" ht="13.15" customHeight="1">
      <c r="A103" s="741" t="s">
        <v>8544</v>
      </c>
      <c r="B103" s="744" t="s">
        <v>8102</v>
      </c>
      <c r="C103" s="735">
        <f>SUM('036.01-20-SERV. GERAIS'!$I$238:$I$256)</f>
        <v>3949718.6965327598</v>
      </c>
      <c r="D103" s="420">
        <v>0.1</v>
      </c>
      <c r="E103" s="420">
        <v>0.1</v>
      </c>
      <c r="F103" s="420">
        <v>0.1</v>
      </c>
      <c r="G103" s="421">
        <v>0.1</v>
      </c>
      <c r="H103" s="420">
        <v>0.12</v>
      </c>
      <c r="I103" s="502">
        <v>0.12</v>
      </c>
      <c r="J103" s="502">
        <v>0.12</v>
      </c>
      <c r="K103" s="502">
        <v>0.12</v>
      </c>
      <c r="L103" s="502">
        <v>0.12</v>
      </c>
      <c r="M103" s="517"/>
      <c r="N103" s="117"/>
      <c r="O103" s="131">
        <f>SUM(D103:M103)+SUM(D40:M40)</f>
        <v>1</v>
      </c>
      <c r="P103" s="322"/>
    </row>
    <row r="104" spans="1:16" ht="9" customHeight="1">
      <c r="A104" s="742"/>
      <c r="B104" s="745"/>
      <c r="C104" s="736"/>
      <c r="D104" s="386"/>
      <c r="E104" s="386"/>
      <c r="F104" s="386"/>
      <c r="G104" s="383"/>
      <c r="H104" s="386"/>
      <c r="I104" s="507"/>
      <c r="J104" s="507"/>
      <c r="K104" s="507"/>
      <c r="L104" s="507"/>
      <c r="M104" s="518"/>
      <c r="O104" s="131"/>
      <c r="P104" s="322"/>
    </row>
    <row r="105" spans="1:16" ht="15" customHeight="1">
      <c r="A105" s="743"/>
      <c r="B105" s="746"/>
      <c r="C105" s="737"/>
      <c r="D105" s="422">
        <f t="shared" ref="D105:E105" si="44">$C$40*D103</f>
        <v>394971.86965327599</v>
      </c>
      <c r="E105" s="422">
        <f t="shared" si="44"/>
        <v>394971.86965327599</v>
      </c>
      <c r="F105" s="422">
        <f t="shared" ref="F105:J105" si="45">$C$40*F103</f>
        <v>394971.86965327599</v>
      </c>
      <c r="G105" s="423">
        <f t="shared" si="45"/>
        <v>394971.86965327599</v>
      </c>
      <c r="H105" s="422">
        <f t="shared" si="45"/>
        <v>473966.24358393118</v>
      </c>
      <c r="I105" s="504">
        <f t="shared" si="45"/>
        <v>473966.24358393118</v>
      </c>
      <c r="J105" s="504">
        <f t="shared" si="45"/>
        <v>473966.24358393118</v>
      </c>
      <c r="K105" s="504">
        <f t="shared" ref="K105:L105" si="46">$C$40*K103</f>
        <v>473966.24358393118</v>
      </c>
      <c r="L105" s="504">
        <f t="shared" si="46"/>
        <v>473966.24358393118</v>
      </c>
      <c r="M105" s="510"/>
      <c r="O105" s="131">
        <f>SUM(D105:M105)+SUM(D42:M42)</f>
        <v>3949718.6965327598</v>
      </c>
      <c r="P105" s="322"/>
    </row>
    <row r="106" spans="1:16" ht="13.15" customHeight="1">
      <c r="A106" s="742" t="s">
        <v>8546</v>
      </c>
      <c r="B106" s="750" t="s">
        <v>8545</v>
      </c>
      <c r="C106" s="749">
        <f>SUM('036.01-20-SERV. GERAIS'!$I$258:$I$266)</f>
        <v>15580.427078705645</v>
      </c>
      <c r="D106" s="387"/>
      <c r="E106" s="382"/>
      <c r="F106" s="387"/>
      <c r="G106" s="382"/>
      <c r="H106" s="387"/>
      <c r="I106" s="505"/>
      <c r="J106" s="505"/>
      <c r="K106" s="505"/>
      <c r="L106" s="421">
        <v>1</v>
      </c>
      <c r="M106" s="516"/>
      <c r="N106" s="117"/>
      <c r="O106" s="131">
        <f>SUM(D106:M106)+SUM(D43:M43)</f>
        <v>1</v>
      </c>
      <c r="P106" s="322"/>
    </row>
    <row r="107" spans="1:16" ht="9" customHeight="1">
      <c r="A107" s="742"/>
      <c r="B107" s="733"/>
      <c r="C107" s="736"/>
      <c r="D107" s="389"/>
      <c r="E107" s="384"/>
      <c r="F107" s="389"/>
      <c r="G107" s="384"/>
      <c r="H107" s="389"/>
      <c r="I107" s="503"/>
      <c r="J107" s="503"/>
      <c r="K107" s="503"/>
      <c r="L107" s="507"/>
      <c r="M107" s="518"/>
      <c r="O107" s="131"/>
      <c r="P107" s="322"/>
    </row>
    <row r="108" spans="1:16" ht="15" customHeight="1">
      <c r="A108" s="742"/>
      <c r="B108" s="739"/>
      <c r="C108" s="740"/>
      <c r="D108" s="388"/>
      <c r="E108" s="385"/>
      <c r="F108" s="388"/>
      <c r="G108" s="385"/>
      <c r="H108" s="388"/>
      <c r="I108" s="506"/>
      <c r="J108" s="506"/>
      <c r="K108" s="506"/>
      <c r="L108" s="423">
        <f>$C$43*L106</f>
        <v>15580.427078705645</v>
      </c>
      <c r="M108" s="519"/>
      <c r="O108" s="131">
        <f>SUM(D108:M108)+SUM(D45:M45)</f>
        <v>15580.427078705645</v>
      </c>
      <c r="P108" s="322"/>
    </row>
    <row r="109" spans="1:16" ht="13.15" customHeight="1">
      <c r="A109" s="741" t="s">
        <v>8547</v>
      </c>
      <c r="B109" s="744" t="s">
        <v>8103</v>
      </c>
      <c r="C109" s="735">
        <f>SUM('036.01-20-SERV. GERAIS'!$I$268:$I$280)</f>
        <v>13623699.21221018</v>
      </c>
      <c r="D109" s="420"/>
      <c r="E109" s="420"/>
      <c r="F109" s="420">
        <v>0.25</v>
      </c>
      <c r="G109" s="421">
        <v>0.25</v>
      </c>
      <c r="H109" s="420">
        <v>0.25</v>
      </c>
      <c r="I109" s="420">
        <v>0.25</v>
      </c>
      <c r="J109" s="502"/>
      <c r="K109" s="421"/>
      <c r="L109" s="420"/>
      <c r="M109" s="442"/>
      <c r="N109" s="117"/>
      <c r="O109" s="131">
        <f>SUM(D109:M109)+SUM(D46:M46)</f>
        <v>1</v>
      </c>
      <c r="P109" s="322"/>
    </row>
    <row r="110" spans="1:16" ht="9" customHeight="1">
      <c r="A110" s="742"/>
      <c r="B110" s="745"/>
      <c r="C110" s="736"/>
      <c r="D110" s="389"/>
      <c r="E110" s="389"/>
      <c r="F110" s="386"/>
      <c r="G110" s="383"/>
      <c r="H110" s="386"/>
      <c r="I110" s="386"/>
      <c r="J110" s="503"/>
      <c r="K110" s="384"/>
      <c r="L110" s="389"/>
      <c r="M110" s="429"/>
      <c r="O110" s="131"/>
      <c r="P110" s="322"/>
    </row>
    <row r="111" spans="1:16" ht="15" customHeight="1">
      <c r="A111" s="743"/>
      <c r="B111" s="746"/>
      <c r="C111" s="737"/>
      <c r="D111" s="422"/>
      <c r="E111" s="422"/>
      <c r="F111" s="422">
        <f t="shared" ref="F111:H111" si="47">$C$46*F109</f>
        <v>3405924.8030525451</v>
      </c>
      <c r="G111" s="423">
        <f t="shared" si="47"/>
        <v>3405924.8030525451</v>
      </c>
      <c r="H111" s="422">
        <f t="shared" si="47"/>
        <v>3405924.8030525451</v>
      </c>
      <c r="I111" s="422">
        <f t="shared" ref="I111" si="48">$C$46*I109</f>
        <v>3405924.8030525451</v>
      </c>
      <c r="J111" s="504"/>
      <c r="K111" s="423"/>
      <c r="L111" s="422"/>
      <c r="M111" s="443"/>
      <c r="O111" s="131">
        <f>SUM(D111:M111)+SUM(D48:M48)</f>
        <v>13623699.21221018</v>
      </c>
      <c r="P111" s="322"/>
    </row>
    <row r="112" spans="1:16" ht="13.15" customHeight="1">
      <c r="A112" s="742" t="s">
        <v>8549</v>
      </c>
      <c r="B112" s="750" t="s">
        <v>7582</v>
      </c>
      <c r="C112" s="749">
        <f>SUM('036.01-20-SERV. GERAIS'!$I$282:$I$289)</f>
        <v>43678.870766640735</v>
      </c>
      <c r="D112" s="387"/>
      <c r="E112" s="387"/>
      <c r="F112" s="387"/>
      <c r="G112" s="382"/>
      <c r="H112" s="387"/>
      <c r="I112" s="505"/>
      <c r="J112" s="420">
        <v>1</v>
      </c>
      <c r="K112" s="382"/>
      <c r="L112" s="387"/>
      <c r="M112" s="428"/>
      <c r="N112" s="117"/>
      <c r="O112" s="131">
        <f>SUM(D112:M112)+SUM(D49:M49)</f>
        <v>1</v>
      </c>
      <c r="P112" s="322"/>
    </row>
    <row r="113" spans="1:16" ht="9" customHeight="1">
      <c r="A113" s="742"/>
      <c r="B113" s="733"/>
      <c r="C113" s="736"/>
      <c r="D113" s="389"/>
      <c r="E113" s="389"/>
      <c r="F113" s="389"/>
      <c r="G113" s="384"/>
      <c r="H113" s="389"/>
      <c r="I113" s="503"/>
      <c r="J113" s="386"/>
      <c r="K113" s="384"/>
      <c r="L113" s="389"/>
      <c r="M113" s="429"/>
      <c r="O113" s="131"/>
      <c r="P113" s="322"/>
    </row>
    <row r="114" spans="1:16" ht="15" customHeight="1">
      <c r="A114" s="742"/>
      <c r="B114" s="739"/>
      <c r="C114" s="740"/>
      <c r="D114" s="388"/>
      <c r="E114" s="388"/>
      <c r="F114" s="388"/>
      <c r="G114" s="385"/>
      <c r="H114" s="388"/>
      <c r="I114" s="506"/>
      <c r="J114" s="422">
        <f>$C$49*J112</f>
        <v>43678.870766640735</v>
      </c>
      <c r="K114" s="385"/>
      <c r="L114" s="388"/>
      <c r="M114" s="430"/>
      <c r="O114" s="131">
        <f>SUM(D114:M114)+SUM(D51:M51)</f>
        <v>43678.870766640735</v>
      </c>
      <c r="P114" s="322"/>
    </row>
    <row r="115" spans="1:16" ht="13.15" customHeight="1">
      <c r="A115" s="729" t="s">
        <v>13397</v>
      </c>
      <c r="B115" s="744" t="s">
        <v>8409</v>
      </c>
      <c r="C115" s="735">
        <f>'036.01-20-SERV. GERAIS'!$I$296</f>
        <v>9164.7181752918696</v>
      </c>
      <c r="D115" s="420"/>
      <c r="E115" s="421"/>
      <c r="F115" s="420"/>
      <c r="G115" s="421"/>
      <c r="H115" s="420"/>
      <c r="I115" s="502"/>
      <c r="J115" s="502"/>
      <c r="K115" s="420"/>
      <c r="L115" s="502">
        <v>1</v>
      </c>
      <c r="M115" s="442"/>
      <c r="N115" s="117"/>
      <c r="O115" s="131">
        <f>SUM(D115:M115)+SUM(D52:M52)</f>
        <v>1</v>
      </c>
      <c r="P115" s="322"/>
    </row>
    <row r="116" spans="1:16" ht="9" customHeight="1">
      <c r="A116" s="730"/>
      <c r="B116" s="745"/>
      <c r="C116" s="736"/>
      <c r="D116" s="389"/>
      <c r="E116" s="384"/>
      <c r="F116" s="389"/>
      <c r="G116" s="384"/>
      <c r="H116" s="389"/>
      <c r="I116" s="503"/>
      <c r="J116" s="503"/>
      <c r="K116" s="389"/>
      <c r="L116" s="507"/>
      <c r="M116" s="429"/>
      <c r="O116" s="131">
        <f>SUM(D116:M116)+SUM(D53:M53)</f>
        <v>0</v>
      </c>
      <c r="P116" s="322"/>
    </row>
    <row r="117" spans="1:16" ht="15" customHeight="1">
      <c r="A117" s="731"/>
      <c r="B117" s="746"/>
      <c r="C117" s="737"/>
      <c r="D117" s="422"/>
      <c r="E117" s="423"/>
      <c r="F117" s="422"/>
      <c r="G117" s="423"/>
      <c r="H117" s="422"/>
      <c r="I117" s="504"/>
      <c r="J117" s="504"/>
      <c r="K117" s="422"/>
      <c r="L117" s="504">
        <f>$C$52*L115</f>
        <v>9164.7181752918696</v>
      </c>
      <c r="M117" s="443"/>
      <c r="O117" s="131">
        <f>SUM(D117:M117)+SUM(D54:M54)</f>
        <v>9164.7181752918696</v>
      </c>
      <c r="P117" s="322"/>
    </row>
    <row r="118" spans="1:16" ht="13.15" customHeight="1">
      <c r="A118" s="741" t="s">
        <v>8104</v>
      </c>
      <c r="B118" s="744" t="s">
        <v>77</v>
      </c>
      <c r="C118" s="735">
        <f>'036.01-20-SERV. GERAIS'!$I$313</f>
        <v>252427.70179366271</v>
      </c>
      <c r="D118" s="420">
        <f>0.9752/14</f>
        <v>6.9657142857142848E-2</v>
      </c>
      <c r="E118" s="420">
        <f t="shared" ref="E118:K118" si="49">0.9752/14</f>
        <v>6.9657142857142848E-2</v>
      </c>
      <c r="F118" s="420">
        <f t="shared" si="49"/>
        <v>6.9657142857142848E-2</v>
      </c>
      <c r="G118" s="420">
        <f t="shared" si="49"/>
        <v>6.9657142857142848E-2</v>
      </c>
      <c r="H118" s="420">
        <f t="shared" si="49"/>
        <v>6.9657142857142848E-2</v>
      </c>
      <c r="I118" s="420">
        <f t="shared" si="49"/>
        <v>6.9657142857142848E-2</v>
      </c>
      <c r="J118" s="420">
        <f t="shared" si="49"/>
        <v>6.9657142857142848E-2</v>
      </c>
      <c r="K118" s="420">
        <f t="shared" si="49"/>
        <v>6.9657142857142848E-2</v>
      </c>
      <c r="L118" s="502"/>
      <c r="M118" s="442">
        <v>1.8200000000000001E-2</v>
      </c>
      <c r="N118" s="117"/>
      <c r="O118" s="131">
        <f>SUM(D118:M118)+SUM(D55:M55)</f>
        <v>0.99999999999999989</v>
      </c>
      <c r="P118" s="322"/>
    </row>
    <row r="119" spans="1:16" ht="9" customHeight="1">
      <c r="A119" s="742"/>
      <c r="B119" s="745"/>
      <c r="C119" s="736"/>
      <c r="D119" s="386"/>
      <c r="E119" s="383"/>
      <c r="F119" s="386"/>
      <c r="G119" s="383"/>
      <c r="H119" s="386"/>
      <c r="I119" s="507"/>
      <c r="J119" s="507"/>
      <c r="K119" s="386"/>
      <c r="L119" s="503"/>
      <c r="M119" s="444"/>
      <c r="O119" s="131"/>
      <c r="P119" s="322"/>
    </row>
    <row r="120" spans="1:16" ht="15" customHeight="1">
      <c r="A120" s="743"/>
      <c r="B120" s="746"/>
      <c r="C120" s="737"/>
      <c r="D120" s="422">
        <f>$C$55*D118</f>
        <v>17583.392484941418</v>
      </c>
      <c r="E120" s="423">
        <f t="shared" ref="E120:J120" si="50">$C$55*E118</f>
        <v>17583.392484941418</v>
      </c>
      <c r="F120" s="422">
        <f t="shared" si="50"/>
        <v>17583.392484941418</v>
      </c>
      <c r="G120" s="423">
        <f t="shared" si="50"/>
        <v>17583.392484941418</v>
      </c>
      <c r="H120" s="422">
        <f t="shared" si="50"/>
        <v>17583.392484941418</v>
      </c>
      <c r="I120" s="504">
        <f t="shared" si="50"/>
        <v>17583.392484941418</v>
      </c>
      <c r="J120" s="504">
        <f t="shared" si="50"/>
        <v>17583.392484941418</v>
      </c>
      <c r="K120" s="422">
        <f t="shared" ref="K120" si="51">$C$55*K118</f>
        <v>17583.392484941418</v>
      </c>
      <c r="L120" s="504"/>
      <c r="M120" s="443">
        <f t="shared" ref="M120" si="52">$C$55*M118</f>
        <v>4594.1841726446619</v>
      </c>
      <c r="O120" s="131">
        <f>SUM(D120:M120)+SUM(D57:M57)</f>
        <v>252427.70179366268</v>
      </c>
      <c r="P120" s="322"/>
    </row>
    <row r="121" spans="1:16" ht="13.15" customHeight="1">
      <c r="A121" s="742" t="s">
        <v>145</v>
      </c>
      <c r="B121" s="750" t="s">
        <v>8105</v>
      </c>
      <c r="C121" s="735">
        <f>'036.01-20-SERV. GERAIS'!$I$376</f>
        <v>3220210.8543085428</v>
      </c>
      <c r="D121" s="387">
        <f>D142</f>
        <v>5.0178884064055407E-2</v>
      </c>
      <c r="E121" s="387">
        <f t="shared" ref="E121:M121" si="53">E142</f>
        <v>5.8133830651985768E-2</v>
      </c>
      <c r="F121" s="387">
        <f t="shared" si="53"/>
        <v>0.13329335155864055</v>
      </c>
      <c r="G121" s="387">
        <f t="shared" si="53"/>
        <v>0.14085969365220505</v>
      </c>
      <c r="H121" s="387">
        <f t="shared" si="53"/>
        <v>0.11643075827287035</v>
      </c>
      <c r="I121" s="387">
        <f t="shared" si="53"/>
        <v>0.11433809710618971</v>
      </c>
      <c r="J121" s="387">
        <f t="shared" si="53"/>
        <v>2.4125849219883786E-2</v>
      </c>
      <c r="K121" s="387">
        <f t="shared" si="53"/>
        <v>2.7614186032629981E-2</v>
      </c>
      <c r="L121" s="387">
        <f t="shared" si="53"/>
        <v>1.4653426591605111E-2</v>
      </c>
      <c r="M121" s="387">
        <f t="shared" si="53"/>
        <v>7.1473021851399983E-3</v>
      </c>
      <c r="N121" s="117"/>
      <c r="O121" s="131">
        <f>SUM(D121:M121)+SUM(D58:M58)</f>
        <v>1</v>
      </c>
      <c r="P121" s="322"/>
    </row>
    <row r="122" spans="1:16" ht="9" customHeight="1">
      <c r="A122" s="742"/>
      <c r="B122" s="733"/>
      <c r="C122" s="736"/>
      <c r="D122" s="386"/>
      <c r="E122" s="383"/>
      <c r="F122" s="386"/>
      <c r="G122" s="383"/>
      <c r="H122" s="386"/>
      <c r="I122" s="386"/>
      <c r="J122" s="386"/>
      <c r="K122" s="383"/>
      <c r="L122" s="386"/>
      <c r="M122" s="444"/>
      <c r="O122" s="131"/>
      <c r="P122" s="322"/>
    </row>
    <row r="123" spans="1:16" ht="15" customHeight="1">
      <c r="A123" s="742"/>
      <c r="B123" s="739"/>
      <c r="C123" s="740"/>
      <c r="D123" s="388">
        <f>$C$58*D121</f>
        <v>161586.58712016119</v>
      </c>
      <c r="E123" s="385">
        <f t="shared" ref="E123:M123" si="54">$C$58*E121</f>
        <v>187203.19246805925</v>
      </c>
      <c r="F123" s="388">
        <f t="shared" si="54"/>
        <v>429232.69749629882</v>
      </c>
      <c r="G123" s="385">
        <f t="shared" si="54"/>
        <v>453597.91443340684</v>
      </c>
      <c r="H123" s="388">
        <f t="shared" si="54"/>
        <v>374931.59156567126</v>
      </c>
      <c r="I123" s="506">
        <f t="shared" si="54"/>
        <v>368192.7813623363</v>
      </c>
      <c r="J123" s="506">
        <f t="shared" si="54"/>
        <v>77690.321527281063</v>
      </c>
      <c r="K123" s="385">
        <f t="shared" si="54"/>
        <v>88923.501595170426</v>
      </c>
      <c r="L123" s="388">
        <f t="shared" si="54"/>
        <v>47187.123363100211</v>
      </c>
      <c r="M123" s="430">
        <f t="shared" si="54"/>
        <v>23015.820075610987</v>
      </c>
      <c r="O123" s="131">
        <f>SUM(D123:M123)+SUM(D60:M60)</f>
        <v>3220210.8543085423</v>
      </c>
      <c r="P123" s="322"/>
    </row>
    <row r="124" spans="1:16" ht="13.15" customHeight="1">
      <c r="A124" s="741" t="s">
        <v>8095</v>
      </c>
      <c r="B124" s="744" t="s">
        <v>8106</v>
      </c>
      <c r="C124" s="735">
        <f>'036.02-20-CANTEIRO.'!$I$197</f>
        <v>37505.65828440764</v>
      </c>
      <c r="D124" s="420"/>
      <c r="E124" s="421"/>
      <c r="F124" s="420"/>
      <c r="G124" s="421"/>
      <c r="H124" s="420"/>
      <c r="I124" s="502"/>
      <c r="J124" s="502"/>
      <c r="K124" s="421"/>
      <c r="L124" s="420"/>
      <c r="M124" s="442">
        <v>1</v>
      </c>
      <c r="N124" s="117"/>
      <c r="O124" s="131">
        <f>SUM(D124:M124)+SUM(D61:M61)</f>
        <v>1</v>
      </c>
      <c r="P124" s="322"/>
    </row>
    <row r="125" spans="1:16" ht="9" customHeight="1">
      <c r="A125" s="756"/>
      <c r="B125" s="745"/>
      <c r="C125" s="736"/>
      <c r="D125" s="389"/>
      <c r="E125" s="384"/>
      <c r="F125" s="389"/>
      <c r="G125" s="384"/>
      <c r="H125" s="389"/>
      <c r="I125" s="503"/>
      <c r="J125" s="503"/>
      <c r="K125" s="384"/>
      <c r="L125" s="389"/>
      <c r="M125" s="444"/>
      <c r="O125" s="131"/>
      <c r="P125" s="322"/>
    </row>
    <row r="126" spans="1:16" ht="15" customHeight="1">
      <c r="A126" s="757"/>
      <c r="B126" s="746"/>
      <c r="C126" s="737"/>
      <c r="D126" s="422"/>
      <c r="E126" s="423"/>
      <c r="F126" s="422"/>
      <c r="G126" s="423"/>
      <c r="H126" s="422"/>
      <c r="I126" s="504"/>
      <c r="J126" s="504"/>
      <c r="K126" s="423"/>
      <c r="L126" s="422"/>
      <c r="M126" s="443">
        <f t="shared" ref="M126" si="55">$C$61*M124</f>
        <v>37505.65828440764</v>
      </c>
      <c r="O126" s="131">
        <f>SUM(D126:M126)+SUM(D63:M63)</f>
        <v>37505.65828440764</v>
      </c>
      <c r="P126" s="322"/>
    </row>
    <row r="127" spans="1:16" ht="13.15" customHeight="1">
      <c r="A127" s="729" t="s">
        <v>13504</v>
      </c>
      <c r="B127" s="732" t="s">
        <v>13505</v>
      </c>
      <c r="C127" s="735">
        <f>'036-20-CAPA'!$D$34</f>
        <v>177348.91</v>
      </c>
      <c r="D127" s="420"/>
      <c r="E127" s="421"/>
      <c r="F127" s="420"/>
      <c r="G127" s="421"/>
      <c r="H127" s="420"/>
      <c r="I127" s="420"/>
      <c r="J127" s="420"/>
      <c r="K127" s="421"/>
      <c r="L127" s="420"/>
      <c r="M127" s="442"/>
      <c r="N127" s="117"/>
      <c r="O127" s="131"/>
      <c r="P127" s="322"/>
    </row>
    <row r="128" spans="1:16" ht="9" customHeight="1">
      <c r="A128" s="730"/>
      <c r="B128" s="733"/>
      <c r="C128" s="736"/>
      <c r="D128" s="389"/>
      <c r="E128" s="384"/>
      <c r="F128" s="389"/>
      <c r="G128" s="384"/>
      <c r="H128" s="389"/>
      <c r="I128" s="389"/>
      <c r="J128" s="389"/>
      <c r="K128" s="384"/>
      <c r="L128" s="389"/>
      <c r="M128" s="429"/>
      <c r="O128" s="131"/>
      <c r="P128" s="322"/>
    </row>
    <row r="129" spans="1:16" ht="15" customHeight="1">
      <c r="A129" s="731"/>
      <c r="B129" s="734"/>
      <c r="C129" s="737"/>
      <c r="D129" s="422"/>
      <c r="E129" s="423"/>
      <c r="F129" s="422"/>
      <c r="G129" s="423"/>
      <c r="H129" s="422"/>
      <c r="I129" s="422"/>
      <c r="J129" s="422"/>
      <c r="K129" s="423"/>
      <c r="L129" s="422"/>
      <c r="M129" s="443"/>
      <c r="O129" s="131"/>
      <c r="P129" s="322"/>
    </row>
    <row r="130" spans="1:16" ht="15" customHeight="1">
      <c r="A130" s="435"/>
      <c r="B130" s="424" t="s">
        <v>146</v>
      </c>
      <c r="C130" s="758">
        <f>SUM(C73:C129)</f>
        <v>44761039.81700471</v>
      </c>
      <c r="D130" s="441">
        <f t="shared" ref="D130" si="56">D131/$C130</f>
        <v>5.0178884064055414E-2</v>
      </c>
      <c r="E130" s="439">
        <f>E131/$C130</f>
        <v>5.8133830651985789E-2</v>
      </c>
      <c r="F130" s="441">
        <f t="shared" ref="F130" si="57">F131/$C130</f>
        <v>0.13329335155864053</v>
      </c>
      <c r="G130" s="439">
        <f t="shared" ref="G130" si="58">G131/$C130</f>
        <v>0.14085969365220505</v>
      </c>
      <c r="H130" s="441">
        <f t="shared" ref="H130" si="59">H131/$C130</f>
        <v>0.11643075827287033</v>
      </c>
      <c r="I130" s="508">
        <f t="shared" ref="I130" si="60">I131/$C130</f>
        <v>0.1143380971061897</v>
      </c>
      <c r="J130" s="508">
        <f t="shared" ref="J130" si="61">J131/$C130</f>
        <v>2.4125849219883786E-2</v>
      </c>
      <c r="K130" s="439">
        <f t="shared" ref="K130" si="62">K131/$C130</f>
        <v>2.7614186032629981E-2</v>
      </c>
      <c r="L130" s="441">
        <f t="shared" ref="L130" si="63">L131/$C130</f>
        <v>1.4653426591605111E-2</v>
      </c>
      <c r="M130" s="449">
        <f t="shared" ref="M130" si="64">M131/$C130</f>
        <v>7.1473021851399974E-3</v>
      </c>
      <c r="O130" s="131"/>
    </row>
    <row r="131" spans="1:16" ht="15" customHeight="1">
      <c r="A131" s="436"/>
      <c r="B131" s="121" t="s">
        <v>147</v>
      </c>
      <c r="C131" s="759"/>
      <c r="D131" s="432">
        <f>D129+D126+D123+D120+D117+D114+D111+D108+D105+D102+D99+D96+D93+D90+D87+D84+D81+D78+D75</f>
        <v>2246059.0275640474</v>
      </c>
      <c r="E131" s="432">
        <f t="shared" ref="E131:M131" si="65">E129+E126+E123+E120+E117+E114+E111+E108+E105+E102+E99+E96+E93+E90+E87+E84+E81+E78+E75</f>
        <v>2602130.7085285448</v>
      </c>
      <c r="F131" s="432">
        <f t="shared" si="65"/>
        <v>5966349.0164583158</v>
      </c>
      <c r="G131" s="432">
        <f t="shared" si="65"/>
        <v>6305026.3561774353</v>
      </c>
      <c r="H131" s="432">
        <f t="shared" si="65"/>
        <v>5211561.8069759998</v>
      </c>
      <c r="I131" s="432">
        <f t="shared" si="65"/>
        <v>5117892.1171707083</v>
      </c>
      <c r="J131" s="432">
        <f t="shared" si="65"/>
        <v>1079898.0975502701</v>
      </c>
      <c r="K131" s="432">
        <f t="shared" si="65"/>
        <v>1236039.6805207259</v>
      </c>
      <c r="L131" s="432">
        <f t="shared" si="65"/>
        <v>655902.611122392</v>
      </c>
      <c r="M131" s="432">
        <f t="shared" si="65"/>
        <v>319920.67769321619</v>
      </c>
      <c r="O131" s="131"/>
    </row>
    <row r="132" spans="1:16" ht="15" customHeight="1">
      <c r="A132" s="436"/>
      <c r="B132" s="121" t="s">
        <v>148</v>
      </c>
      <c r="C132" s="759"/>
      <c r="D132" s="433">
        <f>D130+M69</f>
        <v>0.36340350472884964</v>
      </c>
      <c r="E132" s="426">
        <f>D132+E130</f>
        <v>0.42153733538083543</v>
      </c>
      <c r="F132" s="426">
        <f t="shared" ref="F132:M132" si="66">E132+F130</f>
        <v>0.5548306869394759</v>
      </c>
      <c r="G132" s="426">
        <f t="shared" si="66"/>
        <v>0.69569038059168098</v>
      </c>
      <c r="H132" s="426">
        <f t="shared" si="66"/>
        <v>0.81212113886455128</v>
      </c>
      <c r="I132" s="501">
        <f t="shared" si="66"/>
        <v>0.92645923597074098</v>
      </c>
      <c r="J132" s="501">
        <f t="shared" si="66"/>
        <v>0.95058508519062479</v>
      </c>
      <c r="K132" s="426">
        <f t="shared" si="66"/>
        <v>0.97819927122325478</v>
      </c>
      <c r="L132" s="426">
        <f t="shared" si="66"/>
        <v>0.99285269781485985</v>
      </c>
      <c r="M132" s="379">
        <f t="shared" si="66"/>
        <v>0.99999999999999989</v>
      </c>
      <c r="O132" s="131"/>
    </row>
    <row r="133" spans="1:16" ht="15.75" customHeight="1" thickBot="1">
      <c r="A133" s="437"/>
      <c r="B133" s="123" t="s">
        <v>149</v>
      </c>
      <c r="C133" s="760"/>
      <c r="D133" s="447">
        <f>M70+D131</f>
        <v>16266318.744807096</v>
      </c>
      <c r="E133" s="440">
        <f>E131+D133</f>
        <v>18868449.453335643</v>
      </c>
      <c r="F133" s="440">
        <f t="shared" ref="F133:M133" si="67">F131+E133</f>
        <v>24834798.46979396</v>
      </c>
      <c r="G133" s="440">
        <f t="shared" si="67"/>
        <v>31139824.825971395</v>
      </c>
      <c r="H133" s="440">
        <f t="shared" si="67"/>
        <v>36351386.632947393</v>
      </c>
      <c r="I133" s="509">
        <f t="shared" si="67"/>
        <v>41469278.750118099</v>
      </c>
      <c r="J133" s="509">
        <f t="shared" si="67"/>
        <v>42549176.847668372</v>
      </c>
      <c r="K133" s="440">
        <f t="shared" si="67"/>
        <v>43785216.5281891</v>
      </c>
      <c r="L133" s="440">
        <f t="shared" si="67"/>
        <v>44441119.139311492</v>
      </c>
      <c r="M133" s="448">
        <f t="shared" si="67"/>
        <v>44761039.81700471</v>
      </c>
      <c r="O133" s="131"/>
    </row>
    <row r="134" spans="1:16">
      <c r="A134" s="126"/>
      <c r="B134" s="498"/>
      <c r="C134" s="499"/>
      <c r="D134" s="124"/>
      <c r="E134" s="124"/>
      <c r="F134" s="124"/>
      <c r="G134" s="126"/>
      <c r="H134" s="500"/>
      <c r="I134" s="500"/>
      <c r="J134" s="500"/>
      <c r="K134" s="500"/>
      <c r="L134" s="500"/>
      <c r="M134" s="500"/>
    </row>
    <row r="135" spans="1:16" ht="45.6" customHeight="1">
      <c r="A135" s="671" t="str">
        <f>'036-20-CAPA'!B40</f>
        <v>ENG. GILMAR DA MOTA FERNANDES
CREA 23785/D-DF
ART: 0720200027743</v>
      </c>
      <c r="B135" s="671"/>
      <c r="C135" s="671"/>
      <c r="D135" s="671"/>
      <c r="E135" s="671"/>
      <c r="F135" s="671"/>
      <c r="G135" s="671"/>
      <c r="H135" s="671"/>
      <c r="I135" s="671"/>
      <c r="J135" s="671"/>
      <c r="K135" s="671"/>
      <c r="L135" s="671"/>
      <c r="M135" s="671"/>
    </row>
    <row r="136" spans="1:16">
      <c r="C136" s="118"/>
      <c r="F136" s="124"/>
    </row>
    <row r="137" spans="1:16" ht="12" thickBot="1">
      <c r="C137" s="321">
        <f>C130-'036-20-CAPA'!D35</f>
        <v>0</v>
      </c>
      <c r="F137" s="124"/>
    </row>
    <row r="138" spans="1:16" ht="18.600000000000001" customHeight="1">
      <c r="D138" s="512" t="s">
        <v>13424</v>
      </c>
      <c r="E138" s="513" t="s">
        <v>13425</v>
      </c>
      <c r="F138" s="513" t="s">
        <v>13426</v>
      </c>
      <c r="G138" s="513" t="s">
        <v>13427</v>
      </c>
      <c r="H138" s="513" t="s">
        <v>13428</v>
      </c>
      <c r="I138" s="513" t="s">
        <v>13429</v>
      </c>
      <c r="J138" s="513" t="s">
        <v>13430</v>
      </c>
      <c r="K138" s="513" t="s">
        <v>13431</v>
      </c>
      <c r="L138" s="513" t="s">
        <v>13432</v>
      </c>
      <c r="M138" s="514" t="s">
        <v>13433</v>
      </c>
    </row>
    <row r="139" spans="1:16" ht="18.600000000000001" customHeight="1" thickBot="1">
      <c r="A139" s="126"/>
      <c r="B139" s="646"/>
      <c r="D139" s="515">
        <f>(D66+D63+D57+D54+D51+D48+D45+D42+D39+D36+D33+D30+D27+D24+D21+D18+D15+D12)/($C$10+$C$13+$C$16+$C$19+$C$22+$C$25+$C$28+$C$31+$C$34+$C$37+$C$40+$C$43+$C$46+$C$49+$C$52+$C$55+$C$61+$C$64)</f>
        <v>7.944287704524185E-3</v>
      </c>
      <c r="E139" s="515">
        <f t="shared" ref="E139:M139" si="68">(E66+E63+E57+E54+E51+E48+E45+E42+E39+E36+E33+E30+E27+E24+E21+E18+E15+E12)/($C$10+$C$13+$C$16+$C$19+$C$22+$C$25+$C$28+$C$31+$C$34+$C$37+$C$40+$C$43+$C$46+$C$49+$C$52+$C$55+$C$61+$C$64)</f>
        <v>2.0362402469893848E-2</v>
      </c>
      <c r="F139" s="515">
        <f t="shared" si="68"/>
        <v>2.2873437581040136E-2</v>
      </c>
      <c r="G139" s="515">
        <f t="shared" si="68"/>
        <v>2.9155837395148945E-2</v>
      </c>
      <c r="H139" s="515">
        <f t="shared" si="68"/>
        <v>2.8960459949365924E-2</v>
      </c>
      <c r="I139" s="515">
        <f t="shared" si="68"/>
        <v>2.5713346189878149E-2</v>
      </c>
      <c r="J139" s="515">
        <f t="shared" si="68"/>
        <v>3.7299809906505922E-2</v>
      </c>
      <c r="K139" s="515">
        <f t="shared" si="68"/>
        <v>4.344306284153631E-2</v>
      </c>
      <c r="L139" s="515">
        <f t="shared" si="68"/>
        <v>4.5341421761034006E-2</v>
      </c>
      <c r="M139" s="515">
        <f t="shared" si="68"/>
        <v>5.2130554865866797E-2</v>
      </c>
    </row>
    <row r="140" spans="1:16" ht="18.600000000000001" customHeight="1" thickBot="1">
      <c r="D140" s="511"/>
      <c r="G140" s="117"/>
      <c r="H140" s="117"/>
      <c r="I140" s="117"/>
      <c r="J140" s="117"/>
      <c r="K140" s="117"/>
      <c r="L140" s="117"/>
      <c r="M140" s="117"/>
    </row>
    <row r="141" spans="1:16" ht="18.600000000000001" customHeight="1">
      <c r="D141" s="512" t="s">
        <v>13434</v>
      </c>
      <c r="E141" s="512" t="s">
        <v>13435</v>
      </c>
      <c r="F141" s="512" t="s">
        <v>13436</v>
      </c>
      <c r="G141" s="512" t="s">
        <v>13437</v>
      </c>
      <c r="H141" s="512" t="s">
        <v>13438</v>
      </c>
      <c r="I141" s="512" t="s">
        <v>13439</v>
      </c>
      <c r="J141" s="512" t="s">
        <v>13440</v>
      </c>
      <c r="K141" s="512" t="s">
        <v>13441</v>
      </c>
      <c r="L141" s="512" t="s">
        <v>13442</v>
      </c>
      <c r="M141" s="512" t="s">
        <v>13443</v>
      </c>
    </row>
    <row r="142" spans="1:16" ht="18.600000000000001" customHeight="1" thickBot="1">
      <c r="D142" s="515">
        <f>(D129+D126+D120+D117+D114+D111+D108+D105+D102+D99+D96+D93+D90+D87+D84+D81+D78+D75)/($C$73+$C$76+$C$79+$C$82+$C$85+$C$88+$C$91+$C$94+$C$97+$C$100+$C$103+$C$106+$C$109+$C$112+$C$115+$C$118+$C$124+$C$127)</f>
        <v>5.0178884064055407E-2</v>
      </c>
      <c r="E142" s="515">
        <f t="shared" ref="E142:M142" si="69">(E129+E126+E120+E117+E114+E111+E108+E105+E102+E99+E96+E93+E90+E87+E84+E81+E78+E75)/($C$73+$C$76+$C$79+$C$82+$C$85+$C$88+$C$91+$C$94+$C$97+$C$100+$C$103+$C$106+$C$109+$C$112+$C$115+$C$118+$C$124+$C$127)</f>
        <v>5.8133830651985768E-2</v>
      </c>
      <c r="F142" s="515">
        <f t="shared" si="69"/>
        <v>0.13329335155864055</v>
      </c>
      <c r="G142" s="515">
        <f t="shared" si="69"/>
        <v>0.14085969365220505</v>
      </c>
      <c r="H142" s="515">
        <f t="shared" si="69"/>
        <v>0.11643075827287035</v>
      </c>
      <c r="I142" s="515">
        <f t="shared" si="69"/>
        <v>0.11433809710618971</v>
      </c>
      <c r="J142" s="515">
        <f t="shared" si="69"/>
        <v>2.4125849219883786E-2</v>
      </c>
      <c r="K142" s="515">
        <f t="shared" si="69"/>
        <v>2.7614186032629981E-2</v>
      </c>
      <c r="L142" s="515">
        <f t="shared" si="69"/>
        <v>1.4653426591605111E-2</v>
      </c>
      <c r="M142" s="515">
        <f t="shared" si="69"/>
        <v>7.1473021851399983E-3</v>
      </c>
    </row>
    <row r="143" spans="1:16" ht="18.600000000000001" customHeight="1">
      <c r="F143" s="124"/>
    </row>
    <row r="144" spans="1:16" ht="18.600000000000001" customHeight="1">
      <c r="F144" s="124"/>
    </row>
    <row r="145" spans="4:10" ht="18.600000000000001" customHeight="1">
      <c r="F145" s="124"/>
    </row>
    <row r="146" spans="4:10" ht="18.600000000000001" customHeight="1">
      <c r="D146" s="116"/>
      <c r="E146" s="116"/>
      <c r="F146" s="126"/>
    </row>
    <row r="147" spans="4:10" ht="18.600000000000001" customHeight="1">
      <c r="D147" s="116"/>
      <c r="E147" s="116"/>
      <c r="F147" s="124"/>
    </row>
    <row r="148" spans="4:10" ht="18.600000000000001" customHeight="1">
      <c r="D148" s="116"/>
      <c r="E148" s="116"/>
      <c r="F148" s="124"/>
      <c r="J148" s="125">
        <f>15500/8</f>
        <v>1937.5</v>
      </c>
    </row>
    <row r="149" spans="4:10" ht="18.600000000000001" customHeight="1">
      <c r="D149" s="116"/>
      <c r="E149" s="116"/>
      <c r="F149" s="124"/>
    </row>
    <row r="150" spans="4:10" ht="18.600000000000001" customHeight="1">
      <c r="D150" s="116"/>
      <c r="E150" s="116"/>
      <c r="F150" s="124"/>
    </row>
    <row r="151" spans="4:10" ht="18.600000000000001" customHeight="1">
      <c r="D151" s="116"/>
      <c r="E151" s="116"/>
      <c r="F151" s="124"/>
    </row>
    <row r="152" spans="4:10" ht="18.600000000000001" customHeight="1">
      <c r="D152" s="116"/>
      <c r="E152" s="116"/>
      <c r="F152" s="124"/>
    </row>
    <row r="153" spans="4:10" ht="18.600000000000001" customHeight="1">
      <c r="D153" s="116"/>
      <c r="E153" s="116"/>
      <c r="F153" s="124"/>
    </row>
    <row r="154" spans="4:10" ht="18.600000000000001" customHeight="1">
      <c r="D154" s="116"/>
      <c r="E154" s="116"/>
      <c r="F154" s="124"/>
    </row>
    <row r="155" spans="4:10">
      <c r="D155" s="116"/>
      <c r="E155" s="116"/>
      <c r="F155" s="124"/>
    </row>
    <row r="156" spans="4:10">
      <c r="D156" s="116"/>
      <c r="E156" s="116"/>
      <c r="F156" s="124"/>
    </row>
    <row r="157" spans="4:10">
      <c r="D157" s="116"/>
      <c r="E157" s="116"/>
      <c r="F157" s="124"/>
    </row>
    <row r="158" spans="4:10">
      <c r="D158" s="116"/>
      <c r="E158" s="116"/>
      <c r="F158" s="124"/>
    </row>
    <row r="159" spans="4:10">
      <c r="D159" s="116"/>
      <c r="E159" s="116"/>
      <c r="F159" s="124"/>
    </row>
    <row r="160" spans="4:10">
      <c r="D160" s="116"/>
      <c r="E160" s="116"/>
      <c r="F160" s="124"/>
    </row>
    <row r="161" spans="4:6">
      <c r="D161" s="116"/>
      <c r="E161" s="116"/>
      <c r="F161" s="124"/>
    </row>
    <row r="162" spans="4:6">
      <c r="D162" s="116"/>
      <c r="E162" s="116"/>
      <c r="F162" s="124"/>
    </row>
    <row r="163" spans="4:6">
      <c r="D163" s="116"/>
      <c r="E163" s="116"/>
      <c r="F163" s="124"/>
    </row>
    <row r="164" spans="4:6">
      <c r="D164" s="116"/>
      <c r="E164" s="116"/>
      <c r="F164" s="124"/>
    </row>
    <row r="165" spans="4:6">
      <c r="D165" s="116"/>
      <c r="E165" s="116"/>
      <c r="F165" s="124"/>
    </row>
    <row r="166" spans="4:6">
      <c r="D166" s="116"/>
      <c r="E166" s="116"/>
      <c r="F166" s="124"/>
    </row>
    <row r="167" spans="4:6">
      <c r="D167" s="116"/>
      <c r="E167" s="116"/>
      <c r="F167" s="124"/>
    </row>
    <row r="168" spans="4:6">
      <c r="D168" s="116"/>
      <c r="E168" s="116"/>
      <c r="F168" s="124"/>
    </row>
    <row r="169" spans="4:6">
      <c r="D169" s="116"/>
      <c r="E169" s="116"/>
      <c r="F169" s="124"/>
    </row>
    <row r="170" spans="4:6">
      <c r="D170" s="116"/>
      <c r="E170" s="116"/>
      <c r="F170" s="124"/>
    </row>
    <row r="171" spans="4:6">
      <c r="D171" s="116"/>
      <c r="E171" s="116"/>
      <c r="F171" s="124"/>
    </row>
    <row r="172" spans="4:6">
      <c r="D172" s="116"/>
      <c r="E172" s="116"/>
      <c r="F172" s="124"/>
    </row>
    <row r="173" spans="4:6">
      <c r="D173" s="116"/>
      <c r="E173" s="116"/>
      <c r="F173" s="124"/>
    </row>
    <row r="174" spans="4:6">
      <c r="D174" s="116"/>
      <c r="E174" s="116"/>
      <c r="F174" s="124"/>
    </row>
    <row r="175" spans="4:6">
      <c r="D175" s="116"/>
      <c r="E175" s="116"/>
      <c r="F175" s="124"/>
    </row>
    <row r="176" spans="4:6">
      <c r="D176" s="116"/>
      <c r="E176" s="116"/>
      <c r="F176" s="124"/>
    </row>
    <row r="177" spans="4:6">
      <c r="D177" s="116"/>
      <c r="E177" s="116"/>
      <c r="F177" s="124"/>
    </row>
    <row r="178" spans="4:6">
      <c r="D178" s="116"/>
      <c r="E178" s="116"/>
      <c r="F178" s="124"/>
    </row>
    <row r="179" spans="4:6">
      <c r="D179" s="116"/>
      <c r="E179" s="116"/>
      <c r="F179" s="124"/>
    </row>
    <row r="180" spans="4:6">
      <c r="D180" s="116"/>
      <c r="E180" s="116"/>
      <c r="F180" s="124"/>
    </row>
    <row r="181" spans="4:6">
      <c r="D181" s="116"/>
      <c r="E181" s="116"/>
      <c r="F181" s="124"/>
    </row>
    <row r="182" spans="4:6">
      <c r="D182" s="116"/>
      <c r="E182" s="116"/>
      <c r="F182" s="124"/>
    </row>
    <row r="183" spans="4:6">
      <c r="D183" s="116"/>
      <c r="E183" s="116"/>
      <c r="F183" s="124"/>
    </row>
    <row r="184" spans="4:6">
      <c r="D184" s="116"/>
      <c r="E184" s="116"/>
      <c r="F184" s="124"/>
    </row>
    <row r="185" spans="4:6">
      <c r="D185" s="116"/>
      <c r="E185" s="116"/>
      <c r="F185" s="124"/>
    </row>
    <row r="186" spans="4:6">
      <c r="D186" s="116"/>
      <c r="E186" s="116"/>
      <c r="F186" s="124"/>
    </row>
    <row r="187" spans="4:6">
      <c r="D187" s="116"/>
      <c r="E187" s="116"/>
      <c r="F187" s="124"/>
    </row>
    <row r="188" spans="4:6">
      <c r="D188" s="116"/>
      <c r="E188" s="116"/>
      <c r="F188" s="124"/>
    </row>
    <row r="189" spans="4:6">
      <c r="D189" s="116"/>
      <c r="E189" s="116"/>
      <c r="F189" s="124"/>
    </row>
    <row r="190" spans="4:6">
      <c r="D190" s="116"/>
      <c r="E190" s="116"/>
      <c r="F190" s="124"/>
    </row>
    <row r="191" spans="4:6">
      <c r="D191" s="116"/>
      <c r="E191" s="116"/>
      <c r="F191" s="124"/>
    </row>
    <row r="192" spans="4:6">
      <c r="D192" s="116"/>
      <c r="E192" s="116"/>
      <c r="F192" s="124"/>
    </row>
    <row r="193" spans="4:6">
      <c r="D193" s="116"/>
      <c r="E193" s="116"/>
      <c r="F193" s="124"/>
    </row>
    <row r="194" spans="4:6">
      <c r="D194" s="116"/>
      <c r="E194" s="116"/>
      <c r="F194" s="124"/>
    </row>
    <row r="195" spans="4:6">
      <c r="D195" s="116"/>
      <c r="E195" s="116"/>
      <c r="F195" s="124"/>
    </row>
    <row r="196" spans="4:6">
      <c r="D196" s="116"/>
      <c r="E196" s="116"/>
      <c r="F196" s="124"/>
    </row>
    <row r="197" spans="4:6">
      <c r="D197" s="116"/>
      <c r="E197" s="116"/>
      <c r="F197" s="124"/>
    </row>
    <row r="198" spans="4:6">
      <c r="D198" s="116"/>
      <c r="E198" s="116"/>
      <c r="F198" s="124"/>
    </row>
    <row r="199" spans="4:6">
      <c r="D199" s="116"/>
      <c r="E199" s="116"/>
      <c r="F199" s="124"/>
    </row>
    <row r="200" spans="4:6">
      <c r="D200" s="116"/>
      <c r="E200" s="116"/>
      <c r="F200" s="124"/>
    </row>
    <row r="201" spans="4:6">
      <c r="D201" s="116"/>
      <c r="E201" s="116"/>
      <c r="F201" s="124"/>
    </row>
    <row r="202" spans="4:6">
      <c r="D202" s="116"/>
      <c r="E202" s="116"/>
      <c r="F202" s="124"/>
    </row>
    <row r="203" spans="4:6">
      <c r="D203" s="116"/>
      <c r="E203" s="116"/>
      <c r="F203" s="124"/>
    </row>
    <row r="204" spans="4:6">
      <c r="D204" s="116"/>
      <c r="E204" s="116"/>
      <c r="F204" s="124"/>
    </row>
    <row r="205" spans="4:6">
      <c r="D205" s="116"/>
      <c r="E205" s="116"/>
      <c r="F205" s="124"/>
    </row>
    <row r="206" spans="4:6">
      <c r="D206" s="116"/>
      <c r="E206" s="116"/>
      <c r="F206" s="124"/>
    </row>
    <row r="207" spans="4:6">
      <c r="D207" s="116"/>
      <c r="E207" s="116"/>
      <c r="F207" s="124"/>
    </row>
    <row r="208" spans="4:6">
      <c r="D208" s="116"/>
      <c r="E208" s="116"/>
      <c r="F208" s="124"/>
    </row>
    <row r="209" spans="4:6">
      <c r="D209" s="116"/>
      <c r="E209" s="116"/>
      <c r="F209" s="124"/>
    </row>
    <row r="210" spans="4:6">
      <c r="D210" s="116"/>
      <c r="E210" s="116"/>
      <c r="F210" s="124"/>
    </row>
    <row r="211" spans="4:6">
      <c r="D211" s="116"/>
      <c r="E211" s="116"/>
      <c r="F211" s="124"/>
    </row>
    <row r="212" spans="4:6">
      <c r="D212" s="116"/>
      <c r="E212" s="116"/>
      <c r="F212" s="124"/>
    </row>
    <row r="213" spans="4:6">
      <c r="D213" s="116"/>
      <c r="E213" s="116"/>
      <c r="F213" s="124"/>
    </row>
    <row r="214" spans="4:6">
      <c r="D214" s="116"/>
      <c r="E214" s="116"/>
      <c r="F214" s="124"/>
    </row>
    <row r="215" spans="4:6">
      <c r="D215" s="116"/>
      <c r="E215" s="116"/>
      <c r="F215" s="124"/>
    </row>
    <row r="216" spans="4:6">
      <c r="D216" s="116"/>
      <c r="E216" s="116"/>
      <c r="F216" s="124"/>
    </row>
    <row r="217" spans="4:6">
      <c r="D217" s="116"/>
      <c r="E217" s="116"/>
      <c r="F217" s="124"/>
    </row>
    <row r="218" spans="4:6">
      <c r="D218" s="116"/>
      <c r="E218" s="116"/>
      <c r="F218" s="124"/>
    </row>
    <row r="219" spans="4:6">
      <c r="D219" s="116"/>
      <c r="E219" s="116"/>
      <c r="F219" s="124"/>
    </row>
    <row r="220" spans="4:6">
      <c r="D220" s="116"/>
      <c r="E220" s="116"/>
      <c r="F220" s="124"/>
    </row>
    <row r="221" spans="4:6">
      <c r="D221" s="116"/>
      <c r="E221" s="116"/>
      <c r="F221" s="124"/>
    </row>
    <row r="222" spans="4:6">
      <c r="D222" s="116"/>
      <c r="E222" s="116"/>
      <c r="F222" s="124"/>
    </row>
    <row r="223" spans="4:6">
      <c r="D223" s="116"/>
      <c r="E223" s="116"/>
      <c r="F223" s="124"/>
    </row>
    <row r="224" spans="4:6">
      <c r="D224" s="116"/>
      <c r="E224" s="116"/>
      <c r="F224" s="124"/>
    </row>
    <row r="225" spans="4:6">
      <c r="D225" s="116"/>
      <c r="E225" s="116"/>
      <c r="F225" s="124"/>
    </row>
    <row r="226" spans="4:6">
      <c r="D226" s="116"/>
      <c r="E226" s="116"/>
      <c r="F226" s="124"/>
    </row>
    <row r="227" spans="4:6">
      <c r="D227" s="116"/>
      <c r="E227" s="116"/>
      <c r="F227" s="124"/>
    </row>
    <row r="228" spans="4:6">
      <c r="D228" s="116"/>
      <c r="E228" s="116"/>
      <c r="F228" s="124"/>
    </row>
    <row r="229" spans="4:6">
      <c r="D229" s="116"/>
      <c r="E229" s="116"/>
      <c r="F229" s="124"/>
    </row>
    <row r="230" spans="4:6">
      <c r="D230" s="116"/>
      <c r="E230" s="116"/>
      <c r="F230" s="124"/>
    </row>
    <row r="231" spans="4:6">
      <c r="D231" s="116"/>
      <c r="E231" s="116"/>
      <c r="F231" s="124"/>
    </row>
    <row r="232" spans="4:6">
      <c r="D232" s="116"/>
      <c r="E232" s="116"/>
      <c r="F232" s="124"/>
    </row>
    <row r="233" spans="4:6">
      <c r="D233" s="116"/>
      <c r="E233" s="116"/>
      <c r="F233" s="124"/>
    </row>
    <row r="234" spans="4:6">
      <c r="D234" s="116"/>
      <c r="E234" s="116"/>
      <c r="F234" s="124"/>
    </row>
    <row r="235" spans="4:6">
      <c r="D235" s="116"/>
      <c r="E235" s="116"/>
      <c r="F235" s="124"/>
    </row>
    <row r="236" spans="4:6">
      <c r="D236" s="116"/>
      <c r="E236" s="116"/>
      <c r="F236" s="124"/>
    </row>
    <row r="237" spans="4:6">
      <c r="D237" s="116"/>
      <c r="E237" s="116"/>
      <c r="F237" s="124"/>
    </row>
    <row r="238" spans="4:6">
      <c r="D238" s="116"/>
      <c r="E238" s="116"/>
      <c r="F238" s="124"/>
    </row>
    <row r="239" spans="4:6">
      <c r="D239" s="116"/>
      <c r="E239" s="116"/>
      <c r="F239" s="124"/>
    </row>
    <row r="240" spans="4:6">
      <c r="D240" s="116"/>
      <c r="E240" s="116"/>
      <c r="F240" s="124"/>
    </row>
    <row r="241" spans="4:6">
      <c r="D241" s="116"/>
      <c r="E241" s="116"/>
      <c r="F241" s="124"/>
    </row>
    <row r="242" spans="4:6">
      <c r="D242" s="116"/>
      <c r="E242" s="116"/>
      <c r="F242" s="124"/>
    </row>
    <row r="243" spans="4:6">
      <c r="D243" s="116"/>
      <c r="E243" s="116"/>
      <c r="F243" s="124"/>
    </row>
    <row r="244" spans="4:6">
      <c r="D244" s="116"/>
      <c r="E244" s="116"/>
      <c r="F244" s="124"/>
    </row>
    <row r="245" spans="4:6">
      <c r="D245" s="116"/>
      <c r="E245" s="116"/>
      <c r="F245" s="124"/>
    </row>
    <row r="246" spans="4:6">
      <c r="D246" s="116"/>
      <c r="E246" s="116"/>
      <c r="F246" s="124"/>
    </row>
    <row r="247" spans="4:6">
      <c r="D247" s="116"/>
      <c r="E247" s="116"/>
      <c r="F247" s="124"/>
    </row>
    <row r="248" spans="4:6">
      <c r="D248" s="116"/>
      <c r="E248" s="116"/>
      <c r="F248" s="124"/>
    </row>
    <row r="249" spans="4:6">
      <c r="D249" s="116"/>
      <c r="E249" s="116"/>
      <c r="F249" s="124"/>
    </row>
    <row r="250" spans="4:6">
      <c r="D250" s="116"/>
      <c r="E250" s="116"/>
      <c r="F250" s="124"/>
    </row>
    <row r="251" spans="4:6">
      <c r="D251" s="116"/>
      <c r="E251" s="116"/>
      <c r="F251" s="124"/>
    </row>
    <row r="252" spans="4:6">
      <c r="D252" s="116"/>
      <c r="E252" s="116"/>
      <c r="F252" s="124"/>
    </row>
    <row r="253" spans="4:6">
      <c r="D253" s="116"/>
      <c r="E253" s="116"/>
      <c r="F253" s="124"/>
    </row>
    <row r="254" spans="4:6">
      <c r="D254" s="116"/>
      <c r="E254" s="116"/>
      <c r="F254" s="124"/>
    </row>
    <row r="255" spans="4:6">
      <c r="D255" s="116"/>
      <c r="E255" s="116"/>
      <c r="F255" s="124"/>
    </row>
    <row r="256" spans="4:6">
      <c r="D256" s="116"/>
      <c r="E256" s="116"/>
      <c r="F256" s="124"/>
    </row>
    <row r="257" spans="4:6">
      <c r="D257" s="116"/>
      <c r="E257" s="116"/>
      <c r="F257" s="124"/>
    </row>
    <row r="258" spans="4:6">
      <c r="D258" s="116"/>
      <c r="E258" s="116"/>
      <c r="F258" s="124"/>
    </row>
    <row r="259" spans="4:6">
      <c r="D259" s="116"/>
      <c r="E259" s="116"/>
      <c r="F259" s="124"/>
    </row>
    <row r="260" spans="4:6">
      <c r="D260" s="116"/>
      <c r="E260" s="116"/>
      <c r="F260" s="124"/>
    </row>
    <row r="261" spans="4:6">
      <c r="D261" s="116"/>
      <c r="E261" s="116"/>
      <c r="F261" s="124"/>
    </row>
    <row r="262" spans="4:6">
      <c r="D262" s="116"/>
      <c r="E262" s="116"/>
      <c r="F262" s="124"/>
    </row>
    <row r="263" spans="4:6">
      <c r="D263" s="116"/>
      <c r="E263" s="116"/>
      <c r="F263" s="124"/>
    </row>
    <row r="264" spans="4:6">
      <c r="D264" s="116"/>
      <c r="E264" s="116"/>
      <c r="F264" s="124"/>
    </row>
    <row r="265" spans="4:6">
      <c r="D265" s="116"/>
      <c r="E265" s="116"/>
      <c r="F265" s="124"/>
    </row>
    <row r="266" spans="4:6">
      <c r="D266" s="116"/>
      <c r="E266" s="116"/>
      <c r="F266" s="124"/>
    </row>
    <row r="267" spans="4:6">
      <c r="D267" s="116"/>
      <c r="E267" s="116"/>
      <c r="F267" s="124"/>
    </row>
    <row r="268" spans="4:6">
      <c r="D268" s="116"/>
      <c r="E268" s="116"/>
      <c r="F268" s="124"/>
    </row>
    <row r="269" spans="4:6">
      <c r="D269" s="116"/>
      <c r="E269" s="116"/>
      <c r="F269" s="124"/>
    </row>
    <row r="270" spans="4:6">
      <c r="D270" s="116"/>
      <c r="E270" s="116"/>
      <c r="F270" s="124"/>
    </row>
    <row r="271" spans="4:6">
      <c r="D271" s="116"/>
      <c r="E271" s="116"/>
      <c r="F271" s="124"/>
    </row>
    <row r="272" spans="4:6">
      <c r="D272" s="116"/>
      <c r="E272" s="116"/>
      <c r="F272" s="124"/>
    </row>
    <row r="273" spans="4:6">
      <c r="D273" s="116"/>
      <c r="E273" s="116"/>
      <c r="F273" s="124"/>
    </row>
    <row r="274" spans="4:6">
      <c r="D274" s="116"/>
      <c r="E274" s="116"/>
      <c r="F274" s="124"/>
    </row>
    <row r="275" spans="4:6">
      <c r="D275" s="116"/>
      <c r="E275" s="116"/>
      <c r="F275" s="124"/>
    </row>
    <row r="276" spans="4:6">
      <c r="D276" s="116"/>
      <c r="E276" s="116"/>
      <c r="F276" s="124"/>
    </row>
    <row r="277" spans="4:6">
      <c r="D277" s="116"/>
      <c r="E277" s="116"/>
      <c r="F277" s="124"/>
    </row>
    <row r="278" spans="4:6">
      <c r="D278" s="116"/>
      <c r="E278" s="116"/>
      <c r="F278" s="124"/>
    </row>
    <row r="279" spans="4:6">
      <c r="D279" s="116"/>
      <c r="E279" s="116"/>
      <c r="F279" s="124"/>
    </row>
    <row r="280" spans="4:6">
      <c r="D280" s="116"/>
      <c r="E280" s="116"/>
      <c r="F280" s="124"/>
    </row>
    <row r="281" spans="4:6">
      <c r="D281" s="116"/>
      <c r="E281" s="116"/>
      <c r="F281" s="124"/>
    </row>
    <row r="282" spans="4:6">
      <c r="D282" s="116"/>
      <c r="E282" s="116"/>
      <c r="F282" s="124"/>
    </row>
    <row r="283" spans="4:6">
      <c r="D283" s="116"/>
      <c r="E283" s="116"/>
      <c r="F283" s="124"/>
    </row>
    <row r="284" spans="4:6">
      <c r="D284" s="116"/>
      <c r="E284" s="116"/>
      <c r="F284" s="124"/>
    </row>
    <row r="285" spans="4:6">
      <c r="D285" s="116"/>
      <c r="E285" s="116"/>
      <c r="F285" s="124"/>
    </row>
    <row r="286" spans="4:6">
      <c r="D286" s="116"/>
      <c r="E286" s="116"/>
      <c r="F286" s="124"/>
    </row>
    <row r="287" spans="4:6">
      <c r="D287" s="116"/>
      <c r="E287" s="116"/>
      <c r="F287" s="124"/>
    </row>
    <row r="288" spans="4:6">
      <c r="D288" s="116"/>
      <c r="E288" s="116"/>
      <c r="F288" s="124"/>
    </row>
    <row r="289" spans="4:6">
      <c r="D289" s="116"/>
      <c r="E289" s="116"/>
      <c r="F289" s="124"/>
    </row>
    <row r="290" spans="4:6">
      <c r="D290" s="116"/>
      <c r="E290" s="116"/>
      <c r="F290" s="124"/>
    </row>
    <row r="291" spans="4:6">
      <c r="D291" s="116"/>
      <c r="E291" s="116"/>
      <c r="F291" s="124"/>
    </row>
    <row r="292" spans="4:6">
      <c r="D292" s="116"/>
      <c r="E292" s="116"/>
      <c r="F292" s="124"/>
    </row>
    <row r="293" spans="4:6">
      <c r="D293" s="116"/>
      <c r="E293" s="116"/>
      <c r="F293" s="124"/>
    </row>
    <row r="294" spans="4:6">
      <c r="D294" s="116"/>
      <c r="E294" s="116"/>
      <c r="F294" s="124"/>
    </row>
    <row r="295" spans="4:6">
      <c r="D295" s="116"/>
      <c r="E295" s="116"/>
      <c r="F295" s="124"/>
    </row>
    <row r="296" spans="4:6">
      <c r="D296" s="116"/>
      <c r="E296" s="116"/>
      <c r="F296" s="124"/>
    </row>
    <row r="297" spans="4:6">
      <c r="D297" s="116"/>
      <c r="E297" s="116"/>
      <c r="F297" s="124"/>
    </row>
    <row r="298" spans="4:6">
      <c r="D298" s="116"/>
      <c r="E298" s="116"/>
      <c r="F298" s="124"/>
    </row>
    <row r="299" spans="4:6">
      <c r="D299" s="116"/>
      <c r="E299" s="116"/>
      <c r="F299" s="124"/>
    </row>
    <row r="300" spans="4:6">
      <c r="D300" s="116"/>
      <c r="E300" s="116"/>
      <c r="F300" s="124"/>
    </row>
    <row r="301" spans="4:6">
      <c r="D301" s="116"/>
      <c r="E301" s="116"/>
      <c r="F301" s="124"/>
    </row>
    <row r="302" spans="4:6">
      <c r="D302" s="116"/>
      <c r="E302" s="116"/>
      <c r="F302" s="124"/>
    </row>
    <row r="303" spans="4:6">
      <c r="D303" s="116"/>
      <c r="E303" s="116"/>
      <c r="F303" s="124"/>
    </row>
    <row r="304" spans="4:6">
      <c r="D304" s="116"/>
      <c r="E304" s="116"/>
      <c r="F304" s="124"/>
    </row>
    <row r="305" spans="4:6">
      <c r="D305" s="116"/>
      <c r="E305" s="116"/>
      <c r="F305" s="124"/>
    </row>
    <row r="306" spans="4:6">
      <c r="D306" s="116"/>
      <c r="E306" s="116"/>
      <c r="F306" s="124"/>
    </row>
    <row r="307" spans="4:6">
      <c r="D307" s="116"/>
      <c r="E307" s="116"/>
      <c r="F307" s="124"/>
    </row>
    <row r="308" spans="4:6">
      <c r="D308" s="116"/>
      <c r="E308" s="116"/>
      <c r="F308" s="124"/>
    </row>
    <row r="309" spans="4:6">
      <c r="D309" s="116"/>
      <c r="E309" s="116"/>
      <c r="F309" s="124"/>
    </row>
    <row r="310" spans="4:6">
      <c r="D310" s="116"/>
      <c r="E310" s="116"/>
      <c r="F310" s="124"/>
    </row>
    <row r="311" spans="4:6">
      <c r="D311" s="116"/>
      <c r="E311" s="116"/>
      <c r="F311" s="124"/>
    </row>
    <row r="312" spans="4:6">
      <c r="D312" s="116"/>
      <c r="E312" s="116"/>
      <c r="F312" s="124"/>
    </row>
    <row r="313" spans="4:6">
      <c r="D313" s="116"/>
      <c r="E313" s="116"/>
      <c r="F313" s="124"/>
    </row>
    <row r="314" spans="4:6">
      <c r="D314" s="116"/>
      <c r="E314" s="116"/>
      <c r="F314" s="124"/>
    </row>
    <row r="315" spans="4:6">
      <c r="D315" s="116"/>
      <c r="E315" s="116"/>
      <c r="F315" s="124"/>
    </row>
    <row r="316" spans="4:6">
      <c r="D316" s="116"/>
      <c r="E316" s="116"/>
      <c r="F316" s="124"/>
    </row>
    <row r="317" spans="4:6">
      <c r="D317" s="116"/>
      <c r="E317" s="116"/>
      <c r="F317" s="124"/>
    </row>
    <row r="318" spans="4:6">
      <c r="D318" s="116"/>
      <c r="E318" s="116"/>
      <c r="F318" s="124"/>
    </row>
    <row r="319" spans="4:6">
      <c r="D319" s="116"/>
      <c r="E319" s="116"/>
      <c r="F319" s="124"/>
    </row>
    <row r="320" spans="4:6">
      <c r="D320" s="116"/>
      <c r="E320" s="116"/>
      <c r="F320" s="124"/>
    </row>
    <row r="321" spans="4:6">
      <c r="D321" s="116"/>
      <c r="E321" s="116"/>
      <c r="F321" s="124"/>
    </row>
    <row r="322" spans="4:6">
      <c r="D322" s="116"/>
      <c r="E322" s="116"/>
      <c r="F322" s="124"/>
    </row>
    <row r="323" spans="4:6">
      <c r="D323" s="116"/>
      <c r="E323" s="116"/>
      <c r="F323" s="124"/>
    </row>
    <row r="324" spans="4:6">
      <c r="D324" s="116"/>
      <c r="E324" s="116"/>
      <c r="F324" s="124"/>
    </row>
    <row r="325" spans="4:6">
      <c r="D325" s="116"/>
      <c r="E325" s="116"/>
      <c r="F325" s="124"/>
    </row>
    <row r="326" spans="4:6">
      <c r="D326" s="116"/>
      <c r="E326" s="116"/>
      <c r="F326" s="124"/>
    </row>
    <row r="327" spans="4:6">
      <c r="D327" s="116"/>
      <c r="E327" s="116"/>
      <c r="F327" s="124"/>
    </row>
    <row r="328" spans="4:6">
      <c r="D328" s="116"/>
      <c r="E328" s="116"/>
      <c r="F328" s="124"/>
    </row>
    <row r="329" spans="4:6">
      <c r="D329" s="116"/>
      <c r="E329" s="116"/>
      <c r="F329" s="124"/>
    </row>
    <row r="330" spans="4:6">
      <c r="D330" s="116"/>
      <c r="E330" s="116"/>
      <c r="F330" s="124"/>
    </row>
    <row r="331" spans="4:6">
      <c r="D331" s="116"/>
      <c r="E331" s="116"/>
      <c r="F331" s="124"/>
    </row>
    <row r="332" spans="4:6">
      <c r="D332" s="116"/>
      <c r="E332" s="116"/>
      <c r="F332" s="124"/>
    </row>
    <row r="333" spans="4:6">
      <c r="D333" s="116"/>
      <c r="E333" s="116"/>
      <c r="F333" s="124"/>
    </row>
    <row r="334" spans="4:6">
      <c r="D334" s="116"/>
      <c r="E334" s="116"/>
      <c r="F334" s="124"/>
    </row>
    <row r="335" spans="4:6">
      <c r="D335" s="116"/>
      <c r="E335" s="116"/>
      <c r="F335" s="124"/>
    </row>
    <row r="336" spans="4:6">
      <c r="D336" s="116"/>
      <c r="E336" s="116"/>
      <c r="F336" s="124"/>
    </row>
    <row r="337" spans="4:6">
      <c r="D337" s="116"/>
      <c r="E337" s="116"/>
      <c r="F337" s="124"/>
    </row>
    <row r="338" spans="4:6">
      <c r="D338" s="116"/>
      <c r="E338" s="116"/>
      <c r="F338" s="124"/>
    </row>
    <row r="339" spans="4:6">
      <c r="D339" s="116"/>
      <c r="E339" s="116"/>
      <c r="F339" s="124"/>
    </row>
    <row r="340" spans="4:6">
      <c r="D340" s="116"/>
      <c r="E340" s="116"/>
      <c r="F340" s="124"/>
    </row>
    <row r="341" spans="4:6">
      <c r="D341" s="116"/>
      <c r="E341" s="116"/>
      <c r="F341" s="124"/>
    </row>
    <row r="342" spans="4:6">
      <c r="D342" s="116"/>
      <c r="E342" s="116"/>
      <c r="F342" s="124"/>
    </row>
    <row r="343" spans="4:6">
      <c r="D343" s="116"/>
      <c r="E343" s="116"/>
      <c r="F343" s="124"/>
    </row>
    <row r="344" spans="4:6">
      <c r="D344" s="116"/>
      <c r="E344" s="116"/>
      <c r="F344" s="124"/>
    </row>
    <row r="345" spans="4:6">
      <c r="D345" s="116"/>
      <c r="E345" s="116"/>
      <c r="F345" s="124"/>
    </row>
    <row r="346" spans="4:6">
      <c r="D346" s="116"/>
      <c r="E346" s="116"/>
      <c r="F346" s="124"/>
    </row>
    <row r="347" spans="4:6">
      <c r="D347" s="116"/>
      <c r="E347" s="116"/>
      <c r="F347" s="124"/>
    </row>
    <row r="348" spans="4:6">
      <c r="D348" s="116"/>
      <c r="E348" s="116"/>
      <c r="F348" s="124"/>
    </row>
    <row r="349" spans="4:6">
      <c r="D349" s="116"/>
      <c r="E349" s="116"/>
      <c r="F349" s="124"/>
    </row>
    <row r="350" spans="4:6">
      <c r="D350" s="116"/>
      <c r="E350" s="116"/>
      <c r="F350" s="124"/>
    </row>
    <row r="351" spans="4:6">
      <c r="D351" s="116"/>
      <c r="E351" s="116"/>
      <c r="F351" s="124"/>
    </row>
    <row r="352" spans="4:6">
      <c r="D352" s="116"/>
      <c r="E352" s="116"/>
      <c r="F352" s="124"/>
    </row>
    <row r="353" spans="4:6">
      <c r="D353" s="116"/>
      <c r="E353" s="116"/>
      <c r="F353" s="124"/>
    </row>
    <row r="354" spans="4:6">
      <c r="D354" s="116"/>
      <c r="E354" s="116"/>
      <c r="F354" s="124"/>
    </row>
    <row r="355" spans="4:6">
      <c r="D355" s="116"/>
      <c r="E355" s="116"/>
      <c r="F355" s="124"/>
    </row>
    <row r="356" spans="4:6">
      <c r="D356" s="116"/>
      <c r="E356" s="116"/>
      <c r="F356" s="124"/>
    </row>
    <row r="357" spans="4:6">
      <c r="D357" s="116"/>
      <c r="E357" s="116"/>
      <c r="F357" s="124"/>
    </row>
    <row r="358" spans="4:6">
      <c r="D358" s="116"/>
      <c r="E358" s="116"/>
      <c r="F358" s="124"/>
    </row>
    <row r="359" spans="4:6">
      <c r="D359" s="116"/>
      <c r="E359" s="116"/>
      <c r="F359" s="124"/>
    </row>
    <row r="360" spans="4:6">
      <c r="D360" s="116"/>
      <c r="E360" s="116"/>
      <c r="F360" s="124"/>
    </row>
    <row r="361" spans="4:6">
      <c r="D361" s="116"/>
      <c r="E361" s="116"/>
      <c r="F361" s="124"/>
    </row>
    <row r="362" spans="4:6">
      <c r="D362" s="116"/>
      <c r="E362" s="116"/>
      <c r="F362" s="124"/>
    </row>
    <row r="363" spans="4:6">
      <c r="D363" s="116"/>
      <c r="E363" s="116"/>
      <c r="F363" s="124"/>
    </row>
    <row r="364" spans="4:6">
      <c r="D364" s="116"/>
      <c r="E364" s="116"/>
      <c r="F364" s="124"/>
    </row>
    <row r="365" spans="4:6">
      <c r="D365" s="116"/>
      <c r="E365" s="116"/>
      <c r="F365" s="124"/>
    </row>
    <row r="366" spans="4:6">
      <c r="D366" s="116"/>
      <c r="E366" s="116"/>
      <c r="F366" s="124"/>
    </row>
    <row r="367" spans="4:6">
      <c r="D367" s="116"/>
      <c r="E367" s="116"/>
      <c r="F367" s="124"/>
    </row>
    <row r="368" spans="4:6">
      <c r="D368" s="116"/>
      <c r="E368" s="116"/>
      <c r="F368" s="124"/>
    </row>
    <row r="369" spans="4:6">
      <c r="D369" s="116"/>
      <c r="E369" s="116"/>
      <c r="F369" s="124"/>
    </row>
    <row r="370" spans="4:6">
      <c r="D370" s="116"/>
      <c r="E370" s="116"/>
      <c r="F370" s="124"/>
    </row>
    <row r="371" spans="4:6">
      <c r="D371" s="116"/>
      <c r="E371" s="116"/>
      <c r="F371" s="124"/>
    </row>
    <row r="372" spans="4:6">
      <c r="D372" s="116"/>
      <c r="E372" s="116"/>
      <c r="F372" s="124"/>
    </row>
    <row r="373" spans="4:6">
      <c r="D373" s="116"/>
      <c r="E373" s="116"/>
      <c r="F373" s="124"/>
    </row>
    <row r="374" spans="4:6">
      <c r="D374" s="116"/>
      <c r="E374" s="116"/>
      <c r="F374" s="124"/>
    </row>
    <row r="375" spans="4:6">
      <c r="D375" s="116"/>
      <c r="E375" s="116"/>
      <c r="F375" s="124"/>
    </row>
    <row r="376" spans="4:6">
      <c r="D376" s="116"/>
      <c r="E376" s="116"/>
      <c r="F376" s="124"/>
    </row>
    <row r="377" spans="4:6">
      <c r="D377" s="116"/>
      <c r="E377" s="116"/>
      <c r="F377" s="124"/>
    </row>
    <row r="378" spans="4:6">
      <c r="D378" s="116"/>
      <c r="E378" s="116"/>
      <c r="F378" s="124"/>
    </row>
    <row r="379" spans="4:6">
      <c r="D379" s="116"/>
      <c r="E379" s="116"/>
      <c r="F379" s="124"/>
    </row>
    <row r="380" spans="4:6">
      <c r="D380" s="116"/>
      <c r="E380" s="116"/>
      <c r="F380" s="124"/>
    </row>
    <row r="381" spans="4:6">
      <c r="D381" s="116"/>
      <c r="E381" s="116"/>
      <c r="F381" s="124"/>
    </row>
    <row r="382" spans="4:6">
      <c r="D382" s="116"/>
      <c r="E382" s="116"/>
      <c r="F382" s="124"/>
    </row>
    <row r="383" spans="4:6">
      <c r="D383" s="116"/>
      <c r="E383" s="116"/>
      <c r="F383" s="124"/>
    </row>
    <row r="384" spans="4:6">
      <c r="D384" s="116"/>
      <c r="E384" s="116"/>
      <c r="F384" s="124"/>
    </row>
    <row r="385" spans="4:6">
      <c r="D385" s="116"/>
      <c r="E385" s="116"/>
      <c r="F385" s="124"/>
    </row>
    <row r="386" spans="4:6">
      <c r="D386" s="116"/>
      <c r="E386" s="116"/>
      <c r="F386" s="124"/>
    </row>
    <row r="387" spans="4:6">
      <c r="D387" s="116"/>
      <c r="E387" s="116"/>
      <c r="F387" s="124"/>
    </row>
    <row r="388" spans="4:6">
      <c r="D388" s="116"/>
      <c r="E388" s="116"/>
      <c r="F388" s="124"/>
    </row>
    <row r="389" spans="4:6">
      <c r="D389" s="116"/>
      <c r="E389" s="116"/>
      <c r="F389" s="124"/>
    </row>
    <row r="390" spans="4:6">
      <c r="D390" s="116"/>
      <c r="E390" s="116"/>
      <c r="F390" s="124"/>
    </row>
    <row r="391" spans="4:6">
      <c r="D391" s="116"/>
      <c r="E391" s="116"/>
      <c r="F391" s="124"/>
    </row>
    <row r="392" spans="4:6">
      <c r="D392" s="116"/>
      <c r="E392" s="116"/>
      <c r="F392" s="124"/>
    </row>
    <row r="393" spans="4:6">
      <c r="D393" s="116"/>
      <c r="E393" s="116"/>
      <c r="F393" s="124"/>
    </row>
    <row r="394" spans="4:6">
      <c r="D394" s="116"/>
      <c r="E394" s="116"/>
      <c r="F394" s="124"/>
    </row>
    <row r="395" spans="4:6">
      <c r="D395" s="116"/>
      <c r="E395" s="116"/>
      <c r="F395" s="124"/>
    </row>
    <row r="396" spans="4:6">
      <c r="D396" s="116"/>
      <c r="E396" s="116"/>
      <c r="F396" s="124"/>
    </row>
    <row r="397" spans="4:6">
      <c r="D397" s="116"/>
      <c r="E397" s="116"/>
      <c r="F397" s="124"/>
    </row>
    <row r="398" spans="4:6">
      <c r="D398" s="116"/>
      <c r="E398" s="116"/>
      <c r="F398" s="124"/>
    </row>
    <row r="399" spans="4:6">
      <c r="D399" s="116"/>
      <c r="E399" s="116"/>
      <c r="F399" s="124"/>
    </row>
    <row r="400" spans="4:6">
      <c r="D400" s="116"/>
      <c r="E400" s="116"/>
      <c r="F400" s="124"/>
    </row>
    <row r="401" spans="4:6">
      <c r="D401" s="116"/>
      <c r="E401" s="116"/>
      <c r="F401" s="124"/>
    </row>
    <row r="402" spans="4:6">
      <c r="D402" s="116"/>
      <c r="E402" s="116"/>
      <c r="F402" s="124"/>
    </row>
    <row r="403" spans="4:6">
      <c r="D403" s="116"/>
      <c r="E403" s="116"/>
      <c r="F403" s="124"/>
    </row>
    <row r="404" spans="4:6">
      <c r="D404" s="116"/>
      <c r="E404" s="116"/>
      <c r="F404" s="124"/>
    </row>
    <row r="405" spans="4:6">
      <c r="D405" s="116"/>
      <c r="E405" s="116"/>
      <c r="F405" s="124"/>
    </row>
    <row r="406" spans="4:6">
      <c r="D406" s="116"/>
      <c r="E406" s="116"/>
      <c r="F406" s="124"/>
    </row>
    <row r="407" spans="4:6">
      <c r="D407" s="116"/>
      <c r="E407" s="116"/>
      <c r="F407" s="124"/>
    </row>
    <row r="408" spans="4:6">
      <c r="D408" s="116"/>
      <c r="E408" s="116"/>
      <c r="F408" s="124"/>
    </row>
    <row r="409" spans="4:6">
      <c r="D409" s="116"/>
      <c r="E409" s="116"/>
      <c r="F409" s="124"/>
    </row>
    <row r="410" spans="4:6">
      <c r="D410" s="116"/>
      <c r="E410" s="116"/>
      <c r="F410" s="124"/>
    </row>
    <row r="411" spans="4:6">
      <c r="D411" s="116"/>
      <c r="E411" s="116"/>
      <c r="F411" s="124"/>
    </row>
    <row r="412" spans="4:6">
      <c r="D412" s="116"/>
      <c r="E412" s="116"/>
      <c r="F412" s="124"/>
    </row>
    <row r="413" spans="4:6">
      <c r="D413" s="116"/>
      <c r="E413" s="116"/>
      <c r="F413" s="124"/>
    </row>
    <row r="414" spans="4:6">
      <c r="D414" s="116"/>
      <c r="E414" s="116"/>
      <c r="F414" s="124"/>
    </row>
    <row r="415" spans="4:6">
      <c r="D415" s="116"/>
      <c r="E415" s="116"/>
      <c r="F415" s="124"/>
    </row>
    <row r="416" spans="4:6">
      <c r="D416" s="116"/>
      <c r="E416" s="116"/>
      <c r="F416" s="124"/>
    </row>
    <row r="417" spans="4:6">
      <c r="D417" s="116"/>
      <c r="E417" s="116"/>
      <c r="F417" s="124"/>
    </row>
    <row r="418" spans="4:6">
      <c r="D418" s="116"/>
      <c r="E418" s="116"/>
      <c r="F418" s="124"/>
    </row>
    <row r="419" spans="4:6">
      <c r="D419" s="116"/>
      <c r="E419" s="116"/>
      <c r="F419" s="124"/>
    </row>
    <row r="420" spans="4:6">
      <c r="D420" s="116"/>
      <c r="E420" s="116"/>
      <c r="F420" s="124"/>
    </row>
    <row r="421" spans="4:6">
      <c r="D421" s="116"/>
      <c r="E421" s="116"/>
      <c r="F421" s="124"/>
    </row>
    <row r="422" spans="4:6">
      <c r="D422" s="116"/>
      <c r="E422" s="116"/>
      <c r="F422" s="124"/>
    </row>
    <row r="423" spans="4:6">
      <c r="D423" s="116"/>
      <c r="E423" s="116"/>
      <c r="F423" s="124"/>
    </row>
    <row r="424" spans="4:6">
      <c r="D424" s="116"/>
      <c r="E424" s="116"/>
      <c r="F424" s="124"/>
    </row>
    <row r="425" spans="4:6">
      <c r="D425" s="116"/>
      <c r="E425" s="116"/>
      <c r="F425" s="124"/>
    </row>
    <row r="426" spans="4:6">
      <c r="D426" s="116"/>
      <c r="E426" s="116"/>
      <c r="F426" s="124"/>
    </row>
    <row r="427" spans="4:6">
      <c r="D427" s="116"/>
      <c r="E427" s="116"/>
      <c r="F427" s="124"/>
    </row>
    <row r="428" spans="4:6">
      <c r="D428" s="116"/>
      <c r="E428" s="116"/>
      <c r="F428" s="124"/>
    </row>
    <row r="429" spans="4:6">
      <c r="D429" s="116"/>
      <c r="E429" s="116"/>
      <c r="F429" s="124"/>
    </row>
    <row r="430" spans="4:6">
      <c r="D430" s="116"/>
      <c r="E430" s="116"/>
      <c r="F430" s="124"/>
    </row>
    <row r="431" spans="4:6">
      <c r="D431" s="116"/>
      <c r="E431" s="116"/>
      <c r="F431" s="124"/>
    </row>
    <row r="432" spans="4:6">
      <c r="D432" s="116"/>
      <c r="E432" s="116"/>
      <c r="F432" s="124"/>
    </row>
    <row r="433" spans="4:6">
      <c r="D433" s="116"/>
      <c r="E433" s="116"/>
      <c r="F433" s="124"/>
    </row>
    <row r="434" spans="4:6">
      <c r="D434" s="116"/>
      <c r="E434" s="116"/>
      <c r="F434" s="124"/>
    </row>
    <row r="435" spans="4:6">
      <c r="D435" s="116"/>
      <c r="E435" s="116"/>
      <c r="F435" s="124"/>
    </row>
    <row r="436" spans="4:6">
      <c r="D436" s="116"/>
      <c r="E436" s="116"/>
      <c r="F436" s="124"/>
    </row>
    <row r="437" spans="4:6">
      <c r="D437" s="116"/>
      <c r="E437" s="116"/>
      <c r="F437" s="124"/>
    </row>
    <row r="438" spans="4:6">
      <c r="D438" s="116"/>
      <c r="E438" s="116"/>
      <c r="F438" s="124"/>
    </row>
    <row r="439" spans="4:6">
      <c r="D439" s="116"/>
      <c r="E439" s="116"/>
      <c r="F439" s="124"/>
    </row>
    <row r="440" spans="4:6">
      <c r="D440" s="116"/>
      <c r="E440" s="116"/>
      <c r="F440" s="124"/>
    </row>
    <row r="441" spans="4:6">
      <c r="D441" s="116"/>
      <c r="E441" s="116"/>
      <c r="F441" s="124"/>
    </row>
    <row r="442" spans="4:6">
      <c r="D442" s="116"/>
      <c r="E442" s="116"/>
      <c r="F442" s="124"/>
    </row>
    <row r="443" spans="4:6">
      <c r="D443" s="116"/>
      <c r="E443" s="116"/>
      <c r="F443" s="124"/>
    </row>
    <row r="444" spans="4:6">
      <c r="D444" s="116"/>
      <c r="E444" s="116"/>
      <c r="F444" s="124"/>
    </row>
    <row r="445" spans="4:6">
      <c r="D445" s="116"/>
      <c r="E445" s="116"/>
      <c r="F445" s="124"/>
    </row>
    <row r="446" spans="4:6">
      <c r="D446" s="116"/>
      <c r="E446" s="116"/>
      <c r="F446" s="124"/>
    </row>
    <row r="447" spans="4:6">
      <c r="D447" s="116"/>
      <c r="E447" s="116"/>
      <c r="F447" s="124"/>
    </row>
    <row r="448" spans="4:6">
      <c r="D448" s="116"/>
      <c r="E448" s="116"/>
      <c r="F448" s="124"/>
    </row>
    <row r="449" spans="4:6">
      <c r="D449" s="116"/>
      <c r="E449" s="116"/>
      <c r="F449" s="124"/>
    </row>
    <row r="450" spans="4:6">
      <c r="D450" s="116"/>
      <c r="E450" s="116"/>
      <c r="F450" s="124"/>
    </row>
    <row r="451" spans="4:6">
      <c r="D451" s="116"/>
      <c r="E451" s="116"/>
      <c r="F451" s="124"/>
    </row>
    <row r="452" spans="4:6">
      <c r="D452" s="116"/>
      <c r="E452" s="116"/>
      <c r="F452" s="124"/>
    </row>
    <row r="453" spans="4:6">
      <c r="D453" s="116"/>
      <c r="E453" s="116"/>
      <c r="F453" s="124"/>
    </row>
    <row r="454" spans="4:6">
      <c r="D454" s="116"/>
      <c r="E454" s="116"/>
      <c r="F454" s="124"/>
    </row>
    <row r="455" spans="4:6">
      <c r="D455" s="116"/>
      <c r="E455" s="116"/>
      <c r="F455" s="124"/>
    </row>
    <row r="456" spans="4:6">
      <c r="D456" s="116"/>
      <c r="E456" s="116"/>
      <c r="F456" s="124"/>
    </row>
    <row r="457" spans="4:6">
      <c r="D457" s="116"/>
      <c r="E457" s="116"/>
      <c r="F457" s="124"/>
    </row>
    <row r="458" spans="4:6">
      <c r="D458" s="116"/>
      <c r="E458" s="116"/>
      <c r="F458" s="124"/>
    </row>
    <row r="459" spans="4:6">
      <c r="D459" s="116"/>
      <c r="E459" s="116"/>
      <c r="F459" s="124"/>
    </row>
    <row r="460" spans="4:6">
      <c r="D460" s="116"/>
      <c r="E460" s="116"/>
      <c r="F460" s="124"/>
    </row>
    <row r="461" spans="4:6">
      <c r="D461" s="116"/>
      <c r="E461" s="116"/>
      <c r="F461" s="124"/>
    </row>
    <row r="462" spans="4:6">
      <c r="D462" s="116"/>
      <c r="E462" s="116"/>
      <c r="F462" s="124"/>
    </row>
    <row r="463" spans="4:6">
      <c r="D463" s="116"/>
      <c r="E463" s="116"/>
      <c r="F463" s="124"/>
    </row>
    <row r="464" spans="4:6">
      <c r="D464" s="116"/>
      <c r="E464" s="116"/>
      <c r="F464" s="124"/>
    </row>
    <row r="465" spans="4:6">
      <c r="D465" s="116"/>
      <c r="E465" s="116"/>
      <c r="F465" s="124"/>
    </row>
    <row r="466" spans="4:6">
      <c r="D466" s="116"/>
      <c r="E466" s="116"/>
      <c r="F466" s="124"/>
    </row>
    <row r="467" spans="4:6">
      <c r="D467" s="116"/>
      <c r="E467" s="116"/>
      <c r="F467" s="124"/>
    </row>
    <row r="468" spans="4:6">
      <c r="D468" s="116"/>
      <c r="E468" s="116"/>
      <c r="F468" s="124"/>
    </row>
    <row r="469" spans="4:6">
      <c r="D469" s="116"/>
      <c r="E469" s="116"/>
      <c r="F469" s="124"/>
    </row>
    <row r="470" spans="4:6">
      <c r="D470" s="116"/>
      <c r="E470" s="116"/>
      <c r="F470" s="124"/>
    </row>
    <row r="471" spans="4:6">
      <c r="D471" s="116"/>
      <c r="E471" s="116"/>
      <c r="F471" s="124"/>
    </row>
    <row r="472" spans="4:6">
      <c r="D472" s="116"/>
      <c r="E472" s="116"/>
      <c r="F472" s="124"/>
    </row>
    <row r="473" spans="4:6">
      <c r="D473" s="116"/>
      <c r="E473" s="116"/>
      <c r="F473" s="124"/>
    </row>
    <row r="474" spans="4:6">
      <c r="D474" s="116"/>
      <c r="E474" s="116"/>
      <c r="F474" s="124"/>
    </row>
    <row r="475" spans="4:6">
      <c r="D475" s="116"/>
      <c r="E475" s="116"/>
      <c r="F475" s="124"/>
    </row>
    <row r="476" spans="4:6">
      <c r="D476" s="116"/>
      <c r="E476" s="116"/>
      <c r="F476" s="124"/>
    </row>
    <row r="477" spans="4:6">
      <c r="D477" s="116"/>
      <c r="E477" s="116"/>
      <c r="F477" s="124"/>
    </row>
    <row r="478" spans="4:6">
      <c r="D478" s="116"/>
      <c r="E478" s="116"/>
      <c r="F478" s="124"/>
    </row>
    <row r="479" spans="4:6">
      <c r="D479" s="116"/>
      <c r="E479" s="116"/>
      <c r="F479" s="124"/>
    </row>
    <row r="480" spans="4:6">
      <c r="D480" s="116"/>
      <c r="E480" s="116"/>
      <c r="F480" s="124"/>
    </row>
    <row r="481" spans="4:6">
      <c r="D481" s="116"/>
      <c r="E481" s="116"/>
      <c r="F481" s="124"/>
    </row>
    <row r="482" spans="4:6">
      <c r="D482" s="116"/>
      <c r="E482" s="116"/>
      <c r="F482" s="124"/>
    </row>
    <row r="483" spans="4:6">
      <c r="D483" s="116"/>
      <c r="E483" s="116"/>
      <c r="F483" s="124"/>
    </row>
    <row r="484" spans="4:6">
      <c r="D484" s="116"/>
      <c r="E484" s="116"/>
      <c r="F484" s="124"/>
    </row>
    <row r="485" spans="4:6">
      <c r="D485" s="116"/>
      <c r="E485" s="116"/>
      <c r="F485" s="124"/>
    </row>
    <row r="486" spans="4:6">
      <c r="D486" s="116"/>
      <c r="E486" s="116"/>
      <c r="F486" s="124"/>
    </row>
    <row r="487" spans="4:6">
      <c r="D487" s="116"/>
      <c r="E487" s="116"/>
      <c r="F487" s="124"/>
    </row>
    <row r="488" spans="4:6">
      <c r="D488" s="116"/>
      <c r="E488" s="116"/>
      <c r="F488" s="124"/>
    </row>
    <row r="489" spans="4:6">
      <c r="D489" s="116"/>
      <c r="E489" s="116"/>
      <c r="F489" s="124"/>
    </row>
    <row r="490" spans="4:6">
      <c r="D490" s="116"/>
      <c r="E490" s="116"/>
      <c r="F490" s="124"/>
    </row>
    <row r="491" spans="4:6">
      <c r="D491" s="116"/>
      <c r="E491" s="116"/>
      <c r="F491" s="124"/>
    </row>
    <row r="492" spans="4:6">
      <c r="D492" s="116"/>
      <c r="E492" s="116"/>
      <c r="F492" s="124"/>
    </row>
    <row r="493" spans="4:6">
      <c r="D493" s="116"/>
      <c r="E493" s="116"/>
      <c r="F493" s="124"/>
    </row>
    <row r="494" spans="4:6">
      <c r="D494" s="116"/>
      <c r="E494" s="116"/>
      <c r="F494" s="124"/>
    </row>
    <row r="495" spans="4:6">
      <c r="D495" s="116"/>
      <c r="E495" s="116"/>
      <c r="F495" s="124"/>
    </row>
    <row r="496" spans="4:6">
      <c r="D496" s="116"/>
      <c r="E496" s="116"/>
      <c r="F496" s="124"/>
    </row>
    <row r="497" spans="4:6">
      <c r="D497" s="116"/>
      <c r="E497" s="116"/>
      <c r="F497" s="124"/>
    </row>
    <row r="498" spans="4:6">
      <c r="D498" s="116"/>
      <c r="E498" s="116"/>
      <c r="F498" s="124"/>
    </row>
    <row r="499" spans="4:6">
      <c r="D499" s="116"/>
      <c r="E499" s="116"/>
      <c r="F499" s="124"/>
    </row>
    <row r="500" spans="4:6">
      <c r="D500" s="116"/>
      <c r="E500" s="116"/>
      <c r="F500" s="124"/>
    </row>
    <row r="501" spans="4:6">
      <c r="D501" s="116"/>
      <c r="E501" s="116"/>
      <c r="F501" s="124"/>
    </row>
    <row r="502" spans="4:6">
      <c r="D502" s="116"/>
      <c r="E502" s="116"/>
      <c r="F502" s="124"/>
    </row>
    <row r="503" spans="4:6">
      <c r="D503" s="116"/>
      <c r="E503" s="116"/>
      <c r="F503" s="124"/>
    </row>
    <row r="504" spans="4:6">
      <c r="D504" s="116"/>
      <c r="E504" s="116"/>
      <c r="F504" s="124"/>
    </row>
    <row r="505" spans="4:6">
      <c r="D505" s="116"/>
      <c r="E505" s="116"/>
      <c r="F505" s="124"/>
    </row>
    <row r="506" spans="4:6">
      <c r="D506" s="116"/>
      <c r="E506" s="116"/>
      <c r="F506" s="124"/>
    </row>
    <row r="507" spans="4:6">
      <c r="D507" s="116"/>
      <c r="E507" s="116"/>
      <c r="F507" s="124"/>
    </row>
    <row r="508" spans="4:6">
      <c r="D508" s="116"/>
      <c r="E508" s="116"/>
      <c r="F508" s="124"/>
    </row>
    <row r="509" spans="4:6">
      <c r="D509" s="116"/>
      <c r="E509" s="116"/>
      <c r="F509" s="124"/>
    </row>
    <row r="510" spans="4:6">
      <c r="D510" s="116"/>
      <c r="E510" s="116"/>
      <c r="F510" s="124"/>
    </row>
    <row r="511" spans="4:6">
      <c r="D511" s="116"/>
      <c r="E511" s="116"/>
      <c r="F511" s="124"/>
    </row>
    <row r="512" spans="4:6">
      <c r="D512" s="116"/>
      <c r="E512" s="116"/>
      <c r="F512" s="124"/>
    </row>
    <row r="513" spans="4:6">
      <c r="D513" s="116"/>
      <c r="E513" s="116"/>
      <c r="F513" s="124"/>
    </row>
    <row r="514" spans="4:6">
      <c r="D514" s="116"/>
      <c r="E514" s="116"/>
      <c r="F514" s="124"/>
    </row>
    <row r="515" spans="4:6">
      <c r="D515" s="116"/>
      <c r="E515" s="116"/>
      <c r="F515" s="124"/>
    </row>
    <row r="516" spans="4:6">
      <c r="D516" s="116"/>
      <c r="E516" s="116"/>
      <c r="F516" s="124"/>
    </row>
    <row r="517" spans="4:6">
      <c r="D517" s="116"/>
      <c r="E517" s="116"/>
      <c r="F517" s="124"/>
    </row>
    <row r="518" spans="4:6">
      <c r="D518" s="116"/>
      <c r="E518" s="116"/>
      <c r="F518" s="124"/>
    </row>
    <row r="519" spans="4:6">
      <c r="D519" s="116"/>
      <c r="E519" s="116"/>
      <c r="F519" s="124"/>
    </row>
    <row r="520" spans="4:6">
      <c r="D520" s="116"/>
      <c r="E520" s="116"/>
      <c r="F520" s="124"/>
    </row>
    <row r="521" spans="4:6">
      <c r="D521" s="116"/>
      <c r="E521" s="116"/>
      <c r="F521" s="124"/>
    </row>
    <row r="522" spans="4:6">
      <c r="D522" s="116"/>
      <c r="E522" s="116"/>
      <c r="F522" s="124"/>
    </row>
    <row r="523" spans="4:6">
      <c r="D523" s="116"/>
      <c r="E523" s="116"/>
      <c r="F523" s="124"/>
    </row>
    <row r="524" spans="4:6">
      <c r="D524" s="116"/>
      <c r="E524" s="116"/>
      <c r="F524" s="124"/>
    </row>
    <row r="525" spans="4:6">
      <c r="D525" s="116"/>
      <c r="E525" s="116"/>
      <c r="F525" s="124"/>
    </row>
    <row r="526" spans="4:6">
      <c r="D526" s="116"/>
      <c r="E526" s="116"/>
      <c r="F526" s="124"/>
    </row>
    <row r="527" spans="4:6">
      <c r="D527" s="116"/>
      <c r="E527" s="116"/>
      <c r="F527" s="124"/>
    </row>
    <row r="528" spans="4:6">
      <c r="D528" s="116"/>
      <c r="E528" s="116"/>
      <c r="F528" s="124"/>
    </row>
    <row r="529" spans="4:6">
      <c r="D529" s="116"/>
      <c r="E529" s="116"/>
      <c r="F529" s="124"/>
    </row>
    <row r="530" spans="4:6">
      <c r="D530" s="116"/>
      <c r="E530" s="116"/>
      <c r="F530" s="124"/>
    </row>
    <row r="531" spans="4:6">
      <c r="D531" s="116"/>
      <c r="E531" s="116"/>
      <c r="F531" s="124"/>
    </row>
    <row r="532" spans="4:6">
      <c r="D532" s="116"/>
      <c r="E532" s="116"/>
      <c r="F532" s="124"/>
    </row>
    <row r="533" spans="4:6">
      <c r="D533" s="116"/>
      <c r="E533" s="116"/>
      <c r="F533" s="124"/>
    </row>
    <row r="534" spans="4:6">
      <c r="D534" s="116"/>
      <c r="E534" s="116"/>
      <c r="F534" s="124"/>
    </row>
    <row r="535" spans="4:6">
      <c r="D535" s="116"/>
      <c r="E535" s="116"/>
      <c r="F535" s="124"/>
    </row>
    <row r="536" spans="4:6">
      <c r="D536" s="116"/>
      <c r="E536" s="116"/>
      <c r="F536" s="124"/>
    </row>
    <row r="537" spans="4:6">
      <c r="D537" s="116"/>
      <c r="E537" s="116"/>
      <c r="F537" s="124"/>
    </row>
    <row r="538" spans="4:6">
      <c r="D538" s="116"/>
      <c r="E538" s="116"/>
      <c r="F538" s="124"/>
    </row>
    <row r="539" spans="4:6">
      <c r="D539" s="116"/>
      <c r="E539" s="116"/>
      <c r="F539" s="124"/>
    </row>
    <row r="540" spans="4:6">
      <c r="D540" s="116"/>
      <c r="E540" s="116"/>
      <c r="F540" s="124"/>
    </row>
    <row r="541" spans="4:6">
      <c r="D541" s="116"/>
      <c r="E541" s="116"/>
      <c r="F541" s="124"/>
    </row>
    <row r="542" spans="4:6">
      <c r="D542" s="116"/>
      <c r="E542" s="116"/>
      <c r="F542" s="124"/>
    </row>
    <row r="543" spans="4:6">
      <c r="D543" s="116"/>
      <c r="E543" s="116"/>
      <c r="F543" s="124"/>
    </row>
    <row r="544" spans="4:6">
      <c r="D544" s="116"/>
      <c r="E544" s="116"/>
      <c r="F544" s="124"/>
    </row>
    <row r="545" spans="4:6">
      <c r="D545" s="116"/>
      <c r="E545" s="116"/>
      <c r="F545" s="124"/>
    </row>
    <row r="546" spans="4:6">
      <c r="D546" s="116"/>
      <c r="E546" s="116"/>
      <c r="F546" s="124"/>
    </row>
    <row r="547" spans="4:6">
      <c r="D547" s="116"/>
      <c r="E547" s="116"/>
      <c r="F547" s="124"/>
    </row>
    <row r="548" spans="4:6">
      <c r="D548" s="116"/>
      <c r="E548" s="116"/>
      <c r="F548" s="124"/>
    </row>
    <row r="549" spans="4:6">
      <c r="D549" s="116"/>
      <c r="E549" s="116"/>
      <c r="F549" s="124"/>
    </row>
    <row r="550" spans="4:6">
      <c r="D550" s="116"/>
      <c r="E550" s="116"/>
      <c r="F550" s="124"/>
    </row>
    <row r="551" spans="4:6">
      <c r="D551" s="116"/>
      <c r="E551" s="116"/>
      <c r="F551" s="124"/>
    </row>
    <row r="552" spans="4:6">
      <c r="D552" s="116"/>
      <c r="E552" s="116"/>
      <c r="F552" s="124"/>
    </row>
    <row r="553" spans="4:6">
      <c r="D553" s="116"/>
      <c r="E553" s="116"/>
      <c r="F553" s="124"/>
    </row>
    <row r="554" spans="4:6">
      <c r="D554" s="116"/>
      <c r="E554" s="116"/>
      <c r="F554" s="124"/>
    </row>
    <row r="555" spans="4:6">
      <c r="D555" s="116"/>
      <c r="E555" s="116"/>
      <c r="F555" s="124"/>
    </row>
    <row r="556" spans="4:6">
      <c r="D556" s="116"/>
      <c r="E556" s="116"/>
      <c r="F556" s="124"/>
    </row>
    <row r="557" spans="4:6">
      <c r="D557" s="116"/>
      <c r="E557" s="116"/>
      <c r="F557" s="124"/>
    </row>
    <row r="558" spans="4:6">
      <c r="D558" s="116"/>
      <c r="E558" s="116"/>
      <c r="F558" s="124"/>
    </row>
    <row r="559" spans="4:6">
      <c r="D559" s="116"/>
      <c r="E559" s="116"/>
      <c r="F559" s="124"/>
    </row>
    <row r="560" spans="4:6">
      <c r="D560" s="116"/>
      <c r="E560" s="116"/>
      <c r="F560" s="124"/>
    </row>
    <row r="561" spans="4:6">
      <c r="D561" s="116"/>
      <c r="E561" s="116"/>
      <c r="F561" s="124"/>
    </row>
    <row r="562" spans="4:6">
      <c r="D562" s="116"/>
      <c r="E562" s="116"/>
      <c r="F562" s="124"/>
    </row>
    <row r="563" spans="4:6">
      <c r="D563" s="116"/>
      <c r="E563" s="116"/>
      <c r="F563" s="124"/>
    </row>
    <row r="564" spans="4:6">
      <c r="D564" s="116"/>
      <c r="E564" s="116"/>
      <c r="F564" s="124"/>
    </row>
    <row r="565" spans="4:6">
      <c r="D565" s="116"/>
      <c r="E565" s="116"/>
      <c r="F565" s="124"/>
    </row>
    <row r="566" spans="4:6">
      <c r="D566" s="116"/>
      <c r="E566" s="116"/>
      <c r="F566" s="124"/>
    </row>
    <row r="567" spans="4:6">
      <c r="D567" s="116"/>
      <c r="E567" s="116"/>
      <c r="F567" s="124"/>
    </row>
    <row r="568" spans="4:6">
      <c r="D568" s="116"/>
      <c r="E568" s="116"/>
      <c r="F568" s="124"/>
    </row>
    <row r="569" spans="4:6">
      <c r="D569" s="116"/>
      <c r="E569" s="116"/>
      <c r="F569" s="124"/>
    </row>
    <row r="570" spans="4:6">
      <c r="D570" s="116"/>
      <c r="E570" s="116"/>
      <c r="F570" s="124"/>
    </row>
    <row r="571" spans="4:6">
      <c r="D571" s="116"/>
      <c r="E571" s="116"/>
      <c r="F571" s="124"/>
    </row>
    <row r="572" spans="4:6">
      <c r="D572" s="116"/>
      <c r="E572" s="116"/>
      <c r="F572" s="124"/>
    </row>
    <row r="573" spans="4:6">
      <c r="D573" s="116"/>
      <c r="E573" s="116"/>
      <c r="F573" s="124"/>
    </row>
    <row r="574" spans="4:6">
      <c r="D574" s="116"/>
      <c r="E574" s="116"/>
      <c r="F574" s="124"/>
    </row>
    <row r="575" spans="4:6">
      <c r="D575" s="116"/>
      <c r="E575" s="116"/>
      <c r="F575" s="124"/>
    </row>
    <row r="576" spans="4:6">
      <c r="D576" s="116"/>
      <c r="E576" s="116"/>
      <c r="F576" s="124"/>
    </row>
    <row r="577" spans="4:6">
      <c r="D577" s="116"/>
      <c r="E577" s="116"/>
      <c r="F577" s="124"/>
    </row>
    <row r="578" spans="4:6">
      <c r="D578" s="116"/>
      <c r="E578" s="116"/>
      <c r="F578" s="124"/>
    </row>
    <row r="579" spans="4:6">
      <c r="D579" s="116"/>
      <c r="E579" s="116"/>
      <c r="F579" s="124"/>
    </row>
    <row r="580" spans="4:6">
      <c r="D580" s="116"/>
      <c r="E580" s="116"/>
      <c r="F580" s="124"/>
    </row>
    <row r="581" spans="4:6">
      <c r="D581" s="116"/>
      <c r="E581" s="116"/>
      <c r="F581" s="124"/>
    </row>
    <row r="582" spans="4:6">
      <c r="D582" s="116"/>
      <c r="E582" s="116"/>
      <c r="F582" s="124"/>
    </row>
    <row r="583" spans="4:6">
      <c r="D583" s="116"/>
      <c r="E583" s="116"/>
      <c r="F583" s="124"/>
    </row>
    <row r="584" spans="4:6">
      <c r="D584" s="116"/>
      <c r="E584" s="116"/>
      <c r="F584" s="124"/>
    </row>
    <row r="585" spans="4:6">
      <c r="D585" s="116"/>
      <c r="E585" s="116"/>
      <c r="F585" s="124"/>
    </row>
    <row r="586" spans="4:6">
      <c r="D586" s="116"/>
      <c r="E586" s="116"/>
      <c r="F586" s="124"/>
    </row>
    <row r="587" spans="4:6">
      <c r="D587" s="116"/>
      <c r="E587" s="116"/>
      <c r="F587" s="124"/>
    </row>
    <row r="588" spans="4:6">
      <c r="D588" s="116"/>
      <c r="E588" s="116"/>
      <c r="F588" s="124"/>
    </row>
    <row r="589" spans="4:6">
      <c r="D589" s="116"/>
      <c r="E589" s="116"/>
      <c r="F589" s="124"/>
    </row>
    <row r="590" spans="4:6">
      <c r="D590" s="116"/>
      <c r="E590" s="116"/>
      <c r="F590" s="124"/>
    </row>
    <row r="591" spans="4:6">
      <c r="D591" s="116"/>
      <c r="E591" s="116"/>
      <c r="F591" s="124"/>
    </row>
    <row r="592" spans="4:6">
      <c r="D592" s="116"/>
      <c r="E592" s="116"/>
      <c r="F592" s="124"/>
    </row>
    <row r="593" spans="4:6">
      <c r="D593" s="116"/>
      <c r="E593" s="116"/>
      <c r="F593" s="124"/>
    </row>
    <row r="594" spans="4:6">
      <c r="D594" s="116"/>
      <c r="E594" s="116"/>
      <c r="F594" s="124"/>
    </row>
    <row r="595" spans="4:6">
      <c r="D595" s="116"/>
      <c r="E595" s="116"/>
      <c r="F595" s="124"/>
    </row>
    <row r="596" spans="4:6">
      <c r="D596" s="116"/>
      <c r="E596" s="116"/>
      <c r="F596" s="124"/>
    </row>
    <row r="597" spans="4:6">
      <c r="D597" s="116"/>
      <c r="E597" s="116"/>
      <c r="F597" s="124"/>
    </row>
    <row r="598" spans="4:6">
      <c r="D598" s="116"/>
      <c r="E598" s="116"/>
      <c r="F598" s="124"/>
    </row>
    <row r="599" spans="4:6">
      <c r="D599" s="116"/>
      <c r="E599" s="116"/>
      <c r="F599" s="124"/>
    </row>
    <row r="600" spans="4:6">
      <c r="D600" s="116"/>
      <c r="E600" s="116"/>
      <c r="F600" s="124"/>
    </row>
    <row r="601" spans="4:6">
      <c r="D601" s="116"/>
      <c r="E601" s="116"/>
      <c r="F601" s="124"/>
    </row>
    <row r="602" spans="4:6">
      <c r="D602" s="116"/>
      <c r="E602" s="116"/>
      <c r="F602" s="124"/>
    </row>
    <row r="603" spans="4:6">
      <c r="D603" s="116"/>
      <c r="E603" s="116"/>
      <c r="F603" s="124"/>
    </row>
    <row r="604" spans="4:6">
      <c r="D604" s="116"/>
      <c r="E604" s="116"/>
      <c r="F604" s="124"/>
    </row>
    <row r="605" spans="4:6">
      <c r="D605" s="116"/>
      <c r="E605" s="116"/>
      <c r="F605" s="124"/>
    </row>
    <row r="606" spans="4:6">
      <c r="D606" s="116"/>
      <c r="E606" s="116"/>
      <c r="F606" s="124"/>
    </row>
  </sheetData>
  <mergeCells count="123">
    <mergeCell ref="C115:C117"/>
    <mergeCell ref="A1:M1"/>
    <mergeCell ref="A37:A39"/>
    <mergeCell ref="B37:B39"/>
    <mergeCell ref="C37:C39"/>
    <mergeCell ref="A76:A78"/>
    <mergeCell ref="B76:B78"/>
    <mergeCell ref="A82:A84"/>
    <mergeCell ref="B82:B84"/>
    <mergeCell ref="C82:C84"/>
    <mergeCell ref="B6:E6"/>
    <mergeCell ref="A13:A15"/>
    <mergeCell ref="B13:B15"/>
    <mergeCell ref="C13:C15"/>
    <mergeCell ref="A16:A18"/>
    <mergeCell ref="B16:B18"/>
    <mergeCell ref="C16:C18"/>
    <mergeCell ref="A4:M4"/>
    <mergeCell ref="A10:A12"/>
    <mergeCell ref="B10:B12"/>
    <mergeCell ref="C10:C12"/>
    <mergeCell ref="A52:A54"/>
    <mergeCell ref="A100:A102"/>
    <mergeCell ref="B100:B102"/>
    <mergeCell ref="A124:A126"/>
    <mergeCell ref="B124:B126"/>
    <mergeCell ref="C124:C126"/>
    <mergeCell ref="C130:C133"/>
    <mergeCell ref="A3:M3"/>
    <mergeCell ref="A85:A87"/>
    <mergeCell ref="B85:B87"/>
    <mergeCell ref="C85:C87"/>
    <mergeCell ref="A88:A90"/>
    <mergeCell ref="B88:B90"/>
    <mergeCell ref="C88:C90"/>
    <mergeCell ref="A91:A93"/>
    <mergeCell ref="B91:B93"/>
    <mergeCell ref="C91:C93"/>
    <mergeCell ref="B97:B99"/>
    <mergeCell ref="C97:C99"/>
    <mergeCell ref="C100:C102"/>
    <mergeCell ref="B19:B21"/>
    <mergeCell ref="C19:C21"/>
    <mergeCell ref="A22:A24"/>
    <mergeCell ref="A115:A117"/>
    <mergeCell ref="B115:B117"/>
    <mergeCell ref="B22:B24"/>
    <mergeCell ref="C22:C24"/>
    <mergeCell ref="A2:M2"/>
    <mergeCell ref="A121:A123"/>
    <mergeCell ref="B121:B123"/>
    <mergeCell ref="C121:C123"/>
    <mergeCell ref="A112:A114"/>
    <mergeCell ref="B112:B114"/>
    <mergeCell ref="C112:C114"/>
    <mergeCell ref="A118:A120"/>
    <mergeCell ref="B118:B120"/>
    <mergeCell ref="C118:C120"/>
    <mergeCell ref="C34:C36"/>
    <mergeCell ref="A40:A42"/>
    <mergeCell ref="A49:A51"/>
    <mergeCell ref="B103:B105"/>
    <mergeCell ref="C103:C105"/>
    <mergeCell ref="A94:A96"/>
    <mergeCell ref="B94:B96"/>
    <mergeCell ref="C94:C96"/>
    <mergeCell ref="A97:A99"/>
    <mergeCell ref="A46:A48"/>
    <mergeCell ref="B46:B48"/>
    <mergeCell ref="C46:C48"/>
    <mergeCell ref="B49:B51"/>
    <mergeCell ref="C49:C51"/>
    <mergeCell ref="A19:A21"/>
    <mergeCell ref="A25:A27"/>
    <mergeCell ref="B25:B27"/>
    <mergeCell ref="C25:C27"/>
    <mergeCell ref="B40:B42"/>
    <mergeCell ref="C40:C42"/>
    <mergeCell ref="A43:A45"/>
    <mergeCell ref="B43:B45"/>
    <mergeCell ref="C43:C45"/>
    <mergeCell ref="A109:A111"/>
    <mergeCell ref="B109:B111"/>
    <mergeCell ref="C109:C111"/>
    <mergeCell ref="A103:A105"/>
    <mergeCell ref="C67:C70"/>
    <mergeCell ref="A28:A30"/>
    <mergeCell ref="B28:B30"/>
    <mergeCell ref="C28:C30"/>
    <mergeCell ref="A31:A33"/>
    <mergeCell ref="B31:B33"/>
    <mergeCell ref="C31:C33"/>
    <mergeCell ref="A34:A36"/>
    <mergeCell ref="B34:B36"/>
    <mergeCell ref="B52:B54"/>
    <mergeCell ref="C52:C54"/>
    <mergeCell ref="A64:A66"/>
    <mergeCell ref="B64:B66"/>
    <mergeCell ref="C64:C66"/>
    <mergeCell ref="A127:A129"/>
    <mergeCell ref="B127:B129"/>
    <mergeCell ref="C127:C129"/>
    <mergeCell ref="L6:M6"/>
    <mergeCell ref="A135:M135"/>
    <mergeCell ref="A55:A57"/>
    <mergeCell ref="B55:B57"/>
    <mergeCell ref="C55:C57"/>
    <mergeCell ref="A58:A60"/>
    <mergeCell ref="B58:B60"/>
    <mergeCell ref="C58:C60"/>
    <mergeCell ref="C61:C63"/>
    <mergeCell ref="A73:A75"/>
    <mergeCell ref="B73:B75"/>
    <mergeCell ref="C73:C75"/>
    <mergeCell ref="A61:A63"/>
    <mergeCell ref="B61:B63"/>
    <mergeCell ref="C76:C78"/>
    <mergeCell ref="A79:A81"/>
    <mergeCell ref="B79:B81"/>
    <mergeCell ref="C79:C81"/>
    <mergeCell ref="A106:A108"/>
    <mergeCell ref="B106:B108"/>
    <mergeCell ref="C106:C108"/>
  </mergeCells>
  <phoneticPr fontId="75" type="noConversion"/>
  <printOptions horizontalCentered="1" verticalCentered="1"/>
  <pageMargins left="0.39370078740157483" right="0" top="0.39370078740157483" bottom="0.39370078740157483" header="0.31496062992125984" footer="0.31496062992125984"/>
  <pageSetup paperSize="8" scale="82" orientation="landscape" r:id="rId1"/>
  <headerFooter>
    <oddHeader>&amp;C&amp;F</oddHeader>
  </headerFooter>
  <rowBreaks count="1" manualBreakCount="1">
    <brk id="70" max="11" man="1"/>
  </rowBreaks>
  <drawing r:id="rId2"/>
  <legacyDrawing r:id="rId3"/>
</worksheet>
</file>

<file path=xl/worksheets/sheet11.xml><?xml version="1.0" encoding="utf-8"?>
<worksheet xmlns="http://schemas.openxmlformats.org/spreadsheetml/2006/main" xmlns:r="http://schemas.openxmlformats.org/officeDocument/2006/relationships">
  <sheetPr>
    <tabColor rgb="FFFF0000"/>
  </sheetPr>
  <dimension ref="A1:W491"/>
  <sheetViews>
    <sheetView showGridLines="0" tabSelected="1" view="pageBreakPreview" zoomScaleNormal="100" zoomScaleSheetLayoutView="100" workbookViewId="0">
      <selection activeCell="M9" sqref="M9"/>
    </sheetView>
  </sheetViews>
  <sheetFormatPr defaultRowHeight="12.75"/>
  <cols>
    <col min="1" max="1" width="12.28515625" style="108" customWidth="1"/>
    <col min="2" max="2" width="51" style="109" customWidth="1"/>
    <col min="3" max="3" width="5.140625" style="110" customWidth="1"/>
    <col min="4" max="4" width="10.7109375" style="111" customWidth="1"/>
    <col min="5" max="5" width="12.140625" style="111" customWidth="1"/>
    <col min="6" max="6" width="11.5703125" style="111" customWidth="1"/>
    <col min="7" max="7" width="13" style="111" customWidth="1"/>
    <col min="8" max="8" width="9.140625" style="111" customWidth="1"/>
    <col min="9" max="9" width="13.85546875" style="111" customWidth="1"/>
    <col min="10" max="10" width="16" style="112" customWidth="1"/>
    <col min="11" max="11" width="14.42578125" style="244" bestFit="1" customWidth="1"/>
    <col min="12" max="12" width="23.28515625" style="109" customWidth="1"/>
    <col min="13" max="13" width="9.5703125" style="109" bestFit="1" customWidth="1"/>
    <col min="14" max="14" width="8.85546875" style="107"/>
    <col min="15" max="15" width="8.85546875" style="113"/>
    <col min="16" max="254" width="8.85546875" style="107"/>
    <col min="255" max="255" width="13.140625" style="107" customWidth="1"/>
    <col min="256" max="256" width="12.85546875" style="107" customWidth="1"/>
    <col min="257" max="257" width="43.85546875" style="107" customWidth="1"/>
    <col min="258" max="258" width="9.140625" style="107" customWidth="1"/>
    <col min="259" max="259" width="7.140625" style="107" customWidth="1"/>
    <col min="260" max="260" width="10.42578125" style="107" customWidth="1"/>
    <col min="261" max="261" width="10" style="107" customWidth="1"/>
    <col min="262" max="263" width="15.42578125" style="107" customWidth="1"/>
    <col min="264" max="264" width="10" style="107" customWidth="1"/>
    <col min="265" max="265" width="13" style="107" customWidth="1"/>
    <col min="266" max="267" width="0" style="107" hidden="1" customWidth="1"/>
    <col min="268" max="268" width="8.85546875" style="107"/>
    <col min="269" max="269" width="9.5703125" style="107" bestFit="1" customWidth="1"/>
    <col min="270" max="510" width="8.85546875" style="107"/>
    <col min="511" max="511" width="13.140625" style="107" customWidth="1"/>
    <col min="512" max="512" width="12.85546875" style="107" customWidth="1"/>
    <col min="513" max="513" width="43.85546875" style="107" customWidth="1"/>
    <col min="514" max="514" width="9.140625" style="107" customWidth="1"/>
    <col min="515" max="515" width="7.140625" style="107" customWidth="1"/>
    <col min="516" max="516" width="10.42578125" style="107" customWidth="1"/>
    <col min="517" max="517" width="10" style="107" customWidth="1"/>
    <col min="518" max="519" width="15.42578125" style="107" customWidth="1"/>
    <col min="520" max="520" width="10" style="107" customWidth="1"/>
    <col min="521" max="521" width="13" style="107" customWidth="1"/>
    <col min="522" max="523" width="0" style="107" hidden="1" customWidth="1"/>
    <col min="524" max="524" width="8.85546875" style="107"/>
    <col min="525" max="525" width="9.5703125" style="107" bestFit="1" customWidth="1"/>
    <col min="526" max="766" width="8.85546875" style="107"/>
    <col min="767" max="767" width="13.140625" style="107" customWidth="1"/>
    <col min="768" max="768" width="12.85546875" style="107" customWidth="1"/>
    <col min="769" max="769" width="43.85546875" style="107" customWidth="1"/>
    <col min="770" max="770" width="9.140625" style="107" customWidth="1"/>
    <col min="771" max="771" width="7.140625" style="107" customWidth="1"/>
    <col min="772" max="772" width="10.42578125" style="107" customWidth="1"/>
    <col min="773" max="773" width="10" style="107" customWidth="1"/>
    <col min="774" max="775" width="15.42578125" style="107" customWidth="1"/>
    <col min="776" max="776" width="10" style="107" customWidth="1"/>
    <col min="777" max="777" width="13" style="107" customWidth="1"/>
    <col min="778" max="779" width="0" style="107" hidden="1" customWidth="1"/>
    <col min="780" max="780" width="8.85546875" style="107"/>
    <col min="781" max="781" width="9.5703125" style="107" bestFit="1" customWidth="1"/>
    <col min="782" max="1022" width="8.85546875" style="107"/>
    <col min="1023" max="1023" width="13.140625" style="107" customWidth="1"/>
    <col min="1024" max="1024" width="12.85546875" style="107" customWidth="1"/>
    <col min="1025" max="1025" width="43.85546875" style="107" customWidth="1"/>
    <col min="1026" max="1026" width="9.140625" style="107" customWidth="1"/>
    <col min="1027" max="1027" width="7.140625" style="107" customWidth="1"/>
    <col min="1028" max="1028" width="10.42578125" style="107" customWidth="1"/>
    <col min="1029" max="1029" width="10" style="107" customWidth="1"/>
    <col min="1030" max="1031" width="15.42578125" style="107" customWidth="1"/>
    <col min="1032" max="1032" width="10" style="107" customWidth="1"/>
    <col min="1033" max="1033" width="13" style="107" customWidth="1"/>
    <col min="1034" max="1035" width="0" style="107" hidden="1" customWidth="1"/>
    <col min="1036" max="1036" width="8.85546875" style="107"/>
    <col min="1037" max="1037" width="9.5703125" style="107" bestFit="1" customWidth="1"/>
    <col min="1038" max="1278" width="8.85546875" style="107"/>
    <col min="1279" max="1279" width="13.140625" style="107" customWidth="1"/>
    <col min="1280" max="1280" width="12.85546875" style="107" customWidth="1"/>
    <col min="1281" max="1281" width="43.85546875" style="107" customWidth="1"/>
    <col min="1282" max="1282" width="9.140625" style="107" customWidth="1"/>
    <col min="1283" max="1283" width="7.140625" style="107" customWidth="1"/>
    <col min="1284" max="1284" width="10.42578125" style="107" customWidth="1"/>
    <col min="1285" max="1285" width="10" style="107" customWidth="1"/>
    <col min="1286" max="1287" width="15.42578125" style="107" customWidth="1"/>
    <col min="1288" max="1288" width="10" style="107" customWidth="1"/>
    <col min="1289" max="1289" width="13" style="107" customWidth="1"/>
    <col min="1290" max="1291" width="0" style="107" hidden="1" customWidth="1"/>
    <col min="1292" max="1292" width="8.85546875" style="107"/>
    <col min="1293" max="1293" width="9.5703125" style="107" bestFit="1" customWidth="1"/>
    <col min="1294" max="1534" width="8.85546875" style="107"/>
    <col min="1535" max="1535" width="13.140625" style="107" customWidth="1"/>
    <col min="1536" max="1536" width="12.85546875" style="107" customWidth="1"/>
    <col min="1537" max="1537" width="43.85546875" style="107" customWidth="1"/>
    <col min="1538" max="1538" width="9.140625" style="107" customWidth="1"/>
    <col min="1539" max="1539" width="7.140625" style="107" customWidth="1"/>
    <col min="1540" max="1540" width="10.42578125" style="107" customWidth="1"/>
    <col min="1541" max="1541" width="10" style="107" customWidth="1"/>
    <col min="1542" max="1543" width="15.42578125" style="107" customWidth="1"/>
    <col min="1544" max="1544" width="10" style="107" customWidth="1"/>
    <col min="1545" max="1545" width="13" style="107" customWidth="1"/>
    <col min="1546" max="1547" width="0" style="107" hidden="1" customWidth="1"/>
    <col min="1548" max="1548" width="8.85546875" style="107"/>
    <col min="1549" max="1549" width="9.5703125" style="107" bestFit="1" customWidth="1"/>
    <col min="1550" max="1790" width="8.85546875" style="107"/>
    <col min="1791" max="1791" width="13.140625" style="107" customWidth="1"/>
    <col min="1792" max="1792" width="12.85546875" style="107" customWidth="1"/>
    <col min="1793" max="1793" width="43.85546875" style="107" customWidth="1"/>
    <col min="1794" max="1794" width="9.140625" style="107" customWidth="1"/>
    <col min="1795" max="1795" width="7.140625" style="107" customWidth="1"/>
    <col min="1796" max="1796" width="10.42578125" style="107" customWidth="1"/>
    <col min="1797" max="1797" width="10" style="107" customWidth="1"/>
    <col min="1798" max="1799" width="15.42578125" style="107" customWidth="1"/>
    <col min="1800" max="1800" width="10" style="107" customWidth="1"/>
    <col min="1801" max="1801" width="13" style="107" customWidth="1"/>
    <col min="1802" max="1803" width="0" style="107" hidden="1" customWidth="1"/>
    <col min="1804" max="1804" width="8.85546875" style="107"/>
    <col min="1805" max="1805" width="9.5703125" style="107" bestFit="1" customWidth="1"/>
    <col min="1806" max="2046" width="8.85546875" style="107"/>
    <col min="2047" max="2047" width="13.140625" style="107" customWidth="1"/>
    <col min="2048" max="2048" width="12.85546875" style="107" customWidth="1"/>
    <col min="2049" max="2049" width="43.85546875" style="107" customWidth="1"/>
    <col min="2050" max="2050" width="9.140625" style="107" customWidth="1"/>
    <col min="2051" max="2051" width="7.140625" style="107" customWidth="1"/>
    <col min="2052" max="2052" width="10.42578125" style="107" customWidth="1"/>
    <col min="2053" max="2053" width="10" style="107" customWidth="1"/>
    <col min="2054" max="2055" width="15.42578125" style="107" customWidth="1"/>
    <col min="2056" max="2056" width="10" style="107" customWidth="1"/>
    <col min="2057" max="2057" width="13" style="107" customWidth="1"/>
    <col min="2058" max="2059" width="0" style="107" hidden="1" customWidth="1"/>
    <col min="2060" max="2060" width="8.85546875" style="107"/>
    <col min="2061" max="2061" width="9.5703125" style="107" bestFit="1" customWidth="1"/>
    <col min="2062" max="2302" width="8.85546875" style="107"/>
    <col min="2303" max="2303" width="13.140625" style="107" customWidth="1"/>
    <col min="2304" max="2304" width="12.85546875" style="107" customWidth="1"/>
    <col min="2305" max="2305" width="43.85546875" style="107" customWidth="1"/>
    <col min="2306" max="2306" width="9.140625" style="107" customWidth="1"/>
    <col min="2307" max="2307" width="7.140625" style="107" customWidth="1"/>
    <col min="2308" max="2308" width="10.42578125" style="107" customWidth="1"/>
    <col min="2309" max="2309" width="10" style="107" customWidth="1"/>
    <col min="2310" max="2311" width="15.42578125" style="107" customWidth="1"/>
    <col min="2312" max="2312" width="10" style="107" customWidth="1"/>
    <col min="2313" max="2313" width="13" style="107" customWidth="1"/>
    <col min="2314" max="2315" width="0" style="107" hidden="1" customWidth="1"/>
    <col min="2316" max="2316" width="8.85546875" style="107"/>
    <col min="2317" max="2317" width="9.5703125" style="107" bestFit="1" customWidth="1"/>
    <col min="2318" max="2558" width="8.85546875" style="107"/>
    <col min="2559" max="2559" width="13.140625" style="107" customWidth="1"/>
    <col min="2560" max="2560" width="12.85546875" style="107" customWidth="1"/>
    <col min="2561" max="2561" width="43.85546875" style="107" customWidth="1"/>
    <col min="2562" max="2562" width="9.140625" style="107" customWidth="1"/>
    <col min="2563" max="2563" width="7.140625" style="107" customWidth="1"/>
    <col min="2564" max="2564" width="10.42578125" style="107" customWidth="1"/>
    <col min="2565" max="2565" width="10" style="107" customWidth="1"/>
    <col min="2566" max="2567" width="15.42578125" style="107" customWidth="1"/>
    <col min="2568" max="2568" width="10" style="107" customWidth="1"/>
    <col min="2569" max="2569" width="13" style="107" customWidth="1"/>
    <col min="2570" max="2571" width="0" style="107" hidden="1" customWidth="1"/>
    <col min="2572" max="2572" width="8.85546875" style="107"/>
    <col min="2573" max="2573" width="9.5703125" style="107" bestFit="1" customWidth="1"/>
    <col min="2574" max="2814" width="8.85546875" style="107"/>
    <col min="2815" max="2815" width="13.140625" style="107" customWidth="1"/>
    <col min="2816" max="2816" width="12.85546875" style="107" customWidth="1"/>
    <col min="2817" max="2817" width="43.85546875" style="107" customWidth="1"/>
    <col min="2818" max="2818" width="9.140625" style="107" customWidth="1"/>
    <col min="2819" max="2819" width="7.140625" style="107" customWidth="1"/>
    <col min="2820" max="2820" width="10.42578125" style="107" customWidth="1"/>
    <col min="2821" max="2821" width="10" style="107" customWidth="1"/>
    <col min="2822" max="2823" width="15.42578125" style="107" customWidth="1"/>
    <col min="2824" max="2824" width="10" style="107" customWidth="1"/>
    <col min="2825" max="2825" width="13" style="107" customWidth="1"/>
    <col min="2826" max="2827" width="0" style="107" hidden="1" customWidth="1"/>
    <col min="2828" max="2828" width="8.85546875" style="107"/>
    <col min="2829" max="2829" width="9.5703125" style="107" bestFit="1" customWidth="1"/>
    <col min="2830" max="3070" width="8.85546875" style="107"/>
    <col min="3071" max="3071" width="13.140625" style="107" customWidth="1"/>
    <col min="3072" max="3072" width="12.85546875" style="107" customWidth="1"/>
    <col min="3073" max="3073" width="43.85546875" style="107" customWidth="1"/>
    <col min="3074" max="3074" width="9.140625" style="107" customWidth="1"/>
    <col min="3075" max="3075" width="7.140625" style="107" customWidth="1"/>
    <col min="3076" max="3076" width="10.42578125" style="107" customWidth="1"/>
    <col min="3077" max="3077" width="10" style="107" customWidth="1"/>
    <col min="3078" max="3079" width="15.42578125" style="107" customWidth="1"/>
    <col min="3080" max="3080" width="10" style="107" customWidth="1"/>
    <col min="3081" max="3081" width="13" style="107" customWidth="1"/>
    <col min="3082" max="3083" width="0" style="107" hidden="1" customWidth="1"/>
    <col min="3084" max="3084" width="8.85546875" style="107"/>
    <col min="3085" max="3085" width="9.5703125" style="107" bestFit="1" customWidth="1"/>
    <col min="3086" max="3326" width="8.85546875" style="107"/>
    <col min="3327" max="3327" width="13.140625" style="107" customWidth="1"/>
    <col min="3328" max="3328" width="12.85546875" style="107" customWidth="1"/>
    <col min="3329" max="3329" width="43.85546875" style="107" customWidth="1"/>
    <col min="3330" max="3330" width="9.140625" style="107" customWidth="1"/>
    <col min="3331" max="3331" width="7.140625" style="107" customWidth="1"/>
    <col min="3332" max="3332" width="10.42578125" style="107" customWidth="1"/>
    <col min="3333" max="3333" width="10" style="107" customWidth="1"/>
    <col min="3334" max="3335" width="15.42578125" style="107" customWidth="1"/>
    <col min="3336" max="3336" width="10" style="107" customWidth="1"/>
    <col min="3337" max="3337" width="13" style="107" customWidth="1"/>
    <col min="3338" max="3339" width="0" style="107" hidden="1" customWidth="1"/>
    <col min="3340" max="3340" width="8.85546875" style="107"/>
    <col min="3341" max="3341" width="9.5703125" style="107" bestFit="1" customWidth="1"/>
    <col min="3342" max="3582" width="8.85546875" style="107"/>
    <col min="3583" max="3583" width="13.140625" style="107" customWidth="1"/>
    <col min="3584" max="3584" width="12.85546875" style="107" customWidth="1"/>
    <col min="3585" max="3585" width="43.85546875" style="107" customWidth="1"/>
    <col min="3586" max="3586" width="9.140625" style="107" customWidth="1"/>
    <col min="3587" max="3587" width="7.140625" style="107" customWidth="1"/>
    <col min="3588" max="3588" width="10.42578125" style="107" customWidth="1"/>
    <col min="3589" max="3589" width="10" style="107" customWidth="1"/>
    <col min="3590" max="3591" width="15.42578125" style="107" customWidth="1"/>
    <col min="3592" max="3592" width="10" style="107" customWidth="1"/>
    <col min="3593" max="3593" width="13" style="107" customWidth="1"/>
    <col min="3594" max="3595" width="0" style="107" hidden="1" customWidth="1"/>
    <col min="3596" max="3596" width="8.85546875" style="107"/>
    <col min="3597" max="3597" width="9.5703125" style="107" bestFit="1" customWidth="1"/>
    <col min="3598" max="3838" width="8.85546875" style="107"/>
    <col min="3839" max="3839" width="13.140625" style="107" customWidth="1"/>
    <col min="3840" max="3840" width="12.85546875" style="107" customWidth="1"/>
    <col min="3841" max="3841" width="43.85546875" style="107" customWidth="1"/>
    <col min="3842" max="3842" width="9.140625" style="107" customWidth="1"/>
    <col min="3843" max="3843" width="7.140625" style="107" customWidth="1"/>
    <col min="3844" max="3844" width="10.42578125" style="107" customWidth="1"/>
    <col min="3845" max="3845" width="10" style="107" customWidth="1"/>
    <col min="3846" max="3847" width="15.42578125" style="107" customWidth="1"/>
    <col min="3848" max="3848" width="10" style="107" customWidth="1"/>
    <col min="3849" max="3849" width="13" style="107" customWidth="1"/>
    <col min="3850" max="3851" width="0" style="107" hidden="1" customWidth="1"/>
    <col min="3852" max="3852" width="8.85546875" style="107"/>
    <col min="3853" max="3853" width="9.5703125" style="107" bestFit="1" customWidth="1"/>
    <col min="3854" max="4094" width="8.85546875" style="107"/>
    <col min="4095" max="4095" width="13.140625" style="107" customWidth="1"/>
    <col min="4096" max="4096" width="12.85546875" style="107" customWidth="1"/>
    <col min="4097" max="4097" width="43.85546875" style="107" customWidth="1"/>
    <col min="4098" max="4098" width="9.140625" style="107" customWidth="1"/>
    <col min="4099" max="4099" width="7.140625" style="107" customWidth="1"/>
    <col min="4100" max="4100" width="10.42578125" style="107" customWidth="1"/>
    <col min="4101" max="4101" width="10" style="107" customWidth="1"/>
    <col min="4102" max="4103" width="15.42578125" style="107" customWidth="1"/>
    <col min="4104" max="4104" width="10" style="107" customWidth="1"/>
    <col min="4105" max="4105" width="13" style="107" customWidth="1"/>
    <col min="4106" max="4107" width="0" style="107" hidden="1" customWidth="1"/>
    <col min="4108" max="4108" width="8.85546875" style="107"/>
    <col min="4109" max="4109" width="9.5703125" style="107" bestFit="1" customWidth="1"/>
    <col min="4110" max="4350" width="8.85546875" style="107"/>
    <col min="4351" max="4351" width="13.140625" style="107" customWidth="1"/>
    <col min="4352" max="4352" width="12.85546875" style="107" customWidth="1"/>
    <col min="4353" max="4353" width="43.85546875" style="107" customWidth="1"/>
    <col min="4354" max="4354" width="9.140625" style="107" customWidth="1"/>
    <col min="4355" max="4355" width="7.140625" style="107" customWidth="1"/>
    <col min="4356" max="4356" width="10.42578125" style="107" customWidth="1"/>
    <col min="4357" max="4357" width="10" style="107" customWidth="1"/>
    <col min="4358" max="4359" width="15.42578125" style="107" customWidth="1"/>
    <col min="4360" max="4360" width="10" style="107" customWidth="1"/>
    <col min="4361" max="4361" width="13" style="107" customWidth="1"/>
    <col min="4362" max="4363" width="0" style="107" hidden="1" customWidth="1"/>
    <col min="4364" max="4364" width="8.85546875" style="107"/>
    <col min="4365" max="4365" width="9.5703125" style="107" bestFit="1" customWidth="1"/>
    <col min="4366" max="4606" width="8.85546875" style="107"/>
    <col min="4607" max="4607" width="13.140625" style="107" customWidth="1"/>
    <col min="4608" max="4608" width="12.85546875" style="107" customWidth="1"/>
    <col min="4609" max="4609" width="43.85546875" style="107" customWidth="1"/>
    <col min="4610" max="4610" width="9.140625" style="107" customWidth="1"/>
    <col min="4611" max="4611" width="7.140625" style="107" customWidth="1"/>
    <col min="4612" max="4612" width="10.42578125" style="107" customWidth="1"/>
    <col min="4613" max="4613" width="10" style="107" customWidth="1"/>
    <col min="4614" max="4615" width="15.42578125" style="107" customWidth="1"/>
    <col min="4616" max="4616" width="10" style="107" customWidth="1"/>
    <col min="4617" max="4617" width="13" style="107" customWidth="1"/>
    <col min="4618" max="4619" width="0" style="107" hidden="1" customWidth="1"/>
    <col min="4620" max="4620" width="8.85546875" style="107"/>
    <col min="4621" max="4621" width="9.5703125" style="107" bestFit="1" customWidth="1"/>
    <col min="4622" max="4862" width="8.85546875" style="107"/>
    <col min="4863" max="4863" width="13.140625" style="107" customWidth="1"/>
    <col min="4864" max="4864" width="12.85546875" style="107" customWidth="1"/>
    <col min="4865" max="4865" width="43.85546875" style="107" customWidth="1"/>
    <col min="4866" max="4866" width="9.140625" style="107" customWidth="1"/>
    <col min="4867" max="4867" width="7.140625" style="107" customWidth="1"/>
    <col min="4868" max="4868" width="10.42578125" style="107" customWidth="1"/>
    <col min="4869" max="4869" width="10" style="107" customWidth="1"/>
    <col min="4870" max="4871" width="15.42578125" style="107" customWidth="1"/>
    <col min="4872" max="4872" width="10" style="107" customWidth="1"/>
    <col min="4873" max="4873" width="13" style="107" customWidth="1"/>
    <col min="4874" max="4875" width="0" style="107" hidden="1" customWidth="1"/>
    <col min="4876" max="4876" width="8.85546875" style="107"/>
    <col min="4877" max="4877" width="9.5703125" style="107" bestFit="1" customWidth="1"/>
    <col min="4878" max="5118" width="8.85546875" style="107"/>
    <col min="5119" max="5119" width="13.140625" style="107" customWidth="1"/>
    <col min="5120" max="5120" width="12.85546875" style="107" customWidth="1"/>
    <col min="5121" max="5121" width="43.85546875" style="107" customWidth="1"/>
    <col min="5122" max="5122" width="9.140625" style="107" customWidth="1"/>
    <col min="5123" max="5123" width="7.140625" style="107" customWidth="1"/>
    <col min="5124" max="5124" width="10.42578125" style="107" customWidth="1"/>
    <col min="5125" max="5125" width="10" style="107" customWidth="1"/>
    <col min="5126" max="5127" width="15.42578125" style="107" customWidth="1"/>
    <col min="5128" max="5128" width="10" style="107" customWidth="1"/>
    <col min="5129" max="5129" width="13" style="107" customWidth="1"/>
    <col min="5130" max="5131" width="0" style="107" hidden="1" customWidth="1"/>
    <col min="5132" max="5132" width="8.85546875" style="107"/>
    <col min="5133" max="5133" width="9.5703125" style="107" bestFit="1" customWidth="1"/>
    <col min="5134" max="5374" width="8.85546875" style="107"/>
    <col min="5375" max="5375" width="13.140625" style="107" customWidth="1"/>
    <col min="5376" max="5376" width="12.85546875" style="107" customWidth="1"/>
    <col min="5377" max="5377" width="43.85546875" style="107" customWidth="1"/>
    <col min="5378" max="5378" width="9.140625" style="107" customWidth="1"/>
    <col min="5379" max="5379" width="7.140625" style="107" customWidth="1"/>
    <col min="5380" max="5380" width="10.42578125" style="107" customWidth="1"/>
    <col min="5381" max="5381" width="10" style="107" customWidth="1"/>
    <col min="5382" max="5383" width="15.42578125" style="107" customWidth="1"/>
    <col min="5384" max="5384" width="10" style="107" customWidth="1"/>
    <col min="5385" max="5385" width="13" style="107" customWidth="1"/>
    <col min="5386" max="5387" width="0" style="107" hidden="1" customWidth="1"/>
    <col min="5388" max="5388" width="8.85546875" style="107"/>
    <col min="5389" max="5389" width="9.5703125" style="107" bestFit="1" customWidth="1"/>
    <col min="5390" max="5630" width="8.85546875" style="107"/>
    <col min="5631" max="5631" width="13.140625" style="107" customWidth="1"/>
    <col min="5632" max="5632" width="12.85546875" style="107" customWidth="1"/>
    <col min="5633" max="5633" width="43.85546875" style="107" customWidth="1"/>
    <col min="5634" max="5634" width="9.140625" style="107" customWidth="1"/>
    <col min="5635" max="5635" width="7.140625" style="107" customWidth="1"/>
    <col min="5636" max="5636" width="10.42578125" style="107" customWidth="1"/>
    <col min="5637" max="5637" width="10" style="107" customWidth="1"/>
    <col min="5638" max="5639" width="15.42578125" style="107" customWidth="1"/>
    <col min="5640" max="5640" width="10" style="107" customWidth="1"/>
    <col min="5641" max="5641" width="13" style="107" customWidth="1"/>
    <col min="5642" max="5643" width="0" style="107" hidden="1" customWidth="1"/>
    <col min="5644" max="5644" width="8.85546875" style="107"/>
    <col min="5645" max="5645" width="9.5703125" style="107" bestFit="1" customWidth="1"/>
    <col min="5646" max="5886" width="8.85546875" style="107"/>
    <col min="5887" max="5887" width="13.140625" style="107" customWidth="1"/>
    <col min="5888" max="5888" width="12.85546875" style="107" customWidth="1"/>
    <col min="5889" max="5889" width="43.85546875" style="107" customWidth="1"/>
    <col min="5890" max="5890" width="9.140625" style="107" customWidth="1"/>
    <col min="5891" max="5891" width="7.140625" style="107" customWidth="1"/>
    <col min="5892" max="5892" width="10.42578125" style="107" customWidth="1"/>
    <col min="5893" max="5893" width="10" style="107" customWidth="1"/>
    <col min="5894" max="5895" width="15.42578125" style="107" customWidth="1"/>
    <col min="5896" max="5896" width="10" style="107" customWidth="1"/>
    <col min="5897" max="5897" width="13" style="107" customWidth="1"/>
    <col min="5898" max="5899" width="0" style="107" hidden="1" customWidth="1"/>
    <col min="5900" max="5900" width="8.85546875" style="107"/>
    <col min="5901" max="5901" width="9.5703125" style="107" bestFit="1" customWidth="1"/>
    <col min="5902" max="6142" width="8.85546875" style="107"/>
    <col min="6143" max="6143" width="13.140625" style="107" customWidth="1"/>
    <col min="6144" max="6144" width="12.85546875" style="107" customWidth="1"/>
    <col min="6145" max="6145" width="43.85546875" style="107" customWidth="1"/>
    <col min="6146" max="6146" width="9.140625" style="107" customWidth="1"/>
    <col min="6147" max="6147" width="7.140625" style="107" customWidth="1"/>
    <col min="6148" max="6148" width="10.42578125" style="107" customWidth="1"/>
    <col min="6149" max="6149" width="10" style="107" customWidth="1"/>
    <col min="6150" max="6151" width="15.42578125" style="107" customWidth="1"/>
    <col min="6152" max="6152" width="10" style="107" customWidth="1"/>
    <col min="6153" max="6153" width="13" style="107" customWidth="1"/>
    <col min="6154" max="6155" width="0" style="107" hidden="1" customWidth="1"/>
    <col min="6156" max="6156" width="8.85546875" style="107"/>
    <col min="6157" max="6157" width="9.5703125" style="107" bestFit="1" customWidth="1"/>
    <col min="6158" max="6398" width="8.85546875" style="107"/>
    <col min="6399" max="6399" width="13.140625" style="107" customWidth="1"/>
    <col min="6400" max="6400" width="12.85546875" style="107" customWidth="1"/>
    <col min="6401" max="6401" width="43.85546875" style="107" customWidth="1"/>
    <col min="6402" max="6402" width="9.140625" style="107" customWidth="1"/>
    <col min="6403" max="6403" width="7.140625" style="107" customWidth="1"/>
    <col min="6404" max="6404" width="10.42578125" style="107" customWidth="1"/>
    <col min="6405" max="6405" width="10" style="107" customWidth="1"/>
    <col min="6406" max="6407" width="15.42578125" style="107" customWidth="1"/>
    <col min="6408" max="6408" width="10" style="107" customWidth="1"/>
    <col min="6409" max="6409" width="13" style="107" customWidth="1"/>
    <col min="6410" max="6411" width="0" style="107" hidden="1" customWidth="1"/>
    <col min="6412" max="6412" width="8.85546875" style="107"/>
    <col min="6413" max="6413" width="9.5703125" style="107" bestFit="1" customWidth="1"/>
    <col min="6414" max="6654" width="8.85546875" style="107"/>
    <col min="6655" max="6655" width="13.140625" style="107" customWidth="1"/>
    <col min="6656" max="6656" width="12.85546875" style="107" customWidth="1"/>
    <col min="6657" max="6657" width="43.85546875" style="107" customWidth="1"/>
    <col min="6658" max="6658" width="9.140625" style="107" customWidth="1"/>
    <col min="6659" max="6659" width="7.140625" style="107" customWidth="1"/>
    <col min="6660" max="6660" width="10.42578125" style="107" customWidth="1"/>
    <col min="6661" max="6661" width="10" style="107" customWidth="1"/>
    <col min="6662" max="6663" width="15.42578125" style="107" customWidth="1"/>
    <col min="6664" max="6664" width="10" style="107" customWidth="1"/>
    <col min="6665" max="6665" width="13" style="107" customWidth="1"/>
    <col min="6666" max="6667" width="0" style="107" hidden="1" customWidth="1"/>
    <col min="6668" max="6668" width="8.85546875" style="107"/>
    <col min="6669" max="6669" width="9.5703125" style="107" bestFit="1" customWidth="1"/>
    <col min="6670" max="6910" width="8.85546875" style="107"/>
    <col min="6911" max="6911" width="13.140625" style="107" customWidth="1"/>
    <col min="6912" max="6912" width="12.85546875" style="107" customWidth="1"/>
    <col min="6913" max="6913" width="43.85546875" style="107" customWidth="1"/>
    <col min="6914" max="6914" width="9.140625" style="107" customWidth="1"/>
    <col min="6915" max="6915" width="7.140625" style="107" customWidth="1"/>
    <col min="6916" max="6916" width="10.42578125" style="107" customWidth="1"/>
    <col min="6917" max="6917" width="10" style="107" customWidth="1"/>
    <col min="6918" max="6919" width="15.42578125" style="107" customWidth="1"/>
    <col min="6920" max="6920" width="10" style="107" customWidth="1"/>
    <col min="6921" max="6921" width="13" style="107" customWidth="1"/>
    <col min="6922" max="6923" width="0" style="107" hidden="1" customWidth="1"/>
    <col min="6924" max="6924" width="8.85546875" style="107"/>
    <col min="6925" max="6925" width="9.5703125" style="107" bestFit="1" customWidth="1"/>
    <col min="6926" max="7166" width="8.85546875" style="107"/>
    <col min="7167" max="7167" width="13.140625" style="107" customWidth="1"/>
    <col min="7168" max="7168" width="12.85546875" style="107" customWidth="1"/>
    <col min="7169" max="7169" width="43.85546875" style="107" customWidth="1"/>
    <col min="7170" max="7170" width="9.140625" style="107" customWidth="1"/>
    <col min="7171" max="7171" width="7.140625" style="107" customWidth="1"/>
    <col min="7172" max="7172" width="10.42578125" style="107" customWidth="1"/>
    <col min="7173" max="7173" width="10" style="107" customWidth="1"/>
    <col min="7174" max="7175" width="15.42578125" style="107" customWidth="1"/>
    <col min="7176" max="7176" width="10" style="107" customWidth="1"/>
    <col min="7177" max="7177" width="13" style="107" customWidth="1"/>
    <col min="7178" max="7179" width="0" style="107" hidden="1" customWidth="1"/>
    <col min="7180" max="7180" width="8.85546875" style="107"/>
    <col min="7181" max="7181" width="9.5703125" style="107" bestFit="1" customWidth="1"/>
    <col min="7182" max="7422" width="8.85546875" style="107"/>
    <col min="7423" max="7423" width="13.140625" style="107" customWidth="1"/>
    <col min="7424" max="7424" width="12.85546875" style="107" customWidth="1"/>
    <col min="7425" max="7425" width="43.85546875" style="107" customWidth="1"/>
    <col min="7426" max="7426" width="9.140625" style="107" customWidth="1"/>
    <col min="7427" max="7427" width="7.140625" style="107" customWidth="1"/>
    <col min="7428" max="7428" width="10.42578125" style="107" customWidth="1"/>
    <col min="7429" max="7429" width="10" style="107" customWidth="1"/>
    <col min="7430" max="7431" width="15.42578125" style="107" customWidth="1"/>
    <col min="7432" max="7432" width="10" style="107" customWidth="1"/>
    <col min="7433" max="7433" width="13" style="107" customWidth="1"/>
    <col min="7434" max="7435" width="0" style="107" hidden="1" customWidth="1"/>
    <col min="7436" max="7436" width="8.85546875" style="107"/>
    <col min="7437" max="7437" width="9.5703125" style="107" bestFit="1" customWidth="1"/>
    <col min="7438" max="7678" width="8.85546875" style="107"/>
    <col min="7679" max="7679" width="13.140625" style="107" customWidth="1"/>
    <col min="7680" max="7680" width="12.85546875" style="107" customWidth="1"/>
    <col min="7681" max="7681" width="43.85546875" style="107" customWidth="1"/>
    <col min="7682" max="7682" width="9.140625" style="107" customWidth="1"/>
    <col min="7683" max="7683" width="7.140625" style="107" customWidth="1"/>
    <col min="7684" max="7684" width="10.42578125" style="107" customWidth="1"/>
    <col min="7685" max="7685" width="10" style="107" customWidth="1"/>
    <col min="7686" max="7687" width="15.42578125" style="107" customWidth="1"/>
    <col min="7688" max="7688" width="10" style="107" customWidth="1"/>
    <col min="7689" max="7689" width="13" style="107" customWidth="1"/>
    <col min="7690" max="7691" width="0" style="107" hidden="1" customWidth="1"/>
    <col min="7692" max="7692" width="8.85546875" style="107"/>
    <col min="7693" max="7693" width="9.5703125" style="107" bestFit="1" customWidth="1"/>
    <col min="7694" max="7934" width="8.85546875" style="107"/>
    <col min="7935" max="7935" width="13.140625" style="107" customWidth="1"/>
    <col min="7936" max="7936" width="12.85546875" style="107" customWidth="1"/>
    <col min="7937" max="7937" width="43.85546875" style="107" customWidth="1"/>
    <col min="7938" max="7938" width="9.140625" style="107" customWidth="1"/>
    <col min="7939" max="7939" width="7.140625" style="107" customWidth="1"/>
    <col min="7940" max="7940" width="10.42578125" style="107" customWidth="1"/>
    <col min="7941" max="7941" width="10" style="107" customWidth="1"/>
    <col min="7942" max="7943" width="15.42578125" style="107" customWidth="1"/>
    <col min="7944" max="7944" width="10" style="107" customWidth="1"/>
    <col min="7945" max="7945" width="13" style="107" customWidth="1"/>
    <col min="7946" max="7947" width="0" style="107" hidden="1" customWidth="1"/>
    <col min="7948" max="7948" width="8.85546875" style="107"/>
    <col min="7949" max="7949" width="9.5703125" style="107" bestFit="1" customWidth="1"/>
    <col min="7950" max="8190" width="8.85546875" style="107"/>
    <col min="8191" max="8191" width="13.140625" style="107" customWidth="1"/>
    <col min="8192" max="8192" width="12.85546875" style="107" customWidth="1"/>
    <col min="8193" max="8193" width="43.85546875" style="107" customWidth="1"/>
    <col min="8194" max="8194" width="9.140625" style="107" customWidth="1"/>
    <col min="8195" max="8195" width="7.140625" style="107" customWidth="1"/>
    <col min="8196" max="8196" width="10.42578125" style="107" customWidth="1"/>
    <col min="8197" max="8197" width="10" style="107" customWidth="1"/>
    <col min="8198" max="8199" width="15.42578125" style="107" customWidth="1"/>
    <col min="8200" max="8200" width="10" style="107" customWidth="1"/>
    <col min="8201" max="8201" width="13" style="107" customWidth="1"/>
    <col min="8202" max="8203" width="0" style="107" hidden="1" customWidth="1"/>
    <col min="8204" max="8204" width="8.85546875" style="107"/>
    <col min="8205" max="8205" width="9.5703125" style="107" bestFit="1" customWidth="1"/>
    <col min="8206" max="8446" width="8.85546875" style="107"/>
    <col min="8447" max="8447" width="13.140625" style="107" customWidth="1"/>
    <col min="8448" max="8448" width="12.85546875" style="107" customWidth="1"/>
    <col min="8449" max="8449" width="43.85546875" style="107" customWidth="1"/>
    <col min="8450" max="8450" width="9.140625" style="107" customWidth="1"/>
    <col min="8451" max="8451" width="7.140625" style="107" customWidth="1"/>
    <col min="8452" max="8452" width="10.42578125" style="107" customWidth="1"/>
    <col min="8453" max="8453" width="10" style="107" customWidth="1"/>
    <col min="8454" max="8455" width="15.42578125" style="107" customWidth="1"/>
    <col min="8456" max="8456" width="10" style="107" customWidth="1"/>
    <col min="8457" max="8457" width="13" style="107" customWidth="1"/>
    <col min="8458" max="8459" width="0" style="107" hidden="1" customWidth="1"/>
    <col min="8460" max="8460" width="8.85546875" style="107"/>
    <col min="8461" max="8461" width="9.5703125" style="107" bestFit="1" customWidth="1"/>
    <col min="8462" max="8702" width="8.85546875" style="107"/>
    <col min="8703" max="8703" width="13.140625" style="107" customWidth="1"/>
    <col min="8704" max="8704" width="12.85546875" style="107" customWidth="1"/>
    <col min="8705" max="8705" width="43.85546875" style="107" customWidth="1"/>
    <col min="8706" max="8706" width="9.140625" style="107" customWidth="1"/>
    <col min="8707" max="8707" width="7.140625" style="107" customWidth="1"/>
    <col min="8708" max="8708" width="10.42578125" style="107" customWidth="1"/>
    <col min="8709" max="8709" width="10" style="107" customWidth="1"/>
    <col min="8710" max="8711" width="15.42578125" style="107" customWidth="1"/>
    <col min="8712" max="8712" width="10" style="107" customWidth="1"/>
    <col min="8713" max="8713" width="13" style="107" customWidth="1"/>
    <col min="8714" max="8715" width="0" style="107" hidden="1" customWidth="1"/>
    <col min="8716" max="8716" width="8.85546875" style="107"/>
    <col min="8717" max="8717" width="9.5703125" style="107" bestFit="1" customWidth="1"/>
    <col min="8718" max="8958" width="8.85546875" style="107"/>
    <col min="8959" max="8959" width="13.140625" style="107" customWidth="1"/>
    <col min="8960" max="8960" width="12.85546875" style="107" customWidth="1"/>
    <col min="8961" max="8961" width="43.85546875" style="107" customWidth="1"/>
    <col min="8962" max="8962" width="9.140625" style="107" customWidth="1"/>
    <col min="8963" max="8963" width="7.140625" style="107" customWidth="1"/>
    <col min="8964" max="8964" width="10.42578125" style="107" customWidth="1"/>
    <col min="8965" max="8965" width="10" style="107" customWidth="1"/>
    <col min="8966" max="8967" width="15.42578125" style="107" customWidth="1"/>
    <col min="8968" max="8968" width="10" style="107" customWidth="1"/>
    <col min="8969" max="8969" width="13" style="107" customWidth="1"/>
    <col min="8970" max="8971" width="0" style="107" hidden="1" customWidth="1"/>
    <col min="8972" max="8972" width="8.85546875" style="107"/>
    <col min="8973" max="8973" width="9.5703125" style="107" bestFit="1" customWidth="1"/>
    <col min="8974" max="9214" width="8.85546875" style="107"/>
    <col min="9215" max="9215" width="13.140625" style="107" customWidth="1"/>
    <col min="9216" max="9216" width="12.85546875" style="107" customWidth="1"/>
    <col min="9217" max="9217" width="43.85546875" style="107" customWidth="1"/>
    <col min="9218" max="9218" width="9.140625" style="107" customWidth="1"/>
    <col min="9219" max="9219" width="7.140625" style="107" customWidth="1"/>
    <col min="9220" max="9220" width="10.42578125" style="107" customWidth="1"/>
    <col min="9221" max="9221" width="10" style="107" customWidth="1"/>
    <col min="9222" max="9223" width="15.42578125" style="107" customWidth="1"/>
    <col min="9224" max="9224" width="10" style="107" customWidth="1"/>
    <col min="9225" max="9225" width="13" style="107" customWidth="1"/>
    <col min="9226" max="9227" width="0" style="107" hidden="1" customWidth="1"/>
    <col min="9228" max="9228" width="8.85546875" style="107"/>
    <col min="9229" max="9229" width="9.5703125" style="107" bestFit="1" customWidth="1"/>
    <col min="9230" max="9470" width="8.85546875" style="107"/>
    <col min="9471" max="9471" width="13.140625" style="107" customWidth="1"/>
    <col min="9472" max="9472" width="12.85546875" style="107" customWidth="1"/>
    <col min="9473" max="9473" width="43.85546875" style="107" customWidth="1"/>
    <col min="9474" max="9474" width="9.140625" style="107" customWidth="1"/>
    <col min="9475" max="9475" width="7.140625" style="107" customWidth="1"/>
    <col min="9476" max="9476" width="10.42578125" style="107" customWidth="1"/>
    <col min="9477" max="9477" width="10" style="107" customWidth="1"/>
    <col min="9478" max="9479" width="15.42578125" style="107" customWidth="1"/>
    <col min="9480" max="9480" width="10" style="107" customWidth="1"/>
    <col min="9481" max="9481" width="13" style="107" customWidth="1"/>
    <col min="9482" max="9483" width="0" style="107" hidden="1" customWidth="1"/>
    <col min="9484" max="9484" width="8.85546875" style="107"/>
    <col min="9485" max="9485" width="9.5703125" style="107" bestFit="1" customWidth="1"/>
    <col min="9486" max="9726" width="8.85546875" style="107"/>
    <col min="9727" max="9727" width="13.140625" style="107" customWidth="1"/>
    <col min="9728" max="9728" width="12.85546875" style="107" customWidth="1"/>
    <col min="9729" max="9729" width="43.85546875" style="107" customWidth="1"/>
    <col min="9730" max="9730" width="9.140625" style="107" customWidth="1"/>
    <col min="9731" max="9731" width="7.140625" style="107" customWidth="1"/>
    <col min="9732" max="9732" width="10.42578125" style="107" customWidth="1"/>
    <col min="9733" max="9733" width="10" style="107" customWidth="1"/>
    <col min="9734" max="9735" width="15.42578125" style="107" customWidth="1"/>
    <col min="9736" max="9736" width="10" style="107" customWidth="1"/>
    <col min="9737" max="9737" width="13" style="107" customWidth="1"/>
    <col min="9738" max="9739" width="0" style="107" hidden="1" customWidth="1"/>
    <col min="9740" max="9740" width="8.85546875" style="107"/>
    <col min="9741" max="9741" width="9.5703125" style="107" bestFit="1" customWidth="1"/>
    <col min="9742" max="9982" width="8.85546875" style="107"/>
    <col min="9983" max="9983" width="13.140625" style="107" customWidth="1"/>
    <col min="9984" max="9984" width="12.85546875" style="107" customWidth="1"/>
    <col min="9985" max="9985" width="43.85546875" style="107" customWidth="1"/>
    <col min="9986" max="9986" width="9.140625" style="107" customWidth="1"/>
    <col min="9987" max="9987" width="7.140625" style="107" customWidth="1"/>
    <col min="9988" max="9988" width="10.42578125" style="107" customWidth="1"/>
    <col min="9989" max="9989" width="10" style="107" customWidth="1"/>
    <col min="9990" max="9991" width="15.42578125" style="107" customWidth="1"/>
    <col min="9992" max="9992" width="10" style="107" customWidth="1"/>
    <col min="9993" max="9993" width="13" style="107" customWidth="1"/>
    <col min="9994" max="9995" width="0" style="107" hidden="1" customWidth="1"/>
    <col min="9996" max="9996" width="8.85546875" style="107"/>
    <col min="9997" max="9997" width="9.5703125" style="107" bestFit="1" customWidth="1"/>
    <col min="9998" max="10238" width="8.85546875" style="107"/>
    <col min="10239" max="10239" width="13.140625" style="107" customWidth="1"/>
    <col min="10240" max="10240" width="12.85546875" style="107" customWidth="1"/>
    <col min="10241" max="10241" width="43.85546875" style="107" customWidth="1"/>
    <col min="10242" max="10242" width="9.140625" style="107" customWidth="1"/>
    <col min="10243" max="10243" width="7.140625" style="107" customWidth="1"/>
    <col min="10244" max="10244" width="10.42578125" style="107" customWidth="1"/>
    <col min="10245" max="10245" width="10" style="107" customWidth="1"/>
    <col min="10246" max="10247" width="15.42578125" style="107" customWidth="1"/>
    <col min="10248" max="10248" width="10" style="107" customWidth="1"/>
    <col min="10249" max="10249" width="13" style="107" customWidth="1"/>
    <col min="10250" max="10251" width="0" style="107" hidden="1" customWidth="1"/>
    <col min="10252" max="10252" width="8.85546875" style="107"/>
    <col min="10253" max="10253" width="9.5703125" style="107" bestFit="1" customWidth="1"/>
    <col min="10254" max="10494" width="8.85546875" style="107"/>
    <col min="10495" max="10495" width="13.140625" style="107" customWidth="1"/>
    <col min="10496" max="10496" width="12.85546875" style="107" customWidth="1"/>
    <col min="10497" max="10497" width="43.85546875" style="107" customWidth="1"/>
    <col min="10498" max="10498" width="9.140625" style="107" customWidth="1"/>
    <col min="10499" max="10499" width="7.140625" style="107" customWidth="1"/>
    <col min="10500" max="10500" width="10.42578125" style="107" customWidth="1"/>
    <col min="10501" max="10501" width="10" style="107" customWidth="1"/>
    <col min="10502" max="10503" width="15.42578125" style="107" customWidth="1"/>
    <col min="10504" max="10504" width="10" style="107" customWidth="1"/>
    <col min="10505" max="10505" width="13" style="107" customWidth="1"/>
    <col min="10506" max="10507" width="0" style="107" hidden="1" customWidth="1"/>
    <col min="10508" max="10508" width="8.85546875" style="107"/>
    <col min="10509" max="10509" width="9.5703125" style="107" bestFit="1" customWidth="1"/>
    <col min="10510" max="10750" width="8.85546875" style="107"/>
    <col min="10751" max="10751" width="13.140625" style="107" customWidth="1"/>
    <col min="10752" max="10752" width="12.85546875" style="107" customWidth="1"/>
    <col min="10753" max="10753" width="43.85546875" style="107" customWidth="1"/>
    <col min="10754" max="10754" width="9.140625" style="107" customWidth="1"/>
    <col min="10755" max="10755" width="7.140625" style="107" customWidth="1"/>
    <col min="10756" max="10756" width="10.42578125" style="107" customWidth="1"/>
    <col min="10757" max="10757" width="10" style="107" customWidth="1"/>
    <col min="10758" max="10759" width="15.42578125" style="107" customWidth="1"/>
    <col min="10760" max="10760" width="10" style="107" customWidth="1"/>
    <col min="10761" max="10761" width="13" style="107" customWidth="1"/>
    <col min="10762" max="10763" width="0" style="107" hidden="1" customWidth="1"/>
    <col min="10764" max="10764" width="8.85546875" style="107"/>
    <col min="10765" max="10765" width="9.5703125" style="107" bestFit="1" customWidth="1"/>
    <col min="10766" max="11006" width="8.85546875" style="107"/>
    <col min="11007" max="11007" width="13.140625" style="107" customWidth="1"/>
    <col min="11008" max="11008" width="12.85546875" style="107" customWidth="1"/>
    <col min="11009" max="11009" width="43.85546875" style="107" customWidth="1"/>
    <col min="11010" max="11010" width="9.140625" style="107" customWidth="1"/>
    <col min="11011" max="11011" width="7.140625" style="107" customWidth="1"/>
    <col min="11012" max="11012" width="10.42578125" style="107" customWidth="1"/>
    <col min="11013" max="11013" width="10" style="107" customWidth="1"/>
    <col min="11014" max="11015" width="15.42578125" style="107" customWidth="1"/>
    <col min="11016" max="11016" width="10" style="107" customWidth="1"/>
    <col min="11017" max="11017" width="13" style="107" customWidth="1"/>
    <col min="11018" max="11019" width="0" style="107" hidden="1" customWidth="1"/>
    <col min="11020" max="11020" width="8.85546875" style="107"/>
    <col min="11021" max="11021" width="9.5703125" style="107" bestFit="1" customWidth="1"/>
    <col min="11022" max="11262" width="8.85546875" style="107"/>
    <col min="11263" max="11263" width="13.140625" style="107" customWidth="1"/>
    <col min="11264" max="11264" width="12.85546875" style="107" customWidth="1"/>
    <col min="11265" max="11265" width="43.85546875" style="107" customWidth="1"/>
    <col min="11266" max="11266" width="9.140625" style="107" customWidth="1"/>
    <col min="11267" max="11267" width="7.140625" style="107" customWidth="1"/>
    <col min="11268" max="11268" width="10.42578125" style="107" customWidth="1"/>
    <col min="11269" max="11269" width="10" style="107" customWidth="1"/>
    <col min="11270" max="11271" width="15.42578125" style="107" customWidth="1"/>
    <col min="11272" max="11272" width="10" style="107" customWidth="1"/>
    <col min="11273" max="11273" width="13" style="107" customWidth="1"/>
    <col min="11274" max="11275" width="0" style="107" hidden="1" customWidth="1"/>
    <col min="11276" max="11276" width="8.85546875" style="107"/>
    <col min="11277" max="11277" width="9.5703125" style="107" bestFit="1" customWidth="1"/>
    <col min="11278" max="11518" width="8.85546875" style="107"/>
    <col min="11519" max="11519" width="13.140625" style="107" customWidth="1"/>
    <col min="11520" max="11520" width="12.85546875" style="107" customWidth="1"/>
    <col min="11521" max="11521" width="43.85546875" style="107" customWidth="1"/>
    <col min="11522" max="11522" width="9.140625" style="107" customWidth="1"/>
    <col min="11523" max="11523" width="7.140625" style="107" customWidth="1"/>
    <col min="11524" max="11524" width="10.42578125" style="107" customWidth="1"/>
    <col min="11525" max="11525" width="10" style="107" customWidth="1"/>
    <col min="11526" max="11527" width="15.42578125" style="107" customWidth="1"/>
    <col min="11528" max="11528" width="10" style="107" customWidth="1"/>
    <col min="11529" max="11529" width="13" style="107" customWidth="1"/>
    <col min="11530" max="11531" width="0" style="107" hidden="1" customWidth="1"/>
    <col min="11532" max="11532" width="8.85546875" style="107"/>
    <col min="11533" max="11533" width="9.5703125" style="107" bestFit="1" customWidth="1"/>
    <col min="11534" max="11774" width="8.85546875" style="107"/>
    <col min="11775" max="11775" width="13.140625" style="107" customWidth="1"/>
    <col min="11776" max="11776" width="12.85546875" style="107" customWidth="1"/>
    <col min="11777" max="11777" width="43.85546875" style="107" customWidth="1"/>
    <col min="11778" max="11778" width="9.140625" style="107" customWidth="1"/>
    <col min="11779" max="11779" width="7.140625" style="107" customWidth="1"/>
    <col min="11780" max="11780" width="10.42578125" style="107" customWidth="1"/>
    <col min="11781" max="11781" width="10" style="107" customWidth="1"/>
    <col min="11782" max="11783" width="15.42578125" style="107" customWidth="1"/>
    <col min="11784" max="11784" width="10" style="107" customWidth="1"/>
    <col min="11785" max="11785" width="13" style="107" customWidth="1"/>
    <col min="11786" max="11787" width="0" style="107" hidden="1" customWidth="1"/>
    <col min="11788" max="11788" width="8.85546875" style="107"/>
    <col min="11789" max="11789" width="9.5703125" style="107" bestFit="1" customWidth="1"/>
    <col min="11790" max="12030" width="8.85546875" style="107"/>
    <col min="12031" max="12031" width="13.140625" style="107" customWidth="1"/>
    <col min="12032" max="12032" width="12.85546875" style="107" customWidth="1"/>
    <col min="12033" max="12033" width="43.85546875" style="107" customWidth="1"/>
    <col min="12034" max="12034" width="9.140625" style="107" customWidth="1"/>
    <col min="12035" max="12035" width="7.140625" style="107" customWidth="1"/>
    <col min="12036" max="12036" width="10.42578125" style="107" customWidth="1"/>
    <col min="12037" max="12037" width="10" style="107" customWidth="1"/>
    <col min="12038" max="12039" width="15.42578125" style="107" customWidth="1"/>
    <col min="12040" max="12040" width="10" style="107" customWidth="1"/>
    <col min="12041" max="12041" width="13" style="107" customWidth="1"/>
    <col min="12042" max="12043" width="0" style="107" hidden="1" customWidth="1"/>
    <col min="12044" max="12044" width="8.85546875" style="107"/>
    <col min="12045" max="12045" width="9.5703125" style="107" bestFit="1" customWidth="1"/>
    <col min="12046" max="12286" width="8.85546875" style="107"/>
    <col min="12287" max="12287" width="13.140625" style="107" customWidth="1"/>
    <col min="12288" max="12288" width="12.85546875" style="107" customWidth="1"/>
    <col min="12289" max="12289" width="43.85546875" style="107" customWidth="1"/>
    <col min="12290" max="12290" width="9.140625" style="107" customWidth="1"/>
    <col min="12291" max="12291" width="7.140625" style="107" customWidth="1"/>
    <col min="12292" max="12292" width="10.42578125" style="107" customWidth="1"/>
    <col min="12293" max="12293" width="10" style="107" customWidth="1"/>
    <col min="12294" max="12295" width="15.42578125" style="107" customWidth="1"/>
    <col min="12296" max="12296" width="10" style="107" customWidth="1"/>
    <col min="12297" max="12297" width="13" style="107" customWidth="1"/>
    <col min="12298" max="12299" width="0" style="107" hidden="1" customWidth="1"/>
    <col min="12300" max="12300" width="8.85546875" style="107"/>
    <col min="12301" max="12301" width="9.5703125" style="107" bestFit="1" customWidth="1"/>
    <col min="12302" max="12542" width="8.85546875" style="107"/>
    <col min="12543" max="12543" width="13.140625" style="107" customWidth="1"/>
    <col min="12544" max="12544" width="12.85546875" style="107" customWidth="1"/>
    <col min="12545" max="12545" width="43.85546875" style="107" customWidth="1"/>
    <col min="12546" max="12546" width="9.140625" style="107" customWidth="1"/>
    <col min="12547" max="12547" width="7.140625" style="107" customWidth="1"/>
    <col min="12548" max="12548" width="10.42578125" style="107" customWidth="1"/>
    <col min="12549" max="12549" width="10" style="107" customWidth="1"/>
    <col min="12550" max="12551" width="15.42578125" style="107" customWidth="1"/>
    <col min="12552" max="12552" width="10" style="107" customWidth="1"/>
    <col min="12553" max="12553" width="13" style="107" customWidth="1"/>
    <col min="12554" max="12555" width="0" style="107" hidden="1" customWidth="1"/>
    <col min="12556" max="12556" width="8.85546875" style="107"/>
    <col min="12557" max="12557" width="9.5703125" style="107" bestFit="1" customWidth="1"/>
    <col min="12558" max="12798" width="8.85546875" style="107"/>
    <col min="12799" max="12799" width="13.140625" style="107" customWidth="1"/>
    <col min="12800" max="12800" width="12.85546875" style="107" customWidth="1"/>
    <col min="12801" max="12801" width="43.85546875" style="107" customWidth="1"/>
    <col min="12802" max="12802" width="9.140625" style="107" customWidth="1"/>
    <col min="12803" max="12803" width="7.140625" style="107" customWidth="1"/>
    <col min="12804" max="12804" width="10.42578125" style="107" customWidth="1"/>
    <col min="12805" max="12805" width="10" style="107" customWidth="1"/>
    <col min="12806" max="12807" width="15.42578125" style="107" customWidth="1"/>
    <col min="12808" max="12808" width="10" style="107" customWidth="1"/>
    <col min="12809" max="12809" width="13" style="107" customWidth="1"/>
    <col min="12810" max="12811" width="0" style="107" hidden="1" customWidth="1"/>
    <col min="12812" max="12812" width="8.85546875" style="107"/>
    <col min="12813" max="12813" width="9.5703125" style="107" bestFit="1" customWidth="1"/>
    <col min="12814" max="13054" width="8.85546875" style="107"/>
    <col min="13055" max="13055" width="13.140625" style="107" customWidth="1"/>
    <col min="13056" max="13056" width="12.85546875" style="107" customWidth="1"/>
    <col min="13057" max="13057" width="43.85546875" style="107" customWidth="1"/>
    <col min="13058" max="13058" width="9.140625" style="107" customWidth="1"/>
    <col min="13059" max="13059" width="7.140625" style="107" customWidth="1"/>
    <col min="13060" max="13060" width="10.42578125" style="107" customWidth="1"/>
    <col min="13061" max="13061" width="10" style="107" customWidth="1"/>
    <col min="13062" max="13063" width="15.42578125" style="107" customWidth="1"/>
    <col min="13064" max="13064" width="10" style="107" customWidth="1"/>
    <col min="13065" max="13065" width="13" style="107" customWidth="1"/>
    <col min="13066" max="13067" width="0" style="107" hidden="1" customWidth="1"/>
    <col min="13068" max="13068" width="8.85546875" style="107"/>
    <col min="13069" max="13069" width="9.5703125" style="107" bestFit="1" customWidth="1"/>
    <col min="13070" max="13310" width="8.85546875" style="107"/>
    <col min="13311" max="13311" width="13.140625" style="107" customWidth="1"/>
    <col min="13312" max="13312" width="12.85546875" style="107" customWidth="1"/>
    <col min="13313" max="13313" width="43.85546875" style="107" customWidth="1"/>
    <col min="13314" max="13314" width="9.140625" style="107" customWidth="1"/>
    <col min="13315" max="13315" width="7.140625" style="107" customWidth="1"/>
    <col min="13316" max="13316" width="10.42578125" style="107" customWidth="1"/>
    <col min="13317" max="13317" width="10" style="107" customWidth="1"/>
    <col min="13318" max="13319" width="15.42578125" style="107" customWidth="1"/>
    <col min="13320" max="13320" width="10" style="107" customWidth="1"/>
    <col min="13321" max="13321" width="13" style="107" customWidth="1"/>
    <col min="13322" max="13323" width="0" style="107" hidden="1" customWidth="1"/>
    <col min="13324" max="13324" width="8.85546875" style="107"/>
    <col min="13325" max="13325" width="9.5703125" style="107" bestFit="1" customWidth="1"/>
    <col min="13326" max="13566" width="8.85546875" style="107"/>
    <col min="13567" max="13567" width="13.140625" style="107" customWidth="1"/>
    <col min="13568" max="13568" width="12.85546875" style="107" customWidth="1"/>
    <col min="13569" max="13569" width="43.85546875" style="107" customWidth="1"/>
    <col min="13570" max="13570" width="9.140625" style="107" customWidth="1"/>
    <col min="13571" max="13571" width="7.140625" style="107" customWidth="1"/>
    <col min="13572" max="13572" width="10.42578125" style="107" customWidth="1"/>
    <col min="13573" max="13573" width="10" style="107" customWidth="1"/>
    <col min="13574" max="13575" width="15.42578125" style="107" customWidth="1"/>
    <col min="13576" max="13576" width="10" style="107" customWidth="1"/>
    <col min="13577" max="13577" width="13" style="107" customWidth="1"/>
    <col min="13578" max="13579" width="0" style="107" hidden="1" customWidth="1"/>
    <col min="13580" max="13580" width="8.85546875" style="107"/>
    <col min="13581" max="13581" width="9.5703125" style="107" bestFit="1" customWidth="1"/>
    <col min="13582" max="13822" width="8.85546875" style="107"/>
    <col min="13823" max="13823" width="13.140625" style="107" customWidth="1"/>
    <col min="13824" max="13824" width="12.85546875" style="107" customWidth="1"/>
    <col min="13825" max="13825" width="43.85546875" style="107" customWidth="1"/>
    <col min="13826" max="13826" width="9.140625" style="107" customWidth="1"/>
    <col min="13827" max="13827" width="7.140625" style="107" customWidth="1"/>
    <col min="13828" max="13828" width="10.42578125" style="107" customWidth="1"/>
    <col min="13829" max="13829" width="10" style="107" customWidth="1"/>
    <col min="13830" max="13831" width="15.42578125" style="107" customWidth="1"/>
    <col min="13832" max="13832" width="10" style="107" customWidth="1"/>
    <col min="13833" max="13833" width="13" style="107" customWidth="1"/>
    <col min="13834" max="13835" width="0" style="107" hidden="1" customWidth="1"/>
    <col min="13836" max="13836" width="8.85546875" style="107"/>
    <col min="13837" max="13837" width="9.5703125" style="107" bestFit="1" customWidth="1"/>
    <col min="13838" max="14078" width="8.85546875" style="107"/>
    <col min="14079" max="14079" width="13.140625" style="107" customWidth="1"/>
    <col min="14080" max="14080" width="12.85546875" style="107" customWidth="1"/>
    <col min="14081" max="14081" width="43.85546875" style="107" customWidth="1"/>
    <col min="14082" max="14082" width="9.140625" style="107" customWidth="1"/>
    <col min="14083" max="14083" width="7.140625" style="107" customWidth="1"/>
    <col min="14084" max="14084" width="10.42578125" style="107" customWidth="1"/>
    <col min="14085" max="14085" width="10" style="107" customWidth="1"/>
    <col min="14086" max="14087" width="15.42578125" style="107" customWidth="1"/>
    <col min="14088" max="14088" width="10" style="107" customWidth="1"/>
    <col min="14089" max="14089" width="13" style="107" customWidth="1"/>
    <col min="14090" max="14091" width="0" style="107" hidden="1" customWidth="1"/>
    <col min="14092" max="14092" width="8.85546875" style="107"/>
    <col min="14093" max="14093" width="9.5703125" style="107" bestFit="1" customWidth="1"/>
    <col min="14094" max="14334" width="8.85546875" style="107"/>
    <col min="14335" max="14335" width="13.140625" style="107" customWidth="1"/>
    <col min="14336" max="14336" width="12.85546875" style="107" customWidth="1"/>
    <col min="14337" max="14337" width="43.85546875" style="107" customWidth="1"/>
    <col min="14338" max="14338" width="9.140625" style="107" customWidth="1"/>
    <col min="14339" max="14339" width="7.140625" style="107" customWidth="1"/>
    <col min="14340" max="14340" width="10.42578125" style="107" customWidth="1"/>
    <col min="14341" max="14341" width="10" style="107" customWidth="1"/>
    <col min="14342" max="14343" width="15.42578125" style="107" customWidth="1"/>
    <col min="14344" max="14344" width="10" style="107" customWidth="1"/>
    <col min="14345" max="14345" width="13" style="107" customWidth="1"/>
    <col min="14346" max="14347" width="0" style="107" hidden="1" customWidth="1"/>
    <col min="14348" max="14348" width="8.85546875" style="107"/>
    <col min="14349" max="14349" width="9.5703125" style="107" bestFit="1" customWidth="1"/>
    <col min="14350" max="14590" width="8.85546875" style="107"/>
    <col min="14591" max="14591" width="13.140625" style="107" customWidth="1"/>
    <col min="14592" max="14592" width="12.85546875" style="107" customWidth="1"/>
    <col min="14593" max="14593" width="43.85546875" style="107" customWidth="1"/>
    <col min="14594" max="14594" width="9.140625" style="107" customWidth="1"/>
    <col min="14595" max="14595" width="7.140625" style="107" customWidth="1"/>
    <col min="14596" max="14596" width="10.42578125" style="107" customWidth="1"/>
    <col min="14597" max="14597" width="10" style="107" customWidth="1"/>
    <col min="14598" max="14599" width="15.42578125" style="107" customWidth="1"/>
    <col min="14600" max="14600" width="10" style="107" customWidth="1"/>
    <col min="14601" max="14601" width="13" style="107" customWidth="1"/>
    <col min="14602" max="14603" width="0" style="107" hidden="1" customWidth="1"/>
    <col min="14604" max="14604" width="8.85546875" style="107"/>
    <col min="14605" max="14605" width="9.5703125" style="107" bestFit="1" customWidth="1"/>
    <col min="14606" max="14846" width="8.85546875" style="107"/>
    <col min="14847" max="14847" width="13.140625" style="107" customWidth="1"/>
    <col min="14848" max="14848" width="12.85546875" style="107" customWidth="1"/>
    <col min="14849" max="14849" width="43.85546875" style="107" customWidth="1"/>
    <col min="14850" max="14850" width="9.140625" style="107" customWidth="1"/>
    <col min="14851" max="14851" width="7.140625" style="107" customWidth="1"/>
    <col min="14852" max="14852" width="10.42578125" style="107" customWidth="1"/>
    <col min="14853" max="14853" width="10" style="107" customWidth="1"/>
    <col min="14854" max="14855" width="15.42578125" style="107" customWidth="1"/>
    <col min="14856" max="14856" width="10" style="107" customWidth="1"/>
    <col min="14857" max="14857" width="13" style="107" customWidth="1"/>
    <col min="14858" max="14859" width="0" style="107" hidden="1" customWidth="1"/>
    <col min="14860" max="14860" width="8.85546875" style="107"/>
    <col min="14861" max="14861" width="9.5703125" style="107" bestFit="1" customWidth="1"/>
    <col min="14862" max="15102" width="8.85546875" style="107"/>
    <col min="15103" max="15103" width="13.140625" style="107" customWidth="1"/>
    <col min="15104" max="15104" width="12.85546875" style="107" customWidth="1"/>
    <col min="15105" max="15105" width="43.85546875" style="107" customWidth="1"/>
    <col min="15106" max="15106" width="9.140625" style="107" customWidth="1"/>
    <col min="15107" max="15107" width="7.140625" style="107" customWidth="1"/>
    <col min="15108" max="15108" width="10.42578125" style="107" customWidth="1"/>
    <col min="15109" max="15109" width="10" style="107" customWidth="1"/>
    <col min="15110" max="15111" width="15.42578125" style="107" customWidth="1"/>
    <col min="15112" max="15112" width="10" style="107" customWidth="1"/>
    <col min="15113" max="15113" width="13" style="107" customWidth="1"/>
    <col min="15114" max="15115" width="0" style="107" hidden="1" customWidth="1"/>
    <col min="15116" max="15116" width="8.85546875" style="107"/>
    <col min="15117" max="15117" width="9.5703125" style="107" bestFit="1" customWidth="1"/>
    <col min="15118" max="15358" width="8.85546875" style="107"/>
    <col min="15359" max="15359" width="13.140625" style="107" customWidth="1"/>
    <col min="15360" max="15360" width="12.85546875" style="107" customWidth="1"/>
    <col min="15361" max="15361" width="43.85546875" style="107" customWidth="1"/>
    <col min="15362" max="15362" width="9.140625" style="107" customWidth="1"/>
    <col min="15363" max="15363" width="7.140625" style="107" customWidth="1"/>
    <col min="15364" max="15364" width="10.42578125" style="107" customWidth="1"/>
    <col min="15365" max="15365" width="10" style="107" customWidth="1"/>
    <col min="15366" max="15367" width="15.42578125" style="107" customWidth="1"/>
    <col min="15368" max="15368" width="10" style="107" customWidth="1"/>
    <col min="15369" max="15369" width="13" style="107" customWidth="1"/>
    <col min="15370" max="15371" width="0" style="107" hidden="1" customWidth="1"/>
    <col min="15372" max="15372" width="8.85546875" style="107"/>
    <col min="15373" max="15373" width="9.5703125" style="107" bestFit="1" customWidth="1"/>
    <col min="15374" max="15614" width="8.85546875" style="107"/>
    <col min="15615" max="15615" width="13.140625" style="107" customWidth="1"/>
    <col min="15616" max="15616" width="12.85546875" style="107" customWidth="1"/>
    <col min="15617" max="15617" width="43.85546875" style="107" customWidth="1"/>
    <col min="15618" max="15618" width="9.140625" style="107" customWidth="1"/>
    <col min="15619" max="15619" width="7.140625" style="107" customWidth="1"/>
    <col min="15620" max="15620" width="10.42578125" style="107" customWidth="1"/>
    <col min="15621" max="15621" width="10" style="107" customWidth="1"/>
    <col min="15622" max="15623" width="15.42578125" style="107" customWidth="1"/>
    <col min="15624" max="15624" width="10" style="107" customWidth="1"/>
    <col min="15625" max="15625" width="13" style="107" customWidth="1"/>
    <col min="15626" max="15627" width="0" style="107" hidden="1" customWidth="1"/>
    <col min="15628" max="15628" width="8.85546875" style="107"/>
    <col min="15629" max="15629" width="9.5703125" style="107" bestFit="1" customWidth="1"/>
    <col min="15630" max="15870" width="8.85546875" style="107"/>
    <col min="15871" max="15871" width="13.140625" style="107" customWidth="1"/>
    <col min="15872" max="15872" width="12.85546875" style="107" customWidth="1"/>
    <col min="15873" max="15873" width="43.85546875" style="107" customWidth="1"/>
    <col min="15874" max="15874" width="9.140625" style="107" customWidth="1"/>
    <col min="15875" max="15875" width="7.140625" style="107" customWidth="1"/>
    <col min="15876" max="15876" width="10.42578125" style="107" customWidth="1"/>
    <col min="15877" max="15877" width="10" style="107" customWidth="1"/>
    <col min="15878" max="15879" width="15.42578125" style="107" customWidth="1"/>
    <col min="15880" max="15880" width="10" style="107" customWidth="1"/>
    <col min="15881" max="15881" width="13" style="107" customWidth="1"/>
    <col min="15882" max="15883" width="0" style="107" hidden="1" customWidth="1"/>
    <col min="15884" max="15884" width="8.85546875" style="107"/>
    <col min="15885" max="15885" width="9.5703125" style="107" bestFit="1" customWidth="1"/>
    <col min="15886" max="16126" width="8.85546875" style="107"/>
    <col min="16127" max="16127" width="13.140625" style="107" customWidth="1"/>
    <col min="16128" max="16128" width="12.85546875" style="107" customWidth="1"/>
    <col min="16129" max="16129" width="43.85546875" style="107" customWidth="1"/>
    <col min="16130" max="16130" width="9.140625" style="107" customWidth="1"/>
    <col min="16131" max="16131" width="7.140625" style="107" customWidth="1"/>
    <col min="16132" max="16132" width="10.42578125" style="107" customWidth="1"/>
    <col min="16133" max="16133" width="10" style="107" customWidth="1"/>
    <col min="16134" max="16135" width="15.42578125" style="107" customWidth="1"/>
    <col min="16136" max="16136" width="10" style="107" customWidth="1"/>
    <col min="16137" max="16137" width="13" style="107" customWidth="1"/>
    <col min="16138" max="16139" width="0" style="107" hidden="1" customWidth="1"/>
    <col min="16140" max="16140" width="8.85546875" style="107"/>
    <col min="16141" max="16141" width="9.5703125" style="107" bestFit="1" customWidth="1"/>
    <col min="16142" max="16382" width="8.85546875" style="107"/>
    <col min="16383" max="16384" width="9.140625" style="107" customWidth="1"/>
  </cols>
  <sheetData>
    <row r="1" spans="1:23" s="203" customFormat="1" ht="15.75">
      <c r="A1" s="688"/>
      <c r="B1" s="688"/>
      <c r="C1" s="688"/>
      <c r="D1" s="688"/>
      <c r="E1" s="688"/>
      <c r="F1" s="688"/>
      <c r="G1" s="688"/>
      <c r="H1" s="688"/>
      <c r="I1" s="688"/>
      <c r="K1" s="239"/>
    </row>
    <row r="2" spans="1:23" s="206" customFormat="1" ht="18.75">
      <c r="A2" s="764" t="s">
        <v>5071</v>
      </c>
      <c r="B2" s="764"/>
      <c r="C2" s="764"/>
      <c r="D2" s="764"/>
      <c r="E2" s="764"/>
      <c r="F2" s="764"/>
      <c r="G2" s="764"/>
      <c r="H2" s="764"/>
      <c r="I2" s="764"/>
      <c r="J2" s="764"/>
      <c r="K2" s="268"/>
      <c r="L2" s="204"/>
      <c r="M2" s="204"/>
      <c r="N2" s="205"/>
      <c r="O2" s="204"/>
      <c r="P2" s="204"/>
      <c r="Q2" s="204"/>
      <c r="R2" s="204"/>
      <c r="S2" s="204"/>
      <c r="T2" s="204"/>
      <c r="U2" s="204"/>
      <c r="V2" s="204"/>
      <c r="W2" s="204"/>
    </row>
    <row r="3" spans="1:23" s="206" customFormat="1" ht="18.75">
      <c r="A3" s="764" t="s">
        <v>5072</v>
      </c>
      <c r="B3" s="764"/>
      <c r="C3" s="764"/>
      <c r="D3" s="764"/>
      <c r="E3" s="764"/>
      <c r="F3" s="764"/>
      <c r="G3" s="764"/>
      <c r="H3" s="764"/>
      <c r="I3" s="764"/>
      <c r="J3" s="764"/>
      <c r="K3" s="268"/>
      <c r="L3" s="204"/>
      <c r="M3" s="204"/>
      <c r="N3" s="205"/>
      <c r="O3" s="204"/>
      <c r="P3" s="204"/>
      <c r="Q3" s="204"/>
      <c r="R3" s="204"/>
      <c r="S3" s="204"/>
      <c r="T3" s="204"/>
      <c r="U3" s="204"/>
      <c r="V3" s="204"/>
      <c r="W3" s="204"/>
    </row>
    <row r="4" spans="1:23" s="206" customFormat="1" ht="18.75">
      <c r="A4" s="764" t="s">
        <v>5074</v>
      </c>
      <c r="B4" s="764"/>
      <c r="C4" s="764"/>
      <c r="D4" s="764"/>
      <c r="E4" s="764"/>
      <c r="F4" s="764"/>
      <c r="G4" s="764"/>
      <c r="H4" s="764"/>
      <c r="I4" s="764"/>
      <c r="J4" s="764"/>
      <c r="K4" s="269"/>
      <c r="L4" s="207"/>
      <c r="M4" s="205"/>
      <c r="N4" s="204"/>
      <c r="O4" s="204"/>
      <c r="P4" s="204"/>
      <c r="Q4" s="204"/>
      <c r="R4" s="204"/>
      <c r="S4" s="204"/>
      <c r="T4" s="204"/>
      <c r="U4" s="204"/>
      <c r="V4" s="204"/>
      <c r="W4" s="204"/>
    </row>
    <row r="5" spans="1:23" s="206" customFormat="1" ht="18.75">
      <c r="A5" s="764" t="s">
        <v>155</v>
      </c>
      <c r="B5" s="764"/>
      <c r="C5" s="764"/>
      <c r="D5" s="764"/>
      <c r="E5" s="764"/>
      <c r="F5" s="764"/>
      <c r="G5" s="764"/>
      <c r="H5" s="764"/>
      <c r="I5" s="764"/>
      <c r="J5" s="218"/>
      <c r="K5" s="240"/>
      <c r="L5" s="204"/>
      <c r="M5" s="205"/>
      <c r="N5" s="204"/>
      <c r="O5" s="204"/>
      <c r="P5" s="204"/>
      <c r="Q5" s="204"/>
      <c r="R5" s="204"/>
      <c r="S5" s="204"/>
      <c r="T5" s="204"/>
      <c r="U5" s="204"/>
      <c r="V5" s="204"/>
      <c r="W5" s="204"/>
    </row>
    <row r="6" spans="1:23" s="208" customFormat="1" ht="27.75" customHeight="1">
      <c r="A6" s="50" t="s">
        <v>82</v>
      </c>
      <c r="B6" s="62" t="s">
        <v>8521</v>
      </c>
      <c r="C6" s="62"/>
      <c r="D6" s="62"/>
      <c r="E6" s="52"/>
      <c r="F6" s="200"/>
      <c r="G6" s="52"/>
      <c r="H6" s="52" t="s">
        <v>62</v>
      </c>
      <c r="I6" s="200">
        <f>'036-20-CAPA'!C19</f>
        <v>44370</v>
      </c>
      <c r="K6" s="241"/>
      <c r="L6" s="209"/>
      <c r="M6" s="209"/>
      <c r="N6" s="209"/>
      <c r="O6" s="209"/>
      <c r="P6" s="209"/>
      <c r="Q6" s="209"/>
      <c r="R6" s="209"/>
      <c r="S6" s="209"/>
      <c r="T6" s="209"/>
    </row>
    <row r="7" spans="1:23" s="208" customFormat="1" ht="39.75" customHeight="1">
      <c r="A7" s="50" t="s">
        <v>13</v>
      </c>
      <c r="B7" s="694" t="s">
        <v>8375</v>
      </c>
      <c r="C7" s="694"/>
      <c r="D7" s="694"/>
      <c r="E7" s="694"/>
      <c r="F7" s="694"/>
      <c r="G7" s="50"/>
      <c r="H7" s="50" t="s">
        <v>16</v>
      </c>
      <c r="I7" s="133" t="s">
        <v>8374</v>
      </c>
      <c r="K7" s="241"/>
      <c r="L7" s="209"/>
      <c r="M7" s="209"/>
      <c r="N7" s="209"/>
      <c r="O7" s="209"/>
      <c r="P7" s="209"/>
      <c r="Q7" s="209"/>
      <c r="R7" s="209"/>
      <c r="S7" s="209"/>
      <c r="T7" s="209"/>
    </row>
    <row r="8" spans="1:23" s="208" customFormat="1" ht="30.6" customHeight="1">
      <c r="A8" s="50" t="s">
        <v>83</v>
      </c>
      <c r="B8" s="62" t="s">
        <v>13516</v>
      </c>
      <c r="C8" s="51"/>
      <c r="D8" s="51" t="s">
        <v>67</v>
      </c>
      <c r="E8" s="416" t="s">
        <v>6342</v>
      </c>
      <c r="F8" s="51" t="s">
        <v>67</v>
      </c>
      <c r="G8" s="416" t="s">
        <v>8553</v>
      </c>
      <c r="H8" s="52" t="s">
        <v>69</v>
      </c>
      <c r="I8" s="550" t="s">
        <v>13515</v>
      </c>
      <c r="K8" s="241"/>
      <c r="L8" s="209"/>
      <c r="M8" s="209"/>
      <c r="N8" s="209"/>
      <c r="O8" s="209"/>
      <c r="P8" s="209"/>
      <c r="Q8" s="209"/>
      <c r="R8" s="209"/>
      <c r="S8" s="209"/>
      <c r="T8" s="209"/>
    </row>
    <row r="9" spans="1:23" s="93" customFormat="1">
      <c r="A9" s="95"/>
      <c r="B9" s="96"/>
      <c r="C9" s="97"/>
      <c r="D9" s="98"/>
      <c r="E9" s="99"/>
      <c r="F9" s="100"/>
      <c r="G9" s="101"/>
      <c r="H9" s="101"/>
      <c r="I9" s="101"/>
      <c r="J9" s="90"/>
      <c r="K9" s="242"/>
      <c r="L9" s="91"/>
      <c r="M9" s="91"/>
      <c r="O9" s="94"/>
    </row>
    <row r="10" spans="1:23" s="93" customFormat="1" ht="33.75">
      <c r="A10" s="643" t="s">
        <v>0</v>
      </c>
      <c r="B10" s="643" t="s">
        <v>1</v>
      </c>
      <c r="C10" s="644" t="s">
        <v>159</v>
      </c>
      <c r="D10" s="644" t="s">
        <v>2</v>
      </c>
      <c r="E10" s="644" t="s">
        <v>138</v>
      </c>
      <c r="F10" s="643" t="s">
        <v>8551</v>
      </c>
      <c r="G10" s="643" t="s">
        <v>139</v>
      </c>
      <c r="H10" s="643" t="s">
        <v>140</v>
      </c>
      <c r="I10" s="643" t="s">
        <v>141</v>
      </c>
      <c r="J10" s="90"/>
      <c r="K10" s="242"/>
      <c r="L10" s="91"/>
      <c r="M10" s="91"/>
      <c r="O10" s="94"/>
    </row>
    <row r="11" spans="1:23" s="93" customFormat="1" ht="89.25">
      <c r="A11" s="261" t="s">
        <v>6301</v>
      </c>
      <c r="B11" s="262" t="s">
        <v>7575</v>
      </c>
      <c r="C11" s="263" t="s">
        <v>150</v>
      </c>
      <c r="D11" s="264">
        <v>13429.14</v>
      </c>
      <c r="E11" s="265">
        <v>712.26499999999999</v>
      </c>
      <c r="F11" s="450">
        <f>BDI_Equipamentos!$H$22</f>
        <v>0.10890619719771655</v>
      </c>
      <c r="G11" s="266">
        <f>((D11*E11*(1+F11)))</f>
        <v>10606805.766144242</v>
      </c>
      <c r="H11" s="267">
        <f t="shared" ref="H11:H44" si="0">G11/$G$366</f>
        <v>0.23696513328583274</v>
      </c>
      <c r="I11" s="267">
        <f>H11</f>
        <v>0.23696513328583274</v>
      </c>
      <c r="J11" s="90">
        <f t="shared" ref="J11:J43" si="1">$G$373-$G$366</f>
        <v>4.420354962348938E-4</v>
      </c>
      <c r="K11" s="242"/>
      <c r="L11" s="91">
        <f t="shared" ref="L11:L75" si="2">SUMIF($A$11:$A$352,A11,$D$11:$D$352)</f>
        <v>13429.14</v>
      </c>
      <c r="M11" s="91"/>
      <c r="O11" s="94"/>
    </row>
    <row r="12" spans="1:23" s="93" customFormat="1" ht="38.25">
      <c r="A12" s="261" t="s">
        <v>6282</v>
      </c>
      <c r="B12" s="262" t="s">
        <v>7923</v>
      </c>
      <c r="C12" s="263" t="s">
        <v>89</v>
      </c>
      <c r="D12" s="264">
        <v>5537</v>
      </c>
      <c r="E12" s="265">
        <v>550.3982091155649</v>
      </c>
      <c r="F12" s="450">
        <f>BDI_O.A.E!$H$22</f>
        <v>0.18201100192553743</v>
      </c>
      <c r="G12" s="266">
        <f>((D12*E12*(1+F12)))</f>
        <v>3602243.4017096511</v>
      </c>
      <c r="H12" s="267">
        <f t="shared" si="0"/>
        <v>8.0477205544647171E-2</v>
      </c>
      <c r="I12" s="267">
        <f>H12+I11</f>
        <v>0.3174423388304799</v>
      </c>
      <c r="J12" s="90">
        <f t="shared" si="1"/>
        <v>4.420354962348938E-4</v>
      </c>
      <c r="K12" s="242"/>
      <c r="L12" s="91">
        <f t="shared" si="2"/>
        <v>5537</v>
      </c>
      <c r="M12" s="91"/>
      <c r="O12" s="94"/>
    </row>
    <row r="13" spans="1:23" s="93" customFormat="1" ht="89.25">
      <c r="A13" s="261" t="s">
        <v>6302</v>
      </c>
      <c r="B13" s="262" t="s">
        <v>7580</v>
      </c>
      <c r="C13" s="263" t="s">
        <v>150</v>
      </c>
      <c r="D13" s="264">
        <v>13429.14</v>
      </c>
      <c r="E13" s="265">
        <v>188</v>
      </c>
      <c r="F13" s="450">
        <f>BDI_Equipamentos!$H$22</f>
        <v>0.10890619719771655</v>
      </c>
      <c r="G13" s="266">
        <f>((D13*E13*(1+F13)))</f>
        <v>2799631.4349787193</v>
      </c>
      <c r="H13" s="267">
        <f t="shared" ref="H13" si="3">G13/$G$366</f>
        <v>6.2546166184968457E-2</v>
      </c>
      <c r="I13" s="267">
        <f>H13+I12</f>
        <v>0.37998850501544834</v>
      </c>
      <c r="J13" s="90">
        <f t="shared" si="1"/>
        <v>4.420354962348938E-4</v>
      </c>
      <c r="K13" s="242"/>
      <c r="L13" s="91">
        <f t="shared" ref="L13" si="4">SUMIF($A$11:$A$352,A13,$D$11:$D$352)</f>
        <v>13429.14</v>
      </c>
      <c r="M13" s="91"/>
      <c r="O13" s="94"/>
    </row>
    <row r="14" spans="1:23" s="93" customFormat="1" ht="38.25">
      <c r="A14" s="261" t="s">
        <v>8329</v>
      </c>
      <c r="B14" s="262" t="s">
        <v>8330</v>
      </c>
      <c r="C14" s="263" t="s">
        <v>89</v>
      </c>
      <c r="D14" s="264">
        <v>5832</v>
      </c>
      <c r="E14" s="265">
        <v>353.31324129526598</v>
      </c>
      <c r="F14" s="450">
        <f>BDI_O.A.E!$H$22</f>
        <v>0.18201100192553743</v>
      </c>
      <c r="G14" s="266">
        <f>((D14*E14*(1+F14)))</f>
        <v>2435560.6467812471</v>
      </c>
      <c r="H14" s="267">
        <f t="shared" ref="H14" si="5">G14/$G$366</f>
        <v>5.4412512684301625E-2</v>
      </c>
      <c r="I14" s="267">
        <f>H14+I12</f>
        <v>0.37185485151478154</v>
      </c>
      <c r="J14" s="90">
        <f t="shared" si="1"/>
        <v>4.420354962348938E-4</v>
      </c>
      <c r="K14" s="242"/>
      <c r="L14" s="91">
        <f t="shared" si="2"/>
        <v>5832</v>
      </c>
      <c r="M14" s="91"/>
      <c r="O14" s="94"/>
    </row>
    <row r="15" spans="1:23" s="93" customFormat="1" ht="25.5">
      <c r="A15" s="261" t="s">
        <v>7496</v>
      </c>
      <c r="B15" s="262" t="s">
        <v>7495</v>
      </c>
      <c r="C15" s="263" t="s">
        <v>89</v>
      </c>
      <c r="D15" s="264">
        <v>87889.44</v>
      </c>
      <c r="E15" s="265">
        <v>23.46246</v>
      </c>
      <c r="F15" s="450">
        <f>BDI_Equipamentos!$H$22</f>
        <v>0.10890619719771655</v>
      </c>
      <c r="G15" s="266">
        <f>((D15*E15*(1+F15)))</f>
        <v>2286678.2087081205</v>
      </c>
      <c r="H15" s="267">
        <f t="shared" si="0"/>
        <v>5.1086351391282772E-2</v>
      </c>
      <c r="I15" s="267">
        <f>H15+I12</f>
        <v>0.36852869022176266</v>
      </c>
      <c r="J15" s="90">
        <f t="shared" si="1"/>
        <v>4.420354962348938E-4</v>
      </c>
      <c r="K15" s="242"/>
      <c r="L15" s="91">
        <f t="shared" si="2"/>
        <v>87889.44</v>
      </c>
      <c r="M15" s="91"/>
      <c r="O15" s="94"/>
    </row>
    <row r="16" spans="1:23" s="93" customFormat="1" ht="51">
      <c r="A16" s="261" t="s">
        <v>6886</v>
      </c>
      <c r="B16" s="262" t="s">
        <v>6885</v>
      </c>
      <c r="C16" s="263" t="s">
        <v>150</v>
      </c>
      <c r="D16" s="264">
        <v>28274.2</v>
      </c>
      <c r="E16" s="265">
        <v>38.861475942486315</v>
      </c>
      <c r="F16" s="450">
        <f>BDI_O.A.E!$H$22</f>
        <v>0.18201100192553743</v>
      </c>
      <c r="G16" s="266">
        <f>((D16*E16*(1+F16)))</f>
        <v>1298766.6718002914</v>
      </c>
      <c r="H16" s="267">
        <f t="shared" si="0"/>
        <v>2.9015560789535454E-2</v>
      </c>
      <c r="I16" s="267">
        <f t="shared" ref="I16:I77" si="6">H16+I15</f>
        <v>0.39754425101129809</v>
      </c>
      <c r="J16" s="90">
        <f t="shared" si="1"/>
        <v>4.420354962348938E-4</v>
      </c>
      <c r="K16" s="242"/>
      <c r="L16" s="91">
        <f t="shared" si="2"/>
        <v>28274.2</v>
      </c>
      <c r="M16" s="91"/>
      <c r="O16" s="94"/>
    </row>
    <row r="17" spans="1:15" s="93" customFormat="1" ht="25.5">
      <c r="A17" s="261" t="s">
        <v>6280</v>
      </c>
      <c r="B17" s="262" t="s">
        <v>8434</v>
      </c>
      <c r="C17" s="263" t="s">
        <v>89</v>
      </c>
      <c r="D17" s="264">
        <v>145300</v>
      </c>
      <c r="E17" s="265">
        <v>6.9</v>
      </c>
      <c r="F17" s="450">
        <f>BDI_Equipamentos!$H$22</f>
        <v>0.10890619719771655</v>
      </c>
      <c r="G17" s="266">
        <f>((D17*E17*(1+F17)))</f>
        <v>1111756.0861245147</v>
      </c>
      <c r="H17" s="267">
        <f t="shared" si="0"/>
        <v>2.4837583994488387E-2</v>
      </c>
      <c r="I17" s="267">
        <f t="shared" si="6"/>
        <v>0.42238183500578647</v>
      </c>
      <c r="J17" s="90">
        <f t="shared" si="1"/>
        <v>4.420354962348938E-4</v>
      </c>
      <c r="K17" s="242"/>
      <c r="L17" s="91">
        <f t="shared" si="2"/>
        <v>145300</v>
      </c>
      <c r="M17" s="91"/>
      <c r="O17" s="94"/>
    </row>
    <row r="18" spans="1:15" s="93" customFormat="1" ht="63.75">
      <c r="A18" s="261" t="s">
        <v>6289</v>
      </c>
      <c r="B18" s="262" t="s">
        <v>8251</v>
      </c>
      <c r="C18" s="263" t="s">
        <v>150</v>
      </c>
      <c r="D18" s="264">
        <v>49623.28</v>
      </c>
      <c r="E18" s="265">
        <v>17.562350857918293</v>
      </c>
      <c r="F18" s="450">
        <f>BDI_O.A.E!$H$22</f>
        <v>0.18201100192553743</v>
      </c>
      <c r="G18" s="266">
        <f>((D18*E18*(1+F18)))</f>
        <v>1030124.3069175142</v>
      </c>
      <c r="H18" s="267">
        <f t="shared" si="0"/>
        <v>2.3013860069808809E-2</v>
      </c>
      <c r="I18" s="267">
        <f t="shared" si="6"/>
        <v>0.44539569507559529</v>
      </c>
      <c r="J18" s="90">
        <f t="shared" si="1"/>
        <v>4.420354962348938E-4</v>
      </c>
      <c r="K18" s="242"/>
      <c r="L18" s="91">
        <f t="shared" si="2"/>
        <v>49623.28</v>
      </c>
      <c r="M18" s="91"/>
      <c r="O18" s="94"/>
    </row>
    <row r="19" spans="1:15" s="93" customFormat="1" ht="38.25">
      <c r="A19" s="261" t="s">
        <v>7469</v>
      </c>
      <c r="B19" s="262" t="s">
        <v>7471</v>
      </c>
      <c r="C19" s="263" t="s">
        <v>5</v>
      </c>
      <c r="D19" s="264">
        <v>137.11000000000001</v>
      </c>
      <c r="E19" s="265">
        <v>5550</v>
      </c>
      <c r="F19" s="450">
        <f>BDI_Equipamentos!$H$22</f>
        <v>0.10890619719771655</v>
      </c>
      <c r="G19" s="266">
        <f>((D19*E19*(1+F19)))</f>
        <v>843833.8142726731</v>
      </c>
      <c r="H19" s="267">
        <f t="shared" si="0"/>
        <v>1.8851970770358061E-2</v>
      </c>
      <c r="I19" s="267">
        <f t="shared" si="6"/>
        <v>0.46424766584595334</v>
      </c>
      <c r="J19" s="90">
        <f t="shared" si="1"/>
        <v>4.420354962348938E-4</v>
      </c>
      <c r="K19" s="242"/>
      <c r="L19" s="91">
        <f t="shared" si="2"/>
        <v>137.11000000000001</v>
      </c>
      <c r="M19" s="91"/>
      <c r="O19" s="94"/>
    </row>
    <row r="20" spans="1:15" s="93" customFormat="1">
      <c r="A20" s="261" t="s">
        <v>7655</v>
      </c>
      <c r="B20" s="262" t="s">
        <v>7798</v>
      </c>
      <c r="C20" s="263" t="s">
        <v>5079</v>
      </c>
      <c r="D20" s="264">
        <v>38</v>
      </c>
      <c r="E20" s="265">
        <v>17574.942899999998</v>
      </c>
      <c r="F20" s="450">
        <f>BDI_O.A.E!$H$22</f>
        <v>0.18201100192553743</v>
      </c>
      <c r="G20" s="266">
        <f>((D20*E20*(1+F20)))</f>
        <v>789403.48290849815</v>
      </c>
      <c r="H20" s="267">
        <f t="shared" si="0"/>
        <v>1.7635950508379378E-2</v>
      </c>
      <c r="I20" s="267">
        <f t="shared" si="6"/>
        <v>0.48188361635433274</v>
      </c>
      <c r="J20" s="90">
        <f t="shared" si="1"/>
        <v>4.420354962348938E-4</v>
      </c>
      <c r="K20" s="242"/>
      <c r="L20" s="91">
        <f t="shared" si="2"/>
        <v>38</v>
      </c>
      <c r="M20" s="91"/>
      <c r="O20" s="94"/>
    </row>
    <row r="21" spans="1:15" s="93" customFormat="1" ht="38.25">
      <c r="A21" s="261" t="s">
        <v>7463</v>
      </c>
      <c r="B21" s="262" t="s">
        <v>7462</v>
      </c>
      <c r="C21" s="263" t="s">
        <v>4521</v>
      </c>
      <c r="D21" s="264">
        <v>30</v>
      </c>
      <c r="E21" s="265">
        <v>22523.569200000002</v>
      </c>
      <c r="F21" s="450">
        <f>BDI_Equipamentos!$H$22</f>
        <v>0.10890619719771655</v>
      </c>
      <c r="G21" s="266">
        <f>((D21*E21*(1+F21)))</f>
        <v>749295.76406674844</v>
      </c>
      <c r="H21" s="267">
        <f t="shared" si="0"/>
        <v>1.6739909687922189E-2</v>
      </c>
      <c r="I21" s="267">
        <f t="shared" si="6"/>
        <v>0.49862352604225491</v>
      </c>
      <c r="J21" s="90">
        <f t="shared" si="1"/>
        <v>4.420354962348938E-4</v>
      </c>
      <c r="K21" s="242"/>
      <c r="L21" s="91">
        <f t="shared" si="2"/>
        <v>30</v>
      </c>
      <c r="M21" s="91"/>
      <c r="O21" s="94"/>
    </row>
    <row r="22" spans="1:15" s="93" customFormat="1" ht="38.25">
      <c r="A22" s="261" t="s">
        <v>7901</v>
      </c>
      <c r="B22" s="262" t="s">
        <v>8430</v>
      </c>
      <c r="C22" s="263" t="s">
        <v>89</v>
      </c>
      <c r="D22" s="264">
        <v>116800</v>
      </c>
      <c r="E22" s="265">
        <v>5.3109506490518843</v>
      </c>
      <c r="F22" s="450">
        <f>BDI_O.A.E!$H$22</f>
        <v>0.18201100192553743</v>
      </c>
      <c r="G22" s="266">
        <f>((D22*E22*(1+F22)))</f>
        <v>733223.92503038689</v>
      </c>
      <c r="H22" s="267">
        <f t="shared" si="0"/>
        <v>1.6380851026590228E-2</v>
      </c>
      <c r="I22" s="267">
        <f t="shared" si="6"/>
        <v>0.51500437706884516</v>
      </c>
      <c r="J22" s="90">
        <f t="shared" si="1"/>
        <v>4.420354962348938E-4</v>
      </c>
      <c r="K22" s="242"/>
      <c r="L22" s="91">
        <f t="shared" si="2"/>
        <v>116800</v>
      </c>
      <c r="M22" s="91"/>
      <c r="O22" s="94"/>
    </row>
    <row r="23" spans="1:15" s="93" customFormat="1" ht="76.5">
      <c r="A23" s="261" t="s">
        <v>6288</v>
      </c>
      <c r="B23" s="262" t="s">
        <v>8263</v>
      </c>
      <c r="C23" s="263" t="s">
        <v>150</v>
      </c>
      <c r="D23" s="264">
        <v>49623.28</v>
      </c>
      <c r="E23" s="265">
        <v>12.499629785209933</v>
      </c>
      <c r="F23" s="450">
        <f>BDI_O.A.E!$H$22</f>
        <v>0.18201100192553743</v>
      </c>
      <c r="G23" s="266">
        <f>((D23*E23*(1+F23)))</f>
        <v>733169.07134954829</v>
      </c>
      <c r="H23" s="267">
        <f t="shared" si="0"/>
        <v>1.6379625548338082E-2</v>
      </c>
      <c r="I23" s="267">
        <f t="shared" si="6"/>
        <v>0.53138400261718322</v>
      </c>
      <c r="J23" s="90">
        <f t="shared" si="1"/>
        <v>4.420354962348938E-4</v>
      </c>
      <c r="K23" s="242"/>
      <c r="L23" s="91">
        <f t="shared" si="2"/>
        <v>49623.28</v>
      </c>
      <c r="M23" s="91"/>
      <c r="O23" s="94"/>
    </row>
    <row r="24" spans="1:15" s="93" customFormat="1" ht="38.25">
      <c r="A24" s="261" t="s">
        <v>7456</v>
      </c>
      <c r="B24" s="262" t="s">
        <v>7459</v>
      </c>
      <c r="C24" s="263" t="s">
        <v>4521</v>
      </c>
      <c r="D24" s="264">
        <v>30</v>
      </c>
      <c r="E24" s="265">
        <v>19381.448100000001</v>
      </c>
      <c r="F24" s="450">
        <f>BDI_Equipamentos!$H$22</f>
        <v>0.10890619719771655</v>
      </c>
      <c r="G24" s="266">
        <f>((D24*E24*(1+F24)))</f>
        <v>644766.2372626774</v>
      </c>
      <c r="H24" s="267">
        <f t="shared" si="0"/>
        <v>1.4404630453292063E-2</v>
      </c>
      <c r="I24" s="267">
        <f t="shared" si="6"/>
        <v>0.54578863307047532</v>
      </c>
      <c r="J24" s="90">
        <f t="shared" si="1"/>
        <v>4.420354962348938E-4</v>
      </c>
      <c r="K24" s="242"/>
      <c r="L24" s="91">
        <f t="shared" si="2"/>
        <v>30</v>
      </c>
      <c r="M24" s="91"/>
      <c r="O24" s="94"/>
    </row>
    <row r="25" spans="1:15" s="93" customFormat="1" ht="63.75">
      <c r="A25" s="261" t="s">
        <v>6882</v>
      </c>
      <c r="B25" s="262" t="s">
        <v>8376</v>
      </c>
      <c r="C25" s="263" t="s">
        <v>150</v>
      </c>
      <c r="D25" s="264">
        <v>13906.02</v>
      </c>
      <c r="E25" s="265">
        <v>38.861475942486315</v>
      </c>
      <c r="F25" s="450">
        <f>BDI_O.A.E!$H$22</f>
        <v>0.18201100192553743</v>
      </c>
      <c r="G25" s="266">
        <f>((D25*E25*(1+F25)))</f>
        <v>638768.7472461923</v>
      </c>
      <c r="H25" s="267">
        <f t="shared" si="0"/>
        <v>1.4270641385096514E-2</v>
      </c>
      <c r="I25" s="267">
        <f t="shared" si="6"/>
        <v>0.5600592744555718</v>
      </c>
      <c r="J25" s="90">
        <f t="shared" si="1"/>
        <v>4.420354962348938E-4</v>
      </c>
      <c r="K25" s="242"/>
      <c r="L25" s="91">
        <f t="shared" si="2"/>
        <v>13906.02</v>
      </c>
      <c r="M25" s="91"/>
      <c r="O25" s="94"/>
    </row>
    <row r="26" spans="1:15" s="93" customFormat="1" ht="76.5">
      <c r="A26" s="261" t="s">
        <v>6303</v>
      </c>
      <c r="B26" s="262" t="s">
        <v>8288</v>
      </c>
      <c r="C26" s="263" t="s">
        <v>150</v>
      </c>
      <c r="D26" s="264">
        <v>9206.4599999999991</v>
      </c>
      <c r="E26" s="265">
        <v>57.83265903667791</v>
      </c>
      <c r="F26" s="450">
        <f>BDI_O.A.E!$H$22</f>
        <v>0.18201100192553743</v>
      </c>
      <c r="G26" s="266">
        <f>((D26*E26*(1+F26)))</f>
        <v>629342.91921961482</v>
      </c>
      <c r="H26" s="267">
        <f t="shared" si="0"/>
        <v>1.4060060306881936E-2</v>
      </c>
      <c r="I26" s="267">
        <f t="shared" si="6"/>
        <v>0.57411933476245369</v>
      </c>
      <c r="J26" s="90">
        <f t="shared" si="1"/>
        <v>4.420354962348938E-4</v>
      </c>
      <c r="K26" s="242"/>
      <c r="L26" s="91">
        <f t="shared" si="2"/>
        <v>9206.4599999999991</v>
      </c>
      <c r="M26" s="91"/>
      <c r="O26" s="94"/>
    </row>
    <row r="27" spans="1:15" s="93" customFormat="1" ht="38.25">
      <c r="A27" s="261" t="s">
        <v>7451</v>
      </c>
      <c r="B27" s="262" t="s">
        <v>7452</v>
      </c>
      <c r="C27" s="263" t="s">
        <v>4521</v>
      </c>
      <c r="D27" s="264">
        <v>18</v>
      </c>
      <c r="E27" s="265">
        <v>31243.2827</v>
      </c>
      <c r="F27" s="450">
        <f>BDI_Equipamentos!$H$22</f>
        <v>0.10890619719771655</v>
      </c>
      <c r="G27" s="266">
        <f>((D27*E27*(1+F27)))</f>
        <v>623625.65652294375</v>
      </c>
      <c r="H27" s="267">
        <f t="shared" si="0"/>
        <v>1.3932331757230246E-2</v>
      </c>
      <c r="I27" s="267">
        <f t="shared" si="6"/>
        <v>0.58805166651968399</v>
      </c>
      <c r="J27" s="90">
        <f t="shared" si="1"/>
        <v>4.420354962348938E-4</v>
      </c>
      <c r="K27" s="242"/>
      <c r="L27" s="91">
        <f t="shared" si="2"/>
        <v>18</v>
      </c>
      <c r="M27" s="91"/>
      <c r="O27" s="94"/>
    </row>
    <row r="28" spans="1:15" s="93" customFormat="1" ht="38.25">
      <c r="A28" s="261">
        <v>3205866</v>
      </c>
      <c r="B28" s="262" t="s">
        <v>6586</v>
      </c>
      <c r="C28" s="263" t="s">
        <v>172</v>
      </c>
      <c r="D28" s="264">
        <v>1143.06</v>
      </c>
      <c r="E28" s="265">
        <v>418.70914428194942</v>
      </c>
      <c r="F28" s="450">
        <f>BDI_O.A.E!$H$22</f>
        <v>0.18201100192553743</v>
      </c>
      <c r="G28" s="266">
        <f>((D28*E28*(1+F28)))</f>
        <v>565721.90084317734</v>
      </c>
      <c r="H28" s="267">
        <f t="shared" si="0"/>
        <v>1.2638712218518354E-2</v>
      </c>
      <c r="I28" s="267">
        <f t="shared" si="6"/>
        <v>0.6006903787382023</v>
      </c>
      <c r="J28" s="90">
        <f t="shared" si="1"/>
        <v>4.420354962348938E-4</v>
      </c>
      <c r="K28" s="242"/>
      <c r="L28" s="91">
        <f t="shared" si="2"/>
        <v>1143.06</v>
      </c>
      <c r="M28" s="91"/>
      <c r="O28" s="94"/>
    </row>
    <row r="29" spans="1:15" s="93" customFormat="1" ht="38.25">
      <c r="A29" s="261" t="s">
        <v>7448</v>
      </c>
      <c r="B29" s="262" t="s">
        <v>7449</v>
      </c>
      <c r="C29" s="263" t="s">
        <v>4521</v>
      </c>
      <c r="D29" s="264">
        <v>18</v>
      </c>
      <c r="E29" s="265">
        <v>26884.9411</v>
      </c>
      <c r="F29" s="450">
        <f>BDI_Equipamentos!$H$22</f>
        <v>0.10890619719771655</v>
      </c>
      <c r="G29" s="266">
        <f>((D29*E29*(1+F29)))</f>
        <v>536631.80034754064</v>
      </c>
      <c r="H29" s="267">
        <f t="shared" si="0"/>
        <v>1.1988814436544294E-2</v>
      </c>
      <c r="I29" s="267">
        <f t="shared" si="6"/>
        <v>0.61267919317474662</v>
      </c>
      <c r="J29" s="90">
        <f t="shared" si="1"/>
        <v>4.420354962348938E-4</v>
      </c>
      <c r="K29" s="242"/>
      <c r="L29" s="91">
        <f t="shared" si="2"/>
        <v>18</v>
      </c>
      <c r="M29" s="91"/>
      <c r="O29" s="94"/>
    </row>
    <row r="30" spans="1:15" s="93" customFormat="1" ht="38.25">
      <c r="A30" s="261" t="s">
        <v>7416</v>
      </c>
      <c r="B30" s="262" t="s">
        <v>8366</v>
      </c>
      <c r="C30" s="263" t="s">
        <v>4521</v>
      </c>
      <c r="D30" s="264">
        <v>28</v>
      </c>
      <c r="E30" s="265">
        <v>14532.625077863613</v>
      </c>
      <c r="F30" s="450">
        <f>BDI_O.A.E!$H$22</f>
        <v>0.18201100192553743</v>
      </c>
      <c r="G30" s="266">
        <f>((D30*E30*(1+F30)))</f>
        <v>480976.23640902527</v>
      </c>
      <c r="H30" s="267">
        <f t="shared" si="0"/>
        <v>1.0745421428548946E-2</v>
      </c>
      <c r="I30" s="267">
        <f t="shared" si="6"/>
        <v>0.62342461460329557</v>
      </c>
      <c r="J30" s="90">
        <f t="shared" si="1"/>
        <v>4.420354962348938E-4</v>
      </c>
      <c r="K30" s="242"/>
      <c r="L30" s="91">
        <f t="shared" si="2"/>
        <v>28</v>
      </c>
      <c r="M30" s="91"/>
      <c r="O30" s="94"/>
    </row>
    <row r="31" spans="1:15" s="93" customFormat="1" ht="76.5">
      <c r="A31" s="261" t="s">
        <v>6291</v>
      </c>
      <c r="B31" s="262" t="s">
        <v>8281</v>
      </c>
      <c r="C31" s="263" t="s">
        <v>150</v>
      </c>
      <c r="D31" s="264">
        <v>6683.65</v>
      </c>
      <c r="E31" s="265">
        <v>59.603774028286608</v>
      </c>
      <c r="F31" s="450">
        <f>BDI_O.A.E!$H$22</f>
        <v>0.18201100192553743</v>
      </c>
      <c r="G31" s="266">
        <f>((D31*E31*(1+F31)))</f>
        <v>470878.62622935942</v>
      </c>
      <c r="H31" s="267">
        <f t="shared" si="0"/>
        <v>1.051983216116268E-2</v>
      </c>
      <c r="I31" s="267">
        <f t="shared" si="6"/>
        <v>0.63394444676445827</v>
      </c>
      <c r="J31" s="90">
        <f t="shared" si="1"/>
        <v>4.420354962348938E-4</v>
      </c>
      <c r="K31" s="242"/>
      <c r="L31" s="91">
        <f t="shared" si="2"/>
        <v>6683.65</v>
      </c>
      <c r="M31" s="91"/>
      <c r="O31" s="94"/>
    </row>
    <row r="32" spans="1:15" s="93" customFormat="1" ht="89.25">
      <c r="A32" s="261" t="s">
        <v>6287</v>
      </c>
      <c r="B32" s="262" t="s">
        <v>8262</v>
      </c>
      <c r="C32" s="263" t="s">
        <v>150</v>
      </c>
      <c r="D32" s="264">
        <v>49623.28</v>
      </c>
      <c r="E32" s="265">
        <v>7.9329294010281828</v>
      </c>
      <c r="F32" s="450">
        <f>BDI_O.A.E!$H$22</f>
        <v>0.18201100192553743</v>
      </c>
      <c r="G32" s="266">
        <f>((D32*E32*(1+F32)))</f>
        <v>465308.05967671936</v>
      </c>
      <c r="H32" s="267">
        <f t="shared" si="0"/>
        <v>1.0395380929120953E-2</v>
      </c>
      <c r="I32" s="267">
        <f t="shared" si="6"/>
        <v>0.64433982769357923</v>
      </c>
      <c r="J32" s="90">
        <f t="shared" si="1"/>
        <v>4.420354962348938E-4</v>
      </c>
      <c r="K32" s="242"/>
      <c r="L32" s="91">
        <f t="shared" si="2"/>
        <v>49623.28</v>
      </c>
      <c r="M32" s="91"/>
      <c r="O32" s="94"/>
    </row>
    <row r="33" spans="1:15" s="93" customFormat="1" ht="25.5">
      <c r="A33" s="261">
        <v>407819</v>
      </c>
      <c r="B33" s="262" t="s">
        <v>6619</v>
      </c>
      <c r="C33" s="263" t="s">
        <v>89</v>
      </c>
      <c r="D33" s="264">
        <v>15503</v>
      </c>
      <c r="E33" s="265">
        <v>24.320908694726448</v>
      </c>
      <c r="F33" s="450">
        <f>BDI_O.A.E!$H$22</f>
        <v>0.18201100192553743</v>
      </c>
      <c r="G33" s="266">
        <f>((D33*E33*(1+F33)))</f>
        <v>445673.75838185538</v>
      </c>
      <c r="H33" s="267">
        <f t="shared" si="0"/>
        <v>9.9567338070851771E-3</v>
      </c>
      <c r="I33" s="267">
        <f t="shared" si="6"/>
        <v>0.6542965615006644</v>
      </c>
      <c r="J33" s="90">
        <f t="shared" si="1"/>
        <v>4.420354962348938E-4</v>
      </c>
      <c r="K33" s="242"/>
      <c r="L33" s="91">
        <f t="shared" si="2"/>
        <v>15503</v>
      </c>
      <c r="M33" s="91"/>
      <c r="O33" s="94"/>
    </row>
    <row r="34" spans="1:15" s="93" customFormat="1" ht="25.5">
      <c r="A34" s="261" t="s">
        <v>26996</v>
      </c>
      <c r="B34" s="262" t="s">
        <v>26997</v>
      </c>
      <c r="C34" s="263" t="s">
        <v>5079</v>
      </c>
      <c r="D34" s="264">
        <v>18</v>
      </c>
      <c r="E34" s="265">
        <v>20625.572400000001</v>
      </c>
      <c r="F34" s="450">
        <f>BDI_O.A.E!$H$22</f>
        <v>0.18201100192553743</v>
      </c>
      <c r="G34" s="266">
        <f>((D34*E34*(1+F34)))</f>
        <v>438833.76296061085</v>
      </c>
      <c r="H34" s="267">
        <f t="shared" si="0"/>
        <v>9.8039224459265488E-3</v>
      </c>
      <c r="I34" s="267">
        <f t="shared" si="6"/>
        <v>0.66410048394659094</v>
      </c>
      <c r="J34" s="90">
        <f t="shared" si="1"/>
        <v>4.420354962348938E-4</v>
      </c>
      <c r="K34" s="242"/>
      <c r="L34" s="91">
        <f t="shared" si="2"/>
        <v>18</v>
      </c>
      <c r="M34" s="91"/>
      <c r="O34" s="94"/>
    </row>
    <row r="35" spans="1:15" s="93" customFormat="1">
      <c r="A35" s="261" t="s">
        <v>7654</v>
      </c>
      <c r="B35" s="262" t="s">
        <v>7797</v>
      </c>
      <c r="C35" s="263" t="s">
        <v>5079</v>
      </c>
      <c r="D35" s="264">
        <v>14</v>
      </c>
      <c r="E35" s="265">
        <v>21731.673900000002</v>
      </c>
      <c r="F35" s="450">
        <f>BDI_O.A.E!$H$22</f>
        <v>0.18201100192553743</v>
      </c>
      <c r="G35" s="266">
        <f>((D35*E35*(1+F35)))</f>
        <v>359619.08696081274</v>
      </c>
      <c r="H35" s="267">
        <f t="shared" si="0"/>
        <v>8.0341986789088139E-3</v>
      </c>
      <c r="I35" s="267">
        <f t="shared" si="6"/>
        <v>0.6721346826254998</v>
      </c>
      <c r="J35" s="90">
        <f t="shared" si="1"/>
        <v>4.420354962348938E-4</v>
      </c>
      <c r="K35" s="242"/>
      <c r="L35" s="91">
        <f t="shared" si="2"/>
        <v>14</v>
      </c>
      <c r="M35" s="91"/>
      <c r="O35" s="94"/>
    </row>
    <row r="36" spans="1:15" s="93" customFormat="1" ht="204">
      <c r="A36" s="261" t="s">
        <v>6266</v>
      </c>
      <c r="B36" s="262" t="s">
        <v>6618</v>
      </c>
      <c r="C36" s="263" t="s">
        <v>150</v>
      </c>
      <c r="D36" s="264">
        <v>420</v>
      </c>
      <c r="E36" s="265">
        <v>620.4</v>
      </c>
      <c r="F36" s="450">
        <f>BDI_O.A.E!$H$22</f>
        <v>0.18201100192553743</v>
      </c>
      <c r="G36" s="266">
        <f>((D36*E36*(1+F36)))</f>
        <v>307994.24274973344</v>
      </c>
      <c r="H36" s="267">
        <f t="shared" si="0"/>
        <v>6.8808554048775256E-3</v>
      </c>
      <c r="I36" s="267">
        <f t="shared" si="6"/>
        <v>0.67901553803037729</v>
      </c>
      <c r="J36" s="90">
        <f t="shared" si="1"/>
        <v>4.420354962348938E-4</v>
      </c>
      <c r="K36" s="242"/>
      <c r="L36" s="91">
        <f t="shared" si="2"/>
        <v>420</v>
      </c>
      <c r="M36" s="91"/>
      <c r="O36" s="94"/>
    </row>
    <row r="37" spans="1:15" s="93" customFormat="1" ht="38.25">
      <c r="A37" s="261" t="s">
        <v>7413</v>
      </c>
      <c r="B37" s="262" t="s">
        <v>8003</v>
      </c>
      <c r="C37" s="263" t="s">
        <v>5</v>
      </c>
      <c r="D37" s="264">
        <v>1408.08</v>
      </c>
      <c r="E37" s="265">
        <v>178.13565698542146</v>
      </c>
      <c r="F37" s="450">
        <f>BDI_O.A.E!$H$22</f>
        <v>0.18201100192553743</v>
      </c>
      <c r="G37" s="266">
        <f>((D37*E37*(1+F37)))</f>
        <v>296482.94006444997</v>
      </c>
      <c r="H37" s="267">
        <f t="shared" si="0"/>
        <v>6.6236830350563936E-3</v>
      </c>
      <c r="I37" s="267">
        <f t="shared" si="6"/>
        <v>0.68563922106543362</v>
      </c>
      <c r="J37" s="90">
        <f t="shared" si="1"/>
        <v>4.420354962348938E-4</v>
      </c>
      <c r="K37" s="242"/>
      <c r="L37" s="91">
        <f t="shared" si="2"/>
        <v>1408.08</v>
      </c>
      <c r="M37" s="91"/>
      <c r="O37" s="94"/>
    </row>
    <row r="38" spans="1:15" s="93" customFormat="1" ht="25.5">
      <c r="A38" s="261" t="s">
        <v>6294</v>
      </c>
      <c r="B38" s="262" t="s">
        <v>7538</v>
      </c>
      <c r="C38" s="263" t="s">
        <v>150</v>
      </c>
      <c r="D38" s="264">
        <v>51783.28</v>
      </c>
      <c r="E38" s="265">
        <v>4.6725596765594455</v>
      </c>
      <c r="F38" s="450">
        <f>BDI_O.A.E!$H$22</f>
        <v>0.18201100192553743</v>
      </c>
      <c r="G38" s="266">
        <f>((D38*E38*(1+F38)))</f>
        <v>285999.93289975135</v>
      </c>
      <c r="H38" s="267">
        <f t="shared" si="0"/>
        <v>6.3894836686507082E-3</v>
      </c>
      <c r="I38" s="267">
        <f t="shared" si="6"/>
        <v>0.69202870473408429</v>
      </c>
      <c r="J38" s="90">
        <f t="shared" si="1"/>
        <v>4.420354962348938E-4</v>
      </c>
      <c r="K38" s="242"/>
      <c r="L38" s="91">
        <f t="shared" si="2"/>
        <v>51783.28</v>
      </c>
      <c r="M38" s="91"/>
      <c r="O38" s="94"/>
    </row>
    <row r="39" spans="1:15" s="93" customFormat="1" ht="51">
      <c r="A39" s="261" t="s">
        <v>8565</v>
      </c>
      <c r="B39" s="262" t="s">
        <v>8566</v>
      </c>
      <c r="C39" s="263" t="s">
        <v>150</v>
      </c>
      <c r="D39" s="264">
        <v>21090.11</v>
      </c>
      <c r="E39" s="265">
        <v>10.36512372334956</v>
      </c>
      <c r="F39" s="450">
        <f>BDI_O.A.E!$H$22</f>
        <v>0.18201100192553743</v>
      </c>
      <c r="G39" s="266">
        <f>((D39*E39*(1+F39)))</f>
        <v>258389.49563457916</v>
      </c>
      <c r="H39" s="267">
        <f t="shared" si="0"/>
        <v>5.772642831656666E-3</v>
      </c>
      <c r="I39" s="267">
        <f t="shared" si="6"/>
        <v>0.69780134756574097</v>
      </c>
      <c r="J39" s="90">
        <f t="shared" si="1"/>
        <v>4.420354962348938E-4</v>
      </c>
      <c r="K39" s="242"/>
      <c r="L39" s="91">
        <f t="shared" si="2"/>
        <v>21090.11</v>
      </c>
      <c r="M39" s="91"/>
      <c r="O39" s="94"/>
    </row>
    <row r="40" spans="1:15" s="93" customFormat="1" ht="38.25">
      <c r="A40" s="261" t="s">
        <v>6281</v>
      </c>
      <c r="B40" s="262" t="s">
        <v>8428</v>
      </c>
      <c r="C40" s="263" t="s">
        <v>89</v>
      </c>
      <c r="D40" s="264">
        <v>435900</v>
      </c>
      <c r="E40" s="265">
        <v>0.49511932444363738</v>
      </c>
      <c r="F40" s="450">
        <f>BDI_O.A.E!$H$22</f>
        <v>0.18201100192553743</v>
      </c>
      <c r="G40" s="266">
        <f>((D40*E40*(1+F40)))</f>
        <v>255104.58544975129</v>
      </c>
      <c r="H40" s="267">
        <f t="shared" si="0"/>
        <v>5.6992551222046529E-3</v>
      </c>
      <c r="I40" s="267">
        <f t="shared" si="6"/>
        <v>0.70350060268794568</v>
      </c>
      <c r="J40" s="90">
        <f t="shared" si="1"/>
        <v>4.420354962348938E-4</v>
      </c>
      <c r="K40" s="242"/>
      <c r="L40" s="91">
        <f t="shared" si="2"/>
        <v>435900</v>
      </c>
      <c r="M40" s="91"/>
      <c r="O40" s="94"/>
    </row>
    <row r="41" spans="1:15" s="93" customFormat="1" ht="102">
      <c r="A41" s="261" t="s">
        <v>13446</v>
      </c>
      <c r="B41" s="262" t="s">
        <v>13447</v>
      </c>
      <c r="C41" s="263" t="s">
        <v>10</v>
      </c>
      <c r="D41" s="264">
        <v>1</v>
      </c>
      <c r="E41" s="265">
        <v>215708.4276</v>
      </c>
      <c r="F41" s="450">
        <f>BDI_O.A.E!$H$22</f>
        <v>0.18201100192553743</v>
      </c>
      <c r="G41" s="266">
        <f>((D41*E41*(1+F41)))</f>
        <v>254969.73463125824</v>
      </c>
      <c r="H41" s="267">
        <f t="shared" si="0"/>
        <v>5.696242439321376E-3</v>
      </c>
      <c r="I41" s="267">
        <f t="shared" si="6"/>
        <v>0.70919684512726711</v>
      </c>
      <c r="J41" s="90">
        <f t="shared" si="1"/>
        <v>4.420354962348938E-4</v>
      </c>
      <c r="K41" s="242"/>
      <c r="L41" s="91">
        <f t="shared" si="2"/>
        <v>1</v>
      </c>
      <c r="M41" s="91"/>
      <c r="O41" s="94"/>
    </row>
    <row r="42" spans="1:15" s="93" customFormat="1" ht="38.25">
      <c r="A42" s="261" t="s">
        <v>6824</v>
      </c>
      <c r="B42" s="262" t="s">
        <v>13452</v>
      </c>
      <c r="C42" s="263" t="s">
        <v>5</v>
      </c>
      <c r="D42" s="264">
        <v>480</v>
      </c>
      <c r="E42" s="265">
        <v>447.84265609207642</v>
      </c>
      <c r="F42" s="450">
        <f>BDI_O.A.E!$H$22</f>
        <v>0.18201100192553743</v>
      </c>
      <c r="G42" s="266">
        <f>((D42*E42*(1+F42)))</f>
        <v>254090.37438354679</v>
      </c>
      <c r="H42" s="267">
        <f t="shared" si="0"/>
        <v>5.6765967775736772E-3</v>
      </c>
      <c r="I42" s="267">
        <f t="shared" si="6"/>
        <v>0.71487344190484081</v>
      </c>
      <c r="J42" s="90">
        <f t="shared" si="1"/>
        <v>4.420354962348938E-4</v>
      </c>
      <c r="K42" s="242"/>
      <c r="L42" s="91">
        <f t="shared" si="2"/>
        <v>480</v>
      </c>
      <c r="M42" s="91"/>
      <c r="O42" s="94"/>
    </row>
    <row r="43" spans="1:15" s="93" customFormat="1" ht="25.5">
      <c r="A43" s="261" t="s">
        <v>7480</v>
      </c>
      <c r="B43" s="262" t="s">
        <v>7481</v>
      </c>
      <c r="C43" s="263" t="s">
        <v>5</v>
      </c>
      <c r="D43" s="264">
        <v>1686.97</v>
      </c>
      <c r="E43" s="265">
        <v>133.62</v>
      </c>
      <c r="F43" s="450">
        <f>BDI_Equipamentos!$H$22</f>
        <v>0.10890619719771655</v>
      </c>
      <c r="G43" s="266">
        <f>((D43*E43*(1+F43)))</f>
        <v>249961.79655796377</v>
      </c>
      <c r="H43" s="267">
        <f t="shared" si="0"/>
        <v>5.5843608098101374E-3</v>
      </c>
      <c r="I43" s="267">
        <f t="shared" si="6"/>
        <v>0.72045780271465099</v>
      </c>
      <c r="J43" s="90">
        <f t="shared" si="1"/>
        <v>4.420354962348938E-4</v>
      </c>
      <c r="K43" s="242"/>
      <c r="L43" s="91">
        <f t="shared" si="2"/>
        <v>1686.97</v>
      </c>
      <c r="M43" s="91"/>
      <c r="O43" s="94"/>
    </row>
    <row r="44" spans="1:15" s="93" customFormat="1" ht="51">
      <c r="A44" s="261" t="s">
        <v>7421</v>
      </c>
      <c r="B44" s="262" t="s">
        <v>13219</v>
      </c>
      <c r="C44" s="263" t="s">
        <v>5</v>
      </c>
      <c r="D44" s="264">
        <v>36</v>
      </c>
      <c r="E44" s="265">
        <v>6104.1334624975279</v>
      </c>
      <c r="F44" s="450">
        <f>BDI_Equipamentos!$H$22</f>
        <v>0.10890619719771655</v>
      </c>
      <c r="G44" s="266">
        <f>((D44*E44*(1+F44)))</f>
        <v>243680.81130307671</v>
      </c>
      <c r="H44" s="267">
        <f t="shared" si="0"/>
        <v>5.4440382149681171E-3</v>
      </c>
      <c r="I44" s="267">
        <f t="shared" si="6"/>
        <v>0.72590184092961907</v>
      </c>
      <c r="J44" s="90">
        <f t="shared" ref="J44:J75" si="7">$G$373-$G$366</f>
        <v>4.420354962348938E-4</v>
      </c>
      <c r="K44" s="242"/>
      <c r="L44" s="91">
        <f t="shared" si="2"/>
        <v>36</v>
      </c>
      <c r="M44" s="91"/>
      <c r="O44" s="94"/>
    </row>
    <row r="45" spans="1:15" s="93" customFormat="1">
      <c r="A45" s="261" t="s">
        <v>27028</v>
      </c>
      <c r="B45" s="262" t="s">
        <v>27030</v>
      </c>
      <c r="C45" s="263" t="s">
        <v>5079</v>
      </c>
      <c r="D45" s="264">
        <v>17</v>
      </c>
      <c r="E45" s="265">
        <v>9528.6200000000008</v>
      </c>
      <c r="F45" s="450">
        <f>BDI_O.A.E!$H$22</f>
        <v>0.18201100192553743</v>
      </c>
      <c r="G45" s="266">
        <f>((D45*E45*(1+F45)))</f>
        <v>191469.87244385114</v>
      </c>
      <c r="H45" s="267">
        <f>G45/$G$366</f>
        <v>4.2776010840794316E-3</v>
      </c>
      <c r="I45" s="267">
        <f t="shared" si="6"/>
        <v>0.73017944201369855</v>
      </c>
      <c r="J45" s="90">
        <f t="shared" si="7"/>
        <v>4.420354962348938E-4</v>
      </c>
      <c r="K45" s="242"/>
      <c r="L45" s="91">
        <f t="shared" si="2"/>
        <v>17</v>
      </c>
      <c r="M45" s="91"/>
      <c r="O45" s="94"/>
    </row>
    <row r="46" spans="1:15" s="93" customFormat="1" ht="38.25">
      <c r="A46" s="261" t="s">
        <v>8186</v>
      </c>
      <c r="B46" s="262" t="s">
        <v>8189</v>
      </c>
      <c r="C46" s="263" t="s">
        <v>4521</v>
      </c>
      <c r="D46" s="264">
        <v>9</v>
      </c>
      <c r="E46" s="265">
        <v>18604.586886890746</v>
      </c>
      <c r="F46" s="450">
        <f>BDI_Equipamentos!$H$22</f>
        <v>0.10890619719771655</v>
      </c>
      <c r="G46" s="266">
        <f>((D46*E46*(1+F46)))</f>
        <v>185676.6752565887</v>
      </c>
      <c r="H46" s="267">
        <f>G46/$G$366</f>
        <v>4.1481760928146214E-3</v>
      </c>
      <c r="I46" s="267">
        <f t="shared" si="6"/>
        <v>0.73432761810651315</v>
      </c>
      <c r="J46" s="90">
        <f t="shared" si="7"/>
        <v>4.420354962348938E-4</v>
      </c>
      <c r="K46" s="242"/>
      <c r="L46" s="91">
        <f t="shared" si="2"/>
        <v>9</v>
      </c>
      <c r="M46" s="91"/>
      <c r="O46" s="94"/>
    </row>
    <row r="47" spans="1:15" s="93" customFormat="1" ht="38.25">
      <c r="A47" s="261">
        <v>3205874</v>
      </c>
      <c r="B47" s="262" t="s">
        <v>6585</v>
      </c>
      <c r="C47" s="263" t="s">
        <v>150</v>
      </c>
      <c r="D47" s="264">
        <v>782</v>
      </c>
      <c r="E47" s="265">
        <v>188.15402832739812</v>
      </c>
      <c r="F47" s="450">
        <f>BDI_O.A.E!$H$22</f>
        <v>0.18201100192553743</v>
      </c>
      <c r="G47" s="266">
        <f>((D47*E47*(1+F47)))</f>
        <v>173916.90286396234</v>
      </c>
      <c r="H47" s="267">
        <f>G47/$G$366</f>
        <v>3.8854526967358077E-3</v>
      </c>
      <c r="I47" s="267">
        <f t="shared" si="6"/>
        <v>0.73821307080324894</v>
      </c>
      <c r="J47" s="90">
        <f t="shared" si="7"/>
        <v>4.420354962348938E-4</v>
      </c>
      <c r="K47" s="242"/>
      <c r="L47" s="91">
        <f t="shared" si="2"/>
        <v>782</v>
      </c>
      <c r="M47" s="91"/>
      <c r="O47" s="94"/>
    </row>
    <row r="48" spans="1:15" s="93" customFormat="1" ht="25.5">
      <c r="A48" s="261" t="s">
        <v>7899</v>
      </c>
      <c r="B48" s="262" t="s">
        <v>8435</v>
      </c>
      <c r="C48" s="263" t="s">
        <v>89</v>
      </c>
      <c r="D48" s="264">
        <v>29200</v>
      </c>
      <c r="E48" s="265">
        <v>5.3588073289429525</v>
      </c>
      <c r="F48" s="450">
        <f>BDI_Equipamentos!$H$22</f>
        <v>0.10890619719771655</v>
      </c>
      <c r="G48" s="266">
        <f>((D48*E48*(1+F48)))</f>
        <v>173518.50797427876</v>
      </c>
      <c r="H48" s="267">
        <f>G48/$G$366</f>
        <v>3.8765522133842982E-3</v>
      </c>
      <c r="I48" s="267">
        <f t="shared" si="6"/>
        <v>0.74208962301663328</v>
      </c>
      <c r="J48" s="90">
        <f t="shared" si="7"/>
        <v>4.420354962348938E-4</v>
      </c>
      <c r="K48" s="242"/>
      <c r="L48" s="91">
        <f t="shared" si="2"/>
        <v>29200</v>
      </c>
      <c r="M48" s="91"/>
      <c r="O48" s="94"/>
    </row>
    <row r="49" spans="1:15" s="93" customFormat="1" ht="127.5">
      <c r="A49" s="261" t="s">
        <v>6800</v>
      </c>
      <c r="B49" s="262" t="s">
        <v>6801</v>
      </c>
      <c r="C49" s="263" t="s">
        <v>10</v>
      </c>
      <c r="D49" s="264">
        <v>1</v>
      </c>
      <c r="E49" s="265">
        <v>144112.5288</v>
      </c>
      <c r="F49" s="450">
        <f>BDI_O.A.E!$H$22</f>
        <v>0.18201100192553743</v>
      </c>
      <c r="G49" s="266">
        <f>((D49*E49*(1+F49)))</f>
        <v>170342.59455691086</v>
      </c>
      <c r="H49" s="267">
        <f>G49/$G$366</f>
        <v>3.8055995851526202E-3</v>
      </c>
      <c r="I49" s="267">
        <f t="shared" si="6"/>
        <v>0.74589522260178587</v>
      </c>
      <c r="J49" s="90">
        <f t="shared" si="7"/>
        <v>4.420354962348938E-4</v>
      </c>
      <c r="K49" s="242"/>
      <c r="L49" s="91">
        <f t="shared" si="2"/>
        <v>1</v>
      </c>
      <c r="M49" s="91"/>
      <c r="O49" s="94"/>
    </row>
    <row r="50" spans="1:15" s="93" customFormat="1">
      <c r="A50" s="261" t="s">
        <v>7661</v>
      </c>
      <c r="B50" s="262" t="s">
        <v>8495</v>
      </c>
      <c r="C50" s="263" t="s">
        <v>5079</v>
      </c>
      <c r="D50" s="264">
        <v>19</v>
      </c>
      <c r="E50" s="265">
        <v>7265.9579999999996</v>
      </c>
      <c r="F50" s="450">
        <f>BDI_O.A.E!$H$22</f>
        <v>0.18201100192553743</v>
      </c>
      <c r="G50" s="266">
        <f>((D50*E50*(1+F50)))</f>
        <v>163180.40361504859</v>
      </c>
      <c r="H50" s="267">
        <f t="shared" ref="H50:H108" si="8">G50/$G$366</f>
        <v>3.6455900998677835E-3</v>
      </c>
      <c r="I50" s="267">
        <f t="shared" si="6"/>
        <v>0.74954081270165362</v>
      </c>
      <c r="J50" s="90">
        <f t="shared" si="7"/>
        <v>4.420354962348938E-4</v>
      </c>
      <c r="K50" s="242"/>
      <c r="L50" s="91">
        <f t="shared" si="2"/>
        <v>19</v>
      </c>
      <c r="M50" s="91"/>
      <c r="O50" s="94"/>
    </row>
    <row r="51" spans="1:15" s="93" customFormat="1" ht="63.75">
      <c r="A51" s="261" t="s">
        <v>6293</v>
      </c>
      <c r="B51" s="262" t="s">
        <v>8253</v>
      </c>
      <c r="C51" s="263" t="s">
        <v>150</v>
      </c>
      <c r="D51" s="264">
        <v>3600</v>
      </c>
      <c r="E51" s="265">
        <v>36.158424476233954</v>
      </c>
      <c r="F51" s="450">
        <f>BDI_O.A.E!$H$22</f>
        <v>0.18201100192553743</v>
      </c>
      <c r="G51" s="266">
        <f>((D51*E51*(1+F51)))</f>
        <v>153862.75995552781</v>
      </c>
      <c r="H51" s="267">
        <f t="shared" si="8"/>
        <v>3.4374259531521163E-3</v>
      </c>
      <c r="I51" s="267">
        <f t="shared" si="6"/>
        <v>0.75297823865480573</v>
      </c>
      <c r="J51" s="90">
        <f t="shared" si="7"/>
        <v>4.420354962348938E-4</v>
      </c>
      <c r="K51" s="242"/>
      <c r="L51" s="91">
        <f t="shared" si="2"/>
        <v>3600</v>
      </c>
      <c r="M51" s="91"/>
      <c r="O51" s="94"/>
    </row>
    <row r="52" spans="1:15" s="93" customFormat="1">
      <c r="A52" s="261" t="s">
        <v>7675</v>
      </c>
      <c r="B52" s="262" t="s">
        <v>7676</v>
      </c>
      <c r="C52" s="263" t="s">
        <v>5079</v>
      </c>
      <c r="D52" s="264">
        <v>20</v>
      </c>
      <c r="E52" s="265">
        <v>6502.9154716499997</v>
      </c>
      <c r="F52" s="450">
        <f>BDI_O.A.E!$H$22</f>
        <v>0.18201100192553743</v>
      </c>
      <c r="G52" s="266">
        <f>((D52*E52*(1+F52)))</f>
        <v>153730.35264164189</v>
      </c>
      <c r="H52" s="267">
        <f t="shared" si="8"/>
        <v>3.4344678602564074E-3</v>
      </c>
      <c r="I52" s="267">
        <f t="shared" si="6"/>
        <v>0.75641270651506209</v>
      </c>
      <c r="J52" s="90">
        <f t="shared" si="7"/>
        <v>4.420354962348938E-4</v>
      </c>
      <c r="K52" s="242"/>
      <c r="L52" s="91">
        <f t="shared" si="2"/>
        <v>20</v>
      </c>
      <c r="M52" s="91"/>
      <c r="O52" s="94"/>
    </row>
    <row r="53" spans="1:15" s="93" customFormat="1" ht="25.5">
      <c r="A53" s="261" t="s">
        <v>8022</v>
      </c>
      <c r="B53" s="262" t="s">
        <v>8026</v>
      </c>
      <c r="C53" s="263" t="s">
        <v>4521</v>
      </c>
      <c r="D53" s="264">
        <v>296</v>
      </c>
      <c r="E53" s="265">
        <v>417.94025258798672</v>
      </c>
      <c r="F53" s="450">
        <f>BDI_O.A.E!$H$22</f>
        <v>0.18201100192553743</v>
      </c>
      <c r="G53" s="266">
        <f>((D53*E53*(1+F53)))</f>
        <v>146226.95310513536</v>
      </c>
      <c r="H53" s="267">
        <f t="shared" si="8"/>
        <v>3.2668354824730368E-3</v>
      </c>
      <c r="I53" s="267">
        <f t="shared" si="6"/>
        <v>0.75967954199753518</v>
      </c>
      <c r="J53" s="90">
        <f t="shared" si="7"/>
        <v>4.420354962348938E-4</v>
      </c>
      <c r="K53" s="242"/>
      <c r="L53" s="91">
        <f t="shared" si="2"/>
        <v>296</v>
      </c>
      <c r="M53" s="91"/>
      <c r="O53" s="94"/>
    </row>
    <row r="54" spans="1:15" s="93" customFormat="1">
      <c r="A54" s="261" t="s">
        <v>6329</v>
      </c>
      <c r="B54" s="262" t="s">
        <v>7623</v>
      </c>
      <c r="C54" s="263" t="s">
        <v>5079</v>
      </c>
      <c r="D54" s="264">
        <v>9</v>
      </c>
      <c r="E54" s="265">
        <v>12438.28758</v>
      </c>
      <c r="F54" s="450">
        <f>BDI_O.A.E!$H$22</f>
        <v>0.18201100192553743</v>
      </c>
      <c r="G54" s="266">
        <f>((D54*E54*(1+F54)))</f>
        <v>132319.73488206393</v>
      </c>
      <c r="H54" s="267">
        <f t="shared" si="8"/>
        <v>2.956136305687483E-3</v>
      </c>
      <c r="I54" s="267">
        <f t="shared" si="6"/>
        <v>0.76263567830322265</v>
      </c>
      <c r="J54" s="90">
        <f t="shared" si="7"/>
        <v>4.420354962348938E-4</v>
      </c>
      <c r="K54" s="242"/>
      <c r="L54" s="91">
        <f t="shared" si="2"/>
        <v>9</v>
      </c>
      <c r="M54" s="91"/>
      <c r="O54" s="94"/>
    </row>
    <row r="55" spans="1:15" s="93" customFormat="1" ht="25.5">
      <c r="A55" s="261" t="s">
        <v>7430</v>
      </c>
      <c r="B55" s="262" t="s">
        <v>7389</v>
      </c>
      <c r="C55" s="263" t="s">
        <v>89</v>
      </c>
      <c r="D55" s="264">
        <v>87889.44</v>
      </c>
      <c r="E55" s="265">
        <v>1.2719707191631224</v>
      </c>
      <c r="F55" s="450">
        <f>BDI_O.A.E!$H$22</f>
        <v>0.18201100192553743</v>
      </c>
      <c r="G55" s="266">
        <f>((D55*E55*(1+F55)))</f>
        <v>132140.31268470478</v>
      </c>
      <c r="H55" s="267">
        <f t="shared" si="8"/>
        <v>2.952127859992422E-3</v>
      </c>
      <c r="I55" s="267">
        <f t="shared" si="6"/>
        <v>0.76558780616321509</v>
      </c>
      <c r="J55" s="90">
        <f t="shared" si="7"/>
        <v>4.420354962348938E-4</v>
      </c>
      <c r="K55" s="242"/>
      <c r="L55" s="91">
        <f t="shared" si="2"/>
        <v>87889.44</v>
      </c>
      <c r="M55" s="91"/>
      <c r="O55" s="94"/>
    </row>
    <row r="56" spans="1:15" s="93" customFormat="1" ht="25.5">
      <c r="A56" s="261" t="s">
        <v>7489</v>
      </c>
      <c r="B56" s="262" t="s">
        <v>7491</v>
      </c>
      <c r="C56" s="263" t="s">
        <v>89</v>
      </c>
      <c r="D56" s="264">
        <v>87889.44</v>
      </c>
      <c r="E56" s="265">
        <v>1.2515031393600637</v>
      </c>
      <c r="F56" s="450">
        <f>BDI_O.A.E!$H$22</f>
        <v>0.18201100192553743</v>
      </c>
      <c r="G56" s="266">
        <f>((D56*E56*(1+F56)))</f>
        <v>130014.01185534702</v>
      </c>
      <c r="H56" s="267">
        <f t="shared" si="8"/>
        <v>2.9046244767360978E-3</v>
      </c>
      <c r="I56" s="267">
        <f t="shared" si="6"/>
        <v>0.76849243063995121</v>
      </c>
      <c r="J56" s="90">
        <f t="shared" si="7"/>
        <v>4.420354962348938E-4</v>
      </c>
      <c r="K56" s="242"/>
      <c r="L56" s="91">
        <f t="shared" si="2"/>
        <v>87889.44</v>
      </c>
      <c r="M56" s="91"/>
      <c r="O56" s="94"/>
    </row>
    <row r="57" spans="1:15" s="93" customFormat="1" ht="63.75">
      <c r="A57" s="261" t="s">
        <v>7412</v>
      </c>
      <c r="B57" s="262" t="s">
        <v>7983</v>
      </c>
      <c r="C57" s="263" t="s">
        <v>172</v>
      </c>
      <c r="D57" s="264">
        <v>217.91</v>
      </c>
      <c r="E57" s="265">
        <v>486.51503869512067</v>
      </c>
      <c r="F57" s="450">
        <f>BDI_O.A.E!$H$22</f>
        <v>0.18201100192553743</v>
      </c>
      <c r="G57" s="266">
        <f>((D57*E57*(1+F57)))</f>
        <v>125312.66002653915</v>
      </c>
      <c r="H57" s="267">
        <f t="shared" si="8"/>
        <v>2.79959224674156E-3</v>
      </c>
      <c r="I57" s="267">
        <f t="shared" si="6"/>
        <v>0.77129202288669274</v>
      </c>
      <c r="J57" s="90">
        <f t="shared" si="7"/>
        <v>4.420354962348938E-4</v>
      </c>
      <c r="K57" s="242"/>
      <c r="L57" s="91">
        <f t="shared" si="2"/>
        <v>217.91</v>
      </c>
      <c r="M57" s="91"/>
      <c r="O57" s="94"/>
    </row>
    <row r="58" spans="1:15" s="93" customFormat="1" ht="25.5">
      <c r="A58" s="261" t="s">
        <v>6296</v>
      </c>
      <c r="B58" s="262" t="s">
        <v>7880</v>
      </c>
      <c r="C58" s="263" t="s">
        <v>3495</v>
      </c>
      <c r="D58" s="264">
        <v>27.414848448000001</v>
      </c>
      <c r="E58" s="265">
        <v>3901.49</v>
      </c>
      <c r="F58" s="450">
        <f>BDI_Equipamentos!$H$22</f>
        <v>0.10890619719771655</v>
      </c>
      <c r="G58" s="266">
        <f>((D58*E58*(1+F58)))</f>
        <v>118607.2285610267</v>
      </c>
      <c r="H58" s="267">
        <f t="shared" si="8"/>
        <v>2.6497871597062211E-3</v>
      </c>
      <c r="I58" s="267">
        <f t="shared" si="6"/>
        <v>0.77394181004639895</v>
      </c>
      <c r="J58" s="90">
        <f t="shared" si="7"/>
        <v>4.420354962348938E-4</v>
      </c>
      <c r="K58" s="242"/>
      <c r="L58" s="91">
        <f t="shared" si="2"/>
        <v>27.414848448000001</v>
      </c>
      <c r="M58" s="91"/>
      <c r="O58" s="94"/>
    </row>
    <row r="59" spans="1:15" s="93" customFormat="1" ht="25.5">
      <c r="A59" s="261" t="s">
        <v>8489</v>
      </c>
      <c r="B59" s="262" t="s">
        <v>8365</v>
      </c>
      <c r="C59" s="263" t="s">
        <v>89</v>
      </c>
      <c r="D59" s="264">
        <v>152175</v>
      </c>
      <c r="E59" s="265">
        <v>0.60807136077314705</v>
      </c>
      <c r="F59" s="450">
        <f>BDI_O.A.E!$H$22</f>
        <v>0.18201100192553743</v>
      </c>
      <c r="G59" s="266">
        <f>((D59*E59*(1+F59)))</f>
        <v>109375.33056695145</v>
      </c>
      <c r="H59" s="267">
        <f t="shared" si="8"/>
        <v>2.443538644660348E-3</v>
      </c>
      <c r="I59" s="267">
        <f t="shared" si="6"/>
        <v>0.77638534869105924</v>
      </c>
      <c r="J59" s="90">
        <f t="shared" si="7"/>
        <v>4.420354962348938E-4</v>
      </c>
      <c r="K59" s="242"/>
      <c r="L59" s="91">
        <f t="shared" si="2"/>
        <v>152175</v>
      </c>
      <c r="M59" s="91"/>
      <c r="O59" s="94"/>
    </row>
    <row r="60" spans="1:15" s="93" customFormat="1">
      <c r="A60" s="261" t="s">
        <v>7629</v>
      </c>
      <c r="B60" s="262" t="s">
        <v>7791</v>
      </c>
      <c r="C60" s="263" t="s">
        <v>5079</v>
      </c>
      <c r="D60" s="264">
        <v>18</v>
      </c>
      <c r="E60" s="265">
        <v>5093.9991</v>
      </c>
      <c r="F60" s="450">
        <f>BDI_O.A.E!$H$22</f>
        <v>0.18201100192553743</v>
      </c>
      <c r="G60" s="266">
        <f>((D60*E60*(1+F60)))</f>
        <v>108380.93363997815</v>
      </c>
      <c r="H60" s="267">
        <f t="shared" si="8"/>
        <v>2.4213229648850682E-3</v>
      </c>
      <c r="I60" s="267">
        <f t="shared" si="6"/>
        <v>0.7788066716559443</v>
      </c>
      <c r="J60" s="90">
        <f t="shared" si="7"/>
        <v>4.420354962348938E-4</v>
      </c>
      <c r="K60" s="242"/>
      <c r="L60" s="91">
        <f t="shared" si="2"/>
        <v>18</v>
      </c>
      <c r="M60" s="91"/>
      <c r="O60" s="94"/>
    </row>
    <row r="61" spans="1:15" s="93" customFormat="1" ht="25.5">
      <c r="A61" s="261">
        <v>4011279</v>
      </c>
      <c r="B61" s="262" t="s">
        <v>6575</v>
      </c>
      <c r="C61" s="263" t="s">
        <v>172</v>
      </c>
      <c r="D61" s="264">
        <v>709.4</v>
      </c>
      <c r="E61" s="265">
        <v>127.9943693724244</v>
      </c>
      <c r="F61" s="450">
        <f>BDI_O.A.E!$H$22</f>
        <v>0.18201100192553743</v>
      </c>
      <c r="G61" s="266">
        <f>((D61*E61*(1+F61)))</f>
        <v>107325.66002406631</v>
      </c>
      <c r="H61" s="267">
        <f t="shared" si="8"/>
        <v>2.3977472476935887E-3</v>
      </c>
      <c r="I61" s="267">
        <f t="shared" si="6"/>
        <v>0.7812044189036379</v>
      </c>
      <c r="J61" s="90">
        <f t="shared" si="7"/>
        <v>4.420354962348938E-4</v>
      </c>
      <c r="K61" s="242"/>
      <c r="L61" s="91">
        <f t="shared" si="2"/>
        <v>709.4</v>
      </c>
      <c r="M61" s="91"/>
      <c r="O61" s="94"/>
    </row>
    <row r="62" spans="1:15" s="93" customFormat="1" ht="63.75">
      <c r="A62" s="261" t="s">
        <v>6806</v>
      </c>
      <c r="B62" s="262" t="s">
        <v>8086</v>
      </c>
      <c r="C62" s="263" t="s">
        <v>10</v>
      </c>
      <c r="D62" s="264">
        <v>1</v>
      </c>
      <c r="E62" s="265">
        <v>88174.392559999993</v>
      </c>
      <c r="F62" s="450">
        <f>BDI_O.A.E!$H$22</f>
        <v>0.18201100192553743</v>
      </c>
      <c r="G62" s="266">
        <f>((D62*E62*(1+F62)))</f>
        <v>104223.10209402125</v>
      </c>
      <c r="H62" s="267">
        <f t="shared" si="8"/>
        <v>2.3284334439312143E-3</v>
      </c>
      <c r="I62" s="267">
        <f t="shared" si="6"/>
        <v>0.78353285234756909</v>
      </c>
      <c r="J62" s="90">
        <f t="shared" si="7"/>
        <v>4.420354962348938E-4</v>
      </c>
      <c r="K62" s="242"/>
      <c r="L62" s="91">
        <f t="shared" si="2"/>
        <v>1</v>
      </c>
      <c r="M62" s="91"/>
      <c r="O62" s="94"/>
    </row>
    <row r="63" spans="1:15" s="93" customFormat="1" ht="25.5">
      <c r="A63" s="261">
        <v>1600990</v>
      </c>
      <c r="B63" s="262" t="s">
        <v>7742</v>
      </c>
      <c r="C63" s="263" t="s">
        <v>172</v>
      </c>
      <c r="D63" s="264">
        <v>182.1</v>
      </c>
      <c r="E63" s="265">
        <v>463.90482506570413</v>
      </c>
      <c r="F63" s="450">
        <f>BDI_O.A.E!$H$22</f>
        <v>0.18201100192553743</v>
      </c>
      <c r="G63" s="266">
        <f>((D63*E63*(1+F63)))</f>
        <v>99852.824548176141</v>
      </c>
      <c r="H63" s="267">
        <f t="shared" si="8"/>
        <v>2.2307976972248118E-3</v>
      </c>
      <c r="I63" s="267">
        <f t="shared" si="6"/>
        <v>0.78576365004479387</v>
      </c>
      <c r="J63" s="90">
        <f t="shared" si="7"/>
        <v>4.420354962348938E-4</v>
      </c>
      <c r="K63" s="242"/>
      <c r="L63" s="91">
        <f t="shared" si="2"/>
        <v>182.1</v>
      </c>
      <c r="M63" s="91"/>
      <c r="O63" s="94"/>
    </row>
    <row r="64" spans="1:15" s="93" customFormat="1" ht="25.5">
      <c r="A64" s="261" t="s">
        <v>7424</v>
      </c>
      <c r="B64" s="262" t="s">
        <v>7380</v>
      </c>
      <c r="C64" s="263" t="s">
        <v>5</v>
      </c>
      <c r="D64" s="264">
        <v>1686.97</v>
      </c>
      <c r="E64" s="265">
        <v>45.964322733879712</v>
      </c>
      <c r="F64" s="450">
        <f>BDI_O.A.E!$H$22</f>
        <v>0.18201100192553743</v>
      </c>
      <c r="G64" s="266">
        <f>((D64*E64*(1+F64)))</f>
        <v>91653.645517520708</v>
      </c>
      <c r="H64" s="267">
        <f t="shared" si="8"/>
        <v>2.047621009099226E-3</v>
      </c>
      <c r="I64" s="267">
        <f t="shared" si="6"/>
        <v>0.78781127105389315</v>
      </c>
      <c r="J64" s="90">
        <f t="shared" si="7"/>
        <v>4.420354962348938E-4</v>
      </c>
      <c r="K64" s="242"/>
      <c r="L64" s="91">
        <f t="shared" si="2"/>
        <v>1686.97</v>
      </c>
      <c r="M64" s="91"/>
      <c r="O64" s="94"/>
    </row>
    <row r="65" spans="1:15" s="93" customFormat="1" ht="25.5">
      <c r="A65" s="261" t="s">
        <v>7479</v>
      </c>
      <c r="B65" s="262" t="s">
        <v>7478</v>
      </c>
      <c r="C65" s="263" t="s">
        <v>5</v>
      </c>
      <c r="D65" s="264">
        <v>1686.97</v>
      </c>
      <c r="E65" s="265">
        <v>45.964322733879712</v>
      </c>
      <c r="F65" s="450">
        <f>BDI_O.A.E!$H$22</f>
        <v>0.18201100192553743</v>
      </c>
      <c r="G65" s="266">
        <f>((D65*E65*(1+F65)))</f>
        <v>91653.645517520708</v>
      </c>
      <c r="H65" s="267">
        <f t="shared" si="8"/>
        <v>2.047621009099226E-3</v>
      </c>
      <c r="I65" s="267">
        <f t="shared" si="6"/>
        <v>0.78985889206299242</v>
      </c>
      <c r="J65" s="90">
        <f t="shared" si="7"/>
        <v>4.420354962348938E-4</v>
      </c>
      <c r="K65" s="242"/>
      <c r="L65" s="91">
        <f t="shared" si="2"/>
        <v>1686.97</v>
      </c>
      <c r="M65" s="91"/>
      <c r="O65" s="94"/>
    </row>
    <row r="66" spans="1:15" s="93" customFormat="1">
      <c r="A66" s="261" t="s">
        <v>7602</v>
      </c>
      <c r="B66" s="262" t="s">
        <v>6251</v>
      </c>
      <c r="C66" s="263" t="s">
        <v>5079</v>
      </c>
      <c r="D66" s="264">
        <v>19</v>
      </c>
      <c r="E66" s="265">
        <v>3953.2040999999999</v>
      </c>
      <c r="F66" s="450">
        <f>BDI_O.A.E!$H$22</f>
        <v>0.18201100192553743</v>
      </c>
      <c r="G66" s="266">
        <f>((D66*E66*(1+F66)))</f>
        <v>88781.884042085701</v>
      </c>
      <c r="H66" s="267">
        <f t="shared" si="8"/>
        <v>1.9834633959784427E-3</v>
      </c>
      <c r="I66" s="267">
        <f t="shared" si="6"/>
        <v>0.79184235545897086</v>
      </c>
      <c r="J66" s="90">
        <f t="shared" si="7"/>
        <v>4.420354962348938E-4</v>
      </c>
      <c r="K66" s="242"/>
      <c r="L66" s="91">
        <f t="shared" si="2"/>
        <v>19</v>
      </c>
      <c r="M66" s="91"/>
      <c r="O66" s="94"/>
    </row>
    <row r="67" spans="1:15" s="93" customFormat="1" ht="63.75">
      <c r="A67" s="261">
        <v>92743</v>
      </c>
      <c r="B67" s="262" t="s">
        <v>26962</v>
      </c>
      <c r="C67" s="263" t="s">
        <v>26957</v>
      </c>
      <c r="D67" s="264">
        <v>136.22</v>
      </c>
      <c r="E67" s="265">
        <v>528.53</v>
      </c>
      <c r="F67" s="450">
        <v>0.1832</v>
      </c>
      <c r="G67" s="266">
        <f>((D67*E67*(1+F67)))</f>
        <v>85186.089129119995</v>
      </c>
      <c r="H67" s="267">
        <f t="shared" si="8"/>
        <v>1.903130255200172E-3</v>
      </c>
      <c r="I67" s="267">
        <f t="shared" si="6"/>
        <v>0.79374548571417103</v>
      </c>
      <c r="J67" s="90">
        <f t="shared" si="7"/>
        <v>4.420354962348938E-4</v>
      </c>
      <c r="K67" s="242"/>
      <c r="L67" s="91">
        <f t="shared" si="2"/>
        <v>136.22</v>
      </c>
      <c r="M67" s="91"/>
      <c r="O67" s="94"/>
    </row>
    <row r="68" spans="1:15" s="93" customFormat="1">
      <c r="A68" s="261" t="s">
        <v>7695</v>
      </c>
      <c r="B68" s="262" t="s">
        <v>7696</v>
      </c>
      <c r="C68" s="263" t="s">
        <v>5079</v>
      </c>
      <c r="D68" s="264">
        <v>14</v>
      </c>
      <c r="E68" s="265">
        <v>5093.4416000000001</v>
      </c>
      <c r="F68" s="450">
        <f>BDI_O.A.E!$H$22</f>
        <v>0.18201100192553743</v>
      </c>
      <c r="G68" s="266">
        <f>((D68*E68*(1+F68)))</f>
        <v>84287.056124112976</v>
      </c>
      <c r="H68" s="267">
        <f t="shared" si="8"/>
        <v>1.8830450871904164E-3</v>
      </c>
      <c r="I68" s="267">
        <f t="shared" si="6"/>
        <v>0.79562853080136142</v>
      </c>
      <c r="J68" s="90">
        <f t="shared" si="7"/>
        <v>4.420354962348938E-4</v>
      </c>
      <c r="K68" s="242"/>
      <c r="L68" s="91">
        <f t="shared" si="2"/>
        <v>14</v>
      </c>
      <c r="M68" s="91"/>
      <c r="O68" s="94"/>
    </row>
    <row r="69" spans="1:15" s="93" customFormat="1">
      <c r="A69" s="261" t="s">
        <v>6821</v>
      </c>
      <c r="B69" s="262" t="s">
        <v>6822</v>
      </c>
      <c r="C69" s="263" t="s">
        <v>5079</v>
      </c>
      <c r="D69" s="264">
        <v>19</v>
      </c>
      <c r="E69" s="265">
        <v>3702.5675999999999</v>
      </c>
      <c r="F69" s="450">
        <f>BDI_O.A.E!$H$22</f>
        <v>0.18201100192553743</v>
      </c>
      <c r="G69" s="266">
        <f>((D69*E69*(1+F69)))</f>
        <v>83153.037132887621</v>
      </c>
      <c r="H69" s="267">
        <f t="shared" si="8"/>
        <v>1.8577101308115491E-3</v>
      </c>
      <c r="I69" s="267">
        <f t="shared" si="6"/>
        <v>0.79748624093217302</v>
      </c>
      <c r="J69" s="90">
        <f t="shared" si="7"/>
        <v>4.420354962348938E-4</v>
      </c>
      <c r="K69" s="242"/>
      <c r="L69" s="91">
        <f t="shared" si="2"/>
        <v>19</v>
      </c>
      <c r="M69" s="91"/>
      <c r="O69" s="94"/>
    </row>
    <row r="70" spans="1:15" s="93" customFormat="1" ht="25.5">
      <c r="A70" s="261" t="s">
        <v>13509</v>
      </c>
      <c r="B70" s="262" t="s">
        <v>7747</v>
      </c>
      <c r="C70" s="263" t="s">
        <v>150</v>
      </c>
      <c r="D70" s="264">
        <v>25720.22</v>
      </c>
      <c r="E70" s="265">
        <v>2.7163414430424733</v>
      </c>
      <c r="F70" s="450">
        <f>BDI_O.A.E!$H$22</f>
        <v>0.18201100192553743</v>
      </c>
      <c r="G70" s="266">
        <f>((D70*E70*(1+F70)))</f>
        <v>82581.079869442896</v>
      </c>
      <c r="H70" s="267">
        <f t="shared" si="8"/>
        <v>1.8449321152473736E-3</v>
      </c>
      <c r="I70" s="267">
        <f t="shared" si="6"/>
        <v>0.79933117304742041</v>
      </c>
      <c r="J70" s="90">
        <f t="shared" si="7"/>
        <v>4.420354962348938E-4</v>
      </c>
      <c r="K70" s="242"/>
      <c r="L70" s="91">
        <f t="shared" si="2"/>
        <v>25720.22</v>
      </c>
      <c r="M70" s="91"/>
      <c r="O70" s="94"/>
    </row>
    <row r="71" spans="1:15" s="93" customFormat="1" ht="102">
      <c r="A71" s="261" t="s">
        <v>6788</v>
      </c>
      <c r="B71" s="262" t="s">
        <v>8390</v>
      </c>
      <c r="C71" s="263" t="s">
        <v>10</v>
      </c>
      <c r="D71" s="264">
        <v>1</v>
      </c>
      <c r="E71" s="265">
        <v>69662.226429999995</v>
      </c>
      <c r="F71" s="450">
        <f>BDI_O.A.E!$H$22</f>
        <v>0.18201100192553743</v>
      </c>
      <c r="G71" s="266">
        <f>((D71*E71*(1+F71)))</f>
        <v>82341.518058887945</v>
      </c>
      <c r="H71" s="267">
        <f t="shared" si="8"/>
        <v>1.8395800990400487E-3</v>
      </c>
      <c r="I71" s="267">
        <f t="shared" si="6"/>
        <v>0.80117075314646047</v>
      </c>
      <c r="J71" s="90">
        <f t="shared" si="7"/>
        <v>4.420354962348938E-4</v>
      </c>
      <c r="K71" s="242"/>
      <c r="L71" s="91">
        <f t="shared" si="2"/>
        <v>1</v>
      </c>
      <c r="M71" s="91"/>
      <c r="O71" s="94"/>
    </row>
    <row r="72" spans="1:15" s="93" customFormat="1">
      <c r="A72" s="261" t="s">
        <v>7605</v>
      </c>
      <c r="B72" s="262" t="s">
        <v>7788</v>
      </c>
      <c r="C72" s="263" t="s">
        <v>5079</v>
      </c>
      <c r="D72" s="264">
        <v>18</v>
      </c>
      <c r="E72" s="265">
        <v>3775.1203999999998</v>
      </c>
      <c r="F72" s="450">
        <f>BDI_O.A.E!$H$22</f>
        <v>0.18201100192553743</v>
      </c>
      <c r="G72" s="266">
        <f>((D72*E72*(1+F72)))</f>
        <v>80320.209235083632</v>
      </c>
      <c r="H72" s="267">
        <f t="shared" si="8"/>
        <v>1.7944223271900664E-3</v>
      </c>
      <c r="I72" s="267">
        <f t="shared" si="6"/>
        <v>0.80296517547365054</v>
      </c>
      <c r="J72" s="90">
        <f t="shared" si="7"/>
        <v>4.420354962348938E-4</v>
      </c>
      <c r="K72" s="242"/>
      <c r="L72" s="91">
        <f t="shared" si="2"/>
        <v>18</v>
      </c>
      <c r="M72" s="91"/>
      <c r="O72" s="94"/>
    </row>
    <row r="73" spans="1:15" s="93" customFormat="1">
      <c r="A73" s="261" t="s">
        <v>8165</v>
      </c>
      <c r="B73" s="262" t="s">
        <v>7792</v>
      </c>
      <c r="C73" s="263" t="s">
        <v>5079</v>
      </c>
      <c r="D73" s="264">
        <v>18</v>
      </c>
      <c r="E73" s="265">
        <v>3767.1317199999999</v>
      </c>
      <c r="F73" s="450">
        <f>BDI_O.A.E!$H$22</f>
        <v>0.18201100192553743</v>
      </c>
      <c r="G73" s="266">
        <f>((D73*E73*(1+F73)))</f>
        <v>80150.240497368111</v>
      </c>
      <c r="H73" s="267">
        <f t="shared" si="8"/>
        <v>1.7906250798872317E-3</v>
      </c>
      <c r="I73" s="267">
        <f t="shared" si="6"/>
        <v>0.80475580055353779</v>
      </c>
      <c r="J73" s="90">
        <f t="shared" si="7"/>
        <v>4.420354962348938E-4</v>
      </c>
      <c r="K73" s="242"/>
      <c r="L73" s="91">
        <f t="shared" si="2"/>
        <v>18</v>
      </c>
      <c r="M73" s="91"/>
      <c r="O73" s="94"/>
    </row>
    <row r="74" spans="1:15" s="93" customFormat="1">
      <c r="A74" s="261" t="s">
        <v>7668</v>
      </c>
      <c r="B74" s="262" t="s">
        <v>7802</v>
      </c>
      <c r="C74" s="263" t="s">
        <v>5079</v>
      </c>
      <c r="D74" s="264">
        <v>18</v>
      </c>
      <c r="E74" s="265">
        <v>3662.0540999999998</v>
      </c>
      <c r="F74" s="450">
        <f>BDI_O.A.E!$H$22</f>
        <v>0.18201100192553743</v>
      </c>
      <c r="G74" s="266">
        <f>((D74*E74*(1+F74)))</f>
        <v>77914.588245237392</v>
      </c>
      <c r="H74" s="267">
        <f t="shared" si="8"/>
        <v>1.7406786921068595E-3</v>
      </c>
      <c r="I74" s="267">
        <f t="shared" si="6"/>
        <v>0.8064964792456446</v>
      </c>
      <c r="J74" s="90">
        <f t="shared" si="7"/>
        <v>4.420354962348938E-4</v>
      </c>
      <c r="K74" s="242"/>
      <c r="L74" s="91">
        <f t="shared" si="2"/>
        <v>18</v>
      </c>
      <c r="M74" s="91"/>
      <c r="O74" s="94"/>
    </row>
    <row r="75" spans="1:15" s="93" customFormat="1">
      <c r="A75" s="261" t="s">
        <v>7711</v>
      </c>
      <c r="B75" s="262" t="s">
        <v>7712</v>
      </c>
      <c r="C75" s="263" t="s">
        <v>5079</v>
      </c>
      <c r="D75" s="264">
        <v>16</v>
      </c>
      <c r="E75" s="265">
        <v>3882.1119999999996</v>
      </c>
      <c r="F75" s="450">
        <f>BDI_O.A.E!$H$22</f>
        <v>0.18201100192553743</v>
      </c>
      <c r="G75" s="266">
        <f>((D75*E75*(1+F75)))</f>
        <v>73419.185515314428</v>
      </c>
      <c r="H75" s="267">
        <f t="shared" si="8"/>
        <v>1.640247541527119E-3</v>
      </c>
      <c r="I75" s="267">
        <f t="shared" si="6"/>
        <v>0.80813672678717174</v>
      </c>
      <c r="J75" s="90">
        <f t="shared" si="7"/>
        <v>4.420354962348938E-4</v>
      </c>
      <c r="K75" s="242"/>
      <c r="L75" s="91">
        <f t="shared" si="2"/>
        <v>16</v>
      </c>
      <c r="M75" s="91"/>
      <c r="O75" s="94"/>
    </row>
    <row r="76" spans="1:15" s="93" customFormat="1" ht="51">
      <c r="A76" s="261">
        <v>93207</v>
      </c>
      <c r="B76" s="262" t="s">
        <v>26951</v>
      </c>
      <c r="C76" s="263" t="s">
        <v>150</v>
      </c>
      <c r="D76" s="264">
        <v>80</v>
      </c>
      <c r="E76" s="265" t="s">
        <v>13771</v>
      </c>
      <c r="F76" s="450">
        <f>BDI_O.A.E!$H$22</f>
        <v>0.18201100192553743</v>
      </c>
      <c r="G76" s="266">
        <f>((D76*E76*(1+F76)))</f>
        <v>73007.61874053198</v>
      </c>
      <c r="H76" s="267">
        <f t="shared" si="8"/>
        <v>1.6310527869711679E-3</v>
      </c>
      <c r="I76" s="267">
        <f t="shared" si="6"/>
        <v>0.80976777957414292</v>
      </c>
      <c r="J76" s="90">
        <f t="shared" ref="J76:J139" si="9">$G$373-$G$366</f>
        <v>4.420354962348938E-4</v>
      </c>
      <c r="K76" s="242"/>
      <c r="L76" s="91">
        <f t="shared" ref="L76:L139" si="10">SUMIF($A$11:$A$352,A76,$D$11:$D$352)</f>
        <v>80</v>
      </c>
      <c r="M76" s="91"/>
      <c r="O76" s="94"/>
    </row>
    <row r="77" spans="1:15" s="93" customFormat="1">
      <c r="A77" s="261" t="s">
        <v>7667</v>
      </c>
      <c r="B77" s="262" t="s">
        <v>7801</v>
      </c>
      <c r="C77" s="263" t="s">
        <v>5079</v>
      </c>
      <c r="D77" s="264">
        <v>19</v>
      </c>
      <c r="E77" s="265">
        <v>3164.3766000000001</v>
      </c>
      <c r="F77" s="450">
        <f>BDI_O.A.E!$H$22</f>
        <v>0.18201100192553743</v>
      </c>
      <c r="G77" s="266">
        <f>((D77*E77*(1+F77)))</f>
        <v>71066.231153278786</v>
      </c>
      <c r="H77" s="267">
        <f t="shared" si="8"/>
        <v>1.5876805240566047E-3</v>
      </c>
      <c r="I77" s="267">
        <f t="shared" si="6"/>
        <v>0.81135546009819948</v>
      </c>
      <c r="J77" s="90">
        <f t="shared" si="9"/>
        <v>4.420354962348938E-4</v>
      </c>
      <c r="K77" s="242"/>
      <c r="L77" s="91">
        <f t="shared" si="10"/>
        <v>19</v>
      </c>
      <c r="M77" s="91"/>
      <c r="O77" s="94"/>
    </row>
    <row r="78" spans="1:15" s="93" customFormat="1" ht="25.5">
      <c r="A78" s="261">
        <v>4011415</v>
      </c>
      <c r="B78" s="262" t="s">
        <v>7778</v>
      </c>
      <c r="C78" s="263" t="s">
        <v>3495</v>
      </c>
      <c r="D78" s="264">
        <v>484.36128000000002</v>
      </c>
      <c r="E78" s="265">
        <v>121.10972317720001</v>
      </c>
      <c r="F78" s="450">
        <f>BDI_O.A.E!$H$22</f>
        <v>0.18201100192553743</v>
      </c>
      <c r="G78" s="266">
        <f>((D78*E78*(1+F78)))</f>
        <v>69337.782538990752</v>
      </c>
      <c r="H78" s="267">
        <f t="shared" si="8"/>
        <v>1.54906550033572E-3</v>
      </c>
      <c r="I78" s="267">
        <f t="shared" ref="I78:I141" si="11">H78+I77</f>
        <v>0.81290452559853521</v>
      </c>
      <c r="J78" s="90">
        <f t="shared" si="9"/>
        <v>4.420354962348938E-4</v>
      </c>
      <c r="K78" s="242"/>
      <c r="L78" s="91">
        <f t="shared" si="10"/>
        <v>484.36128000000002</v>
      </c>
      <c r="M78" s="91"/>
      <c r="O78" s="94"/>
    </row>
    <row r="79" spans="1:15" s="93" customFormat="1" ht="51">
      <c r="A79" s="261">
        <v>5502951</v>
      </c>
      <c r="B79" s="262" t="s">
        <v>7906</v>
      </c>
      <c r="C79" s="263" t="s">
        <v>172</v>
      </c>
      <c r="D79" s="264">
        <v>5757.95</v>
      </c>
      <c r="E79" s="265">
        <v>9.7511468489347681</v>
      </c>
      <c r="F79" s="450">
        <f>BDI_O.A.E!$H$22</f>
        <v>0.18201100192553743</v>
      </c>
      <c r="G79" s="266">
        <f>((D79*E79*(1+F79)))</f>
        <v>66365.9178314983</v>
      </c>
      <c r="H79" s="267">
        <f t="shared" si="8"/>
        <v>1.4826714951992979E-3</v>
      </c>
      <c r="I79" s="267">
        <f t="shared" si="11"/>
        <v>0.81438719709373453</v>
      </c>
      <c r="J79" s="90">
        <f t="shared" si="9"/>
        <v>4.420354962348938E-4</v>
      </c>
      <c r="K79" s="242"/>
      <c r="L79" s="91">
        <f t="shared" si="10"/>
        <v>5757.95</v>
      </c>
      <c r="M79" s="91"/>
      <c r="O79" s="94"/>
    </row>
    <row r="80" spans="1:15" s="93" customFormat="1" ht="38.25">
      <c r="A80" s="261" t="s">
        <v>6703</v>
      </c>
      <c r="B80" s="262" t="s">
        <v>26842</v>
      </c>
      <c r="C80" s="263" t="s">
        <v>150</v>
      </c>
      <c r="D80" s="264">
        <v>574.20000000000005</v>
      </c>
      <c r="E80" s="265">
        <v>91.632000000000005</v>
      </c>
      <c r="F80" s="450">
        <f>BDI_O.A.E!$H$22</f>
        <v>0.18201100192553743</v>
      </c>
      <c r="G80" s="266">
        <f>((D80*E80*(1+F80)))</f>
        <v>62191.620448150745</v>
      </c>
      <c r="H80" s="267">
        <f t="shared" si="8"/>
        <v>1.3894141133231298E-3</v>
      </c>
      <c r="I80" s="267">
        <f t="shared" si="11"/>
        <v>0.81577661120705769</v>
      </c>
      <c r="J80" s="90">
        <f t="shared" si="9"/>
        <v>4.420354962348938E-4</v>
      </c>
      <c r="K80" s="242"/>
      <c r="L80" s="91">
        <f t="shared" si="10"/>
        <v>574.20000000000005</v>
      </c>
      <c r="M80" s="91"/>
      <c r="O80" s="94"/>
    </row>
    <row r="81" spans="1:15" s="93" customFormat="1" ht="38.25">
      <c r="A81" s="261">
        <v>3108005</v>
      </c>
      <c r="B81" s="262" t="s">
        <v>7750</v>
      </c>
      <c r="C81" s="263" t="s">
        <v>150</v>
      </c>
      <c r="D81" s="264">
        <v>805.56</v>
      </c>
      <c r="E81" s="265">
        <v>63.424334960312088</v>
      </c>
      <c r="F81" s="450">
        <f>BDI_O.A.E!$H$22</f>
        <v>0.18201100192553743</v>
      </c>
      <c r="G81" s="266">
        <f>((D81*E81*(1+F81)))</f>
        <v>60391.432905443216</v>
      </c>
      <c r="H81" s="267">
        <f t="shared" si="8"/>
        <v>1.3491963804446051E-3</v>
      </c>
      <c r="I81" s="267">
        <f t="shared" si="11"/>
        <v>0.81712580758750231</v>
      </c>
      <c r="J81" s="90">
        <f t="shared" si="9"/>
        <v>4.420354962348938E-4</v>
      </c>
      <c r="K81" s="242"/>
      <c r="L81" s="91">
        <f t="shared" si="10"/>
        <v>805.56</v>
      </c>
      <c r="M81" s="91"/>
      <c r="O81" s="94"/>
    </row>
    <row r="82" spans="1:15" s="93" customFormat="1" ht="63.75">
      <c r="A82" s="261" t="s">
        <v>6290</v>
      </c>
      <c r="B82" s="262" t="s">
        <v>8274</v>
      </c>
      <c r="C82" s="263" t="s">
        <v>150</v>
      </c>
      <c r="D82" s="264">
        <v>9206.4599999999991</v>
      </c>
      <c r="E82" s="265">
        <v>5.3689586549916095</v>
      </c>
      <c r="F82" s="450">
        <f>BDI_O.A.E!$H$22</f>
        <v>0.18201100192553743</v>
      </c>
      <c r="G82" s="266">
        <f>((D82*E82*(1+F82)))</f>
        <v>58425.74367813352</v>
      </c>
      <c r="H82" s="267">
        <f t="shared" si="8"/>
        <v>1.305281198059089E-3</v>
      </c>
      <c r="I82" s="267">
        <f t="shared" si="11"/>
        <v>0.81843108878556137</v>
      </c>
      <c r="J82" s="90">
        <f t="shared" si="9"/>
        <v>4.420354962348938E-4</v>
      </c>
      <c r="K82" s="242"/>
      <c r="L82" s="91">
        <f t="shared" si="10"/>
        <v>9206.4599999999991</v>
      </c>
      <c r="M82" s="91"/>
      <c r="O82" s="94"/>
    </row>
    <row r="83" spans="1:15" s="93" customFormat="1" ht="25.5">
      <c r="A83" s="261">
        <v>903845</v>
      </c>
      <c r="B83" s="262" t="s">
        <v>6552</v>
      </c>
      <c r="C83" s="263" t="s">
        <v>172</v>
      </c>
      <c r="D83" s="264">
        <v>497.56</v>
      </c>
      <c r="E83" s="265">
        <v>94.182909849157895</v>
      </c>
      <c r="F83" s="450">
        <f>BDI_O.A.E!$H$22</f>
        <v>0.18201100192553743</v>
      </c>
      <c r="G83" s="266">
        <f>((D83*E83*(1+F83)))</f>
        <v>55390.984242583283</v>
      </c>
      <c r="H83" s="267">
        <f t="shared" si="8"/>
        <v>1.2374820707826198E-3</v>
      </c>
      <c r="I83" s="267">
        <f t="shared" si="11"/>
        <v>0.81966857085634404</v>
      </c>
      <c r="J83" s="90">
        <f t="shared" si="9"/>
        <v>4.420354962348938E-4</v>
      </c>
      <c r="K83" s="242"/>
      <c r="L83" s="91">
        <f t="shared" si="10"/>
        <v>497.56</v>
      </c>
      <c r="M83" s="91"/>
      <c r="O83" s="94"/>
    </row>
    <row r="84" spans="1:15" s="93" customFormat="1" ht="51">
      <c r="A84" s="261" t="s">
        <v>6866</v>
      </c>
      <c r="B84" s="262" t="s">
        <v>6867</v>
      </c>
      <c r="C84" s="263" t="s">
        <v>172</v>
      </c>
      <c r="D84" s="264">
        <v>432</v>
      </c>
      <c r="E84" s="265">
        <v>103.31475596659133</v>
      </c>
      <c r="F84" s="450">
        <f>BDI_O.A.E!$H$22</f>
        <v>0.18201100192553743</v>
      </c>
      <c r="G84" s="266">
        <f>((D84*E84*(1+F84)))</f>
        <v>52755.484988345626</v>
      </c>
      <c r="H84" s="267">
        <f t="shared" si="8"/>
        <v>1.1786027582144059E-3</v>
      </c>
      <c r="I84" s="267">
        <f t="shared" si="11"/>
        <v>0.82084717361455839</v>
      </c>
      <c r="J84" s="90">
        <f t="shared" si="9"/>
        <v>4.420354962348938E-4</v>
      </c>
      <c r="K84" s="242"/>
      <c r="L84" s="91">
        <f t="shared" si="10"/>
        <v>432</v>
      </c>
      <c r="M84" s="91"/>
      <c r="O84" s="94"/>
    </row>
    <row r="85" spans="1:15" s="93" customFormat="1" ht="89.25">
      <c r="A85" s="261" t="s">
        <v>6802</v>
      </c>
      <c r="B85" s="262" t="s">
        <v>8407</v>
      </c>
      <c r="C85" s="263" t="s">
        <v>10</v>
      </c>
      <c r="D85" s="264">
        <v>1</v>
      </c>
      <c r="E85" s="265">
        <v>44415.563949999996</v>
      </c>
      <c r="F85" s="450">
        <f>BDI_O.A.E!$H$22</f>
        <v>0.18201100192553743</v>
      </c>
      <c r="G85" s="266">
        <f>((D85*E85*(1+F85)))</f>
        <v>52499.685245627275</v>
      </c>
      <c r="H85" s="267">
        <f t="shared" si="8"/>
        <v>1.1728879726829113E-3</v>
      </c>
      <c r="I85" s="267">
        <f t="shared" si="11"/>
        <v>0.82202006158724128</v>
      </c>
      <c r="J85" s="90">
        <f t="shared" si="9"/>
        <v>4.420354962348938E-4</v>
      </c>
      <c r="K85" s="242"/>
      <c r="L85" s="91">
        <f t="shared" si="10"/>
        <v>1</v>
      </c>
      <c r="M85" s="91"/>
      <c r="O85" s="94"/>
    </row>
    <row r="86" spans="1:15" s="93" customFormat="1" ht="63.75">
      <c r="A86" s="261" t="s">
        <v>6277</v>
      </c>
      <c r="B86" s="262" t="s">
        <v>6607</v>
      </c>
      <c r="C86" s="263" t="s">
        <v>5</v>
      </c>
      <c r="D86" s="264">
        <v>610.84</v>
      </c>
      <c r="E86" s="265">
        <v>71.79360682851491</v>
      </c>
      <c r="F86" s="450">
        <f>BDI_O.A.E!$H$22</f>
        <v>0.18201100192553743</v>
      </c>
      <c r="G86" s="266">
        <f>((D86*E86*(1+F86)))</f>
        <v>51836.391314761771</v>
      </c>
      <c r="H86" s="267">
        <f t="shared" si="8"/>
        <v>1.1580694176720407E-3</v>
      </c>
      <c r="I86" s="267">
        <f t="shared" si="11"/>
        <v>0.82317813100491333</v>
      </c>
      <c r="J86" s="90">
        <f t="shared" si="9"/>
        <v>4.420354962348938E-4</v>
      </c>
      <c r="K86" s="242"/>
      <c r="L86" s="91">
        <f t="shared" si="10"/>
        <v>610.84</v>
      </c>
      <c r="M86" s="91"/>
      <c r="O86" s="94"/>
    </row>
    <row r="87" spans="1:15" s="93" customFormat="1" ht="51">
      <c r="A87" s="261" t="s">
        <v>8559</v>
      </c>
      <c r="B87" s="262" t="s">
        <v>8560</v>
      </c>
      <c r="C87" s="263" t="s">
        <v>10</v>
      </c>
      <c r="D87" s="264">
        <v>1</v>
      </c>
      <c r="E87" s="265">
        <v>50220</v>
      </c>
      <c r="F87" s="450">
        <v>0</v>
      </c>
      <c r="G87" s="266">
        <f>((D87*E87*(1+F87)))</f>
        <v>50220</v>
      </c>
      <c r="H87" s="267">
        <f t="shared" si="8"/>
        <v>1.1219578500814311E-3</v>
      </c>
      <c r="I87" s="267">
        <f t="shared" si="11"/>
        <v>0.82430008885499473</v>
      </c>
      <c r="J87" s="90">
        <f t="shared" si="9"/>
        <v>4.420354962348938E-4</v>
      </c>
      <c r="K87" s="242"/>
      <c r="L87" s="91">
        <f t="shared" si="10"/>
        <v>1</v>
      </c>
      <c r="M87" s="91"/>
      <c r="O87" s="94"/>
    </row>
    <row r="88" spans="1:15" s="93" customFormat="1" ht="25.5">
      <c r="A88" s="261">
        <v>1408021</v>
      </c>
      <c r="B88" s="262" t="s">
        <v>7752</v>
      </c>
      <c r="C88" s="263" t="s">
        <v>5</v>
      </c>
      <c r="D88" s="264">
        <v>388.8</v>
      </c>
      <c r="E88" s="265">
        <v>105.29396497991968</v>
      </c>
      <c r="F88" s="450">
        <f>BDI_O.A.E!$H$22</f>
        <v>0.18201100192553743</v>
      </c>
      <c r="G88" s="266">
        <f>((D88*E88*(1+F88)))</f>
        <v>48389.513416573507</v>
      </c>
      <c r="H88" s="267">
        <f t="shared" si="8"/>
        <v>1.0810632106600035E-3</v>
      </c>
      <c r="I88" s="267">
        <f t="shared" si="11"/>
        <v>0.82538115206565477</v>
      </c>
      <c r="J88" s="90">
        <f t="shared" si="9"/>
        <v>4.420354962348938E-4</v>
      </c>
      <c r="K88" s="242"/>
      <c r="L88" s="91">
        <f t="shared" si="10"/>
        <v>388.8</v>
      </c>
      <c r="M88" s="91"/>
      <c r="O88" s="94"/>
    </row>
    <row r="89" spans="1:15" s="93" customFormat="1" ht="38.25">
      <c r="A89" s="261" t="s">
        <v>8194</v>
      </c>
      <c r="B89" s="262" t="s">
        <v>8198</v>
      </c>
      <c r="C89" s="263" t="s">
        <v>4521</v>
      </c>
      <c r="D89" s="264">
        <v>2</v>
      </c>
      <c r="E89" s="265">
        <v>20915.961100605869</v>
      </c>
      <c r="F89" s="450">
        <f>BDI_Equipamentos!$H$22</f>
        <v>0.10890619719771655</v>
      </c>
      <c r="G89" s="266">
        <f>((D89*E89*(1+F89)))</f>
        <v>46387.677769616443</v>
      </c>
      <c r="H89" s="267">
        <f t="shared" si="8"/>
        <v>1.0363404862737764E-3</v>
      </c>
      <c r="I89" s="267">
        <f t="shared" si="11"/>
        <v>0.82641749255192853</v>
      </c>
      <c r="J89" s="90">
        <f t="shared" si="9"/>
        <v>4.420354962348938E-4</v>
      </c>
      <c r="K89" s="242"/>
      <c r="L89" s="91">
        <f t="shared" si="10"/>
        <v>2</v>
      </c>
      <c r="M89" s="91"/>
      <c r="O89" s="94"/>
    </row>
    <row r="90" spans="1:15" s="93" customFormat="1" ht="38.25">
      <c r="A90" s="261" t="s">
        <v>8175</v>
      </c>
      <c r="B90" s="262" t="s">
        <v>8177</v>
      </c>
      <c r="C90" s="263" t="s">
        <v>4521</v>
      </c>
      <c r="D90" s="264">
        <v>4</v>
      </c>
      <c r="E90" s="265">
        <v>10164.119939798555</v>
      </c>
      <c r="F90" s="450">
        <f>BDI_Equipamentos!$H$22</f>
        <v>0.10890619719771655</v>
      </c>
      <c r="G90" s="266">
        <f>((D90*E90*(1+F90)))</f>
        <v>45084.222361213993</v>
      </c>
      <c r="H90" s="267">
        <f t="shared" si="8"/>
        <v>1.007220175089224E-3</v>
      </c>
      <c r="I90" s="267">
        <f t="shared" si="11"/>
        <v>0.82742471272701779</v>
      </c>
      <c r="J90" s="90">
        <f t="shared" si="9"/>
        <v>4.420354962348938E-4</v>
      </c>
      <c r="K90" s="242"/>
      <c r="L90" s="91">
        <f t="shared" si="10"/>
        <v>4</v>
      </c>
      <c r="M90" s="91"/>
      <c r="O90" s="94"/>
    </row>
    <row r="91" spans="1:15" s="93" customFormat="1" ht="25.5">
      <c r="A91" s="261" t="s">
        <v>6798</v>
      </c>
      <c r="B91" s="262" t="s">
        <v>6799</v>
      </c>
      <c r="C91" s="263" t="s">
        <v>10</v>
      </c>
      <c r="D91" s="264">
        <v>1</v>
      </c>
      <c r="E91" s="265">
        <v>37676.366479999997</v>
      </c>
      <c r="F91" s="450">
        <f>BDI_O.A.E!$H$22</f>
        <v>0.18201100192553743</v>
      </c>
      <c r="G91" s="266">
        <f>((D91*E91*(1+F91)))</f>
        <v>44533.879691938528</v>
      </c>
      <c r="H91" s="267">
        <f t="shared" si="8"/>
        <v>9.9492504808746415E-4</v>
      </c>
      <c r="I91" s="267">
        <f t="shared" si="11"/>
        <v>0.8284196377751053</v>
      </c>
      <c r="J91" s="90">
        <f t="shared" si="9"/>
        <v>4.420354962348938E-4</v>
      </c>
      <c r="K91" s="242"/>
      <c r="L91" s="91">
        <f t="shared" si="10"/>
        <v>1</v>
      </c>
      <c r="M91" s="91"/>
      <c r="O91" s="94"/>
    </row>
    <row r="92" spans="1:15" s="93" customFormat="1" ht="63.75">
      <c r="A92" s="261" t="s">
        <v>6804</v>
      </c>
      <c r="B92" s="262" t="s">
        <v>8391</v>
      </c>
      <c r="C92" s="263" t="s">
        <v>10</v>
      </c>
      <c r="D92" s="264">
        <v>1</v>
      </c>
      <c r="E92" s="265">
        <v>35233.33556</v>
      </c>
      <c r="F92" s="450">
        <f>BDI_O.A.E!$H$22</f>
        <v>0.18201100192553743</v>
      </c>
      <c r="G92" s="266">
        <f>((D92*E92*(1+F92)))</f>
        <v>41646.190266454265</v>
      </c>
      <c r="H92" s="267">
        <f t="shared" si="8"/>
        <v>9.3041159090866685E-4</v>
      </c>
      <c r="I92" s="267">
        <f t="shared" si="11"/>
        <v>0.82935004936601397</v>
      </c>
      <c r="J92" s="90">
        <f t="shared" si="9"/>
        <v>4.420354962348938E-4</v>
      </c>
      <c r="K92" s="242"/>
      <c r="L92" s="91">
        <f t="shared" si="10"/>
        <v>1</v>
      </c>
      <c r="M92" s="91"/>
      <c r="O92" s="94"/>
    </row>
    <row r="93" spans="1:15" s="93" customFormat="1" ht="25.5">
      <c r="A93" s="261" t="s">
        <v>6264</v>
      </c>
      <c r="B93" s="262" t="s">
        <v>6410</v>
      </c>
      <c r="C93" s="263" t="s">
        <v>150</v>
      </c>
      <c r="D93" s="264">
        <v>180</v>
      </c>
      <c r="E93" s="265">
        <v>192.7</v>
      </c>
      <c r="F93" s="450">
        <f>BDI_O.A.E!$H$22</f>
        <v>0.18201100192553743</v>
      </c>
      <c r="G93" s="266">
        <f>((D93*E93*(1+F93)))</f>
        <v>40999.23361278919</v>
      </c>
      <c r="H93" s="267">
        <f t="shared" si="8"/>
        <v>9.1595802467525492E-4</v>
      </c>
      <c r="I93" s="267">
        <f t="shared" si="11"/>
        <v>0.83026600739068923</v>
      </c>
      <c r="J93" s="90">
        <f t="shared" si="9"/>
        <v>4.420354962348938E-4</v>
      </c>
      <c r="K93" s="242"/>
      <c r="L93" s="91">
        <f t="shared" si="10"/>
        <v>180</v>
      </c>
      <c r="M93" s="91"/>
      <c r="O93" s="94"/>
    </row>
    <row r="94" spans="1:15" s="93" customFormat="1" ht="114.75">
      <c r="A94" s="261" t="s">
        <v>6805</v>
      </c>
      <c r="B94" s="262" t="s">
        <v>8389</v>
      </c>
      <c r="C94" s="263" t="s">
        <v>10</v>
      </c>
      <c r="D94" s="264">
        <v>1</v>
      </c>
      <c r="E94" s="265">
        <v>33727.437975000001</v>
      </c>
      <c r="F94" s="450">
        <f>BDI_O.A.E!$H$22</f>
        <v>0.18201100192553743</v>
      </c>
      <c r="G94" s="266">
        <f>((D94*E94*(1+F94)))</f>
        <v>39866.202753211168</v>
      </c>
      <c r="H94" s="267">
        <f t="shared" si="8"/>
        <v>8.90645144004445E-4</v>
      </c>
      <c r="I94" s="267">
        <f t="shared" si="11"/>
        <v>0.83115665253469373</v>
      </c>
      <c r="J94" s="90">
        <f t="shared" si="9"/>
        <v>4.420354962348938E-4</v>
      </c>
      <c r="K94" s="242"/>
      <c r="L94" s="91">
        <f t="shared" si="10"/>
        <v>1</v>
      </c>
      <c r="M94" s="91"/>
      <c r="O94" s="94"/>
    </row>
    <row r="95" spans="1:15" s="93" customFormat="1" ht="38.25">
      <c r="A95" s="261" t="s">
        <v>8152</v>
      </c>
      <c r="B95" s="262" t="s">
        <v>8154</v>
      </c>
      <c r="C95" s="263" t="s">
        <v>4521</v>
      </c>
      <c r="D95" s="264">
        <v>4</v>
      </c>
      <c r="E95" s="265">
        <v>8949.1668274611184</v>
      </c>
      <c r="F95" s="450">
        <f>BDI_Equipamentos!$H$22</f>
        <v>0.10890619719771655</v>
      </c>
      <c r="G95" s="266">
        <f>((D95*E95*(1+F95)))</f>
        <v>39695.146218911446</v>
      </c>
      <c r="H95" s="267">
        <f t="shared" si="8"/>
        <v>8.8682359439342761E-4</v>
      </c>
      <c r="I95" s="267">
        <f t="shared" si="11"/>
        <v>0.83204347612908713</v>
      </c>
      <c r="J95" s="90">
        <f t="shared" si="9"/>
        <v>4.420354962348938E-4</v>
      </c>
      <c r="K95" s="242"/>
      <c r="L95" s="91">
        <f t="shared" si="10"/>
        <v>4</v>
      </c>
      <c r="M95" s="91"/>
      <c r="O95" s="94"/>
    </row>
    <row r="96" spans="1:15" s="93" customFormat="1" ht="63.75">
      <c r="A96" s="261" t="s">
        <v>6292</v>
      </c>
      <c r="B96" s="262" t="s">
        <v>8252</v>
      </c>
      <c r="C96" s="263" t="s">
        <v>150</v>
      </c>
      <c r="D96" s="264">
        <v>3600</v>
      </c>
      <c r="E96" s="265">
        <v>9.1243509874592856</v>
      </c>
      <c r="F96" s="450">
        <f>BDI_O.A.E!$H$22</f>
        <v>0.18201100192553743</v>
      </c>
      <c r="G96" s="266">
        <f>((D96*E96*(1+F96)))</f>
        <v>38826.299709385261</v>
      </c>
      <c r="H96" s="267">
        <f t="shared" si="8"/>
        <v>8.6741281856947785E-4</v>
      </c>
      <c r="I96" s="267">
        <f t="shared" si="11"/>
        <v>0.83291088894765664</v>
      </c>
      <c r="J96" s="90">
        <f t="shared" si="9"/>
        <v>4.420354962348938E-4</v>
      </c>
      <c r="K96" s="242"/>
      <c r="L96" s="91">
        <f t="shared" si="10"/>
        <v>3600</v>
      </c>
      <c r="M96" s="91"/>
      <c r="O96" s="94"/>
    </row>
    <row r="97" spans="1:15" s="93" customFormat="1" ht="51">
      <c r="A97" s="261" t="s">
        <v>7447</v>
      </c>
      <c r="B97" s="262" t="s">
        <v>7446</v>
      </c>
      <c r="C97" s="263" t="s">
        <v>4521</v>
      </c>
      <c r="D97" s="264">
        <v>30</v>
      </c>
      <c r="E97" s="265">
        <v>1076.8972102274429</v>
      </c>
      <c r="F97" s="450">
        <f>BDI_O.A.E!$H$22</f>
        <v>0.18201100192553743</v>
      </c>
      <c r="G97" s="266">
        <f>((D97*E97*(1+F97)))</f>
        <v>38187.130512952681</v>
      </c>
      <c r="H97" s="267">
        <f t="shared" si="8"/>
        <v>8.5313323080628051E-4</v>
      </c>
      <c r="I97" s="267">
        <f t="shared" si="11"/>
        <v>0.8337640221784629</v>
      </c>
      <c r="J97" s="90">
        <f t="shared" si="9"/>
        <v>4.420354962348938E-4</v>
      </c>
      <c r="K97" s="242"/>
      <c r="L97" s="91">
        <f t="shared" si="10"/>
        <v>30</v>
      </c>
      <c r="M97" s="91"/>
      <c r="O97" s="94"/>
    </row>
    <row r="98" spans="1:15" s="93" customFormat="1">
      <c r="A98" s="261" t="s">
        <v>7689</v>
      </c>
      <c r="B98" s="262" t="s">
        <v>7690</v>
      </c>
      <c r="C98" s="263" t="s">
        <v>5079</v>
      </c>
      <c r="D98" s="264">
        <v>5</v>
      </c>
      <c r="E98" s="265">
        <v>6205.16</v>
      </c>
      <c r="F98" s="450">
        <f>BDI_O.A.E!$H$22</f>
        <v>0.18201100192553743</v>
      </c>
      <c r="G98" s="266">
        <f>((D98*E98*(1+F98)))</f>
        <v>36672.836943541341</v>
      </c>
      <c r="H98" s="267">
        <f t="shared" si="8"/>
        <v>8.1930261436803111E-4</v>
      </c>
      <c r="I98" s="267">
        <f t="shared" si="11"/>
        <v>0.83458332479283093</v>
      </c>
      <c r="J98" s="90">
        <f t="shared" si="9"/>
        <v>4.420354962348938E-4</v>
      </c>
      <c r="K98" s="242"/>
      <c r="L98" s="91">
        <f t="shared" si="10"/>
        <v>5</v>
      </c>
      <c r="M98" s="91"/>
      <c r="O98" s="94"/>
    </row>
    <row r="99" spans="1:15" s="93" customFormat="1" ht="25.5">
      <c r="A99" s="261" t="s">
        <v>8488</v>
      </c>
      <c r="B99" s="262" t="s">
        <v>8364</v>
      </c>
      <c r="C99" s="263" t="s">
        <v>89</v>
      </c>
      <c r="D99" s="264">
        <v>49369.06</v>
      </c>
      <c r="E99" s="265">
        <v>0.60807136077314705</v>
      </c>
      <c r="F99" s="450">
        <f>BDI_O.A.E!$H$22</f>
        <v>0.18201100192553743</v>
      </c>
      <c r="G99" s="266">
        <f>((D99*E99*(1+F99)))</f>
        <v>35483.86566308303</v>
      </c>
      <c r="H99" s="267">
        <f t="shared" si="8"/>
        <v>7.9273997674095872E-4</v>
      </c>
      <c r="I99" s="267">
        <f t="shared" si="11"/>
        <v>0.83537606476957194</v>
      </c>
      <c r="J99" s="90">
        <f t="shared" si="9"/>
        <v>4.420354962348938E-4</v>
      </c>
      <c r="K99" s="242"/>
      <c r="L99" s="91">
        <f t="shared" si="10"/>
        <v>49369.06</v>
      </c>
      <c r="M99" s="91"/>
      <c r="O99" s="94"/>
    </row>
    <row r="100" spans="1:15" s="93" customFormat="1" ht="51">
      <c r="A100" s="261">
        <v>93208</v>
      </c>
      <c r="B100" s="262" t="s">
        <v>26952</v>
      </c>
      <c r="C100" s="263" t="s">
        <v>150</v>
      </c>
      <c r="D100" s="264">
        <v>50</v>
      </c>
      <c r="E100" s="265" t="s">
        <v>13772</v>
      </c>
      <c r="F100" s="450">
        <f>BDI_O.A.E!$H$22</f>
        <v>0.18201100192553743</v>
      </c>
      <c r="G100" s="266">
        <f>((D100*E100*(1+F100)))</f>
        <v>35181.375461311698</v>
      </c>
      <c r="H100" s="267">
        <f t="shared" si="8"/>
        <v>7.8598208632976675E-4</v>
      </c>
      <c r="I100" s="267">
        <f t="shared" si="11"/>
        <v>0.83616204685590168</v>
      </c>
      <c r="J100" s="90">
        <f t="shared" si="9"/>
        <v>4.420354962348938E-4</v>
      </c>
      <c r="K100" s="242"/>
      <c r="L100" s="91">
        <f t="shared" si="10"/>
        <v>50</v>
      </c>
      <c r="M100" s="91"/>
      <c r="O100" s="94"/>
    </row>
    <row r="101" spans="1:15" s="93" customFormat="1" ht="25.5">
      <c r="A101" s="261">
        <v>1408143</v>
      </c>
      <c r="B101" s="262" t="s">
        <v>8509</v>
      </c>
      <c r="C101" s="263" t="s">
        <v>5</v>
      </c>
      <c r="D101" s="264">
        <v>172.8</v>
      </c>
      <c r="E101" s="265">
        <v>171.280993557047</v>
      </c>
      <c r="F101" s="450">
        <f>BDI_O.A.E!$H$22</f>
        <v>0.18201100192553743</v>
      </c>
      <c r="G101" s="266">
        <f>((D101*E101*(1+F101)))</f>
        <v>34984.4000495328</v>
      </c>
      <c r="H101" s="267">
        <f t="shared" si="8"/>
        <v>7.8158148677742994E-4</v>
      </c>
      <c r="I101" s="267">
        <f t="shared" si="11"/>
        <v>0.8369436283426791</v>
      </c>
      <c r="J101" s="90">
        <f t="shared" si="9"/>
        <v>4.420354962348938E-4</v>
      </c>
      <c r="K101" s="242"/>
      <c r="L101" s="91">
        <f t="shared" si="10"/>
        <v>172.8</v>
      </c>
      <c r="M101" s="91"/>
      <c r="O101" s="94"/>
    </row>
    <row r="102" spans="1:15" s="93" customFormat="1">
      <c r="A102" s="261" t="s">
        <v>7697</v>
      </c>
      <c r="B102" s="262" t="s">
        <v>8490</v>
      </c>
      <c r="C102" s="263" t="s">
        <v>5079</v>
      </c>
      <c r="D102" s="264">
        <v>18</v>
      </c>
      <c r="E102" s="265">
        <v>1641.4340400000001</v>
      </c>
      <c r="F102" s="450">
        <f>BDI_O.A.E!$H$22</f>
        <v>0.18201100192553743</v>
      </c>
      <c r="G102" s="266">
        <f>((D102*E102*(1+F102)))</f>
        <v>34923.475695871493</v>
      </c>
      <c r="H102" s="267">
        <f t="shared" si="8"/>
        <v>7.8022038449046375E-4</v>
      </c>
      <c r="I102" s="267">
        <f t="shared" si="11"/>
        <v>0.83772384872716954</v>
      </c>
      <c r="J102" s="90">
        <f t="shared" si="9"/>
        <v>4.420354962348938E-4</v>
      </c>
      <c r="K102" s="242"/>
      <c r="L102" s="91">
        <f t="shared" si="10"/>
        <v>18</v>
      </c>
      <c r="M102" s="91"/>
      <c r="O102" s="94"/>
    </row>
    <row r="103" spans="1:15" s="93" customFormat="1" ht="51">
      <c r="A103" s="261" t="s">
        <v>6268</v>
      </c>
      <c r="B103" s="262" t="s">
        <v>6519</v>
      </c>
      <c r="C103" s="263" t="s">
        <v>10</v>
      </c>
      <c r="D103" s="264">
        <v>1</v>
      </c>
      <c r="E103" s="265">
        <v>28949.240400000002</v>
      </c>
      <c r="F103" s="450">
        <f>BDI_O.A.E!$H$22</f>
        <v>0.18201100192553743</v>
      </c>
      <c r="G103" s="266">
        <f>((D103*E103*(1+F103)))</f>
        <v>34218.320650187248</v>
      </c>
      <c r="H103" s="267">
        <f t="shared" si="8"/>
        <v>7.644666162899467E-4</v>
      </c>
      <c r="I103" s="267">
        <f t="shared" si="11"/>
        <v>0.83848831534345947</v>
      </c>
      <c r="J103" s="90">
        <f t="shared" si="9"/>
        <v>4.420354962348938E-4</v>
      </c>
      <c r="K103" s="242"/>
      <c r="L103" s="91">
        <f t="shared" si="10"/>
        <v>1</v>
      </c>
      <c r="M103" s="91"/>
      <c r="O103" s="94"/>
    </row>
    <row r="104" spans="1:15" s="93" customFormat="1" ht="25.5">
      <c r="A104" s="261">
        <v>5914640</v>
      </c>
      <c r="B104" s="262" t="s">
        <v>8210</v>
      </c>
      <c r="C104" s="263" t="s">
        <v>6668</v>
      </c>
      <c r="D104" s="264">
        <v>89779.56</v>
      </c>
      <c r="E104" s="265">
        <v>0.31865663998274985</v>
      </c>
      <c r="F104" s="450">
        <f>BDI_O.A.E!$H$22</f>
        <v>0.18201100192553743</v>
      </c>
      <c r="G104" s="266">
        <f>((D104*E104*(1+F104)))</f>
        <v>33815.978914228122</v>
      </c>
      <c r="H104" s="267">
        <f t="shared" si="8"/>
        <v>7.5547795700928687E-4</v>
      </c>
      <c r="I104" s="267">
        <f t="shared" si="11"/>
        <v>0.83924379330046872</v>
      </c>
      <c r="J104" s="90">
        <f t="shared" si="9"/>
        <v>4.420354962348938E-4</v>
      </c>
      <c r="K104" s="242"/>
      <c r="L104" s="91">
        <f t="shared" si="10"/>
        <v>89779.56</v>
      </c>
      <c r="M104" s="91"/>
      <c r="O104" s="94"/>
    </row>
    <row r="105" spans="1:15" s="93" customFormat="1" ht="38.25">
      <c r="A105" s="261" t="s">
        <v>6274</v>
      </c>
      <c r="B105" s="262" t="s">
        <v>6536</v>
      </c>
      <c r="C105" s="263" t="s">
        <v>4521</v>
      </c>
      <c r="D105" s="264">
        <v>31</v>
      </c>
      <c r="E105" s="265">
        <v>918.14</v>
      </c>
      <c r="F105" s="450">
        <f>BDI_O.A.E!$H$22</f>
        <v>0.18201100192553743</v>
      </c>
      <c r="G105" s="266">
        <f>((D105*E105*(1+F105)))</f>
        <v>33642.799020545302</v>
      </c>
      <c r="H105" s="267">
        <f t="shared" si="8"/>
        <v>7.5160896972944406E-4</v>
      </c>
      <c r="I105" s="267">
        <f t="shared" si="11"/>
        <v>0.8399954022701982</v>
      </c>
      <c r="J105" s="90">
        <f t="shared" si="9"/>
        <v>4.420354962348938E-4</v>
      </c>
      <c r="K105" s="242"/>
      <c r="L105" s="91">
        <f t="shared" si="10"/>
        <v>31</v>
      </c>
      <c r="M105" s="91"/>
      <c r="O105" s="94"/>
    </row>
    <row r="106" spans="1:15" s="93" customFormat="1" ht="51">
      <c r="A106" s="261">
        <v>93212</v>
      </c>
      <c r="B106" s="262" t="s">
        <v>209</v>
      </c>
      <c r="C106" s="263" t="s">
        <v>150</v>
      </c>
      <c r="D106" s="264">
        <v>40</v>
      </c>
      <c r="E106" s="265" t="s">
        <v>13776</v>
      </c>
      <c r="F106" s="450">
        <f>BDI_O.A.E!$H$22</f>
        <v>0.18201100192553743</v>
      </c>
      <c r="G106" s="266">
        <f>((D106*E106*(1+F106)))</f>
        <v>32518.541076173842</v>
      </c>
      <c r="H106" s="267">
        <f t="shared" si="8"/>
        <v>7.2649208350475327E-4</v>
      </c>
      <c r="I106" s="267">
        <f t="shared" si="11"/>
        <v>0.84072189435370293</v>
      </c>
      <c r="J106" s="90">
        <f t="shared" si="9"/>
        <v>4.420354962348938E-4</v>
      </c>
      <c r="K106" s="242"/>
      <c r="L106" s="91">
        <f t="shared" si="10"/>
        <v>40</v>
      </c>
      <c r="M106" s="91"/>
      <c r="O106" s="94"/>
    </row>
    <row r="107" spans="1:15" s="93" customFormat="1">
      <c r="A107" s="261" t="s">
        <v>7635</v>
      </c>
      <c r="B107" s="262" t="s">
        <v>7793</v>
      </c>
      <c r="C107" s="263" t="s">
        <v>5079</v>
      </c>
      <c r="D107" s="264">
        <v>9</v>
      </c>
      <c r="E107" s="265">
        <v>2935.3508999999999</v>
      </c>
      <c r="F107" s="450">
        <f>BDI_O.A.E!$H$22</f>
        <v>0.18201100192553743</v>
      </c>
      <c r="G107" s="266">
        <f>((D107*E107*(1+F107)))</f>
        <v>31226.553524808252</v>
      </c>
      <c r="H107" s="267">
        <f t="shared" si="8"/>
        <v>6.9762797407699325E-4</v>
      </c>
      <c r="I107" s="267">
        <f t="shared" si="11"/>
        <v>0.84141952232777995</v>
      </c>
      <c r="J107" s="90">
        <f t="shared" si="9"/>
        <v>4.420354962348938E-4</v>
      </c>
      <c r="K107" s="242"/>
      <c r="L107" s="91">
        <f t="shared" si="10"/>
        <v>9</v>
      </c>
      <c r="M107" s="91"/>
      <c r="O107" s="94"/>
    </row>
    <row r="108" spans="1:15" s="93" customFormat="1" ht="25.5">
      <c r="A108" s="261">
        <v>5915321</v>
      </c>
      <c r="B108" s="262" t="s">
        <v>6679</v>
      </c>
      <c r="C108" s="263" t="s">
        <v>6668</v>
      </c>
      <c r="D108" s="264">
        <v>49090.308600000004</v>
      </c>
      <c r="E108" s="265">
        <v>0.53044787122445292</v>
      </c>
      <c r="F108" s="450">
        <f>BDI_O.A.E!$H$22</f>
        <v>0.18201100192553743</v>
      </c>
      <c r="G108" s="266">
        <f>((D108*E108*(1+F108)))</f>
        <v>30779.388827529907</v>
      </c>
      <c r="H108" s="267">
        <f t="shared" si="8"/>
        <v>6.8763793141688313E-4</v>
      </c>
      <c r="I108" s="267">
        <f t="shared" si="11"/>
        <v>0.84210716025919685</v>
      </c>
      <c r="J108" s="90">
        <f t="shared" si="9"/>
        <v>4.420354962348938E-4</v>
      </c>
      <c r="K108" s="242"/>
      <c r="L108" s="91">
        <f t="shared" si="10"/>
        <v>49090.308600000004</v>
      </c>
      <c r="M108" s="91"/>
      <c r="O108" s="94"/>
    </row>
    <row r="109" spans="1:15" s="93" customFormat="1" ht="76.5">
      <c r="A109" s="261" t="s">
        <v>8388</v>
      </c>
      <c r="B109" s="262" t="s">
        <v>13511</v>
      </c>
      <c r="C109" s="263" t="s">
        <v>10</v>
      </c>
      <c r="D109" s="264">
        <v>1</v>
      </c>
      <c r="E109" s="265">
        <v>25955.465830000001</v>
      </c>
      <c r="F109" s="450">
        <f>BDI_O.A.E!$H$22</f>
        <v>0.18201100192553743</v>
      </c>
      <c r="G109" s="266">
        <f>((D109*E109*(1+F109)))</f>
        <v>30679.646171162352</v>
      </c>
      <c r="H109" s="267">
        <f t="shared" ref="H109:H172" si="12">G109/$G$366</f>
        <v>6.8540959497125293E-4</v>
      </c>
      <c r="I109" s="267">
        <f t="shared" si="11"/>
        <v>0.84279256985416806</v>
      </c>
      <c r="J109" s="90">
        <f t="shared" si="9"/>
        <v>4.420354962348938E-4</v>
      </c>
      <c r="K109" s="242"/>
      <c r="L109" s="91">
        <f t="shared" si="10"/>
        <v>1</v>
      </c>
      <c r="M109" s="91"/>
      <c r="O109" s="94"/>
    </row>
    <row r="110" spans="1:15" s="93" customFormat="1" ht="63.75">
      <c r="A110" s="261" t="s">
        <v>6779</v>
      </c>
      <c r="B110" s="262" t="s">
        <v>6780</v>
      </c>
      <c r="C110" s="263" t="s">
        <v>10</v>
      </c>
      <c r="D110" s="264">
        <v>1</v>
      </c>
      <c r="E110" s="265">
        <v>24844.911689894536</v>
      </c>
      <c r="F110" s="450">
        <f>BDI_O.A.E!$H$22</f>
        <v>0.18201100192553743</v>
      </c>
      <c r="G110" s="266">
        <f>((D110*E110*(1+F110)))</f>
        <v>29366.958959323736</v>
      </c>
      <c r="H110" s="267">
        <f t="shared" si="12"/>
        <v>6.5608303738415926E-4</v>
      </c>
      <c r="I110" s="267">
        <f t="shared" si="11"/>
        <v>0.84344865289155224</v>
      </c>
      <c r="J110" s="90">
        <f t="shared" si="9"/>
        <v>4.420354962348938E-4</v>
      </c>
      <c r="K110" s="242"/>
      <c r="L110" s="91">
        <f t="shared" si="10"/>
        <v>1</v>
      </c>
      <c r="M110" s="91"/>
      <c r="O110" s="94"/>
    </row>
    <row r="111" spans="1:15" s="93" customFormat="1" ht="63.75">
      <c r="A111" s="261" t="s">
        <v>6808</v>
      </c>
      <c r="B111" s="262" t="s">
        <v>8227</v>
      </c>
      <c r="C111" s="263" t="s">
        <v>10</v>
      </c>
      <c r="D111" s="264">
        <v>1</v>
      </c>
      <c r="E111" s="265">
        <v>24197.971539999999</v>
      </c>
      <c r="F111" s="450">
        <f>BDI_O.A.E!$H$22</f>
        <v>0.18201100192553743</v>
      </c>
      <c r="G111" s="266">
        <f>((D111*E111*(1+F111)))</f>
        <v>28602.268584561039</v>
      </c>
      <c r="H111" s="267">
        <f t="shared" si="12"/>
        <v>6.3899919889657023E-4</v>
      </c>
      <c r="I111" s="267">
        <f t="shared" si="11"/>
        <v>0.84408765209044878</v>
      </c>
      <c r="J111" s="90">
        <f t="shared" si="9"/>
        <v>4.420354962348938E-4</v>
      </c>
      <c r="K111" s="242"/>
      <c r="L111" s="91">
        <f t="shared" si="10"/>
        <v>1</v>
      </c>
      <c r="M111" s="91"/>
      <c r="O111" s="94"/>
    </row>
    <row r="112" spans="1:15" s="93" customFormat="1" ht="25.5">
      <c r="A112" s="261">
        <v>73698</v>
      </c>
      <c r="B112" s="262" t="s">
        <v>1392</v>
      </c>
      <c r="C112" s="263" t="s">
        <v>26957</v>
      </c>
      <c r="D112" s="264">
        <v>89.71</v>
      </c>
      <c r="E112" s="265">
        <v>255.89</v>
      </c>
      <c r="F112" s="450">
        <v>0.1832</v>
      </c>
      <c r="G112" s="266">
        <f>((D112*E112*(1+F112)))</f>
        <v>27161.411296079998</v>
      </c>
      <c r="H112" s="267">
        <f t="shared" si="12"/>
        <v>6.0680921192607352E-4</v>
      </c>
      <c r="I112" s="267">
        <f t="shared" si="11"/>
        <v>0.8446944613023748</v>
      </c>
      <c r="J112" s="90">
        <f t="shared" si="9"/>
        <v>4.420354962348938E-4</v>
      </c>
      <c r="K112" s="242"/>
      <c r="L112" s="91">
        <f t="shared" si="10"/>
        <v>89.71</v>
      </c>
      <c r="M112" s="91"/>
      <c r="O112" s="94"/>
    </row>
    <row r="113" spans="1:15" s="93" customFormat="1" ht="38.25">
      <c r="A113" s="261" t="s">
        <v>6279</v>
      </c>
      <c r="B113" s="262" t="s">
        <v>6636</v>
      </c>
      <c r="C113" s="263" t="s">
        <v>150</v>
      </c>
      <c r="D113" s="264">
        <v>193.2</v>
      </c>
      <c r="E113" s="265">
        <v>116.9858</v>
      </c>
      <c r="F113" s="450">
        <f>BDI_O.A.E!$H$22</f>
        <v>0.18201100192553743</v>
      </c>
      <c r="G113" s="266">
        <f>((D113*E113*(1+F113)))</f>
        <v>26715.406715662495</v>
      </c>
      <c r="H113" s="267">
        <f t="shared" si="12"/>
        <v>5.9684508727112146E-4</v>
      </c>
      <c r="I113" s="267">
        <f t="shared" si="11"/>
        <v>0.84529130638964589</v>
      </c>
      <c r="J113" s="90">
        <f t="shared" si="9"/>
        <v>4.420354962348938E-4</v>
      </c>
      <c r="K113" s="242"/>
      <c r="L113" s="91">
        <f t="shared" si="10"/>
        <v>193.2</v>
      </c>
      <c r="M113" s="91"/>
      <c r="O113" s="94"/>
    </row>
    <row r="114" spans="1:15" s="93" customFormat="1" ht="102">
      <c r="A114" s="261" t="s">
        <v>6793</v>
      </c>
      <c r="B114" s="262" t="s">
        <v>6794</v>
      </c>
      <c r="C114" s="263" t="s">
        <v>10</v>
      </c>
      <c r="D114" s="264">
        <v>1</v>
      </c>
      <c r="E114" s="265">
        <v>22514.758515000001</v>
      </c>
      <c r="F114" s="450">
        <f>BDI_O.A.E!$H$22</f>
        <v>0.18201100192553743</v>
      </c>
      <c r="G114" s="266">
        <f>((D114*E114*(1+F114)))</f>
        <v>26612.692270426676</v>
      </c>
      <c r="H114" s="267">
        <f t="shared" si="12"/>
        <v>5.9455035851466804E-4</v>
      </c>
      <c r="I114" s="267">
        <f t="shared" si="11"/>
        <v>0.84588585674816053</v>
      </c>
      <c r="J114" s="90">
        <f t="shared" si="9"/>
        <v>4.420354962348938E-4</v>
      </c>
      <c r="K114" s="242"/>
      <c r="L114" s="91">
        <f t="shared" si="10"/>
        <v>1</v>
      </c>
      <c r="M114" s="91"/>
      <c r="O114" s="94"/>
    </row>
    <row r="115" spans="1:15" s="93" customFormat="1" ht="51">
      <c r="A115" s="261" t="s">
        <v>7435</v>
      </c>
      <c r="B115" s="262" t="s">
        <v>7436</v>
      </c>
      <c r="C115" s="263" t="s">
        <v>4521</v>
      </c>
      <c r="D115" s="264">
        <v>18</v>
      </c>
      <c r="E115" s="265">
        <v>1249.1741099535104</v>
      </c>
      <c r="F115" s="450">
        <f>BDI_O.A.E!$H$22</f>
        <v>0.18201100192553743</v>
      </c>
      <c r="G115" s="266">
        <f>((D115*E115*(1+F115)))</f>
        <v>26577.675743140626</v>
      </c>
      <c r="H115" s="267">
        <f t="shared" si="12"/>
        <v>5.9376805927788647E-4</v>
      </c>
      <c r="I115" s="267">
        <f t="shared" si="11"/>
        <v>0.84647962480743844</v>
      </c>
      <c r="J115" s="90">
        <f t="shared" si="9"/>
        <v>4.420354962348938E-4</v>
      </c>
      <c r="K115" s="242"/>
      <c r="L115" s="91">
        <f t="shared" si="10"/>
        <v>18</v>
      </c>
      <c r="M115" s="91"/>
      <c r="O115" s="94"/>
    </row>
    <row r="116" spans="1:15" s="93" customFormat="1" ht="38.25">
      <c r="A116" s="261" t="s">
        <v>8168</v>
      </c>
      <c r="B116" s="262" t="s">
        <v>8171</v>
      </c>
      <c r="C116" s="263" t="s">
        <v>4521</v>
      </c>
      <c r="D116" s="264">
        <v>2</v>
      </c>
      <c r="E116" s="265">
        <v>11892.711766294908</v>
      </c>
      <c r="F116" s="450">
        <f>BDI_Equipamentos!$H$22</f>
        <v>0.10890619719771655</v>
      </c>
      <c r="G116" s="266">
        <f>((D116*E116*(1+F116)))</f>
        <v>26375.80355826125</v>
      </c>
      <c r="H116" s="267">
        <f t="shared" si="12"/>
        <v>5.8925806161682498E-4</v>
      </c>
      <c r="I116" s="267">
        <f t="shared" si="11"/>
        <v>0.84706888286905524</v>
      </c>
      <c r="J116" s="90">
        <f t="shared" si="9"/>
        <v>4.420354962348938E-4</v>
      </c>
      <c r="K116" s="242"/>
      <c r="L116" s="91">
        <f t="shared" si="10"/>
        <v>2</v>
      </c>
      <c r="M116" s="91"/>
      <c r="O116" s="94"/>
    </row>
    <row r="117" spans="1:15" s="93" customFormat="1" ht="38.25">
      <c r="A117" s="261" t="s">
        <v>6270</v>
      </c>
      <c r="B117" s="262" t="s">
        <v>6521</v>
      </c>
      <c r="C117" s="263" t="s">
        <v>5</v>
      </c>
      <c r="D117" s="264">
        <v>399.3</v>
      </c>
      <c r="E117" s="265">
        <v>54.507899999999999</v>
      </c>
      <c r="F117" s="450">
        <f>BDI_O.A.E!$H$22</f>
        <v>0.18201100192553743</v>
      </c>
      <c r="G117" s="266">
        <f>((D117*E117*(1+F117)))</f>
        <v>25726.474740498499</v>
      </c>
      <c r="H117" s="267">
        <f t="shared" si="12"/>
        <v>5.7475149920398129E-4</v>
      </c>
      <c r="I117" s="267">
        <f t="shared" si="11"/>
        <v>0.84764363436825918</v>
      </c>
      <c r="J117" s="90">
        <f t="shared" si="9"/>
        <v>4.420354962348938E-4</v>
      </c>
      <c r="K117" s="242"/>
      <c r="L117" s="91">
        <f t="shared" si="10"/>
        <v>399.3</v>
      </c>
      <c r="M117" s="91"/>
      <c r="O117" s="94"/>
    </row>
    <row r="118" spans="1:15" s="93" customFormat="1" ht="51">
      <c r="A118" s="261" t="s">
        <v>6276</v>
      </c>
      <c r="B118" s="262" t="s">
        <v>6606</v>
      </c>
      <c r="C118" s="263" t="s">
        <v>150</v>
      </c>
      <c r="D118" s="264">
        <v>69.92</v>
      </c>
      <c r="E118" s="265">
        <v>308.63885126525958</v>
      </c>
      <c r="F118" s="450">
        <f>BDI_O.A.E!$H$22</f>
        <v>0.18201100192553743</v>
      </c>
      <c r="G118" s="266">
        <f>((D118*E118*(1+F118)))</f>
        <v>25507.831085778373</v>
      </c>
      <c r="H118" s="267">
        <f t="shared" si="12"/>
        <v>5.6986681252967335E-4</v>
      </c>
      <c r="I118" s="267">
        <f t="shared" si="11"/>
        <v>0.84821350118078886</v>
      </c>
      <c r="J118" s="90">
        <f t="shared" si="9"/>
        <v>4.420354962348938E-4</v>
      </c>
      <c r="K118" s="242"/>
      <c r="L118" s="91">
        <f t="shared" si="10"/>
        <v>69.92</v>
      </c>
      <c r="M118" s="91"/>
      <c r="O118" s="94"/>
    </row>
    <row r="119" spans="1:15" s="93" customFormat="1" ht="38.25">
      <c r="A119" s="261" t="s">
        <v>7429</v>
      </c>
      <c r="B119" s="262" t="s">
        <v>7388</v>
      </c>
      <c r="C119" s="263" t="s">
        <v>5</v>
      </c>
      <c r="D119" s="264">
        <v>137.11000000000001</v>
      </c>
      <c r="E119" s="265">
        <v>153.54755999999998</v>
      </c>
      <c r="F119" s="450">
        <f>BDI_O.A.E!$H$22</f>
        <v>0.18201100192553743</v>
      </c>
      <c r="G119" s="266">
        <f>((D119*E119*(1+F119)))</f>
        <v>24884.766457294823</v>
      </c>
      <c r="H119" s="267">
        <f t="shared" si="12"/>
        <v>5.5594701461977316E-4</v>
      </c>
      <c r="I119" s="267">
        <f t="shared" si="11"/>
        <v>0.84876944819540867</v>
      </c>
      <c r="J119" s="90">
        <f t="shared" si="9"/>
        <v>4.420354962348938E-4</v>
      </c>
      <c r="K119" s="242"/>
      <c r="L119" s="91">
        <f t="shared" si="10"/>
        <v>137.11000000000001</v>
      </c>
      <c r="M119" s="91"/>
      <c r="O119" s="94"/>
    </row>
    <row r="120" spans="1:15" s="93" customFormat="1" ht="25.5">
      <c r="A120" s="261" t="s">
        <v>6262</v>
      </c>
      <c r="B120" s="262" t="s">
        <v>6357</v>
      </c>
      <c r="C120" s="263" t="s">
        <v>150</v>
      </c>
      <c r="D120" s="264">
        <v>108</v>
      </c>
      <c r="E120" s="265">
        <v>192.81</v>
      </c>
      <c r="F120" s="450">
        <f>BDI_O.A.E!$H$22</f>
        <v>0.18201100192553743</v>
      </c>
      <c r="G120" s="266">
        <f>((D120*E120*(1+F120)))</f>
        <v>24613.58245837639</v>
      </c>
      <c r="H120" s="267">
        <f t="shared" si="12"/>
        <v>5.4988853161692551E-4</v>
      </c>
      <c r="I120" s="267">
        <f t="shared" si="11"/>
        <v>0.84931933672702564</v>
      </c>
      <c r="J120" s="90">
        <f t="shared" si="9"/>
        <v>4.420354962348938E-4</v>
      </c>
      <c r="K120" s="242"/>
      <c r="L120" s="91">
        <f t="shared" si="10"/>
        <v>108</v>
      </c>
      <c r="M120" s="91"/>
      <c r="O120" s="94"/>
    </row>
    <row r="121" spans="1:15" s="93" customFormat="1">
      <c r="A121" s="261">
        <v>4413905</v>
      </c>
      <c r="B121" s="262" t="s">
        <v>6691</v>
      </c>
      <c r="C121" s="263" t="s">
        <v>150</v>
      </c>
      <c r="D121" s="264">
        <v>8017</v>
      </c>
      <c r="E121" s="265">
        <v>2.5890839496646723</v>
      </c>
      <c r="F121" s="450">
        <f>BDI_O.A.E!$H$22</f>
        <v>0.18201100192553743</v>
      </c>
      <c r="G121" s="266">
        <f>((D121*E121*(1+F121)))</f>
        <v>24534.631244427746</v>
      </c>
      <c r="H121" s="267">
        <f t="shared" si="12"/>
        <v>5.481246938179781E-4</v>
      </c>
      <c r="I121" s="267">
        <f t="shared" si="11"/>
        <v>0.84986746142084357</v>
      </c>
      <c r="J121" s="90">
        <f t="shared" si="9"/>
        <v>4.420354962348938E-4</v>
      </c>
      <c r="K121" s="242"/>
      <c r="L121" s="91">
        <f t="shared" si="10"/>
        <v>8017</v>
      </c>
      <c r="M121" s="91"/>
      <c r="O121" s="94"/>
    </row>
    <row r="122" spans="1:15" s="93" customFormat="1" ht="38.25">
      <c r="A122" s="261" t="s">
        <v>8119</v>
      </c>
      <c r="B122" s="262" t="s">
        <v>8131</v>
      </c>
      <c r="C122" s="263" t="s">
        <v>4521</v>
      </c>
      <c r="D122" s="264">
        <v>3</v>
      </c>
      <c r="E122" s="265">
        <v>7289.7186740246198</v>
      </c>
      <c r="F122" s="450">
        <f>BDI_Equipamentos!$H$22</f>
        <v>0.10890619719771655</v>
      </c>
      <c r="G122" s="266">
        <f>((D122*E122*(1+F122)))</f>
        <v>24250.842640361469</v>
      </c>
      <c r="H122" s="267">
        <f t="shared" si="12"/>
        <v>5.4178461313108422E-4</v>
      </c>
      <c r="I122" s="267">
        <f t="shared" si="11"/>
        <v>0.85040924603397461</v>
      </c>
      <c r="J122" s="90">
        <f t="shared" si="9"/>
        <v>4.420354962348938E-4</v>
      </c>
      <c r="K122" s="242"/>
      <c r="L122" s="91">
        <f t="shared" si="10"/>
        <v>3</v>
      </c>
      <c r="M122" s="91"/>
      <c r="O122" s="94"/>
    </row>
    <row r="123" spans="1:15" s="93" customFormat="1" ht="63.75">
      <c r="A123" s="261" t="s">
        <v>6803</v>
      </c>
      <c r="B123" s="262" t="s">
        <v>6812</v>
      </c>
      <c r="C123" s="263" t="s">
        <v>10</v>
      </c>
      <c r="D123" s="264">
        <v>1</v>
      </c>
      <c r="E123" s="265">
        <v>20342.314149999998</v>
      </c>
      <c r="F123" s="450">
        <f>BDI_O.A.E!$H$22</f>
        <v>0.18201100192553743</v>
      </c>
      <c r="G123" s="266">
        <f>((D123*E123*(1+F123)))</f>
        <v>24044.839129925535</v>
      </c>
      <c r="H123" s="267">
        <f t="shared" si="12"/>
        <v>5.3718231811559374E-4</v>
      </c>
      <c r="I123" s="267">
        <f t="shared" si="11"/>
        <v>0.85094642835209022</v>
      </c>
      <c r="J123" s="90">
        <f t="shared" si="9"/>
        <v>4.420354962348938E-4</v>
      </c>
      <c r="K123" s="242"/>
      <c r="L123" s="91">
        <f t="shared" si="10"/>
        <v>1</v>
      </c>
      <c r="M123" s="91"/>
      <c r="O123" s="94"/>
    </row>
    <row r="124" spans="1:15" s="93" customFormat="1">
      <c r="A124" s="261" t="s">
        <v>7719</v>
      </c>
      <c r="B124" s="262" t="s">
        <v>7724</v>
      </c>
      <c r="C124" s="263" t="s">
        <v>4521</v>
      </c>
      <c r="D124" s="264">
        <v>1</v>
      </c>
      <c r="E124" s="265">
        <v>20080.120650000001</v>
      </c>
      <c r="F124" s="450">
        <f>BDI_O.A.E!$H$22</f>
        <v>0.18201100192553743</v>
      </c>
      <c r="G124" s="266">
        <f>((D124*E124*(1+F124)))</f>
        <v>23734.923528292176</v>
      </c>
      <c r="H124" s="267">
        <f t="shared" si="12"/>
        <v>5.3025853790620995E-4</v>
      </c>
      <c r="I124" s="267">
        <f t="shared" si="11"/>
        <v>0.85147668688999645</v>
      </c>
      <c r="J124" s="90">
        <f t="shared" si="9"/>
        <v>4.420354962348938E-4</v>
      </c>
      <c r="K124" s="242"/>
      <c r="L124" s="91">
        <f t="shared" si="10"/>
        <v>1</v>
      </c>
      <c r="M124" s="91"/>
      <c r="O124" s="94"/>
    </row>
    <row r="125" spans="1:15" s="93" customFormat="1" ht="25.5">
      <c r="A125" s="261" t="s">
        <v>7720</v>
      </c>
      <c r="B125" s="262" t="s">
        <v>7727</v>
      </c>
      <c r="C125" s="263" t="s">
        <v>4521</v>
      </c>
      <c r="D125" s="264">
        <v>1</v>
      </c>
      <c r="E125" s="265">
        <v>20080.120650000001</v>
      </c>
      <c r="F125" s="450">
        <f>BDI_O.A.E!$H$22</f>
        <v>0.18201100192553743</v>
      </c>
      <c r="G125" s="266">
        <f>((D125*E125*(1+F125)))</f>
        <v>23734.923528292176</v>
      </c>
      <c r="H125" s="267">
        <f t="shared" si="12"/>
        <v>5.3025853790620995E-4</v>
      </c>
      <c r="I125" s="267">
        <f t="shared" si="11"/>
        <v>0.85200694542790267</v>
      </c>
      <c r="J125" s="90">
        <f t="shared" si="9"/>
        <v>4.420354962348938E-4</v>
      </c>
      <c r="K125" s="242"/>
      <c r="L125" s="91">
        <f t="shared" si="10"/>
        <v>1</v>
      </c>
      <c r="M125" s="91"/>
      <c r="O125" s="94"/>
    </row>
    <row r="126" spans="1:15" s="93" customFormat="1" ht="25.5">
      <c r="A126" s="261" t="s">
        <v>6809</v>
      </c>
      <c r="B126" s="262" t="s">
        <v>6814</v>
      </c>
      <c r="C126" s="263" t="s">
        <v>10</v>
      </c>
      <c r="D126" s="264">
        <v>1</v>
      </c>
      <c r="E126" s="265">
        <v>20025.040524999997</v>
      </c>
      <c r="F126" s="450">
        <f>BDI_O.A.E!$H$22</f>
        <v>0.18201100192553743</v>
      </c>
      <c r="G126" s="266">
        <f>((D126*E126*(1+F126)))</f>
        <v>23669.818214554736</v>
      </c>
      <c r="H126" s="267">
        <f t="shared" si="12"/>
        <v>5.2880402938709932E-4</v>
      </c>
      <c r="I126" s="267">
        <f t="shared" si="11"/>
        <v>0.85253574945728983</v>
      </c>
      <c r="J126" s="90">
        <f t="shared" si="9"/>
        <v>4.420354962348938E-4</v>
      </c>
      <c r="K126" s="242"/>
      <c r="L126" s="91">
        <f t="shared" si="10"/>
        <v>1</v>
      </c>
      <c r="M126" s="91"/>
      <c r="O126" s="94"/>
    </row>
    <row r="127" spans="1:15" s="93" customFormat="1" ht="63.75">
      <c r="A127" s="261" t="s">
        <v>6275</v>
      </c>
      <c r="B127" s="262" t="s">
        <v>6545</v>
      </c>
      <c r="C127" s="263" t="s">
        <v>10</v>
      </c>
      <c r="D127" s="264">
        <v>1</v>
      </c>
      <c r="E127" s="265">
        <v>20019.859899999999</v>
      </c>
      <c r="F127" s="450">
        <f>BDI_O.A.E!$H$22</f>
        <v>0.18201100192553743</v>
      </c>
      <c r="G127" s="266">
        <f>((D127*E127*(1+F127)))</f>
        <v>23663.69465880789</v>
      </c>
      <c r="H127" s="267">
        <f t="shared" si="12"/>
        <v>5.2866722390242018E-4</v>
      </c>
      <c r="I127" s="267">
        <f t="shared" si="11"/>
        <v>0.85306441668119226</v>
      </c>
      <c r="J127" s="90">
        <f t="shared" si="9"/>
        <v>4.420354962348938E-4</v>
      </c>
      <c r="K127" s="242"/>
      <c r="L127" s="91">
        <f t="shared" si="10"/>
        <v>1</v>
      </c>
      <c r="M127" s="91"/>
      <c r="O127" s="94"/>
    </row>
    <row r="128" spans="1:15" s="93" customFormat="1" ht="38.25">
      <c r="A128" s="261" t="s">
        <v>8120</v>
      </c>
      <c r="B128" s="262" t="s">
        <v>8127</v>
      </c>
      <c r="C128" s="263" t="s">
        <v>4521</v>
      </c>
      <c r="D128" s="264">
        <v>2</v>
      </c>
      <c r="E128" s="265">
        <v>10583.92081194767</v>
      </c>
      <c r="F128" s="450">
        <f>BDI_Equipamentos!$H$22</f>
        <v>0.10890619719771655</v>
      </c>
      <c r="G128" s="266">
        <f>((D128*E128*(1+F128)))</f>
        <v>23473.150758037318</v>
      </c>
      <c r="H128" s="267">
        <f t="shared" si="12"/>
        <v>5.244103098192924E-4</v>
      </c>
      <c r="I128" s="267">
        <f t="shared" si="11"/>
        <v>0.85358882699101157</v>
      </c>
      <c r="J128" s="90">
        <f t="shared" si="9"/>
        <v>4.420354962348938E-4</v>
      </c>
      <c r="K128" s="242"/>
      <c r="L128" s="91">
        <f t="shared" si="10"/>
        <v>2</v>
      </c>
      <c r="M128" s="91"/>
      <c r="O128" s="94"/>
    </row>
    <row r="129" spans="1:15" s="93" customFormat="1" ht="25.5">
      <c r="A129" s="261" t="s">
        <v>8487</v>
      </c>
      <c r="B129" s="262" t="s">
        <v>8343</v>
      </c>
      <c r="C129" s="263" t="s">
        <v>89</v>
      </c>
      <c r="D129" s="264">
        <v>32591.99</v>
      </c>
      <c r="E129" s="265">
        <v>0.60807136077314705</v>
      </c>
      <c r="F129" s="450">
        <f>BDI_O.A.E!$H$22</f>
        <v>0.18201100192553743</v>
      </c>
      <c r="G129" s="266">
        <f>((D129*E129*(1+F129)))</f>
        <v>23425.396287726471</v>
      </c>
      <c r="H129" s="267">
        <f t="shared" si="12"/>
        <v>5.2334343401599221E-4</v>
      </c>
      <c r="I129" s="267">
        <f t="shared" si="11"/>
        <v>0.85411217042502752</v>
      </c>
      <c r="J129" s="90">
        <f t="shared" si="9"/>
        <v>4.420354962348938E-4</v>
      </c>
      <c r="K129" s="242"/>
      <c r="L129" s="91">
        <f t="shared" si="10"/>
        <v>32591.99</v>
      </c>
      <c r="M129" s="91"/>
      <c r="O129" s="94"/>
    </row>
    <row r="130" spans="1:15" s="93" customFormat="1" ht="38.25">
      <c r="A130" s="261" t="s">
        <v>8418</v>
      </c>
      <c r="B130" s="262" t="s">
        <v>8420</v>
      </c>
      <c r="C130" s="263" t="s">
        <v>5</v>
      </c>
      <c r="D130" s="264">
        <v>1200</v>
      </c>
      <c r="E130" s="265">
        <v>16.34</v>
      </c>
      <c r="F130" s="450">
        <f>BDI_O.A.E!$H$22</f>
        <v>0.18201100192553743</v>
      </c>
      <c r="G130" s="266">
        <f>((D130*E130*(1+F130)))</f>
        <v>23176.871725755936</v>
      </c>
      <c r="H130" s="267">
        <f t="shared" si="12"/>
        <v>5.1779118225890554E-4</v>
      </c>
      <c r="I130" s="267">
        <f t="shared" si="11"/>
        <v>0.85462996160728644</v>
      </c>
      <c r="J130" s="90">
        <f t="shared" si="9"/>
        <v>4.420354962348938E-4</v>
      </c>
      <c r="K130" s="242"/>
      <c r="L130" s="91">
        <f t="shared" si="10"/>
        <v>1200</v>
      </c>
      <c r="M130" s="91"/>
      <c r="O130" s="94"/>
    </row>
    <row r="131" spans="1:15" s="93" customFormat="1" ht="25.5">
      <c r="A131" s="261" t="s">
        <v>7728</v>
      </c>
      <c r="B131" s="262" t="s">
        <v>7732</v>
      </c>
      <c r="C131" s="263" t="s">
        <v>5079</v>
      </c>
      <c r="D131" s="264">
        <v>14</v>
      </c>
      <c r="E131" s="265">
        <v>1377.55</v>
      </c>
      <c r="F131" s="450">
        <f>BDI_O.A.E!$H$22</f>
        <v>0.18201100192553743</v>
      </c>
      <c r="G131" s="266">
        <f>((D131*E131*(1+F131)))</f>
        <v>22795.909579835337</v>
      </c>
      <c r="H131" s="267">
        <f t="shared" si="12"/>
        <v>5.0928016134692863E-4</v>
      </c>
      <c r="I131" s="267">
        <f t="shared" si="11"/>
        <v>0.85513924176863332</v>
      </c>
      <c r="J131" s="90">
        <f t="shared" si="9"/>
        <v>4.420354962348938E-4</v>
      </c>
      <c r="K131" s="242"/>
      <c r="L131" s="91">
        <f t="shared" si="10"/>
        <v>14</v>
      </c>
      <c r="M131" s="91"/>
      <c r="O131" s="94"/>
    </row>
    <row r="132" spans="1:15" s="93" customFormat="1" ht="38.25">
      <c r="A132" s="261">
        <v>93582</v>
      </c>
      <c r="B132" s="262" t="s">
        <v>210</v>
      </c>
      <c r="C132" s="263" t="s">
        <v>150</v>
      </c>
      <c r="D132" s="264">
        <v>100</v>
      </c>
      <c r="E132" s="265" t="s">
        <v>13780</v>
      </c>
      <c r="F132" s="450">
        <f>BDI_O.A.E!$H$22</f>
        <v>0.18201100192553743</v>
      </c>
      <c r="G132" s="266">
        <f>((D132*E132*(1+F132)))</f>
        <v>22777.352007105106</v>
      </c>
      <c r="H132" s="267">
        <f t="shared" si="12"/>
        <v>5.088655692640305E-4</v>
      </c>
      <c r="I132" s="267">
        <f t="shared" si="11"/>
        <v>0.85564810733789731</v>
      </c>
      <c r="J132" s="90">
        <f t="shared" si="9"/>
        <v>4.420354962348938E-4</v>
      </c>
      <c r="K132" s="242"/>
      <c r="L132" s="91">
        <f t="shared" si="10"/>
        <v>100</v>
      </c>
      <c r="M132" s="91"/>
      <c r="O132" s="94"/>
    </row>
    <row r="133" spans="1:15" s="93" customFormat="1" ht="25.5">
      <c r="A133" s="261" t="s">
        <v>6810</v>
      </c>
      <c r="B133" s="262" t="s">
        <v>8351</v>
      </c>
      <c r="C133" s="263" t="s">
        <v>10</v>
      </c>
      <c r="D133" s="264">
        <v>1</v>
      </c>
      <c r="E133" s="265">
        <v>18885.639264999998</v>
      </c>
      <c r="F133" s="450">
        <f>BDI_O.A.E!$H$22</f>
        <v>0.18201100192553743</v>
      </c>
      <c r="G133" s="266">
        <f>((D133*E133*(1+F133)))</f>
        <v>22323.033389626919</v>
      </c>
      <c r="H133" s="267">
        <f t="shared" si="12"/>
        <v>4.9871570189410235E-4</v>
      </c>
      <c r="I133" s="267">
        <f t="shared" si="11"/>
        <v>0.85614682303979139</v>
      </c>
      <c r="J133" s="90">
        <f t="shared" si="9"/>
        <v>4.420354962348938E-4</v>
      </c>
      <c r="K133" s="242"/>
      <c r="L133" s="91">
        <f t="shared" si="10"/>
        <v>1</v>
      </c>
      <c r="M133" s="91"/>
      <c r="O133" s="94"/>
    </row>
    <row r="134" spans="1:15" s="93" customFormat="1" ht="38.25">
      <c r="A134" s="261" t="s">
        <v>8314</v>
      </c>
      <c r="B134" s="262" t="s">
        <v>8316</v>
      </c>
      <c r="C134" s="263" t="s">
        <v>5</v>
      </c>
      <c r="D134" s="264">
        <v>4616.8</v>
      </c>
      <c r="E134" s="265">
        <v>4.0309375000000003</v>
      </c>
      <c r="F134" s="450">
        <f>BDI_O.A.E!$H$22</f>
        <v>0.18201100192553743</v>
      </c>
      <c r="G134" s="266">
        <f>((D134*E134*(1+F134)))</f>
        <v>21997.262865689067</v>
      </c>
      <c r="H134" s="267">
        <f t="shared" si="12"/>
        <v>4.9143770912912397E-4</v>
      </c>
      <c r="I134" s="267">
        <f t="shared" si="11"/>
        <v>0.85663826074892047</v>
      </c>
      <c r="J134" s="90">
        <f t="shared" si="9"/>
        <v>4.420354962348938E-4</v>
      </c>
      <c r="K134" s="242"/>
      <c r="L134" s="91">
        <f t="shared" si="10"/>
        <v>4616.8</v>
      </c>
      <c r="M134" s="91"/>
      <c r="O134" s="94"/>
    </row>
    <row r="135" spans="1:15" s="93" customFormat="1" ht="25.5">
      <c r="A135" s="261" t="s">
        <v>8486</v>
      </c>
      <c r="B135" s="262" t="s">
        <v>8367</v>
      </c>
      <c r="C135" s="263" t="s">
        <v>89</v>
      </c>
      <c r="D135" s="264">
        <v>30055.200000000001</v>
      </c>
      <c r="E135" s="265">
        <v>0.60807136077314705</v>
      </c>
      <c r="F135" s="450">
        <f>BDI_O.A.E!$H$22</f>
        <v>0.18201100192553743</v>
      </c>
      <c r="G135" s="266">
        <f>((D135*E135*(1+F135)))</f>
        <v>21602.085988209888</v>
      </c>
      <c r="H135" s="267">
        <f t="shared" si="12"/>
        <v>4.8260911892883656E-4</v>
      </c>
      <c r="I135" s="267">
        <f t="shared" si="11"/>
        <v>0.8571208698678493</v>
      </c>
      <c r="J135" s="90">
        <f t="shared" si="9"/>
        <v>4.420354962348938E-4</v>
      </c>
      <c r="K135" s="242"/>
      <c r="L135" s="91">
        <f t="shared" si="10"/>
        <v>30055.200000000001</v>
      </c>
      <c r="M135" s="91"/>
      <c r="O135" s="94"/>
    </row>
    <row r="136" spans="1:15" s="93" customFormat="1" ht="25.5">
      <c r="A136" s="261" t="s">
        <v>8511</v>
      </c>
      <c r="B136" s="262" t="s">
        <v>8512</v>
      </c>
      <c r="C136" s="263" t="s">
        <v>89</v>
      </c>
      <c r="D136" s="264">
        <v>29200</v>
      </c>
      <c r="E136" s="265">
        <v>0.60807136077314705</v>
      </c>
      <c r="F136" s="450">
        <f>BDI_O.A.E!$H$22</f>
        <v>0.18201100192553743</v>
      </c>
      <c r="G136" s="266">
        <f>((D136*E136*(1+F136)))</f>
        <v>20987.413520979022</v>
      </c>
      <c r="H136" s="267">
        <f t="shared" si="12"/>
        <v>4.6887680909533214E-4</v>
      </c>
      <c r="I136" s="267">
        <f t="shared" si="11"/>
        <v>0.85758974667694465</v>
      </c>
      <c r="J136" s="90">
        <f t="shared" si="9"/>
        <v>4.420354962348938E-4</v>
      </c>
      <c r="K136" s="242"/>
      <c r="L136" s="91">
        <f t="shared" si="10"/>
        <v>29200</v>
      </c>
      <c r="M136" s="91"/>
      <c r="O136" s="94"/>
    </row>
    <row r="137" spans="1:15" s="93" customFormat="1" ht="51">
      <c r="A137" s="261" t="s">
        <v>8383</v>
      </c>
      <c r="B137" s="262" t="s">
        <v>8384</v>
      </c>
      <c r="C137" s="263" t="s">
        <v>10</v>
      </c>
      <c r="D137" s="264">
        <v>1</v>
      </c>
      <c r="E137" s="265">
        <v>17622.957904999999</v>
      </c>
      <c r="F137" s="450">
        <f>BDI_O.A.E!$H$22</f>
        <v>0.18201100192553743</v>
      </c>
      <c r="G137" s="266">
        <f>((D137*E137*(1+F137)))</f>
        <v>20830.530130180618</v>
      </c>
      <c r="H137" s="267">
        <f t="shared" si="12"/>
        <v>4.6537189965977535E-4</v>
      </c>
      <c r="I137" s="267">
        <f t="shared" si="11"/>
        <v>0.85805511857660444</v>
      </c>
      <c r="J137" s="90">
        <f t="shared" si="9"/>
        <v>4.420354962348938E-4</v>
      </c>
      <c r="K137" s="242"/>
      <c r="L137" s="91">
        <f t="shared" si="10"/>
        <v>1</v>
      </c>
      <c r="M137" s="91"/>
      <c r="O137" s="94"/>
    </row>
    <row r="138" spans="1:15" s="93" customFormat="1" ht="38.25">
      <c r="A138" s="261" t="s">
        <v>8556</v>
      </c>
      <c r="B138" s="262" t="s">
        <v>8557</v>
      </c>
      <c r="C138" s="263" t="s">
        <v>89</v>
      </c>
      <c r="D138" s="264">
        <v>84236.39</v>
      </c>
      <c r="E138" s="265">
        <v>0.20083213000000003</v>
      </c>
      <c r="F138" s="450">
        <f>BDI_O.A.E!$H$22</f>
        <v>0.18201100192553743</v>
      </c>
      <c r="G138" s="266">
        <f>((D138*E138*(1+F138)))</f>
        <v>19996.521751047985</v>
      </c>
      <c r="H138" s="267">
        <f t="shared" si="12"/>
        <v>4.4673943753310174E-4</v>
      </c>
      <c r="I138" s="267">
        <f t="shared" si="11"/>
        <v>0.85850185801413759</v>
      </c>
      <c r="J138" s="90">
        <f t="shared" si="9"/>
        <v>4.420354962348938E-4</v>
      </c>
      <c r="K138" s="242"/>
      <c r="L138" s="91">
        <f t="shared" si="10"/>
        <v>84236.39</v>
      </c>
      <c r="M138" s="91"/>
      <c r="O138" s="94"/>
    </row>
    <row r="139" spans="1:15" s="93" customFormat="1">
      <c r="A139" s="261" t="s">
        <v>479</v>
      </c>
      <c r="B139" s="262" t="s">
        <v>132</v>
      </c>
      <c r="C139" s="263" t="s">
        <v>150</v>
      </c>
      <c r="D139" s="264">
        <v>40.799999999999997</v>
      </c>
      <c r="E139" s="265" t="s">
        <v>13804</v>
      </c>
      <c r="F139" s="450">
        <f>BDI_O.A.E!$H$22</f>
        <v>0.18201100192553743</v>
      </c>
      <c r="G139" s="266">
        <f>((D139*E139*(1+F139)))</f>
        <v>19603.888869135419</v>
      </c>
      <c r="H139" s="267">
        <f t="shared" si="12"/>
        <v>4.3796768237456136E-4</v>
      </c>
      <c r="I139" s="267">
        <f t="shared" si="11"/>
        <v>0.85893982569651217</v>
      </c>
      <c r="J139" s="90">
        <f t="shared" si="9"/>
        <v>4.420354962348938E-4</v>
      </c>
      <c r="K139" s="242"/>
      <c r="L139" s="91">
        <f t="shared" si="10"/>
        <v>40.799999999999997</v>
      </c>
      <c r="M139" s="91"/>
      <c r="O139" s="94"/>
    </row>
    <row r="140" spans="1:15" s="93" customFormat="1" ht="38.25">
      <c r="A140" s="261">
        <v>98461</v>
      </c>
      <c r="B140" s="262" t="s">
        <v>5129</v>
      </c>
      <c r="C140" s="263" t="s">
        <v>90</v>
      </c>
      <c r="D140" s="264">
        <v>4</v>
      </c>
      <c r="E140" s="265" t="s">
        <v>13802</v>
      </c>
      <c r="F140" s="450">
        <f>BDI_O.A.E!$H$22</f>
        <v>0.18201100192553743</v>
      </c>
      <c r="G140" s="266">
        <f>((D140*E140*(1+F140)))</f>
        <v>19212.690507938147</v>
      </c>
      <c r="H140" s="267">
        <f t="shared" si="12"/>
        <v>4.2922797563851455E-4</v>
      </c>
      <c r="I140" s="267">
        <f t="shared" si="11"/>
        <v>0.85936905367215066</v>
      </c>
      <c r="J140" s="90">
        <f t="shared" ref="J140:J203" si="13">$G$373-$G$366</f>
        <v>4.420354962348938E-4</v>
      </c>
      <c r="K140" s="242"/>
      <c r="L140" s="91">
        <f t="shared" ref="L140:L203" si="14">SUMIF($A$11:$A$352,A140,$D$11:$D$352)</f>
        <v>4</v>
      </c>
      <c r="M140" s="91"/>
      <c r="O140" s="94"/>
    </row>
    <row r="141" spans="1:15" s="93" customFormat="1">
      <c r="A141" s="261">
        <v>919210</v>
      </c>
      <c r="B141" s="262" t="s">
        <v>6416</v>
      </c>
      <c r="C141" s="263" t="s">
        <v>90</v>
      </c>
      <c r="D141" s="264">
        <v>1</v>
      </c>
      <c r="E141" s="265">
        <v>15738.202263675117</v>
      </c>
      <c r="F141" s="450">
        <f>BDI_O.A.E!$H$22</f>
        <v>0.18201100192553743</v>
      </c>
      <c r="G141" s="266">
        <f>((D141*E141*(1+F141)))</f>
        <v>18602.728226193387</v>
      </c>
      <c r="H141" s="267">
        <f t="shared" si="12"/>
        <v>4.1560089538648118E-4</v>
      </c>
      <c r="I141" s="267">
        <f t="shared" si="11"/>
        <v>0.85978465456753717</v>
      </c>
      <c r="J141" s="90">
        <f t="shared" si="13"/>
        <v>4.420354962348938E-4</v>
      </c>
      <c r="K141" s="242"/>
      <c r="L141" s="91">
        <f t="shared" si="14"/>
        <v>1</v>
      </c>
      <c r="M141" s="91"/>
      <c r="O141" s="94"/>
    </row>
    <row r="142" spans="1:15" s="93" customFormat="1">
      <c r="A142" s="261" t="s">
        <v>6815</v>
      </c>
      <c r="B142" s="262" t="s">
        <v>6816</v>
      </c>
      <c r="C142" s="263" t="s">
        <v>5079</v>
      </c>
      <c r="D142" s="264">
        <v>20</v>
      </c>
      <c r="E142" s="265">
        <v>920.88083333333327</v>
      </c>
      <c r="F142" s="450">
        <v>0</v>
      </c>
      <c r="G142" s="266">
        <f>((D142*E142*(1+F142)))</f>
        <v>18417.616666666665</v>
      </c>
      <c r="H142" s="267">
        <f t="shared" si="12"/>
        <v>4.1146534446350586E-4</v>
      </c>
      <c r="I142" s="267">
        <f t="shared" ref="I142:I205" si="15">H142+I141</f>
        <v>0.86019611991200062</v>
      </c>
      <c r="J142" s="90">
        <f t="shared" si="13"/>
        <v>4.420354962348938E-4</v>
      </c>
      <c r="K142" s="242"/>
      <c r="L142" s="91">
        <f t="shared" si="14"/>
        <v>20</v>
      </c>
      <c r="M142" s="91"/>
      <c r="O142" s="94"/>
    </row>
    <row r="143" spans="1:15" s="93" customFormat="1" ht="25.5">
      <c r="A143" s="261" t="s">
        <v>8319</v>
      </c>
      <c r="B143" s="262" t="s">
        <v>8320</v>
      </c>
      <c r="C143" s="263" t="s">
        <v>150</v>
      </c>
      <c r="D143" s="264">
        <v>230.85</v>
      </c>
      <c r="E143" s="265">
        <v>67.359143251981834</v>
      </c>
      <c r="F143" s="450">
        <f>BDI_O.A.E!$H$22</f>
        <v>0.18201100192553743</v>
      </c>
      <c r="G143" s="266">
        <f>((D143*E143*(1+F143)))</f>
        <v>18380.103494091298</v>
      </c>
      <c r="H143" s="267">
        <f t="shared" si="12"/>
        <v>4.1062726803076208E-4</v>
      </c>
      <c r="I143" s="267">
        <f t="shared" si="15"/>
        <v>0.86060674718003138</v>
      </c>
      <c r="J143" s="90">
        <f t="shared" si="13"/>
        <v>4.420354962348938E-4</v>
      </c>
      <c r="K143" s="242"/>
      <c r="L143" s="91">
        <f t="shared" si="14"/>
        <v>230.85</v>
      </c>
      <c r="M143" s="91"/>
      <c r="O143" s="94"/>
    </row>
    <row r="144" spans="1:15" s="93" customFormat="1" ht="38.25">
      <c r="A144" s="261" t="s">
        <v>7897</v>
      </c>
      <c r="B144" s="262" t="s">
        <v>8429</v>
      </c>
      <c r="C144" s="263" t="s">
        <v>89</v>
      </c>
      <c r="D144" s="264">
        <v>145300</v>
      </c>
      <c r="E144" s="265">
        <v>0.10610414462929707</v>
      </c>
      <c r="F144" s="450">
        <f>BDI_O.A.E!$H$22</f>
        <v>0.18201100192553743</v>
      </c>
      <c r="G144" s="266">
        <f>((D144*E144*(1+F144)))</f>
        <v>18222.983493641015</v>
      </c>
      <c r="H144" s="267">
        <f t="shared" si="12"/>
        <v>4.0711707253275348E-4</v>
      </c>
      <c r="I144" s="267">
        <f t="shared" si="15"/>
        <v>0.8610138642525641</v>
      </c>
      <c r="J144" s="90">
        <f t="shared" si="13"/>
        <v>4.420354962348938E-4</v>
      </c>
      <c r="K144" s="242"/>
      <c r="L144" s="91">
        <f t="shared" si="14"/>
        <v>145300</v>
      </c>
      <c r="M144" s="91"/>
      <c r="O144" s="94"/>
    </row>
    <row r="145" spans="1:15" s="93" customFormat="1" ht="38.25">
      <c r="A145" s="261" t="s">
        <v>8159</v>
      </c>
      <c r="B145" s="262" t="s">
        <v>8160</v>
      </c>
      <c r="C145" s="263" t="s">
        <v>4521</v>
      </c>
      <c r="D145" s="264">
        <v>2</v>
      </c>
      <c r="E145" s="265">
        <v>8183.6475900127334</v>
      </c>
      <c r="F145" s="450">
        <f>BDI_Equipamentos!$H$22</f>
        <v>0.10890619719771655</v>
      </c>
      <c r="G145" s="266">
        <f>((D145*E145*(1+F145)))</f>
        <v>18149.795056494557</v>
      </c>
      <c r="H145" s="267">
        <f t="shared" si="12"/>
        <v>4.0548198010759097E-4</v>
      </c>
      <c r="I145" s="267">
        <f t="shared" si="15"/>
        <v>0.86141934623267169</v>
      </c>
      <c r="J145" s="90">
        <f t="shared" si="13"/>
        <v>4.420354962348938E-4</v>
      </c>
      <c r="K145" s="242"/>
      <c r="L145" s="91">
        <f t="shared" si="14"/>
        <v>2</v>
      </c>
      <c r="M145" s="91"/>
      <c r="O145" s="94"/>
    </row>
    <row r="146" spans="1:15" s="93" customFormat="1" ht="38.25">
      <c r="A146" s="261" t="s">
        <v>7440</v>
      </c>
      <c r="B146" s="262" t="s">
        <v>7445</v>
      </c>
      <c r="C146" s="263" t="s">
        <v>4521</v>
      </c>
      <c r="D146" s="264">
        <v>30</v>
      </c>
      <c r="E146" s="265">
        <v>505.41964142184196</v>
      </c>
      <c r="F146" s="450">
        <f>BDI_O.A.E!$H$22</f>
        <v>0.18201100192553743</v>
      </c>
      <c r="G146" s="266">
        <f>((D146*E146*(1+F146)))</f>
        <v>17922.347302496317</v>
      </c>
      <c r="H146" s="267">
        <f t="shared" si="12"/>
        <v>4.0040060230827365E-4</v>
      </c>
      <c r="I146" s="267">
        <f t="shared" si="15"/>
        <v>0.86181974683497997</v>
      </c>
      <c r="J146" s="90">
        <f t="shared" si="13"/>
        <v>4.420354962348938E-4</v>
      </c>
      <c r="K146" s="242"/>
      <c r="L146" s="91">
        <f t="shared" si="14"/>
        <v>30</v>
      </c>
      <c r="M146" s="91"/>
      <c r="O146" s="94"/>
    </row>
    <row r="147" spans="1:15" s="93" customFormat="1" ht="25.5">
      <c r="A147" s="261" t="s">
        <v>7339</v>
      </c>
      <c r="B147" s="262" t="s">
        <v>8371</v>
      </c>
      <c r="C147" s="263" t="s">
        <v>6896</v>
      </c>
      <c r="D147" s="264">
        <v>75075</v>
      </c>
      <c r="E147" s="265">
        <v>0.20016</v>
      </c>
      <c r="F147" s="450">
        <f>BDI_O.A.E!$H$22</f>
        <v>0.18201100192553743</v>
      </c>
      <c r="G147" s="266">
        <f>((D147*E147*(1+F147)))</f>
        <v>17762.093510067076</v>
      </c>
      <c r="H147" s="267">
        <f t="shared" si="12"/>
        <v>3.9682039521107517E-4</v>
      </c>
      <c r="I147" s="267">
        <f t="shared" si="15"/>
        <v>0.86221656723019102</v>
      </c>
      <c r="J147" s="90">
        <f t="shared" si="13"/>
        <v>4.420354962348938E-4</v>
      </c>
      <c r="K147" s="242"/>
      <c r="L147" s="91">
        <f t="shared" si="14"/>
        <v>75075</v>
      </c>
      <c r="M147" s="91"/>
      <c r="O147" s="94"/>
    </row>
    <row r="148" spans="1:15" s="93" customFormat="1" ht="25.5">
      <c r="A148" s="261" t="s">
        <v>6396</v>
      </c>
      <c r="B148" s="262" t="s">
        <v>6397</v>
      </c>
      <c r="C148" s="263" t="s">
        <v>5079</v>
      </c>
      <c r="D148" s="264">
        <v>14</v>
      </c>
      <c r="E148" s="265">
        <v>1100</v>
      </c>
      <c r="F148" s="450">
        <f>BDI_Equipamentos!$H$22</f>
        <v>0.10890619719771655</v>
      </c>
      <c r="G148" s="266">
        <f>((D148*E148*(1+F148)))</f>
        <v>17077.155436844834</v>
      </c>
      <c r="H148" s="267">
        <f t="shared" si="12"/>
        <v>3.8151829150595085E-4</v>
      </c>
      <c r="I148" s="267">
        <f t="shared" si="15"/>
        <v>0.86259808552169692</v>
      </c>
      <c r="J148" s="90">
        <f t="shared" si="13"/>
        <v>4.420354962348938E-4</v>
      </c>
      <c r="K148" s="242"/>
      <c r="L148" s="91">
        <f t="shared" si="14"/>
        <v>14</v>
      </c>
      <c r="M148" s="91"/>
      <c r="O148" s="94"/>
    </row>
    <row r="149" spans="1:15" s="93" customFormat="1" ht="25.5">
      <c r="A149" s="261">
        <v>5213400</v>
      </c>
      <c r="B149" s="262" t="s">
        <v>6597</v>
      </c>
      <c r="C149" s="263" t="s">
        <v>150</v>
      </c>
      <c r="D149" s="264">
        <v>811.06</v>
      </c>
      <c r="E149" s="265">
        <v>17.489104809715336</v>
      </c>
      <c r="F149" s="450">
        <f>BDI_O.A.E!$H$22</f>
        <v>0.18201100192553743</v>
      </c>
      <c r="G149" s="266">
        <f>((D149*E149*(1+F149)))</f>
        <v>16766.487235275858</v>
      </c>
      <c r="H149" s="267">
        <f t="shared" si="12"/>
        <v>3.745776975688542E-4</v>
      </c>
      <c r="I149" s="267">
        <f t="shared" si="15"/>
        <v>0.8629726632192658</v>
      </c>
      <c r="J149" s="90">
        <f t="shared" si="13"/>
        <v>4.420354962348938E-4</v>
      </c>
      <c r="K149" s="242"/>
      <c r="L149" s="91">
        <f t="shared" si="14"/>
        <v>811.06</v>
      </c>
      <c r="M149" s="91"/>
      <c r="O149" s="94"/>
    </row>
    <row r="150" spans="1:15" s="93" customFormat="1" ht="38.25">
      <c r="A150" s="261">
        <v>2003949</v>
      </c>
      <c r="B150" s="262" t="s">
        <v>6553</v>
      </c>
      <c r="C150" s="263" t="s">
        <v>150</v>
      </c>
      <c r="D150" s="264">
        <v>1288.18</v>
      </c>
      <c r="E150" s="265">
        <v>10.856565612476629</v>
      </c>
      <c r="F150" s="450">
        <f>BDI_O.A.E!$H$22</f>
        <v>0.18201100192553743</v>
      </c>
      <c r="G150" s="266">
        <f>((D150*E150*(1+F150)))</f>
        <v>16530.672900630576</v>
      </c>
      <c r="H150" s="267">
        <f t="shared" si="12"/>
        <v>3.6930940318579959E-4</v>
      </c>
      <c r="I150" s="267">
        <f t="shared" si="15"/>
        <v>0.8633419726224516</v>
      </c>
      <c r="J150" s="90">
        <f t="shared" si="13"/>
        <v>4.420354962348938E-4</v>
      </c>
      <c r="K150" s="242"/>
      <c r="L150" s="91">
        <f t="shared" si="14"/>
        <v>1288.18</v>
      </c>
      <c r="M150" s="91"/>
      <c r="O150" s="94"/>
    </row>
    <row r="151" spans="1:15" s="93" customFormat="1" ht="25.5">
      <c r="A151" s="261">
        <v>5213359</v>
      </c>
      <c r="B151" s="262" t="s">
        <v>7781</v>
      </c>
      <c r="C151" s="263" t="s">
        <v>90</v>
      </c>
      <c r="D151" s="264">
        <v>938</v>
      </c>
      <c r="E151" s="265">
        <v>14.663153949334497</v>
      </c>
      <c r="F151" s="450">
        <f>BDI_O.A.E!$H$22</f>
        <v>0.18201100192553743</v>
      </c>
      <c r="G151" s="266">
        <f>((D151*E151*(1+F151)))</f>
        <v>16257.42471499671</v>
      </c>
      <c r="H151" s="267">
        <f t="shared" si="12"/>
        <v>3.6320480448224672E-4</v>
      </c>
      <c r="I151" s="267">
        <f t="shared" si="15"/>
        <v>0.86370517742693387</v>
      </c>
      <c r="J151" s="90">
        <f t="shared" si="13"/>
        <v>4.420354962348938E-4</v>
      </c>
      <c r="K151" s="242"/>
      <c r="L151" s="91">
        <f t="shared" si="14"/>
        <v>938</v>
      </c>
      <c r="M151" s="91"/>
      <c r="O151" s="94"/>
    </row>
    <row r="152" spans="1:15" s="93" customFormat="1">
      <c r="A152" s="261" t="s">
        <v>6327</v>
      </c>
      <c r="B152" s="262" t="s">
        <v>7600</v>
      </c>
      <c r="C152" s="263" t="s">
        <v>5079</v>
      </c>
      <c r="D152" s="264">
        <v>6</v>
      </c>
      <c r="E152" s="265">
        <v>2193.3399400000003</v>
      </c>
      <c r="F152" s="450">
        <f>BDI_O.A.E!$H$22</f>
        <v>0.18201100192553743</v>
      </c>
      <c r="G152" s="266">
        <f>((D152*E152*(1+F152)))</f>
        <v>15555.311640256192</v>
      </c>
      <c r="H152" s="267">
        <f t="shared" si="12"/>
        <v>3.4751899652028068E-4</v>
      </c>
      <c r="I152" s="267">
        <f t="shared" si="15"/>
        <v>0.86405269642345417</v>
      </c>
      <c r="J152" s="90">
        <f t="shared" si="13"/>
        <v>4.420354962348938E-4</v>
      </c>
      <c r="K152" s="242"/>
      <c r="L152" s="91">
        <f t="shared" si="14"/>
        <v>6</v>
      </c>
      <c r="M152" s="91"/>
      <c r="O152" s="94"/>
    </row>
    <row r="153" spans="1:15" s="93" customFormat="1" ht="25.5">
      <c r="A153" s="261" t="s">
        <v>8485</v>
      </c>
      <c r="B153" s="262" t="s">
        <v>7698</v>
      </c>
      <c r="C153" s="263" t="s">
        <v>89</v>
      </c>
      <c r="D153" s="264">
        <v>21589.200000000001</v>
      </c>
      <c r="E153" s="265">
        <v>0.60807136077314705</v>
      </c>
      <c r="F153" s="450">
        <f>BDI_O.A.E!$H$22</f>
        <v>0.18201100192553743</v>
      </c>
      <c r="G153" s="266">
        <f>((D153*E153*(1+F153)))</f>
        <v>15517.17356120275</v>
      </c>
      <c r="H153" s="267">
        <f t="shared" si="12"/>
        <v>3.4666695914112826E-4</v>
      </c>
      <c r="I153" s="267">
        <f t="shared" si="15"/>
        <v>0.86439936338259526</v>
      </c>
      <c r="J153" s="90">
        <f t="shared" si="13"/>
        <v>4.420354962348938E-4</v>
      </c>
      <c r="K153" s="242"/>
      <c r="L153" s="91">
        <f t="shared" si="14"/>
        <v>21589.200000000001</v>
      </c>
      <c r="M153" s="91"/>
      <c r="O153" s="94"/>
    </row>
    <row r="154" spans="1:15" s="93" customFormat="1" ht="25.5">
      <c r="A154" s="261" t="s">
        <v>6297</v>
      </c>
      <c r="B154" s="262" t="s">
        <v>7881</v>
      </c>
      <c r="C154" s="263" t="s">
        <v>3495</v>
      </c>
      <c r="D154" s="264">
        <v>4.5408870000000006</v>
      </c>
      <c r="E154" s="265">
        <v>3070.05</v>
      </c>
      <c r="F154" s="450">
        <f>BDI_Equipamentos!$H$22</f>
        <v>0.10890619719771655</v>
      </c>
      <c r="G154" s="266">
        <f>((D154*E154*(1+F154)))</f>
        <v>15458.984217565618</v>
      </c>
      <c r="H154" s="267">
        <f t="shared" si="12"/>
        <v>3.453669593226343E-4</v>
      </c>
      <c r="I154" s="267">
        <f t="shared" si="15"/>
        <v>0.8647447303419179</v>
      </c>
      <c r="J154" s="90">
        <f t="shared" si="13"/>
        <v>4.420354962348938E-4</v>
      </c>
      <c r="K154" s="242"/>
      <c r="L154" s="91">
        <f t="shared" si="14"/>
        <v>4.5408870000000006</v>
      </c>
      <c r="M154" s="91"/>
      <c r="O154" s="94"/>
    </row>
    <row r="155" spans="1:15" s="93" customFormat="1" ht="51">
      <c r="A155" s="261">
        <v>94993</v>
      </c>
      <c r="B155" s="262" t="s">
        <v>3934</v>
      </c>
      <c r="C155" s="263" t="s">
        <v>150</v>
      </c>
      <c r="D155" s="264">
        <v>244.06</v>
      </c>
      <c r="E155" s="265" t="s">
        <v>18074</v>
      </c>
      <c r="F155" s="450">
        <f>BDI_O.A.E!$H$22</f>
        <v>0.18201100192553743</v>
      </c>
      <c r="G155" s="266">
        <f>((D155*E155*(1+F155)))</f>
        <v>14383.692831779141</v>
      </c>
      <c r="H155" s="267">
        <f t="shared" si="12"/>
        <v>3.2134402799232606E-4</v>
      </c>
      <c r="I155" s="267">
        <f t="shared" si="15"/>
        <v>0.86506607436991023</v>
      </c>
      <c r="J155" s="90">
        <f t="shared" si="13"/>
        <v>4.420354962348938E-4</v>
      </c>
      <c r="K155" s="242"/>
      <c r="L155" s="91">
        <f t="shared" si="14"/>
        <v>244.06</v>
      </c>
      <c r="M155" s="91"/>
      <c r="O155" s="94"/>
    </row>
    <row r="156" spans="1:15" s="93" customFormat="1">
      <c r="A156" s="261" t="s">
        <v>7681</v>
      </c>
      <c r="B156" s="262" t="s">
        <v>7682</v>
      </c>
      <c r="C156" s="263" t="s">
        <v>5079</v>
      </c>
      <c r="D156" s="264">
        <v>18</v>
      </c>
      <c r="E156" s="265">
        <v>664.99</v>
      </c>
      <c r="F156" s="450">
        <f>BDI_O.A.E!$H$22</f>
        <v>0.18201100192553743</v>
      </c>
      <c r="G156" s="266">
        <f>((D156*E156*(1+F156)))</f>
        <v>14148.458931068337</v>
      </c>
      <c r="H156" s="267">
        <f t="shared" si="12"/>
        <v>3.1608870100093293E-4</v>
      </c>
      <c r="I156" s="267">
        <f t="shared" si="15"/>
        <v>0.8653821630709112</v>
      </c>
      <c r="J156" s="90">
        <f t="shared" si="13"/>
        <v>4.420354962348938E-4</v>
      </c>
      <c r="K156" s="242"/>
      <c r="L156" s="91">
        <f t="shared" si="14"/>
        <v>18</v>
      </c>
      <c r="M156" s="91"/>
      <c r="O156" s="94"/>
    </row>
    <row r="157" spans="1:15" s="93" customFormat="1" ht="25.5">
      <c r="A157" s="261" t="s">
        <v>7912</v>
      </c>
      <c r="B157" s="262" t="s">
        <v>7914</v>
      </c>
      <c r="C157" s="263" t="s">
        <v>172</v>
      </c>
      <c r="D157" s="264">
        <v>5757.95</v>
      </c>
      <c r="E157" s="265">
        <v>2.0521029000000004</v>
      </c>
      <c r="F157" s="450">
        <f>BDI_O.A.E!$H$22</f>
        <v>0.18201100192553743</v>
      </c>
      <c r="G157" s="266">
        <f>((D157*E157*(1+F157)))</f>
        <v>13966.530763307805</v>
      </c>
      <c r="H157" s="267">
        <f t="shared" si="12"/>
        <v>3.1202426977891264E-4</v>
      </c>
      <c r="I157" s="267">
        <f t="shared" si="15"/>
        <v>0.86569418734069015</v>
      </c>
      <c r="J157" s="90">
        <f t="shared" si="13"/>
        <v>4.420354962348938E-4</v>
      </c>
      <c r="K157" s="242"/>
      <c r="L157" s="91">
        <f t="shared" si="14"/>
        <v>5757.95</v>
      </c>
      <c r="M157" s="91"/>
      <c r="O157" s="94"/>
    </row>
    <row r="158" spans="1:15" s="93" customFormat="1" ht="51">
      <c r="A158" s="261">
        <v>93583</v>
      </c>
      <c r="B158" s="262" t="s">
        <v>211</v>
      </c>
      <c r="C158" s="263" t="s">
        <v>150</v>
      </c>
      <c r="D158" s="264">
        <v>36</v>
      </c>
      <c r="E158" s="265" t="s">
        <v>13781</v>
      </c>
      <c r="F158" s="450">
        <f>BDI_O.A.E!$H$22</f>
        <v>0.18201100192553743</v>
      </c>
      <c r="G158" s="266">
        <f>((D158*E158*(1+F158)))</f>
        <v>13642.723703784477</v>
      </c>
      <c r="H158" s="267">
        <f t="shared" si="12"/>
        <v>3.0479014249209499E-4</v>
      </c>
      <c r="I158" s="267">
        <f t="shared" si="15"/>
        <v>0.86599897748318222</v>
      </c>
      <c r="J158" s="90">
        <f t="shared" si="13"/>
        <v>4.420354962348938E-4</v>
      </c>
      <c r="K158" s="242"/>
      <c r="L158" s="91">
        <f t="shared" si="14"/>
        <v>36</v>
      </c>
      <c r="M158" s="91"/>
      <c r="O158" s="94"/>
    </row>
    <row r="159" spans="1:15" s="93" customFormat="1" ht="25.5">
      <c r="A159" s="261" t="s">
        <v>7415</v>
      </c>
      <c r="B159" s="262" t="s">
        <v>8129</v>
      </c>
      <c r="C159" s="263" t="s">
        <v>4521</v>
      </c>
      <c r="D159" s="264">
        <v>28</v>
      </c>
      <c r="E159" s="265">
        <v>411.53178618620638</v>
      </c>
      <c r="F159" s="450">
        <f>BDI_O.A.E!$H$22</f>
        <v>0.18201100192553743</v>
      </c>
      <c r="G159" s="266">
        <f>((D159*E159*(1+F159)))</f>
        <v>13620.182769596588</v>
      </c>
      <c r="H159" s="267">
        <f t="shared" si="12"/>
        <v>3.0428655869957664E-4</v>
      </c>
      <c r="I159" s="267">
        <f t="shared" si="15"/>
        <v>0.86630326404188185</v>
      </c>
      <c r="J159" s="90">
        <f t="shared" si="13"/>
        <v>4.420354962348938E-4</v>
      </c>
      <c r="K159" s="242"/>
      <c r="L159" s="91">
        <f t="shared" si="14"/>
        <v>28</v>
      </c>
      <c r="M159" s="91"/>
      <c r="O159" s="94"/>
    </row>
    <row r="160" spans="1:15" s="93" customFormat="1" ht="38.25">
      <c r="A160" s="261" t="s">
        <v>6283</v>
      </c>
      <c r="B160" s="262" t="s">
        <v>7945</v>
      </c>
      <c r="C160" s="263" t="s">
        <v>150</v>
      </c>
      <c r="D160" s="264">
        <v>648.20000000000005</v>
      </c>
      <c r="E160" s="265">
        <v>17.67508983365299</v>
      </c>
      <c r="F160" s="450">
        <f>BDI_O.A.E!$H$22</f>
        <v>0.18201100192553743</v>
      </c>
      <c r="G160" s="266">
        <f>((D160*E160*(1+F160)))</f>
        <v>13542.292047051913</v>
      </c>
      <c r="H160" s="267">
        <f t="shared" si="12"/>
        <v>3.0254641318767873E-4</v>
      </c>
      <c r="I160" s="267">
        <f t="shared" si="15"/>
        <v>0.86660581045506957</v>
      </c>
      <c r="J160" s="90">
        <f t="shared" si="13"/>
        <v>4.420354962348938E-4</v>
      </c>
      <c r="K160" s="242"/>
      <c r="L160" s="91">
        <f t="shared" si="14"/>
        <v>648.20000000000005</v>
      </c>
      <c r="M160" s="91"/>
      <c r="O160" s="94"/>
    </row>
    <row r="161" spans="1:15" s="93" customFormat="1" ht="25.5">
      <c r="A161" s="261" t="s">
        <v>7713</v>
      </c>
      <c r="B161" s="262" t="s">
        <v>7717</v>
      </c>
      <c r="C161" s="263" t="s">
        <v>5079</v>
      </c>
      <c r="D161" s="264">
        <v>14</v>
      </c>
      <c r="E161" s="265">
        <v>800</v>
      </c>
      <c r="F161" s="450">
        <f>BDI_O.A.E!$H$22</f>
        <v>0.18201100192553743</v>
      </c>
      <c r="G161" s="266">
        <f>((D161*E161*(1+F161)))</f>
        <v>13238.52322156602</v>
      </c>
      <c r="H161" s="267">
        <f t="shared" si="12"/>
        <v>2.9575995722662906E-4</v>
      </c>
      <c r="I161" s="267">
        <f t="shared" si="15"/>
        <v>0.86690157041229621</v>
      </c>
      <c r="J161" s="90">
        <f t="shared" si="13"/>
        <v>4.420354962348938E-4</v>
      </c>
      <c r="K161" s="242"/>
      <c r="L161" s="91">
        <f t="shared" si="14"/>
        <v>14</v>
      </c>
      <c r="M161" s="91"/>
      <c r="O161" s="94"/>
    </row>
    <row r="162" spans="1:15" s="93" customFormat="1" ht="51">
      <c r="A162" s="261">
        <v>83475</v>
      </c>
      <c r="B162" s="262" t="s">
        <v>2363</v>
      </c>
      <c r="C162" s="263" t="s">
        <v>90</v>
      </c>
      <c r="D162" s="264">
        <v>29</v>
      </c>
      <c r="E162" s="265" t="s">
        <v>16118</v>
      </c>
      <c r="F162" s="450">
        <f>BDI_O.A.E!$H$22</f>
        <v>0.18201100192553743</v>
      </c>
      <c r="G162" s="266">
        <f>((D162*E162*(1+F162)))</f>
        <v>12865.338708038089</v>
      </c>
      <c r="H162" s="267">
        <f t="shared" si="12"/>
        <v>2.8742269528952269E-4</v>
      </c>
      <c r="I162" s="267">
        <f t="shared" si="15"/>
        <v>0.86718899310758568</v>
      </c>
      <c r="J162" s="90">
        <f t="shared" si="13"/>
        <v>4.420354962348938E-4</v>
      </c>
      <c r="K162" s="242"/>
      <c r="L162" s="91">
        <f t="shared" si="14"/>
        <v>29</v>
      </c>
      <c r="M162" s="91"/>
      <c r="O162" s="94"/>
    </row>
    <row r="163" spans="1:15" s="93" customFormat="1" ht="38.25">
      <c r="A163" s="261" t="s">
        <v>7952</v>
      </c>
      <c r="B163" s="262" t="s">
        <v>7953</v>
      </c>
      <c r="C163" s="263" t="s">
        <v>150</v>
      </c>
      <c r="D163" s="264">
        <v>648.20000000000005</v>
      </c>
      <c r="E163" s="265">
        <v>16.726833745974993</v>
      </c>
      <c r="F163" s="450">
        <f>BDI_O.A.E!$H$22</f>
        <v>0.18201100192553743</v>
      </c>
      <c r="G163" s="266">
        <f>((D163*E163*(1+F163)))</f>
        <v>12815.757642101946</v>
      </c>
      <c r="H163" s="267">
        <f t="shared" si="12"/>
        <v>2.8631501177414116E-4</v>
      </c>
      <c r="I163" s="267">
        <f t="shared" si="15"/>
        <v>0.8674753081193598</v>
      </c>
      <c r="J163" s="90">
        <f t="shared" si="13"/>
        <v>4.420354962348938E-4</v>
      </c>
      <c r="K163" s="242"/>
      <c r="L163" s="91">
        <f t="shared" si="14"/>
        <v>648.20000000000005</v>
      </c>
      <c r="M163" s="91"/>
      <c r="O163" s="94"/>
    </row>
    <row r="164" spans="1:15" s="93" customFormat="1" ht="25.5">
      <c r="A164" s="261" t="s">
        <v>13480</v>
      </c>
      <c r="B164" s="262" t="s">
        <v>7756</v>
      </c>
      <c r="C164" s="263" t="s">
        <v>89</v>
      </c>
      <c r="D164" s="264">
        <v>220</v>
      </c>
      <c r="E164" s="265">
        <v>48.909482790080531</v>
      </c>
      <c r="F164" s="450">
        <f>BDI_O.A.E!$H$22</f>
        <v>0.18201100192553743</v>
      </c>
      <c r="G164" s="266">
        <f>((D164*E164*(1+F164)))</f>
        <v>12718.540286399841</v>
      </c>
      <c r="H164" s="267">
        <f t="shared" si="12"/>
        <v>2.8414309271014007E-4</v>
      </c>
      <c r="I164" s="267">
        <f t="shared" si="15"/>
        <v>0.86775945121206999</v>
      </c>
      <c r="J164" s="90">
        <f t="shared" si="13"/>
        <v>4.420354962348938E-4</v>
      </c>
      <c r="K164" s="242"/>
      <c r="L164" s="91">
        <f t="shared" si="14"/>
        <v>220</v>
      </c>
      <c r="M164" s="91"/>
      <c r="O164" s="94"/>
    </row>
    <row r="165" spans="1:15" s="93" customFormat="1" ht="25.5">
      <c r="A165" s="261" t="s">
        <v>26987</v>
      </c>
      <c r="B165" s="262" t="s">
        <v>26988</v>
      </c>
      <c r="C165" s="263" t="s">
        <v>3495</v>
      </c>
      <c r="D165" s="264">
        <v>862.44600000000003</v>
      </c>
      <c r="E165" s="265">
        <v>12.23</v>
      </c>
      <c r="F165" s="450">
        <f>BDI_O.A.E!$H$22</f>
        <v>0.18201100192553743</v>
      </c>
      <c r="G165" s="266">
        <f>((D165*E165*(1+F165)))</f>
        <v>12467.514678730398</v>
      </c>
      <c r="H165" s="267">
        <f t="shared" si="12"/>
        <v>2.7853496544816888E-4</v>
      </c>
      <c r="I165" s="267">
        <f t="shared" si="15"/>
        <v>0.86803798617751815</v>
      </c>
      <c r="J165" s="90">
        <f t="shared" si="13"/>
        <v>4.420354962348938E-4</v>
      </c>
      <c r="K165" s="242"/>
      <c r="L165" s="91">
        <f t="shared" si="14"/>
        <v>862.44600000000003</v>
      </c>
      <c r="M165" s="91"/>
      <c r="O165" s="94"/>
    </row>
    <row r="166" spans="1:15" s="93" customFormat="1" ht="38.25">
      <c r="A166" s="261" t="s">
        <v>7431</v>
      </c>
      <c r="B166" s="262" t="s">
        <v>7434</v>
      </c>
      <c r="C166" s="263" t="s">
        <v>4521</v>
      </c>
      <c r="D166" s="264">
        <v>18</v>
      </c>
      <c r="E166" s="265">
        <v>572.28909263694391</v>
      </c>
      <c r="F166" s="450">
        <f>BDI_O.A.E!$H$22</f>
        <v>0.18201100192553743</v>
      </c>
      <c r="G166" s="266">
        <f>((D166*E166*(1+F166)))</f>
        <v>12176.136068019314</v>
      </c>
      <c r="H166" s="267">
        <f t="shared" si="12"/>
        <v>2.7202531750645002E-4</v>
      </c>
      <c r="I166" s="267">
        <f t="shared" si="15"/>
        <v>0.86831001149502463</v>
      </c>
      <c r="J166" s="90">
        <f t="shared" si="13"/>
        <v>4.420354962348938E-4</v>
      </c>
      <c r="K166" s="242"/>
      <c r="L166" s="91">
        <f t="shared" si="14"/>
        <v>18</v>
      </c>
      <c r="M166" s="91"/>
      <c r="O166" s="94"/>
    </row>
    <row r="167" spans="1:15" s="93" customFormat="1" ht="51">
      <c r="A167" s="261" t="s">
        <v>7465</v>
      </c>
      <c r="B167" s="262" t="s">
        <v>7477</v>
      </c>
      <c r="C167" s="263" t="s">
        <v>5</v>
      </c>
      <c r="D167" s="264">
        <v>137.11000000000001</v>
      </c>
      <c r="E167" s="265">
        <v>75.074005671140924</v>
      </c>
      <c r="F167" s="450">
        <f>BDI_O.A.E!$H$22</f>
        <v>0.18201100192553743</v>
      </c>
      <c r="G167" s="266">
        <f>((D167*E167*(1+F167)))</f>
        <v>12166.908403754313</v>
      </c>
      <c r="H167" s="267">
        <f t="shared" si="12"/>
        <v>2.718191635765409E-4</v>
      </c>
      <c r="I167" s="267">
        <f t="shared" si="15"/>
        <v>0.86858183065860117</v>
      </c>
      <c r="J167" s="90">
        <f t="shared" si="13"/>
        <v>4.420354962348938E-4</v>
      </c>
      <c r="K167" s="242"/>
      <c r="L167" s="91">
        <f t="shared" si="14"/>
        <v>137.11000000000001</v>
      </c>
      <c r="M167" s="91"/>
      <c r="O167" s="94"/>
    </row>
    <row r="168" spans="1:15" s="93" customFormat="1" ht="25.5">
      <c r="A168" s="261">
        <v>2003866</v>
      </c>
      <c r="B168" s="262" t="s">
        <v>6587</v>
      </c>
      <c r="C168" s="263" t="s">
        <v>150</v>
      </c>
      <c r="D168" s="264">
        <v>1665.66</v>
      </c>
      <c r="E168" s="265">
        <v>5.9772256461409397</v>
      </c>
      <c r="F168" s="450">
        <f>BDI_O.A.E!$H$22</f>
        <v>0.18201100192553743</v>
      </c>
      <c r="G168" s="266">
        <f>((D168*E168*(1+F168)))</f>
        <v>11768.131877098889</v>
      </c>
      <c r="H168" s="267">
        <f t="shared" si="12"/>
        <v>2.6291015412792959E-4</v>
      </c>
      <c r="I168" s="267">
        <f t="shared" si="15"/>
        <v>0.86884474081272911</v>
      </c>
      <c r="J168" s="90">
        <f t="shared" si="13"/>
        <v>4.420354962348938E-4</v>
      </c>
      <c r="K168" s="242"/>
      <c r="L168" s="91">
        <f t="shared" si="14"/>
        <v>1665.66</v>
      </c>
      <c r="M168" s="91"/>
      <c r="O168" s="94"/>
    </row>
    <row r="169" spans="1:15" s="93" customFormat="1" ht="38.25">
      <c r="A169" s="261">
        <v>91931</v>
      </c>
      <c r="B169" s="262" t="s">
        <v>101</v>
      </c>
      <c r="C169" s="263" t="s">
        <v>5</v>
      </c>
      <c r="D169" s="264">
        <v>1367.8500000000001</v>
      </c>
      <c r="E169" s="265" t="s">
        <v>15434</v>
      </c>
      <c r="F169" s="450">
        <f>BDI_O.A.E!$H$22</f>
        <v>0.18201100192553743</v>
      </c>
      <c r="G169" s="266">
        <f>((D169*E169*(1+F169)))</f>
        <v>11544.050167744665</v>
      </c>
      <c r="H169" s="267">
        <f t="shared" si="12"/>
        <v>2.5790397665143342E-4</v>
      </c>
      <c r="I169" s="267">
        <f t="shared" si="15"/>
        <v>0.8691026447893806</v>
      </c>
      <c r="J169" s="90">
        <f t="shared" si="13"/>
        <v>4.420354962348938E-4</v>
      </c>
      <c r="K169" s="242"/>
      <c r="L169" s="91">
        <f t="shared" si="14"/>
        <v>1367.8500000000001</v>
      </c>
      <c r="M169" s="91"/>
      <c r="O169" s="94"/>
    </row>
    <row r="170" spans="1:15" s="93" customFormat="1" ht="25.5">
      <c r="A170" s="261">
        <v>93358</v>
      </c>
      <c r="B170" s="262" t="s">
        <v>6033</v>
      </c>
      <c r="C170" s="263" t="s">
        <v>172</v>
      </c>
      <c r="D170" s="264">
        <v>145.22999999999999</v>
      </c>
      <c r="E170" s="265" t="s">
        <v>17633</v>
      </c>
      <c r="F170" s="450">
        <f>BDI_O.A.E!$H$22</f>
        <v>0.18201100192553743</v>
      </c>
      <c r="G170" s="266">
        <f>((D170*E170*(1+F170)))</f>
        <v>11259.406197734668</v>
      </c>
      <c r="H170" s="267">
        <f t="shared" si="12"/>
        <v>2.5154478635611166E-4</v>
      </c>
      <c r="I170" s="267">
        <f t="shared" si="15"/>
        <v>0.86935418957573674</v>
      </c>
      <c r="J170" s="90">
        <f t="shared" si="13"/>
        <v>4.420354962348938E-4</v>
      </c>
      <c r="K170" s="242"/>
      <c r="L170" s="91">
        <f t="shared" si="14"/>
        <v>145.22999999999999</v>
      </c>
      <c r="M170" s="91"/>
      <c r="O170" s="94"/>
    </row>
    <row r="171" spans="1:15" s="93" customFormat="1" ht="38.25">
      <c r="A171" s="261">
        <v>5216111</v>
      </c>
      <c r="B171" s="262" t="s">
        <v>6598</v>
      </c>
      <c r="C171" s="263" t="s">
        <v>150</v>
      </c>
      <c r="D171" s="264">
        <v>88</v>
      </c>
      <c r="E171" s="265">
        <v>107.77765476643329</v>
      </c>
      <c r="F171" s="450">
        <f>BDI_O.A.E!$H$22</f>
        <v>0.18201100192553743</v>
      </c>
      <c r="G171" s="266">
        <f>((D171*E171*(1+F171)))</f>
        <v>11210.70488521777</v>
      </c>
      <c r="H171" s="267">
        <f t="shared" si="12"/>
        <v>2.5045675728626693E-4</v>
      </c>
      <c r="I171" s="267">
        <f t="shared" si="15"/>
        <v>0.86960464633302303</v>
      </c>
      <c r="J171" s="90">
        <f t="shared" si="13"/>
        <v>4.420354962348938E-4</v>
      </c>
      <c r="K171" s="242"/>
      <c r="L171" s="91">
        <f t="shared" si="14"/>
        <v>88</v>
      </c>
      <c r="M171" s="91"/>
      <c r="O171" s="94"/>
    </row>
    <row r="172" spans="1:15" s="93" customFormat="1" ht="25.5">
      <c r="A172" s="261">
        <v>83446</v>
      </c>
      <c r="B172" s="262" t="s">
        <v>103</v>
      </c>
      <c r="C172" s="263" t="s">
        <v>90</v>
      </c>
      <c r="D172" s="264">
        <v>58</v>
      </c>
      <c r="E172" s="265" t="s">
        <v>15838</v>
      </c>
      <c r="F172" s="450">
        <f>BDI_O.A.E!$H$22</f>
        <v>0.18201100192553743</v>
      </c>
      <c r="G172" s="266">
        <f>((D172*E172*(1+F172)))</f>
        <v>11176.103144966264</v>
      </c>
      <c r="H172" s="267">
        <f t="shared" si="12"/>
        <v>2.4968372474740483E-4</v>
      </c>
      <c r="I172" s="267">
        <f t="shared" si="15"/>
        <v>0.86985433005777046</v>
      </c>
      <c r="J172" s="90">
        <f t="shared" si="13"/>
        <v>4.420354962348938E-4</v>
      </c>
      <c r="K172" s="242"/>
      <c r="L172" s="91">
        <f t="shared" si="14"/>
        <v>58</v>
      </c>
      <c r="M172" s="91"/>
      <c r="O172" s="94"/>
    </row>
    <row r="173" spans="1:15" s="93" customFormat="1" ht="38.25">
      <c r="A173" s="261">
        <v>93210</v>
      </c>
      <c r="B173" s="262" t="s">
        <v>208</v>
      </c>
      <c r="C173" s="263" t="s">
        <v>150</v>
      </c>
      <c r="D173" s="264">
        <v>24</v>
      </c>
      <c r="E173" s="265" t="s">
        <v>13774</v>
      </c>
      <c r="F173" s="450">
        <f>BDI_O.A.E!$H$22</f>
        <v>0.18201100192553743</v>
      </c>
      <c r="G173" s="266">
        <f>((D173*E173*(1+F173)))</f>
        <v>11018.801120830014</v>
      </c>
      <c r="H173" s="267">
        <f t="shared" ref="H173:H327" si="16">G173/$G$366</f>
        <v>2.4616946268421556E-4</v>
      </c>
      <c r="I173" s="267">
        <f t="shared" si="15"/>
        <v>0.87010049952045465</v>
      </c>
      <c r="J173" s="90">
        <f t="shared" si="13"/>
        <v>4.420354962348938E-4</v>
      </c>
      <c r="K173" s="242"/>
      <c r="L173" s="91">
        <f t="shared" si="14"/>
        <v>24</v>
      </c>
      <c r="M173" s="91"/>
      <c r="O173" s="94"/>
    </row>
    <row r="174" spans="1:15" s="93" customFormat="1" ht="89.25">
      <c r="A174" s="261" t="s">
        <v>8305</v>
      </c>
      <c r="B174" s="262" t="s">
        <v>8306</v>
      </c>
      <c r="C174" s="263" t="s">
        <v>10</v>
      </c>
      <c r="D174" s="264">
        <v>1</v>
      </c>
      <c r="E174" s="265">
        <v>9285.713291</v>
      </c>
      <c r="F174" s="450">
        <f>BDI_O.A.E!$H$22</f>
        <v>0.18201100192553743</v>
      </c>
      <c r="G174" s="266">
        <f>((D174*E174*(1+F174)))</f>
        <v>10975.81527068819</v>
      </c>
      <c r="H174" s="267">
        <f t="shared" si="16"/>
        <v>2.4520912194329474E-4</v>
      </c>
      <c r="I174" s="267">
        <f t="shared" si="15"/>
        <v>0.87034570864239791</v>
      </c>
      <c r="J174" s="90">
        <f t="shared" si="13"/>
        <v>4.420354962348938E-4</v>
      </c>
      <c r="K174" s="242"/>
      <c r="L174" s="91">
        <f t="shared" si="14"/>
        <v>1</v>
      </c>
      <c r="M174" s="91"/>
      <c r="O174" s="94"/>
    </row>
    <row r="175" spans="1:15" s="93" customFormat="1" ht="25.5">
      <c r="A175" s="261" t="s">
        <v>7643</v>
      </c>
      <c r="B175" s="262" t="s">
        <v>7644</v>
      </c>
      <c r="C175" s="263" t="s">
        <v>5079</v>
      </c>
      <c r="D175" s="264">
        <v>4</v>
      </c>
      <c r="E175" s="265">
        <v>2294.0928600000002</v>
      </c>
      <c r="F175" s="450">
        <f>BDI_O.A.E!$H$22</f>
        <v>0.18201100192553743</v>
      </c>
      <c r="G175" s="266">
        <f>((D175*E175*(1+F175)))</f>
        <v>10846.571999835287</v>
      </c>
      <c r="H175" s="267">
        <f t="shared" si="16"/>
        <v>2.4232171648125541E-4</v>
      </c>
      <c r="I175" s="267">
        <f t="shared" si="15"/>
        <v>0.87058803035887922</v>
      </c>
      <c r="J175" s="90">
        <f t="shared" si="13"/>
        <v>4.420354962348938E-4</v>
      </c>
      <c r="K175" s="242"/>
      <c r="L175" s="91">
        <f t="shared" si="14"/>
        <v>4</v>
      </c>
      <c r="M175" s="91"/>
      <c r="O175" s="94"/>
    </row>
    <row r="176" spans="1:15" s="93" customFormat="1" ht="25.5">
      <c r="A176" s="261" t="s">
        <v>8475</v>
      </c>
      <c r="B176" s="262" t="s">
        <v>8476</v>
      </c>
      <c r="C176" s="263" t="s">
        <v>5</v>
      </c>
      <c r="D176" s="264">
        <v>720</v>
      </c>
      <c r="E176" s="265">
        <v>12.677197331668363</v>
      </c>
      <c r="F176" s="450">
        <f>BDI_O.A.E!$H$22</f>
        <v>0.18201100192553743</v>
      </c>
      <c r="G176" s="266">
        <f>((D176*E176*(1+F176)))</f>
        <v>10788.902438121413</v>
      </c>
      <c r="H176" s="267">
        <f t="shared" si="16"/>
        <v>2.4103332903649961E-4</v>
      </c>
      <c r="I176" s="267">
        <f t="shared" si="15"/>
        <v>0.87082906368791568</v>
      </c>
      <c r="J176" s="90">
        <f t="shared" si="13"/>
        <v>4.420354962348938E-4</v>
      </c>
      <c r="K176" s="242"/>
      <c r="L176" s="91">
        <f t="shared" si="14"/>
        <v>720</v>
      </c>
      <c r="M176" s="91"/>
      <c r="O176" s="94"/>
    </row>
    <row r="177" spans="1:15" s="93" customFormat="1" ht="38.25">
      <c r="A177" s="261">
        <v>91933</v>
      </c>
      <c r="B177" s="262" t="s">
        <v>2101</v>
      </c>
      <c r="C177" s="263" t="s">
        <v>5</v>
      </c>
      <c r="D177" s="264">
        <v>803.55000000000007</v>
      </c>
      <c r="E177" s="265" t="s">
        <v>15814</v>
      </c>
      <c r="F177" s="450">
        <f>BDI_O.A.E!$H$22</f>
        <v>0.18201100192553743</v>
      </c>
      <c r="G177" s="266">
        <f>((D177*E177*(1+F177)))</f>
        <v>10618.81923587743</v>
      </c>
      <c r="H177" s="267">
        <f t="shared" si="16"/>
        <v>2.3723352449797662E-4</v>
      </c>
      <c r="I177" s="267">
        <f t="shared" si="15"/>
        <v>0.87106629721241369</v>
      </c>
      <c r="J177" s="90">
        <f t="shared" si="13"/>
        <v>4.420354962348938E-4</v>
      </c>
      <c r="K177" s="242"/>
      <c r="L177" s="91">
        <f t="shared" si="14"/>
        <v>803.55000000000007</v>
      </c>
      <c r="M177" s="91"/>
      <c r="O177" s="94"/>
    </row>
    <row r="178" spans="1:15" s="93" customFormat="1" ht="38.25">
      <c r="A178" s="261">
        <v>5213833</v>
      </c>
      <c r="B178" s="262" t="s">
        <v>13282</v>
      </c>
      <c r="C178" s="263" t="s">
        <v>90</v>
      </c>
      <c r="D178" s="264">
        <v>85</v>
      </c>
      <c r="E178" s="265">
        <v>103.7000343383089</v>
      </c>
      <c r="F178" s="450">
        <f>BDI_O.A.E!$H$22</f>
        <v>0.18201100192553743</v>
      </c>
      <c r="G178" s="266">
        <f>((D178*E178*(1+F178)))</f>
        <v>10418.839426474657</v>
      </c>
      <c r="H178" s="267">
        <f t="shared" si="16"/>
        <v>2.3276580412726316E-4</v>
      </c>
      <c r="I178" s="267">
        <f t="shared" si="15"/>
        <v>0.87129906301654092</v>
      </c>
      <c r="J178" s="90">
        <f t="shared" si="13"/>
        <v>4.420354962348938E-4</v>
      </c>
      <c r="K178" s="242"/>
      <c r="L178" s="91">
        <f t="shared" si="14"/>
        <v>85</v>
      </c>
      <c r="M178" s="91"/>
      <c r="O178" s="94"/>
    </row>
    <row r="179" spans="1:15" s="93" customFormat="1" ht="89.25">
      <c r="A179" s="261" t="s">
        <v>6797</v>
      </c>
      <c r="B179" s="262" t="s">
        <v>8308</v>
      </c>
      <c r="C179" s="263" t="s">
        <v>10</v>
      </c>
      <c r="D179" s="264">
        <v>1</v>
      </c>
      <c r="E179" s="265">
        <v>8624.2828850000005</v>
      </c>
      <c r="F179" s="450">
        <f>BDI_O.A.E!$H$22</f>
        <v>0.18201100192553743</v>
      </c>
      <c r="G179" s="266">
        <f>((D179*E179*(1+F179)))</f>
        <v>10193.997253788115</v>
      </c>
      <c r="H179" s="267">
        <f t="shared" si="16"/>
        <v>2.2774263724803119E-4</v>
      </c>
      <c r="I179" s="267">
        <f t="shared" si="15"/>
        <v>0.87152680565378893</v>
      </c>
      <c r="J179" s="90">
        <f t="shared" si="13"/>
        <v>4.420354962348938E-4</v>
      </c>
      <c r="K179" s="242"/>
      <c r="L179" s="91">
        <f t="shared" si="14"/>
        <v>1</v>
      </c>
      <c r="M179" s="91"/>
      <c r="O179" s="94"/>
    </row>
    <row r="180" spans="1:15" s="93" customFormat="1" ht="25.5">
      <c r="A180" s="261">
        <v>72897</v>
      </c>
      <c r="B180" s="262" t="s">
        <v>3508</v>
      </c>
      <c r="C180" s="263" t="s">
        <v>172</v>
      </c>
      <c r="D180" s="264">
        <v>422.80650000000003</v>
      </c>
      <c r="E180" s="265" t="s">
        <v>17667</v>
      </c>
      <c r="F180" s="450">
        <f>BDI_O.A.E!$H$22</f>
        <v>0.18201100192553743</v>
      </c>
      <c r="G180" s="266">
        <f>((D180*E180*(1+F180)))</f>
        <v>9985.2434550188827</v>
      </c>
      <c r="H180" s="267">
        <f t="shared" si="16"/>
        <v>2.2307889843354572E-4</v>
      </c>
      <c r="I180" s="267">
        <f t="shared" si="15"/>
        <v>0.87174988455222246</v>
      </c>
      <c r="J180" s="90">
        <f t="shared" si="13"/>
        <v>4.420354962348938E-4</v>
      </c>
      <c r="K180" s="242"/>
      <c r="L180" s="91">
        <f t="shared" si="14"/>
        <v>422.80650000000003</v>
      </c>
      <c r="M180" s="91"/>
      <c r="O180" s="94"/>
    </row>
    <row r="181" spans="1:15" s="93" customFormat="1" ht="38.25">
      <c r="A181" s="261" t="s">
        <v>7427</v>
      </c>
      <c r="B181" s="262" t="s">
        <v>7386</v>
      </c>
      <c r="C181" s="263" t="s">
        <v>4521</v>
      </c>
      <c r="D181" s="264">
        <v>30</v>
      </c>
      <c r="E181" s="265">
        <v>276.31344000000001</v>
      </c>
      <c r="F181" s="450">
        <f>BDI_O.A.E!$H$22</f>
        <v>0.18201100192553743</v>
      </c>
      <c r="G181" s="266">
        <f>((D181*E181*(1+F181)))</f>
        <v>9798.1657817967571</v>
      </c>
      <c r="H181" s="267">
        <f t="shared" si="16"/>
        <v>2.1889942284520378E-4</v>
      </c>
      <c r="I181" s="267">
        <f t="shared" si="15"/>
        <v>0.87196878397506772</v>
      </c>
      <c r="J181" s="90">
        <f t="shared" si="13"/>
        <v>4.420354962348938E-4</v>
      </c>
      <c r="K181" s="242"/>
      <c r="L181" s="91">
        <f t="shared" si="14"/>
        <v>30</v>
      </c>
      <c r="M181" s="91"/>
      <c r="O181" s="94"/>
    </row>
    <row r="182" spans="1:15" s="93" customFormat="1" ht="38.25">
      <c r="A182" s="261">
        <v>10775</v>
      </c>
      <c r="B182" s="262" t="s">
        <v>23123</v>
      </c>
      <c r="C182" s="263" t="s">
        <v>4528</v>
      </c>
      <c r="D182" s="264">
        <v>17</v>
      </c>
      <c r="E182" s="265" t="s">
        <v>23124</v>
      </c>
      <c r="F182" s="450">
        <f>BDI_Equipamentos!$H$22</f>
        <v>0.10890619719771655</v>
      </c>
      <c r="G182" s="266">
        <f>((D182*E182*(1+F182)))</f>
        <v>9708.4737564660081</v>
      </c>
      <c r="H182" s="267">
        <f t="shared" si="16"/>
        <v>2.1689562611263634E-4</v>
      </c>
      <c r="I182" s="267">
        <f t="shared" si="15"/>
        <v>0.87218567960118032</v>
      </c>
      <c r="J182" s="90">
        <f t="shared" si="13"/>
        <v>4.420354962348938E-4</v>
      </c>
      <c r="K182" s="242"/>
      <c r="L182" s="91">
        <f t="shared" si="14"/>
        <v>17</v>
      </c>
      <c r="M182" s="91"/>
      <c r="O182" s="94"/>
    </row>
    <row r="183" spans="1:15" s="93" customFormat="1" ht="38.25">
      <c r="A183" s="261">
        <v>4730</v>
      </c>
      <c r="B183" s="262" t="s">
        <v>26960</v>
      </c>
      <c r="C183" s="263" t="s">
        <v>26957</v>
      </c>
      <c r="D183" s="264">
        <v>89.71</v>
      </c>
      <c r="E183" s="265">
        <v>88.66</v>
      </c>
      <c r="F183" s="450">
        <v>0.1832</v>
      </c>
      <c r="G183" s="266">
        <f>((D183*E183*(1+F183)))</f>
        <v>9410.8043515199988</v>
      </c>
      <c r="H183" s="267">
        <f t="shared" si="16"/>
        <v>2.1024543643505286E-4</v>
      </c>
      <c r="I183" s="267">
        <f t="shared" si="15"/>
        <v>0.87239592503761543</v>
      </c>
      <c r="J183" s="90">
        <f t="shared" si="13"/>
        <v>4.420354962348938E-4</v>
      </c>
      <c r="K183" s="242"/>
      <c r="L183" s="91">
        <f t="shared" si="14"/>
        <v>89.71</v>
      </c>
      <c r="M183" s="91"/>
      <c r="O183" s="94"/>
    </row>
    <row r="184" spans="1:15" s="93" customFormat="1" ht="38.25">
      <c r="A184" s="261" t="s">
        <v>6705</v>
      </c>
      <c r="B184" s="262" t="s">
        <v>6706</v>
      </c>
      <c r="C184" s="263" t="s">
        <v>150</v>
      </c>
      <c r="D184" s="264">
        <v>33</v>
      </c>
      <c r="E184" s="265">
        <v>238.83085000000003</v>
      </c>
      <c r="F184" s="450">
        <f>BDI_O.A.E!$H$22</f>
        <v>0.18201100192553743</v>
      </c>
      <c r="G184" s="266">
        <f>((D184*E184*(1+F184)))</f>
        <v>9315.9228458745165</v>
      </c>
      <c r="H184" s="267">
        <f t="shared" si="16"/>
        <v>2.0812570226367701E-4</v>
      </c>
      <c r="I184" s="267">
        <f t="shared" si="15"/>
        <v>0.87260405073987912</v>
      </c>
      <c r="J184" s="90">
        <f t="shared" si="13"/>
        <v>4.420354962348938E-4</v>
      </c>
      <c r="K184" s="242"/>
      <c r="L184" s="91">
        <f t="shared" si="14"/>
        <v>33</v>
      </c>
      <c r="M184" s="91"/>
      <c r="O184" s="94"/>
    </row>
    <row r="185" spans="1:15" s="93" customFormat="1" ht="51">
      <c r="A185" s="261">
        <v>4011529</v>
      </c>
      <c r="B185" s="262" t="s">
        <v>6554</v>
      </c>
      <c r="C185" s="263" t="s">
        <v>150</v>
      </c>
      <c r="D185" s="264">
        <v>70</v>
      </c>
      <c r="E185" s="265">
        <v>111.21663861310391</v>
      </c>
      <c r="F185" s="450">
        <f>BDI_O.A.E!$H$22</f>
        <v>0.18201100192553743</v>
      </c>
      <c r="G185" s="266">
        <f>((D185*E185*(1+F185)))</f>
        <v>9202.1503306505747</v>
      </c>
      <c r="H185" s="267">
        <f t="shared" si="16"/>
        <v>2.0558392674438169E-4</v>
      </c>
      <c r="I185" s="267">
        <f t="shared" si="15"/>
        <v>0.87280963466662354</v>
      </c>
      <c r="J185" s="90">
        <f t="shared" si="13"/>
        <v>4.420354962348938E-4</v>
      </c>
      <c r="K185" s="242"/>
      <c r="L185" s="91">
        <f t="shared" si="14"/>
        <v>70</v>
      </c>
      <c r="M185" s="91"/>
      <c r="O185" s="94"/>
    </row>
    <row r="186" spans="1:15" s="93" customFormat="1" ht="51">
      <c r="A186" s="261" t="s">
        <v>8412</v>
      </c>
      <c r="B186" s="262" t="s">
        <v>8532</v>
      </c>
      <c r="C186" s="263" t="s">
        <v>4521</v>
      </c>
      <c r="D186" s="264">
        <v>3</v>
      </c>
      <c r="E186" s="265">
        <v>2584.4988358433839</v>
      </c>
      <c r="F186" s="450">
        <f>BDI_O.A.E!$H$22</f>
        <v>0.18201100192553743</v>
      </c>
      <c r="G186" s="266">
        <f>((D186*E186*(1+F186)))</f>
        <v>9164.7181752918696</v>
      </c>
      <c r="H186" s="267">
        <f t="shared" si="16"/>
        <v>2.0474766030570852E-4</v>
      </c>
      <c r="I186" s="267">
        <f t="shared" si="15"/>
        <v>0.87301438232692929</v>
      </c>
      <c r="J186" s="90">
        <f t="shared" si="13"/>
        <v>4.420354962348938E-4</v>
      </c>
      <c r="K186" s="242"/>
      <c r="L186" s="91">
        <f t="shared" si="14"/>
        <v>3</v>
      </c>
      <c r="M186" s="91"/>
      <c r="O186" s="94"/>
    </row>
    <row r="187" spans="1:15" s="93" customFormat="1" ht="25.5">
      <c r="A187" s="261" t="s">
        <v>6285</v>
      </c>
      <c r="B187" s="262" t="s">
        <v>8347</v>
      </c>
      <c r="C187" s="263" t="s">
        <v>6074</v>
      </c>
      <c r="D187" s="264">
        <v>4877.6000000000004</v>
      </c>
      <c r="E187" s="265">
        <v>1.5746962499999999</v>
      </c>
      <c r="F187" s="450">
        <f>BDI_O.A.E!$H$22</f>
        <v>0.18201100192553743</v>
      </c>
      <c r="G187" s="266">
        <f>((D187*E187*(1+F187)))</f>
        <v>9078.7173259902684</v>
      </c>
      <c r="H187" s="267">
        <f t="shared" si="16"/>
        <v>2.028263276098184E-4</v>
      </c>
      <c r="I187" s="267">
        <f t="shared" si="15"/>
        <v>0.87321720865453911</v>
      </c>
      <c r="J187" s="90">
        <f t="shared" si="13"/>
        <v>4.420354962348938E-4</v>
      </c>
      <c r="K187" s="242"/>
      <c r="L187" s="91">
        <f t="shared" si="14"/>
        <v>4877.6000000000004</v>
      </c>
      <c r="M187" s="91"/>
      <c r="O187" s="94"/>
    </row>
    <row r="188" spans="1:15" s="93" customFormat="1" ht="51">
      <c r="A188" s="261" t="s">
        <v>6278</v>
      </c>
      <c r="B188" s="262" t="s">
        <v>6631</v>
      </c>
      <c r="C188" s="263" t="s">
        <v>90</v>
      </c>
      <c r="D188" s="264">
        <v>2</v>
      </c>
      <c r="E188" s="265">
        <v>3704.5980609138992</v>
      </c>
      <c r="F188" s="450">
        <f>BDI_O.A.E!$H$22</f>
        <v>0.18201100192553743</v>
      </c>
      <c r="G188" s="266">
        <f>((D188*E188*(1+F188)))</f>
        <v>8757.7513314244825</v>
      </c>
      <c r="H188" s="267">
        <f t="shared" si="16"/>
        <v>1.9565567214959782E-4</v>
      </c>
      <c r="I188" s="267">
        <f t="shared" si="15"/>
        <v>0.87341286432668874</v>
      </c>
      <c r="J188" s="90">
        <f t="shared" si="13"/>
        <v>4.420354962348938E-4</v>
      </c>
      <c r="K188" s="242"/>
      <c r="L188" s="91">
        <f t="shared" si="14"/>
        <v>2</v>
      </c>
      <c r="M188" s="91"/>
      <c r="O188" s="94"/>
    </row>
    <row r="189" spans="1:15" s="93" customFormat="1">
      <c r="A189" s="261" t="s">
        <v>7638</v>
      </c>
      <c r="B189" s="262" t="s">
        <v>7639</v>
      </c>
      <c r="C189" s="263" t="s">
        <v>5079</v>
      </c>
      <c r="D189" s="264">
        <v>2</v>
      </c>
      <c r="E189" s="265">
        <v>3666.9342899999997</v>
      </c>
      <c r="F189" s="450">
        <f>BDI_O.A.E!$H$22</f>
        <v>0.18201100192553743</v>
      </c>
      <c r="G189" s="266">
        <f>((D189*E189*(1+F189)))</f>
        <v>8668.7133482360168</v>
      </c>
      <c r="H189" s="267">
        <f t="shared" si="16"/>
        <v>1.9366648727915344E-4</v>
      </c>
      <c r="I189" s="267">
        <f t="shared" si="15"/>
        <v>0.87360653081396789</v>
      </c>
      <c r="J189" s="90">
        <f t="shared" si="13"/>
        <v>4.420354962348938E-4</v>
      </c>
      <c r="K189" s="242"/>
      <c r="L189" s="91">
        <f t="shared" si="14"/>
        <v>2</v>
      </c>
      <c r="M189" s="91"/>
      <c r="O189" s="94"/>
    </row>
    <row r="190" spans="1:15" s="93" customFormat="1">
      <c r="A190" s="261" t="s">
        <v>7702</v>
      </c>
      <c r="B190" s="262" t="s">
        <v>7705</v>
      </c>
      <c r="C190" s="263" t="s">
        <v>5079</v>
      </c>
      <c r="D190" s="264">
        <v>4</v>
      </c>
      <c r="E190" s="265">
        <v>1826.25</v>
      </c>
      <c r="F190" s="450">
        <f>BDI_O.A.E!$H$22</f>
        <v>0.18201100192553743</v>
      </c>
      <c r="G190" s="266">
        <f>((D190*E190*(1+F190)))</f>
        <v>8634.5903690660507</v>
      </c>
      <c r="H190" s="267">
        <f t="shared" si="16"/>
        <v>1.9290415067326118E-4</v>
      </c>
      <c r="I190" s="267">
        <f t="shared" si="15"/>
        <v>0.87379943496464119</v>
      </c>
      <c r="J190" s="90">
        <f t="shared" si="13"/>
        <v>4.420354962348938E-4</v>
      </c>
      <c r="K190" s="242"/>
      <c r="L190" s="91">
        <f t="shared" si="14"/>
        <v>4</v>
      </c>
      <c r="M190" s="91"/>
      <c r="O190" s="94"/>
    </row>
    <row r="191" spans="1:15" s="93" customFormat="1" ht="38.25">
      <c r="A191" s="261">
        <v>91929</v>
      </c>
      <c r="B191" s="262" t="s">
        <v>2099</v>
      </c>
      <c r="C191" s="263" t="s">
        <v>5</v>
      </c>
      <c r="D191" s="264">
        <v>1366.2</v>
      </c>
      <c r="E191" s="265" t="s">
        <v>15813</v>
      </c>
      <c r="F191" s="450">
        <f>BDI_O.A.E!$H$22</f>
        <v>0.18201100192553743</v>
      </c>
      <c r="G191" s="266">
        <f>((D191*E191*(1+F191)))</f>
        <v>8574.9248177108529</v>
      </c>
      <c r="H191" s="267">
        <f t="shared" si="16"/>
        <v>1.9157117110889637E-4</v>
      </c>
      <c r="I191" s="267">
        <f t="shared" si="15"/>
        <v>0.87399100613575009</v>
      </c>
      <c r="J191" s="90">
        <f t="shared" si="13"/>
        <v>4.420354962348938E-4</v>
      </c>
      <c r="K191" s="242"/>
      <c r="L191" s="91">
        <f t="shared" si="14"/>
        <v>1366.2</v>
      </c>
      <c r="M191" s="91"/>
      <c r="O191" s="94"/>
    </row>
    <row r="192" spans="1:15" s="93" customFormat="1" ht="25.5">
      <c r="A192" s="261">
        <v>4011479</v>
      </c>
      <c r="B192" s="262" t="s">
        <v>7743</v>
      </c>
      <c r="C192" s="263" t="s">
        <v>172</v>
      </c>
      <c r="D192" s="264">
        <v>201.82</v>
      </c>
      <c r="E192" s="265">
        <v>35.725255770961262</v>
      </c>
      <c r="F192" s="450">
        <f>BDI_O.A.E!$H$22</f>
        <v>0.18201100192553743</v>
      </c>
      <c r="G192" s="266">
        <f>((D192*E192*(1+F192)))</f>
        <v>8522.383388145543</v>
      </c>
      <c r="H192" s="267">
        <f t="shared" si="16"/>
        <v>1.9039735053232726E-4</v>
      </c>
      <c r="I192" s="267">
        <f t="shared" si="15"/>
        <v>0.87418140348628237</v>
      </c>
      <c r="J192" s="90">
        <f t="shared" si="13"/>
        <v>4.420354962348938E-4</v>
      </c>
      <c r="K192" s="242"/>
      <c r="L192" s="91">
        <f t="shared" si="14"/>
        <v>201.82</v>
      </c>
      <c r="M192" s="91"/>
      <c r="O192" s="94"/>
    </row>
    <row r="193" spans="1:15" s="93" customFormat="1" ht="38.25">
      <c r="A193" s="261" t="s">
        <v>8354</v>
      </c>
      <c r="B193" s="262" t="s">
        <v>8358</v>
      </c>
      <c r="C193" s="263" t="s">
        <v>150</v>
      </c>
      <c r="D193" s="264">
        <v>215.04</v>
      </c>
      <c r="E193" s="265">
        <v>31.925548914328647</v>
      </c>
      <c r="F193" s="450">
        <f>BDI_O.A.E!$H$22</f>
        <v>0.18201100192553743</v>
      </c>
      <c r="G193" s="266">
        <f>((D193*E193*(1+F193)))</f>
        <v>8114.8247167407662</v>
      </c>
      <c r="H193" s="267">
        <f t="shared" si="16"/>
        <v>1.8129214044169907E-4</v>
      </c>
      <c r="I193" s="267">
        <f t="shared" si="15"/>
        <v>0.87436269562672408</v>
      </c>
      <c r="J193" s="90">
        <f t="shared" si="13"/>
        <v>4.420354962348938E-4</v>
      </c>
      <c r="K193" s="242"/>
      <c r="L193" s="91">
        <f t="shared" si="14"/>
        <v>215.04</v>
      </c>
      <c r="M193" s="91"/>
      <c r="O193" s="94"/>
    </row>
    <row r="194" spans="1:15" s="93" customFormat="1" ht="38.25">
      <c r="A194" s="261">
        <v>1600895</v>
      </c>
      <c r="B194" s="262" t="s">
        <v>6680</v>
      </c>
      <c r="C194" s="263" t="s">
        <v>150</v>
      </c>
      <c r="D194" s="264">
        <v>641.25</v>
      </c>
      <c r="E194" s="265">
        <v>10.590859999999999</v>
      </c>
      <c r="F194" s="450">
        <f>BDI_O.A.E!$H$22</f>
        <v>0.18201100192553743</v>
      </c>
      <c r="G194" s="266">
        <f>((D194*E194*(1+F194)))</f>
        <v>8027.4964868057987</v>
      </c>
      <c r="H194" s="267">
        <f t="shared" si="16"/>
        <v>1.793411529245893E-4</v>
      </c>
      <c r="I194" s="267">
        <f t="shared" si="15"/>
        <v>0.8745420367796487</v>
      </c>
      <c r="J194" s="90">
        <f t="shared" si="13"/>
        <v>4.420354962348938E-4</v>
      </c>
      <c r="K194" s="242"/>
      <c r="L194" s="91">
        <f t="shared" si="14"/>
        <v>641.25</v>
      </c>
      <c r="M194" s="91"/>
      <c r="O194" s="94"/>
    </row>
    <row r="195" spans="1:15" s="93" customFormat="1">
      <c r="A195" s="261" t="s">
        <v>13373</v>
      </c>
      <c r="B195" s="262" t="s">
        <v>6665</v>
      </c>
      <c r="C195" s="263" t="s">
        <v>172</v>
      </c>
      <c r="D195" s="264">
        <v>14</v>
      </c>
      <c r="E195" s="265">
        <v>483.26430692449355</v>
      </c>
      <c r="F195" s="450">
        <f>BDI_O.A.E!$H$22</f>
        <v>0.18201100192553743</v>
      </c>
      <c r="G195" s="266">
        <f>((D195*E195*(1+F195)))</f>
        <v>7997.1321867173947</v>
      </c>
      <c r="H195" s="267">
        <f t="shared" si="16"/>
        <v>1.7866278843143093E-4</v>
      </c>
      <c r="I195" s="267">
        <f t="shared" si="15"/>
        <v>0.87472069956808018</v>
      </c>
      <c r="J195" s="90">
        <f t="shared" si="13"/>
        <v>4.420354962348938E-4</v>
      </c>
      <c r="K195" s="242"/>
      <c r="L195" s="91">
        <f t="shared" si="14"/>
        <v>14</v>
      </c>
      <c r="M195" s="91"/>
      <c r="O195" s="94"/>
    </row>
    <row r="196" spans="1:15" s="93" customFormat="1" ht="51">
      <c r="A196" s="261" t="s">
        <v>6335</v>
      </c>
      <c r="B196" s="262" t="s">
        <v>6669</v>
      </c>
      <c r="C196" s="263" t="s">
        <v>172</v>
      </c>
      <c r="D196" s="264">
        <v>1206.96</v>
      </c>
      <c r="E196" s="265">
        <v>5.5829336918396422</v>
      </c>
      <c r="F196" s="450">
        <f>BDI_O.A.E!$H$22</f>
        <v>0.18201100192553743</v>
      </c>
      <c r="G196" s="266">
        <f>((D196*E196*(1+F196)))</f>
        <v>7964.8365158958131</v>
      </c>
      <c r="H196" s="267">
        <f t="shared" si="16"/>
        <v>1.779412754604648E-4</v>
      </c>
      <c r="I196" s="267">
        <f t="shared" si="15"/>
        <v>0.87489864084354063</v>
      </c>
      <c r="J196" s="90">
        <f t="shared" si="13"/>
        <v>4.420354962348938E-4</v>
      </c>
      <c r="K196" s="242"/>
      <c r="L196" s="91">
        <f t="shared" si="14"/>
        <v>1206.96</v>
      </c>
      <c r="M196" s="91"/>
      <c r="O196" s="94"/>
    </row>
    <row r="197" spans="1:15" s="93" customFormat="1" ht="38.25">
      <c r="A197" s="261">
        <v>95878</v>
      </c>
      <c r="B197" s="262" t="s">
        <v>26958</v>
      </c>
      <c r="C197" s="263" t="s">
        <v>26959</v>
      </c>
      <c r="D197" s="264">
        <v>9912.2876999999989</v>
      </c>
      <c r="E197" s="265">
        <v>0.67</v>
      </c>
      <c r="F197" s="450">
        <v>0.1832</v>
      </c>
      <c r="G197" s="266">
        <f>((D197*E197*(1+F197)))</f>
        <v>7857.9066004487995</v>
      </c>
      <c r="H197" s="267">
        <f t="shared" si="16"/>
        <v>1.7555236948586661E-4</v>
      </c>
      <c r="I197" s="267">
        <f t="shared" si="15"/>
        <v>0.87507419321302649</v>
      </c>
      <c r="J197" s="90">
        <f t="shared" si="13"/>
        <v>4.420354962348938E-4</v>
      </c>
      <c r="K197" s="242"/>
      <c r="L197" s="91">
        <f t="shared" si="14"/>
        <v>9912.2876999999989</v>
      </c>
      <c r="M197" s="91"/>
      <c r="O197" s="94"/>
    </row>
    <row r="198" spans="1:15" s="93" customFormat="1" ht="38.25">
      <c r="A198" s="261" t="s">
        <v>7414</v>
      </c>
      <c r="B198" s="262" t="s">
        <v>8426</v>
      </c>
      <c r="C198" s="263" t="s">
        <v>4521</v>
      </c>
      <c r="D198" s="264">
        <v>28</v>
      </c>
      <c r="E198" s="265">
        <v>236.46809447163355</v>
      </c>
      <c r="F198" s="450">
        <f>BDI_O.A.E!$H$22</f>
        <v>0.18201100192553743</v>
      </c>
      <c r="G198" s="266">
        <f>((D198*E198*(1+F198)))</f>
        <v>7826.2208995554702</v>
      </c>
      <c r="H198" s="267">
        <f t="shared" si="16"/>
        <v>1.7484448376598206E-4</v>
      </c>
      <c r="I198" s="267">
        <f t="shared" si="15"/>
        <v>0.87524903769679252</v>
      </c>
      <c r="J198" s="90">
        <f t="shared" si="13"/>
        <v>4.420354962348938E-4</v>
      </c>
      <c r="K198" s="242"/>
      <c r="L198" s="91">
        <f t="shared" si="14"/>
        <v>28</v>
      </c>
      <c r="M198" s="91"/>
      <c r="O198" s="94"/>
    </row>
    <row r="199" spans="1:15" s="93" customFormat="1" ht="51">
      <c r="A199" s="261" t="s">
        <v>6873</v>
      </c>
      <c r="B199" s="262" t="s">
        <v>6874</v>
      </c>
      <c r="C199" s="263" t="s">
        <v>150</v>
      </c>
      <c r="D199" s="264">
        <v>168.88</v>
      </c>
      <c r="E199" s="265">
        <v>38.861475942486315</v>
      </c>
      <c r="F199" s="450">
        <f>BDI_O.A.E!$H$22</f>
        <v>0.18201100192553743</v>
      </c>
      <c r="G199" s="266">
        <f>((D199*E199*(1+F199)))</f>
        <v>7757.4508043952874</v>
      </c>
      <c r="H199" s="267">
        <f t="shared" si="16"/>
        <v>1.7330810088832745E-4</v>
      </c>
      <c r="I199" s="267">
        <f t="shared" si="15"/>
        <v>0.87542234579768086</v>
      </c>
      <c r="J199" s="90">
        <f t="shared" si="13"/>
        <v>4.420354962348938E-4</v>
      </c>
      <c r="K199" s="242"/>
      <c r="L199" s="91">
        <f t="shared" si="14"/>
        <v>168.88</v>
      </c>
      <c r="M199" s="91"/>
      <c r="O199" s="94"/>
    </row>
    <row r="200" spans="1:15" s="93" customFormat="1" ht="25.5">
      <c r="A200" s="261" t="s">
        <v>7428</v>
      </c>
      <c r="B200" s="262" t="s">
        <v>7387</v>
      </c>
      <c r="C200" s="263" t="s">
        <v>4521</v>
      </c>
      <c r="D200" s="264">
        <v>30</v>
      </c>
      <c r="E200" s="265">
        <v>216.69351999999998</v>
      </c>
      <c r="F200" s="450">
        <f>BDI_O.A.E!$H$22</f>
        <v>0.18201100192553743</v>
      </c>
      <c r="G200" s="266">
        <f>((D200*E200*(1+F200)))</f>
        <v>7684.023740579144</v>
      </c>
      <c r="H200" s="267">
        <f t="shared" si="16"/>
        <v>1.7166767733880629E-4</v>
      </c>
      <c r="I200" s="267">
        <f t="shared" si="15"/>
        <v>0.87559401347501964</v>
      </c>
      <c r="J200" s="90">
        <f t="shared" si="13"/>
        <v>4.420354962348938E-4</v>
      </c>
      <c r="K200" s="242"/>
      <c r="L200" s="91">
        <f t="shared" si="14"/>
        <v>30</v>
      </c>
      <c r="M200" s="91"/>
      <c r="O200" s="94"/>
    </row>
    <row r="201" spans="1:15" s="93" customFormat="1" ht="25.5">
      <c r="A201" s="261">
        <v>93572</v>
      </c>
      <c r="B201" s="262" t="s">
        <v>26974</v>
      </c>
      <c r="C201" s="263" t="s">
        <v>5079</v>
      </c>
      <c r="D201" s="264">
        <v>2</v>
      </c>
      <c r="E201" s="265">
        <v>3232.1</v>
      </c>
      <c r="F201" s="450">
        <v>0.1832</v>
      </c>
      <c r="G201" s="266">
        <f>((D201*E201*(1+F201)))</f>
        <v>7648.4414399999996</v>
      </c>
      <c r="H201" s="267">
        <f t="shared" si="16"/>
        <v>1.7087273824165918E-4</v>
      </c>
      <c r="I201" s="267">
        <f t="shared" si="15"/>
        <v>0.87576488621326132</v>
      </c>
      <c r="J201" s="90">
        <f t="shared" si="13"/>
        <v>4.420354962348938E-4</v>
      </c>
      <c r="K201" s="242"/>
      <c r="L201" s="91">
        <f t="shared" si="14"/>
        <v>2</v>
      </c>
      <c r="M201" s="91"/>
      <c r="O201" s="94"/>
    </row>
    <row r="202" spans="1:15" s="93" customFormat="1" ht="25.5">
      <c r="A202" s="261">
        <v>4915684</v>
      </c>
      <c r="B202" s="262" t="s">
        <v>6692</v>
      </c>
      <c r="C202" s="263" t="s">
        <v>150</v>
      </c>
      <c r="D202" s="264">
        <v>801.7</v>
      </c>
      <c r="E202" s="265">
        <v>8.0011771673311891</v>
      </c>
      <c r="F202" s="450">
        <f>BDI_O.A.E!$H$22</f>
        <v>0.18201100192553743</v>
      </c>
      <c r="G202" s="266">
        <f>((D202*E202*(1+F202)))</f>
        <v>7582.0612671609379</v>
      </c>
      <c r="H202" s="267">
        <f t="shared" si="16"/>
        <v>1.693897482773711E-4</v>
      </c>
      <c r="I202" s="267">
        <f t="shared" si="15"/>
        <v>0.87593427596153872</v>
      </c>
      <c r="J202" s="90">
        <f t="shared" si="13"/>
        <v>4.420354962348938E-4</v>
      </c>
      <c r="K202" s="242"/>
      <c r="L202" s="91">
        <f t="shared" si="14"/>
        <v>801.7</v>
      </c>
      <c r="M202" s="91"/>
      <c r="O202" s="94"/>
    </row>
    <row r="203" spans="1:15" s="93" customFormat="1" ht="38.25">
      <c r="A203" s="261" t="s">
        <v>7425</v>
      </c>
      <c r="B203" s="262" t="s">
        <v>8064</v>
      </c>
      <c r="C203" s="263" t="s">
        <v>4521</v>
      </c>
      <c r="D203" s="264">
        <v>18</v>
      </c>
      <c r="E203" s="265">
        <v>345.39179999999999</v>
      </c>
      <c r="F203" s="450">
        <f>BDI_O.A.E!$H$22</f>
        <v>0.18201100192553743</v>
      </c>
      <c r="G203" s="266">
        <f>((D203*E203*(1+F203)))</f>
        <v>7348.6243363475669</v>
      </c>
      <c r="H203" s="267">
        <f t="shared" si="16"/>
        <v>1.6417456713390281E-4</v>
      </c>
      <c r="I203" s="267">
        <f t="shared" si="15"/>
        <v>0.87609845052867263</v>
      </c>
      <c r="J203" s="90">
        <f t="shared" si="13"/>
        <v>4.420354962348938E-4</v>
      </c>
      <c r="K203" s="242"/>
      <c r="L203" s="91">
        <f t="shared" si="14"/>
        <v>18</v>
      </c>
      <c r="M203" s="91"/>
      <c r="O203" s="94"/>
    </row>
    <row r="204" spans="1:15" s="93" customFormat="1">
      <c r="A204" s="261">
        <v>4011209</v>
      </c>
      <c r="B204" s="262" t="s">
        <v>6551</v>
      </c>
      <c r="C204" s="263" t="s">
        <v>150</v>
      </c>
      <c r="D204" s="264">
        <v>8104.82</v>
      </c>
      <c r="E204" s="265">
        <v>0.7584802254706301</v>
      </c>
      <c r="F204" s="450">
        <f>BDI_O.A.E!$H$22</f>
        <v>0.18201100192553743</v>
      </c>
      <c r="G204" s="266">
        <f>((D204*E204*(1+F204)))</f>
        <v>7266.2302512203223</v>
      </c>
      <c r="H204" s="267">
        <f t="shared" si="16"/>
        <v>1.6233381264149361E-4</v>
      </c>
      <c r="I204" s="267">
        <f t="shared" si="15"/>
        <v>0.87626078434131416</v>
      </c>
      <c r="J204" s="90">
        <f t="shared" ref="J204:J267" si="17">$G$373-$G$366</f>
        <v>4.420354962348938E-4</v>
      </c>
      <c r="K204" s="242"/>
      <c r="L204" s="91">
        <f t="shared" ref="L204:L267" si="18">SUMIF($A$11:$A$352,A204,$D$11:$D$352)</f>
        <v>8104.82</v>
      </c>
      <c r="M204" s="91"/>
      <c r="O204" s="94"/>
    </row>
    <row r="205" spans="1:15" s="93" customFormat="1" ht="38.25">
      <c r="A205" s="261" t="s">
        <v>7423</v>
      </c>
      <c r="B205" s="262" t="s">
        <v>7855</v>
      </c>
      <c r="C205" s="263" t="s">
        <v>4521</v>
      </c>
      <c r="D205" s="264">
        <v>48</v>
      </c>
      <c r="E205" s="265">
        <v>127.6147</v>
      </c>
      <c r="F205" s="450">
        <f>BDI_O.A.E!$H$22</f>
        <v>0.18201100192553743</v>
      </c>
      <c r="G205" s="266">
        <f>((D205*E205*(1+F205)))</f>
        <v>7240.4150115564908</v>
      </c>
      <c r="H205" s="267">
        <f t="shared" si="16"/>
        <v>1.6175707805781044E-4</v>
      </c>
      <c r="I205" s="267">
        <f t="shared" si="15"/>
        <v>0.87642254141937193</v>
      </c>
      <c r="J205" s="90">
        <f t="shared" si="17"/>
        <v>4.420354962348938E-4</v>
      </c>
      <c r="K205" s="242"/>
      <c r="L205" s="91">
        <f t="shared" si="18"/>
        <v>48</v>
      </c>
      <c r="M205" s="91"/>
      <c r="O205" s="94"/>
    </row>
    <row r="206" spans="1:15" s="93" customFormat="1">
      <c r="A206" s="261">
        <v>1600447</v>
      </c>
      <c r="B206" s="262" t="s">
        <v>6666</v>
      </c>
      <c r="C206" s="263" t="s">
        <v>172</v>
      </c>
      <c r="D206" s="264">
        <v>19.32</v>
      </c>
      <c r="E206" s="265">
        <v>315.91331156872593</v>
      </c>
      <c r="F206" s="450">
        <f>BDI_O.A.E!$H$22</f>
        <v>0.18201100192553743</v>
      </c>
      <c r="G206" s="266">
        <f>((D206*E206*(1+F206)))</f>
        <v>7214.339351827588</v>
      </c>
      <c r="H206" s="267">
        <f t="shared" si="16"/>
        <v>1.6117452546663373E-4</v>
      </c>
      <c r="I206" s="267">
        <f t="shared" ref="I206:I269" si="19">H206+I205</f>
        <v>0.87658371594483853</v>
      </c>
      <c r="J206" s="90">
        <f t="shared" si="17"/>
        <v>4.420354962348938E-4</v>
      </c>
      <c r="K206" s="242"/>
      <c r="L206" s="91">
        <f t="shared" si="18"/>
        <v>19.32</v>
      </c>
      <c r="M206" s="91"/>
      <c r="O206" s="94"/>
    </row>
    <row r="207" spans="1:15" s="93" customFormat="1">
      <c r="A207" s="261">
        <v>3806413</v>
      </c>
      <c r="B207" s="262" t="s">
        <v>7746</v>
      </c>
      <c r="C207" s="263" t="s">
        <v>150</v>
      </c>
      <c r="D207" s="264">
        <v>648.20000000000005</v>
      </c>
      <c r="E207" s="265">
        <v>9.1967760617760614</v>
      </c>
      <c r="F207" s="450">
        <f>BDI_O.A.E!$H$22</f>
        <v>0.18201100192553743</v>
      </c>
      <c r="G207" s="266">
        <f>((D207*E207*(1+F207)))</f>
        <v>7046.3815738449921</v>
      </c>
      <c r="H207" s="267">
        <f t="shared" si="16"/>
        <v>1.5742220472808718E-4</v>
      </c>
      <c r="I207" s="267">
        <f t="shared" si="19"/>
        <v>0.87674113814956667</v>
      </c>
      <c r="J207" s="90">
        <f t="shared" si="17"/>
        <v>4.420354962348938E-4</v>
      </c>
      <c r="K207" s="242"/>
      <c r="L207" s="91">
        <f t="shared" si="18"/>
        <v>648.20000000000005</v>
      </c>
      <c r="M207" s="91"/>
      <c r="O207" s="94"/>
    </row>
    <row r="208" spans="1:15" s="93" customFormat="1" ht="51">
      <c r="A208" s="261">
        <v>1525</v>
      </c>
      <c r="B208" s="262" t="s">
        <v>26963</v>
      </c>
      <c r="C208" s="263" t="s">
        <v>26957</v>
      </c>
      <c r="D208" s="264">
        <v>18.899999999999999</v>
      </c>
      <c r="E208" s="265">
        <v>311.3</v>
      </c>
      <c r="F208" s="450">
        <v>0.1832</v>
      </c>
      <c r="G208" s="266">
        <f>((D208*E208*(1+F208)))</f>
        <v>6961.4400239999995</v>
      </c>
      <c r="H208" s="267">
        <f t="shared" si="16"/>
        <v>1.5552453769012076E-4</v>
      </c>
      <c r="I208" s="267">
        <f t="shared" si="19"/>
        <v>0.87689666268725674</v>
      </c>
      <c r="J208" s="90">
        <f t="shared" si="17"/>
        <v>4.420354962348938E-4</v>
      </c>
      <c r="K208" s="242"/>
      <c r="L208" s="91">
        <f t="shared" si="18"/>
        <v>18.899999999999999</v>
      </c>
      <c r="M208" s="91"/>
      <c r="O208" s="94"/>
    </row>
    <row r="209" spans="1:15" s="93" customFormat="1" ht="38.25">
      <c r="A209" s="261" t="s">
        <v>8115</v>
      </c>
      <c r="B209" s="262" t="s">
        <v>8431</v>
      </c>
      <c r="C209" s="263" t="s">
        <v>10</v>
      </c>
      <c r="D209" s="264">
        <v>1</v>
      </c>
      <c r="E209" s="265">
        <v>5688.1559699999998</v>
      </c>
      <c r="F209" s="450">
        <f>BDI_O.A.E!$H$22</f>
        <v>0.18201100192553743</v>
      </c>
      <c r="G209" s="266">
        <f>((D209*E209*(1+F209)))</f>
        <v>6723.4629372084273</v>
      </c>
      <c r="H209" s="267">
        <f t="shared" si="16"/>
        <v>1.5020792557014239E-4</v>
      </c>
      <c r="I209" s="267">
        <f t="shared" si="19"/>
        <v>0.87704687061282693</v>
      </c>
      <c r="J209" s="90">
        <f t="shared" si="17"/>
        <v>4.420354962348938E-4</v>
      </c>
      <c r="K209" s="242"/>
      <c r="L209" s="91">
        <f t="shared" si="18"/>
        <v>1</v>
      </c>
      <c r="M209" s="91"/>
      <c r="O209" s="94"/>
    </row>
    <row r="210" spans="1:15" s="93" customFormat="1" ht="51">
      <c r="A210" s="261" t="s">
        <v>8482</v>
      </c>
      <c r="B210" s="262" t="s">
        <v>8481</v>
      </c>
      <c r="C210" s="263" t="s">
        <v>10</v>
      </c>
      <c r="D210" s="264">
        <v>1</v>
      </c>
      <c r="E210" s="265">
        <v>5688.1559699999998</v>
      </c>
      <c r="F210" s="450">
        <f>BDI_O.A.E!$H$22</f>
        <v>0.18201100192553743</v>
      </c>
      <c r="G210" s="266">
        <f>((D210*E210*(1+F210)))</f>
        <v>6723.4629372084273</v>
      </c>
      <c r="H210" s="267">
        <f t="shared" si="16"/>
        <v>1.5020792557014239E-4</v>
      </c>
      <c r="I210" s="267">
        <f t="shared" si="19"/>
        <v>0.87719707853839712</v>
      </c>
      <c r="J210" s="90">
        <f t="shared" si="17"/>
        <v>4.420354962348938E-4</v>
      </c>
      <c r="K210" s="242"/>
      <c r="L210" s="91">
        <f t="shared" si="18"/>
        <v>1</v>
      </c>
      <c r="M210" s="91"/>
      <c r="O210" s="94"/>
    </row>
    <row r="211" spans="1:15" s="93" customFormat="1" ht="51">
      <c r="A211" s="261" t="s">
        <v>7419</v>
      </c>
      <c r="B211" s="262" t="s">
        <v>26950</v>
      </c>
      <c r="C211" s="263" t="s">
        <v>89</v>
      </c>
      <c r="D211" s="264">
        <v>175</v>
      </c>
      <c r="E211" s="265">
        <v>31.85698672799484</v>
      </c>
      <c r="F211" s="450">
        <f>BDI_O.A.E!$H$22</f>
        <v>0.18201100192553743</v>
      </c>
      <c r="G211" s="266">
        <f>((D211*E211*(1+F211)))</f>
        <v>6589.6790401200024</v>
      </c>
      <c r="H211" s="267">
        <f t="shared" si="16"/>
        <v>1.4721907862564129E-4</v>
      </c>
      <c r="I211" s="267">
        <f t="shared" si="19"/>
        <v>0.87734429761702282</v>
      </c>
      <c r="J211" s="90">
        <f t="shared" si="17"/>
        <v>4.420354962348938E-4</v>
      </c>
      <c r="K211" s="242"/>
      <c r="L211" s="91">
        <f t="shared" si="18"/>
        <v>175</v>
      </c>
      <c r="M211" s="91"/>
      <c r="O211" s="94"/>
    </row>
    <row r="212" spans="1:15" s="93" customFormat="1">
      <c r="A212" s="261" t="s">
        <v>26971</v>
      </c>
      <c r="B212" s="262" t="s">
        <v>132</v>
      </c>
      <c r="C212" s="263" t="s">
        <v>26970</v>
      </c>
      <c r="D212" s="264">
        <v>13.6</v>
      </c>
      <c r="E212" s="265">
        <v>406.5</v>
      </c>
      <c r="F212" s="450">
        <v>0.1832</v>
      </c>
      <c r="G212" s="266">
        <f>((D212*E212*(1+F212)))</f>
        <v>6541.2028799999998</v>
      </c>
      <c r="H212" s="267">
        <f t="shared" si="16"/>
        <v>1.4613607965335056E-4</v>
      </c>
      <c r="I212" s="267">
        <f t="shared" si="19"/>
        <v>0.87749043369667612</v>
      </c>
      <c r="J212" s="90">
        <f t="shared" si="17"/>
        <v>4.420354962348938E-4</v>
      </c>
      <c r="K212" s="242"/>
      <c r="L212" s="91">
        <f t="shared" si="18"/>
        <v>13.6</v>
      </c>
      <c r="M212" s="91"/>
      <c r="O212" s="94"/>
    </row>
    <row r="213" spans="1:15" s="93" customFormat="1" ht="25.5">
      <c r="A213" s="261">
        <v>5914613</v>
      </c>
      <c r="B213" s="262" t="s">
        <v>7779</v>
      </c>
      <c r="C213" s="263" t="s">
        <v>6668</v>
      </c>
      <c r="D213" s="264">
        <v>9687.2255999999998</v>
      </c>
      <c r="E213" s="265">
        <v>0.55812416331994652</v>
      </c>
      <c r="F213" s="450">
        <f>BDI_O.A.E!$H$22</f>
        <v>0.18201100192553743</v>
      </c>
      <c r="G213" s="266">
        <f>((D213*E213*(1+F213)))</f>
        <v>6390.7489590100977</v>
      </c>
      <c r="H213" s="267">
        <f t="shared" si="16"/>
        <v>1.4277481008484892E-4</v>
      </c>
      <c r="I213" s="267">
        <f t="shared" si="19"/>
        <v>0.87763320850676096</v>
      </c>
      <c r="J213" s="90">
        <f t="shared" si="17"/>
        <v>4.420354962348938E-4</v>
      </c>
      <c r="K213" s="242"/>
      <c r="L213" s="91">
        <f t="shared" si="18"/>
        <v>9687.2255999999998</v>
      </c>
      <c r="M213" s="91"/>
      <c r="O213" s="94"/>
    </row>
    <row r="214" spans="1:15" s="93" customFormat="1" ht="38.25">
      <c r="A214" s="261">
        <v>5213386</v>
      </c>
      <c r="B214" s="262" t="s">
        <v>6658</v>
      </c>
      <c r="C214" s="263" t="s">
        <v>90</v>
      </c>
      <c r="D214" s="264">
        <v>58</v>
      </c>
      <c r="E214" s="265">
        <v>92.417208433599015</v>
      </c>
      <c r="F214" s="450">
        <f>BDI_O.A.E!$H$22</f>
        <v>0.18201100192553743</v>
      </c>
      <c r="G214" s="266">
        <f>((D214*E214*(1+F214)))</f>
        <v>6335.8131138740564</v>
      </c>
      <c r="H214" s="267">
        <f t="shared" si="16"/>
        <v>1.4154749621186525E-4</v>
      </c>
      <c r="I214" s="267">
        <f t="shared" si="19"/>
        <v>0.87777475600297283</v>
      </c>
      <c r="J214" s="90">
        <f t="shared" si="17"/>
        <v>4.420354962348938E-4</v>
      </c>
      <c r="K214" s="242"/>
      <c r="L214" s="91">
        <f t="shared" si="18"/>
        <v>58</v>
      </c>
      <c r="M214" s="91"/>
      <c r="O214" s="94"/>
    </row>
    <row r="215" spans="1:15" s="93" customFormat="1" ht="38.25">
      <c r="A215" s="261">
        <v>93585</v>
      </c>
      <c r="B215" s="262" t="s">
        <v>478</v>
      </c>
      <c r="C215" s="263" t="s">
        <v>150</v>
      </c>
      <c r="D215" s="264">
        <v>6.25</v>
      </c>
      <c r="E215" s="265" t="s">
        <v>13783</v>
      </c>
      <c r="F215" s="450">
        <f>BDI_O.A.E!$H$22</f>
        <v>0.18201100192553743</v>
      </c>
      <c r="G215" s="266">
        <f>((D215*E215*(1+F215)))</f>
        <v>6306.5458250860847</v>
      </c>
      <c r="H215" s="267">
        <f t="shared" si="16"/>
        <v>1.4089363989154934E-4</v>
      </c>
      <c r="I215" s="267">
        <f t="shared" si="19"/>
        <v>0.87791564964286439</v>
      </c>
      <c r="J215" s="90">
        <f t="shared" si="17"/>
        <v>4.420354962348938E-4</v>
      </c>
      <c r="K215" s="242"/>
      <c r="L215" s="91">
        <f t="shared" si="18"/>
        <v>6.25</v>
      </c>
      <c r="M215" s="91"/>
      <c r="O215" s="94"/>
    </row>
    <row r="216" spans="1:15" s="93" customFormat="1" ht="51">
      <c r="A216" s="261">
        <v>97902</v>
      </c>
      <c r="B216" s="262" t="s">
        <v>5934</v>
      </c>
      <c r="C216" s="263" t="s">
        <v>90</v>
      </c>
      <c r="D216" s="264">
        <v>11</v>
      </c>
      <c r="E216" s="265" t="s">
        <v>17184</v>
      </c>
      <c r="F216" s="450">
        <f>BDI_O.A.E!$H$22</f>
        <v>0.18201100192553743</v>
      </c>
      <c r="G216" s="266">
        <f>((D216*E216*(1+F216)))</f>
        <v>5943.139497571583</v>
      </c>
      <c r="H216" s="267">
        <f t="shared" si="16"/>
        <v>1.327748310121356E-4</v>
      </c>
      <c r="I216" s="267">
        <f t="shared" si="19"/>
        <v>0.87804842447387654</v>
      </c>
      <c r="J216" s="90">
        <f t="shared" si="17"/>
        <v>4.420354962348938E-4</v>
      </c>
      <c r="K216" s="242"/>
      <c r="L216" s="91">
        <f t="shared" si="18"/>
        <v>11</v>
      </c>
      <c r="M216" s="91"/>
      <c r="O216" s="94"/>
    </row>
    <row r="217" spans="1:15" s="93" customFormat="1" ht="25.5">
      <c r="A217" s="261" t="s">
        <v>7503</v>
      </c>
      <c r="B217" s="262" t="s">
        <v>7502</v>
      </c>
      <c r="C217" s="263" t="s">
        <v>89</v>
      </c>
      <c r="D217" s="264">
        <v>21589</v>
      </c>
      <c r="E217" s="265">
        <v>0.22779661591999997</v>
      </c>
      <c r="F217" s="450">
        <f>BDI_O.A.E!$H$22</f>
        <v>0.18201100192553743</v>
      </c>
      <c r="G217" s="266">
        <f>((D217*E217*(1+F217)))</f>
        <v>5813.0132551586667</v>
      </c>
      <c r="H217" s="267">
        <f t="shared" si="16"/>
        <v>1.2986769920853602E-4</v>
      </c>
      <c r="I217" s="267">
        <f t="shared" si="19"/>
        <v>0.87817829217308507</v>
      </c>
      <c r="J217" s="90">
        <f t="shared" si="17"/>
        <v>4.420354962348938E-4</v>
      </c>
      <c r="K217" s="242"/>
      <c r="L217" s="91">
        <f t="shared" si="18"/>
        <v>21589</v>
      </c>
      <c r="M217" s="91"/>
      <c r="O217" s="94"/>
    </row>
    <row r="218" spans="1:15" s="93" customFormat="1" ht="25.5">
      <c r="A218" s="261" t="s">
        <v>7426</v>
      </c>
      <c r="B218" s="262" t="s">
        <v>7385</v>
      </c>
      <c r="C218" s="263" t="s">
        <v>4521</v>
      </c>
      <c r="D218" s="264">
        <v>18</v>
      </c>
      <c r="E218" s="265">
        <v>270.86689999999999</v>
      </c>
      <c r="F218" s="450">
        <f>BDI_O.A.E!$H$22</f>
        <v>0.18201100192553743</v>
      </c>
      <c r="G218" s="266">
        <f>((D218*E218*(1+F218)))</f>
        <v>5763.0178054343578</v>
      </c>
      <c r="H218" s="267">
        <f t="shared" si="16"/>
        <v>1.2875075800410473E-4</v>
      </c>
      <c r="I218" s="267">
        <f t="shared" si="19"/>
        <v>0.87830704293108919</v>
      </c>
      <c r="J218" s="90">
        <f t="shared" si="17"/>
        <v>4.420354962348938E-4</v>
      </c>
      <c r="K218" s="242"/>
      <c r="L218" s="91">
        <f t="shared" si="18"/>
        <v>18</v>
      </c>
      <c r="M218" s="91"/>
      <c r="O218" s="94"/>
    </row>
    <row r="219" spans="1:15" s="93" customFormat="1" ht="38.25">
      <c r="A219" s="261">
        <v>5213831</v>
      </c>
      <c r="B219" s="262" t="s">
        <v>6660</v>
      </c>
      <c r="C219" s="263" t="s">
        <v>150</v>
      </c>
      <c r="D219" s="264">
        <v>100.55</v>
      </c>
      <c r="E219" s="265">
        <v>45.795768140006885</v>
      </c>
      <c r="F219" s="450">
        <f>BDI_O.A.E!$H$22</f>
        <v>0.18201100192553743</v>
      </c>
      <c r="G219" s="266">
        <f>((D219*E219*(1+F219)))</f>
        <v>5442.8822842926293</v>
      </c>
      <c r="H219" s="267">
        <f t="shared" si="16"/>
        <v>1.2159865603208416E-4</v>
      </c>
      <c r="I219" s="267">
        <f t="shared" si="19"/>
        <v>0.87842864158712131</v>
      </c>
      <c r="J219" s="90">
        <f t="shared" si="17"/>
        <v>4.420354962348938E-4</v>
      </c>
      <c r="K219" s="242"/>
      <c r="L219" s="91">
        <f t="shared" si="18"/>
        <v>100.55</v>
      </c>
      <c r="M219" s="91"/>
      <c r="O219" s="94"/>
    </row>
    <row r="220" spans="1:15" s="93" customFormat="1" ht="25.5">
      <c r="A220" s="261" t="s">
        <v>8032</v>
      </c>
      <c r="B220" s="262" t="s">
        <v>8038</v>
      </c>
      <c r="C220" s="263" t="s">
        <v>172</v>
      </c>
      <c r="D220" s="264">
        <v>4.3</v>
      </c>
      <c r="E220" s="265">
        <v>1068.9622015178761</v>
      </c>
      <c r="F220" s="450">
        <f>BDI_O.A.E!$H$22</f>
        <v>0.18201100192553743</v>
      </c>
      <c r="G220" s="266">
        <f>((D220*E220*(1+F220)))</f>
        <v>5433.1578561976939</v>
      </c>
      <c r="H220" s="267">
        <f t="shared" si="16"/>
        <v>1.2138140397237359E-4</v>
      </c>
      <c r="I220" s="267">
        <f t="shared" si="19"/>
        <v>0.87855002299109364</v>
      </c>
      <c r="J220" s="90">
        <f t="shared" si="17"/>
        <v>4.420354962348938E-4</v>
      </c>
      <c r="K220" s="242"/>
      <c r="L220" s="91">
        <f t="shared" si="18"/>
        <v>4.3</v>
      </c>
      <c r="M220" s="91"/>
      <c r="O220" s="94"/>
    </row>
    <row r="221" spans="1:15" s="93" customFormat="1" ht="51">
      <c r="A221" s="261">
        <v>5502110</v>
      </c>
      <c r="B221" s="262" t="s">
        <v>6550</v>
      </c>
      <c r="C221" s="263" t="s">
        <v>172</v>
      </c>
      <c r="D221" s="264">
        <v>1220.96</v>
      </c>
      <c r="E221" s="265">
        <v>3.5883361223150949</v>
      </c>
      <c r="F221" s="450">
        <f>BDI_O.A.E!$H$22</f>
        <v>0.18201100192553743</v>
      </c>
      <c r="G221" s="266">
        <f>((D221*E221*(1+F221)))</f>
        <v>5178.6441803877578</v>
      </c>
      <c r="H221" s="267">
        <f t="shared" si="16"/>
        <v>1.1569535027806776E-4</v>
      </c>
      <c r="I221" s="267">
        <f t="shared" si="19"/>
        <v>0.87866571834137175</v>
      </c>
      <c r="J221" s="90">
        <f t="shared" si="17"/>
        <v>4.420354962348938E-4</v>
      </c>
      <c r="K221" s="242"/>
      <c r="L221" s="91">
        <f t="shared" si="18"/>
        <v>1220.96</v>
      </c>
      <c r="M221" s="91"/>
      <c r="O221" s="94"/>
    </row>
    <row r="222" spans="1:15" s="93" customFormat="1" ht="51">
      <c r="A222" s="261" t="s">
        <v>6269</v>
      </c>
      <c r="B222" s="262" t="s">
        <v>6520</v>
      </c>
      <c r="C222" s="263" t="s">
        <v>4521</v>
      </c>
      <c r="D222" s="264">
        <v>4</v>
      </c>
      <c r="E222" s="265">
        <v>1083.3409999999999</v>
      </c>
      <c r="F222" s="450">
        <f>BDI_O.A.E!$H$22</f>
        <v>0.18201100192553743</v>
      </c>
      <c r="G222" s="266">
        <f>((D222*E222*(1+F222)))</f>
        <v>5122.0839233480538</v>
      </c>
      <c r="H222" s="267">
        <f t="shared" si="16"/>
        <v>1.1443174565066196E-4</v>
      </c>
      <c r="I222" s="267">
        <f t="shared" si="19"/>
        <v>0.87878015008702237</v>
      </c>
      <c r="J222" s="90">
        <f t="shared" si="17"/>
        <v>4.420354962348938E-4</v>
      </c>
      <c r="K222" s="242"/>
      <c r="L222" s="91">
        <f t="shared" si="18"/>
        <v>4</v>
      </c>
      <c r="M222" s="91"/>
      <c r="O222" s="94"/>
    </row>
    <row r="223" spans="1:15" s="93" customFormat="1" ht="51">
      <c r="A223" s="261">
        <v>94991</v>
      </c>
      <c r="B223" s="262" t="s">
        <v>26969</v>
      </c>
      <c r="C223" s="263" t="s">
        <v>26957</v>
      </c>
      <c r="D223" s="264">
        <v>9.6</v>
      </c>
      <c r="E223" s="265">
        <v>425.09</v>
      </c>
      <c r="F223" s="450">
        <v>0.1832</v>
      </c>
      <c r="G223" s="266">
        <f>((D223*E223*(1+F223)))</f>
        <v>4828.4782847999995</v>
      </c>
      <c r="H223" s="267">
        <f t="shared" si="16"/>
        <v>1.0787234399799051E-4</v>
      </c>
      <c r="I223" s="267">
        <f t="shared" si="19"/>
        <v>0.87888802243102038</v>
      </c>
      <c r="J223" s="90">
        <f t="shared" si="17"/>
        <v>4.420354962348938E-4</v>
      </c>
      <c r="K223" s="242"/>
      <c r="L223" s="91">
        <f t="shared" si="18"/>
        <v>9.6</v>
      </c>
      <c r="M223" s="91"/>
      <c r="O223" s="94"/>
    </row>
    <row r="224" spans="1:15" s="93" customFormat="1" ht="51">
      <c r="A224" s="261" t="s">
        <v>13454</v>
      </c>
      <c r="B224" s="262" t="s">
        <v>13455</v>
      </c>
      <c r="C224" s="263" t="s">
        <v>5</v>
      </c>
      <c r="D224" s="264">
        <v>36</v>
      </c>
      <c r="E224" s="265">
        <v>112.53644451606843</v>
      </c>
      <c r="F224" s="450">
        <f>BDI_O.A.E!$H$22</f>
        <v>0.18201100192553743</v>
      </c>
      <c r="G224" s="266">
        <f>((D224*E224*(1+F224)))</f>
        <v>4788.6953592807249</v>
      </c>
      <c r="H224" s="267">
        <f t="shared" si="16"/>
        <v>1.0698355933877993E-4</v>
      </c>
      <c r="I224" s="267">
        <f t="shared" si="19"/>
        <v>0.87899500599035918</v>
      </c>
      <c r="J224" s="90">
        <f t="shared" si="17"/>
        <v>4.420354962348938E-4</v>
      </c>
      <c r="K224" s="242"/>
      <c r="L224" s="91">
        <f t="shared" si="18"/>
        <v>36</v>
      </c>
      <c r="M224" s="91"/>
      <c r="O224" s="94"/>
    </row>
    <row r="225" spans="1:15" s="93" customFormat="1" ht="25.5">
      <c r="A225" s="261" t="s">
        <v>6304</v>
      </c>
      <c r="B225" s="262" t="s">
        <v>8344</v>
      </c>
      <c r="C225" s="263" t="s">
        <v>6107</v>
      </c>
      <c r="D225" s="264">
        <v>7934.9660000000003</v>
      </c>
      <c r="E225" s="265">
        <v>0.50196374999999993</v>
      </c>
      <c r="F225" s="450">
        <f>BDI_O.A.E!$H$22</f>
        <v>0.18201100192553743</v>
      </c>
      <c r="G225" s="266">
        <f>((D225*E225*(1+F225)))</f>
        <v>4708.02699355604</v>
      </c>
      <c r="H225" s="267">
        <f t="shared" si="16"/>
        <v>1.0518135889716205E-4</v>
      </c>
      <c r="I225" s="267">
        <f t="shared" si="19"/>
        <v>0.87910018734925632</v>
      </c>
      <c r="J225" s="90">
        <f t="shared" si="17"/>
        <v>4.420354962348938E-4</v>
      </c>
      <c r="K225" s="242"/>
      <c r="L225" s="91">
        <f t="shared" si="18"/>
        <v>7934.9660000000003</v>
      </c>
      <c r="M225" s="91"/>
      <c r="O225" s="94"/>
    </row>
    <row r="226" spans="1:15" s="93" customFormat="1" ht="25.5">
      <c r="A226" s="261">
        <v>1600989</v>
      </c>
      <c r="B226" s="262" t="s">
        <v>6664</v>
      </c>
      <c r="C226" s="263" t="s">
        <v>172</v>
      </c>
      <c r="D226" s="264">
        <v>14.64</v>
      </c>
      <c r="E226" s="265">
        <v>266.5971944475138</v>
      </c>
      <c r="F226" s="450">
        <f>BDI_O.A.E!$H$22</f>
        <v>0.18201100192553743</v>
      </c>
      <c r="G226" s="266">
        <f>((D226*E226*(1+F226)))</f>
        <v>4613.3687597006474</v>
      </c>
      <c r="H226" s="267">
        <f t="shared" si="16"/>
        <v>1.0306661280897206E-4</v>
      </c>
      <c r="I226" s="267">
        <f t="shared" si="19"/>
        <v>0.87920325396206533</v>
      </c>
      <c r="J226" s="90">
        <f t="shared" si="17"/>
        <v>4.420354962348938E-4</v>
      </c>
      <c r="K226" s="242"/>
      <c r="L226" s="91">
        <f t="shared" si="18"/>
        <v>14.64</v>
      </c>
      <c r="M226" s="91"/>
      <c r="O226" s="94"/>
    </row>
    <row r="227" spans="1:15" s="93" customFormat="1" ht="25.5">
      <c r="A227" s="261">
        <v>5502978</v>
      </c>
      <c r="B227" s="262" t="s">
        <v>6694</v>
      </c>
      <c r="C227" s="263" t="s">
        <v>172</v>
      </c>
      <c r="D227" s="264">
        <v>1220.96</v>
      </c>
      <c r="E227" s="265">
        <v>3.174218461755054</v>
      </c>
      <c r="F227" s="450">
        <f>BDI_O.A.E!$H$22</f>
        <v>0.18201100192553743</v>
      </c>
      <c r="G227" s="266">
        <f>((D227*E227*(1+F227)))</f>
        <v>4580.9944787562854</v>
      </c>
      <c r="H227" s="267">
        <f t="shared" si="16"/>
        <v>1.0234334362047606E-4</v>
      </c>
      <c r="I227" s="267">
        <f t="shared" si="19"/>
        <v>0.8793055973056858</v>
      </c>
      <c r="J227" s="90">
        <f t="shared" si="17"/>
        <v>4.420354962348938E-4</v>
      </c>
      <c r="K227" s="242"/>
      <c r="L227" s="91">
        <f t="shared" si="18"/>
        <v>1220.96</v>
      </c>
      <c r="M227" s="91"/>
      <c r="O227" s="94"/>
    </row>
    <row r="228" spans="1:15" s="93" customFormat="1">
      <c r="A228" s="261">
        <v>4915672</v>
      </c>
      <c r="B228" s="262" t="s">
        <v>7784</v>
      </c>
      <c r="C228" s="263" t="s">
        <v>5</v>
      </c>
      <c r="D228" s="264">
        <v>1200</v>
      </c>
      <c r="E228" s="265">
        <v>3.1274999999999999</v>
      </c>
      <c r="F228" s="450">
        <f>BDI_O.A.E!$H$22</f>
        <v>0.18201100192553743</v>
      </c>
      <c r="G228" s="266">
        <f>((D228*E228*(1+F228)))</f>
        <v>4436.0872902265419</v>
      </c>
      <c r="H228" s="267">
        <f t="shared" si="16"/>
        <v>9.9105992809958831E-5</v>
      </c>
      <c r="I228" s="267">
        <f t="shared" si="19"/>
        <v>0.87940470329849574</v>
      </c>
      <c r="J228" s="90">
        <f t="shared" si="17"/>
        <v>4.420354962348938E-4</v>
      </c>
      <c r="K228" s="242"/>
      <c r="L228" s="91">
        <f t="shared" si="18"/>
        <v>1200</v>
      </c>
      <c r="M228" s="91"/>
      <c r="O228" s="94"/>
    </row>
    <row r="229" spans="1:15" s="93" customFormat="1" ht="25.5">
      <c r="A229" s="261">
        <v>2408070</v>
      </c>
      <c r="B229" s="262" t="s">
        <v>8432</v>
      </c>
      <c r="C229" s="263" t="s">
        <v>150</v>
      </c>
      <c r="D229" s="264">
        <v>269.22000000000003</v>
      </c>
      <c r="E229" s="265">
        <v>13.551773260592439</v>
      </c>
      <c r="F229" s="450">
        <f>BDI_O.A.E!$H$22</f>
        <v>0.18201100192553743</v>
      </c>
      <c r="G229" s="266">
        <f>((D229*E229*(1+F229)))</f>
        <v>4312.4588650276519</v>
      </c>
      <c r="H229" s="267">
        <f t="shared" si="16"/>
        <v>9.6344027813043262E-5</v>
      </c>
      <c r="I229" s="267">
        <f t="shared" si="19"/>
        <v>0.87950104732630874</v>
      </c>
      <c r="J229" s="90">
        <f t="shared" si="17"/>
        <v>4.420354962348938E-4</v>
      </c>
      <c r="K229" s="242"/>
      <c r="L229" s="91">
        <f t="shared" si="18"/>
        <v>269.22000000000003</v>
      </c>
      <c r="M229" s="91"/>
      <c r="O229" s="94"/>
    </row>
    <row r="230" spans="1:15" s="93" customFormat="1" ht="38.25">
      <c r="A230" s="261">
        <v>92990</v>
      </c>
      <c r="B230" s="262" t="s">
        <v>2114</v>
      </c>
      <c r="C230" s="263" t="s">
        <v>5</v>
      </c>
      <c r="D230" s="264">
        <v>74.800000000000011</v>
      </c>
      <c r="E230" s="265" t="s">
        <v>15826</v>
      </c>
      <c r="F230" s="450">
        <f>BDI_O.A.E!$H$22</f>
        <v>0.18201100192553743</v>
      </c>
      <c r="G230" s="266">
        <f>((D230*E230*(1+F230)))</f>
        <v>4244.7764455428905</v>
      </c>
      <c r="H230" s="267">
        <f t="shared" si="16"/>
        <v>9.4831944542365601E-5</v>
      </c>
      <c r="I230" s="267">
        <f t="shared" si="19"/>
        <v>0.87959587927085114</v>
      </c>
      <c r="J230" s="90">
        <f t="shared" si="17"/>
        <v>4.420354962348938E-4</v>
      </c>
      <c r="K230" s="242"/>
      <c r="L230" s="91">
        <f t="shared" si="18"/>
        <v>74.800000000000011</v>
      </c>
      <c r="M230" s="91"/>
      <c r="O230" s="94"/>
    </row>
    <row r="231" spans="1:15" s="93" customFormat="1">
      <c r="A231" s="261">
        <v>1600436</v>
      </c>
      <c r="B231" s="262" t="s">
        <v>8110</v>
      </c>
      <c r="C231" s="263" t="s">
        <v>172</v>
      </c>
      <c r="D231" s="264">
        <v>10.4</v>
      </c>
      <c r="E231" s="265">
        <v>343.29203694751379</v>
      </c>
      <c r="F231" s="450">
        <f>BDI_O.A.E!$H$22</f>
        <v>0.18201100192553743</v>
      </c>
      <c r="G231" s="266">
        <f>((D231*E231*(1+F231)))</f>
        <v>4220.05963127205</v>
      </c>
      <c r="H231" s="267">
        <f t="shared" ref="H231:H251" si="20">G231/$G$366</f>
        <v>9.4279749723564829E-5</v>
      </c>
      <c r="I231" s="267">
        <f t="shared" si="19"/>
        <v>0.87969015902057468</v>
      </c>
      <c r="J231" s="90">
        <f t="shared" si="17"/>
        <v>4.420354962348938E-4</v>
      </c>
      <c r="K231" s="242"/>
      <c r="L231" s="91">
        <f t="shared" si="18"/>
        <v>10.4</v>
      </c>
      <c r="M231" s="91"/>
      <c r="O231" s="94"/>
    </row>
    <row r="232" spans="1:15" s="93" customFormat="1">
      <c r="A232" s="261" t="s">
        <v>6298</v>
      </c>
      <c r="B232" s="262" t="s">
        <v>7561</v>
      </c>
      <c r="C232" s="263" t="s">
        <v>3495</v>
      </c>
      <c r="D232" s="264">
        <v>27.414848448000001</v>
      </c>
      <c r="E232" s="265">
        <v>128.97999999999999</v>
      </c>
      <c r="F232" s="450">
        <f>BDI_O.A.E!$H$22</f>
        <v>0.18201100192553743</v>
      </c>
      <c r="G232" s="266">
        <f>((D232*E232*(1+F232)))</f>
        <v>4179.5520770841513</v>
      </c>
      <c r="H232" s="267">
        <f t="shared" si="20"/>
        <v>9.3374776238723897E-5</v>
      </c>
      <c r="I232" s="267">
        <f t="shared" si="19"/>
        <v>0.8797835337968134</v>
      </c>
      <c r="J232" s="90">
        <f t="shared" si="17"/>
        <v>4.420354962348938E-4</v>
      </c>
      <c r="K232" s="242"/>
      <c r="L232" s="91">
        <f t="shared" si="18"/>
        <v>27.414848448000001</v>
      </c>
      <c r="M232" s="91"/>
      <c r="O232" s="94"/>
    </row>
    <row r="233" spans="1:15" s="93" customFormat="1" ht="51">
      <c r="A233" s="261" t="s">
        <v>7420</v>
      </c>
      <c r="B233" s="262" t="s">
        <v>13453</v>
      </c>
      <c r="C233" s="263" t="s">
        <v>5</v>
      </c>
      <c r="D233" s="264">
        <v>36</v>
      </c>
      <c r="E233" s="265">
        <v>97.114555298638209</v>
      </c>
      <c r="F233" s="450">
        <f>BDI_O.A.E!$H$22</f>
        <v>0.18201100192553743</v>
      </c>
      <c r="G233" s="266">
        <f>((D233*E233*(1+F233)))</f>
        <v>4132.4570211634682</v>
      </c>
      <c r="H233" s="267">
        <f t="shared" si="20"/>
        <v>9.2322632318169641E-5</v>
      </c>
      <c r="I233" s="267">
        <f t="shared" si="19"/>
        <v>0.87987585642913158</v>
      </c>
      <c r="J233" s="90">
        <f t="shared" si="17"/>
        <v>4.420354962348938E-4</v>
      </c>
      <c r="K233" s="242"/>
      <c r="L233" s="91">
        <f t="shared" si="18"/>
        <v>36</v>
      </c>
      <c r="M233" s="91"/>
      <c r="O233" s="94"/>
    </row>
    <row r="234" spans="1:15" s="93" customFormat="1" ht="76.5">
      <c r="A234" s="261" t="s">
        <v>26967</v>
      </c>
      <c r="B234" s="262" t="s">
        <v>26968</v>
      </c>
      <c r="C234" s="263" t="s">
        <v>26966</v>
      </c>
      <c r="D234" s="264">
        <v>120</v>
      </c>
      <c r="E234" s="265">
        <v>28.89</v>
      </c>
      <c r="F234" s="450">
        <v>0.1832</v>
      </c>
      <c r="G234" s="266">
        <f>((D234*E234*(1+F234)))</f>
        <v>4101.9177600000003</v>
      </c>
      <c r="H234" s="267">
        <f t="shared" si="20"/>
        <v>9.1640359044612506E-5</v>
      </c>
      <c r="I234" s="267">
        <f t="shared" si="19"/>
        <v>0.87996749678817621</v>
      </c>
      <c r="J234" s="90">
        <f t="shared" si="17"/>
        <v>4.420354962348938E-4</v>
      </c>
      <c r="K234" s="242"/>
      <c r="L234" s="91">
        <f t="shared" si="18"/>
        <v>120</v>
      </c>
      <c r="M234" s="91"/>
      <c r="O234" s="94"/>
    </row>
    <row r="235" spans="1:15" s="93" customFormat="1" ht="38.25">
      <c r="A235" s="261">
        <v>91849</v>
      </c>
      <c r="B235" s="262" t="s">
        <v>5576</v>
      </c>
      <c r="C235" s="263" t="s">
        <v>5</v>
      </c>
      <c r="D235" s="264">
        <v>523</v>
      </c>
      <c r="E235" s="265" t="s">
        <v>15730</v>
      </c>
      <c r="F235" s="450">
        <f>BDI_O.A.E!$H$22</f>
        <v>0.18201100192553743</v>
      </c>
      <c r="G235" s="266">
        <f>((D235*E235*(1+F235)))</f>
        <v>4080.0655764465696</v>
      </c>
      <c r="H235" s="267">
        <f t="shared" si="20"/>
        <v>9.1152162531685536E-5</v>
      </c>
      <c r="I235" s="267">
        <f t="shared" si="19"/>
        <v>0.88005864895070784</v>
      </c>
      <c r="J235" s="90">
        <f t="shared" si="17"/>
        <v>4.420354962348938E-4</v>
      </c>
      <c r="K235" s="242"/>
      <c r="L235" s="91">
        <f t="shared" si="18"/>
        <v>523</v>
      </c>
      <c r="M235" s="91"/>
      <c r="O235" s="94"/>
    </row>
    <row r="236" spans="1:15" s="93" customFormat="1" ht="25.5">
      <c r="A236" s="261">
        <v>93382</v>
      </c>
      <c r="B236" s="262" t="s">
        <v>3489</v>
      </c>
      <c r="C236" s="263" t="s">
        <v>172</v>
      </c>
      <c r="D236" s="264">
        <v>144.19219767918753</v>
      </c>
      <c r="E236" s="265" t="s">
        <v>17662</v>
      </c>
      <c r="F236" s="450">
        <f>BDI_O.A.E!$H$22</f>
        <v>0.18201100192553743</v>
      </c>
      <c r="G236" s="266">
        <f>((D236*E236*(1+F236)))</f>
        <v>3974.5853376138562</v>
      </c>
      <c r="H236" s="267">
        <f t="shared" si="20"/>
        <v>8.8795643575356845E-5</v>
      </c>
      <c r="I236" s="267">
        <f t="shared" si="19"/>
        <v>0.88014744459428318</v>
      </c>
      <c r="J236" s="90">
        <f t="shared" si="17"/>
        <v>4.420354962348938E-4</v>
      </c>
      <c r="K236" s="242"/>
      <c r="L236" s="91">
        <f t="shared" si="18"/>
        <v>144.19219767918753</v>
      </c>
      <c r="M236" s="91"/>
      <c r="O236" s="94"/>
    </row>
    <row r="237" spans="1:15" s="93" customFormat="1" ht="51">
      <c r="A237" s="261" t="s">
        <v>6883</v>
      </c>
      <c r="B237" s="262" t="s">
        <v>8378</v>
      </c>
      <c r="C237" s="263" t="s">
        <v>4521</v>
      </c>
      <c r="D237" s="264">
        <v>8</v>
      </c>
      <c r="E237" s="265">
        <v>419.70394017885224</v>
      </c>
      <c r="F237" s="450">
        <f>BDI_O.A.E!$H$22</f>
        <v>0.18201100192553743</v>
      </c>
      <c r="G237" s="266">
        <f>((D237*E237*(1+F237)))</f>
        <v>3968.7573987432074</v>
      </c>
      <c r="H237" s="267">
        <f t="shared" si="20"/>
        <v>8.8665442425103584E-5</v>
      </c>
      <c r="I237" s="267">
        <f t="shared" si="19"/>
        <v>0.88023611003670832</v>
      </c>
      <c r="J237" s="90">
        <f t="shared" si="17"/>
        <v>4.420354962348938E-4</v>
      </c>
      <c r="K237" s="242"/>
      <c r="L237" s="91">
        <f t="shared" si="18"/>
        <v>8</v>
      </c>
      <c r="M237" s="91"/>
      <c r="O237" s="94"/>
    </row>
    <row r="238" spans="1:15" s="93" customFormat="1" ht="25.5">
      <c r="A238" s="261" t="s">
        <v>7410</v>
      </c>
      <c r="B238" s="262" t="s">
        <v>8345</v>
      </c>
      <c r="C238" s="263" t="s">
        <v>8346</v>
      </c>
      <c r="D238" s="264">
        <v>161.11199999999999</v>
      </c>
      <c r="E238" s="265">
        <v>20.311548749999996</v>
      </c>
      <c r="F238" s="450">
        <f>BDI_O.A.E!$H$22</f>
        <v>0.18201100192553743</v>
      </c>
      <c r="G238" s="266">
        <f>((D238*E238*(1+F238)))</f>
        <v>3868.0532773700784</v>
      </c>
      <c r="H238" s="267">
        <f t="shared" si="20"/>
        <v>8.6415626027052292E-5</v>
      </c>
      <c r="I238" s="267">
        <f t="shared" si="19"/>
        <v>0.88032252566273539</v>
      </c>
      <c r="J238" s="90">
        <f t="shared" si="17"/>
        <v>4.420354962348938E-4</v>
      </c>
      <c r="K238" s="242"/>
      <c r="L238" s="91">
        <f t="shared" si="18"/>
        <v>161.11199999999999</v>
      </c>
      <c r="M238" s="91"/>
      <c r="O238" s="94"/>
    </row>
    <row r="239" spans="1:15" s="93" customFormat="1" ht="25.5">
      <c r="A239" s="261">
        <v>6077</v>
      </c>
      <c r="B239" s="262" t="s">
        <v>26953</v>
      </c>
      <c r="C239" s="263" t="s">
        <v>26954</v>
      </c>
      <c r="D239" s="264">
        <v>194.61</v>
      </c>
      <c r="E239" s="265">
        <v>16.29</v>
      </c>
      <c r="F239" s="450">
        <v>0.1832</v>
      </c>
      <c r="G239" s="266">
        <f>((D239*E239*(1+F239)))</f>
        <v>3750.97697208</v>
      </c>
      <c r="H239" s="267">
        <f t="shared" si="20"/>
        <v>8.3800041005572138E-5</v>
      </c>
      <c r="I239" s="267">
        <f t="shared" si="19"/>
        <v>0.880406325703741</v>
      </c>
      <c r="J239" s="90">
        <f t="shared" si="17"/>
        <v>4.420354962348938E-4</v>
      </c>
      <c r="K239" s="242"/>
      <c r="L239" s="91">
        <f t="shared" si="18"/>
        <v>194.61</v>
      </c>
      <c r="M239" s="91"/>
      <c r="O239" s="94"/>
    </row>
    <row r="240" spans="1:15" s="93" customFormat="1" ht="25.5">
      <c r="A240" s="261">
        <v>5914434</v>
      </c>
      <c r="B240" s="262" t="s">
        <v>7763</v>
      </c>
      <c r="C240" s="263" t="s">
        <v>6668</v>
      </c>
      <c r="D240" s="264">
        <v>6132.68</v>
      </c>
      <c r="E240" s="265">
        <v>0.48409103078982602</v>
      </c>
      <c r="F240" s="450">
        <f>BDI_O.A.E!$H$22</f>
        <v>0.18201100192553743</v>
      </c>
      <c r="G240" s="266">
        <f>((D240*E240*(1+F240)))</f>
        <v>3509.1251646020032</v>
      </c>
      <c r="H240" s="267">
        <f t="shared" si="20"/>
        <v>7.8396864303932921E-5</v>
      </c>
      <c r="I240" s="267">
        <f t="shared" si="19"/>
        <v>0.88048472256804489</v>
      </c>
      <c r="J240" s="90">
        <f t="shared" si="17"/>
        <v>4.420354962348938E-4</v>
      </c>
      <c r="K240" s="242"/>
      <c r="L240" s="91">
        <f t="shared" si="18"/>
        <v>6132.68</v>
      </c>
      <c r="M240" s="91"/>
      <c r="O240" s="94"/>
    </row>
    <row r="241" spans="1:15" s="93" customFormat="1" ht="38.25">
      <c r="A241" s="261">
        <v>5501700</v>
      </c>
      <c r="B241" s="262" t="s">
        <v>6549</v>
      </c>
      <c r="C241" s="263" t="s">
        <v>150</v>
      </c>
      <c r="D241" s="264">
        <v>8017</v>
      </c>
      <c r="E241" s="265">
        <v>0.36745057415870386</v>
      </c>
      <c r="F241" s="450">
        <f>BDI_O.A.E!$H$22</f>
        <v>0.18201100192553743</v>
      </c>
      <c r="G241" s="266">
        <f>((D241*E241*(1+F241)))</f>
        <v>3482.028591117979</v>
      </c>
      <c r="H241" s="267">
        <f t="shared" si="20"/>
        <v>7.7791503624309087E-5</v>
      </c>
      <c r="I241" s="267">
        <f t="shared" si="19"/>
        <v>0.88056251407166919</v>
      </c>
      <c r="J241" s="90">
        <f t="shared" si="17"/>
        <v>4.420354962348938E-4</v>
      </c>
      <c r="K241" s="242"/>
      <c r="L241" s="91">
        <f t="shared" si="18"/>
        <v>8017</v>
      </c>
      <c r="M241" s="91"/>
      <c r="O241" s="94"/>
    </row>
    <row r="242" spans="1:15" s="93" customFormat="1" ht="38.25">
      <c r="A242" s="261">
        <v>5915373</v>
      </c>
      <c r="B242" s="262" t="s">
        <v>7762</v>
      </c>
      <c r="C242" s="263" t="s">
        <v>3495</v>
      </c>
      <c r="D242" s="264">
        <v>306.63400000000001</v>
      </c>
      <c r="E242" s="265">
        <v>9.3722463139635721</v>
      </c>
      <c r="F242" s="450">
        <f>BDI_O.A.E!$H$22</f>
        <v>0.18201100192553743</v>
      </c>
      <c r="G242" s="266">
        <f>((D242*E242*(1+F242)))</f>
        <v>3396.9215805876843</v>
      </c>
      <c r="H242" s="267">
        <f t="shared" si="20"/>
        <v>7.5890140052795201E-5</v>
      </c>
      <c r="I242" s="267">
        <f t="shared" si="19"/>
        <v>0.88063840421172201</v>
      </c>
      <c r="J242" s="90">
        <f t="shared" si="17"/>
        <v>4.420354962348938E-4</v>
      </c>
      <c r="K242" s="242"/>
      <c r="L242" s="91">
        <f t="shared" si="18"/>
        <v>306.63400000000001</v>
      </c>
      <c r="M242" s="91"/>
      <c r="O242" s="94"/>
    </row>
    <row r="243" spans="1:15" s="93" customFormat="1" ht="25.5">
      <c r="A243" s="261" t="s">
        <v>7417</v>
      </c>
      <c r="B243" s="262" t="s">
        <v>8437</v>
      </c>
      <c r="C243" s="263" t="s">
        <v>5</v>
      </c>
      <c r="D243" s="264">
        <v>36</v>
      </c>
      <c r="E243" s="265">
        <v>76.803875267692305</v>
      </c>
      <c r="F243" s="450">
        <f>BDI_O.A.E!$H$22</f>
        <v>0.18201100192553743</v>
      </c>
      <c r="G243" s="266">
        <f>((D243*E243*(1+F243)))</f>
        <v>3268.1889200494434</v>
      </c>
      <c r="H243" s="267">
        <f t="shared" si="20"/>
        <v>7.3014142062895806E-5</v>
      </c>
      <c r="I243" s="267">
        <f t="shared" si="19"/>
        <v>0.88071141835378486</v>
      </c>
      <c r="J243" s="90">
        <f t="shared" si="17"/>
        <v>4.420354962348938E-4</v>
      </c>
      <c r="K243" s="242"/>
      <c r="L243" s="91">
        <f t="shared" si="18"/>
        <v>36</v>
      </c>
      <c r="M243" s="91"/>
      <c r="O243" s="94"/>
    </row>
    <row r="244" spans="1:15" s="93" customFormat="1" ht="25.5">
      <c r="A244" s="261" t="s">
        <v>6895</v>
      </c>
      <c r="B244" s="262" t="s">
        <v>7341</v>
      </c>
      <c r="C244" s="263" t="s">
        <v>172</v>
      </c>
      <c r="D244" s="264">
        <v>250.25</v>
      </c>
      <c r="E244" s="265">
        <v>10.946249999999999</v>
      </c>
      <c r="F244" s="450">
        <f>BDI_O.A.E!$H$22</f>
        <v>0.18201100192553743</v>
      </c>
      <c r="G244" s="266">
        <f>((D244*E244*(1+F244)))</f>
        <v>3237.88162943931</v>
      </c>
      <c r="H244" s="267">
        <f t="shared" si="20"/>
        <v>7.2337051210352238E-5</v>
      </c>
      <c r="I244" s="267">
        <f t="shared" si="19"/>
        <v>0.88078375540499521</v>
      </c>
      <c r="J244" s="90">
        <f t="shared" si="17"/>
        <v>4.420354962348938E-4</v>
      </c>
      <c r="K244" s="242"/>
      <c r="L244" s="91">
        <f t="shared" si="18"/>
        <v>250.25</v>
      </c>
      <c r="M244" s="91"/>
      <c r="O244" s="94"/>
    </row>
    <row r="245" spans="1:15" s="93" customFormat="1" ht="38.25">
      <c r="A245" s="261" t="s">
        <v>8193</v>
      </c>
      <c r="B245" s="262" t="s">
        <v>8190</v>
      </c>
      <c r="C245" s="263" t="s">
        <v>4521</v>
      </c>
      <c r="D245" s="264">
        <v>9</v>
      </c>
      <c r="E245" s="265">
        <v>301.51256805232811</v>
      </c>
      <c r="F245" s="450">
        <f>BDI_O.A.E!$H$22</f>
        <v>0.18201100192553743</v>
      </c>
      <c r="G245" s="266">
        <f>((D245*E245*(1+F245)))</f>
        <v>3207.5205539100671</v>
      </c>
      <c r="H245" s="267">
        <f t="shared" si="20"/>
        <v>7.1658758756609718E-5</v>
      </c>
      <c r="I245" s="267">
        <f t="shared" si="19"/>
        <v>0.88085541416375179</v>
      </c>
      <c r="J245" s="90">
        <f t="shared" si="17"/>
        <v>4.420354962348938E-4</v>
      </c>
      <c r="K245" s="242"/>
      <c r="L245" s="91">
        <f t="shared" si="18"/>
        <v>9</v>
      </c>
      <c r="M245" s="91"/>
      <c r="O245" s="94"/>
    </row>
    <row r="246" spans="1:15" s="93" customFormat="1" ht="51">
      <c r="A246" s="261">
        <v>97889</v>
      </c>
      <c r="B246" s="262" t="s">
        <v>5598</v>
      </c>
      <c r="C246" s="263" t="s">
        <v>90</v>
      </c>
      <c r="D246" s="264">
        <v>5</v>
      </c>
      <c r="E246" s="265" t="s">
        <v>15881</v>
      </c>
      <c r="F246" s="450">
        <f>BDI_O.A.E!$H$22</f>
        <v>0.18201100192553743</v>
      </c>
      <c r="G246" s="266">
        <f>((D246*E246*(1+F246)))</f>
        <v>3203.308915768303</v>
      </c>
      <c r="H246" s="267">
        <f t="shared" si="20"/>
        <v>7.1564667150180906E-5</v>
      </c>
      <c r="I246" s="267">
        <f t="shared" si="19"/>
        <v>0.88092697883090199</v>
      </c>
      <c r="J246" s="90">
        <f t="shared" si="17"/>
        <v>4.420354962348938E-4</v>
      </c>
      <c r="K246" s="242"/>
      <c r="L246" s="91">
        <f t="shared" si="18"/>
        <v>5</v>
      </c>
      <c r="M246" s="91"/>
      <c r="O246" s="94"/>
    </row>
    <row r="247" spans="1:15" s="93" customFormat="1" ht="38.25">
      <c r="A247" s="261" t="s">
        <v>13415</v>
      </c>
      <c r="B247" s="262" t="s">
        <v>13416</v>
      </c>
      <c r="C247" s="263" t="s">
        <v>4521</v>
      </c>
      <c r="D247" s="264">
        <v>1</v>
      </c>
      <c r="E247" s="265">
        <v>2673.03326564895</v>
      </c>
      <c r="F247" s="450">
        <f>BDI_O.A.E!$H$22</f>
        <v>0.18201100192553743</v>
      </c>
      <c r="G247" s="266">
        <f>((D247*E247*(1+F247)))</f>
        <v>3159.5547285100065</v>
      </c>
      <c r="H247" s="267">
        <f t="shared" si="20"/>
        <v>7.0587161099436614E-5</v>
      </c>
      <c r="I247" s="267">
        <f t="shared" si="19"/>
        <v>0.88099756599200141</v>
      </c>
      <c r="J247" s="90">
        <f t="shared" si="17"/>
        <v>4.420354962348938E-4</v>
      </c>
      <c r="K247" s="242"/>
      <c r="L247" s="91">
        <f t="shared" si="18"/>
        <v>1</v>
      </c>
      <c r="M247" s="91"/>
      <c r="O247" s="94"/>
    </row>
    <row r="248" spans="1:15" s="93" customFormat="1" ht="38.25">
      <c r="A248" s="261">
        <v>95750</v>
      </c>
      <c r="B248" s="262" t="s">
        <v>2036</v>
      </c>
      <c r="C248" s="263" t="s">
        <v>5</v>
      </c>
      <c r="D248" s="264">
        <v>117.5</v>
      </c>
      <c r="E248" s="265" t="s">
        <v>15757</v>
      </c>
      <c r="F248" s="450"/>
      <c r="G248" s="266">
        <f>((D248*E248*(1+F248)))</f>
        <v>3141.95</v>
      </c>
      <c r="H248" s="267">
        <f t="shared" si="20"/>
        <v>7.0193856373224853E-5</v>
      </c>
      <c r="I248" s="267">
        <f t="shared" si="19"/>
        <v>0.8810677598483746</v>
      </c>
      <c r="J248" s="90">
        <f t="shared" si="17"/>
        <v>4.420354962348938E-4</v>
      </c>
      <c r="K248" s="242"/>
      <c r="L248" s="91">
        <f t="shared" si="18"/>
        <v>117.5</v>
      </c>
      <c r="M248" s="91"/>
      <c r="O248" s="94"/>
    </row>
    <row r="249" spans="1:15" s="93" customFormat="1">
      <c r="A249" s="261">
        <v>98504</v>
      </c>
      <c r="B249" s="262" t="s">
        <v>6208</v>
      </c>
      <c r="C249" s="263" t="s">
        <v>26961</v>
      </c>
      <c r="D249" s="264">
        <v>315</v>
      </c>
      <c r="E249" s="265">
        <v>8.35</v>
      </c>
      <c r="F249" s="450">
        <v>0.1832</v>
      </c>
      <c r="G249" s="266">
        <f>((D249*E249*(1+F249)))</f>
        <v>3112.1118000000001</v>
      </c>
      <c r="H249" s="267">
        <f t="shared" si="20"/>
        <v>6.952724540703012E-5</v>
      </c>
      <c r="I249" s="267">
        <f t="shared" si="19"/>
        <v>0.88113728709378158</v>
      </c>
      <c r="J249" s="90">
        <f t="shared" si="17"/>
        <v>4.420354962348938E-4</v>
      </c>
      <c r="K249" s="242"/>
      <c r="L249" s="91">
        <f t="shared" si="18"/>
        <v>315</v>
      </c>
      <c r="M249" s="91"/>
      <c r="O249" s="94"/>
    </row>
    <row r="250" spans="1:15" s="93" customFormat="1" ht="38.25">
      <c r="A250" s="261">
        <v>3806419</v>
      </c>
      <c r="B250" s="262" t="s">
        <v>8433</v>
      </c>
      <c r="C250" s="263" t="s">
        <v>90</v>
      </c>
      <c r="D250" s="264">
        <v>28</v>
      </c>
      <c r="E250" s="265">
        <v>84.936874999999986</v>
      </c>
      <c r="F250" s="450">
        <f>BDI_O.A.E!$H$22</f>
        <v>0.18201100192553743</v>
      </c>
      <c r="G250" s="266">
        <f>((D250*E250*(1+F250)))</f>
        <v>2811.0969801368751</v>
      </c>
      <c r="H250" s="267">
        <f t="shared" si="20"/>
        <v>6.2802316292408835E-5</v>
      </c>
      <c r="I250" s="267">
        <f t="shared" si="19"/>
        <v>0.88120008941007399</v>
      </c>
      <c r="J250" s="90">
        <f t="shared" si="17"/>
        <v>4.420354962348938E-4</v>
      </c>
      <c r="K250" s="242"/>
      <c r="L250" s="91">
        <f t="shared" si="18"/>
        <v>28</v>
      </c>
      <c r="M250" s="91"/>
      <c r="O250" s="94"/>
    </row>
    <row r="251" spans="1:15" s="93" customFormat="1" ht="25.5">
      <c r="A251" s="261" t="s">
        <v>8353</v>
      </c>
      <c r="B251" s="262" t="s">
        <v>8355</v>
      </c>
      <c r="C251" s="263" t="s">
        <v>150</v>
      </c>
      <c r="D251" s="264">
        <v>215.04</v>
      </c>
      <c r="E251" s="265">
        <v>10.675561999999999</v>
      </c>
      <c r="F251" s="450">
        <f>BDI_O.A.E!$H$22</f>
        <v>0.18201100192553743</v>
      </c>
      <c r="G251" s="266">
        <f>((D251*E251*(1+F251)))</f>
        <v>2713.5105684531409</v>
      </c>
      <c r="H251" s="267">
        <f t="shared" si="20"/>
        <v>6.0622152201412338E-5</v>
      </c>
      <c r="I251" s="267">
        <f t="shared" si="19"/>
        <v>0.88126071156227537</v>
      </c>
      <c r="J251" s="90">
        <f t="shared" si="17"/>
        <v>4.420354962348938E-4</v>
      </c>
      <c r="K251" s="242"/>
      <c r="L251" s="91">
        <f t="shared" si="18"/>
        <v>215.04</v>
      </c>
      <c r="M251" s="91"/>
      <c r="O251" s="94"/>
    </row>
    <row r="252" spans="1:15" s="93" customFormat="1">
      <c r="A252" s="261" t="s">
        <v>8315</v>
      </c>
      <c r="B252" s="262" t="s">
        <v>8317</v>
      </c>
      <c r="C252" s="263" t="s">
        <v>150</v>
      </c>
      <c r="D252" s="264">
        <v>1385.14</v>
      </c>
      <c r="E252" s="265">
        <v>1.6306919999999998</v>
      </c>
      <c r="F252" s="450">
        <f>BDI_O.A.E!$H$22</f>
        <v>0.18201100192553743</v>
      </c>
      <c r="G252" s="266">
        <f>((D252*E252*(1+F252)))</f>
        <v>2669.8516498053273</v>
      </c>
      <c r="H252" s="267">
        <f t="shared" ref="H252" si="21">G252/$G$366</f>
        <v>5.9646774533093326E-5</v>
      </c>
      <c r="I252" s="267">
        <f t="shared" si="19"/>
        <v>0.88132035833680844</v>
      </c>
      <c r="J252" s="90">
        <f t="shared" si="17"/>
        <v>4.420354962348938E-4</v>
      </c>
      <c r="K252" s="242"/>
      <c r="L252" s="91">
        <f t="shared" si="18"/>
        <v>1385.14</v>
      </c>
      <c r="M252" s="91"/>
      <c r="O252" s="94"/>
    </row>
    <row r="253" spans="1:15" s="93" customFormat="1">
      <c r="A253" s="261" t="s">
        <v>26964</v>
      </c>
      <c r="B253" s="262" t="s">
        <v>8110</v>
      </c>
      <c r="C253" s="263" t="s">
        <v>26957</v>
      </c>
      <c r="D253" s="264">
        <v>9.4209999999999994</v>
      </c>
      <c r="E253" s="265">
        <v>237.52</v>
      </c>
      <c r="F253" s="450">
        <v>0.1832</v>
      </c>
      <c r="G253" s="266">
        <f>((D253*E253*(1+F253)))</f>
        <v>2647.6181485440002</v>
      </c>
      <c r="H253" s="267">
        <f t="shared" ref="H253:H316" si="22">G253/$G$366</f>
        <v>5.9150059055695048E-5</v>
      </c>
      <c r="I253" s="267">
        <f t="shared" si="19"/>
        <v>0.8813795083958641</v>
      </c>
      <c r="J253" s="90">
        <f t="shared" si="17"/>
        <v>4.420354962348938E-4</v>
      </c>
      <c r="K253" s="242"/>
      <c r="L253" s="91">
        <f t="shared" si="18"/>
        <v>9.4209999999999994</v>
      </c>
      <c r="M253" s="91"/>
      <c r="O253" s="94"/>
    </row>
    <row r="254" spans="1:15" s="93" customFormat="1" ht="25.5">
      <c r="A254" s="261" t="s">
        <v>13471</v>
      </c>
      <c r="B254" s="262" t="s">
        <v>13470</v>
      </c>
      <c r="C254" s="263" t="s">
        <v>150</v>
      </c>
      <c r="D254" s="264">
        <v>25.2</v>
      </c>
      <c r="E254" s="265">
        <v>88.008390750000004</v>
      </c>
      <c r="F254" s="450">
        <f>BDI_O.A.E!$H$22</f>
        <v>0.18201100192553743</v>
      </c>
      <c r="G254" s="266">
        <f>((D254*E254*(1+F254)))</f>
        <v>2621.4775304321952</v>
      </c>
      <c r="H254" s="267">
        <f t="shared" si="22"/>
        <v>5.8566055238560031E-5</v>
      </c>
      <c r="I254" s="267">
        <f t="shared" si="19"/>
        <v>0.88143807445110267</v>
      </c>
      <c r="J254" s="90">
        <f t="shared" si="17"/>
        <v>4.420354962348938E-4</v>
      </c>
      <c r="K254" s="242"/>
      <c r="L254" s="91">
        <f t="shared" si="18"/>
        <v>25.2</v>
      </c>
      <c r="M254" s="91"/>
      <c r="O254" s="94"/>
    </row>
    <row r="255" spans="1:15" s="93" customFormat="1" ht="38.25">
      <c r="A255" s="261">
        <v>91851</v>
      </c>
      <c r="B255" s="262" t="s">
        <v>5578</v>
      </c>
      <c r="C255" s="263" t="s">
        <v>5</v>
      </c>
      <c r="D255" s="264">
        <v>257</v>
      </c>
      <c r="E255" s="265" t="s">
        <v>15732</v>
      </c>
      <c r="F255" s="450">
        <f>BDI_O.A.E!$H$22</f>
        <v>0.18201100192553743</v>
      </c>
      <c r="G255" s="266">
        <f>((D255*E255*(1+F255)))</f>
        <v>2497.0455220077747</v>
      </c>
      <c r="H255" s="267">
        <f t="shared" si="22"/>
        <v>5.578613750353062E-5</v>
      </c>
      <c r="I255" s="267">
        <f t="shared" si="19"/>
        <v>0.88149386058860624</v>
      </c>
      <c r="J255" s="90">
        <f t="shared" si="17"/>
        <v>4.420354962348938E-4</v>
      </c>
      <c r="K255" s="242"/>
      <c r="L255" s="91">
        <f t="shared" si="18"/>
        <v>257</v>
      </c>
      <c r="M255" s="91"/>
      <c r="O255" s="94"/>
    </row>
    <row r="256" spans="1:15" s="93" customFormat="1">
      <c r="A256" s="261">
        <v>4011354</v>
      </c>
      <c r="B256" s="262" t="s">
        <v>7780</v>
      </c>
      <c r="C256" s="263" t="s">
        <v>150</v>
      </c>
      <c r="D256" s="264">
        <v>10090.86</v>
      </c>
      <c r="E256" s="265">
        <v>0.20350842756425999</v>
      </c>
      <c r="F256" s="450">
        <f>BDI_O.A.E!$H$22</f>
        <v>0.18201100192553743</v>
      </c>
      <c r="G256" s="266">
        <f>((D256*E256*(1+F256)))</f>
        <v>2427.3483040004276</v>
      </c>
      <c r="H256" s="267">
        <f t="shared" si="22"/>
        <v>5.4229041906713016E-5</v>
      </c>
      <c r="I256" s="267">
        <f t="shared" si="19"/>
        <v>0.8815480896305129</v>
      </c>
      <c r="J256" s="90">
        <f t="shared" si="17"/>
        <v>4.420354962348938E-4</v>
      </c>
      <c r="K256" s="242"/>
      <c r="L256" s="91">
        <f t="shared" si="18"/>
        <v>10090.86</v>
      </c>
      <c r="M256" s="91"/>
      <c r="O256" s="94"/>
    </row>
    <row r="257" spans="1:15" s="93" customFormat="1" ht="25.5">
      <c r="A257" s="261">
        <v>5914479</v>
      </c>
      <c r="B257" s="262" t="s">
        <v>13466</v>
      </c>
      <c r="C257" s="263" t="s">
        <v>6668</v>
      </c>
      <c r="D257" s="264">
        <v>4928.04</v>
      </c>
      <c r="E257" s="265">
        <v>0.41662034805890225</v>
      </c>
      <c r="F257" s="450">
        <f>BDI_O.A.E!$H$22</f>
        <v>0.18201100192553743</v>
      </c>
      <c r="G257" s="266">
        <f>((D257*E257*(1+F257)))</f>
        <v>2426.8124850294671</v>
      </c>
      <c r="H257" s="267">
        <f t="shared" si="22"/>
        <v>5.4217071251581762E-5</v>
      </c>
      <c r="I257" s="267">
        <f t="shared" si="19"/>
        <v>0.88160230670176443</v>
      </c>
      <c r="J257" s="90">
        <f t="shared" si="17"/>
        <v>4.420354962348938E-4</v>
      </c>
      <c r="K257" s="242"/>
      <c r="L257" s="91">
        <f t="shared" si="18"/>
        <v>4928.04</v>
      </c>
      <c r="M257" s="91"/>
      <c r="O257" s="94"/>
    </row>
    <row r="258" spans="1:15" s="93" customFormat="1" ht="25.5">
      <c r="A258" s="261">
        <v>5502820</v>
      </c>
      <c r="B258" s="262" t="s">
        <v>6588</v>
      </c>
      <c r="C258" s="263" t="s">
        <v>172</v>
      </c>
      <c r="D258" s="264">
        <v>469.2</v>
      </c>
      <c r="E258" s="265">
        <v>4.0796072918954538</v>
      </c>
      <c r="F258" s="450">
        <f>BDI_O.A.E!$H$22</f>
        <v>0.18201100192553743</v>
      </c>
      <c r="G258" s="266">
        <f>((D258*E258*(1+F258)))</f>
        <v>2262.5484176393097</v>
      </c>
      <c r="H258" s="267">
        <f t="shared" si="22"/>
        <v>5.0547271174029143E-5</v>
      </c>
      <c r="I258" s="267">
        <f t="shared" si="19"/>
        <v>0.88165285397293847</v>
      </c>
      <c r="J258" s="90">
        <f t="shared" si="17"/>
        <v>4.420354962348938E-4</v>
      </c>
      <c r="K258" s="242"/>
      <c r="L258" s="91">
        <f t="shared" si="18"/>
        <v>469.2</v>
      </c>
      <c r="M258" s="91"/>
      <c r="O258" s="94"/>
    </row>
    <row r="259" spans="1:15" s="93" customFormat="1" ht="63.75">
      <c r="A259" s="261">
        <v>90695</v>
      </c>
      <c r="B259" s="262" t="s">
        <v>300</v>
      </c>
      <c r="C259" s="263" t="s">
        <v>5</v>
      </c>
      <c r="D259" s="264">
        <v>41</v>
      </c>
      <c r="E259" s="265" t="s">
        <v>13575</v>
      </c>
      <c r="F259" s="450">
        <f>BDI_O.A.E!$H$22</f>
        <v>0.18201100192553743</v>
      </c>
      <c r="G259" s="266">
        <f>((D259*E259*(1+F259)))</f>
        <v>2028.1535776539336</v>
      </c>
      <c r="H259" s="267">
        <f t="shared" si="22"/>
        <v>4.5310689518509955E-5</v>
      </c>
      <c r="I259" s="267">
        <f t="shared" si="19"/>
        <v>0.88169816466245698</v>
      </c>
      <c r="J259" s="90">
        <f t="shared" si="17"/>
        <v>4.420354962348938E-4</v>
      </c>
      <c r="K259" s="242"/>
      <c r="L259" s="91">
        <f t="shared" si="18"/>
        <v>41</v>
      </c>
      <c r="M259" s="91"/>
      <c r="O259" s="94"/>
    </row>
    <row r="260" spans="1:15" s="93" customFormat="1" ht="38.25">
      <c r="A260" s="261">
        <v>97637</v>
      </c>
      <c r="B260" s="262" t="s">
        <v>5027</v>
      </c>
      <c r="C260" s="263" t="s">
        <v>150</v>
      </c>
      <c r="D260" s="264">
        <v>841.19999999999993</v>
      </c>
      <c r="E260" s="265" t="s">
        <v>18503</v>
      </c>
      <c r="F260" s="450">
        <f>BDI_O.A.E!$H$22</f>
        <v>0.18201100192553743</v>
      </c>
      <c r="G260" s="266">
        <f>((D260*E260*(1+F260)))</f>
        <v>2008.5014627359194</v>
      </c>
      <c r="H260" s="267">
        <f t="shared" si="22"/>
        <v>4.4871644424862639E-5</v>
      </c>
      <c r="I260" s="267">
        <f t="shared" si="19"/>
        <v>0.88174303630688189</v>
      </c>
      <c r="J260" s="90">
        <f t="shared" si="17"/>
        <v>4.420354962348938E-4</v>
      </c>
      <c r="K260" s="242"/>
      <c r="L260" s="91">
        <f t="shared" si="18"/>
        <v>841.19999999999993</v>
      </c>
      <c r="M260" s="91"/>
      <c r="O260" s="94"/>
    </row>
    <row r="261" spans="1:15" s="93" customFormat="1" ht="25.5">
      <c r="A261" s="261">
        <v>1106128</v>
      </c>
      <c r="B261" s="262" t="s">
        <v>7751</v>
      </c>
      <c r="C261" s="263" t="s">
        <v>172</v>
      </c>
      <c r="D261" s="264">
        <v>217.91</v>
      </c>
      <c r="E261" s="265">
        <v>7.4705060240963856</v>
      </c>
      <c r="F261" s="450">
        <f>BDI_O.A.E!$H$22</f>
        <v>0.18201100192553743</v>
      </c>
      <c r="G261" s="266">
        <f>((D261*E261*(1+F261)))</f>
        <v>1924.1933078464401</v>
      </c>
      <c r="H261" s="267">
        <f t="shared" si="22"/>
        <v>4.2988127973167446E-5</v>
      </c>
      <c r="I261" s="267">
        <f t="shared" si="19"/>
        <v>0.8817860244348551</v>
      </c>
      <c r="J261" s="90">
        <f t="shared" si="17"/>
        <v>4.420354962348938E-4</v>
      </c>
      <c r="K261" s="242"/>
      <c r="L261" s="91">
        <f t="shared" si="18"/>
        <v>217.91</v>
      </c>
      <c r="M261" s="91"/>
      <c r="O261" s="94"/>
    </row>
    <row r="262" spans="1:15" s="93" customFormat="1" ht="25.5">
      <c r="A262" s="261" t="s">
        <v>6271</v>
      </c>
      <c r="B262" s="262" t="s">
        <v>6522</v>
      </c>
      <c r="C262" s="263" t="s">
        <v>5</v>
      </c>
      <c r="D262" s="264">
        <v>133.1</v>
      </c>
      <c r="E262" s="265">
        <v>11.010464800000001</v>
      </c>
      <c r="F262" s="450">
        <f>BDI_O.A.E!$H$22</f>
        <v>0.18201100192553743</v>
      </c>
      <c r="G262" s="266">
        <f>((D262*E262*(1+F262)))</f>
        <v>1732.2286895315351</v>
      </c>
      <c r="H262" s="267">
        <f t="shared" si="22"/>
        <v>3.8699473842217759E-5</v>
      </c>
      <c r="I262" s="267">
        <f t="shared" si="19"/>
        <v>0.88182472390869726</v>
      </c>
      <c r="J262" s="90">
        <f t="shared" si="17"/>
        <v>4.420354962348938E-4</v>
      </c>
      <c r="K262" s="242"/>
      <c r="L262" s="91">
        <f t="shared" si="18"/>
        <v>133.1</v>
      </c>
      <c r="M262" s="91"/>
      <c r="O262" s="94"/>
    </row>
    <row r="263" spans="1:15" s="93" customFormat="1" ht="38.25">
      <c r="A263" s="261">
        <v>5213406</v>
      </c>
      <c r="B263" s="262" t="s">
        <v>6596</v>
      </c>
      <c r="C263" s="263" t="s">
        <v>150</v>
      </c>
      <c r="D263" s="264">
        <v>61.87</v>
      </c>
      <c r="E263" s="265">
        <v>23.325371701112509</v>
      </c>
      <c r="F263" s="450">
        <f>BDI_O.A.E!$H$22</f>
        <v>0.18201100192553743</v>
      </c>
      <c r="G263" s="266">
        <f>((D263*E263*(1+F263)))</f>
        <v>1705.8082404557761</v>
      </c>
      <c r="H263" s="267">
        <f t="shared" si="22"/>
        <v>3.8109218361468566E-5</v>
      </c>
      <c r="I263" s="267">
        <f t="shared" si="19"/>
        <v>0.88186283312705871</v>
      </c>
      <c r="J263" s="90">
        <f t="shared" si="17"/>
        <v>4.420354962348938E-4</v>
      </c>
      <c r="K263" s="242"/>
      <c r="L263" s="91">
        <f t="shared" si="18"/>
        <v>61.87</v>
      </c>
      <c r="M263" s="91"/>
      <c r="O263" s="94"/>
    </row>
    <row r="264" spans="1:15" s="93" customFormat="1" ht="38.25">
      <c r="A264" s="261">
        <v>94097</v>
      </c>
      <c r="B264" s="262" t="s">
        <v>93</v>
      </c>
      <c r="C264" s="263" t="s">
        <v>150</v>
      </c>
      <c r="D264" s="264">
        <v>286.5</v>
      </c>
      <c r="E264" s="265" t="s">
        <v>13629</v>
      </c>
      <c r="F264" s="450">
        <f>BDI_O.A.E!$H$22</f>
        <v>0.18201100192553743</v>
      </c>
      <c r="G264" s="266">
        <f>((D264*E264*(1+F264)))</f>
        <v>1703.3901448198824</v>
      </c>
      <c r="H264" s="267">
        <f t="shared" si="22"/>
        <v>3.8055196032099022E-5</v>
      </c>
      <c r="I264" s="267">
        <f t="shared" si="19"/>
        <v>0.88190088832309077</v>
      </c>
      <c r="J264" s="90">
        <f t="shared" si="17"/>
        <v>4.420354962348938E-4</v>
      </c>
      <c r="K264" s="242"/>
      <c r="L264" s="91">
        <f t="shared" si="18"/>
        <v>286.5</v>
      </c>
      <c r="M264" s="91"/>
      <c r="O264" s="94"/>
    </row>
    <row r="265" spans="1:15" s="93" customFormat="1" ht="25.5">
      <c r="A265" s="261" t="s">
        <v>7422</v>
      </c>
      <c r="B265" s="262" t="s">
        <v>8452</v>
      </c>
      <c r="C265" s="263" t="s">
        <v>4521</v>
      </c>
      <c r="D265" s="264">
        <v>243</v>
      </c>
      <c r="E265" s="265">
        <v>5.8684692588550575</v>
      </c>
      <c r="F265" s="450">
        <f>BDI_O.A.E!$H$22</f>
        <v>0.18201100192553743</v>
      </c>
      <c r="G265" s="266">
        <f>((D265*E265*(1+F265)))</f>
        <v>1685.5926405081213</v>
      </c>
      <c r="H265" s="267">
        <f t="shared" si="22"/>
        <v>3.7657584529222905E-5</v>
      </c>
      <c r="I265" s="267">
        <f t="shared" si="19"/>
        <v>0.88193854590762</v>
      </c>
      <c r="J265" s="90">
        <f t="shared" si="17"/>
        <v>4.420354962348938E-4</v>
      </c>
      <c r="K265" s="242"/>
      <c r="L265" s="91">
        <f t="shared" si="18"/>
        <v>243</v>
      </c>
      <c r="M265" s="91"/>
      <c r="O265" s="94"/>
    </row>
    <row r="266" spans="1:15" s="93" customFormat="1" ht="38.25">
      <c r="A266" s="261">
        <v>85424</v>
      </c>
      <c r="B266" s="262" t="s">
        <v>4275</v>
      </c>
      <c r="C266" s="263" t="s">
        <v>26984</v>
      </c>
      <c r="D266" s="264">
        <v>60</v>
      </c>
      <c r="E266" s="265">
        <v>22.66</v>
      </c>
      <c r="F266" s="450">
        <v>0.1832</v>
      </c>
      <c r="G266" s="266">
        <f>((D266*E266*(1+F266)))</f>
        <v>1608.6787199999999</v>
      </c>
      <c r="H266" s="267">
        <f t="shared" si="22"/>
        <v>3.5939261612165439E-5</v>
      </c>
      <c r="I266" s="267">
        <f t="shared" si="19"/>
        <v>0.88197448516923216</v>
      </c>
      <c r="J266" s="90">
        <f t="shared" si="17"/>
        <v>4.420354962348938E-4</v>
      </c>
      <c r="K266" s="242"/>
      <c r="L266" s="91">
        <f t="shared" si="18"/>
        <v>60</v>
      </c>
      <c r="M266" s="91"/>
      <c r="O266" s="94"/>
    </row>
    <row r="267" spans="1:15" s="93" customFormat="1" ht="25.5">
      <c r="A267" s="261" t="s">
        <v>13190</v>
      </c>
      <c r="B267" s="262" t="s">
        <v>13191</v>
      </c>
      <c r="C267" s="263" t="s">
        <v>5</v>
      </c>
      <c r="D267" s="264">
        <v>180</v>
      </c>
      <c r="E267" s="265">
        <v>7.5381285774031479</v>
      </c>
      <c r="F267" s="450">
        <f>BDI_O.A.E!$H$22</f>
        <v>0.18201100192553743</v>
      </c>
      <c r="G267" s="266">
        <f>((D267*E267*(1+F267)))</f>
        <v>1603.8271642355678</v>
      </c>
      <c r="H267" s="267">
        <f t="shared" si="22"/>
        <v>3.5830873697489764E-5</v>
      </c>
      <c r="I267" s="267">
        <f t="shared" si="19"/>
        <v>0.88201031604292968</v>
      </c>
      <c r="J267" s="90">
        <f t="shared" si="17"/>
        <v>4.420354962348938E-4</v>
      </c>
      <c r="K267" s="242"/>
      <c r="L267" s="91">
        <f t="shared" si="18"/>
        <v>180</v>
      </c>
      <c r="M267" s="91"/>
      <c r="O267" s="94"/>
    </row>
    <row r="268" spans="1:15" s="93" customFormat="1" ht="25.5">
      <c r="A268" s="261">
        <v>2407972</v>
      </c>
      <c r="B268" s="262" t="s">
        <v>7756</v>
      </c>
      <c r="C268" s="263" t="s">
        <v>89</v>
      </c>
      <c r="D268" s="264">
        <v>28.8</v>
      </c>
      <c r="E268" s="265">
        <v>46.139945562080534</v>
      </c>
      <c r="F268" s="450">
        <f>BDI_O.A.E!$H$22</f>
        <v>0.18201100192553743</v>
      </c>
      <c r="G268" s="266">
        <f>((D268*E268*(1+F268)))</f>
        <v>1570.6921905395875</v>
      </c>
      <c r="H268" s="267">
        <f t="shared" si="22"/>
        <v>3.5090609980834111E-5</v>
      </c>
      <c r="I268" s="267">
        <f t="shared" si="19"/>
        <v>0.88204540665291054</v>
      </c>
      <c r="J268" s="90">
        <f t="shared" ref="J268:J331" si="23">$G$373-$G$366</f>
        <v>4.420354962348938E-4</v>
      </c>
      <c r="K268" s="242"/>
      <c r="L268" s="91">
        <f t="shared" ref="L268:L331" si="24">SUMIF($A$11:$A$352,A268,$D$11:$D$352)</f>
        <v>28.8</v>
      </c>
      <c r="M268" s="91"/>
      <c r="O268" s="94"/>
    </row>
    <row r="269" spans="1:15" s="93" customFormat="1" ht="25.5">
      <c r="A269" s="261">
        <v>34636</v>
      </c>
      <c r="B269" s="262" t="s">
        <v>20061</v>
      </c>
      <c r="C269" s="263" t="s">
        <v>4521</v>
      </c>
      <c r="D269" s="264">
        <v>4</v>
      </c>
      <c r="E269" s="265" t="s">
        <v>20062</v>
      </c>
      <c r="F269" s="450">
        <f>BDI_O.A.E!$H$22</f>
        <v>0.18201100192553743</v>
      </c>
      <c r="G269" s="266">
        <f>((D269*E269*(1+F269)))</f>
        <v>1557.6540983374732</v>
      </c>
      <c r="H269" s="267">
        <f t="shared" si="22"/>
        <v>3.479932782439748E-5</v>
      </c>
      <c r="I269" s="267">
        <f t="shared" si="19"/>
        <v>0.88208020598073489</v>
      </c>
      <c r="J269" s="90">
        <f t="shared" si="23"/>
        <v>4.420354962348938E-4</v>
      </c>
      <c r="K269" s="242"/>
      <c r="L269" s="91">
        <f t="shared" si="24"/>
        <v>4</v>
      </c>
      <c r="M269" s="91"/>
      <c r="O269" s="94"/>
    </row>
    <row r="270" spans="1:15" s="93" customFormat="1" ht="25.5">
      <c r="A270" s="261">
        <v>4915639</v>
      </c>
      <c r="B270" s="262" t="s">
        <v>8309</v>
      </c>
      <c r="C270" s="263" t="s">
        <v>150</v>
      </c>
      <c r="D270" s="264">
        <v>417.48</v>
      </c>
      <c r="E270" s="265">
        <v>3.1274999999999999</v>
      </c>
      <c r="F270" s="450">
        <f>BDI_O.A.E!$H$22</f>
        <v>0.18201100192553743</v>
      </c>
      <c r="G270" s="266">
        <f>((D270*E270*(1+F270)))</f>
        <v>1543.3147682698138</v>
      </c>
      <c r="H270" s="267">
        <f t="shared" si="22"/>
        <v>3.4478974898584675E-5</v>
      </c>
      <c r="I270" s="267">
        <f t="shared" ref="I270:I333" si="25">H270+I269</f>
        <v>0.8821146849556335</v>
      </c>
      <c r="J270" s="90">
        <f t="shared" si="23"/>
        <v>4.420354962348938E-4</v>
      </c>
      <c r="K270" s="242"/>
      <c r="L270" s="91">
        <f t="shared" si="24"/>
        <v>417.48</v>
      </c>
      <c r="M270" s="91"/>
      <c r="O270" s="94"/>
    </row>
    <row r="271" spans="1:15" s="93" customFormat="1" ht="63.75">
      <c r="A271" s="261" t="s">
        <v>13489</v>
      </c>
      <c r="B271" s="262" t="s">
        <v>13490</v>
      </c>
      <c r="C271" s="263" t="s">
        <v>4521</v>
      </c>
      <c r="D271" s="264">
        <v>1</v>
      </c>
      <c r="E271" s="265">
        <v>1285.2</v>
      </c>
      <c r="F271" s="450">
        <f>BDI_O.A.E!$H$22</f>
        <v>0.18201100192553743</v>
      </c>
      <c r="G271" s="266">
        <f>((D271*E271*(1+F271)))</f>
        <v>1519.1205396747007</v>
      </c>
      <c r="H271" s="267">
        <f t="shared" si="22"/>
        <v>3.3938455091755682E-5</v>
      </c>
      <c r="I271" s="267">
        <f t="shared" si="25"/>
        <v>0.88214862341072531</v>
      </c>
      <c r="J271" s="90">
        <f t="shared" si="23"/>
        <v>4.420354962348938E-4</v>
      </c>
      <c r="K271" s="242"/>
      <c r="L271" s="91">
        <f t="shared" si="24"/>
        <v>1</v>
      </c>
      <c r="M271" s="91"/>
      <c r="O271" s="94"/>
    </row>
    <row r="272" spans="1:15" s="93" customFormat="1" ht="25.5">
      <c r="A272" s="261" t="s">
        <v>26972</v>
      </c>
      <c r="B272" s="262" t="s">
        <v>26973</v>
      </c>
      <c r="C272" s="263" t="s">
        <v>26959</v>
      </c>
      <c r="D272" s="264">
        <v>3685.348</v>
      </c>
      <c r="E272" s="265">
        <v>0.32</v>
      </c>
      <c r="F272" s="450">
        <v>0.1832</v>
      </c>
      <c r="G272" s="266">
        <f>((D272*E272*(1+F272)))</f>
        <v>1395.3612011519999</v>
      </c>
      <c r="H272" s="267">
        <f t="shared" si="22"/>
        <v>3.1173565378963381E-5</v>
      </c>
      <c r="I272" s="267">
        <f t="shared" si="25"/>
        <v>0.88217979697610427</v>
      </c>
      <c r="J272" s="90">
        <f t="shared" si="23"/>
        <v>4.420354962348938E-4</v>
      </c>
      <c r="K272" s="242"/>
      <c r="L272" s="91">
        <f t="shared" si="24"/>
        <v>3685.348</v>
      </c>
      <c r="M272" s="91"/>
      <c r="O272" s="94"/>
    </row>
    <row r="273" spans="1:15" s="93" customFormat="1" ht="25.5">
      <c r="A273" s="261" t="s">
        <v>6676</v>
      </c>
      <c r="B273" s="262" t="s">
        <v>6677</v>
      </c>
      <c r="C273" s="263" t="s">
        <v>5</v>
      </c>
      <c r="D273" s="264">
        <v>1128.5</v>
      </c>
      <c r="E273" s="265">
        <v>0.9627155645311356</v>
      </c>
      <c r="F273" s="450">
        <f>BDI_O.A.E!$H$22</f>
        <v>0.18201100192553743</v>
      </c>
      <c r="G273" s="266">
        <f>((D273*E273*(1+F273)))</f>
        <v>1284.1657289873542</v>
      </c>
      <c r="H273" s="267">
        <f t="shared" si="22"/>
        <v>2.8689363210730897E-5</v>
      </c>
      <c r="I273" s="267">
        <f t="shared" si="25"/>
        <v>0.88220848633931503</v>
      </c>
      <c r="J273" s="90">
        <f t="shared" si="23"/>
        <v>4.420354962348938E-4</v>
      </c>
      <c r="K273" s="242"/>
      <c r="L273" s="91">
        <f t="shared" si="24"/>
        <v>1128.5</v>
      </c>
      <c r="M273" s="91"/>
      <c r="O273" s="94"/>
    </row>
    <row r="274" spans="1:15" s="93" customFormat="1" ht="38.25">
      <c r="A274" s="261" t="s">
        <v>7956</v>
      </c>
      <c r="B274" s="262" t="s">
        <v>7957</v>
      </c>
      <c r="C274" s="263" t="s">
        <v>150</v>
      </c>
      <c r="D274" s="264">
        <v>648.20000000000005</v>
      </c>
      <c r="E274" s="265">
        <v>1.6005306340690102</v>
      </c>
      <c r="F274" s="450">
        <f>BDI_O.A.E!$H$22</f>
        <v>0.18201100192553743</v>
      </c>
      <c r="G274" s="266">
        <f>((D274*E274*(1+F274)))</f>
        <v>1226.2938112793781</v>
      </c>
      <c r="H274" s="267">
        <f t="shared" si="22"/>
        <v>2.739645495960126E-5</v>
      </c>
      <c r="I274" s="267">
        <f t="shared" si="25"/>
        <v>0.88223588279427467</v>
      </c>
      <c r="J274" s="90">
        <f t="shared" si="23"/>
        <v>4.420354962348938E-4</v>
      </c>
      <c r="K274" s="242"/>
      <c r="L274" s="91">
        <f t="shared" si="24"/>
        <v>648.20000000000005</v>
      </c>
      <c r="M274" s="91"/>
      <c r="O274" s="94"/>
    </row>
    <row r="275" spans="1:15" s="93" customFormat="1" ht="51">
      <c r="A275" s="261" t="s">
        <v>6267</v>
      </c>
      <c r="B275" s="262" t="s">
        <v>6485</v>
      </c>
      <c r="C275" s="263" t="s">
        <v>10</v>
      </c>
      <c r="D275" s="264">
        <v>1</v>
      </c>
      <c r="E275" s="265">
        <v>992.1262246</v>
      </c>
      <c r="F275" s="450">
        <f>BDI_O.A.E!$H$22</f>
        <v>0.18201100192553743</v>
      </c>
      <c r="G275" s="266">
        <f>((D275*E275*(1+F275)))</f>
        <v>1172.7041127760467</v>
      </c>
      <c r="H275" s="267">
        <f t="shared" si="22"/>
        <v>2.6199215156349372E-5</v>
      </c>
      <c r="I275" s="267">
        <f t="shared" si="25"/>
        <v>0.88226208200943101</v>
      </c>
      <c r="J275" s="90">
        <f t="shared" si="23"/>
        <v>4.420354962348938E-4</v>
      </c>
      <c r="K275" s="242"/>
      <c r="L275" s="91">
        <f t="shared" si="24"/>
        <v>1</v>
      </c>
      <c r="M275" s="91"/>
      <c r="O275" s="94"/>
    </row>
    <row r="276" spans="1:15" s="93" customFormat="1" ht="38.25">
      <c r="A276" s="261" t="s">
        <v>8176</v>
      </c>
      <c r="B276" s="262" t="s">
        <v>8178</v>
      </c>
      <c r="C276" s="263" t="s">
        <v>4521</v>
      </c>
      <c r="D276" s="264">
        <v>4</v>
      </c>
      <c r="E276" s="265">
        <v>238.70806134067084</v>
      </c>
      <c r="F276" s="450">
        <f>BDI_O.A.E!$H$22</f>
        <v>0.18201100192553743</v>
      </c>
      <c r="G276" s="266">
        <f>((D276*E276*(1+F276)))</f>
        <v>1128.6222190119558</v>
      </c>
      <c r="H276" s="267">
        <f t="shared" si="22"/>
        <v>2.5214387861345837E-5</v>
      </c>
      <c r="I276" s="267">
        <f t="shared" si="25"/>
        <v>0.88228729639729231</v>
      </c>
      <c r="J276" s="90">
        <f t="shared" si="23"/>
        <v>4.420354962348938E-4</v>
      </c>
      <c r="K276" s="242"/>
      <c r="L276" s="91">
        <f t="shared" si="24"/>
        <v>4</v>
      </c>
      <c r="M276" s="91"/>
      <c r="O276" s="94"/>
    </row>
    <row r="277" spans="1:15" s="93" customFormat="1" ht="38.25">
      <c r="A277" s="261" t="s">
        <v>8156</v>
      </c>
      <c r="B277" s="262" t="s">
        <v>8157</v>
      </c>
      <c r="C277" s="263" t="s">
        <v>4521</v>
      </c>
      <c r="D277" s="264">
        <v>4</v>
      </c>
      <c r="E277" s="265">
        <v>230.36675990148626</v>
      </c>
      <c r="F277" s="450">
        <f>BDI_O.A.E!$H$22</f>
        <v>0.18201100192553743</v>
      </c>
      <c r="G277" s="266">
        <f>((D277*E277*(1+F277)))</f>
        <v>1089.1841787259821</v>
      </c>
      <c r="H277" s="267">
        <f t="shared" si="22"/>
        <v>2.433330823389311E-5</v>
      </c>
      <c r="I277" s="267">
        <f t="shared" si="25"/>
        <v>0.88231162970552623</v>
      </c>
      <c r="J277" s="90">
        <f t="shared" si="23"/>
        <v>4.420354962348938E-4</v>
      </c>
      <c r="K277" s="242"/>
      <c r="L277" s="91">
        <f t="shared" si="24"/>
        <v>4</v>
      </c>
      <c r="M277" s="91"/>
      <c r="O277" s="94"/>
    </row>
    <row r="278" spans="1:15" s="93" customFormat="1">
      <c r="A278" s="261">
        <v>5213364</v>
      </c>
      <c r="B278" s="262" t="s">
        <v>6661</v>
      </c>
      <c r="C278" s="263" t="s">
        <v>150</v>
      </c>
      <c r="D278" s="264">
        <v>69.930000000000007</v>
      </c>
      <c r="E278" s="265">
        <v>12.711874999999999</v>
      </c>
      <c r="F278" s="450">
        <f>BDI_O.A.E!$H$22</f>
        <v>0.18201100192553743</v>
      </c>
      <c r="G278" s="266">
        <f>((D278*E278*(1+F278)))</f>
        <v>1050.7385370297964</v>
      </c>
      <c r="H278" s="267">
        <f t="shared" si="22"/>
        <v>2.3474399641649908E-5</v>
      </c>
      <c r="I278" s="267">
        <f t="shared" si="25"/>
        <v>0.88233510410516791</v>
      </c>
      <c r="J278" s="90">
        <f t="shared" si="23"/>
        <v>4.420354962348938E-4</v>
      </c>
      <c r="K278" s="242"/>
      <c r="L278" s="91">
        <f t="shared" si="24"/>
        <v>69.930000000000007</v>
      </c>
      <c r="M278" s="91"/>
      <c r="O278" s="94"/>
    </row>
    <row r="279" spans="1:15" s="93" customFormat="1" ht="38.25">
      <c r="A279" s="261" t="s">
        <v>7902</v>
      </c>
      <c r="B279" s="262" t="s">
        <v>7908</v>
      </c>
      <c r="C279" s="263" t="s">
        <v>167</v>
      </c>
      <c r="D279" s="264">
        <v>162</v>
      </c>
      <c r="E279" s="265">
        <v>5.3623662999999997</v>
      </c>
      <c r="F279" s="450">
        <f>BDI_O.A.E!$H$22</f>
        <v>0.18201100192553743</v>
      </c>
      <c r="G279" s="266">
        <f>((D279*E279*(1+F279)))</f>
        <v>1026.8169059986674</v>
      </c>
      <c r="H279" s="267">
        <f t="shared" si="22"/>
        <v>2.2939969898079085E-5</v>
      </c>
      <c r="I279" s="267">
        <f t="shared" si="25"/>
        <v>0.88235804407506602</v>
      </c>
      <c r="J279" s="90">
        <f t="shared" si="23"/>
        <v>4.420354962348938E-4</v>
      </c>
      <c r="K279" s="242"/>
      <c r="L279" s="91">
        <f t="shared" si="24"/>
        <v>162</v>
      </c>
      <c r="M279" s="91"/>
      <c r="O279" s="94"/>
    </row>
    <row r="280" spans="1:15" s="93" customFormat="1" ht="25.5">
      <c r="A280" s="261">
        <v>98524</v>
      </c>
      <c r="B280" s="262" t="s">
        <v>6206</v>
      </c>
      <c r="C280" s="263" t="s">
        <v>26970</v>
      </c>
      <c r="D280" s="264">
        <v>315</v>
      </c>
      <c r="E280" s="265">
        <v>2.75</v>
      </c>
      <c r="F280" s="450">
        <v>0.1832</v>
      </c>
      <c r="G280" s="266">
        <f>((D280*E280*(1+F280)))</f>
        <v>1024.9470000000001</v>
      </c>
      <c r="H280" s="267">
        <f t="shared" si="22"/>
        <v>2.2898194595129683E-5</v>
      </c>
      <c r="I280" s="267">
        <f t="shared" si="25"/>
        <v>0.88238094226966113</v>
      </c>
      <c r="J280" s="90">
        <f t="shared" si="23"/>
        <v>4.420354962348938E-4</v>
      </c>
      <c r="K280" s="242"/>
      <c r="L280" s="91">
        <f t="shared" si="24"/>
        <v>315</v>
      </c>
      <c r="M280" s="91"/>
      <c r="O280" s="94"/>
    </row>
    <row r="281" spans="1:15" s="93" customFormat="1" ht="25.5">
      <c r="A281" s="261" t="s">
        <v>6683</v>
      </c>
      <c r="B281" s="262" t="s">
        <v>6704</v>
      </c>
      <c r="C281" s="263" t="s">
        <v>4521</v>
      </c>
      <c r="D281" s="264">
        <v>1</v>
      </c>
      <c r="E281" s="265">
        <v>865.70280000000002</v>
      </c>
      <c r="F281" s="450">
        <f>BDI_O.A.E!$H$22</f>
        <v>0.18201100192553743</v>
      </c>
      <c r="G281" s="266">
        <f>((D281*E281*(1+F281)))</f>
        <v>1023.2702339977432</v>
      </c>
      <c r="H281" s="267">
        <f t="shared" si="22"/>
        <v>2.2860734205265447E-5</v>
      </c>
      <c r="I281" s="267">
        <f t="shared" si="25"/>
        <v>0.88240380300386634</v>
      </c>
      <c r="J281" s="90">
        <f t="shared" si="23"/>
        <v>4.420354962348938E-4</v>
      </c>
      <c r="K281" s="242"/>
      <c r="L281" s="91">
        <f t="shared" si="24"/>
        <v>1</v>
      </c>
      <c r="M281" s="91"/>
      <c r="O281" s="94"/>
    </row>
    <row r="282" spans="1:15" s="93" customFormat="1" ht="38.25">
      <c r="A282" s="261" t="s">
        <v>6272</v>
      </c>
      <c r="B282" s="262" t="s">
        <v>6525</v>
      </c>
      <c r="C282" s="263" t="s">
        <v>4521</v>
      </c>
      <c r="D282" s="264">
        <v>10</v>
      </c>
      <c r="E282" s="265">
        <v>84.701522999999995</v>
      </c>
      <c r="F282" s="450">
        <f>BDI_O.A.E!$H$22</f>
        <v>0.18201100192553743</v>
      </c>
      <c r="G282" s="266">
        <f>((D282*E282*(1+F282)))</f>
        <v>1001.1813206584895</v>
      </c>
      <c r="H282" s="267">
        <f t="shared" si="22"/>
        <v>2.2367248945991372E-5</v>
      </c>
      <c r="I282" s="267">
        <f t="shared" si="25"/>
        <v>0.88242617025281234</v>
      </c>
      <c r="J282" s="90">
        <f t="shared" si="23"/>
        <v>4.420354962348938E-4</v>
      </c>
      <c r="K282" s="242"/>
      <c r="L282" s="91">
        <f t="shared" si="24"/>
        <v>10</v>
      </c>
      <c r="M282" s="91"/>
      <c r="O282" s="94"/>
    </row>
    <row r="283" spans="1:15" s="93" customFormat="1" ht="63.75">
      <c r="A283" s="261">
        <v>5914354</v>
      </c>
      <c r="B283" s="262" t="s">
        <v>7860</v>
      </c>
      <c r="C283" s="263" t="s">
        <v>3495</v>
      </c>
      <c r="D283" s="264">
        <v>768.92400000000009</v>
      </c>
      <c r="E283" s="265">
        <v>0.99624261686746973</v>
      </c>
      <c r="F283" s="450">
        <f>BDI_O.A.E!$H$22</f>
        <v>0.18201100192553743</v>
      </c>
      <c r="G283" s="266">
        <f>((D283*E283*(1+F283)))</f>
        <v>905.46162993432927</v>
      </c>
      <c r="H283" s="267">
        <f t="shared" si="22"/>
        <v>2.0228789001440629E-5</v>
      </c>
      <c r="I283" s="267">
        <f t="shared" si="25"/>
        <v>0.88244639904181377</v>
      </c>
      <c r="J283" s="90">
        <f t="shared" si="23"/>
        <v>4.420354962348938E-4</v>
      </c>
      <c r="K283" s="242"/>
      <c r="L283" s="91">
        <f t="shared" si="24"/>
        <v>768.92400000000009</v>
      </c>
      <c r="M283" s="91"/>
      <c r="O283" s="94"/>
    </row>
    <row r="284" spans="1:15" s="93" customFormat="1" ht="38.25">
      <c r="A284" s="261" t="s">
        <v>7411</v>
      </c>
      <c r="B284" s="262" t="s">
        <v>8348</v>
      </c>
      <c r="C284" s="263" t="s">
        <v>6074</v>
      </c>
      <c r="D284" s="264">
        <v>3642.87</v>
      </c>
      <c r="E284" s="265">
        <v>0.20016</v>
      </c>
      <c r="F284" s="450">
        <f>BDI_O.A.E!$H$22</f>
        <v>0.18201100192553743</v>
      </c>
      <c r="G284" s="266">
        <f>((D284*E284*(1+F284)))</f>
        <v>861.87142970387004</v>
      </c>
      <c r="H284" s="267">
        <f t="shared" si="22"/>
        <v>1.9254946561472784E-5</v>
      </c>
      <c r="I284" s="267">
        <f t="shared" si="25"/>
        <v>0.88246565398837529</v>
      </c>
      <c r="J284" s="90">
        <f t="shared" si="23"/>
        <v>4.420354962348938E-4</v>
      </c>
      <c r="K284" s="242"/>
      <c r="L284" s="91">
        <f t="shared" si="24"/>
        <v>3642.87</v>
      </c>
      <c r="M284" s="91"/>
      <c r="O284" s="94"/>
    </row>
    <row r="285" spans="1:15" s="93" customFormat="1" ht="38.25">
      <c r="A285" s="261" t="s">
        <v>13412</v>
      </c>
      <c r="B285" s="262" t="s">
        <v>13414</v>
      </c>
      <c r="C285" s="263" t="s">
        <v>4521</v>
      </c>
      <c r="D285" s="264">
        <v>1</v>
      </c>
      <c r="E285" s="265">
        <v>711.59250228295855</v>
      </c>
      <c r="F285" s="450">
        <f>BDI_O.A.E!$H$22</f>
        <v>0.18201100192553743</v>
      </c>
      <c r="G285" s="266">
        <f>((D285*E285*(1+F285)))</f>
        <v>841.11016658618007</v>
      </c>
      <c r="H285" s="267">
        <f t="shared" si="22"/>
        <v>1.87911221462498E-5</v>
      </c>
      <c r="I285" s="267">
        <f t="shared" si="25"/>
        <v>0.88248444511052149</v>
      </c>
      <c r="J285" s="90">
        <f t="shared" si="23"/>
        <v>4.420354962348938E-4</v>
      </c>
      <c r="K285" s="242"/>
      <c r="L285" s="91">
        <f t="shared" si="24"/>
        <v>1</v>
      </c>
      <c r="M285" s="91"/>
      <c r="O285" s="94"/>
    </row>
    <row r="286" spans="1:15" s="93" customFormat="1" ht="38.25">
      <c r="A286" s="261" t="s">
        <v>8130</v>
      </c>
      <c r="B286" s="262" t="s">
        <v>8132</v>
      </c>
      <c r="C286" s="263" t="s">
        <v>4521</v>
      </c>
      <c r="D286" s="264">
        <v>3</v>
      </c>
      <c r="E286" s="265">
        <v>231.45579391133865</v>
      </c>
      <c r="F286" s="450">
        <f>BDI_O.A.E!$H$22</f>
        <v>0.18201100192553743</v>
      </c>
      <c r="G286" s="266">
        <f>((D286*E286*(1+F286)))</f>
        <v>820.74988458783628</v>
      </c>
      <c r="H286" s="267">
        <f t="shared" si="22"/>
        <v>1.833625599296598E-5</v>
      </c>
      <c r="I286" s="267">
        <f t="shared" si="25"/>
        <v>0.8825027813665145</v>
      </c>
      <c r="J286" s="90">
        <f t="shared" si="23"/>
        <v>4.420354962348938E-4</v>
      </c>
      <c r="K286" s="242"/>
      <c r="L286" s="91">
        <f t="shared" si="24"/>
        <v>3</v>
      </c>
      <c r="M286" s="91"/>
      <c r="O286" s="94"/>
    </row>
    <row r="287" spans="1:15" s="93" customFormat="1" ht="25.5">
      <c r="A287" s="261">
        <v>4413990</v>
      </c>
      <c r="B287" s="262" t="s">
        <v>6693</v>
      </c>
      <c r="C287" s="263" t="s">
        <v>150</v>
      </c>
      <c r="D287" s="264">
        <v>40</v>
      </c>
      <c r="E287" s="265">
        <v>17.088912301714167</v>
      </c>
      <c r="F287" s="450">
        <f>BDI_O.A.E!$H$22</f>
        <v>0.18201100192553743</v>
      </c>
      <c r="G287" s="266">
        <f>((D287*E287*(1+F287)))</f>
        <v>807.9712940626722</v>
      </c>
      <c r="H287" s="267">
        <f t="shared" si="22"/>
        <v>1.8050771326444991E-5</v>
      </c>
      <c r="I287" s="267">
        <f t="shared" si="25"/>
        <v>0.88252083213784094</v>
      </c>
      <c r="J287" s="90">
        <f t="shared" si="23"/>
        <v>4.420354962348938E-4</v>
      </c>
      <c r="K287" s="242"/>
      <c r="L287" s="91">
        <f t="shared" si="24"/>
        <v>40</v>
      </c>
      <c r="M287" s="91"/>
      <c r="O287" s="94"/>
    </row>
    <row r="288" spans="1:15" s="93" customFormat="1" ht="51">
      <c r="A288" s="261">
        <v>94650</v>
      </c>
      <c r="B288" s="262" t="s">
        <v>2507</v>
      </c>
      <c r="C288" s="263" t="s">
        <v>5</v>
      </c>
      <c r="D288" s="264">
        <v>41</v>
      </c>
      <c r="E288" s="265" t="s">
        <v>16329</v>
      </c>
      <c r="F288" s="450">
        <f>BDI_O.A.E!$H$22</f>
        <v>0.18201100192553743</v>
      </c>
      <c r="G288" s="266">
        <f>((D288*E288*(1+F288)))</f>
        <v>806.4151859536787</v>
      </c>
      <c r="H288" s="267">
        <f t="shared" si="22"/>
        <v>1.8016006537347806E-5</v>
      </c>
      <c r="I288" s="267">
        <f t="shared" si="25"/>
        <v>0.88253884814437833</v>
      </c>
      <c r="J288" s="90">
        <f t="shared" si="23"/>
        <v>4.420354962348938E-4</v>
      </c>
      <c r="K288" s="242"/>
      <c r="L288" s="91">
        <f t="shared" si="24"/>
        <v>41</v>
      </c>
      <c r="M288" s="91"/>
      <c r="O288" s="94"/>
    </row>
    <row r="289" spans="1:15" s="93" customFormat="1" ht="25.5">
      <c r="A289" s="261" t="s">
        <v>6681</v>
      </c>
      <c r="B289" s="262" t="s">
        <v>6682</v>
      </c>
      <c r="C289" s="263" t="s">
        <v>4521</v>
      </c>
      <c r="D289" s="264">
        <v>4</v>
      </c>
      <c r="E289" s="265">
        <v>169.52112</v>
      </c>
      <c r="F289" s="450">
        <f>BDI_O.A.E!$H$22</f>
        <v>0.18201100192553743</v>
      </c>
      <c r="G289" s="266">
        <f>((D289*E289*(1+F289)))</f>
        <v>801.50331559495703</v>
      </c>
      <c r="H289" s="267">
        <f t="shared" si="22"/>
        <v>1.7906271142932231E-5</v>
      </c>
      <c r="I289" s="267">
        <f t="shared" si="25"/>
        <v>0.88255675441552128</v>
      </c>
      <c r="J289" s="90">
        <f t="shared" si="23"/>
        <v>4.420354962348938E-4</v>
      </c>
      <c r="K289" s="242"/>
      <c r="L289" s="91">
        <f t="shared" si="24"/>
        <v>4</v>
      </c>
      <c r="M289" s="91"/>
      <c r="O289" s="94"/>
    </row>
    <row r="290" spans="1:15" s="93" customFormat="1" ht="63.75">
      <c r="A290" s="261" t="s">
        <v>8206</v>
      </c>
      <c r="B290" s="262" t="s">
        <v>8207</v>
      </c>
      <c r="C290" s="263" t="s">
        <v>4521</v>
      </c>
      <c r="D290" s="264">
        <v>1</v>
      </c>
      <c r="E290" s="265">
        <v>642.6</v>
      </c>
      <c r="F290" s="450">
        <f>BDI_O.A.E!$H$22</f>
        <v>0.18201100192553743</v>
      </c>
      <c r="G290" s="266">
        <f>((D290*E290*(1+F290)))</f>
        <v>759.56026983735035</v>
      </c>
      <c r="H290" s="267">
        <f t="shared" si="22"/>
        <v>1.6969227545877841E-5</v>
      </c>
      <c r="I290" s="267">
        <f t="shared" si="25"/>
        <v>0.88257372364306719</v>
      </c>
      <c r="J290" s="90">
        <f t="shared" si="23"/>
        <v>4.420354962348938E-4</v>
      </c>
      <c r="K290" s="242"/>
      <c r="L290" s="91">
        <f t="shared" si="24"/>
        <v>1</v>
      </c>
      <c r="M290" s="91"/>
      <c r="O290" s="94"/>
    </row>
    <row r="291" spans="1:15" s="93" customFormat="1" ht="63.75">
      <c r="A291" s="261" t="s">
        <v>8224</v>
      </c>
      <c r="B291" s="262" t="s">
        <v>13483</v>
      </c>
      <c r="C291" s="263" t="s">
        <v>4521</v>
      </c>
      <c r="D291" s="264">
        <v>1</v>
      </c>
      <c r="E291" s="265">
        <v>642.6</v>
      </c>
      <c r="F291" s="450">
        <f>BDI_O.A.E!$H$22</f>
        <v>0.18201100192553743</v>
      </c>
      <c r="G291" s="266">
        <f>((D291*E291*(1+F291)))</f>
        <v>759.56026983735035</v>
      </c>
      <c r="H291" s="267">
        <f t="shared" si="22"/>
        <v>1.6969227545877841E-5</v>
      </c>
      <c r="I291" s="267">
        <f t="shared" si="25"/>
        <v>0.88259069287061309</v>
      </c>
      <c r="J291" s="90">
        <f t="shared" si="23"/>
        <v>4.420354962348938E-4</v>
      </c>
      <c r="K291" s="242"/>
      <c r="L291" s="91">
        <f t="shared" si="24"/>
        <v>1</v>
      </c>
      <c r="M291" s="91"/>
      <c r="O291" s="94"/>
    </row>
    <row r="292" spans="1:15" s="93" customFormat="1" ht="38.25">
      <c r="A292" s="261" t="s">
        <v>8195</v>
      </c>
      <c r="B292" s="262" t="s">
        <v>8199</v>
      </c>
      <c r="C292" s="263" t="s">
        <v>4521</v>
      </c>
      <c r="D292" s="264">
        <v>2</v>
      </c>
      <c r="E292" s="265">
        <v>320.78748094308912</v>
      </c>
      <c r="F292" s="450">
        <f>BDI_O.A.E!$H$22</f>
        <v>0.18201100192553743</v>
      </c>
      <c r="G292" s="266">
        <f>((D292*E292*(1+F292)))</f>
        <v>758.34866350942002</v>
      </c>
      <c r="H292" s="267">
        <f t="shared" si="22"/>
        <v>1.6942159221886806E-5</v>
      </c>
      <c r="I292" s="267">
        <f t="shared" si="25"/>
        <v>0.88260763502983497</v>
      </c>
      <c r="J292" s="90">
        <f t="shared" si="23"/>
        <v>4.420354962348938E-4</v>
      </c>
      <c r="K292" s="242"/>
      <c r="L292" s="91">
        <f t="shared" si="24"/>
        <v>2</v>
      </c>
      <c r="M292" s="91"/>
      <c r="O292" s="94"/>
    </row>
    <row r="293" spans="1:15" s="93" customFormat="1">
      <c r="A293" s="261" t="s">
        <v>6299</v>
      </c>
      <c r="B293" s="262" t="s">
        <v>7564</v>
      </c>
      <c r="C293" s="263" t="s">
        <v>3495</v>
      </c>
      <c r="D293" s="264">
        <v>4.5408870000000006</v>
      </c>
      <c r="E293" s="265">
        <v>128.97999999999999</v>
      </c>
      <c r="F293" s="450">
        <f>BDI_O.A.E!$H$22</f>
        <v>0.18201100192553743</v>
      </c>
      <c r="G293" s="266">
        <f>((D293*E293*(1+F293)))</f>
        <v>692.28446506473358</v>
      </c>
      <c r="H293" s="267">
        <f t="shared" si="22"/>
        <v>1.5466228396431742E-5</v>
      </c>
      <c r="I293" s="267">
        <f t="shared" si="25"/>
        <v>0.8826231012582314</v>
      </c>
      <c r="J293" s="90">
        <f t="shared" si="23"/>
        <v>4.420354962348938E-4</v>
      </c>
      <c r="K293" s="242"/>
      <c r="L293" s="91">
        <f t="shared" si="24"/>
        <v>4.5408870000000006</v>
      </c>
      <c r="M293" s="91"/>
      <c r="O293" s="94"/>
    </row>
    <row r="294" spans="1:15" s="93" customFormat="1" ht="38.25">
      <c r="A294" s="261">
        <v>92874</v>
      </c>
      <c r="B294" s="262" t="s">
        <v>1903</v>
      </c>
      <c r="C294" s="263" t="s">
        <v>26957</v>
      </c>
      <c r="D294" s="264">
        <v>18.899999999999999</v>
      </c>
      <c r="E294" s="265">
        <v>28.77</v>
      </c>
      <c r="F294" s="450">
        <v>0.1832</v>
      </c>
      <c r="G294" s="266">
        <f>((D294*E294*(1+F294)))</f>
        <v>643.36854959999994</v>
      </c>
      <c r="H294" s="267">
        <f t="shared" si="22"/>
        <v>1.4373404912768309E-5</v>
      </c>
      <c r="I294" s="267">
        <f t="shared" si="25"/>
        <v>0.88263747466314413</v>
      </c>
      <c r="J294" s="90">
        <f t="shared" si="23"/>
        <v>4.420354962348938E-4</v>
      </c>
      <c r="K294" s="242"/>
      <c r="L294" s="91">
        <f t="shared" si="24"/>
        <v>18.899999999999999</v>
      </c>
      <c r="M294" s="91"/>
      <c r="O294" s="94"/>
    </row>
    <row r="295" spans="1:15" s="93" customFormat="1" ht="51">
      <c r="A295" s="261">
        <v>94649</v>
      </c>
      <c r="B295" s="262" t="s">
        <v>2506</v>
      </c>
      <c r="C295" s="263" t="s">
        <v>5</v>
      </c>
      <c r="D295" s="264">
        <v>45</v>
      </c>
      <c r="E295" s="265" t="s">
        <v>16328</v>
      </c>
      <c r="F295" s="450">
        <f>BDI_O.A.E!$H$22</f>
        <v>0.18201100192553743</v>
      </c>
      <c r="G295" s="266">
        <f>((D295*E295*(1+F295)))</f>
        <v>618.60545785773002</v>
      </c>
      <c r="H295" s="267">
        <f t="shared" si="22"/>
        <v>1.3820176215585385E-5</v>
      </c>
      <c r="I295" s="267">
        <f t="shared" si="25"/>
        <v>0.88265129483935967</v>
      </c>
      <c r="J295" s="90">
        <f t="shared" si="23"/>
        <v>4.420354962348938E-4</v>
      </c>
      <c r="K295" s="242"/>
      <c r="L295" s="91">
        <f t="shared" si="24"/>
        <v>45</v>
      </c>
      <c r="M295" s="91"/>
      <c r="O295" s="94"/>
    </row>
    <row r="296" spans="1:15" s="93" customFormat="1" ht="51">
      <c r="A296" s="261">
        <v>94651</v>
      </c>
      <c r="B296" s="262" t="s">
        <v>2508</v>
      </c>
      <c r="C296" s="263" t="s">
        <v>5</v>
      </c>
      <c r="D296" s="264">
        <v>29</v>
      </c>
      <c r="E296" s="265" t="s">
        <v>16330</v>
      </c>
      <c r="F296" s="450">
        <f>BDI_O.A.E!$H$22</f>
        <v>0.18201100192553743</v>
      </c>
      <c r="G296" s="266">
        <f>((D296*E296*(1+F296)))</f>
        <v>616.32417662401372</v>
      </c>
      <c r="H296" s="267">
        <f t="shared" si="22"/>
        <v>1.3769210437241868E-5</v>
      </c>
      <c r="I296" s="267">
        <f t="shared" si="25"/>
        <v>0.88266506404979694</v>
      </c>
      <c r="J296" s="90">
        <f t="shared" si="23"/>
        <v>4.420354962348938E-4</v>
      </c>
      <c r="K296" s="242"/>
      <c r="L296" s="91">
        <f t="shared" si="24"/>
        <v>29</v>
      </c>
      <c r="M296" s="91"/>
      <c r="O296" s="94"/>
    </row>
    <row r="297" spans="1:15" s="93" customFormat="1" ht="63.75">
      <c r="A297" s="261">
        <v>90694</v>
      </c>
      <c r="B297" s="262" t="s">
        <v>273</v>
      </c>
      <c r="C297" s="263" t="s">
        <v>5</v>
      </c>
      <c r="D297" s="264">
        <v>25</v>
      </c>
      <c r="E297" s="265" t="s">
        <v>13574</v>
      </c>
      <c r="F297" s="450">
        <f>BDI_O.A.E!$H$22</f>
        <v>0.18201100192553743</v>
      </c>
      <c r="G297" s="266">
        <f>((D297*E297*(1+F297)))</f>
        <v>601.64359998009854</v>
      </c>
      <c r="H297" s="267">
        <f t="shared" si="22"/>
        <v>1.3441233770388767E-5</v>
      </c>
      <c r="I297" s="267">
        <f t="shared" si="25"/>
        <v>0.88267850528356728</v>
      </c>
      <c r="J297" s="90">
        <f t="shared" si="23"/>
        <v>4.420354962348938E-4</v>
      </c>
      <c r="K297" s="242"/>
      <c r="L297" s="91">
        <f t="shared" si="24"/>
        <v>25</v>
      </c>
      <c r="M297" s="91"/>
      <c r="O297" s="94"/>
    </row>
    <row r="298" spans="1:15" s="93" customFormat="1" ht="38.25">
      <c r="A298" s="261" t="s">
        <v>8169</v>
      </c>
      <c r="B298" s="262" t="s">
        <v>8173</v>
      </c>
      <c r="C298" s="263" t="s">
        <v>4521</v>
      </c>
      <c r="D298" s="264">
        <v>2</v>
      </c>
      <c r="E298" s="265">
        <v>248.05357493985017</v>
      </c>
      <c r="F298" s="450">
        <f>BDI_O.A.E!$H$22</f>
        <v>0.18201100192553743</v>
      </c>
      <c r="G298" s="266">
        <f>((D298*E298*(1+F298)))</f>
        <v>586.40410929172731</v>
      </c>
      <c r="H298" s="267">
        <f t="shared" si="22"/>
        <v>1.3100770484664734E-5</v>
      </c>
      <c r="I298" s="267">
        <f t="shared" si="25"/>
        <v>0.88269160605405195</v>
      </c>
      <c r="J298" s="90">
        <f t="shared" si="23"/>
        <v>4.420354962348938E-4</v>
      </c>
      <c r="K298" s="242"/>
      <c r="L298" s="91">
        <f t="shared" si="24"/>
        <v>2</v>
      </c>
      <c r="M298" s="91"/>
      <c r="O298" s="94"/>
    </row>
    <row r="299" spans="1:15" s="93" customFormat="1">
      <c r="A299" s="261" t="s">
        <v>7418</v>
      </c>
      <c r="B299" s="262" t="s">
        <v>13499</v>
      </c>
      <c r="C299" s="263" t="s">
        <v>89</v>
      </c>
      <c r="D299" s="264">
        <v>30</v>
      </c>
      <c r="E299" s="265">
        <v>16.118281828000001</v>
      </c>
      <c r="F299" s="450">
        <f>BDI_O.A.E!$H$22</f>
        <v>0.18201100192553743</v>
      </c>
      <c r="G299" s="266">
        <f>((D299*E299*(1+F299)))</f>
        <v>571.55959358497398</v>
      </c>
      <c r="H299" s="267">
        <f t="shared" si="22"/>
        <v>1.2769131278614375E-5</v>
      </c>
      <c r="I299" s="267">
        <f t="shared" si="25"/>
        <v>0.88270437518533051</v>
      </c>
      <c r="J299" s="90">
        <f t="shared" si="23"/>
        <v>4.420354962348938E-4</v>
      </c>
      <c r="K299" s="242"/>
      <c r="L299" s="91">
        <f t="shared" si="24"/>
        <v>30</v>
      </c>
      <c r="M299" s="91"/>
      <c r="O299" s="94"/>
    </row>
    <row r="300" spans="1:15" s="93" customFormat="1" ht="38.25">
      <c r="A300" s="261" t="s">
        <v>8164</v>
      </c>
      <c r="B300" s="262" t="s">
        <v>8163</v>
      </c>
      <c r="C300" s="263" t="s">
        <v>4521</v>
      </c>
      <c r="D300" s="264">
        <v>2</v>
      </c>
      <c r="E300" s="265">
        <v>241.10761569201858</v>
      </c>
      <c r="F300" s="450">
        <f>BDI_O.A.E!$H$22</f>
        <v>0.18201100192553743</v>
      </c>
      <c r="G300" s="266">
        <f>((D300*E300*(1+F300)))</f>
        <v>569.98370879200058</v>
      </c>
      <c r="H300" s="267">
        <f t="shared" si="22"/>
        <v>1.2733924661443916E-5</v>
      </c>
      <c r="I300" s="267">
        <f t="shared" si="25"/>
        <v>0.8827171091099919</v>
      </c>
      <c r="J300" s="90">
        <f t="shared" si="23"/>
        <v>4.420354962348938E-4</v>
      </c>
      <c r="K300" s="242"/>
      <c r="L300" s="91">
        <f t="shared" si="24"/>
        <v>2</v>
      </c>
      <c r="M300" s="91"/>
      <c r="O300" s="94"/>
    </row>
    <row r="301" spans="1:15" s="93" customFormat="1" ht="38.25">
      <c r="A301" s="261" t="s">
        <v>8122</v>
      </c>
      <c r="B301" s="262" t="s">
        <v>8128</v>
      </c>
      <c r="C301" s="263" t="s">
        <v>4521</v>
      </c>
      <c r="D301" s="264">
        <v>2</v>
      </c>
      <c r="E301" s="265">
        <v>238.24585504186655</v>
      </c>
      <c r="F301" s="450">
        <f>BDI_O.A.E!$H$22</f>
        <v>0.18201100192553743</v>
      </c>
      <c r="G301" s="266">
        <f>((D301*E301*(1+F301)))</f>
        <v>563.21844364528602</v>
      </c>
      <c r="H301" s="267">
        <f t="shared" si="22"/>
        <v>1.2582782838679305E-5</v>
      </c>
      <c r="I301" s="267">
        <f t="shared" si="25"/>
        <v>0.88272969189283057</v>
      </c>
      <c r="J301" s="90">
        <f t="shared" si="23"/>
        <v>4.420354962348938E-4</v>
      </c>
      <c r="K301" s="242"/>
      <c r="L301" s="91">
        <f t="shared" si="24"/>
        <v>2</v>
      </c>
      <c r="M301" s="91"/>
      <c r="O301" s="94"/>
    </row>
    <row r="302" spans="1:15" s="93" customFormat="1" ht="38.25">
      <c r="A302" s="261">
        <v>96977</v>
      </c>
      <c r="B302" s="262" t="s">
        <v>4752</v>
      </c>
      <c r="C302" s="263" t="s">
        <v>5</v>
      </c>
      <c r="D302" s="264">
        <v>18.149999999999999</v>
      </c>
      <c r="E302" s="265" t="s">
        <v>16157</v>
      </c>
      <c r="F302" s="450">
        <f>BDI_O.A.E!$H$22</f>
        <v>0.18201100192553743</v>
      </c>
      <c r="G302" s="266">
        <f>((D302*E302*(1+F302)))</f>
        <v>557.57645681181157</v>
      </c>
      <c r="H302" s="267">
        <f t="shared" si="22"/>
        <v>1.2456736016340144E-5</v>
      </c>
      <c r="I302" s="267">
        <f t="shared" si="25"/>
        <v>0.88274214862884692</v>
      </c>
      <c r="J302" s="90">
        <f t="shared" si="23"/>
        <v>4.420354962348938E-4</v>
      </c>
      <c r="K302" s="242"/>
      <c r="L302" s="91">
        <f t="shared" si="24"/>
        <v>18.149999999999999</v>
      </c>
      <c r="M302" s="91"/>
      <c r="O302" s="94"/>
    </row>
    <row r="303" spans="1:15" s="93" customFormat="1" ht="38.25">
      <c r="A303" s="261">
        <v>92986</v>
      </c>
      <c r="B303" s="262" t="s">
        <v>102</v>
      </c>
      <c r="C303" s="263" t="s">
        <v>5</v>
      </c>
      <c r="D303" s="264">
        <v>18.700000000000003</v>
      </c>
      <c r="E303" s="265" t="s">
        <v>15822</v>
      </c>
      <c r="F303" s="450">
        <f>BDI_O.A.E!$H$22</f>
        <v>0.18201100192553743</v>
      </c>
      <c r="G303" s="266">
        <f>((D303*E303*(1+F303)))</f>
        <v>555.24257608850974</v>
      </c>
      <c r="H303" s="267">
        <f t="shared" si="22"/>
        <v>1.2404595120309434E-5</v>
      </c>
      <c r="I303" s="267">
        <f t="shared" si="25"/>
        <v>0.88275455322396723</v>
      </c>
      <c r="J303" s="90">
        <f t="shared" si="23"/>
        <v>4.420354962348938E-4</v>
      </c>
      <c r="K303" s="242"/>
      <c r="L303" s="91">
        <f t="shared" si="24"/>
        <v>18.700000000000003</v>
      </c>
      <c r="M303" s="91"/>
      <c r="O303" s="94"/>
    </row>
    <row r="304" spans="1:15" s="93" customFormat="1" ht="63.75">
      <c r="A304" s="261" t="s">
        <v>2196</v>
      </c>
      <c r="B304" s="262" t="s">
        <v>2197</v>
      </c>
      <c r="C304" s="263" t="s">
        <v>90</v>
      </c>
      <c r="D304" s="264">
        <v>1</v>
      </c>
      <c r="E304" s="265" t="s">
        <v>15906</v>
      </c>
      <c r="F304" s="450">
        <f>BDI_O.A.E!$H$22</f>
        <v>0.18201100192553743</v>
      </c>
      <c r="G304" s="266">
        <f>((D304*E304*(1+F304)))</f>
        <v>552.44830207995767</v>
      </c>
      <c r="H304" s="267">
        <f t="shared" si="22"/>
        <v>1.2342168643623383E-5</v>
      </c>
      <c r="I304" s="267">
        <f t="shared" si="25"/>
        <v>0.88276689539261088</v>
      </c>
      <c r="J304" s="90">
        <f t="shared" si="23"/>
        <v>4.420354962348938E-4</v>
      </c>
      <c r="K304" s="242"/>
      <c r="L304" s="91">
        <f t="shared" si="24"/>
        <v>1</v>
      </c>
      <c r="M304" s="91"/>
      <c r="O304" s="94"/>
    </row>
    <row r="305" spans="1:15" s="93" customFormat="1" ht="38.25">
      <c r="A305" s="261">
        <v>5213441</v>
      </c>
      <c r="B305" s="262" t="s">
        <v>7782</v>
      </c>
      <c r="C305" s="263" t="s">
        <v>90</v>
      </c>
      <c r="D305" s="264">
        <v>2</v>
      </c>
      <c r="E305" s="265">
        <v>232.76881662170868</v>
      </c>
      <c r="F305" s="450">
        <f>BDI_O.A.E!$H$22</f>
        <v>0.18201100192553743</v>
      </c>
      <c r="G305" s="266">
        <f>((D305*E305*(1+F305)))</f>
        <v>550.27060430409517</v>
      </c>
      <c r="H305" s="267">
        <f t="shared" si="22"/>
        <v>1.2293517008523147E-5</v>
      </c>
      <c r="I305" s="267">
        <f t="shared" si="25"/>
        <v>0.88277918890961937</v>
      </c>
      <c r="J305" s="90">
        <f t="shared" si="23"/>
        <v>4.420354962348938E-4</v>
      </c>
      <c r="K305" s="242"/>
      <c r="L305" s="91">
        <f t="shared" si="24"/>
        <v>2</v>
      </c>
      <c r="M305" s="91"/>
      <c r="O305" s="94"/>
    </row>
    <row r="306" spans="1:15" s="93" customFormat="1" ht="38.25">
      <c r="A306" s="261" t="s">
        <v>13410</v>
      </c>
      <c r="B306" s="262" t="s">
        <v>13413</v>
      </c>
      <c r="C306" s="263" t="s">
        <v>4521</v>
      </c>
      <c r="D306" s="264">
        <v>2</v>
      </c>
      <c r="E306" s="265">
        <v>218.58903955794625</v>
      </c>
      <c r="F306" s="450">
        <f>BDI_O.A.E!$H$22</f>
        <v>0.18201100192553743</v>
      </c>
      <c r="G306" s="266">
        <f>((D306*E306*(1+F306)))</f>
        <v>516.74929931565794</v>
      </c>
      <c r="H306" s="267">
        <f t="shared" si="22"/>
        <v>1.1544622319619305E-5</v>
      </c>
      <c r="I306" s="267">
        <f t="shared" si="25"/>
        <v>0.88279073353193904</v>
      </c>
      <c r="J306" s="90">
        <f t="shared" si="23"/>
        <v>4.420354962348938E-4</v>
      </c>
      <c r="K306" s="242"/>
      <c r="L306" s="91">
        <f t="shared" si="24"/>
        <v>2</v>
      </c>
      <c r="M306" s="91"/>
      <c r="O306" s="94"/>
    </row>
    <row r="307" spans="1:15" s="93" customFormat="1" ht="38.25">
      <c r="A307" s="261">
        <v>5213450</v>
      </c>
      <c r="B307" s="262" t="s">
        <v>7783</v>
      </c>
      <c r="C307" s="263" t="s">
        <v>90</v>
      </c>
      <c r="D307" s="264">
        <v>2</v>
      </c>
      <c r="E307" s="265">
        <v>205.3508393240497</v>
      </c>
      <c r="F307" s="450">
        <f>BDI_O.A.E!$H$22</f>
        <v>0.18201100192553743</v>
      </c>
      <c r="G307" s="266">
        <f>((D307*E307*(1+F307)))</f>
        <v>485.45390267134007</v>
      </c>
      <c r="H307" s="267">
        <f t="shared" si="22"/>
        <v>1.0845456331238091E-5</v>
      </c>
      <c r="I307" s="267">
        <f t="shared" si="25"/>
        <v>0.88280157898827027</v>
      </c>
      <c r="J307" s="90">
        <f t="shared" si="23"/>
        <v>4.420354962348938E-4</v>
      </c>
      <c r="K307" s="242"/>
      <c r="L307" s="91">
        <f t="shared" si="24"/>
        <v>2</v>
      </c>
      <c r="M307" s="91"/>
      <c r="O307" s="94"/>
    </row>
    <row r="308" spans="1:15" s="93" customFormat="1" ht="25.5">
      <c r="A308" s="261">
        <v>41721</v>
      </c>
      <c r="B308" s="262" t="s">
        <v>26975</v>
      </c>
      <c r="C308" s="263" t="s">
        <v>26957</v>
      </c>
      <c r="D308" s="264">
        <v>117.63</v>
      </c>
      <c r="E308" s="265">
        <v>3.2429999999999999</v>
      </c>
      <c r="F308" s="450">
        <v>0.1832</v>
      </c>
      <c r="G308" s="266">
        <f>((D308*E308*(1+F308)))</f>
        <v>451.36014328800002</v>
      </c>
      <c r="H308" s="267">
        <f t="shared" si="22"/>
        <v>1.0083772520427144E-5</v>
      </c>
      <c r="I308" s="267">
        <f t="shared" si="25"/>
        <v>0.88281166276079071</v>
      </c>
      <c r="J308" s="90">
        <f t="shared" si="23"/>
        <v>4.420354962348938E-4</v>
      </c>
      <c r="K308" s="242"/>
      <c r="L308" s="91">
        <f t="shared" si="24"/>
        <v>117.63</v>
      </c>
      <c r="M308" s="91"/>
      <c r="O308" s="94"/>
    </row>
    <row r="309" spans="1:15" s="93" customFormat="1" ht="25.5">
      <c r="A309" s="261">
        <v>5213835</v>
      </c>
      <c r="B309" s="262" t="s">
        <v>6656</v>
      </c>
      <c r="C309" s="263" t="s">
        <v>90</v>
      </c>
      <c r="D309" s="264">
        <v>30</v>
      </c>
      <c r="E309" s="265">
        <v>12.343777532475885</v>
      </c>
      <c r="F309" s="450">
        <f>BDI_O.A.E!$H$22</f>
        <v>0.18201100192553743</v>
      </c>
      <c r="G309" s="266">
        <f>((D309*E309*(1+F309)))</f>
        <v>437.71442546123279</v>
      </c>
      <c r="H309" s="267">
        <f t="shared" si="22"/>
        <v>9.778915486660962E-6</v>
      </c>
      <c r="I309" s="267">
        <f t="shared" si="25"/>
        <v>0.88282144167627741</v>
      </c>
      <c r="J309" s="90">
        <f t="shared" si="23"/>
        <v>4.420354962348938E-4</v>
      </c>
      <c r="K309" s="242"/>
      <c r="L309" s="91">
        <f t="shared" si="24"/>
        <v>30</v>
      </c>
      <c r="M309" s="91"/>
      <c r="O309" s="94"/>
    </row>
    <row r="310" spans="1:15" s="93" customFormat="1" ht="51">
      <c r="A310" s="261">
        <v>94648</v>
      </c>
      <c r="B310" s="262" t="s">
        <v>2505</v>
      </c>
      <c r="C310" s="263" t="s">
        <v>5</v>
      </c>
      <c r="D310" s="264">
        <v>45</v>
      </c>
      <c r="E310" s="265" t="s">
        <v>16327</v>
      </c>
      <c r="F310" s="450">
        <f>BDI_O.A.E!$H$22</f>
        <v>0.18201100192553743</v>
      </c>
      <c r="G310" s="266">
        <f>((D310*E310*(1+F310)))</f>
        <v>428.71539039839246</v>
      </c>
      <c r="H310" s="267">
        <f t="shared" si="22"/>
        <v>9.577869329115926E-6</v>
      </c>
      <c r="I310" s="267">
        <f t="shared" si="25"/>
        <v>0.8828310195456065</v>
      </c>
      <c r="J310" s="90">
        <f t="shared" si="23"/>
        <v>4.420354962348938E-4</v>
      </c>
      <c r="K310" s="242"/>
      <c r="L310" s="91">
        <f t="shared" si="24"/>
        <v>45</v>
      </c>
      <c r="M310" s="91"/>
      <c r="O310" s="94"/>
    </row>
    <row r="311" spans="1:15" s="93" customFormat="1" ht="63.75">
      <c r="A311" s="261" t="s">
        <v>13218</v>
      </c>
      <c r="B311" s="262" t="s">
        <v>13463</v>
      </c>
      <c r="C311" s="263" t="s">
        <v>4521</v>
      </c>
      <c r="D311" s="264">
        <v>1</v>
      </c>
      <c r="E311" s="265">
        <v>357</v>
      </c>
      <c r="F311" s="450">
        <f>BDI_O.A.E!$H$22</f>
        <v>0.18201100192553743</v>
      </c>
      <c r="G311" s="266">
        <f>((D311*E311*(1+F311)))</f>
        <v>421.97792768741687</v>
      </c>
      <c r="H311" s="267">
        <f t="shared" si="22"/>
        <v>9.4273486365988008E-6</v>
      </c>
      <c r="I311" s="267">
        <f t="shared" si="25"/>
        <v>0.88284044689424312</v>
      </c>
      <c r="J311" s="90">
        <f t="shared" si="23"/>
        <v>4.420354962348938E-4</v>
      </c>
      <c r="K311" s="242"/>
      <c r="L311" s="91">
        <f t="shared" si="24"/>
        <v>1</v>
      </c>
      <c r="M311" s="91"/>
      <c r="O311" s="94"/>
    </row>
    <row r="312" spans="1:15" s="93" customFormat="1" ht="25.5">
      <c r="A312" s="261">
        <v>41722</v>
      </c>
      <c r="B312" s="262" t="s">
        <v>26976</v>
      </c>
      <c r="C312" s="263" t="s">
        <v>26957</v>
      </c>
      <c r="D312" s="264">
        <v>76.98</v>
      </c>
      <c r="E312" s="265">
        <v>4.6069000000000004</v>
      </c>
      <c r="F312" s="450">
        <v>0.1832</v>
      </c>
      <c r="G312" s="266">
        <f>((D312*E312*(1+F312)))</f>
        <v>419.60905647840008</v>
      </c>
      <c r="H312" s="267">
        <f t="shared" si="22"/>
        <v>9.3744260231223315E-6</v>
      </c>
      <c r="I312" s="267">
        <f t="shared" si="25"/>
        <v>0.88284982132026624</v>
      </c>
      <c r="J312" s="90">
        <f t="shared" si="23"/>
        <v>4.420354962348938E-4</v>
      </c>
      <c r="K312" s="242"/>
      <c r="L312" s="91">
        <f t="shared" si="24"/>
        <v>76.98</v>
      </c>
      <c r="M312" s="91"/>
      <c r="O312" s="94"/>
    </row>
    <row r="313" spans="1:15" s="93" customFormat="1" ht="38.25">
      <c r="A313" s="261">
        <v>83336</v>
      </c>
      <c r="B313" s="262" t="s">
        <v>3384</v>
      </c>
      <c r="C313" s="263" t="s">
        <v>26957</v>
      </c>
      <c r="D313" s="264">
        <v>89.71</v>
      </c>
      <c r="E313" s="265">
        <v>3.95</v>
      </c>
      <c r="F313" s="450">
        <v>0.1832</v>
      </c>
      <c r="G313" s="266">
        <f>((D313*E313*(1+F313)))</f>
        <v>419.27224439999998</v>
      </c>
      <c r="H313" s="267">
        <f t="shared" si="22"/>
        <v>9.3669013525655172E-6</v>
      </c>
      <c r="I313" s="267">
        <f t="shared" si="25"/>
        <v>0.8828591882216188</v>
      </c>
      <c r="J313" s="90">
        <f t="shared" si="23"/>
        <v>4.420354962348938E-4</v>
      </c>
      <c r="K313" s="242"/>
      <c r="L313" s="91">
        <f t="shared" si="24"/>
        <v>89.71</v>
      </c>
      <c r="M313" s="91"/>
      <c r="O313" s="94"/>
    </row>
    <row r="314" spans="1:15" s="93" customFormat="1" ht="25.5">
      <c r="A314" s="261">
        <v>96985</v>
      </c>
      <c r="B314" s="262" t="s">
        <v>4757</v>
      </c>
      <c r="C314" s="263" t="s">
        <v>90</v>
      </c>
      <c r="D314" s="264">
        <v>6</v>
      </c>
      <c r="E314" s="265" t="s">
        <v>16161</v>
      </c>
      <c r="F314" s="450">
        <f>BDI_O.A.E!$H$22</f>
        <v>0.18201100192553743</v>
      </c>
      <c r="G314" s="266">
        <f>((D314*E314*(1+F314)))</f>
        <v>403.04211143656977</v>
      </c>
      <c r="H314" s="267">
        <f t="shared" si="22"/>
        <v>9.0043062692085693E-6</v>
      </c>
      <c r="I314" s="267">
        <f t="shared" si="25"/>
        <v>0.88286819252788795</v>
      </c>
      <c r="J314" s="90">
        <f t="shared" si="23"/>
        <v>4.420354962348938E-4</v>
      </c>
      <c r="K314" s="242"/>
      <c r="L314" s="91">
        <f t="shared" si="24"/>
        <v>6</v>
      </c>
      <c r="M314" s="91"/>
      <c r="O314" s="94"/>
    </row>
    <row r="315" spans="1:15" s="93" customFormat="1" ht="25.5">
      <c r="A315" s="261" t="s">
        <v>13472</v>
      </c>
      <c r="B315" s="262" t="s">
        <v>13473</v>
      </c>
      <c r="C315" s="263" t="s">
        <v>172</v>
      </c>
      <c r="D315" s="264">
        <v>0.126</v>
      </c>
      <c r="E315" s="265">
        <v>2661.3112410715453</v>
      </c>
      <c r="F315" s="450">
        <f>BDI_O.A.E!$H$22</f>
        <v>0.18201100192553743</v>
      </c>
      <c r="G315" s="266">
        <f>((D315*E315*(1+F315)))</f>
        <v>396.35809497832872</v>
      </c>
      <c r="H315" s="267">
        <f t="shared" si="22"/>
        <v>8.8549796117932563E-6</v>
      </c>
      <c r="I315" s="267">
        <f t="shared" si="25"/>
        <v>0.88287704750749973</v>
      </c>
      <c r="J315" s="90">
        <f t="shared" si="23"/>
        <v>4.420354962348938E-4</v>
      </c>
      <c r="K315" s="242"/>
      <c r="L315" s="91">
        <f t="shared" si="24"/>
        <v>0.126</v>
      </c>
      <c r="M315" s="91"/>
      <c r="O315" s="94"/>
    </row>
    <row r="316" spans="1:15" s="93" customFormat="1" ht="63.75">
      <c r="A316" s="261">
        <v>94492</v>
      </c>
      <c r="B316" s="262" t="s">
        <v>3208</v>
      </c>
      <c r="C316" s="263" t="s">
        <v>90</v>
      </c>
      <c r="D316" s="264">
        <v>4</v>
      </c>
      <c r="E316" s="265" t="s">
        <v>17457</v>
      </c>
      <c r="F316" s="450">
        <f>BDI_O.A.E!$H$22</f>
        <v>0.18201100192553743</v>
      </c>
      <c r="G316" s="266">
        <f>((D316*E316*(1+F316)))</f>
        <v>352.9957656150425</v>
      </c>
      <c r="H316" s="267">
        <f t="shared" si="22"/>
        <v>7.8862280023357585E-6</v>
      </c>
      <c r="I316" s="267">
        <f t="shared" si="25"/>
        <v>0.88288493373550203</v>
      </c>
      <c r="J316" s="90">
        <f t="shared" si="23"/>
        <v>4.420354962348938E-4</v>
      </c>
      <c r="K316" s="242"/>
      <c r="L316" s="91">
        <f t="shared" si="24"/>
        <v>4</v>
      </c>
      <c r="M316" s="91"/>
      <c r="O316" s="94"/>
    </row>
    <row r="317" spans="1:15" s="93" customFormat="1" ht="51">
      <c r="A317" s="261">
        <v>5915459</v>
      </c>
      <c r="B317" s="262" t="s">
        <v>7744</v>
      </c>
      <c r="C317" s="263" t="s">
        <v>3495</v>
      </c>
      <c r="D317" s="264">
        <v>93.522000000000006</v>
      </c>
      <c r="E317" s="265">
        <v>3.1350291994750652</v>
      </c>
      <c r="F317" s="450">
        <f>BDI_O.A.E!$H$22</f>
        <v>0.18201100192553743</v>
      </c>
      <c r="G317" s="266">
        <f>((D317*E317*(1+F317)))</f>
        <v>346.5587710384541</v>
      </c>
      <c r="H317" s="267">
        <f>G317/$G$366</f>
        <v>7.7424200255110894E-6</v>
      </c>
      <c r="I317" s="267">
        <f t="shared" si="25"/>
        <v>0.88289267615552758</v>
      </c>
      <c r="J317" s="90">
        <f t="shared" si="23"/>
        <v>4.420354962348938E-4</v>
      </c>
      <c r="K317" s="242"/>
      <c r="L317" s="91">
        <f t="shared" si="24"/>
        <v>93.522000000000006</v>
      </c>
      <c r="M317" s="91"/>
      <c r="O317" s="94"/>
    </row>
    <row r="318" spans="1:15" s="93" customFormat="1" ht="63.75">
      <c r="A318" s="261" t="s">
        <v>26955</v>
      </c>
      <c r="B318" s="262" t="s">
        <v>26956</v>
      </c>
      <c r="C318" s="263" t="s">
        <v>26957</v>
      </c>
      <c r="D318" s="264">
        <v>194.61</v>
      </c>
      <c r="E318" s="265">
        <v>1.44</v>
      </c>
      <c r="F318" s="450">
        <v>0.1832</v>
      </c>
      <c r="G318" s="266">
        <f>((D318*E318*(1+F318)))</f>
        <v>331.57807488000003</v>
      </c>
      <c r="H318" s="267">
        <f>G318/$G$366</f>
        <v>7.4077384314317924E-6</v>
      </c>
      <c r="I318" s="267">
        <f t="shared" si="25"/>
        <v>0.88290008389395902</v>
      </c>
      <c r="J318" s="90">
        <f t="shared" si="23"/>
        <v>4.420354962348938E-4</v>
      </c>
      <c r="K318" s="242"/>
      <c r="L318" s="91">
        <f t="shared" si="24"/>
        <v>194.61</v>
      </c>
      <c r="M318" s="91"/>
      <c r="O318" s="94"/>
    </row>
    <row r="319" spans="1:15" s="93" customFormat="1" ht="25.5">
      <c r="A319" s="261">
        <v>97669</v>
      </c>
      <c r="B319" s="262" t="s">
        <v>5587</v>
      </c>
      <c r="C319" s="263" t="s">
        <v>5</v>
      </c>
      <c r="D319" s="264">
        <v>17</v>
      </c>
      <c r="E319" s="265" t="s">
        <v>15761</v>
      </c>
      <c r="F319" s="450">
        <f>BDI_O.A.E!$H$22</f>
        <v>0.18201100192553743</v>
      </c>
      <c r="G319" s="266">
        <f>((D319*E319*(1+F319)))</f>
        <v>319.09569007981816</v>
      </c>
      <c r="H319" s="267">
        <f>G319/$G$366</f>
        <v>7.1288712547232854E-6</v>
      </c>
      <c r="I319" s="267">
        <f t="shared" si="25"/>
        <v>0.88290721276521378</v>
      </c>
      <c r="J319" s="90">
        <f t="shared" si="23"/>
        <v>4.420354962348938E-4</v>
      </c>
      <c r="K319" s="242"/>
      <c r="L319" s="91">
        <f t="shared" si="24"/>
        <v>17</v>
      </c>
      <c r="M319" s="91"/>
      <c r="O319" s="94"/>
    </row>
    <row r="320" spans="1:15" s="93" customFormat="1">
      <c r="A320" s="261" t="s">
        <v>26985</v>
      </c>
      <c r="B320" s="262" t="s">
        <v>4267</v>
      </c>
      <c r="C320" s="263" t="s">
        <v>26986</v>
      </c>
      <c r="D320" s="264">
        <v>100</v>
      </c>
      <c r="E320" s="265">
        <v>2.69</v>
      </c>
      <c r="F320" s="450">
        <v>0.1832</v>
      </c>
      <c r="G320" s="266">
        <f>((D320*E320*(1+F320)))</f>
        <v>318.2808</v>
      </c>
      <c r="H320" s="267">
        <f>G320/$G$366</f>
        <v>7.1106659117920733E-6</v>
      </c>
      <c r="I320" s="267">
        <f t="shared" si="25"/>
        <v>0.88291432343112553</v>
      </c>
      <c r="J320" s="90">
        <f t="shared" si="23"/>
        <v>4.420354962348938E-4</v>
      </c>
      <c r="K320" s="242"/>
      <c r="L320" s="91">
        <f t="shared" si="24"/>
        <v>100</v>
      </c>
      <c r="M320" s="91"/>
      <c r="O320" s="94"/>
    </row>
    <row r="321" spans="1:15" s="93" customFormat="1" ht="76.5">
      <c r="A321" s="261">
        <v>94273</v>
      </c>
      <c r="B321" s="262" t="s">
        <v>1489</v>
      </c>
      <c r="C321" s="263" t="s">
        <v>26966</v>
      </c>
      <c r="D321" s="264">
        <v>7</v>
      </c>
      <c r="E321" s="265">
        <v>35.08</v>
      </c>
      <c r="F321" s="450">
        <v>0.1832</v>
      </c>
      <c r="G321" s="266">
        <f>((D321*E321*(1+F321)))</f>
        <v>290.54659200000003</v>
      </c>
      <c r="H321" s="267">
        <f>G321/$G$366</f>
        <v>6.491059930482014E-6</v>
      </c>
      <c r="I321" s="267">
        <f t="shared" si="25"/>
        <v>0.88292081449105597</v>
      </c>
      <c r="J321" s="90">
        <f t="shared" si="23"/>
        <v>4.420354962348938E-4</v>
      </c>
      <c r="K321" s="242"/>
      <c r="L321" s="91">
        <f t="shared" si="24"/>
        <v>7</v>
      </c>
      <c r="M321" s="91"/>
      <c r="O321" s="94"/>
    </row>
    <row r="322" spans="1:15" s="93" customFormat="1">
      <c r="A322" s="261" t="s">
        <v>26980</v>
      </c>
      <c r="B322" s="262" t="s">
        <v>26981</v>
      </c>
      <c r="C322" s="263" t="s">
        <v>26979</v>
      </c>
      <c r="D322" s="264">
        <v>1</v>
      </c>
      <c r="E322" s="265">
        <v>220.03</v>
      </c>
      <c r="F322" s="450">
        <v>0.1832</v>
      </c>
      <c r="G322" s="266">
        <f>((D322*E322*(1+F322)))</f>
        <v>260.339496</v>
      </c>
      <c r="H322" s="267">
        <f t="shared" si="16"/>
        <v>5.8162075114186242E-6</v>
      </c>
      <c r="I322" s="267">
        <f t="shared" si="25"/>
        <v>0.88292663069856736</v>
      </c>
      <c r="J322" s="90">
        <f t="shared" si="23"/>
        <v>4.420354962348938E-4</v>
      </c>
      <c r="K322" s="242"/>
      <c r="L322" s="91">
        <f t="shared" si="24"/>
        <v>1</v>
      </c>
      <c r="M322" s="91"/>
      <c r="O322" s="94"/>
    </row>
    <row r="323" spans="1:15" s="93" customFormat="1" ht="63.75">
      <c r="A323" s="261">
        <v>94490</v>
      </c>
      <c r="B323" s="262" t="s">
        <v>3206</v>
      </c>
      <c r="C323" s="263" t="s">
        <v>90</v>
      </c>
      <c r="D323" s="264">
        <v>4</v>
      </c>
      <c r="E323" s="265" t="s">
        <v>17455</v>
      </c>
      <c r="F323" s="450">
        <f>BDI_O.A.E!$H$22</f>
        <v>0.18201100192553743</v>
      </c>
      <c r="G323" s="266">
        <f>((D323*E323*(1+F323)))</f>
        <v>251.86290429029353</v>
      </c>
      <c r="H323" s="267">
        <f t="shared" si="16"/>
        <v>5.6268331862366178E-6</v>
      </c>
      <c r="I323" s="267">
        <f t="shared" si="25"/>
        <v>0.88293225753175364</v>
      </c>
      <c r="J323" s="90">
        <f t="shared" si="23"/>
        <v>4.420354962348938E-4</v>
      </c>
      <c r="K323" s="242"/>
      <c r="L323" s="91">
        <f t="shared" si="24"/>
        <v>4</v>
      </c>
      <c r="M323" s="91"/>
      <c r="O323" s="94"/>
    </row>
    <row r="324" spans="1:15" s="93" customFormat="1" ht="38.25">
      <c r="A324" s="261">
        <v>72947</v>
      </c>
      <c r="B324" s="262" t="s">
        <v>203</v>
      </c>
      <c r="C324" s="263" t="s">
        <v>26970</v>
      </c>
      <c r="D324" s="264">
        <v>14</v>
      </c>
      <c r="E324" s="265">
        <v>15.16</v>
      </c>
      <c r="F324" s="450">
        <v>0.1832</v>
      </c>
      <c r="G324" s="266">
        <f>((D324*E324*(1+F324)))</f>
        <v>251.12236800000002</v>
      </c>
      <c r="H324" s="267">
        <f t="shared" si="16"/>
        <v>5.6102889707016727E-6</v>
      </c>
      <c r="I324" s="267">
        <f t="shared" si="25"/>
        <v>0.88293786782072436</v>
      </c>
      <c r="J324" s="90">
        <f t="shared" si="23"/>
        <v>4.420354962348938E-4</v>
      </c>
      <c r="K324" s="242"/>
      <c r="L324" s="91">
        <f t="shared" si="24"/>
        <v>14</v>
      </c>
      <c r="M324" s="91"/>
      <c r="O324" s="94"/>
    </row>
    <row r="325" spans="1:15" s="93" customFormat="1" ht="38.25">
      <c r="A325" s="261">
        <v>5213380</v>
      </c>
      <c r="B325" s="262" t="s">
        <v>6659</v>
      </c>
      <c r="C325" s="263" t="s">
        <v>90</v>
      </c>
      <c r="D325" s="264">
        <v>58</v>
      </c>
      <c r="E325" s="265">
        <v>3.638328912861736</v>
      </c>
      <c r="F325" s="450">
        <f>BDI_O.A.E!$H$22</f>
        <v>0.18201100192553743</v>
      </c>
      <c r="G325" s="266">
        <f>((D325*E325*(1+F325)))</f>
        <v>249.43159861032839</v>
      </c>
      <c r="H325" s="267">
        <f t="shared" si="16"/>
        <v>5.5725157331584729E-6</v>
      </c>
      <c r="I325" s="267">
        <f t="shared" si="25"/>
        <v>0.88294344033645755</v>
      </c>
      <c r="J325" s="90">
        <f t="shared" si="23"/>
        <v>4.420354962348938E-4</v>
      </c>
      <c r="K325" s="242"/>
      <c r="L325" s="91">
        <f t="shared" si="24"/>
        <v>58</v>
      </c>
      <c r="M325" s="91"/>
      <c r="O325" s="94"/>
    </row>
    <row r="326" spans="1:15" s="93" customFormat="1">
      <c r="A326" s="261" t="s">
        <v>8392</v>
      </c>
      <c r="B326" s="262" t="s">
        <v>8393</v>
      </c>
      <c r="C326" s="263" t="s">
        <v>10</v>
      </c>
      <c r="D326" s="264">
        <v>1</v>
      </c>
      <c r="E326" s="265">
        <v>233.94</v>
      </c>
      <c r="F326" s="450">
        <v>0</v>
      </c>
      <c r="G326" s="266">
        <f>((D326*E326*(1+F326)))</f>
        <v>233.94</v>
      </c>
      <c r="H326" s="267">
        <f t="shared" si="16"/>
        <v>5.2264201403434882E-6</v>
      </c>
      <c r="I326" s="267">
        <f t="shared" si="25"/>
        <v>0.88294866675659789</v>
      </c>
      <c r="J326" s="90">
        <f t="shared" si="23"/>
        <v>4.420354962348938E-4</v>
      </c>
      <c r="K326" s="242"/>
      <c r="L326" s="91">
        <f t="shared" si="24"/>
        <v>1</v>
      </c>
      <c r="M326" s="91"/>
      <c r="O326" s="94"/>
    </row>
    <row r="327" spans="1:15" s="93" customFormat="1">
      <c r="A327" s="261" t="s">
        <v>13477</v>
      </c>
      <c r="B327" s="262" t="s">
        <v>13467</v>
      </c>
      <c r="C327" s="263" t="s">
        <v>150</v>
      </c>
      <c r="D327" s="264">
        <v>12.6</v>
      </c>
      <c r="E327" s="265">
        <v>15.464981785714286</v>
      </c>
      <c r="F327" s="450">
        <f>BDI_O.A.E!$H$22</f>
        <v>0.18201100192553743</v>
      </c>
      <c r="G327" s="266">
        <f>((D327*E327*(1+F327)))</f>
        <v>230.32521055268336</v>
      </c>
      <c r="H327" s="267">
        <f t="shared" si="16"/>
        <v>5.1456626453851362E-6</v>
      </c>
      <c r="I327" s="267">
        <f t="shared" si="25"/>
        <v>0.88295381241924331</v>
      </c>
      <c r="J327" s="90">
        <f t="shared" si="23"/>
        <v>4.420354962348938E-4</v>
      </c>
      <c r="K327" s="242"/>
      <c r="L327" s="91">
        <f t="shared" si="24"/>
        <v>12.6</v>
      </c>
      <c r="M327" s="91"/>
      <c r="O327" s="94"/>
    </row>
    <row r="328" spans="1:15" s="93" customFormat="1" ht="38.25">
      <c r="A328" s="261">
        <v>72844</v>
      </c>
      <c r="B328" s="262" t="s">
        <v>3494</v>
      </c>
      <c r="C328" s="263" t="s">
        <v>26965</v>
      </c>
      <c r="D328" s="264">
        <v>332.58100000000002</v>
      </c>
      <c r="E328" s="265">
        <v>0.56999999999999995</v>
      </c>
      <c r="F328" s="450">
        <v>0.1832</v>
      </c>
      <c r="G328" s="266">
        <f>((D328*E328*(1+F328)))</f>
        <v>224.30060834400001</v>
      </c>
      <c r="H328" s="267">
        <f t="shared" ref="H328:H364" si="26">G328/$G$366</f>
        <v>5.011067867574499E-6</v>
      </c>
      <c r="I328" s="267">
        <f t="shared" si="25"/>
        <v>0.88295882348711086</v>
      </c>
      <c r="J328" s="90">
        <f t="shared" si="23"/>
        <v>4.420354962348938E-4</v>
      </c>
      <c r="K328" s="242"/>
      <c r="L328" s="91">
        <f t="shared" si="24"/>
        <v>332.58100000000002</v>
      </c>
      <c r="M328" s="91"/>
      <c r="O328" s="94"/>
    </row>
    <row r="329" spans="1:15" s="93" customFormat="1" ht="25.5">
      <c r="A329" s="261">
        <v>5213383</v>
      </c>
      <c r="B329" s="262" t="s">
        <v>6657</v>
      </c>
      <c r="C329" s="263" t="s">
        <v>90</v>
      </c>
      <c r="D329" s="264">
        <v>86</v>
      </c>
      <c r="E329" s="265">
        <v>2.0825569128617363</v>
      </c>
      <c r="F329" s="450">
        <f>BDI_O.A.E!$H$22</f>
        <v>0.18201100192553743</v>
      </c>
      <c r="G329" s="266">
        <f>((D329*E329*(1+F329)))</f>
        <v>211.69804574992432</v>
      </c>
      <c r="H329" s="267">
        <f t="shared" si="26"/>
        <v>4.7295158159304162E-6</v>
      </c>
      <c r="I329" s="267">
        <f t="shared" si="25"/>
        <v>0.88296355300292684</v>
      </c>
      <c r="J329" s="90">
        <f t="shared" si="23"/>
        <v>4.420354962348938E-4</v>
      </c>
      <c r="K329" s="242"/>
      <c r="L329" s="91">
        <f t="shared" si="24"/>
        <v>86</v>
      </c>
      <c r="M329" s="91"/>
      <c r="O329" s="94"/>
    </row>
    <row r="330" spans="1:15" s="93" customFormat="1">
      <c r="A330" s="261" t="s">
        <v>26982</v>
      </c>
      <c r="B330" s="262" t="s">
        <v>26983</v>
      </c>
      <c r="C330" s="263" t="s">
        <v>26979</v>
      </c>
      <c r="D330" s="264">
        <v>2</v>
      </c>
      <c r="E330" s="265">
        <v>86.34</v>
      </c>
      <c r="F330" s="450">
        <v>0.1832</v>
      </c>
      <c r="G330" s="266">
        <f>((D330*E330*(1+F330)))</f>
        <v>204.314976</v>
      </c>
      <c r="H330" s="267">
        <f t="shared" si="26"/>
        <v>4.5645717087295738E-6</v>
      </c>
      <c r="I330" s="267">
        <f t="shared" si="25"/>
        <v>0.88296811757463556</v>
      </c>
      <c r="J330" s="90">
        <f t="shared" si="23"/>
        <v>4.420354962348938E-4</v>
      </c>
      <c r="K330" s="242"/>
      <c r="L330" s="91">
        <f t="shared" si="24"/>
        <v>2</v>
      </c>
      <c r="M330" s="91"/>
      <c r="O330" s="94"/>
    </row>
    <row r="331" spans="1:15" s="93" customFormat="1">
      <c r="A331" s="261" t="s">
        <v>13478</v>
      </c>
      <c r="B331" s="262" t="s">
        <v>8442</v>
      </c>
      <c r="C331" s="263" t="s">
        <v>5</v>
      </c>
      <c r="D331" s="264">
        <v>36</v>
      </c>
      <c r="E331" s="265">
        <v>4.7363597734340299</v>
      </c>
      <c r="F331" s="450">
        <f>BDI_O.A.E!$H$22</f>
        <v>0.18201100192553743</v>
      </c>
      <c r="G331" s="266">
        <f>((D331*E331*(1+F331)))</f>
        <v>201.5434570059565</v>
      </c>
      <c r="H331" s="267">
        <f t="shared" si="26"/>
        <v>4.5026535985739204E-6</v>
      </c>
      <c r="I331" s="267">
        <f t="shared" si="25"/>
        <v>0.88297262022823408</v>
      </c>
      <c r="J331" s="90">
        <f t="shared" si="23"/>
        <v>4.420354962348938E-4</v>
      </c>
      <c r="K331" s="242"/>
      <c r="L331" s="91">
        <f t="shared" si="24"/>
        <v>36</v>
      </c>
      <c r="M331" s="91"/>
      <c r="O331" s="94"/>
    </row>
    <row r="332" spans="1:15" s="93" customFormat="1" ht="51">
      <c r="A332" s="261">
        <v>95644</v>
      </c>
      <c r="B332" s="262" t="s">
        <v>3233</v>
      </c>
      <c r="C332" s="263" t="s">
        <v>90</v>
      </c>
      <c r="D332" s="264">
        <v>1</v>
      </c>
      <c r="E332" s="265" t="s">
        <v>17504</v>
      </c>
      <c r="F332" s="450">
        <f>BDI_O.A.E!$H$22</f>
        <v>0.18201100192553743</v>
      </c>
      <c r="G332" s="266">
        <f>((D332*E332*(1+F332)))</f>
        <v>198.68422931366359</v>
      </c>
      <c r="H332" s="267">
        <f t="shared" si="26"/>
        <v>4.4387760009128643E-6</v>
      </c>
      <c r="I332" s="267">
        <f t="shared" si="25"/>
        <v>0.88297705900423495</v>
      </c>
      <c r="J332" s="90">
        <f t="shared" ref="J332:J364" si="27">$G$373-$G$366</f>
        <v>4.420354962348938E-4</v>
      </c>
      <c r="K332" s="242"/>
      <c r="L332" s="91">
        <f t="shared" ref="L332:L337" si="28">SUMIF($A$11:$A$352,A332,$D$11:$D$352)</f>
        <v>1</v>
      </c>
      <c r="M332" s="91"/>
      <c r="O332" s="94"/>
    </row>
    <row r="333" spans="1:15" s="93" customFormat="1" ht="25.5">
      <c r="A333" s="261">
        <v>100574</v>
      </c>
      <c r="B333" s="262" t="s">
        <v>7181</v>
      </c>
      <c r="C333" s="263" t="s">
        <v>26957</v>
      </c>
      <c r="D333" s="264">
        <v>194.61</v>
      </c>
      <c r="E333" s="265">
        <v>0.85</v>
      </c>
      <c r="F333" s="450">
        <v>0.1832</v>
      </c>
      <c r="G333" s="266">
        <f>((D333*E333*(1+F333)))</f>
        <v>195.7231692</v>
      </c>
      <c r="H333" s="267">
        <f t="shared" si="26"/>
        <v>4.3726233796645986E-6</v>
      </c>
      <c r="I333" s="267">
        <f t="shared" si="25"/>
        <v>0.88298143162761467</v>
      </c>
      <c r="J333" s="90">
        <f t="shared" si="27"/>
        <v>4.420354962348938E-4</v>
      </c>
      <c r="K333" s="242"/>
      <c r="L333" s="91">
        <f t="shared" si="28"/>
        <v>194.61</v>
      </c>
      <c r="M333" s="91"/>
      <c r="O333" s="94"/>
    </row>
    <row r="334" spans="1:15" s="93" customFormat="1" ht="51">
      <c r="A334" s="261">
        <v>95789</v>
      </c>
      <c r="B334" s="262" t="s">
        <v>2143</v>
      </c>
      <c r="C334" s="263" t="s">
        <v>90</v>
      </c>
      <c r="D334" s="264">
        <v>6</v>
      </c>
      <c r="E334" s="265" t="s">
        <v>15858</v>
      </c>
      <c r="F334" s="450">
        <f>BDI_O.A.E!$H$22</f>
        <v>0.18201100192553743</v>
      </c>
      <c r="G334" s="266">
        <f>((D334*E334*(1+F334)))</f>
        <v>187.58514600558277</v>
      </c>
      <c r="H334" s="267">
        <f t="shared" si="26"/>
        <v>4.1908129653451813E-6</v>
      </c>
      <c r="I334" s="267">
        <f t="shared" ref="I334:I364" si="29">H334+I333</f>
        <v>0.88298562244057999</v>
      </c>
      <c r="J334" s="90">
        <f t="shared" si="27"/>
        <v>4.420354962348938E-4</v>
      </c>
      <c r="K334" s="242"/>
      <c r="L334" s="91">
        <f t="shared" si="28"/>
        <v>6</v>
      </c>
      <c r="M334" s="91"/>
      <c r="O334" s="94"/>
    </row>
    <row r="335" spans="1:15" s="93" customFormat="1" ht="38.25">
      <c r="A335" s="261" t="s">
        <v>6300</v>
      </c>
      <c r="B335" s="262" t="s">
        <v>7887</v>
      </c>
      <c r="C335" s="263" t="s">
        <v>4521</v>
      </c>
      <c r="D335" s="264">
        <v>1</v>
      </c>
      <c r="E335" s="265">
        <v>142.19999999999999</v>
      </c>
      <c r="F335" s="450">
        <f>BDI_O.A.E!$H$22</f>
        <v>0.18201100192553743</v>
      </c>
      <c r="G335" s="266">
        <f>((D335*E335*(1+F335)))</f>
        <v>168.08196447381141</v>
      </c>
      <c r="H335" s="267">
        <f t="shared" si="26"/>
        <v>3.7550951712166653E-6</v>
      </c>
      <c r="I335" s="267">
        <f t="shared" si="29"/>
        <v>0.88298937753575124</v>
      </c>
      <c r="J335" s="90">
        <f t="shared" si="27"/>
        <v>4.420354962348938E-4</v>
      </c>
      <c r="K335" s="242"/>
      <c r="L335" s="91">
        <f t="shared" si="28"/>
        <v>1</v>
      </c>
      <c r="M335" s="91"/>
      <c r="O335" s="94"/>
    </row>
    <row r="336" spans="1:15" s="93" customFormat="1" ht="25.5">
      <c r="A336" s="261">
        <v>97668</v>
      </c>
      <c r="B336" s="262" t="s">
        <v>5586</v>
      </c>
      <c r="C336" s="263" t="s">
        <v>5</v>
      </c>
      <c r="D336" s="264">
        <v>14</v>
      </c>
      <c r="E336" s="265" t="s">
        <v>14336</v>
      </c>
      <c r="F336" s="450">
        <f>BDI_O.A.E!$H$22</f>
        <v>0.18201100192553743</v>
      </c>
      <c r="G336" s="266">
        <f>((D336*E336*(1+F336)))</f>
        <v>164.15768794741862</v>
      </c>
      <c r="H336" s="267">
        <f t="shared" si="26"/>
        <v>3.6674234696102001E-6</v>
      </c>
      <c r="I336" s="267">
        <f t="shared" si="29"/>
        <v>0.88299304495922082</v>
      </c>
      <c r="J336" s="90">
        <f t="shared" si="27"/>
        <v>4.420354962348938E-4</v>
      </c>
      <c r="K336" s="242"/>
      <c r="L336" s="91">
        <f t="shared" si="28"/>
        <v>14</v>
      </c>
      <c r="M336" s="91"/>
      <c r="O336" s="94"/>
    </row>
    <row r="337" spans="1:15" s="93" customFormat="1" ht="25.5">
      <c r="A337" s="261">
        <v>95675</v>
      </c>
      <c r="B337" s="262" t="s">
        <v>3239</v>
      </c>
      <c r="C337" s="263" t="s">
        <v>90</v>
      </c>
      <c r="D337" s="264">
        <v>1</v>
      </c>
      <c r="E337" s="265" t="s">
        <v>17509</v>
      </c>
      <c r="F337" s="450">
        <f>BDI_O.A.E!$H$22</f>
        <v>0.18201100192553743</v>
      </c>
      <c r="G337" s="266">
        <f>((D337*E337*(1+F337)))</f>
        <v>159.72514669019787</v>
      </c>
      <c r="H337" s="267">
        <f t="shared" si="26"/>
        <v>3.568396698217356E-6</v>
      </c>
      <c r="I337" s="267">
        <f t="shared" si="29"/>
        <v>0.88299661335591906</v>
      </c>
      <c r="J337" s="90">
        <f t="shared" si="27"/>
        <v>4.420354962348938E-4</v>
      </c>
      <c r="K337" s="242"/>
      <c r="L337" s="91">
        <f t="shared" si="28"/>
        <v>1</v>
      </c>
      <c r="M337" s="91"/>
      <c r="O337" s="94"/>
    </row>
    <row r="338" spans="1:15" s="93" customFormat="1" ht="25.5">
      <c r="A338" s="261" t="s">
        <v>6273</v>
      </c>
      <c r="B338" s="262" t="s">
        <v>6535</v>
      </c>
      <c r="C338" s="263" t="s">
        <v>4521</v>
      </c>
      <c r="D338" s="264">
        <v>2</v>
      </c>
      <c r="E338" s="265">
        <v>66.525000000000006</v>
      </c>
      <c r="F338" s="450">
        <f>BDI_O.A.E!$H$22</f>
        <v>0.18201100192553743</v>
      </c>
      <c r="G338" s="266">
        <f>((D338*E338*(1+F338)))</f>
        <v>157.26656380619278</v>
      </c>
      <c r="H338" s="267">
        <f t="shared" si="26"/>
        <v>3.5134698490181253E-6</v>
      </c>
      <c r="I338" s="267">
        <f t="shared" si="29"/>
        <v>0.88300012682576812</v>
      </c>
      <c r="J338" s="90">
        <f t="shared" si="27"/>
        <v>4.420354962348938E-4</v>
      </c>
      <c r="K338" s="242"/>
      <c r="L338" s="91">
        <f t="shared" ref="L338:L364" si="30">SUMIF($A$338:$A$364,A338,$D$338:$D$364)</f>
        <v>2</v>
      </c>
      <c r="M338" s="91"/>
      <c r="O338" s="94"/>
    </row>
    <row r="339" spans="1:15" s="93" customFormat="1" ht="25.5">
      <c r="A339" s="261">
        <v>86916</v>
      </c>
      <c r="B339" s="262" t="s">
        <v>17272</v>
      </c>
      <c r="C339" s="263" t="s">
        <v>90</v>
      </c>
      <c r="D339" s="264">
        <v>6</v>
      </c>
      <c r="E339" s="265" t="s">
        <v>16777</v>
      </c>
      <c r="F339" s="450">
        <f>BDI_O.A.E!$H$22</f>
        <v>0.18201100192553743</v>
      </c>
      <c r="G339" s="266">
        <f>((D339*E339*(1+F339)))</f>
        <v>154.53611839174476</v>
      </c>
      <c r="H339" s="267">
        <f t="shared" si="26"/>
        <v>3.4524693578401323E-6</v>
      </c>
      <c r="I339" s="267">
        <f t="shared" si="29"/>
        <v>0.88300357929512596</v>
      </c>
      <c r="J339" s="90">
        <f t="shared" si="27"/>
        <v>4.420354962348938E-4</v>
      </c>
      <c r="K339" s="242"/>
      <c r="L339" s="91">
        <f t="shared" si="30"/>
        <v>6</v>
      </c>
      <c r="M339" s="91"/>
      <c r="O339" s="94"/>
    </row>
    <row r="340" spans="1:15" s="93" customFormat="1" ht="63.75">
      <c r="A340" s="261">
        <v>94706</v>
      </c>
      <c r="B340" s="262" t="s">
        <v>3119</v>
      </c>
      <c r="C340" s="263" t="s">
        <v>90</v>
      </c>
      <c r="D340" s="264">
        <v>4</v>
      </c>
      <c r="E340" s="265" t="s">
        <v>16953</v>
      </c>
      <c r="F340" s="450">
        <f>BDI_O.A.E!$H$22</f>
        <v>0.18201100192553743</v>
      </c>
      <c r="G340" s="266">
        <f>((D340*E340*(1+F340)))</f>
        <v>145.05639015630194</v>
      </c>
      <c r="H340" s="267">
        <f t="shared" si="26"/>
        <v>3.2406841027546355E-6</v>
      </c>
      <c r="I340" s="267">
        <f t="shared" si="29"/>
        <v>0.8830068199792287</v>
      </c>
      <c r="J340" s="90">
        <f t="shared" si="27"/>
        <v>4.420354962348938E-4</v>
      </c>
      <c r="K340" s="242"/>
      <c r="L340" s="91">
        <f t="shared" si="30"/>
        <v>4</v>
      </c>
      <c r="M340" s="91"/>
      <c r="O340" s="94"/>
    </row>
    <row r="341" spans="1:15" s="93" customFormat="1" ht="25.5">
      <c r="A341" s="261">
        <v>97667</v>
      </c>
      <c r="B341" s="262" t="s">
        <v>5585</v>
      </c>
      <c r="C341" s="263" t="s">
        <v>5</v>
      </c>
      <c r="D341" s="264">
        <v>18</v>
      </c>
      <c r="E341" s="265" t="s">
        <v>15760</v>
      </c>
      <c r="F341" s="450">
        <f>BDI_O.A.E!$H$22</f>
        <v>0.18201100192553743</v>
      </c>
      <c r="G341" s="266">
        <f>((D341*E341*(1+F341)))</f>
        <v>137.4442393039015</v>
      </c>
      <c r="H341" s="267">
        <f t="shared" si="26"/>
        <v>3.0706221273493238E-6</v>
      </c>
      <c r="I341" s="267">
        <f t="shared" si="29"/>
        <v>0.88300989060135604</v>
      </c>
      <c r="J341" s="90">
        <f t="shared" si="27"/>
        <v>4.420354962348938E-4</v>
      </c>
      <c r="K341" s="242"/>
      <c r="L341" s="91">
        <f t="shared" si="30"/>
        <v>18</v>
      </c>
      <c r="M341" s="91"/>
      <c r="O341" s="94"/>
    </row>
    <row r="342" spans="1:15" s="93" customFormat="1" ht="51">
      <c r="A342" s="261" t="s">
        <v>13449</v>
      </c>
      <c r="B342" s="262" t="s">
        <v>13448</v>
      </c>
      <c r="C342" s="263" t="s">
        <v>150</v>
      </c>
      <c r="D342" s="264">
        <v>7.6875</v>
      </c>
      <c r="E342" s="265">
        <v>13.551773260592439</v>
      </c>
      <c r="F342" s="450">
        <f>BDI_O.A.E!$H$22</f>
        <v>0.18201100192553743</v>
      </c>
      <c r="G342" s="266">
        <f>((D342*E342*(1+F342)))</f>
        <v>123.14102787645818</v>
      </c>
      <c r="H342" s="267">
        <f t="shared" si="26"/>
        <v>2.7510761229209198E-6</v>
      </c>
      <c r="I342" s="267">
        <f t="shared" si="29"/>
        <v>0.88301264167747895</v>
      </c>
      <c r="J342" s="90">
        <f t="shared" si="27"/>
        <v>4.420354962348938E-4</v>
      </c>
      <c r="K342" s="242"/>
      <c r="L342" s="91">
        <f t="shared" si="30"/>
        <v>7.6875</v>
      </c>
      <c r="M342" s="91"/>
      <c r="O342" s="94"/>
    </row>
    <row r="343" spans="1:15" s="93" customFormat="1" ht="51">
      <c r="A343" s="261">
        <v>94694</v>
      </c>
      <c r="B343" s="262" t="s">
        <v>3107</v>
      </c>
      <c r="C343" s="263" t="s">
        <v>90</v>
      </c>
      <c r="D343" s="264">
        <v>5</v>
      </c>
      <c r="E343" s="265" t="s">
        <v>13923</v>
      </c>
      <c r="F343" s="450">
        <f>BDI_O.A.E!$H$22</f>
        <v>0.18201100192553743</v>
      </c>
      <c r="G343" s="266">
        <f>((D343*E343*(1+F343)))</f>
        <v>116.25078203937662</v>
      </c>
      <c r="H343" s="267">
        <f t="shared" si="26"/>
        <v>2.5971421243963365E-6</v>
      </c>
      <c r="I343" s="267">
        <f t="shared" si="29"/>
        <v>0.88301523881960331</v>
      </c>
      <c r="J343" s="90">
        <f t="shared" si="27"/>
        <v>4.420354962348938E-4</v>
      </c>
      <c r="K343" s="242"/>
      <c r="L343" s="91">
        <f t="shared" si="30"/>
        <v>5</v>
      </c>
      <c r="M343" s="91"/>
      <c r="O343" s="94"/>
    </row>
    <row r="344" spans="1:15" s="93" customFormat="1" ht="63.75">
      <c r="A344" s="261">
        <v>94674</v>
      </c>
      <c r="B344" s="262" t="s">
        <v>3087</v>
      </c>
      <c r="C344" s="263" t="s">
        <v>90</v>
      </c>
      <c r="D344" s="264">
        <v>12</v>
      </c>
      <c r="E344" s="265" t="s">
        <v>13888</v>
      </c>
      <c r="F344" s="450">
        <f>BDI_O.A.E!$H$22</f>
        <v>0.18201100192553743</v>
      </c>
      <c r="G344" s="266">
        <f>((D344*E344*(1+F344)))</f>
        <v>107.09019677445369</v>
      </c>
      <c r="H344" s="267">
        <f t="shared" si="26"/>
        <v>2.3924867968511245E-6</v>
      </c>
      <c r="I344" s="267">
        <f t="shared" si="29"/>
        <v>0.88301763130640021</v>
      </c>
      <c r="J344" s="90">
        <f t="shared" si="27"/>
        <v>4.420354962348938E-4</v>
      </c>
      <c r="K344" s="242"/>
      <c r="L344" s="91">
        <f t="shared" si="30"/>
        <v>12</v>
      </c>
      <c r="M344" s="91"/>
      <c r="O344" s="94"/>
    </row>
    <row r="345" spans="1:15" s="93" customFormat="1" ht="51">
      <c r="A345" s="261" t="s">
        <v>26977</v>
      </c>
      <c r="B345" s="262" t="s">
        <v>26978</v>
      </c>
      <c r="C345" s="263" t="s">
        <v>26979</v>
      </c>
      <c r="D345" s="264">
        <v>1</v>
      </c>
      <c r="E345" s="265">
        <v>85.96</v>
      </c>
      <c r="F345" s="450">
        <v>0.1832</v>
      </c>
      <c r="G345" s="266">
        <f>((D345*E345*(1+F345)))</f>
        <v>101.70787199999999</v>
      </c>
      <c r="H345" s="267">
        <f t="shared" si="26"/>
        <v>2.2722410475005452E-6</v>
      </c>
      <c r="I345" s="267">
        <f t="shared" si="29"/>
        <v>0.88301990354744775</v>
      </c>
      <c r="J345" s="90">
        <f t="shared" si="27"/>
        <v>4.420354962348938E-4</v>
      </c>
      <c r="K345" s="242"/>
      <c r="L345" s="91">
        <f t="shared" si="30"/>
        <v>1</v>
      </c>
      <c r="M345" s="91"/>
      <c r="O345" s="94"/>
    </row>
    <row r="346" spans="1:15" s="93" customFormat="1" ht="38.25">
      <c r="A346" s="261">
        <v>89412</v>
      </c>
      <c r="B346" s="262" t="s">
        <v>2585</v>
      </c>
      <c r="C346" s="263" t="s">
        <v>90</v>
      </c>
      <c r="D346" s="264">
        <v>12</v>
      </c>
      <c r="E346" s="265" t="s">
        <v>14737</v>
      </c>
      <c r="F346" s="450">
        <f>BDI_O.A.E!$H$22</f>
        <v>0.18201100192553743</v>
      </c>
      <c r="G346" s="266">
        <f>((D346*E346*(1+F346)))</f>
        <v>96.735780397585984</v>
      </c>
      <c r="H346" s="267">
        <f t="shared" si="26"/>
        <v>2.1611602588774395E-6</v>
      </c>
      <c r="I346" s="267">
        <f t="shared" si="29"/>
        <v>0.88302206470770661</v>
      </c>
      <c r="J346" s="90">
        <f t="shared" si="27"/>
        <v>4.420354962348938E-4</v>
      </c>
      <c r="K346" s="242"/>
      <c r="L346" s="91">
        <f t="shared" si="30"/>
        <v>12</v>
      </c>
      <c r="M346" s="91"/>
      <c r="O346" s="94"/>
    </row>
    <row r="347" spans="1:15" s="93" customFormat="1" ht="63.75">
      <c r="A347" s="261">
        <v>94704</v>
      </c>
      <c r="B347" s="262" t="s">
        <v>3117</v>
      </c>
      <c r="C347" s="263" t="s">
        <v>90</v>
      </c>
      <c r="D347" s="264">
        <v>4</v>
      </c>
      <c r="E347" s="265" t="s">
        <v>13683</v>
      </c>
      <c r="F347" s="450">
        <f>BDI_O.A.E!$H$22</f>
        <v>0.18201100192553743</v>
      </c>
      <c r="G347" s="266">
        <f>((D347*E347*(1+F347)))</f>
        <v>82.362526614171458</v>
      </c>
      <c r="H347" s="267">
        <f t="shared" si="26"/>
        <v>1.8400494481742425E-6</v>
      </c>
      <c r="I347" s="267">
        <f t="shared" si="29"/>
        <v>0.88302390475715475</v>
      </c>
      <c r="J347" s="90">
        <f t="shared" si="27"/>
        <v>4.420354962348938E-4</v>
      </c>
      <c r="K347" s="242"/>
      <c r="L347" s="91">
        <f t="shared" si="30"/>
        <v>4</v>
      </c>
      <c r="M347" s="91"/>
      <c r="O347" s="94"/>
    </row>
    <row r="348" spans="1:15" s="93" customFormat="1" ht="51">
      <c r="A348" s="261" t="s">
        <v>6295</v>
      </c>
      <c r="B348" s="262" t="s">
        <v>13405</v>
      </c>
      <c r="C348" s="263" t="s">
        <v>4521</v>
      </c>
      <c r="D348" s="264">
        <v>3</v>
      </c>
      <c r="E348" s="265">
        <v>22.37106</v>
      </c>
      <c r="F348" s="450">
        <f>BDI_O.A.E!$H$22</f>
        <v>0.18201100192553743</v>
      </c>
      <c r="G348" s="266">
        <f>((D348*E348*(1+F348)))</f>
        <v>79.328517134208937</v>
      </c>
      <c r="H348" s="267">
        <f t="shared" si="26"/>
        <v>1.7722670755484871E-6</v>
      </c>
      <c r="I348" s="267">
        <f t="shared" si="29"/>
        <v>0.88302567702423029</v>
      </c>
      <c r="J348" s="90">
        <f t="shared" si="27"/>
        <v>4.420354962348938E-4</v>
      </c>
      <c r="K348" s="242"/>
      <c r="L348" s="91">
        <f t="shared" si="30"/>
        <v>3</v>
      </c>
      <c r="M348" s="91"/>
      <c r="O348" s="94"/>
    </row>
    <row r="349" spans="1:15" s="93" customFormat="1" ht="38.25">
      <c r="A349" s="261">
        <v>89408</v>
      </c>
      <c r="B349" s="262" t="s">
        <v>223</v>
      </c>
      <c r="C349" s="263" t="s">
        <v>90</v>
      </c>
      <c r="D349" s="264">
        <v>13</v>
      </c>
      <c r="E349" s="265" t="s">
        <v>16472</v>
      </c>
      <c r="F349" s="450">
        <f>BDI_O.A.E!$H$22</f>
        <v>0.18201100192553743</v>
      </c>
      <c r="G349" s="266">
        <f>((D349*E349*(1+F349)))</f>
        <v>75.140439392406407</v>
      </c>
      <c r="H349" s="267">
        <f t="shared" si="26"/>
        <v>1.6787018286515007E-6</v>
      </c>
      <c r="I349" s="267">
        <f t="shared" si="29"/>
        <v>0.88302735572605895</v>
      </c>
      <c r="J349" s="90">
        <f t="shared" si="27"/>
        <v>4.420354962348938E-4</v>
      </c>
      <c r="K349" s="242"/>
      <c r="L349" s="91">
        <f t="shared" si="30"/>
        <v>13</v>
      </c>
      <c r="M349" s="91"/>
      <c r="O349" s="94"/>
    </row>
    <row r="350" spans="1:15" s="93" customFormat="1" ht="38.25">
      <c r="A350" s="261" t="s">
        <v>13407</v>
      </c>
      <c r="B350" s="262" t="s">
        <v>13408</v>
      </c>
      <c r="C350" s="263" t="s">
        <v>150</v>
      </c>
      <c r="D350" s="264">
        <v>2.0569000000000002</v>
      </c>
      <c r="E350" s="265">
        <v>29.466349999999998</v>
      </c>
      <c r="F350" s="450">
        <f>BDI_O.A.E!$H$22</f>
        <v>0.18201100192553743</v>
      </c>
      <c r="G350" s="266">
        <f>((D350*E350*(1+F350)))</f>
        <v>71.640901161724017</v>
      </c>
      <c r="H350" s="267">
        <f t="shared" si="26"/>
        <v>1.6005191446695376E-6</v>
      </c>
      <c r="I350" s="267">
        <f t="shared" si="29"/>
        <v>0.88302895624520361</v>
      </c>
      <c r="J350" s="90">
        <f t="shared" si="27"/>
        <v>4.420354962348938E-4</v>
      </c>
      <c r="K350" s="242"/>
      <c r="L350" s="91">
        <f t="shared" si="30"/>
        <v>2.0569000000000002</v>
      </c>
      <c r="M350" s="91"/>
      <c r="O350" s="94"/>
    </row>
    <row r="351" spans="1:15" s="93" customFormat="1" ht="51">
      <c r="A351" s="261">
        <v>94692</v>
      </c>
      <c r="B351" s="262" t="s">
        <v>3105</v>
      </c>
      <c r="C351" s="263" t="s">
        <v>90</v>
      </c>
      <c r="D351" s="264">
        <v>3</v>
      </c>
      <c r="E351" s="265" t="s">
        <v>14281</v>
      </c>
      <c r="F351" s="450">
        <f>BDI_O.A.E!$H$22</f>
        <v>0.18201100192553743</v>
      </c>
      <c r="G351" s="266">
        <f>((D351*E351*(1+F351)))</f>
        <v>66.949103149062438</v>
      </c>
      <c r="H351" s="267">
        <f t="shared" si="26"/>
        <v>1.495700355117524E-6</v>
      </c>
      <c r="I351" s="267">
        <f t="shared" si="29"/>
        <v>0.88303045194555874</v>
      </c>
      <c r="J351" s="90">
        <f t="shared" si="27"/>
        <v>4.420354962348938E-4</v>
      </c>
      <c r="K351" s="242"/>
      <c r="L351" s="91">
        <f t="shared" si="30"/>
        <v>3</v>
      </c>
      <c r="M351" s="91"/>
      <c r="O351" s="94"/>
    </row>
    <row r="352" spans="1:15" s="93" customFormat="1" ht="51">
      <c r="A352" s="261">
        <v>94690</v>
      </c>
      <c r="B352" s="262" t="s">
        <v>3103</v>
      </c>
      <c r="C352" s="263" t="s">
        <v>90</v>
      </c>
      <c r="D352" s="264">
        <v>5</v>
      </c>
      <c r="E352" s="265" t="s">
        <v>16930</v>
      </c>
      <c r="F352" s="450">
        <f>BDI_O.A.E!$H$22</f>
        <v>0.18201100192553743</v>
      </c>
      <c r="G352" s="266">
        <f>((D352*E352*(1+F352)))</f>
        <v>65.601610606867325</v>
      </c>
      <c r="H352" s="267">
        <f t="shared" si="26"/>
        <v>1.4655962166140993E-6</v>
      </c>
      <c r="I352" s="267">
        <f t="shared" si="29"/>
        <v>0.88303191754177535</v>
      </c>
      <c r="J352" s="90">
        <f t="shared" si="27"/>
        <v>4.420354962348938E-4</v>
      </c>
      <c r="K352" s="242"/>
      <c r="L352" s="91">
        <f t="shared" si="30"/>
        <v>5</v>
      </c>
      <c r="M352" s="91"/>
      <c r="O352" s="94"/>
    </row>
    <row r="353" spans="1:15" s="93" customFormat="1" ht="38.25">
      <c r="A353" s="261">
        <v>95782</v>
      </c>
      <c r="B353" s="262" t="s">
        <v>2141</v>
      </c>
      <c r="C353" s="263" t="s">
        <v>90</v>
      </c>
      <c r="D353" s="264">
        <v>2</v>
      </c>
      <c r="E353" s="265" t="s">
        <v>15856</v>
      </c>
      <c r="F353" s="450">
        <f>BDI_O.A.E!$H$22</f>
        <v>0.18201100192553743</v>
      </c>
      <c r="G353" s="266">
        <f>((D353*E353*(1+F353)))</f>
        <v>59.431513176816026</v>
      </c>
      <c r="H353" s="267">
        <f t="shared" si="26"/>
        <v>1.3277509508352598E-6</v>
      </c>
      <c r="I353" s="267">
        <f t="shared" si="29"/>
        <v>0.8830332452927262</v>
      </c>
      <c r="J353" s="90">
        <f t="shared" si="27"/>
        <v>4.420354962348938E-4</v>
      </c>
      <c r="K353" s="242"/>
      <c r="L353" s="91">
        <f t="shared" si="30"/>
        <v>2</v>
      </c>
      <c r="M353" s="91"/>
      <c r="O353" s="94"/>
    </row>
    <row r="354" spans="1:15" s="93" customFormat="1" ht="51">
      <c r="A354" s="261">
        <v>95781</v>
      </c>
      <c r="B354" s="262" t="s">
        <v>254</v>
      </c>
      <c r="C354" s="263" t="s">
        <v>90</v>
      </c>
      <c r="D354" s="264">
        <v>2</v>
      </c>
      <c r="E354" s="265" t="s">
        <v>15855</v>
      </c>
      <c r="F354" s="450">
        <f>BDI_O.A.E!$H$22</f>
        <v>0.18201100192553743</v>
      </c>
      <c r="G354" s="266">
        <f>((D354*E354*(1+F354)))</f>
        <v>57.469374913619625</v>
      </c>
      <c r="H354" s="267">
        <f t="shared" si="26"/>
        <v>1.2839151000320272E-6</v>
      </c>
      <c r="I354" s="267">
        <f t="shared" si="29"/>
        <v>0.88303452920782621</v>
      </c>
      <c r="J354" s="90">
        <f t="shared" si="27"/>
        <v>4.420354962348938E-4</v>
      </c>
      <c r="K354" s="242"/>
      <c r="L354" s="91">
        <f t="shared" si="30"/>
        <v>2</v>
      </c>
      <c r="M354" s="91"/>
      <c r="O354" s="94"/>
    </row>
    <row r="355" spans="1:15" s="93" customFormat="1" ht="38.25">
      <c r="A355" s="261">
        <v>89626</v>
      </c>
      <c r="B355" s="262" t="s">
        <v>2725</v>
      </c>
      <c r="C355" s="263" t="s">
        <v>90</v>
      </c>
      <c r="D355" s="264">
        <v>2</v>
      </c>
      <c r="E355" s="265" t="s">
        <v>16573</v>
      </c>
      <c r="F355" s="450">
        <f>BDI_O.A.E!$H$22</f>
        <v>0.18201100192553743</v>
      </c>
      <c r="G355" s="266">
        <f>((D355*E355*(1+F355)))</f>
        <v>52.079404744839181</v>
      </c>
      <c r="H355" s="267">
        <f t="shared" si="26"/>
        <v>1.1634985460183283E-6</v>
      </c>
      <c r="I355" s="267">
        <f t="shared" si="29"/>
        <v>0.88303569270637228</v>
      </c>
      <c r="J355" s="90">
        <f t="shared" si="27"/>
        <v>4.420354962348938E-4</v>
      </c>
      <c r="K355" s="242"/>
      <c r="L355" s="91">
        <f t="shared" si="30"/>
        <v>2</v>
      </c>
      <c r="M355" s="91"/>
      <c r="O355" s="94"/>
    </row>
    <row r="356" spans="1:15" s="93" customFormat="1" ht="63.75">
      <c r="A356" s="261">
        <v>94678</v>
      </c>
      <c r="B356" s="262" t="s">
        <v>3091</v>
      </c>
      <c r="C356" s="263" t="s">
        <v>90</v>
      </c>
      <c r="D356" s="264">
        <v>3</v>
      </c>
      <c r="E356" s="265" t="s">
        <v>16255</v>
      </c>
      <c r="F356" s="450">
        <f>BDI_O.A.E!$H$22</f>
        <v>0.18201100192553743</v>
      </c>
      <c r="G356" s="266">
        <f>((D356*E356*(1+F356)))</f>
        <v>46.169349735211497</v>
      </c>
      <c r="H356" s="267">
        <f t="shared" si="26"/>
        <v>1.0314628508278689E-6</v>
      </c>
      <c r="I356" s="267">
        <f t="shared" si="29"/>
        <v>0.88303672416922308</v>
      </c>
      <c r="J356" s="90">
        <f t="shared" si="27"/>
        <v>4.420354962348938E-4</v>
      </c>
      <c r="K356" s="242"/>
      <c r="L356" s="91">
        <f t="shared" si="30"/>
        <v>3</v>
      </c>
      <c r="M356" s="91"/>
      <c r="O356" s="94"/>
    </row>
    <row r="357" spans="1:15" s="93" customFormat="1" ht="51">
      <c r="A357" s="261">
        <v>95796</v>
      </c>
      <c r="B357" s="262" t="s">
        <v>253</v>
      </c>
      <c r="C357" s="263" t="s">
        <v>90</v>
      </c>
      <c r="D357" s="264">
        <v>1</v>
      </c>
      <c r="E357" s="265" t="s">
        <v>15861</v>
      </c>
      <c r="F357" s="450">
        <f>BDI_O.A.E!$H$22</f>
        <v>0.18201100192553743</v>
      </c>
      <c r="G357" s="266">
        <f>((D357*E357*(1+F357)))</f>
        <v>36.760542159884217</v>
      </c>
      <c r="H357" s="267">
        <f t="shared" si="26"/>
        <v>8.2126202408465752E-7</v>
      </c>
      <c r="I357" s="267">
        <f t="shared" si="29"/>
        <v>0.88303754543124713</v>
      </c>
      <c r="J357" s="90">
        <f t="shared" si="27"/>
        <v>4.420354962348938E-4</v>
      </c>
      <c r="K357" s="242"/>
      <c r="L357" s="91">
        <f t="shared" si="30"/>
        <v>1</v>
      </c>
      <c r="M357" s="91"/>
      <c r="O357" s="94"/>
    </row>
    <row r="358" spans="1:15" s="93" customFormat="1" ht="38.25">
      <c r="A358" s="261">
        <v>89562</v>
      </c>
      <c r="B358" s="262" t="s">
        <v>237</v>
      </c>
      <c r="C358" s="263" t="s">
        <v>90</v>
      </c>
      <c r="D358" s="264">
        <v>4</v>
      </c>
      <c r="E358" s="265" t="s">
        <v>14072</v>
      </c>
      <c r="F358" s="450">
        <f>BDI_O.A.E!$H$22</f>
        <v>0.18201100192553743</v>
      </c>
      <c r="G358" s="266">
        <f>((D358*E358*(1+F358)))</f>
        <v>33.14358849399207</v>
      </c>
      <c r="H358" s="267">
        <f t="shared" si="26"/>
        <v>7.4045617862809632E-7</v>
      </c>
      <c r="I358" s="267">
        <f t="shared" si="29"/>
        <v>0.88303828588742572</v>
      </c>
      <c r="J358" s="90">
        <f t="shared" si="27"/>
        <v>4.420354962348938E-4</v>
      </c>
      <c r="K358" s="242"/>
      <c r="L358" s="91">
        <f t="shared" si="30"/>
        <v>4</v>
      </c>
      <c r="M358" s="91"/>
      <c r="O358" s="94"/>
    </row>
    <row r="359" spans="1:15" s="93" customFormat="1" ht="25.5">
      <c r="A359" s="261">
        <v>3806402</v>
      </c>
      <c r="B359" s="262" t="s">
        <v>7747</v>
      </c>
      <c r="C359" s="263" t="s">
        <v>150</v>
      </c>
      <c r="D359" s="264">
        <v>648.20000000000005</v>
      </c>
      <c r="E359" s="265">
        <v>3.8028780202594627E-2</v>
      </c>
      <c r="F359" s="450">
        <f>BDI_O.A.E!$H$22</f>
        <v>0.18201100192553743</v>
      </c>
      <c r="G359" s="266">
        <f>((D359*E359*(1+F359)))</f>
        <v>29.136872997168005</v>
      </c>
      <c r="H359" s="267">
        <f t="shared" si="26"/>
        <v>6.5094271975305289E-7</v>
      </c>
      <c r="I359" s="267">
        <f t="shared" si="29"/>
        <v>0.88303893683014545</v>
      </c>
      <c r="J359" s="90">
        <f t="shared" si="27"/>
        <v>4.420354962348938E-4</v>
      </c>
      <c r="K359" s="242"/>
      <c r="L359" s="91">
        <f t="shared" si="30"/>
        <v>648.20000000000005</v>
      </c>
      <c r="M359" s="91"/>
      <c r="O359" s="94"/>
    </row>
    <row r="360" spans="1:15" s="93" customFormat="1" ht="38.25">
      <c r="A360" s="261">
        <v>98111</v>
      </c>
      <c r="B360" s="262" t="s">
        <v>5997</v>
      </c>
      <c r="C360" s="263" t="s">
        <v>90</v>
      </c>
      <c r="D360" s="264">
        <v>1</v>
      </c>
      <c r="E360" s="265" t="s">
        <v>17433</v>
      </c>
      <c r="F360" s="450">
        <f>BDI_O.A.E!$H$22</f>
        <v>0.18201100192553743</v>
      </c>
      <c r="G360" s="266">
        <f>((D360*E360*(1+F360)))</f>
        <v>26.287924682823952</v>
      </c>
      <c r="H360" s="267">
        <f t="shared" si="26"/>
        <v>5.8729477220716347E-7</v>
      </c>
      <c r="I360" s="267">
        <f t="shared" si="29"/>
        <v>0.88303952412491771</v>
      </c>
      <c r="J360" s="90">
        <f t="shared" si="27"/>
        <v>4.420354962348938E-4</v>
      </c>
      <c r="K360" s="242"/>
      <c r="L360" s="91">
        <f t="shared" si="30"/>
        <v>1</v>
      </c>
      <c r="M360" s="91"/>
      <c r="O360" s="94"/>
    </row>
    <row r="361" spans="1:15" s="93" customFormat="1" ht="38.25">
      <c r="A361" s="261">
        <v>89532</v>
      </c>
      <c r="B361" s="262" t="s">
        <v>2651</v>
      </c>
      <c r="C361" s="263" t="s">
        <v>90</v>
      </c>
      <c r="D361" s="264">
        <v>4</v>
      </c>
      <c r="E361" s="265" t="s">
        <v>14303</v>
      </c>
      <c r="F361" s="450">
        <f>BDI_O.A.E!$H$22</f>
        <v>0.18201100192553743</v>
      </c>
      <c r="G361" s="266">
        <f>((D361*E361*(1+F361)))</f>
        <v>24.018463559126921</v>
      </c>
      <c r="H361" s="267">
        <f t="shared" si="26"/>
        <v>5.36593065254027E-7</v>
      </c>
      <c r="I361" s="267">
        <f t="shared" si="29"/>
        <v>0.88304006071798291</v>
      </c>
      <c r="J361" s="90">
        <f t="shared" si="27"/>
        <v>4.420354962348938E-4</v>
      </c>
      <c r="K361" s="242"/>
      <c r="L361" s="91">
        <f t="shared" si="30"/>
        <v>4</v>
      </c>
      <c r="M361" s="91"/>
      <c r="O361" s="94"/>
    </row>
    <row r="362" spans="1:15" s="93" customFormat="1" ht="51">
      <c r="A362" s="261">
        <v>94688</v>
      </c>
      <c r="B362" s="262" t="s">
        <v>3101</v>
      </c>
      <c r="C362" s="263" t="s">
        <v>90</v>
      </c>
      <c r="D362" s="264">
        <v>2</v>
      </c>
      <c r="E362" s="265" t="s">
        <v>15446</v>
      </c>
      <c r="F362" s="450">
        <f>BDI_O.A.E!$H$22</f>
        <v>0.18201100192553743</v>
      </c>
      <c r="G362" s="266">
        <f>((D362*E362*(1+F362)))</f>
        <v>21.181637154505633</v>
      </c>
      <c r="H362" s="267">
        <f t="shared" si="26"/>
        <v>4.7321593156260654E-7</v>
      </c>
      <c r="I362" s="267">
        <f t="shared" si="29"/>
        <v>0.88304053393391446</v>
      </c>
      <c r="J362" s="90">
        <f t="shared" si="27"/>
        <v>4.420354962348938E-4</v>
      </c>
      <c r="K362" s="242"/>
      <c r="L362" s="91">
        <f t="shared" si="30"/>
        <v>2</v>
      </c>
      <c r="M362" s="91"/>
      <c r="O362" s="94"/>
    </row>
    <row r="363" spans="1:15" s="93" customFormat="1" ht="38.25">
      <c r="A363" s="261">
        <v>89579</v>
      </c>
      <c r="B363" s="262" t="s">
        <v>2691</v>
      </c>
      <c r="C363" s="263" t="s">
        <v>90</v>
      </c>
      <c r="D363" s="264">
        <v>2</v>
      </c>
      <c r="E363" s="265" t="s">
        <v>16544</v>
      </c>
      <c r="F363" s="450">
        <f>BDI_O.A.E!$H$22</f>
        <v>0.18201100192553743</v>
      </c>
      <c r="G363" s="266">
        <f>((D363*E363*(1+F363)))</f>
        <v>20.212388132926691</v>
      </c>
      <c r="H363" s="267">
        <f t="shared" si="26"/>
        <v>4.5156207755137119E-7</v>
      </c>
      <c r="I363" s="267">
        <f t="shared" si="29"/>
        <v>0.88304098549599197</v>
      </c>
      <c r="J363" s="90">
        <f t="shared" si="27"/>
        <v>4.420354962348938E-4</v>
      </c>
      <c r="K363" s="242"/>
      <c r="L363" s="91">
        <f t="shared" si="30"/>
        <v>2</v>
      </c>
      <c r="M363" s="91"/>
      <c r="O363" s="94"/>
    </row>
    <row r="364" spans="1:15" s="93" customFormat="1" ht="63.75">
      <c r="A364" s="261">
        <v>94676</v>
      </c>
      <c r="B364" s="262" t="s">
        <v>3089</v>
      </c>
      <c r="C364" s="263" t="s">
        <v>90</v>
      </c>
      <c r="D364" s="264">
        <v>1</v>
      </c>
      <c r="E364" s="265" t="s">
        <v>16931</v>
      </c>
      <c r="F364" s="450">
        <f>BDI_O.A.E!$H$22</f>
        <v>0.18201100192553743</v>
      </c>
      <c r="G364" s="266">
        <f>((D364*E364*(1+F364)))</f>
        <v>15.023359834473581</v>
      </c>
      <c r="H364" s="267">
        <f t="shared" si="26"/>
        <v>3.3563473717414783E-7</v>
      </c>
      <c r="I364" s="267">
        <f t="shared" si="29"/>
        <v>0.8830413211307292</v>
      </c>
      <c r="J364" s="90">
        <f t="shared" si="27"/>
        <v>4.420354962348938E-4</v>
      </c>
      <c r="K364" s="242"/>
      <c r="L364" s="91">
        <f t="shared" si="30"/>
        <v>1</v>
      </c>
      <c r="M364" s="91"/>
      <c r="O364" s="94"/>
    </row>
    <row r="365" spans="1:15" s="93" customFormat="1">
      <c r="A365" s="95"/>
      <c r="B365" s="96"/>
      <c r="C365" s="97"/>
      <c r="D365" s="98"/>
      <c r="E365" s="99"/>
      <c r="F365" s="100"/>
      <c r="G365" s="101"/>
      <c r="H365" s="101"/>
      <c r="I365" s="101"/>
      <c r="J365" s="90"/>
      <c r="K365" s="242"/>
      <c r="L365" s="91"/>
      <c r="M365" s="91"/>
      <c r="O365" s="94"/>
    </row>
    <row r="366" spans="1:15" s="93" customFormat="1">
      <c r="A366" s="102"/>
      <c r="B366" s="91"/>
      <c r="C366" s="92"/>
      <c r="D366" s="103" t="s">
        <v>8552</v>
      </c>
      <c r="E366" s="104"/>
      <c r="F366" s="104"/>
      <c r="G366" s="104">
        <f>SUM(G11:G364)</f>
        <v>44761039.816562682</v>
      </c>
      <c r="H366" s="101"/>
      <c r="I366" s="105">
        <f>I364</f>
        <v>0.8830413211307292</v>
      </c>
      <c r="J366" s="90"/>
      <c r="K366" s="242"/>
      <c r="L366" s="91"/>
      <c r="M366" s="91"/>
      <c r="O366" s="94"/>
    </row>
    <row r="367" spans="1:15" s="93" customFormat="1" ht="42" customHeight="1">
      <c r="A367" s="102"/>
      <c r="B367" s="91"/>
      <c r="C367" s="92"/>
      <c r="D367" s="103"/>
      <c r="E367" s="104"/>
      <c r="F367" s="104"/>
      <c r="G367" s="104"/>
      <c r="H367" s="101"/>
      <c r="I367" s="105"/>
      <c r="J367" s="90"/>
      <c r="K367" s="242"/>
      <c r="L367" s="91"/>
      <c r="M367" s="91"/>
      <c r="O367" s="94"/>
    </row>
    <row r="368" spans="1:15" s="62" customFormat="1" ht="59.25" customHeight="1">
      <c r="A368" s="671" t="str">
        <f>'036-20-CAPA'!B40</f>
        <v>ENG. GILMAR DA MOTA FERNANDES
CREA 23785/D-DF
ART: 0720200027743</v>
      </c>
      <c r="B368" s="671"/>
      <c r="C368" s="671"/>
      <c r="D368" s="671"/>
      <c r="E368" s="671"/>
      <c r="F368" s="671"/>
      <c r="G368" s="671"/>
      <c r="H368" s="671"/>
      <c r="I368" s="671"/>
      <c r="K368" s="243"/>
    </row>
    <row r="369" spans="1:15" s="93" customFormat="1">
      <c r="A369" s="323"/>
      <c r="B369" s="106"/>
      <c r="C369" s="92"/>
      <c r="D369" s="101"/>
      <c r="E369" s="101"/>
      <c r="F369" s="101"/>
      <c r="G369" s="101"/>
      <c r="H369" s="101"/>
      <c r="I369" s="101"/>
      <c r="J369" s="90"/>
      <c r="K369" s="242"/>
      <c r="L369" s="91"/>
      <c r="M369" s="91"/>
      <c r="O369" s="94"/>
    </row>
    <row r="370" spans="1:15" s="93" customFormat="1">
      <c r="A370" s="102"/>
      <c r="B370" s="106"/>
      <c r="C370" s="92"/>
      <c r="D370" s="101"/>
      <c r="E370" s="101"/>
      <c r="F370" s="101"/>
      <c r="G370" s="101"/>
      <c r="H370" s="101"/>
      <c r="I370" s="101"/>
      <c r="J370" s="90"/>
      <c r="K370" s="242"/>
      <c r="L370" s="91"/>
      <c r="M370" s="91"/>
      <c r="O370" s="94"/>
    </row>
    <row r="371" spans="1:15" s="93" customFormat="1">
      <c r="A371" s="102"/>
      <c r="B371" s="106"/>
      <c r="C371" s="92"/>
      <c r="D371" s="101"/>
      <c r="E371" s="101"/>
      <c r="F371" s="101"/>
      <c r="G371" s="101"/>
      <c r="H371" s="101"/>
      <c r="I371" s="101"/>
      <c r="J371" s="90"/>
      <c r="K371" s="242"/>
      <c r="L371" s="91"/>
      <c r="M371" s="91"/>
      <c r="O371" s="94"/>
    </row>
    <row r="372" spans="1:15" s="93" customFormat="1">
      <c r="A372" s="102"/>
      <c r="B372" s="106"/>
      <c r="C372" s="92"/>
      <c r="D372" s="101"/>
      <c r="E372" s="101"/>
      <c r="F372" s="101"/>
      <c r="G372" s="101"/>
      <c r="H372" s="101"/>
      <c r="I372" s="101"/>
      <c r="J372" s="90"/>
      <c r="K372" s="242"/>
      <c r="L372" s="91"/>
      <c r="M372" s="91"/>
      <c r="O372" s="94"/>
    </row>
    <row r="373" spans="1:15" s="93" customFormat="1">
      <c r="A373" s="102"/>
      <c r="B373" s="91"/>
      <c r="C373" s="92"/>
      <c r="D373" s="101"/>
      <c r="E373" s="101"/>
      <c r="F373" s="101"/>
      <c r="G373" s="101">
        <f>'036-20-CAPA'!D35</f>
        <v>44761039.817004718</v>
      </c>
      <c r="H373" s="101"/>
      <c r="I373" s="101"/>
      <c r="J373" s="90"/>
      <c r="K373" s="242"/>
      <c r="L373" s="91"/>
      <c r="M373" s="91"/>
      <c r="O373" s="94"/>
    </row>
    <row r="374" spans="1:15" s="93" customFormat="1">
      <c r="A374" s="102"/>
      <c r="B374" s="91"/>
      <c r="C374" s="92"/>
      <c r="D374" s="101"/>
      <c r="E374" s="101"/>
      <c r="F374" s="101"/>
      <c r="G374" s="101"/>
      <c r="H374" s="101"/>
      <c r="I374" s="101"/>
      <c r="J374" s="90"/>
      <c r="K374" s="242"/>
      <c r="L374" s="91"/>
      <c r="M374" s="91"/>
      <c r="O374" s="94"/>
    </row>
    <row r="375" spans="1:15" s="93" customFormat="1">
      <c r="A375" s="102"/>
      <c r="B375" s="91"/>
      <c r="C375" s="92"/>
      <c r="D375" s="101"/>
      <c r="E375" s="101"/>
      <c r="F375" s="101"/>
      <c r="G375" s="101"/>
      <c r="H375" s="101"/>
      <c r="I375" s="101"/>
      <c r="J375" s="90"/>
      <c r="K375" s="242"/>
      <c r="L375" s="91"/>
      <c r="M375" s="91"/>
      <c r="O375" s="94"/>
    </row>
    <row r="376" spans="1:15" s="93" customFormat="1">
      <c r="A376" s="102"/>
      <c r="B376" s="91"/>
      <c r="C376" s="92"/>
      <c r="D376" s="101"/>
      <c r="E376" s="101"/>
      <c r="F376" s="101"/>
      <c r="G376" s="101"/>
      <c r="H376" s="101"/>
      <c r="I376" s="101"/>
      <c r="J376" s="90"/>
      <c r="K376" s="242"/>
      <c r="L376" s="91"/>
      <c r="M376" s="91"/>
      <c r="O376" s="94"/>
    </row>
    <row r="377" spans="1:15" s="93" customFormat="1">
      <c r="A377" s="102"/>
      <c r="B377" s="91"/>
      <c r="C377" s="92"/>
      <c r="D377" s="101"/>
      <c r="E377" s="101"/>
      <c r="F377" s="101"/>
      <c r="G377" s="101"/>
      <c r="H377" s="101"/>
      <c r="I377" s="101"/>
      <c r="J377" s="90"/>
      <c r="K377" s="242"/>
      <c r="L377" s="91"/>
      <c r="M377" s="91"/>
      <c r="O377" s="94"/>
    </row>
    <row r="378" spans="1:15" s="93" customFormat="1">
      <c r="A378" s="102"/>
      <c r="B378" s="91"/>
      <c r="C378" s="92"/>
      <c r="D378" s="101"/>
      <c r="E378" s="101"/>
      <c r="F378" s="101"/>
      <c r="G378" s="101"/>
      <c r="H378" s="101"/>
      <c r="I378" s="101"/>
      <c r="J378" s="90"/>
      <c r="K378" s="242"/>
      <c r="L378" s="91"/>
      <c r="M378" s="91"/>
      <c r="O378" s="94"/>
    </row>
    <row r="379" spans="1:15" s="93" customFormat="1">
      <c r="A379" s="102"/>
      <c r="B379" s="91"/>
      <c r="C379" s="92"/>
      <c r="D379" s="101"/>
      <c r="E379" s="101"/>
      <c r="F379" s="101"/>
      <c r="G379" s="101"/>
      <c r="H379" s="101"/>
      <c r="I379" s="101"/>
      <c r="J379" s="90"/>
      <c r="K379" s="242"/>
      <c r="L379" s="91"/>
      <c r="M379" s="91"/>
      <c r="O379" s="94"/>
    </row>
    <row r="380" spans="1:15" s="93" customFormat="1">
      <c r="A380" s="102"/>
      <c r="B380" s="91"/>
      <c r="C380" s="92"/>
      <c r="D380" s="101"/>
      <c r="E380" s="101"/>
      <c r="F380" s="101"/>
      <c r="G380" s="101"/>
      <c r="H380" s="101"/>
      <c r="I380" s="101"/>
      <c r="J380" s="90"/>
      <c r="K380" s="242"/>
      <c r="L380" s="91"/>
      <c r="M380" s="91"/>
      <c r="O380" s="94"/>
    </row>
    <row r="381" spans="1:15" s="93" customFormat="1">
      <c r="A381" s="102"/>
      <c r="B381" s="91"/>
      <c r="C381" s="92"/>
      <c r="D381" s="101"/>
      <c r="E381" s="101"/>
      <c r="F381" s="101"/>
      <c r="G381" s="101"/>
      <c r="H381" s="101"/>
      <c r="I381" s="101"/>
      <c r="J381" s="90"/>
      <c r="K381" s="242"/>
      <c r="L381" s="91"/>
      <c r="M381" s="91"/>
      <c r="O381" s="94"/>
    </row>
    <row r="382" spans="1:15" s="93" customFormat="1">
      <c r="A382" s="102"/>
      <c r="B382" s="91"/>
      <c r="C382" s="92"/>
      <c r="D382" s="101"/>
      <c r="E382" s="101"/>
      <c r="F382" s="101"/>
      <c r="G382" s="101"/>
      <c r="H382" s="101"/>
      <c r="I382" s="101"/>
      <c r="J382" s="90"/>
      <c r="K382" s="242"/>
      <c r="L382" s="91"/>
      <c r="M382" s="91"/>
      <c r="O382" s="94"/>
    </row>
    <row r="383" spans="1:15" s="93" customFormat="1">
      <c r="A383" s="102"/>
      <c r="B383" s="91"/>
      <c r="C383" s="92"/>
      <c r="D383" s="101"/>
      <c r="E383" s="101"/>
      <c r="F383" s="101"/>
      <c r="G383" s="101"/>
      <c r="H383" s="101"/>
      <c r="I383" s="101"/>
      <c r="J383" s="90"/>
      <c r="K383" s="242"/>
      <c r="L383" s="91"/>
      <c r="M383" s="91"/>
      <c r="O383" s="94"/>
    </row>
    <row r="384" spans="1:15" s="93" customFormat="1">
      <c r="A384" s="102"/>
      <c r="B384" s="91"/>
      <c r="C384" s="92"/>
      <c r="D384" s="101"/>
      <c r="E384" s="101"/>
      <c r="F384" s="101"/>
      <c r="G384" s="101"/>
      <c r="H384" s="101"/>
      <c r="I384" s="101"/>
      <c r="J384" s="90"/>
      <c r="K384" s="242"/>
      <c r="L384" s="91"/>
      <c r="M384" s="91"/>
      <c r="O384" s="94"/>
    </row>
    <row r="385" spans="1:15" s="93" customFormat="1">
      <c r="A385" s="102"/>
      <c r="B385" s="91"/>
      <c r="C385" s="92"/>
      <c r="D385" s="101"/>
      <c r="E385" s="101"/>
      <c r="F385" s="101"/>
      <c r="G385" s="101"/>
      <c r="H385" s="101"/>
      <c r="I385" s="101"/>
      <c r="J385" s="90"/>
      <c r="K385" s="242"/>
      <c r="L385" s="91"/>
      <c r="M385" s="91"/>
      <c r="O385" s="94"/>
    </row>
    <row r="386" spans="1:15" s="93" customFormat="1">
      <c r="A386" s="102"/>
      <c r="B386" s="91"/>
      <c r="C386" s="92"/>
      <c r="D386" s="101"/>
      <c r="E386" s="101"/>
      <c r="F386" s="101"/>
      <c r="G386" s="101"/>
      <c r="H386" s="101"/>
      <c r="I386" s="101"/>
      <c r="J386" s="90"/>
      <c r="K386" s="242"/>
      <c r="L386" s="91"/>
      <c r="M386" s="91"/>
      <c r="O386" s="94"/>
    </row>
    <row r="387" spans="1:15" s="93" customFormat="1">
      <c r="A387" s="102"/>
      <c r="B387" s="91"/>
      <c r="C387" s="92"/>
      <c r="D387" s="101"/>
      <c r="E387" s="101"/>
      <c r="F387" s="101"/>
      <c r="G387" s="101"/>
      <c r="H387" s="101"/>
      <c r="I387" s="101"/>
      <c r="J387" s="90"/>
      <c r="K387" s="242"/>
      <c r="L387" s="91"/>
      <c r="M387" s="91"/>
      <c r="O387" s="94"/>
    </row>
    <row r="388" spans="1:15" s="93" customFormat="1">
      <c r="A388" s="102"/>
      <c r="B388" s="91"/>
      <c r="C388" s="92"/>
      <c r="D388" s="101"/>
      <c r="E388" s="101"/>
      <c r="F388" s="101"/>
      <c r="G388" s="101"/>
      <c r="H388" s="101"/>
      <c r="I388" s="101"/>
      <c r="J388" s="90"/>
      <c r="K388" s="242"/>
      <c r="L388" s="91"/>
      <c r="M388" s="91"/>
      <c r="O388" s="94"/>
    </row>
    <row r="389" spans="1:15" s="93" customFormat="1">
      <c r="A389" s="102"/>
      <c r="B389" s="91"/>
      <c r="C389" s="92"/>
      <c r="D389" s="101"/>
      <c r="E389" s="101"/>
      <c r="F389" s="101"/>
      <c r="G389" s="101"/>
      <c r="H389" s="101"/>
      <c r="I389" s="101"/>
      <c r="J389" s="90"/>
      <c r="K389" s="242"/>
      <c r="L389" s="91"/>
      <c r="M389" s="91"/>
      <c r="O389" s="94"/>
    </row>
    <row r="390" spans="1:15" s="93" customFormat="1">
      <c r="A390" s="102"/>
      <c r="B390" s="91"/>
      <c r="C390" s="92"/>
      <c r="D390" s="101"/>
      <c r="E390" s="101"/>
      <c r="F390" s="101"/>
      <c r="G390" s="101"/>
      <c r="H390" s="101"/>
      <c r="I390" s="101"/>
      <c r="J390" s="90"/>
      <c r="K390" s="242"/>
      <c r="L390" s="91"/>
      <c r="M390" s="91"/>
      <c r="O390" s="94"/>
    </row>
    <row r="391" spans="1:15" s="93" customFormat="1">
      <c r="A391" s="102"/>
      <c r="B391" s="91"/>
      <c r="C391" s="92"/>
      <c r="D391" s="101"/>
      <c r="E391" s="101"/>
      <c r="F391" s="101"/>
      <c r="G391" s="101"/>
      <c r="H391" s="101"/>
      <c r="I391" s="101"/>
      <c r="J391" s="90"/>
      <c r="K391" s="242"/>
      <c r="L391" s="91"/>
      <c r="M391" s="91"/>
      <c r="O391" s="94"/>
    </row>
    <row r="392" spans="1:15" s="93" customFormat="1">
      <c r="A392" s="102"/>
      <c r="B392" s="91"/>
      <c r="C392" s="92"/>
      <c r="D392" s="101"/>
      <c r="E392" s="101"/>
      <c r="F392" s="101"/>
      <c r="G392" s="101"/>
      <c r="H392" s="101"/>
      <c r="I392" s="101"/>
      <c r="J392" s="90"/>
      <c r="K392" s="242"/>
      <c r="L392" s="91"/>
      <c r="M392" s="91"/>
      <c r="O392" s="94"/>
    </row>
    <row r="393" spans="1:15" s="93" customFormat="1">
      <c r="A393" s="102"/>
      <c r="B393" s="91"/>
      <c r="C393" s="92"/>
      <c r="D393" s="101"/>
      <c r="E393" s="101"/>
      <c r="F393" s="101"/>
      <c r="G393" s="101"/>
      <c r="H393" s="101"/>
      <c r="I393" s="101"/>
      <c r="J393" s="90"/>
      <c r="K393" s="242"/>
      <c r="L393" s="91"/>
      <c r="M393" s="91"/>
      <c r="O393" s="94"/>
    </row>
    <row r="394" spans="1:15" s="93" customFormat="1">
      <c r="A394" s="102"/>
      <c r="B394" s="91"/>
      <c r="C394" s="92"/>
      <c r="D394" s="101"/>
      <c r="E394" s="101"/>
      <c r="F394" s="101"/>
      <c r="G394" s="101"/>
      <c r="H394" s="101"/>
      <c r="I394" s="101"/>
      <c r="J394" s="90"/>
      <c r="K394" s="242"/>
      <c r="L394" s="91"/>
      <c r="M394" s="91"/>
      <c r="O394" s="94"/>
    </row>
    <row r="395" spans="1:15" s="93" customFormat="1">
      <c r="A395" s="102"/>
      <c r="B395" s="91"/>
      <c r="C395" s="92"/>
      <c r="D395" s="101"/>
      <c r="E395" s="101"/>
      <c r="F395" s="101"/>
      <c r="G395" s="101"/>
      <c r="H395" s="101"/>
      <c r="I395" s="101"/>
      <c r="J395" s="90"/>
      <c r="K395" s="242"/>
      <c r="L395" s="91"/>
      <c r="M395" s="91"/>
      <c r="O395" s="94"/>
    </row>
    <row r="396" spans="1:15" s="93" customFormat="1">
      <c r="A396" s="102"/>
      <c r="B396" s="91"/>
      <c r="C396" s="92"/>
      <c r="D396" s="101"/>
      <c r="E396" s="101"/>
      <c r="F396" s="101"/>
      <c r="G396" s="101"/>
      <c r="H396" s="101"/>
      <c r="I396" s="101"/>
      <c r="J396" s="90"/>
      <c r="K396" s="242"/>
      <c r="L396" s="91"/>
      <c r="M396" s="91"/>
      <c r="O396" s="94"/>
    </row>
    <row r="397" spans="1:15" s="93" customFormat="1">
      <c r="A397" s="102"/>
      <c r="B397" s="91"/>
      <c r="C397" s="92"/>
      <c r="D397" s="101"/>
      <c r="E397" s="101"/>
      <c r="F397" s="101"/>
      <c r="G397" s="101"/>
      <c r="H397" s="101"/>
      <c r="I397" s="101"/>
      <c r="J397" s="90"/>
      <c r="K397" s="242"/>
      <c r="L397" s="91"/>
      <c r="M397" s="91"/>
      <c r="O397" s="94"/>
    </row>
    <row r="398" spans="1:15" s="93" customFormat="1">
      <c r="A398" s="102"/>
      <c r="B398" s="91"/>
      <c r="C398" s="92"/>
      <c r="D398" s="101"/>
      <c r="E398" s="101"/>
      <c r="F398" s="101"/>
      <c r="G398" s="101"/>
      <c r="H398" s="101"/>
      <c r="I398" s="101"/>
      <c r="J398" s="90"/>
      <c r="K398" s="242"/>
      <c r="L398" s="91"/>
      <c r="M398" s="91"/>
      <c r="O398" s="94"/>
    </row>
    <row r="399" spans="1:15" s="93" customFormat="1">
      <c r="A399" s="102"/>
      <c r="B399" s="91"/>
      <c r="C399" s="92"/>
      <c r="D399" s="101"/>
      <c r="E399" s="101"/>
      <c r="F399" s="101"/>
      <c r="G399" s="101"/>
      <c r="H399" s="101"/>
      <c r="I399" s="101"/>
      <c r="J399" s="90"/>
      <c r="K399" s="242"/>
      <c r="L399" s="91"/>
      <c r="M399" s="91"/>
      <c r="O399" s="94"/>
    </row>
    <row r="400" spans="1:15" s="93" customFormat="1">
      <c r="A400" s="102"/>
      <c r="B400" s="91"/>
      <c r="C400" s="92"/>
      <c r="D400" s="101"/>
      <c r="E400" s="101"/>
      <c r="F400" s="101"/>
      <c r="G400" s="101"/>
      <c r="H400" s="101"/>
      <c r="I400" s="101"/>
      <c r="J400" s="90"/>
      <c r="K400" s="242"/>
      <c r="L400" s="91"/>
      <c r="M400" s="91"/>
      <c r="O400" s="94"/>
    </row>
    <row r="401" spans="1:15" s="93" customFormat="1">
      <c r="A401" s="102"/>
      <c r="B401" s="91"/>
      <c r="C401" s="92"/>
      <c r="D401" s="101"/>
      <c r="E401" s="101"/>
      <c r="F401" s="101"/>
      <c r="G401" s="101"/>
      <c r="H401" s="101"/>
      <c r="I401" s="101"/>
      <c r="J401" s="90"/>
      <c r="K401" s="242"/>
      <c r="L401" s="91"/>
      <c r="M401" s="91"/>
      <c r="O401" s="94"/>
    </row>
    <row r="402" spans="1:15" s="93" customFormat="1">
      <c r="A402" s="102"/>
      <c r="B402" s="91"/>
      <c r="C402" s="92"/>
      <c r="D402" s="101"/>
      <c r="E402" s="101"/>
      <c r="F402" s="101"/>
      <c r="G402" s="101"/>
      <c r="H402" s="101"/>
      <c r="I402" s="101"/>
      <c r="J402" s="90"/>
      <c r="K402" s="242"/>
      <c r="L402" s="91"/>
      <c r="M402" s="91"/>
      <c r="O402" s="94"/>
    </row>
    <row r="403" spans="1:15" s="93" customFormat="1">
      <c r="A403" s="102"/>
      <c r="B403" s="91"/>
      <c r="C403" s="92"/>
      <c r="D403" s="101"/>
      <c r="E403" s="101"/>
      <c r="F403" s="101"/>
      <c r="G403" s="101"/>
      <c r="H403" s="101"/>
      <c r="I403" s="101"/>
      <c r="J403" s="90"/>
      <c r="K403" s="242"/>
      <c r="L403" s="91"/>
      <c r="M403" s="91"/>
      <c r="O403" s="94"/>
    </row>
    <row r="404" spans="1:15" s="93" customFormat="1">
      <c r="A404" s="102"/>
      <c r="B404" s="91"/>
      <c r="C404" s="92"/>
      <c r="D404" s="101"/>
      <c r="E404" s="101"/>
      <c r="F404" s="101"/>
      <c r="G404" s="101"/>
      <c r="H404" s="101"/>
      <c r="I404" s="101"/>
      <c r="J404" s="90"/>
      <c r="K404" s="242"/>
      <c r="L404" s="91"/>
      <c r="M404" s="91"/>
      <c r="O404" s="94"/>
    </row>
    <row r="405" spans="1:15" s="93" customFormat="1">
      <c r="A405" s="102"/>
      <c r="B405" s="91"/>
      <c r="C405" s="92"/>
      <c r="D405" s="101"/>
      <c r="E405" s="101"/>
      <c r="F405" s="101"/>
      <c r="G405" s="101"/>
      <c r="H405" s="101"/>
      <c r="I405" s="101"/>
      <c r="J405" s="90"/>
      <c r="K405" s="242"/>
      <c r="L405" s="91"/>
      <c r="M405" s="91"/>
      <c r="O405" s="94"/>
    </row>
    <row r="406" spans="1:15" s="93" customFormat="1">
      <c r="A406" s="102"/>
      <c r="B406" s="91"/>
      <c r="C406" s="92"/>
      <c r="D406" s="101"/>
      <c r="E406" s="101"/>
      <c r="F406" s="101"/>
      <c r="G406" s="101"/>
      <c r="H406" s="101"/>
      <c r="I406" s="101"/>
      <c r="J406" s="90"/>
      <c r="K406" s="242"/>
      <c r="L406" s="91"/>
      <c r="M406" s="91"/>
      <c r="O406" s="94"/>
    </row>
    <row r="407" spans="1:15" s="93" customFormat="1">
      <c r="A407" s="102"/>
      <c r="B407" s="91"/>
      <c r="C407" s="92"/>
      <c r="D407" s="101"/>
      <c r="E407" s="101"/>
      <c r="F407" s="101"/>
      <c r="G407" s="101"/>
      <c r="H407" s="101"/>
      <c r="I407" s="101"/>
      <c r="J407" s="90"/>
      <c r="K407" s="242"/>
      <c r="L407" s="91"/>
      <c r="M407" s="91"/>
      <c r="O407" s="94"/>
    </row>
    <row r="408" spans="1:15" s="93" customFormat="1">
      <c r="A408" s="102"/>
      <c r="B408" s="91"/>
      <c r="C408" s="92"/>
      <c r="D408" s="101"/>
      <c r="E408" s="101"/>
      <c r="F408" s="101"/>
      <c r="G408" s="101"/>
      <c r="H408" s="101"/>
      <c r="I408" s="101"/>
      <c r="J408" s="90"/>
      <c r="K408" s="242"/>
      <c r="L408" s="91"/>
      <c r="M408" s="91"/>
      <c r="O408" s="94"/>
    </row>
    <row r="409" spans="1:15" s="93" customFormat="1">
      <c r="A409" s="102"/>
      <c r="B409" s="91"/>
      <c r="C409" s="92"/>
      <c r="D409" s="101"/>
      <c r="E409" s="101"/>
      <c r="F409" s="101"/>
      <c r="G409" s="101"/>
      <c r="H409" s="101"/>
      <c r="I409" s="101"/>
      <c r="J409" s="90"/>
      <c r="K409" s="242"/>
      <c r="L409" s="91"/>
      <c r="M409" s="91"/>
      <c r="O409" s="94"/>
    </row>
    <row r="410" spans="1:15" s="93" customFormat="1">
      <c r="A410" s="102"/>
      <c r="B410" s="91"/>
      <c r="C410" s="92"/>
      <c r="D410" s="101"/>
      <c r="E410" s="101"/>
      <c r="F410" s="101"/>
      <c r="G410" s="101"/>
      <c r="H410" s="101"/>
      <c r="I410" s="101"/>
      <c r="J410" s="90"/>
      <c r="K410" s="242"/>
      <c r="L410" s="91"/>
      <c r="M410" s="91"/>
      <c r="O410" s="94"/>
    </row>
    <row r="411" spans="1:15" s="93" customFormat="1">
      <c r="A411" s="102"/>
      <c r="B411" s="91"/>
      <c r="C411" s="92"/>
      <c r="D411" s="101"/>
      <c r="E411" s="101"/>
      <c r="F411" s="101"/>
      <c r="G411" s="101"/>
      <c r="H411" s="101"/>
      <c r="I411" s="101"/>
      <c r="J411" s="90"/>
      <c r="K411" s="242"/>
      <c r="L411" s="91"/>
      <c r="M411" s="91"/>
      <c r="O411" s="94"/>
    </row>
    <row r="412" spans="1:15" s="93" customFormat="1">
      <c r="A412" s="102"/>
      <c r="B412" s="91"/>
      <c r="C412" s="92"/>
      <c r="D412" s="101"/>
      <c r="E412" s="101"/>
      <c r="F412" s="101"/>
      <c r="G412" s="101"/>
      <c r="H412" s="101"/>
      <c r="I412" s="101"/>
      <c r="J412" s="90"/>
      <c r="K412" s="242"/>
      <c r="L412" s="91"/>
      <c r="M412" s="91"/>
      <c r="O412" s="94"/>
    </row>
    <row r="413" spans="1:15" s="93" customFormat="1">
      <c r="A413" s="102"/>
      <c r="B413" s="91"/>
      <c r="C413" s="92"/>
      <c r="D413" s="101"/>
      <c r="E413" s="101"/>
      <c r="F413" s="101"/>
      <c r="G413" s="101"/>
      <c r="H413" s="101"/>
      <c r="I413" s="101"/>
      <c r="J413" s="90"/>
      <c r="K413" s="242"/>
      <c r="L413" s="91"/>
      <c r="M413" s="91"/>
      <c r="O413" s="94"/>
    </row>
    <row r="414" spans="1:15" s="93" customFormat="1">
      <c r="A414" s="102"/>
      <c r="B414" s="91"/>
      <c r="C414" s="92"/>
      <c r="D414" s="101"/>
      <c r="E414" s="101"/>
      <c r="F414" s="101"/>
      <c r="G414" s="101"/>
      <c r="H414" s="101"/>
      <c r="I414" s="101"/>
      <c r="J414" s="90"/>
      <c r="K414" s="242"/>
      <c r="L414" s="91"/>
      <c r="M414" s="91"/>
      <c r="O414" s="94"/>
    </row>
    <row r="415" spans="1:15" s="93" customFormat="1">
      <c r="A415" s="102"/>
      <c r="B415" s="91"/>
      <c r="C415" s="92"/>
      <c r="D415" s="101"/>
      <c r="E415" s="101"/>
      <c r="F415" s="101"/>
      <c r="G415" s="101"/>
      <c r="H415" s="101"/>
      <c r="I415" s="101"/>
      <c r="J415" s="90"/>
      <c r="K415" s="242"/>
      <c r="L415" s="91"/>
      <c r="M415" s="91"/>
      <c r="O415" s="94"/>
    </row>
    <row r="416" spans="1:15" s="93" customFormat="1">
      <c r="A416" s="102"/>
      <c r="B416" s="91"/>
      <c r="C416" s="92"/>
      <c r="D416" s="101"/>
      <c r="E416" s="101"/>
      <c r="F416" s="101"/>
      <c r="G416" s="101"/>
      <c r="H416" s="101"/>
      <c r="I416" s="101"/>
      <c r="J416" s="90"/>
      <c r="K416" s="242"/>
      <c r="L416" s="91"/>
      <c r="M416" s="91"/>
      <c r="O416" s="94"/>
    </row>
    <row r="417" spans="1:15" s="93" customFormat="1">
      <c r="A417" s="102"/>
      <c r="B417" s="91"/>
      <c r="C417" s="92"/>
      <c r="D417" s="101"/>
      <c r="E417" s="101"/>
      <c r="F417" s="101"/>
      <c r="G417" s="101"/>
      <c r="H417" s="101"/>
      <c r="I417" s="101"/>
      <c r="J417" s="90"/>
      <c r="K417" s="242"/>
      <c r="L417" s="91"/>
      <c r="M417" s="91"/>
      <c r="O417" s="94"/>
    </row>
    <row r="418" spans="1:15" s="93" customFormat="1">
      <c r="A418" s="102"/>
      <c r="B418" s="91"/>
      <c r="C418" s="92"/>
      <c r="D418" s="101"/>
      <c r="E418" s="101"/>
      <c r="F418" s="101"/>
      <c r="G418" s="101"/>
      <c r="H418" s="101"/>
      <c r="I418" s="101"/>
      <c r="J418" s="90"/>
      <c r="K418" s="242"/>
      <c r="L418" s="91"/>
      <c r="M418" s="91"/>
      <c r="O418" s="94"/>
    </row>
    <row r="419" spans="1:15" s="93" customFormat="1">
      <c r="A419" s="102"/>
      <c r="B419" s="91"/>
      <c r="C419" s="92"/>
      <c r="D419" s="101"/>
      <c r="E419" s="101"/>
      <c r="F419" s="101"/>
      <c r="G419" s="101"/>
      <c r="H419" s="101"/>
      <c r="I419" s="101"/>
      <c r="J419" s="90"/>
      <c r="K419" s="242"/>
      <c r="L419" s="91"/>
      <c r="M419" s="91"/>
      <c r="O419" s="94"/>
    </row>
    <row r="420" spans="1:15" s="93" customFormat="1">
      <c r="A420" s="102"/>
      <c r="B420" s="91"/>
      <c r="C420" s="92"/>
      <c r="D420" s="101"/>
      <c r="E420" s="101"/>
      <c r="F420" s="101"/>
      <c r="G420" s="101"/>
      <c r="H420" s="101"/>
      <c r="I420" s="101"/>
      <c r="J420" s="90"/>
      <c r="K420" s="242"/>
      <c r="L420" s="91"/>
      <c r="M420" s="91"/>
      <c r="O420" s="94"/>
    </row>
    <row r="421" spans="1:15" s="93" customFormat="1">
      <c r="A421" s="102"/>
      <c r="B421" s="91"/>
      <c r="C421" s="92"/>
      <c r="D421" s="101"/>
      <c r="E421" s="101"/>
      <c r="F421" s="101"/>
      <c r="G421" s="101"/>
      <c r="H421" s="101"/>
      <c r="I421" s="101"/>
      <c r="J421" s="90"/>
      <c r="K421" s="242"/>
      <c r="L421" s="91"/>
      <c r="M421" s="91"/>
      <c r="O421" s="94"/>
    </row>
    <row r="422" spans="1:15" s="93" customFormat="1">
      <c r="A422" s="102"/>
      <c r="B422" s="91"/>
      <c r="C422" s="92"/>
      <c r="D422" s="101"/>
      <c r="E422" s="101"/>
      <c r="F422" s="101"/>
      <c r="G422" s="101"/>
      <c r="H422" s="101"/>
      <c r="I422" s="101"/>
      <c r="J422" s="90"/>
      <c r="K422" s="242"/>
      <c r="L422" s="91"/>
      <c r="M422" s="91"/>
      <c r="O422" s="94"/>
    </row>
    <row r="423" spans="1:15" s="93" customFormat="1">
      <c r="A423" s="102"/>
      <c r="B423" s="91"/>
      <c r="C423" s="92"/>
      <c r="D423" s="101"/>
      <c r="E423" s="101"/>
      <c r="F423" s="101"/>
      <c r="G423" s="101"/>
      <c r="H423" s="101"/>
      <c r="I423" s="101"/>
      <c r="J423" s="90"/>
      <c r="K423" s="242"/>
      <c r="L423" s="91"/>
      <c r="M423" s="91"/>
      <c r="O423" s="94"/>
    </row>
    <row r="424" spans="1:15" s="93" customFormat="1">
      <c r="A424" s="102"/>
      <c r="B424" s="91"/>
      <c r="C424" s="92"/>
      <c r="D424" s="101"/>
      <c r="E424" s="101"/>
      <c r="F424" s="101"/>
      <c r="G424" s="101"/>
      <c r="H424" s="101"/>
      <c r="I424" s="101"/>
      <c r="J424" s="90"/>
      <c r="K424" s="242"/>
      <c r="L424" s="91"/>
      <c r="M424" s="91"/>
      <c r="O424" s="94"/>
    </row>
    <row r="425" spans="1:15" s="93" customFormat="1">
      <c r="A425" s="102"/>
      <c r="B425" s="91"/>
      <c r="C425" s="92"/>
      <c r="D425" s="101"/>
      <c r="E425" s="101"/>
      <c r="F425" s="101"/>
      <c r="G425" s="101"/>
      <c r="H425" s="101"/>
      <c r="I425" s="101"/>
      <c r="J425" s="90"/>
      <c r="K425" s="242"/>
      <c r="L425" s="91"/>
      <c r="M425" s="91"/>
      <c r="O425" s="94"/>
    </row>
    <row r="426" spans="1:15" s="93" customFormat="1">
      <c r="A426" s="102"/>
      <c r="B426" s="91"/>
      <c r="C426" s="92"/>
      <c r="D426" s="101"/>
      <c r="E426" s="101"/>
      <c r="F426" s="101"/>
      <c r="G426" s="101"/>
      <c r="H426" s="101"/>
      <c r="I426" s="101"/>
      <c r="J426" s="90"/>
      <c r="K426" s="242"/>
      <c r="L426" s="91"/>
      <c r="M426" s="91"/>
      <c r="O426" s="94"/>
    </row>
    <row r="427" spans="1:15" s="93" customFormat="1">
      <c r="A427" s="102"/>
      <c r="B427" s="91"/>
      <c r="C427" s="92"/>
      <c r="D427" s="101"/>
      <c r="E427" s="101"/>
      <c r="F427" s="101"/>
      <c r="G427" s="101"/>
      <c r="H427" s="101"/>
      <c r="I427" s="101"/>
      <c r="J427" s="90"/>
      <c r="K427" s="242"/>
      <c r="L427" s="91"/>
      <c r="M427" s="91"/>
      <c r="O427" s="94"/>
    </row>
    <row r="428" spans="1:15" s="93" customFormat="1">
      <c r="A428" s="102"/>
      <c r="B428" s="91"/>
      <c r="C428" s="92"/>
      <c r="D428" s="101"/>
      <c r="E428" s="101"/>
      <c r="F428" s="101"/>
      <c r="G428" s="101"/>
      <c r="H428" s="101"/>
      <c r="I428" s="101"/>
      <c r="J428" s="90"/>
      <c r="K428" s="242"/>
      <c r="L428" s="91"/>
      <c r="M428" s="91"/>
      <c r="O428" s="94"/>
    </row>
    <row r="429" spans="1:15" s="93" customFormat="1">
      <c r="A429" s="102"/>
      <c r="B429" s="91"/>
      <c r="C429" s="92"/>
      <c r="D429" s="101"/>
      <c r="E429" s="101"/>
      <c r="F429" s="101"/>
      <c r="G429" s="101"/>
      <c r="H429" s="101"/>
      <c r="I429" s="101"/>
      <c r="J429" s="90"/>
      <c r="K429" s="242"/>
      <c r="L429" s="91"/>
      <c r="M429" s="91"/>
      <c r="O429" s="94"/>
    </row>
    <row r="430" spans="1:15" s="93" customFormat="1">
      <c r="A430" s="102"/>
      <c r="B430" s="91"/>
      <c r="C430" s="92"/>
      <c r="D430" s="101"/>
      <c r="E430" s="101"/>
      <c r="F430" s="101"/>
      <c r="G430" s="101"/>
      <c r="H430" s="101"/>
      <c r="I430" s="101"/>
      <c r="J430" s="90"/>
      <c r="K430" s="242"/>
      <c r="L430" s="91"/>
      <c r="M430" s="91"/>
      <c r="O430" s="94"/>
    </row>
    <row r="431" spans="1:15" s="93" customFormat="1">
      <c r="A431" s="102"/>
      <c r="B431" s="91"/>
      <c r="C431" s="92"/>
      <c r="D431" s="101"/>
      <c r="E431" s="101"/>
      <c r="F431" s="101"/>
      <c r="G431" s="101"/>
      <c r="H431" s="101"/>
      <c r="I431" s="101"/>
      <c r="J431" s="90"/>
      <c r="K431" s="242"/>
      <c r="L431" s="91"/>
      <c r="M431" s="91"/>
      <c r="O431" s="94"/>
    </row>
    <row r="432" spans="1:15" s="93" customFormat="1">
      <c r="A432" s="102"/>
      <c r="B432" s="91"/>
      <c r="C432" s="92"/>
      <c r="D432" s="101"/>
      <c r="E432" s="101"/>
      <c r="F432" s="101"/>
      <c r="G432" s="101"/>
      <c r="H432" s="101"/>
      <c r="I432" s="101"/>
      <c r="J432" s="90"/>
      <c r="K432" s="242"/>
      <c r="L432" s="91"/>
      <c r="M432" s="91"/>
      <c r="O432" s="94"/>
    </row>
    <row r="433" spans="1:15" s="93" customFormat="1">
      <c r="A433" s="102"/>
      <c r="B433" s="91"/>
      <c r="C433" s="92"/>
      <c r="D433" s="101"/>
      <c r="E433" s="101"/>
      <c r="F433" s="101"/>
      <c r="G433" s="101"/>
      <c r="H433" s="101"/>
      <c r="I433" s="101"/>
      <c r="J433" s="90"/>
      <c r="K433" s="242"/>
      <c r="L433" s="91"/>
      <c r="M433" s="91"/>
      <c r="O433" s="94"/>
    </row>
    <row r="434" spans="1:15" s="93" customFormat="1">
      <c r="A434" s="102"/>
      <c r="B434" s="91"/>
      <c r="C434" s="92"/>
      <c r="D434" s="101"/>
      <c r="E434" s="101"/>
      <c r="F434" s="101"/>
      <c r="G434" s="101"/>
      <c r="H434" s="101"/>
      <c r="I434" s="101"/>
      <c r="J434" s="90"/>
      <c r="K434" s="242"/>
      <c r="L434" s="91"/>
      <c r="M434" s="91"/>
      <c r="O434" s="94"/>
    </row>
    <row r="435" spans="1:15" s="93" customFormat="1">
      <c r="A435" s="102"/>
      <c r="B435" s="91"/>
      <c r="C435" s="92"/>
      <c r="D435" s="101"/>
      <c r="E435" s="101"/>
      <c r="F435" s="101"/>
      <c r="G435" s="101"/>
      <c r="H435" s="101"/>
      <c r="I435" s="101"/>
      <c r="J435" s="90"/>
      <c r="K435" s="242"/>
      <c r="L435" s="91"/>
      <c r="M435" s="91"/>
      <c r="O435" s="94"/>
    </row>
    <row r="436" spans="1:15" s="93" customFormat="1">
      <c r="A436" s="102"/>
      <c r="B436" s="91"/>
      <c r="C436" s="92"/>
      <c r="D436" s="101"/>
      <c r="E436" s="101"/>
      <c r="F436" s="101"/>
      <c r="G436" s="101"/>
      <c r="H436" s="101"/>
      <c r="I436" s="101"/>
      <c r="J436" s="90"/>
      <c r="K436" s="242"/>
      <c r="L436" s="91"/>
      <c r="M436" s="91"/>
      <c r="O436" s="94"/>
    </row>
    <row r="437" spans="1:15" s="93" customFormat="1">
      <c r="A437" s="102"/>
      <c r="B437" s="91"/>
      <c r="C437" s="92"/>
      <c r="D437" s="101"/>
      <c r="E437" s="101"/>
      <c r="F437" s="101"/>
      <c r="G437" s="101"/>
      <c r="H437" s="101"/>
      <c r="I437" s="101"/>
      <c r="J437" s="90"/>
      <c r="K437" s="242"/>
      <c r="L437" s="91"/>
      <c r="M437" s="91"/>
      <c r="O437" s="94"/>
    </row>
    <row r="438" spans="1:15" s="93" customFormat="1">
      <c r="A438" s="102"/>
      <c r="B438" s="91"/>
      <c r="C438" s="92"/>
      <c r="D438" s="101"/>
      <c r="E438" s="101"/>
      <c r="F438" s="101"/>
      <c r="G438" s="101"/>
      <c r="H438" s="101"/>
      <c r="I438" s="101"/>
      <c r="J438" s="90"/>
      <c r="K438" s="242"/>
      <c r="L438" s="91"/>
      <c r="M438" s="91"/>
      <c r="O438" s="94"/>
    </row>
    <row r="439" spans="1:15" s="93" customFormat="1">
      <c r="A439" s="102"/>
      <c r="B439" s="91"/>
      <c r="C439" s="92"/>
      <c r="D439" s="101"/>
      <c r="E439" s="101"/>
      <c r="F439" s="101"/>
      <c r="G439" s="101"/>
      <c r="H439" s="101"/>
      <c r="I439" s="101"/>
      <c r="J439" s="90"/>
      <c r="K439" s="242"/>
      <c r="L439" s="91"/>
      <c r="M439" s="91"/>
      <c r="O439" s="94"/>
    </row>
    <row r="440" spans="1:15" s="93" customFormat="1">
      <c r="A440" s="102"/>
      <c r="B440" s="91"/>
      <c r="C440" s="92"/>
      <c r="D440" s="101"/>
      <c r="E440" s="101"/>
      <c r="F440" s="101"/>
      <c r="G440" s="101"/>
      <c r="H440" s="101"/>
      <c r="I440" s="101"/>
      <c r="J440" s="90"/>
      <c r="K440" s="242"/>
      <c r="L440" s="91"/>
      <c r="M440" s="91"/>
      <c r="O440" s="94"/>
    </row>
    <row r="441" spans="1:15" s="93" customFormat="1">
      <c r="A441" s="102"/>
      <c r="B441" s="91"/>
      <c r="C441" s="92"/>
      <c r="D441" s="101"/>
      <c r="E441" s="101"/>
      <c r="F441" s="101"/>
      <c r="G441" s="101"/>
      <c r="H441" s="101"/>
      <c r="I441" s="101"/>
      <c r="J441" s="90"/>
      <c r="K441" s="242"/>
      <c r="L441" s="91"/>
      <c r="M441" s="91"/>
      <c r="O441" s="94"/>
    </row>
    <row r="442" spans="1:15" s="93" customFormat="1">
      <c r="A442" s="102"/>
      <c r="B442" s="91"/>
      <c r="C442" s="92"/>
      <c r="D442" s="101"/>
      <c r="E442" s="101"/>
      <c r="F442" s="101"/>
      <c r="G442" s="101"/>
      <c r="H442" s="101"/>
      <c r="I442" s="101"/>
      <c r="J442" s="90"/>
      <c r="K442" s="242"/>
      <c r="L442" s="91"/>
      <c r="M442" s="91"/>
      <c r="O442" s="94"/>
    </row>
    <row r="443" spans="1:15" s="93" customFormat="1">
      <c r="A443" s="102"/>
      <c r="B443" s="91"/>
      <c r="C443" s="92"/>
      <c r="D443" s="101"/>
      <c r="E443" s="101"/>
      <c r="F443" s="101"/>
      <c r="G443" s="101"/>
      <c r="H443" s="101"/>
      <c r="I443" s="101"/>
      <c r="J443" s="90"/>
      <c r="K443" s="242"/>
      <c r="L443" s="91"/>
      <c r="M443" s="91"/>
      <c r="O443" s="94"/>
    </row>
    <row r="444" spans="1:15" s="93" customFormat="1">
      <c r="A444" s="102"/>
      <c r="B444" s="91"/>
      <c r="C444" s="92"/>
      <c r="D444" s="101"/>
      <c r="E444" s="101"/>
      <c r="F444" s="101"/>
      <c r="G444" s="101"/>
      <c r="H444" s="101"/>
      <c r="I444" s="101"/>
      <c r="J444" s="90"/>
      <c r="K444" s="242"/>
      <c r="L444" s="91"/>
      <c r="M444" s="91"/>
      <c r="O444" s="94"/>
    </row>
    <row r="445" spans="1:15" s="93" customFormat="1">
      <c r="A445" s="102"/>
      <c r="B445" s="91"/>
      <c r="C445" s="92"/>
      <c r="D445" s="101"/>
      <c r="E445" s="101"/>
      <c r="F445" s="101"/>
      <c r="G445" s="101"/>
      <c r="H445" s="101"/>
      <c r="I445" s="101"/>
      <c r="J445" s="90"/>
      <c r="K445" s="242"/>
      <c r="L445" s="91"/>
      <c r="M445" s="91"/>
      <c r="O445" s="94"/>
    </row>
    <row r="446" spans="1:15" s="93" customFormat="1">
      <c r="A446" s="102"/>
      <c r="B446" s="91"/>
      <c r="C446" s="92"/>
      <c r="D446" s="101"/>
      <c r="E446" s="101"/>
      <c r="F446" s="101"/>
      <c r="G446" s="101"/>
      <c r="H446" s="101"/>
      <c r="I446" s="101"/>
      <c r="J446" s="90"/>
      <c r="K446" s="242"/>
      <c r="L446" s="91"/>
      <c r="M446" s="91"/>
      <c r="O446" s="94"/>
    </row>
    <row r="447" spans="1:15" s="93" customFormat="1">
      <c r="A447" s="102"/>
      <c r="B447" s="91"/>
      <c r="C447" s="92"/>
      <c r="D447" s="101"/>
      <c r="E447" s="101"/>
      <c r="F447" s="101"/>
      <c r="G447" s="101"/>
      <c r="H447" s="101"/>
      <c r="I447" s="101"/>
      <c r="J447" s="90"/>
      <c r="K447" s="242"/>
      <c r="L447" s="91"/>
      <c r="M447" s="91"/>
      <c r="O447" s="94"/>
    </row>
    <row r="448" spans="1:15" s="93" customFormat="1">
      <c r="A448" s="102"/>
      <c r="B448" s="91"/>
      <c r="C448" s="92"/>
      <c r="D448" s="101"/>
      <c r="E448" s="101"/>
      <c r="F448" s="101"/>
      <c r="G448" s="101"/>
      <c r="H448" s="101"/>
      <c r="I448" s="101"/>
      <c r="J448" s="90"/>
      <c r="K448" s="242"/>
      <c r="L448" s="91"/>
      <c r="M448" s="91"/>
      <c r="O448" s="94"/>
    </row>
    <row r="449" spans="1:15" s="93" customFormat="1">
      <c r="A449" s="102"/>
      <c r="B449" s="91"/>
      <c r="C449" s="92"/>
      <c r="D449" s="101"/>
      <c r="E449" s="101"/>
      <c r="F449" s="101"/>
      <c r="G449" s="101"/>
      <c r="H449" s="101"/>
      <c r="I449" s="101"/>
      <c r="J449" s="90"/>
      <c r="K449" s="242"/>
      <c r="L449" s="91"/>
      <c r="M449" s="91"/>
      <c r="O449" s="94"/>
    </row>
    <row r="450" spans="1:15" s="93" customFormat="1">
      <c r="A450" s="102"/>
      <c r="B450" s="91"/>
      <c r="C450" s="92"/>
      <c r="D450" s="101"/>
      <c r="E450" s="101"/>
      <c r="F450" s="101"/>
      <c r="G450" s="101"/>
      <c r="H450" s="101"/>
      <c r="I450" s="101"/>
      <c r="J450" s="90"/>
      <c r="K450" s="242"/>
      <c r="L450" s="91"/>
      <c r="M450" s="91"/>
      <c r="O450" s="94"/>
    </row>
    <row r="451" spans="1:15" s="93" customFormat="1">
      <c r="A451" s="102"/>
      <c r="B451" s="91"/>
      <c r="C451" s="92"/>
      <c r="D451" s="101"/>
      <c r="E451" s="101"/>
      <c r="F451" s="101"/>
      <c r="G451" s="101"/>
      <c r="H451" s="101"/>
      <c r="I451" s="101"/>
      <c r="J451" s="90"/>
      <c r="K451" s="242"/>
      <c r="L451" s="91"/>
      <c r="M451" s="91"/>
      <c r="O451" s="94"/>
    </row>
    <row r="452" spans="1:15" s="93" customFormat="1">
      <c r="A452" s="102"/>
      <c r="B452" s="91"/>
      <c r="C452" s="92"/>
      <c r="D452" s="101"/>
      <c r="E452" s="101"/>
      <c r="F452" s="101"/>
      <c r="G452" s="101"/>
      <c r="H452" s="101"/>
      <c r="I452" s="101"/>
      <c r="J452" s="90"/>
      <c r="K452" s="242"/>
      <c r="L452" s="91"/>
      <c r="M452" s="91"/>
      <c r="O452" s="94"/>
    </row>
    <row r="453" spans="1:15" s="93" customFormat="1">
      <c r="A453" s="102"/>
      <c r="B453" s="91"/>
      <c r="C453" s="92"/>
      <c r="D453" s="101"/>
      <c r="E453" s="101"/>
      <c r="F453" s="101"/>
      <c r="G453" s="101"/>
      <c r="H453" s="101"/>
      <c r="I453" s="101"/>
      <c r="J453" s="90"/>
      <c r="K453" s="242"/>
      <c r="L453" s="91"/>
      <c r="M453" s="91"/>
      <c r="O453" s="94"/>
    </row>
    <row r="454" spans="1:15" s="93" customFormat="1">
      <c r="A454" s="102"/>
      <c r="B454" s="91"/>
      <c r="C454" s="92"/>
      <c r="D454" s="101"/>
      <c r="E454" s="101"/>
      <c r="F454" s="101"/>
      <c r="G454" s="101"/>
      <c r="H454" s="101"/>
      <c r="I454" s="101"/>
      <c r="J454" s="90"/>
      <c r="K454" s="242"/>
      <c r="L454" s="91"/>
      <c r="M454" s="91"/>
      <c r="O454" s="94"/>
    </row>
    <row r="455" spans="1:15" s="93" customFormat="1">
      <c r="A455" s="102"/>
      <c r="B455" s="91"/>
      <c r="C455" s="92"/>
      <c r="D455" s="101"/>
      <c r="E455" s="101"/>
      <c r="F455" s="101"/>
      <c r="G455" s="101"/>
      <c r="H455" s="101"/>
      <c r="I455" s="101"/>
      <c r="J455" s="90"/>
      <c r="K455" s="242"/>
      <c r="L455" s="91"/>
      <c r="M455" s="91"/>
      <c r="O455" s="94"/>
    </row>
    <row r="456" spans="1:15" s="93" customFormat="1">
      <c r="A456" s="102"/>
      <c r="B456" s="91"/>
      <c r="C456" s="92"/>
      <c r="D456" s="101"/>
      <c r="E456" s="101"/>
      <c r="F456" s="101"/>
      <c r="G456" s="101"/>
      <c r="H456" s="101"/>
      <c r="I456" s="101"/>
      <c r="J456" s="90"/>
      <c r="K456" s="242"/>
      <c r="L456" s="91"/>
      <c r="M456" s="91"/>
      <c r="O456" s="94"/>
    </row>
    <row r="457" spans="1:15" s="93" customFormat="1">
      <c r="A457" s="102"/>
      <c r="B457" s="91"/>
      <c r="C457" s="92"/>
      <c r="D457" s="101"/>
      <c r="E457" s="101"/>
      <c r="F457" s="101"/>
      <c r="G457" s="101"/>
      <c r="H457" s="101"/>
      <c r="I457" s="101"/>
      <c r="J457" s="90"/>
      <c r="K457" s="242"/>
      <c r="L457" s="91"/>
      <c r="M457" s="91"/>
      <c r="O457" s="94"/>
    </row>
    <row r="458" spans="1:15" s="93" customFormat="1">
      <c r="A458" s="102"/>
      <c r="B458" s="91"/>
      <c r="C458" s="92"/>
      <c r="D458" s="101"/>
      <c r="E458" s="101"/>
      <c r="F458" s="101"/>
      <c r="G458" s="101"/>
      <c r="H458" s="101"/>
      <c r="I458" s="101"/>
      <c r="J458" s="90"/>
      <c r="K458" s="242"/>
      <c r="L458" s="91"/>
      <c r="M458" s="91"/>
      <c r="O458" s="94"/>
    </row>
    <row r="459" spans="1:15" s="93" customFormat="1">
      <c r="A459" s="102"/>
      <c r="B459" s="91"/>
      <c r="C459" s="92"/>
      <c r="D459" s="101"/>
      <c r="E459" s="101"/>
      <c r="F459" s="101"/>
      <c r="G459" s="101"/>
      <c r="H459" s="101"/>
      <c r="I459" s="101"/>
      <c r="J459" s="90"/>
      <c r="K459" s="242"/>
      <c r="L459" s="91"/>
      <c r="M459" s="91"/>
      <c r="O459" s="94"/>
    </row>
    <row r="460" spans="1:15" s="93" customFormat="1">
      <c r="A460" s="102"/>
      <c r="B460" s="91"/>
      <c r="C460" s="92"/>
      <c r="D460" s="101"/>
      <c r="E460" s="101"/>
      <c r="F460" s="101"/>
      <c r="G460" s="101"/>
      <c r="H460" s="101"/>
      <c r="I460" s="101"/>
      <c r="J460" s="90"/>
      <c r="K460" s="242"/>
      <c r="L460" s="91"/>
      <c r="M460" s="91"/>
      <c r="O460" s="94"/>
    </row>
    <row r="461" spans="1:15" s="93" customFormat="1">
      <c r="A461" s="102"/>
      <c r="B461" s="91"/>
      <c r="C461" s="92"/>
      <c r="D461" s="101"/>
      <c r="E461" s="101"/>
      <c r="F461" s="101"/>
      <c r="G461" s="101"/>
      <c r="H461" s="101"/>
      <c r="I461" s="101"/>
      <c r="J461" s="90"/>
      <c r="K461" s="242"/>
      <c r="L461" s="91"/>
      <c r="M461" s="91"/>
      <c r="O461" s="94"/>
    </row>
    <row r="462" spans="1:15" s="93" customFormat="1">
      <c r="A462" s="102"/>
      <c r="B462" s="91"/>
      <c r="C462" s="92"/>
      <c r="D462" s="101"/>
      <c r="E462" s="101"/>
      <c r="F462" s="101"/>
      <c r="G462" s="101"/>
      <c r="H462" s="101"/>
      <c r="I462" s="101"/>
      <c r="J462" s="90"/>
      <c r="K462" s="242"/>
      <c r="L462" s="91"/>
      <c r="M462" s="91"/>
      <c r="O462" s="94"/>
    </row>
    <row r="463" spans="1:15" s="93" customFormat="1">
      <c r="A463" s="102"/>
      <c r="B463" s="91"/>
      <c r="C463" s="92"/>
      <c r="D463" s="101"/>
      <c r="E463" s="101"/>
      <c r="F463" s="101"/>
      <c r="G463" s="101"/>
      <c r="H463" s="101"/>
      <c r="I463" s="101"/>
      <c r="J463" s="90"/>
      <c r="K463" s="242"/>
      <c r="L463" s="91"/>
      <c r="M463" s="91"/>
      <c r="O463" s="94"/>
    </row>
    <row r="464" spans="1:15" s="93" customFormat="1">
      <c r="A464" s="102"/>
      <c r="B464" s="91"/>
      <c r="C464" s="92"/>
      <c r="D464" s="101"/>
      <c r="E464" s="101"/>
      <c r="F464" s="101"/>
      <c r="G464" s="101"/>
      <c r="H464" s="101"/>
      <c r="I464" s="101"/>
      <c r="J464" s="90"/>
      <c r="K464" s="242"/>
      <c r="L464" s="91"/>
      <c r="M464" s="91"/>
      <c r="O464" s="94"/>
    </row>
    <row r="465" spans="1:15" s="93" customFormat="1">
      <c r="A465" s="102"/>
      <c r="B465" s="91"/>
      <c r="C465" s="92"/>
      <c r="D465" s="101"/>
      <c r="E465" s="101"/>
      <c r="F465" s="101"/>
      <c r="G465" s="101"/>
      <c r="H465" s="101"/>
      <c r="I465" s="101"/>
      <c r="J465" s="90"/>
      <c r="K465" s="242"/>
      <c r="L465" s="91"/>
      <c r="M465" s="91"/>
      <c r="O465" s="94"/>
    </row>
    <row r="466" spans="1:15" s="93" customFormat="1">
      <c r="A466" s="102"/>
      <c r="B466" s="91"/>
      <c r="C466" s="92"/>
      <c r="D466" s="101"/>
      <c r="E466" s="101"/>
      <c r="F466" s="101"/>
      <c r="G466" s="101"/>
      <c r="H466" s="101"/>
      <c r="I466" s="101"/>
      <c r="J466" s="90"/>
      <c r="K466" s="242"/>
      <c r="L466" s="91"/>
      <c r="M466" s="91"/>
      <c r="O466" s="94"/>
    </row>
    <row r="467" spans="1:15" s="93" customFormat="1">
      <c r="A467" s="102"/>
      <c r="B467" s="91"/>
      <c r="C467" s="92"/>
      <c r="D467" s="101"/>
      <c r="E467" s="101"/>
      <c r="F467" s="101"/>
      <c r="G467" s="101"/>
      <c r="H467" s="101"/>
      <c r="I467" s="101"/>
      <c r="J467" s="90"/>
      <c r="K467" s="242"/>
      <c r="L467" s="91"/>
      <c r="M467" s="91"/>
      <c r="O467" s="94"/>
    </row>
    <row r="468" spans="1:15" s="93" customFormat="1">
      <c r="A468" s="102"/>
      <c r="B468" s="91"/>
      <c r="C468" s="92"/>
      <c r="D468" s="101"/>
      <c r="E468" s="101"/>
      <c r="F468" s="101"/>
      <c r="G468" s="101"/>
      <c r="H468" s="101"/>
      <c r="I468" s="101"/>
      <c r="J468" s="90"/>
      <c r="K468" s="242"/>
      <c r="L468" s="91"/>
      <c r="M468" s="91"/>
      <c r="O468" s="94"/>
    </row>
    <row r="469" spans="1:15" s="93" customFormat="1">
      <c r="A469" s="102"/>
      <c r="B469" s="91"/>
      <c r="C469" s="92"/>
      <c r="D469" s="101"/>
      <c r="E469" s="101"/>
      <c r="F469" s="101"/>
      <c r="G469" s="101"/>
      <c r="H469" s="101"/>
      <c r="I469" s="101"/>
      <c r="J469" s="90"/>
      <c r="K469" s="242"/>
      <c r="L469" s="91"/>
      <c r="M469" s="91"/>
      <c r="O469" s="94"/>
    </row>
    <row r="470" spans="1:15" s="93" customFormat="1">
      <c r="A470" s="102"/>
      <c r="B470" s="91"/>
      <c r="C470" s="92"/>
      <c r="D470" s="101"/>
      <c r="E470" s="101"/>
      <c r="F470" s="101"/>
      <c r="G470" s="101"/>
      <c r="H470" s="101"/>
      <c r="I470" s="101"/>
      <c r="J470" s="90"/>
      <c r="K470" s="242"/>
      <c r="L470" s="91"/>
      <c r="M470" s="91"/>
      <c r="O470" s="94"/>
    </row>
    <row r="471" spans="1:15" s="93" customFormat="1">
      <c r="A471" s="102"/>
      <c r="B471" s="91"/>
      <c r="C471" s="92"/>
      <c r="D471" s="101"/>
      <c r="E471" s="101"/>
      <c r="F471" s="101"/>
      <c r="G471" s="101"/>
      <c r="H471" s="101"/>
      <c r="I471" s="101"/>
      <c r="J471" s="90"/>
      <c r="K471" s="242"/>
      <c r="L471" s="91"/>
      <c r="M471" s="91"/>
      <c r="O471" s="94"/>
    </row>
    <row r="472" spans="1:15" s="93" customFormat="1">
      <c r="A472" s="102"/>
      <c r="B472" s="91"/>
      <c r="C472" s="92"/>
      <c r="D472" s="101"/>
      <c r="E472" s="101"/>
      <c r="F472" s="101"/>
      <c r="G472" s="101"/>
      <c r="H472" s="101"/>
      <c r="I472" s="101"/>
      <c r="J472" s="90"/>
      <c r="K472" s="242"/>
      <c r="L472" s="91"/>
      <c r="M472" s="91"/>
      <c r="O472" s="94"/>
    </row>
    <row r="473" spans="1:15" s="93" customFormat="1">
      <c r="A473" s="102"/>
      <c r="B473" s="91"/>
      <c r="C473" s="92"/>
      <c r="D473" s="101"/>
      <c r="E473" s="101"/>
      <c r="F473" s="101"/>
      <c r="G473" s="101"/>
      <c r="H473" s="101"/>
      <c r="I473" s="101"/>
      <c r="J473" s="90"/>
      <c r="K473" s="242"/>
      <c r="L473" s="91"/>
      <c r="M473" s="91"/>
      <c r="O473" s="94"/>
    </row>
    <row r="474" spans="1:15" s="93" customFormat="1">
      <c r="A474" s="102"/>
      <c r="B474" s="91"/>
      <c r="C474" s="92"/>
      <c r="D474" s="101"/>
      <c r="E474" s="101"/>
      <c r="F474" s="101"/>
      <c r="G474" s="101"/>
      <c r="H474" s="101"/>
      <c r="I474" s="101"/>
      <c r="J474" s="90"/>
      <c r="K474" s="242"/>
      <c r="L474" s="91"/>
      <c r="M474" s="91"/>
      <c r="O474" s="94"/>
    </row>
    <row r="475" spans="1:15" s="93" customFormat="1">
      <c r="A475" s="102"/>
      <c r="B475" s="91"/>
      <c r="C475" s="92"/>
      <c r="D475" s="101"/>
      <c r="E475" s="101"/>
      <c r="F475" s="101"/>
      <c r="G475" s="101"/>
      <c r="H475" s="101"/>
      <c r="I475" s="101"/>
      <c r="J475" s="90"/>
      <c r="K475" s="242"/>
      <c r="L475" s="91"/>
      <c r="M475" s="91"/>
      <c r="O475" s="94"/>
    </row>
    <row r="476" spans="1:15" s="93" customFormat="1">
      <c r="A476" s="102"/>
      <c r="B476" s="91"/>
      <c r="C476" s="92"/>
      <c r="D476" s="101"/>
      <c r="E476" s="101"/>
      <c r="F476" s="101"/>
      <c r="G476" s="101"/>
      <c r="H476" s="101"/>
      <c r="I476" s="101"/>
      <c r="J476" s="90"/>
      <c r="K476" s="242"/>
      <c r="L476" s="91"/>
      <c r="M476" s="91"/>
      <c r="O476" s="94"/>
    </row>
    <row r="477" spans="1:15" s="93" customFormat="1">
      <c r="A477" s="102"/>
      <c r="B477" s="91"/>
      <c r="C477" s="92"/>
      <c r="D477" s="101"/>
      <c r="E477" s="101"/>
      <c r="F477" s="101"/>
      <c r="G477" s="101"/>
      <c r="H477" s="101"/>
      <c r="I477" s="101"/>
      <c r="J477" s="90"/>
      <c r="K477" s="242"/>
      <c r="L477" s="91"/>
      <c r="M477" s="91"/>
      <c r="O477" s="94"/>
    </row>
    <row r="478" spans="1:15" s="93" customFormat="1">
      <c r="A478" s="102"/>
      <c r="B478" s="91"/>
      <c r="C478" s="92"/>
      <c r="D478" s="101"/>
      <c r="E478" s="101"/>
      <c r="F478" s="101"/>
      <c r="G478" s="101"/>
      <c r="H478" s="101"/>
      <c r="I478" s="101"/>
      <c r="J478" s="90"/>
      <c r="K478" s="242"/>
      <c r="L478" s="91"/>
      <c r="M478" s="91"/>
      <c r="O478" s="94"/>
    </row>
    <row r="479" spans="1:15" s="93" customFormat="1">
      <c r="A479" s="102"/>
      <c r="B479" s="91"/>
      <c r="C479" s="92"/>
      <c r="D479" s="101"/>
      <c r="E479" s="101"/>
      <c r="F479" s="101"/>
      <c r="G479" s="101"/>
      <c r="H479" s="101"/>
      <c r="I479" s="101"/>
      <c r="J479" s="90"/>
      <c r="K479" s="242"/>
      <c r="L479" s="91"/>
      <c r="M479" s="91"/>
      <c r="O479" s="94"/>
    </row>
    <row r="480" spans="1:15" s="93" customFormat="1">
      <c r="A480" s="102"/>
      <c r="B480" s="91"/>
      <c r="C480" s="92"/>
      <c r="D480" s="101"/>
      <c r="E480" s="101"/>
      <c r="F480" s="101"/>
      <c r="G480" s="101"/>
      <c r="H480" s="101"/>
      <c r="I480" s="101"/>
      <c r="J480" s="90"/>
      <c r="K480" s="242"/>
      <c r="L480" s="91"/>
      <c r="M480" s="91"/>
      <c r="O480" s="94"/>
    </row>
    <row r="481" spans="1:15" s="93" customFormat="1">
      <c r="A481" s="102"/>
      <c r="B481" s="91"/>
      <c r="C481" s="92"/>
      <c r="D481" s="101"/>
      <c r="E481" s="101"/>
      <c r="F481" s="101"/>
      <c r="G481" s="101"/>
      <c r="H481" s="101"/>
      <c r="I481" s="101"/>
      <c r="J481" s="90"/>
      <c r="K481" s="242"/>
      <c r="L481" s="91"/>
      <c r="M481" s="91"/>
      <c r="O481" s="94"/>
    </row>
    <row r="482" spans="1:15" s="93" customFormat="1">
      <c r="A482" s="102"/>
      <c r="B482" s="91"/>
      <c r="C482" s="92"/>
      <c r="D482" s="101"/>
      <c r="E482" s="101"/>
      <c r="F482" s="101"/>
      <c r="G482" s="101"/>
      <c r="H482" s="101"/>
      <c r="I482" s="101"/>
      <c r="J482" s="90"/>
      <c r="K482" s="242"/>
      <c r="L482" s="91"/>
      <c r="M482" s="91"/>
      <c r="O482" s="94"/>
    </row>
    <row r="483" spans="1:15" s="93" customFormat="1">
      <c r="A483" s="102"/>
      <c r="B483" s="91"/>
      <c r="C483" s="92"/>
      <c r="D483" s="101"/>
      <c r="E483" s="101"/>
      <c r="F483" s="101"/>
      <c r="G483" s="101"/>
      <c r="H483" s="101"/>
      <c r="I483" s="101"/>
      <c r="J483" s="90"/>
      <c r="K483" s="242"/>
      <c r="L483" s="91"/>
      <c r="M483" s="91"/>
      <c r="O483" s="94"/>
    </row>
    <row r="484" spans="1:15" s="93" customFormat="1">
      <c r="A484" s="102"/>
      <c r="B484" s="91"/>
      <c r="C484" s="92"/>
      <c r="D484" s="101"/>
      <c r="E484" s="101"/>
      <c r="F484" s="101"/>
      <c r="G484" s="101"/>
      <c r="H484" s="101"/>
      <c r="I484" s="101"/>
      <c r="J484" s="90"/>
      <c r="K484" s="242"/>
      <c r="L484" s="91"/>
      <c r="M484" s="91"/>
      <c r="O484" s="94"/>
    </row>
    <row r="485" spans="1:15" s="93" customFormat="1">
      <c r="A485" s="102"/>
      <c r="B485" s="91"/>
      <c r="C485" s="92"/>
      <c r="D485" s="101"/>
      <c r="E485" s="101"/>
      <c r="F485" s="101"/>
      <c r="G485" s="101"/>
      <c r="H485" s="101"/>
      <c r="I485" s="101"/>
      <c r="J485" s="90"/>
      <c r="K485" s="242"/>
      <c r="L485" s="91"/>
      <c r="M485" s="91"/>
      <c r="O485" s="94"/>
    </row>
    <row r="486" spans="1:15" s="93" customFormat="1">
      <c r="A486" s="102"/>
      <c r="B486" s="91"/>
      <c r="C486" s="92"/>
      <c r="D486" s="101"/>
      <c r="E486" s="101"/>
      <c r="F486" s="101"/>
      <c r="G486" s="101"/>
      <c r="H486" s="101"/>
      <c r="I486" s="101"/>
      <c r="J486" s="90"/>
      <c r="K486" s="242"/>
      <c r="L486" s="91"/>
      <c r="M486" s="91"/>
      <c r="O486" s="94"/>
    </row>
    <row r="487" spans="1:15" s="93" customFormat="1">
      <c r="A487" s="102"/>
      <c r="B487" s="91"/>
      <c r="C487" s="92"/>
      <c r="D487" s="101"/>
      <c r="E487" s="101"/>
      <c r="F487" s="101"/>
      <c r="G487" s="101"/>
      <c r="H487" s="101"/>
      <c r="I487" s="101"/>
      <c r="J487" s="90"/>
      <c r="K487" s="242"/>
      <c r="L487" s="91"/>
      <c r="M487" s="91"/>
      <c r="O487" s="94"/>
    </row>
    <row r="488" spans="1:15" s="93" customFormat="1">
      <c r="A488" s="102"/>
      <c r="B488" s="91"/>
      <c r="C488" s="92"/>
      <c r="D488" s="101"/>
      <c r="E488" s="101"/>
      <c r="F488" s="101"/>
      <c r="G488" s="101"/>
      <c r="H488" s="101"/>
      <c r="I488" s="101"/>
      <c r="J488" s="90"/>
      <c r="K488" s="242"/>
      <c r="L488" s="91"/>
      <c r="M488" s="91"/>
      <c r="O488" s="94"/>
    </row>
    <row r="489" spans="1:15" s="93" customFormat="1">
      <c r="A489" s="102"/>
      <c r="B489" s="91"/>
      <c r="C489" s="92"/>
      <c r="D489" s="101"/>
      <c r="E489" s="101"/>
      <c r="F489" s="101"/>
      <c r="G489" s="101"/>
      <c r="H489" s="101"/>
      <c r="I489" s="101"/>
      <c r="J489" s="90"/>
      <c r="K489" s="242"/>
      <c r="L489" s="91"/>
      <c r="M489" s="91"/>
      <c r="O489" s="94"/>
    </row>
    <row r="490" spans="1:15" s="93" customFormat="1">
      <c r="A490" s="102"/>
      <c r="B490" s="91"/>
      <c r="C490" s="92"/>
      <c r="D490" s="101"/>
      <c r="E490" s="101"/>
      <c r="F490" s="101"/>
      <c r="G490" s="101"/>
      <c r="H490" s="101"/>
      <c r="I490" s="101"/>
      <c r="J490" s="90"/>
      <c r="K490" s="242"/>
      <c r="L490" s="91"/>
      <c r="M490" s="91"/>
      <c r="O490" s="94"/>
    </row>
    <row r="491" spans="1:15" s="93" customFormat="1">
      <c r="A491" s="102"/>
      <c r="B491" s="91"/>
      <c r="C491" s="92"/>
      <c r="D491" s="101"/>
      <c r="E491" s="101"/>
      <c r="F491" s="101"/>
      <c r="G491" s="101"/>
      <c r="H491" s="101"/>
      <c r="I491" s="101"/>
      <c r="J491" s="90"/>
      <c r="K491" s="242"/>
      <c r="L491" s="91"/>
      <c r="M491" s="91"/>
      <c r="O491" s="94"/>
    </row>
  </sheetData>
  <autoFilter ref="A10:I364"/>
  <sortState ref="A11:G364">
    <sortCondition descending="1" ref="G11:G364"/>
  </sortState>
  <mergeCells count="7">
    <mergeCell ref="A368:I368"/>
    <mergeCell ref="A1:I1"/>
    <mergeCell ref="A2:J2"/>
    <mergeCell ref="A3:J3"/>
    <mergeCell ref="A4:J4"/>
    <mergeCell ref="A5:I5"/>
    <mergeCell ref="B7:F7"/>
  </mergeCells>
  <printOptions horizontalCentered="1"/>
  <pageMargins left="0.78740157480314965" right="0.78740157480314965" top="0.39370078740157483" bottom="0.39370078740157483" header="0.11811023622047245" footer="0.11811023622047245"/>
  <pageSetup paperSize="9" scale="61" orientation="portrait" r:id="rId1"/>
  <headerFooter alignWithMargins="0">
    <oddHeader>&amp;C&amp;F</oddHeader>
    <oddFooter>&amp;C&amp;P/&amp;N</oddFooter>
  </headerFooter>
  <drawing r:id="rId2"/>
  <legacyDrawing r:id="rId3"/>
  <oleObjects>
    <oleObject progId="Word.Picture.8" shapeId="79873" r:id="rId4"/>
    <oleObject progId="Word.Picture.8" shapeId="79874" r:id="rId5"/>
    <oleObject progId="Word.Picture.8" shapeId="79875" r:id="rId6"/>
    <oleObject progId="Word.Picture.8" shapeId="79876" r:id="rId7"/>
    <oleObject progId="Word.Picture.8" shapeId="79877" r:id="rId8"/>
    <oleObject progId="Word.Picture.8" shapeId="79878" r:id="rId9"/>
    <oleObject progId="Word.Picture.8" shapeId="79879" r:id="rId10"/>
    <oleObject progId="Word.Picture.8" shapeId="79880" r:id="rId11"/>
    <oleObject progId="Word.Picture.8" shapeId="79881" r:id="rId12"/>
    <oleObject progId="Word.Picture.8" shapeId="79882" r:id="rId13"/>
    <oleObject progId="Word.Picture.8" shapeId="79883" r:id="rId14"/>
    <oleObject progId="Word.Picture.8" shapeId="79884" r:id="rId15"/>
    <oleObject progId="Word.Picture.8" shapeId="79885" r:id="rId16"/>
    <oleObject progId="Word.Picture.8" shapeId="79886" r:id="rId17"/>
    <oleObject progId="Word.Picture.8" shapeId="79887" r:id="rId18"/>
    <oleObject progId="Word.Picture.8" shapeId="79888" r:id="rId19"/>
    <oleObject progId="Word.Picture.8" shapeId="79889" r:id="rId20"/>
    <oleObject progId="Word.Picture.8" shapeId="79890" r:id="rId21"/>
    <oleObject progId="Word.Picture.8" shapeId="79891" r:id="rId22"/>
    <oleObject progId="Word.Picture.8" shapeId="79892" r:id="rId23"/>
    <oleObject progId="Word.Picture.8" shapeId="79893" r:id="rId24"/>
    <oleObject progId="Word.Picture.8" shapeId="79894" r:id="rId25"/>
    <oleObject progId="Word.Picture.8" shapeId="79895" r:id="rId26"/>
    <oleObject progId="Word.Picture.8" shapeId="79896" r:id="rId27"/>
    <oleObject progId="Word.Picture.8" shapeId="79897" r:id="rId28"/>
    <oleObject progId="Word.Picture.8" shapeId="79898" r:id="rId29"/>
    <oleObject progId="Word.Picture.8" shapeId="79899" r:id="rId30"/>
    <oleObject progId="Word.Picture.8" shapeId="79900" r:id="rId31"/>
    <oleObject progId="Word.Picture.8" shapeId="79901" r:id="rId32"/>
    <oleObject progId="Word.Picture.8" shapeId="79902" r:id="rId33"/>
    <oleObject progId="Word.Picture.8" shapeId="79903" r:id="rId34"/>
    <oleObject progId="Word.Picture.8" shapeId="79904" r:id="rId35"/>
    <oleObject progId="Word.Picture.8" shapeId="79905" r:id="rId36"/>
    <oleObject progId="Word.Picture.8" shapeId="79906" r:id="rId37"/>
    <oleObject progId="Word.Picture.8" shapeId="79907" r:id="rId38"/>
    <oleObject progId="Word.Picture.8" shapeId="79908" r:id="rId39"/>
    <oleObject progId="Word.Picture.8" shapeId="79909" r:id="rId40"/>
    <oleObject progId="Word.Picture.8" shapeId="79910" r:id="rId41"/>
    <oleObject progId="Word.Picture.8" shapeId="79911" r:id="rId42"/>
    <oleObject progId="Word.Picture.8" shapeId="79912" r:id="rId43"/>
    <oleObject progId="Word.Picture.8" shapeId="79913" r:id="rId44"/>
    <oleObject progId="Word.Picture.8" shapeId="79914" r:id="rId45"/>
    <oleObject progId="Word.Picture.8" shapeId="79915" r:id="rId46"/>
    <oleObject progId="Word.Picture.8" shapeId="79916" r:id="rId47"/>
    <oleObject progId="Word.Picture.8" shapeId="79917" r:id="rId48"/>
    <oleObject progId="Word.Picture.8" shapeId="79918" r:id="rId49"/>
    <oleObject progId="Word.Picture.8" shapeId="79919" r:id="rId50"/>
    <oleObject progId="Word.Picture.8" shapeId="79920" r:id="rId51"/>
    <oleObject progId="Word.Picture.8" shapeId="79921" r:id="rId52"/>
    <oleObject progId="Word.Picture.8" shapeId="79922" r:id="rId53"/>
    <oleObject progId="Word.Picture.8" shapeId="79923" r:id="rId54"/>
    <oleObject progId="Word.Picture.8" shapeId="79924" r:id="rId55"/>
    <oleObject progId="Word.Picture.8" shapeId="79925" r:id="rId56"/>
    <oleObject progId="Word.Picture.8" shapeId="79926" r:id="rId57"/>
    <oleObject progId="Word.Picture.8" shapeId="79927" r:id="rId58"/>
    <oleObject progId="Word.Picture.8" shapeId="79928" r:id="rId59"/>
    <oleObject progId="Word.Picture.8" shapeId="79929" r:id="rId60"/>
    <oleObject progId="Word.Picture.8" shapeId="79930" r:id="rId61"/>
    <oleObject progId="Word.Picture.8" shapeId="79931" r:id="rId62"/>
    <oleObject progId="Word.Picture.8" shapeId="79932" r:id="rId63"/>
    <oleObject progId="Word.Picture.8" shapeId="79933" r:id="rId64"/>
    <oleObject progId="Word.Picture.8" shapeId="79934" r:id="rId65"/>
  </oleObjects>
</worksheet>
</file>

<file path=xl/worksheets/sheet12.xml><?xml version="1.0" encoding="utf-8"?>
<worksheet xmlns="http://schemas.openxmlformats.org/spreadsheetml/2006/main" xmlns:r="http://schemas.openxmlformats.org/officeDocument/2006/relationships">
  <sheetPr>
    <tabColor rgb="FFFF0000"/>
  </sheetPr>
  <dimension ref="A1:K56"/>
  <sheetViews>
    <sheetView showGridLines="0" view="pageBreakPreview" zoomScale="130" zoomScaleNormal="100" zoomScaleSheetLayoutView="130" workbookViewId="0">
      <selection activeCell="R20" sqref="R20"/>
    </sheetView>
  </sheetViews>
  <sheetFormatPr defaultColWidth="9.140625" defaultRowHeight="14.25"/>
  <cols>
    <col min="1" max="1" width="3.140625" style="274" customWidth="1"/>
    <col min="2" max="2" width="9.140625" style="274"/>
    <col min="3" max="3" width="4.42578125" style="274" customWidth="1"/>
    <col min="4" max="4" width="38" style="274" customWidth="1"/>
    <col min="5" max="5" width="2.42578125" style="274" customWidth="1"/>
    <col min="6" max="6" width="4.140625" style="274" customWidth="1"/>
    <col min="7" max="7" width="4" style="274" customWidth="1"/>
    <col min="8" max="8" width="11.42578125" style="274" customWidth="1"/>
    <col min="9" max="9" width="3.140625" style="274" customWidth="1"/>
    <col min="10" max="16384" width="9.140625" style="274"/>
  </cols>
  <sheetData>
    <row r="1" spans="1:11" ht="60.75" customHeight="1">
      <c r="A1" s="273"/>
      <c r="B1" s="273"/>
      <c r="C1" s="273"/>
      <c r="D1" s="273"/>
      <c r="E1" s="273"/>
      <c r="F1" s="273"/>
      <c r="G1" s="273"/>
      <c r="H1" s="273"/>
      <c r="I1" s="273"/>
    </row>
    <row r="2" spans="1:11" ht="15">
      <c r="A2" s="273"/>
      <c r="B2" s="777" t="s">
        <v>32</v>
      </c>
      <c r="C2" s="777"/>
      <c r="D2" s="777"/>
      <c r="E2" s="777"/>
      <c r="F2" s="777"/>
      <c r="G2" s="777"/>
      <c r="H2" s="777"/>
      <c r="I2" s="273"/>
      <c r="K2" s="275"/>
    </row>
    <row r="3" spans="1:11">
      <c r="A3" s="273"/>
      <c r="B3" s="778" t="s">
        <v>5103</v>
      </c>
      <c r="C3" s="778"/>
      <c r="D3" s="778"/>
      <c r="E3" s="778"/>
      <c r="F3" s="778"/>
      <c r="G3" s="778"/>
      <c r="H3" s="778"/>
      <c r="I3" s="273"/>
    </row>
    <row r="4" spans="1:11">
      <c r="A4" s="273"/>
      <c r="B4" s="778" t="s">
        <v>5083</v>
      </c>
      <c r="C4" s="778"/>
      <c r="D4" s="778"/>
      <c r="E4" s="778"/>
      <c r="F4" s="778"/>
      <c r="G4" s="778"/>
      <c r="H4" s="778"/>
      <c r="I4" s="273"/>
    </row>
    <row r="5" spans="1:11" ht="15" customHeight="1" thickBot="1">
      <c r="A5" s="273"/>
      <c r="B5" s="276"/>
      <c r="C5" s="276"/>
      <c r="D5" s="276"/>
      <c r="E5" s="276"/>
      <c r="F5" s="276"/>
      <c r="G5" s="276"/>
      <c r="H5" s="277" t="s">
        <v>5084</v>
      </c>
      <c r="I5" s="273"/>
    </row>
    <row r="6" spans="1:11" ht="15" thickBot="1">
      <c r="A6" s="273"/>
      <c r="B6" s="278" t="s">
        <v>5085</v>
      </c>
      <c r="C6" s="779" t="s">
        <v>5086</v>
      </c>
      <c r="D6" s="779"/>
      <c r="E6" s="779"/>
      <c r="F6" s="779"/>
      <c r="G6" s="779"/>
      <c r="H6" s="279" t="s">
        <v>5087</v>
      </c>
      <c r="I6" s="273"/>
    </row>
    <row r="7" spans="1:11" ht="15" thickTop="1">
      <c r="A7" s="273"/>
      <c r="B7" s="780" t="s">
        <v>5088</v>
      </c>
      <c r="C7" s="781"/>
      <c r="D7" s="781"/>
      <c r="E7" s="781"/>
      <c r="F7" s="781"/>
      <c r="G7" s="781"/>
      <c r="H7" s="782"/>
      <c r="I7" s="273"/>
    </row>
    <row r="8" spans="1:11">
      <c r="A8" s="273"/>
      <c r="B8" s="765" t="s">
        <v>33</v>
      </c>
      <c r="C8" s="768" t="s">
        <v>34</v>
      </c>
      <c r="D8" s="769"/>
      <c r="E8" s="769"/>
      <c r="F8" s="769"/>
      <c r="G8" s="770"/>
      <c r="H8" s="280">
        <v>3.7999999999999999E-2</v>
      </c>
      <c r="I8" s="273"/>
    </row>
    <row r="9" spans="1:11">
      <c r="A9" s="273"/>
      <c r="B9" s="766"/>
      <c r="C9" s="771" t="s">
        <v>35</v>
      </c>
      <c r="D9" s="772"/>
      <c r="E9" s="772"/>
      <c r="F9" s="772"/>
      <c r="G9" s="773"/>
      <c r="H9" s="280">
        <v>3.2000000000000002E-3</v>
      </c>
      <c r="I9" s="273"/>
    </row>
    <row r="10" spans="1:11">
      <c r="A10" s="273"/>
      <c r="B10" s="766"/>
      <c r="C10" s="771" t="s">
        <v>36</v>
      </c>
      <c r="D10" s="772"/>
      <c r="E10" s="772"/>
      <c r="F10" s="772"/>
      <c r="G10" s="773"/>
      <c r="H10" s="280">
        <v>5.0000000000000001E-3</v>
      </c>
      <c r="I10" s="273"/>
    </row>
    <row r="11" spans="1:11">
      <c r="A11" s="273"/>
      <c r="B11" s="767"/>
      <c r="C11" s="774" t="s">
        <v>37</v>
      </c>
      <c r="D11" s="775"/>
      <c r="E11" s="775"/>
      <c r="F11" s="775"/>
      <c r="G11" s="776"/>
      <c r="H11" s="280">
        <v>1.0200000000000001E-2</v>
      </c>
      <c r="I11" s="273"/>
    </row>
    <row r="12" spans="1:11" ht="15" thickBot="1">
      <c r="A12" s="273"/>
      <c r="B12" s="783" t="s">
        <v>5089</v>
      </c>
      <c r="C12" s="784"/>
      <c r="D12" s="784"/>
      <c r="E12" s="784"/>
      <c r="F12" s="784"/>
      <c r="G12" s="785"/>
      <c r="H12" s="281">
        <f>SUM(H8:H11)</f>
        <v>5.6399999999999999E-2</v>
      </c>
      <c r="I12" s="273"/>
    </row>
    <row r="13" spans="1:11" ht="15" thickTop="1">
      <c r="A13" s="273"/>
      <c r="B13" s="780" t="s">
        <v>5090</v>
      </c>
      <c r="C13" s="781"/>
      <c r="D13" s="781"/>
      <c r="E13" s="781"/>
      <c r="F13" s="781"/>
      <c r="G13" s="781"/>
      <c r="H13" s="782"/>
      <c r="I13" s="273"/>
    </row>
    <row r="14" spans="1:11">
      <c r="A14" s="273"/>
      <c r="B14" s="765" t="s">
        <v>38</v>
      </c>
      <c r="C14" s="768" t="s">
        <v>5091</v>
      </c>
      <c r="D14" s="769"/>
      <c r="E14" s="769"/>
      <c r="F14" s="769"/>
      <c r="G14" s="770"/>
      <c r="H14" s="282">
        <v>0.03</v>
      </c>
      <c r="I14" s="273"/>
    </row>
    <row r="15" spans="1:11">
      <c r="A15" s="273"/>
      <c r="B15" s="766"/>
      <c r="C15" s="771" t="s">
        <v>39</v>
      </c>
      <c r="D15" s="772"/>
      <c r="E15" s="772"/>
      <c r="F15" s="772"/>
      <c r="G15" s="773"/>
      <c r="H15" s="280">
        <v>6.4999999999999997E-3</v>
      </c>
      <c r="I15" s="273"/>
    </row>
    <row r="16" spans="1:11">
      <c r="A16" s="273"/>
      <c r="B16" s="766"/>
      <c r="C16" s="771" t="s">
        <v>5092</v>
      </c>
      <c r="D16" s="772"/>
      <c r="E16" s="772"/>
      <c r="F16" s="772"/>
      <c r="G16" s="773"/>
      <c r="H16" s="280">
        <f>INDEX('[10]Quadro Geral'!$B$5:$G$11,MATCH($B$3,'[10]Quadro Geral'!$A$5:$A$11,0),MATCH(C16,'[10]Quadro Geral'!$B$4:$G$4,0))</f>
        <v>0.01</v>
      </c>
      <c r="I16" s="273"/>
    </row>
    <row r="17" spans="1:9">
      <c r="A17" s="273"/>
      <c r="B17" s="767"/>
      <c r="C17" s="774" t="s">
        <v>5093</v>
      </c>
      <c r="D17" s="775"/>
      <c r="E17" s="775"/>
      <c r="F17" s="775"/>
      <c r="G17" s="776"/>
      <c r="H17" s="283">
        <f>IF(B4="COM Desoneração da Folha de Pagamento",0.045,0)</f>
        <v>0</v>
      </c>
      <c r="I17" s="273"/>
    </row>
    <row r="18" spans="1:9" ht="15" thickBot="1">
      <c r="A18" s="273"/>
      <c r="B18" s="783" t="s">
        <v>5094</v>
      </c>
      <c r="C18" s="784"/>
      <c r="D18" s="784"/>
      <c r="E18" s="784"/>
      <c r="F18" s="784"/>
      <c r="G18" s="785"/>
      <c r="H18" s="281">
        <f>SUM(H14:H17)</f>
        <v>4.65E-2</v>
      </c>
      <c r="I18" s="273"/>
    </row>
    <row r="19" spans="1:9" ht="15" thickTop="1">
      <c r="A19" s="273"/>
      <c r="B19" s="780" t="s">
        <v>5095</v>
      </c>
      <c r="C19" s="781"/>
      <c r="D19" s="781"/>
      <c r="E19" s="781"/>
      <c r="F19" s="781"/>
      <c r="G19" s="781"/>
      <c r="H19" s="782"/>
      <c r="I19" s="273"/>
    </row>
    <row r="20" spans="1:9">
      <c r="A20" s="273"/>
      <c r="B20" s="284" t="s">
        <v>40</v>
      </c>
      <c r="C20" s="787" t="s">
        <v>41</v>
      </c>
      <c r="D20" s="788"/>
      <c r="E20" s="788"/>
      <c r="F20" s="788"/>
      <c r="G20" s="789"/>
      <c r="H20" s="280">
        <v>6.6400000000000001E-2</v>
      </c>
      <c r="I20" s="273"/>
    </row>
    <row r="21" spans="1:9" ht="15" thickBot="1">
      <c r="A21" s="273"/>
      <c r="B21" s="783" t="s">
        <v>5096</v>
      </c>
      <c r="C21" s="784"/>
      <c r="D21" s="784"/>
      <c r="E21" s="784"/>
      <c r="F21" s="784"/>
      <c r="G21" s="785"/>
      <c r="H21" s="281">
        <f>SUM(H20:H20)</f>
        <v>6.6400000000000001E-2</v>
      </c>
      <c r="I21" s="273"/>
    </row>
    <row r="22" spans="1:9" ht="15.75" thickTop="1" thickBot="1">
      <c r="A22" s="273"/>
      <c r="B22" s="790" t="s">
        <v>31</v>
      </c>
      <c r="C22" s="791"/>
      <c r="D22" s="791"/>
      <c r="E22" s="791"/>
      <c r="F22" s="791"/>
      <c r="G22" s="792"/>
      <c r="H22" s="285">
        <f>((((((1+(H8+H9+H10))*((1+H11)*(1+H21)))/(1-H18))-1)*100))/100</f>
        <v>0.18201100192553743</v>
      </c>
      <c r="I22" s="273"/>
    </row>
    <row r="23" spans="1:9" ht="20.100000000000001" customHeight="1">
      <c r="A23" s="273"/>
      <c r="B23" s="286"/>
      <c r="C23" s="286"/>
      <c r="D23" s="286"/>
      <c r="E23" s="286"/>
      <c r="F23" s="286"/>
      <c r="G23" s="286"/>
      <c r="H23" s="286"/>
      <c r="I23" s="273"/>
    </row>
    <row r="24" spans="1:9" ht="15.75" customHeight="1">
      <c r="A24" s="273"/>
      <c r="B24" s="793" t="s">
        <v>5097</v>
      </c>
      <c r="C24" s="793"/>
      <c r="D24" s="793"/>
      <c r="E24" s="793"/>
      <c r="F24" s="793"/>
      <c r="G24" s="793"/>
      <c r="H24" s="793"/>
      <c r="I24" s="273"/>
    </row>
    <row r="25" spans="1:9" ht="21" customHeight="1">
      <c r="A25" s="273"/>
      <c r="B25" s="794" t="s">
        <v>42</v>
      </c>
      <c r="C25" s="795" t="s">
        <v>43</v>
      </c>
      <c r="D25" s="287" t="s">
        <v>5098</v>
      </c>
      <c r="E25" s="796" t="s">
        <v>44</v>
      </c>
      <c r="F25" s="797">
        <v>-1</v>
      </c>
      <c r="G25" s="798" t="s">
        <v>45</v>
      </c>
      <c r="H25" s="786" t="s">
        <v>46</v>
      </c>
      <c r="I25" s="273"/>
    </row>
    <row r="26" spans="1:9" ht="21" customHeight="1">
      <c r="A26" s="273"/>
      <c r="B26" s="794"/>
      <c r="C26" s="795"/>
      <c r="D26" s="288" t="s">
        <v>47</v>
      </c>
      <c r="E26" s="796"/>
      <c r="F26" s="797"/>
      <c r="G26" s="798"/>
      <c r="H26" s="786"/>
      <c r="I26" s="273"/>
    </row>
    <row r="27" spans="1:9" ht="3" customHeight="1">
      <c r="A27" s="273"/>
      <c r="B27" s="289"/>
      <c r="C27" s="289"/>
      <c r="D27" s="289"/>
      <c r="E27" s="289"/>
      <c r="F27" s="289"/>
      <c r="G27" s="289"/>
      <c r="H27" s="289"/>
      <c r="I27" s="273"/>
    </row>
    <row r="28" spans="1:9">
      <c r="A28" s="273"/>
      <c r="B28" s="290" t="s">
        <v>48</v>
      </c>
      <c r="C28" s="799" t="s">
        <v>49</v>
      </c>
      <c r="D28" s="799"/>
      <c r="E28" s="799"/>
      <c r="F28" s="799"/>
      <c r="G28" s="799"/>
      <c r="H28" s="799"/>
      <c r="I28" s="273"/>
    </row>
    <row r="29" spans="1:9">
      <c r="A29" s="273"/>
      <c r="B29" s="290" t="s">
        <v>50</v>
      </c>
      <c r="C29" s="799" t="s">
        <v>51</v>
      </c>
      <c r="D29" s="799"/>
      <c r="E29" s="799"/>
      <c r="F29" s="799"/>
      <c r="G29" s="799"/>
      <c r="H29" s="799"/>
      <c r="I29" s="273"/>
    </row>
    <row r="30" spans="1:9">
      <c r="A30" s="273"/>
      <c r="B30" s="290" t="s">
        <v>52</v>
      </c>
      <c r="C30" s="799" t="s">
        <v>53</v>
      </c>
      <c r="D30" s="799"/>
      <c r="E30" s="799"/>
      <c r="F30" s="799"/>
      <c r="G30" s="799"/>
      <c r="H30" s="799"/>
      <c r="I30" s="273"/>
    </row>
    <row r="31" spans="1:9">
      <c r="A31" s="273"/>
      <c r="B31" s="290" t="s">
        <v>54</v>
      </c>
      <c r="C31" s="799" t="s">
        <v>55</v>
      </c>
      <c r="D31" s="799"/>
      <c r="E31" s="799"/>
      <c r="F31" s="799"/>
      <c r="G31" s="799"/>
      <c r="H31" s="799"/>
      <c r="I31" s="273"/>
    </row>
    <row r="32" spans="1:9">
      <c r="A32" s="273"/>
      <c r="B32" s="290" t="s">
        <v>56</v>
      </c>
      <c r="C32" s="799" t="s">
        <v>57</v>
      </c>
      <c r="D32" s="799"/>
      <c r="E32" s="799"/>
      <c r="F32" s="799"/>
      <c r="G32" s="799"/>
      <c r="H32" s="799"/>
      <c r="I32" s="273"/>
    </row>
    <row r="33" spans="1:9">
      <c r="A33" s="273"/>
      <c r="B33" s="290" t="s">
        <v>4</v>
      </c>
      <c r="C33" s="799" t="s">
        <v>58</v>
      </c>
      <c r="D33" s="799"/>
      <c r="E33" s="799"/>
      <c r="F33" s="799"/>
      <c r="G33" s="799"/>
      <c r="H33" s="799"/>
      <c r="I33" s="273"/>
    </row>
    <row r="34" spans="1:9">
      <c r="A34" s="273"/>
      <c r="B34" s="290" t="s">
        <v>59</v>
      </c>
      <c r="C34" s="799" t="s">
        <v>5099</v>
      </c>
      <c r="D34" s="799"/>
      <c r="E34" s="799"/>
      <c r="F34" s="799"/>
      <c r="G34" s="799"/>
      <c r="H34" s="799"/>
      <c r="I34" s="273"/>
    </row>
    <row r="35" spans="1:9" s="293" customFormat="1" ht="44.25" customHeight="1">
      <c r="A35" s="291"/>
      <c r="B35" s="292"/>
      <c r="C35" s="800" t="s">
        <v>5100</v>
      </c>
      <c r="D35" s="800"/>
      <c r="E35" s="800"/>
      <c r="F35" s="800"/>
      <c r="G35" s="800"/>
      <c r="H35" s="800"/>
      <c r="I35" s="291"/>
    </row>
    <row r="36" spans="1:9" ht="15" customHeight="1">
      <c r="A36" s="273"/>
      <c r="B36" s="289"/>
      <c r="C36" s="289"/>
      <c r="D36" s="289"/>
      <c r="E36" s="289"/>
      <c r="F36" s="289"/>
      <c r="G36" s="289"/>
      <c r="H36" s="289"/>
      <c r="I36" s="273"/>
    </row>
    <row r="37" spans="1:9">
      <c r="A37" s="273"/>
      <c r="B37" s="801" t="s">
        <v>5101</v>
      </c>
      <c r="C37" s="801"/>
      <c r="D37" s="801"/>
      <c r="E37" s="801"/>
      <c r="F37" s="801"/>
      <c r="G37" s="801"/>
      <c r="H37" s="801"/>
      <c r="I37" s="273"/>
    </row>
    <row r="38" spans="1:9">
      <c r="A38" s="273"/>
      <c r="B38" s="801" t="s">
        <v>5102</v>
      </c>
      <c r="C38" s="801"/>
      <c r="D38" s="801"/>
      <c r="E38" s="801"/>
      <c r="F38" s="801"/>
      <c r="G38" s="801"/>
      <c r="H38" s="801"/>
      <c r="I38" s="273"/>
    </row>
    <row r="39" spans="1:9" ht="5.0999999999999996" customHeight="1">
      <c r="A39" s="273"/>
      <c r="B39" s="273"/>
      <c r="C39" s="273"/>
      <c r="D39" s="273"/>
      <c r="E39" s="273"/>
      <c r="F39" s="273"/>
      <c r="G39" s="273"/>
      <c r="H39" s="273"/>
      <c r="I39" s="273"/>
    </row>
    <row r="43" spans="1:9" hidden="1">
      <c r="B43" s="294" t="s">
        <v>5082</v>
      </c>
    </row>
    <row r="44" spans="1:9" hidden="1">
      <c r="B44" s="294" t="s">
        <v>5103</v>
      </c>
    </row>
    <row r="45" spans="1:9" hidden="1">
      <c r="B45" s="294" t="str">
        <f>'[10]Quadro Comparativo'!A9</f>
        <v>Drenagem Pluvial, Redes de Abastecimento de Água, Coleta de Esgoto e Construções Correlatas</v>
      </c>
    </row>
    <row r="46" spans="1:9" hidden="1">
      <c r="B46" s="294" t="str">
        <f>'[10]Quadro Comparativo'!A10</f>
        <v>Drenagem Pluvial com Pavimentação</v>
      </c>
    </row>
    <row r="47" spans="1:9" hidden="1">
      <c r="B47" s="294" t="str">
        <f>'[10]Quadro Comparativo'!A11</f>
        <v>Paisagismo, Parques e Jardins</v>
      </c>
    </row>
    <row r="48" spans="1:9" hidden="1">
      <c r="B48" s="294" t="str">
        <f>'[10]Quadro Comparativo'!A12</f>
        <v>Obras de Menor Complexidade (Praças, Calçadas, Ciclovias, Meios Fios, Quiosques e Obras Correlatas)</v>
      </c>
    </row>
    <row r="49" spans="2:10" hidden="1">
      <c r="B49" s="294" t="str">
        <f>'[10]Quadro Comparativo'!A13</f>
        <v>Fornecimento de Materiais Betuminosos e Outros Materiais e Equipamentos de Grande Relevância de Natureza Específica</v>
      </c>
    </row>
    <row r="50" spans="2:10" hidden="1"/>
    <row r="51" spans="2:10" hidden="1">
      <c r="B51" s="294" t="s">
        <v>5104</v>
      </c>
    </row>
    <row r="52" spans="2:10" hidden="1">
      <c r="B52" s="294" t="s">
        <v>5083</v>
      </c>
    </row>
    <row r="53" spans="2:10" hidden="1"/>
    <row r="54" spans="2:10" hidden="1">
      <c r="B54" s="294" t="s">
        <v>5105</v>
      </c>
    </row>
    <row r="55" spans="2:10" hidden="1">
      <c r="B55" s="294" t="s">
        <v>5084</v>
      </c>
      <c r="H55" s="295"/>
      <c r="I55" s="295"/>
      <c r="J55" s="295"/>
    </row>
    <row r="56" spans="2:10" hidden="1">
      <c r="B56" s="294" t="s">
        <v>5106</v>
      </c>
    </row>
  </sheetData>
  <mergeCells count="39">
    <mergeCell ref="C34:H34"/>
    <mergeCell ref="C35:H35"/>
    <mergeCell ref="B37:H37"/>
    <mergeCell ref="B38:H38"/>
    <mergeCell ref="C28:H28"/>
    <mergeCell ref="C29:H29"/>
    <mergeCell ref="C30:H30"/>
    <mergeCell ref="C31:H31"/>
    <mergeCell ref="C32:H32"/>
    <mergeCell ref="C33:H33"/>
    <mergeCell ref="H25:H26"/>
    <mergeCell ref="B18:G18"/>
    <mergeCell ref="B19:H19"/>
    <mergeCell ref="C20:G20"/>
    <mergeCell ref="B21:G21"/>
    <mergeCell ref="B22:G22"/>
    <mergeCell ref="B24:H24"/>
    <mergeCell ref="B25:B26"/>
    <mergeCell ref="C25:C26"/>
    <mergeCell ref="E25:E26"/>
    <mergeCell ref="F25:F26"/>
    <mergeCell ref="G25:G26"/>
    <mergeCell ref="B12:G12"/>
    <mergeCell ref="B13:H13"/>
    <mergeCell ref="B14:B17"/>
    <mergeCell ref="C14:G14"/>
    <mergeCell ref="C15:G15"/>
    <mergeCell ref="C16:G16"/>
    <mergeCell ref="C17:G17"/>
    <mergeCell ref="B2:H2"/>
    <mergeCell ref="B3:H3"/>
    <mergeCell ref="B4:H4"/>
    <mergeCell ref="C6:G6"/>
    <mergeCell ref="B7:H7"/>
    <mergeCell ref="B8:B11"/>
    <mergeCell ref="C8:G8"/>
    <mergeCell ref="C9:G9"/>
    <mergeCell ref="C10:G10"/>
    <mergeCell ref="C11:G11"/>
  </mergeCells>
  <dataValidations count="3">
    <dataValidation type="list" allowBlank="1" showInputMessage="1" showErrorMessage="1" sqref="B3:H3">
      <formula1>$B$43:$B$49</formula1>
    </dataValidation>
    <dataValidation type="list" allowBlank="1" showInputMessage="1" showErrorMessage="1" sqref="B4:H4">
      <formula1>$B$51:$B$52</formula1>
    </dataValidation>
    <dataValidation type="list" allowBlank="1" showInputMessage="1" showErrorMessage="1" sqref="H5">
      <formula1>$B$54:$B$56</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headerFooter>
    <oddHeader>&amp;C&amp;F</oddHeader>
  </headerFooter>
  <drawing r:id="rId2"/>
</worksheet>
</file>

<file path=xl/worksheets/sheet13.xml><?xml version="1.0" encoding="utf-8"?>
<worksheet xmlns="http://schemas.openxmlformats.org/spreadsheetml/2006/main" xmlns:r="http://schemas.openxmlformats.org/officeDocument/2006/relationships">
  <sheetPr>
    <tabColor rgb="FFFF0000"/>
  </sheetPr>
  <dimension ref="A1:K56"/>
  <sheetViews>
    <sheetView showGridLines="0" view="pageBreakPreview" zoomScale="130" zoomScaleNormal="100" zoomScaleSheetLayoutView="130" workbookViewId="0">
      <selection activeCell="N4" sqref="N4"/>
    </sheetView>
  </sheetViews>
  <sheetFormatPr defaultColWidth="9.140625" defaultRowHeight="14.25"/>
  <cols>
    <col min="1" max="1" width="3.140625" style="274" customWidth="1"/>
    <col min="2" max="2" width="9.140625" style="274"/>
    <col min="3" max="3" width="4.42578125" style="274" customWidth="1"/>
    <col min="4" max="4" width="38" style="274" customWidth="1"/>
    <col min="5" max="5" width="2.42578125" style="274" customWidth="1"/>
    <col min="6" max="6" width="4.140625" style="274" customWidth="1"/>
    <col min="7" max="7" width="4" style="274" customWidth="1"/>
    <col min="8" max="8" width="11.42578125" style="274" customWidth="1"/>
    <col min="9" max="9" width="3.140625" style="274" customWidth="1"/>
    <col min="10" max="16384" width="9.140625" style="274"/>
  </cols>
  <sheetData>
    <row r="1" spans="1:11" ht="60.75" customHeight="1">
      <c r="A1" s="273"/>
      <c r="B1" s="273"/>
      <c r="C1" s="273"/>
      <c r="D1" s="273"/>
      <c r="E1" s="273"/>
      <c r="F1" s="273"/>
      <c r="G1" s="273"/>
      <c r="H1" s="273"/>
      <c r="I1" s="273"/>
    </row>
    <row r="2" spans="1:11" ht="15">
      <c r="A2" s="273"/>
      <c r="B2" s="777" t="s">
        <v>32</v>
      </c>
      <c r="C2" s="777"/>
      <c r="D2" s="777"/>
      <c r="E2" s="777"/>
      <c r="F2" s="777"/>
      <c r="G2" s="777"/>
      <c r="H2" s="777"/>
      <c r="I2" s="273"/>
      <c r="K2" s="294"/>
    </row>
    <row r="3" spans="1:11" ht="33" customHeight="1">
      <c r="A3" s="273"/>
      <c r="B3" s="802" t="s">
        <v>5107</v>
      </c>
      <c r="C3" s="802"/>
      <c r="D3" s="802"/>
      <c r="E3" s="802"/>
      <c r="F3" s="802"/>
      <c r="G3" s="802"/>
      <c r="H3" s="802"/>
      <c r="I3" s="273"/>
    </row>
    <row r="4" spans="1:11">
      <c r="A4" s="273"/>
      <c r="B4" s="778" t="s">
        <v>5083</v>
      </c>
      <c r="C4" s="778"/>
      <c r="D4" s="778"/>
      <c r="E4" s="778"/>
      <c r="F4" s="778"/>
      <c r="G4" s="778"/>
      <c r="H4" s="778"/>
      <c r="I4" s="273"/>
    </row>
    <row r="5" spans="1:11" ht="15" customHeight="1" thickBot="1">
      <c r="A5" s="273"/>
      <c r="B5" s="276"/>
      <c r="C5" s="276"/>
      <c r="D5" s="276"/>
      <c r="E5" s="276"/>
      <c r="F5" s="276"/>
      <c r="G5" s="276"/>
      <c r="H5" s="277" t="s">
        <v>5105</v>
      </c>
      <c r="I5" s="273"/>
    </row>
    <row r="6" spans="1:11" ht="15" thickBot="1">
      <c r="A6" s="273"/>
      <c r="B6" s="278" t="s">
        <v>5085</v>
      </c>
      <c r="C6" s="779" t="s">
        <v>5086</v>
      </c>
      <c r="D6" s="779"/>
      <c r="E6" s="779"/>
      <c r="F6" s="779"/>
      <c r="G6" s="779"/>
      <c r="H6" s="279" t="s">
        <v>5087</v>
      </c>
      <c r="I6" s="273"/>
    </row>
    <row r="7" spans="1:11" ht="15" thickTop="1">
      <c r="A7" s="273"/>
      <c r="B7" s="780" t="s">
        <v>5088</v>
      </c>
      <c r="C7" s="781"/>
      <c r="D7" s="781"/>
      <c r="E7" s="781"/>
      <c r="F7" s="781"/>
      <c r="G7" s="781"/>
      <c r="H7" s="782"/>
      <c r="I7" s="273"/>
    </row>
    <row r="8" spans="1:11">
      <c r="A8" s="273"/>
      <c r="B8" s="765" t="s">
        <v>33</v>
      </c>
      <c r="C8" s="768" t="s">
        <v>34</v>
      </c>
      <c r="D8" s="769"/>
      <c r="E8" s="769"/>
      <c r="F8" s="769"/>
      <c r="G8" s="770"/>
      <c r="H8" s="282">
        <f>INDEX('[10]Quadro Geral'!$B$5:$G$11,MATCH($B$3,'[10]Quadro Geral'!$A$5:$A$11,0),MATCH(C8,'[10]Quadro Geral'!$B$4:$G$4,0))</f>
        <v>1.4999999999999999E-2</v>
      </c>
      <c r="I8" s="273"/>
    </row>
    <row r="9" spans="1:11">
      <c r="A9" s="273"/>
      <c r="B9" s="766"/>
      <c r="C9" s="771" t="s">
        <v>35</v>
      </c>
      <c r="D9" s="772"/>
      <c r="E9" s="772"/>
      <c r="F9" s="772"/>
      <c r="G9" s="773"/>
      <c r="H9" s="280">
        <f>INDEX('[10]Quadro Geral'!$B$5:$G$11,MATCH($B$3,'[10]Quadro Geral'!$A$5:$A$11,0),MATCH(C9,'[10]Quadro Geral'!$B$4:$G$4,0))</f>
        <v>3.0000000000000001E-3</v>
      </c>
      <c r="I9" s="273"/>
    </row>
    <row r="10" spans="1:11">
      <c r="A10" s="273"/>
      <c r="B10" s="766"/>
      <c r="C10" s="771" t="s">
        <v>36</v>
      </c>
      <c r="D10" s="772"/>
      <c r="E10" s="772"/>
      <c r="F10" s="772"/>
      <c r="G10" s="773"/>
      <c r="H10" s="280">
        <f>INDEX('[10]Quadro Geral'!$B$5:$G$11,MATCH($B$3,'[10]Quadro Geral'!$A$5:$A$11,0),MATCH(C10,'[10]Quadro Geral'!$B$4:$G$4,0))</f>
        <v>5.5999999999999999E-3</v>
      </c>
      <c r="I10" s="273"/>
    </row>
    <row r="11" spans="1:11">
      <c r="A11" s="273"/>
      <c r="B11" s="767"/>
      <c r="C11" s="774" t="s">
        <v>37</v>
      </c>
      <c r="D11" s="775"/>
      <c r="E11" s="775"/>
      <c r="F11" s="775"/>
      <c r="G11" s="776"/>
      <c r="H11" s="283">
        <f>INDEX('[10]Quadro Geral'!$B$5:$G$11,MATCH($B$3,'[10]Quadro Geral'!$A$5:$A$11,0),MATCH(C11,'[10]Quadro Geral'!$B$4:$G$4,0))</f>
        <v>8.5000000000000006E-3</v>
      </c>
      <c r="I11" s="273"/>
    </row>
    <row r="12" spans="1:11" ht="15" thickBot="1">
      <c r="A12" s="273"/>
      <c r="B12" s="783" t="s">
        <v>5089</v>
      </c>
      <c r="C12" s="784"/>
      <c r="D12" s="784"/>
      <c r="E12" s="784"/>
      <c r="F12" s="784"/>
      <c r="G12" s="785"/>
      <c r="H12" s="281">
        <f>SUM(H8:H11)</f>
        <v>3.2100000000000004E-2</v>
      </c>
      <c r="I12" s="273"/>
    </row>
    <row r="13" spans="1:11" ht="15" thickTop="1">
      <c r="A13" s="273"/>
      <c r="B13" s="780" t="s">
        <v>5090</v>
      </c>
      <c r="C13" s="781"/>
      <c r="D13" s="781"/>
      <c r="E13" s="781"/>
      <c r="F13" s="781"/>
      <c r="G13" s="781"/>
      <c r="H13" s="782"/>
      <c r="I13" s="273"/>
    </row>
    <row r="14" spans="1:11">
      <c r="A14" s="273"/>
      <c r="B14" s="765" t="s">
        <v>38</v>
      </c>
      <c r="C14" s="768" t="s">
        <v>5091</v>
      </c>
      <c r="D14" s="769"/>
      <c r="E14" s="769"/>
      <c r="F14" s="769"/>
      <c r="G14" s="770"/>
      <c r="H14" s="282">
        <v>0.03</v>
      </c>
      <c r="I14" s="273"/>
    </row>
    <row r="15" spans="1:11">
      <c r="A15" s="273"/>
      <c r="B15" s="766"/>
      <c r="C15" s="771" t="s">
        <v>39</v>
      </c>
      <c r="D15" s="772"/>
      <c r="E15" s="772"/>
      <c r="F15" s="772"/>
      <c r="G15" s="773"/>
      <c r="H15" s="280">
        <v>6.4999999999999997E-3</v>
      </c>
      <c r="I15" s="273"/>
    </row>
    <row r="16" spans="1:11">
      <c r="A16" s="273"/>
      <c r="B16" s="766"/>
      <c r="C16" s="771" t="s">
        <v>5092</v>
      </c>
      <c r="D16" s="772"/>
      <c r="E16" s="772"/>
      <c r="F16" s="772"/>
      <c r="G16" s="773"/>
      <c r="H16" s="280">
        <f>INDEX('[10]Quadro Geral'!$B$5:$G$11,MATCH($B$3,'[10]Quadro Geral'!$A$5:$A$11,0),MATCH(C16,'[10]Quadro Geral'!$B$4:$G$4,0))</f>
        <v>0</v>
      </c>
      <c r="I16" s="273"/>
    </row>
    <row r="17" spans="1:9">
      <c r="A17" s="273"/>
      <c r="B17" s="767"/>
      <c r="C17" s="774" t="s">
        <v>5093</v>
      </c>
      <c r="D17" s="775"/>
      <c r="E17" s="775"/>
      <c r="F17" s="775"/>
      <c r="G17" s="776"/>
      <c r="H17" s="283">
        <f>IF(B4="COM Desoneração da Folha de Pagamento",0.045,0)</f>
        <v>0</v>
      </c>
      <c r="I17" s="273"/>
    </row>
    <row r="18" spans="1:9" ht="15" thickBot="1">
      <c r="A18" s="273"/>
      <c r="B18" s="783" t="s">
        <v>5094</v>
      </c>
      <c r="C18" s="784"/>
      <c r="D18" s="784"/>
      <c r="E18" s="784"/>
      <c r="F18" s="784"/>
      <c r="G18" s="785"/>
      <c r="H18" s="281">
        <f>SUM(H14:H17)</f>
        <v>3.6499999999999998E-2</v>
      </c>
      <c r="I18" s="273"/>
    </row>
    <row r="19" spans="1:9" ht="15" thickTop="1">
      <c r="A19" s="273"/>
      <c r="B19" s="780" t="s">
        <v>5095</v>
      </c>
      <c r="C19" s="781"/>
      <c r="D19" s="781"/>
      <c r="E19" s="781"/>
      <c r="F19" s="781"/>
      <c r="G19" s="781"/>
      <c r="H19" s="782"/>
      <c r="I19" s="273"/>
    </row>
    <row r="20" spans="1:9">
      <c r="A20" s="273"/>
      <c r="B20" s="284" t="s">
        <v>40</v>
      </c>
      <c r="C20" s="787" t="s">
        <v>41</v>
      </c>
      <c r="D20" s="788"/>
      <c r="E20" s="788"/>
      <c r="F20" s="788"/>
      <c r="G20" s="789"/>
      <c r="H20" s="282">
        <f>INDEX('[10]Quadro Geral'!$B$5:$G$11,MATCH($B$3,'[10]Quadro Geral'!$A$5:$A$11,0),MATCH(C20,'[10]Quadro Geral'!$B$4:$G$4,0))</f>
        <v>3.5000000000000003E-2</v>
      </c>
      <c r="I20" s="273"/>
    </row>
    <row r="21" spans="1:9" ht="15" thickBot="1">
      <c r="A21" s="273"/>
      <c r="B21" s="783" t="s">
        <v>5096</v>
      </c>
      <c r="C21" s="784"/>
      <c r="D21" s="784"/>
      <c r="E21" s="784"/>
      <c r="F21" s="784"/>
      <c r="G21" s="785"/>
      <c r="H21" s="281">
        <f>SUM(H20:H20)</f>
        <v>3.5000000000000003E-2</v>
      </c>
      <c r="I21" s="273"/>
    </row>
    <row r="22" spans="1:9" ht="15.75" thickTop="1" thickBot="1">
      <c r="A22" s="273"/>
      <c r="B22" s="790" t="s">
        <v>31</v>
      </c>
      <c r="C22" s="791"/>
      <c r="D22" s="791"/>
      <c r="E22" s="791"/>
      <c r="F22" s="791"/>
      <c r="G22" s="792"/>
      <c r="H22" s="285">
        <f>((((((1+(H8+H9+H10))*((1+H11)*(1+H21)))/(1-H18))-1)*100))/100</f>
        <v>0.10890619719771655</v>
      </c>
      <c r="I22" s="273"/>
    </row>
    <row r="23" spans="1:9" ht="20.100000000000001" customHeight="1">
      <c r="A23" s="273"/>
      <c r="B23" s="286"/>
      <c r="C23" s="286"/>
      <c r="D23" s="286"/>
      <c r="E23" s="286"/>
      <c r="F23" s="286"/>
      <c r="G23" s="286"/>
      <c r="H23" s="286"/>
      <c r="I23" s="273"/>
    </row>
    <row r="24" spans="1:9" ht="15.75" customHeight="1">
      <c r="A24" s="273"/>
      <c r="B24" s="793" t="s">
        <v>5097</v>
      </c>
      <c r="C24" s="793"/>
      <c r="D24" s="793"/>
      <c r="E24" s="793"/>
      <c r="F24" s="793"/>
      <c r="G24" s="793"/>
      <c r="H24" s="793"/>
      <c r="I24" s="273"/>
    </row>
    <row r="25" spans="1:9" ht="21" customHeight="1">
      <c r="A25" s="273"/>
      <c r="B25" s="794" t="s">
        <v>42</v>
      </c>
      <c r="C25" s="795" t="s">
        <v>43</v>
      </c>
      <c r="D25" s="287" t="s">
        <v>5098</v>
      </c>
      <c r="E25" s="796" t="s">
        <v>44</v>
      </c>
      <c r="F25" s="797">
        <v>-1</v>
      </c>
      <c r="G25" s="798" t="s">
        <v>45</v>
      </c>
      <c r="H25" s="786" t="s">
        <v>46</v>
      </c>
      <c r="I25" s="273"/>
    </row>
    <row r="26" spans="1:9" ht="21" customHeight="1">
      <c r="A26" s="273"/>
      <c r="B26" s="794"/>
      <c r="C26" s="795"/>
      <c r="D26" s="288" t="s">
        <v>47</v>
      </c>
      <c r="E26" s="796"/>
      <c r="F26" s="797"/>
      <c r="G26" s="798"/>
      <c r="H26" s="786"/>
      <c r="I26" s="273"/>
    </row>
    <row r="27" spans="1:9" ht="3" customHeight="1">
      <c r="A27" s="273"/>
      <c r="B27" s="289"/>
      <c r="C27" s="289"/>
      <c r="D27" s="289"/>
      <c r="E27" s="289"/>
      <c r="F27" s="289"/>
      <c r="G27" s="289"/>
      <c r="H27" s="289"/>
      <c r="I27" s="273"/>
    </row>
    <row r="28" spans="1:9">
      <c r="A28" s="273"/>
      <c r="B28" s="290" t="s">
        <v>48</v>
      </c>
      <c r="C28" s="799" t="s">
        <v>49</v>
      </c>
      <c r="D28" s="799"/>
      <c r="E28" s="799"/>
      <c r="F28" s="799"/>
      <c r="G28" s="799"/>
      <c r="H28" s="799"/>
      <c r="I28" s="273"/>
    </row>
    <row r="29" spans="1:9">
      <c r="A29" s="273"/>
      <c r="B29" s="290" t="s">
        <v>50</v>
      </c>
      <c r="C29" s="799" t="s">
        <v>51</v>
      </c>
      <c r="D29" s="799"/>
      <c r="E29" s="799"/>
      <c r="F29" s="799"/>
      <c r="G29" s="799"/>
      <c r="H29" s="799"/>
      <c r="I29" s="273"/>
    </row>
    <row r="30" spans="1:9">
      <c r="A30" s="273"/>
      <c r="B30" s="290" t="s">
        <v>52</v>
      </c>
      <c r="C30" s="799" t="s">
        <v>53</v>
      </c>
      <c r="D30" s="799"/>
      <c r="E30" s="799"/>
      <c r="F30" s="799"/>
      <c r="G30" s="799"/>
      <c r="H30" s="799"/>
      <c r="I30" s="273"/>
    </row>
    <row r="31" spans="1:9">
      <c r="A31" s="273"/>
      <c r="B31" s="290" t="s">
        <v>54</v>
      </c>
      <c r="C31" s="799" t="s">
        <v>55</v>
      </c>
      <c r="D31" s="799"/>
      <c r="E31" s="799"/>
      <c r="F31" s="799"/>
      <c r="G31" s="799"/>
      <c r="H31" s="799"/>
      <c r="I31" s="273"/>
    </row>
    <row r="32" spans="1:9">
      <c r="A32" s="273"/>
      <c r="B32" s="290" t="s">
        <v>56</v>
      </c>
      <c r="C32" s="799" t="s">
        <v>57</v>
      </c>
      <c r="D32" s="799"/>
      <c r="E32" s="799"/>
      <c r="F32" s="799"/>
      <c r="G32" s="799"/>
      <c r="H32" s="799"/>
      <c r="I32" s="273"/>
    </row>
    <row r="33" spans="1:9">
      <c r="A33" s="273"/>
      <c r="B33" s="290" t="s">
        <v>4</v>
      </c>
      <c r="C33" s="799" t="s">
        <v>58</v>
      </c>
      <c r="D33" s="799"/>
      <c r="E33" s="799"/>
      <c r="F33" s="799"/>
      <c r="G33" s="799"/>
      <c r="H33" s="799"/>
      <c r="I33" s="273"/>
    </row>
    <row r="34" spans="1:9">
      <c r="A34" s="273"/>
      <c r="B34" s="290" t="s">
        <v>59</v>
      </c>
      <c r="C34" s="799" t="s">
        <v>5099</v>
      </c>
      <c r="D34" s="799"/>
      <c r="E34" s="799"/>
      <c r="F34" s="799"/>
      <c r="G34" s="799"/>
      <c r="H34" s="799"/>
      <c r="I34" s="273"/>
    </row>
    <row r="35" spans="1:9" s="293" customFormat="1" ht="44.25" customHeight="1">
      <c r="A35" s="291"/>
      <c r="B35" s="292"/>
      <c r="C35" s="800" t="s">
        <v>60</v>
      </c>
      <c r="D35" s="800"/>
      <c r="E35" s="800"/>
      <c r="F35" s="800"/>
      <c r="G35" s="800"/>
      <c r="H35" s="800"/>
      <c r="I35" s="291"/>
    </row>
    <row r="36" spans="1:9" ht="15" customHeight="1">
      <c r="A36" s="273"/>
      <c r="B36" s="289"/>
      <c r="C36" s="289"/>
      <c r="D36" s="289"/>
      <c r="E36" s="289"/>
      <c r="F36" s="289"/>
      <c r="G36" s="289"/>
      <c r="H36" s="289"/>
      <c r="I36" s="273"/>
    </row>
    <row r="37" spans="1:9">
      <c r="A37" s="273"/>
      <c r="B37" s="801" t="s">
        <v>5101</v>
      </c>
      <c r="C37" s="801"/>
      <c r="D37" s="801"/>
      <c r="E37" s="801"/>
      <c r="F37" s="801"/>
      <c r="G37" s="801"/>
      <c r="H37" s="801"/>
      <c r="I37" s="273"/>
    </row>
    <row r="38" spans="1:9">
      <c r="A38" s="273"/>
      <c r="B38" s="801" t="s">
        <v>5102</v>
      </c>
      <c r="C38" s="801"/>
      <c r="D38" s="801"/>
      <c r="E38" s="801"/>
      <c r="F38" s="801"/>
      <c r="G38" s="801"/>
      <c r="H38" s="801"/>
      <c r="I38" s="273"/>
    </row>
    <row r="39" spans="1:9" ht="5.0999999999999996" customHeight="1">
      <c r="A39" s="273"/>
      <c r="B39" s="273"/>
      <c r="C39" s="273"/>
      <c r="D39" s="273"/>
      <c r="E39" s="273"/>
      <c r="F39" s="273"/>
      <c r="G39" s="273"/>
      <c r="H39" s="273"/>
      <c r="I39" s="273"/>
    </row>
    <row r="43" spans="1:9" hidden="1">
      <c r="B43" s="294" t="s">
        <v>5082</v>
      </c>
    </row>
    <row r="44" spans="1:9" hidden="1">
      <c r="B44" s="294" t="s">
        <v>5103</v>
      </c>
    </row>
    <row r="45" spans="1:9" hidden="1">
      <c r="B45" s="294" t="str">
        <f>'[10]Quadro Comparativo'!A9</f>
        <v>Drenagem Pluvial, Redes de Abastecimento de Água, Coleta de Esgoto e Construções Correlatas</v>
      </c>
    </row>
    <row r="46" spans="1:9" hidden="1">
      <c r="B46" s="294" t="str">
        <f>'[10]Quadro Comparativo'!A10</f>
        <v>Drenagem Pluvial com Pavimentação</v>
      </c>
    </row>
    <row r="47" spans="1:9" hidden="1">
      <c r="B47" s="294" t="str">
        <f>'[10]Quadro Comparativo'!A11</f>
        <v>Paisagismo, Parques e Jardins</v>
      </c>
    </row>
    <row r="48" spans="1:9" hidden="1">
      <c r="B48" s="294" t="str">
        <f>'[10]Quadro Comparativo'!A12</f>
        <v>Obras de Menor Complexidade (Praças, Calçadas, Ciclovias, Meios Fios, Quiosques e Obras Correlatas)</v>
      </c>
    </row>
    <row r="49" spans="2:10" hidden="1">
      <c r="B49" s="294" t="str">
        <f>'[10]Quadro Comparativo'!A13</f>
        <v>Fornecimento de Materiais Betuminosos e Outros Materiais e Equipamentos de Grande Relevância de Natureza Específica</v>
      </c>
    </row>
    <row r="50" spans="2:10" hidden="1"/>
    <row r="51" spans="2:10" hidden="1">
      <c r="B51" s="294" t="s">
        <v>5104</v>
      </c>
    </row>
    <row r="52" spans="2:10" hidden="1">
      <c r="B52" s="294" t="s">
        <v>5083</v>
      </c>
    </row>
    <row r="53" spans="2:10" hidden="1"/>
    <row r="54" spans="2:10" hidden="1">
      <c r="B54" s="294" t="s">
        <v>5105</v>
      </c>
    </row>
    <row r="55" spans="2:10" hidden="1">
      <c r="B55" s="294" t="s">
        <v>5084</v>
      </c>
      <c r="H55" s="295"/>
      <c r="I55" s="295"/>
      <c r="J55" s="295"/>
    </row>
    <row r="56" spans="2:10" hidden="1">
      <c r="B56" s="294" t="s">
        <v>5106</v>
      </c>
    </row>
  </sheetData>
  <mergeCells count="39">
    <mergeCell ref="C34:H34"/>
    <mergeCell ref="C35:H35"/>
    <mergeCell ref="B37:H37"/>
    <mergeCell ref="B38:H38"/>
    <mergeCell ref="C28:H28"/>
    <mergeCell ref="C29:H29"/>
    <mergeCell ref="C30:H30"/>
    <mergeCell ref="C31:H31"/>
    <mergeCell ref="C32:H32"/>
    <mergeCell ref="C33:H33"/>
    <mergeCell ref="H25:H26"/>
    <mergeCell ref="B18:G18"/>
    <mergeCell ref="B19:H19"/>
    <mergeCell ref="C20:G20"/>
    <mergeCell ref="B21:G21"/>
    <mergeCell ref="B22:G22"/>
    <mergeCell ref="B24:H24"/>
    <mergeCell ref="B25:B26"/>
    <mergeCell ref="C25:C26"/>
    <mergeCell ref="E25:E26"/>
    <mergeCell ref="F25:F26"/>
    <mergeCell ref="G25:G26"/>
    <mergeCell ref="B12:G12"/>
    <mergeCell ref="B13:H13"/>
    <mergeCell ref="B14:B17"/>
    <mergeCell ref="C14:G14"/>
    <mergeCell ref="C15:G15"/>
    <mergeCell ref="C16:G16"/>
    <mergeCell ref="C17:G17"/>
    <mergeCell ref="B2:H2"/>
    <mergeCell ref="B3:H3"/>
    <mergeCell ref="B4:H4"/>
    <mergeCell ref="C6:G6"/>
    <mergeCell ref="B7:H7"/>
    <mergeCell ref="B8:B11"/>
    <mergeCell ref="C8:G8"/>
    <mergeCell ref="C9:G9"/>
    <mergeCell ref="C10:G10"/>
    <mergeCell ref="C11:G11"/>
  </mergeCells>
  <dataValidations disablePrompts="1" count="3">
    <dataValidation type="list" allowBlank="1" showInputMessage="1" showErrorMessage="1" sqref="B3:H3">
      <formula1>$B$43:$B$49</formula1>
    </dataValidation>
    <dataValidation type="list" allowBlank="1" showInputMessage="1" showErrorMessage="1" sqref="B4:H4">
      <formula1>$B$51:$B$52</formula1>
    </dataValidation>
    <dataValidation type="list" allowBlank="1" showInputMessage="1" showErrorMessage="1" sqref="H5">
      <formula1>$B$54:$B$56</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headerFooter>
    <oddHeader>&amp;C&amp;F</oddHeader>
  </headerFooter>
  <drawing r:id="rId2"/>
</worksheet>
</file>

<file path=xl/worksheets/sheet14.xml><?xml version="1.0" encoding="utf-8"?>
<worksheet xmlns="http://schemas.openxmlformats.org/spreadsheetml/2006/main" xmlns:r="http://schemas.openxmlformats.org/officeDocument/2006/relationships">
  <sheetPr>
    <tabColor rgb="FFFF0000"/>
    <pageSetUpPr fitToPage="1"/>
  </sheetPr>
  <dimension ref="A1:IV57"/>
  <sheetViews>
    <sheetView view="pageBreakPreview" topLeftCell="A10" zoomScaleNormal="100" zoomScaleSheetLayoutView="100" workbookViewId="0">
      <selection activeCell="M21" sqref="M21"/>
    </sheetView>
  </sheetViews>
  <sheetFormatPr defaultRowHeight="15"/>
  <cols>
    <col min="1" max="1" width="13.5703125" style="616" customWidth="1"/>
    <col min="2" max="2" width="54.7109375" style="615" customWidth="1"/>
    <col min="3" max="3" width="16.5703125" style="614" customWidth="1"/>
    <col min="4" max="4" width="15.7109375" style="614" customWidth="1"/>
    <col min="5" max="7" width="9.140625" style="614" customWidth="1"/>
    <col min="8" max="256" width="9.140625" style="613"/>
    <col min="257" max="257" width="13.5703125" style="613" customWidth="1"/>
    <col min="258" max="258" width="54.7109375" style="613" customWidth="1"/>
    <col min="259" max="259" width="16.5703125" style="613" customWidth="1"/>
    <col min="260" max="260" width="15.7109375" style="613" customWidth="1"/>
    <col min="261" max="263" width="9.140625" style="613" customWidth="1"/>
    <col min="264" max="512" width="9.140625" style="613"/>
    <col min="513" max="513" width="13.5703125" style="613" customWidth="1"/>
    <col min="514" max="514" width="54.7109375" style="613" customWidth="1"/>
    <col min="515" max="515" width="16.5703125" style="613" customWidth="1"/>
    <col min="516" max="516" width="15.7109375" style="613" customWidth="1"/>
    <col min="517" max="519" width="9.140625" style="613" customWidth="1"/>
    <col min="520" max="768" width="9.140625" style="613"/>
    <col min="769" max="769" width="13.5703125" style="613" customWidth="1"/>
    <col min="770" max="770" width="54.7109375" style="613" customWidth="1"/>
    <col min="771" max="771" width="16.5703125" style="613" customWidth="1"/>
    <col min="772" max="772" width="15.7109375" style="613" customWidth="1"/>
    <col min="773" max="775" width="9.140625" style="613" customWidth="1"/>
    <col min="776" max="1024" width="9.140625" style="613"/>
    <col min="1025" max="1025" width="13.5703125" style="613" customWidth="1"/>
    <col min="1026" max="1026" width="54.7109375" style="613" customWidth="1"/>
    <col min="1027" max="1027" width="16.5703125" style="613" customWidth="1"/>
    <col min="1028" max="1028" width="15.7109375" style="613" customWidth="1"/>
    <col min="1029" max="1031" width="9.140625" style="613" customWidth="1"/>
    <col min="1032" max="1280" width="9.140625" style="613"/>
    <col min="1281" max="1281" width="13.5703125" style="613" customWidth="1"/>
    <col min="1282" max="1282" width="54.7109375" style="613" customWidth="1"/>
    <col min="1283" max="1283" width="16.5703125" style="613" customWidth="1"/>
    <col min="1284" max="1284" width="15.7109375" style="613" customWidth="1"/>
    <col min="1285" max="1287" width="9.140625" style="613" customWidth="1"/>
    <col min="1288" max="1536" width="9.140625" style="613"/>
    <col min="1537" max="1537" width="13.5703125" style="613" customWidth="1"/>
    <col min="1538" max="1538" width="54.7109375" style="613" customWidth="1"/>
    <col min="1539" max="1539" width="16.5703125" style="613" customWidth="1"/>
    <col min="1540" max="1540" width="15.7109375" style="613" customWidth="1"/>
    <col min="1541" max="1543" width="9.140625" style="613" customWidth="1"/>
    <col min="1544" max="1792" width="9.140625" style="613"/>
    <col min="1793" max="1793" width="13.5703125" style="613" customWidth="1"/>
    <col min="1794" max="1794" width="54.7109375" style="613" customWidth="1"/>
    <col min="1795" max="1795" width="16.5703125" style="613" customWidth="1"/>
    <col min="1796" max="1796" width="15.7109375" style="613" customWidth="1"/>
    <col min="1797" max="1799" width="9.140625" style="613" customWidth="1"/>
    <col min="1800" max="2048" width="9.140625" style="613"/>
    <col min="2049" max="2049" width="13.5703125" style="613" customWidth="1"/>
    <col min="2050" max="2050" width="54.7109375" style="613" customWidth="1"/>
    <col min="2051" max="2051" width="16.5703125" style="613" customWidth="1"/>
    <col min="2052" max="2052" width="15.7109375" style="613" customWidth="1"/>
    <col min="2053" max="2055" width="9.140625" style="613" customWidth="1"/>
    <col min="2056" max="2304" width="9.140625" style="613"/>
    <col min="2305" max="2305" width="13.5703125" style="613" customWidth="1"/>
    <col min="2306" max="2306" width="54.7109375" style="613" customWidth="1"/>
    <col min="2307" max="2307" width="16.5703125" style="613" customWidth="1"/>
    <col min="2308" max="2308" width="15.7109375" style="613" customWidth="1"/>
    <col min="2309" max="2311" width="9.140625" style="613" customWidth="1"/>
    <col min="2312" max="2560" width="9.140625" style="613"/>
    <col min="2561" max="2561" width="13.5703125" style="613" customWidth="1"/>
    <col min="2562" max="2562" width="54.7109375" style="613" customWidth="1"/>
    <col min="2563" max="2563" width="16.5703125" style="613" customWidth="1"/>
    <col min="2564" max="2564" width="15.7109375" style="613" customWidth="1"/>
    <col min="2565" max="2567" width="9.140625" style="613" customWidth="1"/>
    <col min="2568" max="2816" width="9.140625" style="613"/>
    <col min="2817" max="2817" width="13.5703125" style="613" customWidth="1"/>
    <col min="2818" max="2818" width="54.7109375" style="613" customWidth="1"/>
    <col min="2819" max="2819" width="16.5703125" style="613" customWidth="1"/>
    <col min="2820" max="2820" width="15.7109375" style="613" customWidth="1"/>
    <col min="2821" max="2823" width="9.140625" style="613" customWidth="1"/>
    <col min="2824" max="3072" width="9.140625" style="613"/>
    <col min="3073" max="3073" width="13.5703125" style="613" customWidth="1"/>
    <col min="3074" max="3074" width="54.7109375" style="613" customWidth="1"/>
    <col min="3075" max="3075" width="16.5703125" style="613" customWidth="1"/>
    <col min="3076" max="3076" width="15.7109375" style="613" customWidth="1"/>
    <col min="3077" max="3079" width="9.140625" style="613" customWidth="1"/>
    <col min="3080" max="3328" width="9.140625" style="613"/>
    <col min="3329" max="3329" width="13.5703125" style="613" customWidth="1"/>
    <col min="3330" max="3330" width="54.7109375" style="613" customWidth="1"/>
    <col min="3331" max="3331" width="16.5703125" style="613" customWidth="1"/>
    <col min="3332" max="3332" width="15.7109375" style="613" customWidth="1"/>
    <col min="3333" max="3335" width="9.140625" style="613" customWidth="1"/>
    <col min="3336" max="3584" width="9.140625" style="613"/>
    <col min="3585" max="3585" width="13.5703125" style="613" customWidth="1"/>
    <col min="3586" max="3586" width="54.7109375" style="613" customWidth="1"/>
    <col min="3587" max="3587" width="16.5703125" style="613" customWidth="1"/>
    <col min="3588" max="3588" width="15.7109375" style="613" customWidth="1"/>
    <col min="3589" max="3591" width="9.140625" style="613" customWidth="1"/>
    <col min="3592" max="3840" width="9.140625" style="613"/>
    <col min="3841" max="3841" width="13.5703125" style="613" customWidth="1"/>
    <col min="3842" max="3842" width="54.7109375" style="613" customWidth="1"/>
    <col min="3843" max="3843" width="16.5703125" style="613" customWidth="1"/>
    <col min="3844" max="3844" width="15.7109375" style="613" customWidth="1"/>
    <col min="3845" max="3847" width="9.140625" style="613" customWidth="1"/>
    <col min="3848" max="4096" width="9.140625" style="613"/>
    <col min="4097" max="4097" width="13.5703125" style="613" customWidth="1"/>
    <col min="4098" max="4098" width="54.7109375" style="613" customWidth="1"/>
    <col min="4099" max="4099" width="16.5703125" style="613" customWidth="1"/>
    <col min="4100" max="4100" width="15.7109375" style="613" customWidth="1"/>
    <col min="4101" max="4103" width="9.140625" style="613" customWidth="1"/>
    <col min="4104" max="4352" width="9.140625" style="613"/>
    <col min="4353" max="4353" width="13.5703125" style="613" customWidth="1"/>
    <col min="4354" max="4354" width="54.7109375" style="613" customWidth="1"/>
    <col min="4355" max="4355" width="16.5703125" style="613" customWidth="1"/>
    <col min="4356" max="4356" width="15.7109375" style="613" customWidth="1"/>
    <col min="4357" max="4359" width="9.140625" style="613" customWidth="1"/>
    <col min="4360" max="4608" width="9.140625" style="613"/>
    <col min="4609" max="4609" width="13.5703125" style="613" customWidth="1"/>
    <col min="4610" max="4610" width="54.7109375" style="613" customWidth="1"/>
    <col min="4611" max="4611" width="16.5703125" style="613" customWidth="1"/>
    <col min="4612" max="4612" width="15.7109375" style="613" customWidth="1"/>
    <col min="4613" max="4615" width="9.140625" style="613" customWidth="1"/>
    <col min="4616" max="4864" width="9.140625" style="613"/>
    <col min="4865" max="4865" width="13.5703125" style="613" customWidth="1"/>
    <col min="4866" max="4866" width="54.7109375" style="613" customWidth="1"/>
    <col min="4867" max="4867" width="16.5703125" style="613" customWidth="1"/>
    <col min="4868" max="4868" width="15.7109375" style="613" customWidth="1"/>
    <col min="4869" max="4871" width="9.140625" style="613" customWidth="1"/>
    <col min="4872" max="5120" width="9.140625" style="613"/>
    <col min="5121" max="5121" width="13.5703125" style="613" customWidth="1"/>
    <col min="5122" max="5122" width="54.7109375" style="613" customWidth="1"/>
    <col min="5123" max="5123" width="16.5703125" style="613" customWidth="1"/>
    <col min="5124" max="5124" width="15.7109375" style="613" customWidth="1"/>
    <col min="5125" max="5127" width="9.140625" style="613" customWidth="1"/>
    <col min="5128" max="5376" width="9.140625" style="613"/>
    <col min="5377" max="5377" width="13.5703125" style="613" customWidth="1"/>
    <col min="5378" max="5378" width="54.7109375" style="613" customWidth="1"/>
    <col min="5379" max="5379" width="16.5703125" style="613" customWidth="1"/>
    <col min="5380" max="5380" width="15.7109375" style="613" customWidth="1"/>
    <col min="5381" max="5383" width="9.140625" style="613" customWidth="1"/>
    <col min="5384" max="5632" width="9.140625" style="613"/>
    <col min="5633" max="5633" width="13.5703125" style="613" customWidth="1"/>
    <col min="5634" max="5634" width="54.7109375" style="613" customWidth="1"/>
    <col min="5635" max="5635" width="16.5703125" style="613" customWidth="1"/>
    <col min="5636" max="5636" width="15.7109375" style="613" customWidth="1"/>
    <col min="5637" max="5639" width="9.140625" style="613" customWidth="1"/>
    <col min="5640" max="5888" width="9.140625" style="613"/>
    <col min="5889" max="5889" width="13.5703125" style="613" customWidth="1"/>
    <col min="5890" max="5890" width="54.7109375" style="613" customWidth="1"/>
    <col min="5891" max="5891" width="16.5703125" style="613" customWidth="1"/>
    <col min="5892" max="5892" width="15.7109375" style="613" customWidth="1"/>
    <col min="5893" max="5895" width="9.140625" style="613" customWidth="1"/>
    <col min="5896" max="6144" width="9.140625" style="613"/>
    <col min="6145" max="6145" width="13.5703125" style="613" customWidth="1"/>
    <col min="6146" max="6146" width="54.7109375" style="613" customWidth="1"/>
    <col min="6147" max="6147" width="16.5703125" style="613" customWidth="1"/>
    <col min="6148" max="6148" width="15.7109375" style="613" customWidth="1"/>
    <col min="6149" max="6151" width="9.140625" style="613" customWidth="1"/>
    <col min="6152" max="6400" width="9.140625" style="613"/>
    <col min="6401" max="6401" width="13.5703125" style="613" customWidth="1"/>
    <col min="6402" max="6402" width="54.7109375" style="613" customWidth="1"/>
    <col min="6403" max="6403" width="16.5703125" style="613" customWidth="1"/>
    <col min="6404" max="6404" width="15.7109375" style="613" customWidth="1"/>
    <col min="6405" max="6407" width="9.140625" style="613" customWidth="1"/>
    <col min="6408" max="6656" width="9.140625" style="613"/>
    <col min="6657" max="6657" width="13.5703125" style="613" customWidth="1"/>
    <col min="6658" max="6658" width="54.7109375" style="613" customWidth="1"/>
    <col min="6659" max="6659" width="16.5703125" style="613" customWidth="1"/>
    <col min="6660" max="6660" width="15.7109375" style="613" customWidth="1"/>
    <col min="6661" max="6663" width="9.140625" style="613" customWidth="1"/>
    <col min="6664" max="6912" width="9.140625" style="613"/>
    <col min="6913" max="6913" width="13.5703125" style="613" customWidth="1"/>
    <col min="6914" max="6914" width="54.7109375" style="613" customWidth="1"/>
    <col min="6915" max="6915" width="16.5703125" style="613" customWidth="1"/>
    <col min="6916" max="6916" width="15.7109375" style="613" customWidth="1"/>
    <col min="6917" max="6919" width="9.140625" style="613" customWidth="1"/>
    <col min="6920" max="7168" width="9.140625" style="613"/>
    <col min="7169" max="7169" width="13.5703125" style="613" customWidth="1"/>
    <col min="7170" max="7170" width="54.7109375" style="613" customWidth="1"/>
    <col min="7171" max="7171" width="16.5703125" style="613" customWidth="1"/>
    <col min="7172" max="7172" width="15.7109375" style="613" customWidth="1"/>
    <col min="7173" max="7175" width="9.140625" style="613" customWidth="1"/>
    <col min="7176" max="7424" width="9.140625" style="613"/>
    <col min="7425" max="7425" width="13.5703125" style="613" customWidth="1"/>
    <col min="7426" max="7426" width="54.7109375" style="613" customWidth="1"/>
    <col min="7427" max="7427" width="16.5703125" style="613" customWidth="1"/>
    <col min="7428" max="7428" width="15.7109375" style="613" customWidth="1"/>
    <col min="7429" max="7431" width="9.140625" style="613" customWidth="1"/>
    <col min="7432" max="7680" width="9.140625" style="613"/>
    <col min="7681" max="7681" width="13.5703125" style="613" customWidth="1"/>
    <col min="7682" max="7682" width="54.7109375" style="613" customWidth="1"/>
    <col min="7683" max="7683" width="16.5703125" style="613" customWidth="1"/>
    <col min="7684" max="7684" width="15.7109375" style="613" customWidth="1"/>
    <col min="7685" max="7687" width="9.140625" style="613" customWidth="1"/>
    <col min="7688" max="7936" width="9.140625" style="613"/>
    <col min="7937" max="7937" width="13.5703125" style="613" customWidth="1"/>
    <col min="7938" max="7938" width="54.7109375" style="613" customWidth="1"/>
    <col min="7939" max="7939" width="16.5703125" style="613" customWidth="1"/>
    <col min="7940" max="7940" width="15.7109375" style="613" customWidth="1"/>
    <col min="7941" max="7943" width="9.140625" style="613" customWidth="1"/>
    <col min="7944" max="8192" width="9.140625" style="613"/>
    <col min="8193" max="8193" width="13.5703125" style="613" customWidth="1"/>
    <col min="8194" max="8194" width="54.7109375" style="613" customWidth="1"/>
    <col min="8195" max="8195" width="16.5703125" style="613" customWidth="1"/>
    <col min="8196" max="8196" width="15.7109375" style="613" customWidth="1"/>
    <col min="8197" max="8199" width="9.140625" style="613" customWidth="1"/>
    <col min="8200" max="8448" width="9.140625" style="613"/>
    <col min="8449" max="8449" width="13.5703125" style="613" customWidth="1"/>
    <col min="8450" max="8450" width="54.7109375" style="613" customWidth="1"/>
    <col min="8451" max="8451" width="16.5703125" style="613" customWidth="1"/>
    <col min="8452" max="8452" width="15.7109375" style="613" customWidth="1"/>
    <col min="8453" max="8455" width="9.140625" style="613" customWidth="1"/>
    <col min="8456" max="8704" width="9.140625" style="613"/>
    <col min="8705" max="8705" width="13.5703125" style="613" customWidth="1"/>
    <col min="8706" max="8706" width="54.7109375" style="613" customWidth="1"/>
    <col min="8707" max="8707" width="16.5703125" style="613" customWidth="1"/>
    <col min="8708" max="8708" width="15.7109375" style="613" customWidth="1"/>
    <col min="8709" max="8711" width="9.140625" style="613" customWidth="1"/>
    <col min="8712" max="8960" width="9.140625" style="613"/>
    <col min="8961" max="8961" width="13.5703125" style="613" customWidth="1"/>
    <col min="8962" max="8962" width="54.7109375" style="613" customWidth="1"/>
    <col min="8963" max="8963" width="16.5703125" style="613" customWidth="1"/>
    <col min="8964" max="8964" width="15.7109375" style="613" customWidth="1"/>
    <col min="8965" max="8967" width="9.140625" style="613" customWidth="1"/>
    <col min="8968" max="9216" width="9.140625" style="613"/>
    <col min="9217" max="9217" width="13.5703125" style="613" customWidth="1"/>
    <col min="9218" max="9218" width="54.7109375" style="613" customWidth="1"/>
    <col min="9219" max="9219" width="16.5703125" style="613" customWidth="1"/>
    <col min="9220" max="9220" width="15.7109375" style="613" customWidth="1"/>
    <col min="9221" max="9223" width="9.140625" style="613" customWidth="1"/>
    <col min="9224" max="9472" width="9.140625" style="613"/>
    <col min="9473" max="9473" width="13.5703125" style="613" customWidth="1"/>
    <col min="9474" max="9474" width="54.7109375" style="613" customWidth="1"/>
    <col min="9475" max="9475" width="16.5703125" style="613" customWidth="1"/>
    <col min="9476" max="9476" width="15.7109375" style="613" customWidth="1"/>
    <col min="9477" max="9479" width="9.140625" style="613" customWidth="1"/>
    <col min="9480" max="9728" width="9.140625" style="613"/>
    <col min="9729" max="9729" width="13.5703125" style="613" customWidth="1"/>
    <col min="9730" max="9730" width="54.7109375" style="613" customWidth="1"/>
    <col min="9731" max="9731" width="16.5703125" style="613" customWidth="1"/>
    <col min="9732" max="9732" width="15.7109375" style="613" customWidth="1"/>
    <col min="9733" max="9735" width="9.140625" style="613" customWidth="1"/>
    <col min="9736" max="9984" width="9.140625" style="613"/>
    <col min="9985" max="9985" width="13.5703125" style="613" customWidth="1"/>
    <col min="9986" max="9986" width="54.7109375" style="613" customWidth="1"/>
    <col min="9987" max="9987" width="16.5703125" style="613" customWidth="1"/>
    <col min="9988" max="9988" width="15.7109375" style="613" customWidth="1"/>
    <col min="9989" max="9991" width="9.140625" style="613" customWidth="1"/>
    <col min="9992" max="10240" width="9.140625" style="613"/>
    <col min="10241" max="10241" width="13.5703125" style="613" customWidth="1"/>
    <col min="10242" max="10242" width="54.7109375" style="613" customWidth="1"/>
    <col min="10243" max="10243" width="16.5703125" style="613" customWidth="1"/>
    <col min="10244" max="10244" width="15.7109375" style="613" customWidth="1"/>
    <col min="10245" max="10247" width="9.140625" style="613" customWidth="1"/>
    <col min="10248" max="10496" width="9.140625" style="613"/>
    <col min="10497" max="10497" width="13.5703125" style="613" customWidth="1"/>
    <col min="10498" max="10498" width="54.7109375" style="613" customWidth="1"/>
    <col min="10499" max="10499" width="16.5703125" style="613" customWidth="1"/>
    <col min="10500" max="10500" width="15.7109375" style="613" customWidth="1"/>
    <col min="10501" max="10503" width="9.140625" style="613" customWidth="1"/>
    <col min="10504" max="10752" width="9.140625" style="613"/>
    <col min="10753" max="10753" width="13.5703125" style="613" customWidth="1"/>
    <col min="10754" max="10754" width="54.7109375" style="613" customWidth="1"/>
    <col min="10755" max="10755" width="16.5703125" style="613" customWidth="1"/>
    <col min="10756" max="10756" width="15.7109375" style="613" customWidth="1"/>
    <col min="10757" max="10759" width="9.140625" style="613" customWidth="1"/>
    <col min="10760" max="11008" width="9.140625" style="613"/>
    <col min="11009" max="11009" width="13.5703125" style="613" customWidth="1"/>
    <col min="11010" max="11010" width="54.7109375" style="613" customWidth="1"/>
    <col min="11011" max="11011" width="16.5703125" style="613" customWidth="1"/>
    <col min="11012" max="11012" width="15.7109375" style="613" customWidth="1"/>
    <col min="11013" max="11015" width="9.140625" style="613" customWidth="1"/>
    <col min="11016" max="11264" width="9.140625" style="613"/>
    <col min="11265" max="11265" width="13.5703125" style="613" customWidth="1"/>
    <col min="11266" max="11266" width="54.7109375" style="613" customWidth="1"/>
    <col min="11267" max="11267" width="16.5703125" style="613" customWidth="1"/>
    <col min="11268" max="11268" width="15.7109375" style="613" customWidth="1"/>
    <col min="11269" max="11271" width="9.140625" style="613" customWidth="1"/>
    <col min="11272" max="11520" width="9.140625" style="613"/>
    <col min="11521" max="11521" width="13.5703125" style="613" customWidth="1"/>
    <col min="11522" max="11522" width="54.7109375" style="613" customWidth="1"/>
    <col min="11523" max="11523" width="16.5703125" style="613" customWidth="1"/>
    <col min="11524" max="11524" width="15.7109375" style="613" customWidth="1"/>
    <col min="11525" max="11527" width="9.140625" style="613" customWidth="1"/>
    <col min="11528" max="11776" width="9.140625" style="613"/>
    <col min="11777" max="11777" width="13.5703125" style="613" customWidth="1"/>
    <col min="11778" max="11778" width="54.7109375" style="613" customWidth="1"/>
    <col min="11779" max="11779" width="16.5703125" style="613" customWidth="1"/>
    <col min="11780" max="11780" width="15.7109375" style="613" customWidth="1"/>
    <col min="11781" max="11783" width="9.140625" style="613" customWidth="1"/>
    <col min="11784" max="12032" width="9.140625" style="613"/>
    <col min="12033" max="12033" width="13.5703125" style="613" customWidth="1"/>
    <col min="12034" max="12034" width="54.7109375" style="613" customWidth="1"/>
    <col min="12035" max="12035" width="16.5703125" style="613" customWidth="1"/>
    <col min="12036" max="12036" width="15.7109375" style="613" customWidth="1"/>
    <col min="12037" max="12039" width="9.140625" style="613" customWidth="1"/>
    <col min="12040" max="12288" width="9.140625" style="613"/>
    <col min="12289" max="12289" width="13.5703125" style="613" customWidth="1"/>
    <col min="12290" max="12290" width="54.7109375" style="613" customWidth="1"/>
    <col min="12291" max="12291" width="16.5703125" style="613" customWidth="1"/>
    <col min="12292" max="12292" width="15.7109375" style="613" customWidth="1"/>
    <col min="12293" max="12295" width="9.140625" style="613" customWidth="1"/>
    <col min="12296" max="12544" width="9.140625" style="613"/>
    <col min="12545" max="12545" width="13.5703125" style="613" customWidth="1"/>
    <col min="12546" max="12546" width="54.7109375" style="613" customWidth="1"/>
    <col min="12547" max="12547" width="16.5703125" style="613" customWidth="1"/>
    <col min="12548" max="12548" width="15.7109375" style="613" customWidth="1"/>
    <col min="12549" max="12551" width="9.140625" style="613" customWidth="1"/>
    <col min="12552" max="12800" width="9.140625" style="613"/>
    <col min="12801" max="12801" width="13.5703125" style="613" customWidth="1"/>
    <col min="12802" max="12802" width="54.7109375" style="613" customWidth="1"/>
    <col min="12803" max="12803" width="16.5703125" style="613" customWidth="1"/>
    <col min="12804" max="12804" width="15.7109375" style="613" customWidth="1"/>
    <col min="12805" max="12807" width="9.140625" style="613" customWidth="1"/>
    <col min="12808" max="13056" width="9.140625" style="613"/>
    <col min="13057" max="13057" width="13.5703125" style="613" customWidth="1"/>
    <col min="13058" max="13058" width="54.7109375" style="613" customWidth="1"/>
    <col min="13059" max="13059" width="16.5703125" style="613" customWidth="1"/>
    <col min="13060" max="13060" width="15.7109375" style="613" customWidth="1"/>
    <col min="13061" max="13063" width="9.140625" style="613" customWidth="1"/>
    <col min="13064" max="13312" width="9.140625" style="613"/>
    <col min="13313" max="13313" width="13.5703125" style="613" customWidth="1"/>
    <col min="13314" max="13314" width="54.7109375" style="613" customWidth="1"/>
    <col min="13315" max="13315" width="16.5703125" style="613" customWidth="1"/>
    <col min="13316" max="13316" width="15.7109375" style="613" customWidth="1"/>
    <col min="13317" max="13319" width="9.140625" style="613" customWidth="1"/>
    <col min="13320" max="13568" width="9.140625" style="613"/>
    <col min="13569" max="13569" width="13.5703125" style="613" customWidth="1"/>
    <col min="13570" max="13570" width="54.7109375" style="613" customWidth="1"/>
    <col min="13571" max="13571" width="16.5703125" style="613" customWidth="1"/>
    <col min="13572" max="13572" width="15.7109375" style="613" customWidth="1"/>
    <col min="13573" max="13575" width="9.140625" style="613" customWidth="1"/>
    <col min="13576" max="13824" width="9.140625" style="613"/>
    <col min="13825" max="13825" width="13.5703125" style="613" customWidth="1"/>
    <col min="13826" max="13826" width="54.7109375" style="613" customWidth="1"/>
    <col min="13827" max="13827" width="16.5703125" style="613" customWidth="1"/>
    <col min="13828" max="13828" width="15.7109375" style="613" customWidth="1"/>
    <col min="13829" max="13831" width="9.140625" style="613" customWidth="1"/>
    <col min="13832" max="14080" width="9.140625" style="613"/>
    <col min="14081" max="14081" width="13.5703125" style="613" customWidth="1"/>
    <col min="14082" max="14082" width="54.7109375" style="613" customWidth="1"/>
    <col min="14083" max="14083" width="16.5703125" style="613" customWidth="1"/>
    <col min="14084" max="14084" width="15.7109375" style="613" customWidth="1"/>
    <col min="14085" max="14087" width="9.140625" style="613" customWidth="1"/>
    <col min="14088" max="14336" width="9.140625" style="613"/>
    <col min="14337" max="14337" width="13.5703125" style="613" customWidth="1"/>
    <col min="14338" max="14338" width="54.7109375" style="613" customWidth="1"/>
    <col min="14339" max="14339" width="16.5703125" style="613" customWidth="1"/>
    <col min="14340" max="14340" width="15.7109375" style="613" customWidth="1"/>
    <col min="14341" max="14343" width="9.140625" style="613" customWidth="1"/>
    <col min="14344" max="14592" width="9.140625" style="613"/>
    <col min="14593" max="14593" width="13.5703125" style="613" customWidth="1"/>
    <col min="14594" max="14594" width="54.7109375" style="613" customWidth="1"/>
    <col min="14595" max="14595" width="16.5703125" style="613" customWidth="1"/>
    <col min="14596" max="14596" width="15.7109375" style="613" customWidth="1"/>
    <col min="14597" max="14599" width="9.140625" style="613" customWidth="1"/>
    <col min="14600" max="14848" width="9.140625" style="613"/>
    <col min="14849" max="14849" width="13.5703125" style="613" customWidth="1"/>
    <col min="14850" max="14850" width="54.7109375" style="613" customWidth="1"/>
    <col min="14851" max="14851" width="16.5703125" style="613" customWidth="1"/>
    <col min="14852" max="14852" width="15.7109375" style="613" customWidth="1"/>
    <col min="14853" max="14855" width="9.140625" style="613" customWidth="1"/>
    <col min="14856" max="15104" width="9.140625" style="613"/>
    <col min="15105" max="15105" width="13.5703125" style="613" customWidth="1"/>
    <col min="15106" max="15106" width="54.7109375" style="613" customWidth="1"/>
    <col min="15107" max="15107" width="16.5703125" style="613" customWidth="1"/>
    <col min="15108" max="15108" width="15.7109375" style="613" customWidth="1"/>
    <col min="15109" max="15111" width="9.140625" style="613" customWidth="1"/>
    <col min="15112" max="15360" width="9.140625" style="613"/>
    <col min="15361" max="15361" width="13.5703125" style="613" customWidth="1"/>
    <col min="15362" max="15362" width="54.7109375" style="613" customWidth="1"/>
    <col min="15363" max="15363" width="16.5703125" style="613" customWidth="1"/>
    <col min="15364" max="15364" width="15.7109375" style="613" customWidth="1"/>
    <col min="15365" max="15367" width="9.140625" style="613" customWidth="1"/>
    <col min="15368" max="15616" width="9.140625" style="613"/>
    <col min="15617" max="15617" width="13.5703125" style="613" customWidth="1"/>
    <col min="15618" max="15618" width="54.7109375" style="613" customWidth="1"/>
    <col min="15619" max="15619" width="16.5703125" style="613" customWidth="1"/>
    <col min="15620" max="15620" width="15.7109375" style="613" customWidth="1"/>
    <col min="15621" max="15623" width="9.140625" style="613" customWidth="1"/>
    <col min="15624" max="15872" width="9.140625" style="613"/>
    <col min="15873" max="15873" width="13.5703125" style="613" customWidth="1"/>
    <col min="15874" max="15874" width="54.7109375" style="613" customWidth="1"/>
    <col min="15875" max="15875" width="16.5703125" style="613" customWidth="1"/>
    <col min="15876" max="15876" width="15.7109375" style="613" customWidth="1"/>
    <col min="15877" max="15879" width="9.140625" style="613" customWidth="1"/>
    <col min="15880" max="16128" width="9.140625" style="613"/>
    <col min="16129" max="16129" width="13.5703125" style="613" customWidth="1"/>
    <col min="16130" max="16130" width="54.7109375" style="613" customWidth="1"/>
    <col min="16131" max="16131" width="16.5703125" style="613" customWidth="1"/>
    <col min="16132" max="16132" width="15.7109375" style="613" customWidth="1"/>
    <col min="16133" max="16135" width="9.140625" style="613" customWidth="1"/>
    <col min="16136" max="16384" width="9.140625" style="613"/>
  </cols>
  <sheetData>
    <row r="1" spans="1:256" s="640" customFormat="1" ht="19.5">
      <c r="A1" s="807"/>
      <c r="B1" s="807"/>
      <c r="C1" s="807"/>
      <c r="D1" s="807"/>
      <c r="E1" s="641"/>
      <c r="F1" s="641"/>
      <c r="G1" s="641"/>
      <c r="H1" s="635"/>
    </row>
    <row r="2" spans="1:256" ht="92.25" customHeight="1">
      <c r="A2" s="623"/>
      <c r="B2" s="639"/>
      <c r="C2" s="621"/>
      <c r="D2" s="623"/>
      <c r="E2" s="806"/>
      <c r="F2" s="806"/>
      <c r="G2" s="806"/>
      <c r="H2" s="806"/>
    </row>
    <row r="3" spans="1:256" ht="18" customHeight="1">
      <c r="A3" s="808"/>
      <c r="B3" s="808"/>
      <c r="C3" s="808"/>
      <c r="D3" s="808"/>
      <c r="I3" s="635"/>
      <c r="J3" s="635"/>
      <c r="K3" s="635"/>
      <c r="L3" s="635"/>
      <c r="M3" s="635"/>
      <c r="N3" s="635"/>
      <c r="O3" s="635"/>
      <c r="P3" s="635"/>
      <c r="Q3" s="635"/>
      <c r="R3" s="635"/>
      <c r="S3" s="635"/>
      <c r="T3" s="635"/>
      <c r="U3" s="635"/>
      <c r="V3" s="635"/>
      <c r="W3" s="635"/>
      <c r="X3" s="635"/>
      <c r="Y3" s="635"/>
      <c r="Z3" s="635"/>
      <c r="AA3" s="635"/>
      <c r="AB3" s="635"/>
      <c r="AC3" s="635"/>
      <c r="AD3" s="635"/>
      <c r="AE3" s="635"/>
      <c r="AF3" s="635"/>
      <c r="AG3" s="635"/>
      <c r="AH3" s="635"/>
      <c r="AI3" s="635"/>
      <c r="AJ3" s="635"/>
      <c r="AK3" s="635"/>
      <c r="AL3" s="635"/>
      <c r="AM3" s="635"/>
      <c r="AN3" s="635"/>
      <c r="AO3" s="635"/>
      <c r="AP3" s="635"/>
      <c r="AQ3" s="635"/>
      <c r="AR3" s="635"/>
      <c r="AS3" s="635"/>
      <c r="AT3" s="635"/>
      <c r="AU3" s="635"/>
      <c r="AV3" s="635"/>
      <c r="AW3" s="635"/>
      <c r="AX3" s="635"/>
      <c r="AY3" s="635"/>
      <c r="AZ3" s="635"/>
      <c r="BA3" s="635"/>
      <c r="BB3" s="635"/>
      <c r="BC3" s="635"/>
      <c r="BD3" s="635"/>
      <c r="BE3" s="635"/>
      <c r="BF3" s="635"/>
      <c r="BG3" s="635"/>
      <c r="BH3" s="635"/>
      <c r="BI3" s="635"/>
      <c r="BJ3" s="635"/>
      <c r="BK3" s="635"/>
      <c r="BL3" s="635"/>
      <c r="BM3" s="635"/>
      <c r="BN3" s="635"/>
      <c r="BO3" s="635"/>
      <c r="BP3" s="635"/>
      <c r="BQ3" s="635"/>
      <c r="BR3" s="635"/>
      <c r="BS3" s="635"/>
      <c r="BT3" s="635"/>
      <c r="BU3" s="635"/>
      <c r="BV3" s="635"/>
      <c r="BW3" s="635"/>
      <c r="BX3" s="635"/>
      <c r="BY3" s="635"/>
      <c r="BZ3" s="635"/>
      <c r="CA3" s="635"/>
      <c r="CB3" s="635"/>
      <c r="CC3" s="635"/>
      <c r="CD3" s="635"/>
      <c r="CE3" s="635"/>
      <c r="CF3" s="635"/>
      <c r="CG3" s="635"/>
      <c r="CH3" s="635"/>
      <c r="CI3" s="635"/>
      <c r="CJ3" s="635"/>
      <c r="CK3" s="635"/>
      <c r="CL3" s="635"/>
      <c r="CM3" s="635"/>
      <c r="CN3" s="635"/>
      <c r="CO3" s="635"/>
      <c r="CP3" s="635"/>
      <c r="CQ3" s="635"/>
      <c r="CR3" s="635"/>
      <c r="CS3" s="635"/>
      <c r="CT3" s="635"/>
      <c r="CU3" s="635"/>
      <c r="CV3" s="635"/>
      <c r="CW3" s="635"/>
      <c r="CX3" s="635"/>
      <c r="CY3" s="635"/>
      <c r="CZ3" s="635"/>
      <c r="DA3" s="635"/>
      <c r="DB3" s="635"/>
      <c r="DC3" s="635"/>
      <c r="DD3" s="635"/>
      <c r="DE3" s="635"/>
      <c r="DF3" s="635"/>
      <c r="DG3" s="635"/>
      <c r="DH3" s="635"/>
      <c r="DI3" s="635"/>
      <c r="DJ3" s="635"/>
      <c r="DK3" s="635"/>
      <c r="DL3" s="635"/>
      <c r="DM3" s="635"/>
      <c r="DN3" s="635"/>
      <c r="DO3" s="635"/>
      <c r="DP3" s="635"/>
      <c r="DQ3" s="635"/>
      <c r="DR3" s="635"/>
      <c r="DS3" s="635"/>
      <c r="DT3" s="635"/>
      <c r="DU3" s="635"/>
      <c r="DV3" s="635"/>
      <c r="DW3" s="635"/>
      <c r="DX3" s="635"/>
      <c r="DY3" s="635"/>
      <c r="DZ3" s="635"/>
      <c r="EA3" s="635"/>
      <c r="EB3" s="635"/>
      <c r="EC3" s="635"/>
      <c r="ED3" s="635"/>
      <c r="EE3" s="635"/>
      <c r="EF3" s="635"/>
      <c r="EG3" s="635"/>
      <c r="EH3" s="635"/>
      <c r="EI3" s="635"/>
      <c r="EJ3" s="635"/>
      <c r="EK3" s="635"/>
      <c r="EL3" s="635"/>
      <c r="EM3" s="635"/>
      <c r="EN3" s="635"/>
      <c r="EO3" s="635"/>
      <c r="EP3" s="635"/>
      <c r="EQ3" s="635"/>
      <c r="ER3" s="635"/>
      <c r="ES3" s="635"/>
      <c r="ET3" s="635"/>
      <c r="EU3" s="635"/>
      <c r="EV3" s="635"/>
      <c r="EW3" s="635"/>
      <c r="EX3" s="635"/>
      <c r="EY3" s="635"/>
      <c r="EZ3" s="635"/>
      <c r="FA3" s="635"/>
      <c r="FB3" s="635"/>
      <c r="FC3" s="635"/>
      <c r="FD3" s="635"/>
      <c r="FE3" s="635"/>
      <c r="FF3" s="635"/>
      <c r="FG3" s="635"/>
      <c r="FH3" s="635"/>
      <c r="FI3" s="635"/>
      <c r="FJ3" s="635"/>
      <c r="FK3" s="635"/>
      <c r="FL3" s="635"/>
      <c r="FM3" s="635"/>
      <c r="FN3" s="635"/>
      <c r="FO3" s="635"/>
      <c r="FP3" s="635"/>
      <c r="FQ3" s="635"/>
      <c r="FR3" s="635"/>
      <c r="FS3" s="635"/>
      <c r="FT3" s="635"/>
      <c r="FU3" s="635"/>
      <c r="FV3" s="635"/>
      <c r="FW3" s="635"/>
      <c r="FX3" s="635"/>
      <c r="FY3" s="635"/>
      <c r="FZ3" s="635"/>
      <c r="GA3" s="635"/>
      <c r="GB3" s="635"/>
      <c r="GC3" s="635"/>
      <c r="GD3" s="635"/>
      <c r="GE3" s="635"/>
      <c r="GF3" s="635"/>
      <c r="GG3" s="635"/>
      <c r="GH3" s="635"/>
      <c r="GI3" s="635"/>
      <c r="GJ3" s="635"/>
      <c r="GK3" s="635"/>
      <c r="GL3" s="635"/>
      <c r="GM3" s="635"/>
      <c r="GN3" s="635"/>
      <c r="GO3" s="635"/>
      <c r="GP3" s="635"/>
      <c r="GQ3" s="635"/>
      <c r="GR3" s="635"/>
      <c r="GS3" s="635"/>
      <c r="GT3" s="635"/>
      <c r="GU3" s="635"/>
      <c r="GV3" s="635"/>
      <c r="GW3" s="635"/>
      <c r="GX3" s="635"/>
      <c r="GY3" s="635"/>
      <c r="GZ3" s="635"/>
      <c r="HA3" s="635"/>
      <c r="HB3" s="635"/>
      <c r="HC3" s="635"/>
      <c r="HD3" s="635"/>
      <c r="HE3" s="635"/>
      <c r="HF3" s="635"/>
      <c r="HG3" s="635"/>
      <c r="HH3" s="635"/>
      <c r="HI3" s="635"/>
      <c r="HJ3" s="635"/>
      <c r="HK3" s="635"/>
      <c r="HL3" s="635"/>
      <c r="HM3" s="635"/>
      <c r="HN3" s="635"/>
      <c r="HO3" s="635"/>
      <c r="HP3" s="635"/>
      <c r="HQ3" s="635"/>
      <c r="HR3" s="635"/>
      <c r="HS3" s="635"/>
      <c r="HT3" s="635"/>
      <c r="HU3" s="635"/>
      <c r="HV3" s="635"/>
      <c r="HW3" s="635"/>
      <c r="HX3" s="635"/>
      <c r="HY3" s="635"/>
      <c r="HZ3" s="635"/>
      <c r="IA3" s="635"/>
      <c r="IB3" s="635"/>
      <c r="IC3" s="635"/>
      <c r="ID3" s="635"/>
      <c r="IE3" s="635"/>
      <c r="IF3" s="635"/>
      <c r="IG3" s="635"/>
      <c r="IH3" s="635"/>
      <c r="II3" s="635"/>
      <c r="IJ3" s="635"/>
      <c r="IK3" s="635"/>
      <c r="IL3" s="635"/>
      <c r="IM3" s="635"/>
      <c r="IN3" s="635"/>
      <c r="IO3" s="635"/>
      <c r="IP3" s="635"/>
      <c r="IQ3" s="635"/>
      <c r="IR3" s="635"/>
      <c r="IS3" s="635"/>
      <c r="IT3" s="635"/>
      <c r="IU3" s="635"/>
      <c r="IV3" s="635"/>
    </row>
    <row r="4" spans="1:256">
      <c r="A4" s="638"/>
      <c r="B4" s="622"/>
      <c r="C4" s="637"/>
      <c r="D4" s="636"/>
      <c r="E4" s="629"/>
      <c r="F4" s="629"/>
      <c r="G4" s="629"/>
      <c r="I4" s="635"/>
      <c r="J4" s="635"/>
      <c r="K4" s="635"/>
      <c r="L4" s="635"/>
      <c r="M4" s="635"/>
      <c r="N4" s="635"/>
      <c r="O4" s="635"/>
      <c r="P4" s="635"/>
      <c r="Q4" s="635"/>
      <c r="R4" s="635"/>
      <c r="S4" s="635"/>
      <c r="T4" s="635"/>
      <c r="U4" s="635"/>
      <c r="V4" s="635"/>
      <c r="W4" s="635"/>
      <c r="X4" s="635"/>
      <c r="Y4" s="635"/>
      <c r="Z4" s="635"/>
      <c r="AA4" s="635"/>
      <c r="AB4" s="635"/>
      <c r="AC4" s="635"/>
      <c r="AD4" s="635"/>
      <c r="AE4" s="635"/>
      <c r="AF4" s="635"/>
      <c r="AG4" s="635"/>
      <c r="AH4" s="635"/>
      <c r="AI4" s="635"/>
      <c r="AJ4" s="635"/>
      <c r="AK4" s="635"/>
      <c r="AL4" s="635"/>
      <c r="AM4" s="635"/>
      <c r="AN4" s="635"/>
      <c r="AO4" s="635"/>
      <c r="AP4" s="635"/>
      <c r="AQ4" s="635"/>
      <c r="AR4" s="635"/>
      <c r="AS4" s="635"/>
      <c r="AT4" s="635"/>
      <c r="AU4" s="635"/>
      <c r="AV4" s="635"/>
      <c r="AW4" s="635"/>
      <c r="AX4" s="635"/>
      <c r="AY4" s="635"/>
      <c r="AZ4" s="635"/>
      <c r="BA4" s="635"/>
      <c r="BB4" s="635"/>
      <c r="BC4" s="635"/>
      <c r="BD4" s="635"/>
      <c r="BE4" s="635"/>
      <c r="BF4" s="635"/>
      <c r="BG4" s="635"/>
      <c r="BH4" s="635"/>
      <c r="BI4" s="635"/>
      <c r="BJ4" s="635"/>
      <c r="BK4" s="635"/>
      <c r="BL4" s="635"/>
      <c r="BM4" s="635"/>
      <c r="BN4" s="635"/>
      <c r="BO4" s="635"/>
      <c r="BP4" s="635"/>
      <c r="BQ4" s="635"/>
      <c r="BR4" s="635"/>
      <c r="BS4" s="635"/>
      <c r="BT4" s="635"/>
      <c r="BU4" s="635"/>
      <c r="BV4" s="635"/>
      <c r="BW4" s="635"/>
      <c r="BX4" s="635"/>
      <c r="BY4" s="635"/>
      <c r="BZ4" s="635"/>
      <c r="CA4" s="635"/>
      <c r="CB4" s="635"/>
      <c r="CC4" s="635"/>
      <c r="CD4" s="635"/>
      <c r="CE4" s="635"/>
      <c r="CF4" s="635"/>
      <c r="CG4" s="635"/>
      <c r="CH4" s="635"/>
      <c r="CI4" s="635"/>
      <c r="CJ4" s="635"/>
      <c r="CK4" s="635"/>
      <c r="CL4" s="635"/>
      <c r="CM4" s="635"/>
      <c r="CN4" s="635"/>
      <c r="CO4" s="635"/>
      <c r="CP4" s="635"/>
      <c r="CQ4" s="635"/>
      <c r="CR4" s="635"/>
      <c r="CS4" s="635"/>
      <c r="CT4" s="635"/>
      <c r="CU4" s="635"/>
      <c r="CV4" s="635"/>
      <c r="CW4" s="635"/>
      <c r="CX4" s="635"/>
      <c r="CY4" s="635"/>
      <c r="CZ4" s="635"/>
      <c r="DA4" s="635"/>
      <c r="DB4" s="635"/>
      <c r="DC4" s="635"/>
      <c r="DD4" s="635"/>
      <c r="DE4" s="635"/>
      <c r="DF4" s="635"/>
      <c r="DG4" s="635"/>
      <c r="DH4" s="635"/>
      <c r="DI4" s="635"/>
      <c r="DJ4" s="635"/>
      <c r="DK4" s="635"/>
      <c r="DL4" s="635"/>
      <c r="DM4" s="635"/>
      <c r="DN4" s="635"/>
      <c r="DO4" s="635"/>
      <c r="DP4" s="635"/>
      <c r="DQ4" s="635"/>
      <c r="DR4" s="635"/>
      <c r="DS4" s="635"/>
      <c r="DT4" s="635"/>
      <c r="DU4" s="635"/>
      <c r="DV4" s="635"/>
      <c r="DW4" s="635"/>
      <c r="DX4" s="635"/>
      <c r="DY4" s="635"/>
      <c r="DZ4" s="635"/>
      <c r="EA4" s="635"/>
      <c r="EB4" s="635"/>
      <c r="EC4" s="635"/>
      <c r="ED4" s="635"/>
      <c r="EE4" s="635"/>
      <c r="EF4" s="635"/>
      <c r="EG4" s="635"/>
      <c r="EH4" s="635"/>
      <c r="EI4" s="635"/>
      <c r="EJ4" s="635"/>
      <c r="EK4" s="635"/>
      <c r="EL4" s="635"/>
      <c r="EM4" s="635"/>
      <c r="EN4" s="635"/>
      <c r="EO4" s="635"/>
      <c r="EP4" s="635"/>
      <c r="EQ4" s="635"/>
      <c r="ER4" s="635"/>
      <c r="ES4" s="635"/>
      <c r="ET4" s="635"/>
      <c r="EU4" s="635"/>
      <c r="EV4" s="635"/>
      <c r="EW4" s="635"/>
      <c r="EX4" s="635"/>
      <c r="EY4" s="635"/>
      <c r="EZ4" s="635"/>
      <c r="FA4" s="635"/>
      <c r="FB4" s="635"/>
      <c r="FC4" s="635"/>
      <c r="FD4" s="635"/>
      <c r="FE4" s="635"/>
      <c r="FF4" s="635"/>
      <c r="FG4" s="635"/>
      <c r="FH4" s="635"/>
      <c r="FI4" s="635"/>
      <c r="FJ4" s="635"/>
      <c r="FK4" s="635"/>
      <c r="FL4" s="635"/>
      <c r="FM4" s="635"/>
      <c r="FN4" s="635"/>
      <c r="FO4" s="635"/>
      <c r="FP4" s="635"/>
      <c r="FQ4" s="635"/>
      <c r="FR4" s="635"/>
      <c r="FS4" s="635"/>
      <c r="FT4" s="635"/>
      <c r="FU4" s="635"/>
      <c r="FV4" s="635"/>
      <c r="FW4" s="635"/>
      <c r="FX4" s="635"/>
      <c r="FY4" s="635"/>
      <c r="FZ4" s="635"/>
      <c r="GA4" s="635"/>
      <c r="GB4" s="635"/>
      <c r="GC4" s="635"/>
      <c r="GD4" s="635"/>
      <c r="GE4" s="635"/>
      <c r="GF4" s="635"/>
      <c r="GG4" s="635"/>
      <c r="GH4" s="635"/>
      <c r="GI4" s="635"/>
      <c r="GJ4" s="635"/>
      <c r="GK4" s="635"/>
      <c r="GL4" s="635"/>
      <c r="GM4" s="635"/>
      <c r="GN4" s="635"/>
      <c r="GO4" s="635"/>
      <c r="GP4" s="635"/>
      <c r="GQ4" s="635"/>
      <c r="GR4" s="635"/>
      <c r="GS4" s="635"/>
      <c r="GT4" s="635"/>
      <c r="GU4" s="635"/>
      <c r="GV4" s="635"/>
      <c r="GW4" s="635"/>
      <c r="GX4" s="635"/>
      <c r="GY4" s="635"/>
      <c r="GZ4" s="635"/>
      <c r="HA4" s="635"/>
      <c r="HB4" s="635"/>
      <c r="HC4" s="635"/>
      <c r="HD4" s="635"/>
      <c r="HE4" s="635"/>
      <c r="HF4" s="635"/>
      <c r="HG4" s="635"/>
      <c r="HH4" s="635"/>
      <c r="HI4" s="635"/>
      <c r="HJ4" s="635"/>
      <c r="HK4" s="635"/>
      <c r="HL4" s="635"/>
      <c r="HM4" s="635"/>
      <c r="HN4" s="635"/>
      <c r="HO4" s="635"/>
      <c r="HP4" s="635"/>
      <c r="HQ4" s="635"/>
      <c r="HR4" s="635"/>
      <c r="HS4" s="635"/>
      <c r="HT4" s="635"/>
      <c r="HU4" s="635"/>
      <c r="HV4" s="635"/>
      <c r="HW4" s="635"/>
      <c r="HX4" s="635"/>
      <c r="HY4" s="635"/>
      <c r="HZ4" s="635"/>
      <c r="IA4" s="635"/>
      <c r="IB4" s="635"/>
      <c r="IC4" s="635"/>
      <c r="ID4" s="635"/>
      <c r="IE4" s="635"/>
      <c r="IF4" s="635"/>
      <c r="IG4" s="635"/>
      <c r="IH4" s="635"/>
      <c r="II4" s="635"/>
      <c r="IJ4" s="635"/>
      <c r="IK4" s="635"/>
      <c r="IL4" s="635"/>
      <c r="IM4" s="635"/>
      <c r="IN4" s="635"/>
      <c r="IO4" s="635"/>
      <c r="IP4" s="635"/>
      <c r="IQ4" s="635"/>
      <c r="IR4" s="635"/>
      <c r="IS4" s="635"/>
      <c r="IT4" s="635"/>
      <c r="IU4" s="635"/>
      <c r="IV4" s="635"/>
    </row>
    <row r="5" spans="1:256" ht="28.5" customHeight="1">
      <c r="A5" s="809"/>
      <c r="B5" s="809"/>
      <c r="C5" s="809"/>
      <c r="D5" s="809"/>
      <c r="E5" s="629"/>
      <c r="F5" s="629"/>
      <c r="G5" s="629"/>
      <c r="I5" s="806"/>
      <c r="J5" s="806"/>
      <c r="K5" s="806"/>
      <c r="L5" s="806"/>
      <c r="M5" s="806"/>
      <c r="N5" s="806"/>
      <c r="O5" s="806"/>
      <c r="P5" s="806"/>
      <c r="Q5" s="806"/>
      <c r="R5" s="806"/>
      <c r="S5" s="806"/>
      <c r="T5" s="806"/>
      <c r="U5" s="806"/>
      <c r="V5" s="806"/>
      <c r="W5" s="806"/>
      <c r="X5" s="806"/>
      <c r="Y5" s="806"/>
      <c r="Z5" s="806"/>
      <c r="AA5" s="806"/>
      <c r="AB5" s="806"/>
      <c r="AC5" s="806"/>
      <c r="AD5" s="806"/>
      <c r="AE5" s="806"/>
      <c r="AF5" s="806"/>
      <c r="AG5" s="806"/>
      <c r="AH5" s="806"/>
      <c r="AI5" s="806"/>
      <c r="AJ5" s="806"/>
      <c r="AK5" s="806"/>
      <c r="AL5" s="806"/>
      <c r="AM5" s="806"/>
      <c r="AN5" s="806"/>
      <c r="AO5" s="806"/>
      <c r="AP5" s="806"/>
      <c r="AQ5" s="806"/>
      <c r="AR5" s="806"/>
      <c r="AS5" s="806"/>
      <c r="AT5" s="806"/>
      <c r="AU5" s="806"/>
      <c r="AV5" s="806"/>
      <c r="AW5" s="806"/>
      <c r="AX5" s="806"/>
      <c r="AY5" s="806"/>
      <c r="AZ5" s="806"/>
      <c r="BA5" s="806"/>
      <c r="BB5" s="806"/>
      <c r="BC5" s="806"/>
      <c r="BD5" s="806"/>
      <c r="BE5" s="806"/>
      <c r="BF5" s="806"/>
      <c r="BG5" s="806"/>
      <c r="BH5" s="806"/>
      <c r="BI5" s="806"/>
      <c r="BJ5" s="806"/>
      <c r="BK5" s="806"/>
      <c r="BL5" s="806"/>
      <c r="BM5" s="806"/>
      <c r="BN5" s="806"/>
      <c r="BO5" s="806"/>
      <c r="BP5" s="806"/>
      <c r="BQ5" s="806"/>
      <c r="BR5" s="806"/>
      <c r="BS5" s="806"/>
      <c r="BT5" s="806"/>
      <c r="BU5" s="806"/>
      <c r="BV5" s="806"/>
      <c r="BW5" s="806"/>
      <c r="BX5" s="806"/>
      <c r="BY5" s="806"/>
      <c r="BZ5" s="806"/>
      <c r="CA5" s="806"/>
      <c r="CB5" s="806"/>
      <c r="CC5" s="806"/>
      <c r="CD5" s="806"/>
      <c r="CE5" s="806"/>
      <c r="CF5" s="806"/>
      <c r="CG5" s="806"/>
      <c r="CH5" s="806"/>
      <c r="CI5" s="806"/>
      <c r="CJ5" s="806"/>
      <c r="CK5" s="806"/>
      <c r="CL5" s="806"/>
      <c r="CM5" s="806"/>
      <c r="CN5" s="806"/>
      <c r="CO5" s="806"/>
      <c r="CP5" s="806"/>
      <c r="CQ5" s="806"/>
      <c r="CR5" s="806"/>
      <c r="CS5" s="806"/>
      <c r="CT5" s="806"/>
      <c r="CU5" s="806"/>
      <c r="CV5" s="806"/>
      <c r="CW5" s="806"/>
      <c r="CX5" s="806"/>
      <c r="CY5" s="806"/>
      <c r="CZ5" s="806"/>
      <c r="DA5" s="806"/>
      <c r="DB5" s="806"/>
      <c r="DC5" s="806"/>
      <c r="DD5" s="806"/>
      <c r="DE5" s="806"/>
      <c r="DF5" s="806"/>
      <c r="DG5" s="806"/>
      <c r="DH5" s="806"/>
      <c r="DI5" s="806"/>
      <c r="DJ5" s="806"/>
      <c r="DK5" s="806"/>
      <c r="DL5" s="806"/>
      <c r="DM5" s="806"/>
      <c r="DN5" s="806"/>
      <c r="DO5" s="806"/>
      <c r="DP5" s="806"/>
      <c r="DQ5" s="806"/>
      <c r="DR5" s="806"/>
      <c r="DS5" s="806"/>
      <c r="DT5" s="806"/>
      <c r="DU5" s="806"/>
      <c r="DV5" s="806"/>
      <c r="DW5" s="806"/>
      <c r="DX5" s="806"/>
      <c r="DY5" s="806"/>
      <c r="DZ5" s="806"/>
      <c r="EA5" s="806"/>
      <c r="EB5" s="806"/>
      <c r="EC5" s="806"/>
      <c r="ED5" s="806"/>
      <c r="EE5" s="806"/>
      <c r="EF5" s="806"/>
      <c r="EG5" s="806"/>
      <c r="EH5" s="806"/>
      <c r="EI5" s="806"/>
      <c r="EJ5" s="806"/>
      <c r="EK5" s="806"/>
      <c r="EL5" s="806"/>
      <c r="EM5" s="806"/>
      <c r="EN5" s="806"/>
      <c r="EO5" s="806"/>
      <c r="EP5" s="806"/>
      <c r="EQ5" s="806"/>
      <c r="ER5" s="806"/>
      <c r="ES5" s="806"/>
      <c r="ET5" s="806"/>
      <c r="EU5" s="806"/>
      <c r="EV5" s="806"/>
      <c r="EW5" s="806"/>
      <c r="EX5" s="806"/>
      <c r="EY5" s="806"/>
      <c r="EZ5" s="806"/>
      <c r="FA5" s="806"/>
      <c r="FB5" s="806"/>
      <c r="FC5" s="806"/>
      <c r="FD5" s="806"/>
      <c r="FE5" s="806"/>
      <c r="FF5" s="806"/>
      <c r="FG5" s="806"/>
      <c r="FH5" s="806"/>
      <c r="FI5" s="806"/>
      <c r="FJ5" s="806"/>
      <c r="FK5" s="806"/>
      <c r="FL5" s="806"/>
      <c r="FM5" s="806"/>
      <c r="FN5" s="806"/>
      <c r="FO5" s="806"/>
      <c r="FP5" s="806"/>
      <c r="FQ5" s="806"/>
      <c r="FR5" s="806"/>
      <c r="FS5" s="806"/>
      <c r="FT5" s="806"/>
      <c r="FU5" s="806"/>
      <c r="FV5" s="806"/>
      <c r="FW5" s="806"/>
      <c r="FX5" s="806"/>
      <c r="FY5" s="806"/>
      <c r="FZ5" s="806"/>
      <c r="GA5" s="806"/>
      <c r="GB5" s="806"/>
      <c r="GC5" s="806"/>
      <c r="GD5" s="806"/>
      <c r="GE5" s="806"/>
      <c r="GF5" s="806"/>
      <c r="GG5" s="806"/>
      <c r="GH5" s="806"/>
      <c r="GI5" s="806"/>
      <c r="GJ5" s="806"/>
      <c r="GK5" s="806"/>
      <c r="GL5" s="806"/>
      <c r="GM5" s="806"/>
      <c r="GN5" s="806"/>
      <c r="GO5" s="806"/>
      <c r="GP5" s="806"/>
      <c r="GQ5" s="806"/>
      <c r="GR5" s="806"/>
      <c r="GS5" s="806"/>
      <c r="GT5" s="806"/>
      <c r="GU5" s="806"/>
      <c r="GV5" s="806"/>
      <c r="GW5" s="806"/>
      <c r="GX5" s="806"/>
      <c r="GY5" s="806"/>
      <c r="GZ5" s="806"/>
      <c r="HA5" s="806"/>
      <c r="HB5" s="806"/>
      <c r="HC5" s="806"/>
      <c r="HD5" s="806"/>
      <c r="HE5" s="806"/>
      <c r="HF5" s="806"/>
      <c r="HG5" s="806"/>
      <c r="HH5" s="806"/>
      <c r="HI5" s="806"/>
      <c r="HJ5" s="806"/>
      <c r="HK5" s="806"/>
      <c r="HL5" s="806"/>
      <c r="HM5" s="806"/>
      <c r="HN5" s="806"/>
      <c r="HO5" s="806"/>
      <c r="HP5" s="806"/>
      <c r="HQ5" s="806"/>
      <c r="HR5" s="806"/>
      <c r="HS5" s="806"/>
      <c r="HT5" s="806"/>
      <c r="HU5" s="806"/>
      <c r="HV5" s="806"/>
      <c r="HW5" s="806"/>
      <c r="HX5" s="806"/>
      <c r="HY5" s="806"/>
      <c r="HZ5" s="806"/>
      <c r="IA5" s="806"/>
      <c r="IB5" s="806"/>
      <c r="IC5" s="806"/>
      <c r="ID5" s="806"/>
      <c r="IE5" s="806"/>
      <c r="IF5" s="806"/>
      <c r="IG5" s="806"/>
      <c r="IH5" s="806"/>
      <c r="II5" s="806"/>
      <c r="IJ5" s="806"/>
      <c r="IK5" s="806"/>
      <c r="IL5" s="806"/>
      <c r="IM5" s="806"/>
      <c r="IN5" s="806"/>
      <c r="IO5" s="806"/>
      <c r="IP5" s="806"/>
      <c r="IQ5" s="806"/>
      <c r="IR5" s="806"/>
      <c r="IS5" s="806"/>
      <c r="IT5" s="806"/>
      <c r="IU5" s="806"/>
      <c r="IV5" s="806"/>
    </row>
    <row r="6" spans="1:256">
      <c r="A6" s="623"/>
      <c r="B6" s="622"/>
      <c r="C6" s="621"/>
      <c r="D6" s="634"/>
      <c r="E6" s="629"/>
      <c r="F6" s="629"/>
      <c r="G6" s="629"/>
    </row>
    <row r="7" spans="1:256" ht="15" customHeight="1">
      <c r="A7" s="803"/>
      <c r="B7" s="804"/>
      <c r="C7" s="804"/>
      <c r="D7" s="804"/>
    </row>
    <row r="8" spans="1:256">
      <c r="A8" s="803"/>
      <c r="B8" s="804"/>
      <c r="C8" s="625"/>
      <c r="D8" s="625"/>
    </row>
    <row r="9" spans="1:256">
      <c r="A9" s="626"/>
      <c r="B9" s="628"/>
      <c r="C9" s="633"/>
      <c r="D9" s="633"/>
      <c r="E9" s="632"/>
      <c r="F9" s="632"/>
      <c r="G9" s="632"/>
    </row>
    <row r="10" spans="1:256">
      <c r="A10" s="623"/>
      <c r="B10" s="622"/>
      <c r="C10" s="627"/>
      <c r="D10" s="627"/>
    </row>
    <row r="11" spans="1:256">
      <c r="A11" s="623"/>
      <c r="B11" s="622"/>
      <c r="C11" s="627"/>
      <c r="D11" s="627"/>
    </row>
    <row r="12" spans="1:256">
      <c r="A12" s="631"/>
      <c r="B12" s="622"/>
      <c r="C12" s="630"/>
      <c r="D12" s="630"/>
    </row>
    <row r="13" spans="1:256">
      <c r="A13" s="623"/>
      <c r="B13" s="622"/>
      <c r="C13" s="627"/>
      <c r="D13" s="627"/>
    </row>
    <row r="14" spans="1:256">
      <c r="A14" s="623"/>
      <c r="B14" s="622"/>
      <c r="C14" s="627"/>
      <c r="D14" s="627"/>
    </row>
    <row r="15" spans="1:256">
      <c r="A15" s="623"/>
      <c r="B15" s="622"/>
      <c r="C15" s="627"/>
      <c r="D15" s="627"/>
    </row>
    <row r="16" spans="1:256">
      <c r="A16" s="623"/>
      <c r="B16" s="622"/>
      <c r="C16" s="627"/>
      <c r="D16" s="627"/>
      <c r="E16" s="629"/>
      <c r="F16" s="629"/>
      <c r="G16" s="629"/>
    </row>
    <row r="17" spans="1:7">
      <c r="A17" s="623"/>
      <c r="B17" s="622"/>
      <c r="C17" s="627"/>
      <c r="D17" s="627"/>
    </row>
    <row r="18" spans="1:7">
      <c r="A18" s="623"/>
      <c r="B18" s="622"/>
      <c r="C18" s="627"/>
      <c r="D18" s="627"/>
      <c r="E18" s="629"/>
      <c r="F18" s="629"/>
      <c r="G18" s="629"/>
    </row>
    <row r="19" spans="1:7">
      <c r="A19" s="626"/>
      <c r="B19" s="628"/>
      <c r="C19" s="624"/>
      <c r="D19" s="624"/>
      <c r="G19" s="613"/>
    </row>
    <row r="20" spans="1:7">
      <c r="A20" s="623"/>
      <c r="B20" s="622"/>
      <c r="C20" s="627"/>
      <c r="D20" s="627"/>
      <c r="G20" s="613"/>
    </row>
    <row r="21" spans="1:7">
      <c r="A21" s="626"/>
      <c r="B21" s="628"/>
      <c r="C21" s="624"/>
      <c r="D21" s="624"/>
      <c r="G21" s="613"/>
    </row>
    <row r="22" spans="1:7">
      <c r="A22" s="623"/>
      <c r="B22" s="621"/>
      <c r="C22" s="627"/>
      <c r="D22" s="627"/>
      <c r="G22" s="613"/>
    </row>
    <row r="23" spans="1:7">
      <c r="A23" s="623"/>
      <c r="B23" s="621"/>
      <c r="C23" s="627"/>
      <c r="D23" s="627"/>
      <c r="G23" s="613"/>
    </row>
    <row r="24" spans="1:7">
      <c r="A24" s="623"/>
      <c r="B24" s="621"/>
      <c r="C24" s="627"/>
      <c r="D24" s="627"/>
      <c r="G24" s="613"/>
    </row>
    <row r="25" spans="1:7">
      <c r="A25" s="623"/>
      <c r="B25" s="621"/>
      <c r="C25" s="627"/>
      <c r="D25" s="627"/>
      <c r="G25" s="613"/>
    </row>
    <row r="26" spans="1:7">
      <c r="A26" s="623"/>
      <c r="B26" s="621"/>
      <c r="C26" s="627"/>
      <c r="D26" s="627"/>
      <c r="G26" s="613"/>
    </row>
    <row r="27" spans="1:7">
      <c r="A27" s="623"/>
      <c r="B27" s="621"/>
      <c r="C27" s="627"/>
      <c r="D27" s="627"/>
      <c r="G27" s="613"/>
    </row>
    <row r="28" spans="1:7">
      <c r="A28" s="623"/>
      <c r="B28" s="621"/>
      <c r="C28" s="627"/>
      <c r="D28" s="627"/>
      <c r="G28" s="613"/>
    </row>
    <row r="29" spans="1:7">
      <c r="A29" s="623"/>
      <c r="B29" s="621"/>
      <c r="C29" s="627"/>
      <c r="D29" s="627"/>
      <c r="E29" s="629"/>
      <c r="F29" s="629"/>
      <c r="G29" s="629"/>
    </row>
    <row r="30" spans="1:7">
      <c r="A30" s="623"/>
      <c r="B30" s="621"/>
      <c r="C30" s="627"/>
      <c r="D30" s="627"/>
    </row>
    <row r="31" spans="1:7">
      <c r="A31" s="623"/>
      <c r="B31" s="621"/>
      <c r="C31" s="627"/>
      <c r="D31" s="627"/>
      <c r="E31" s="629"/>
      <c r="F31" s="629"/>
      <c r="G31" s="629"/>
    </row>
    <row r="32" spans="1:7">
      <c r="A32" s="626"/>
      <c r="B32" s="628"/>
      <c r="C32" s="624"/>
      <c r="D32" s="624"/>
    </row>
    <row r="33" spans="1:7">
      <c r="A33" s="623"/>
      <c r="B33" s="622"/>
      <c r="C33" s="627"/>
      <c r="D33" s="627"/>
    </row>
    <row r="34" spans="1:7">
      <c r="A34" s="626"/>
      <c r="B34" s="628"/>
      <c r="C34" s="624"/>
      <c r="D34" s="624"/>
    </row>
    <row r="35" spans="1:7">
      <c r="A35" s="623"/>
      <c r="B35" s="622"/>
      <c r="C35" s="627"/>
      <c r="D35" s="627"/>
    </row>
    <row r="36" spans="1:7">
      <c r="A36" s="623"/>
      <c r="B36" s="622"/>
      <c r="C36" s="627"/>
      <c r="D36" s="627"/>
    </row>
    <row r="37" spans="1:7">
      <c r="A37" s="623"/>
      <c r="B37" s="622"/>
      <c r="C37" s="627"/>
      <c r="D37" s="627"/>
      <c r="E37" s="629"/>
      <c r="F37" s="629"/>
      <c r="G37" s="629"/>
    </row>
    <row r="38" spans="1:7">
      <c r="A38" s="623"/>
      <c r="B38" s="622"/>
      <c r="C38" s="627"/>
      <c r="D38" s="627"/>
    </row>
    <row r="39" spans="1:7">
      <c r="A39" s="623"/>
      <c r="B39" s="622"/>
      <c r="C39" s="627"/>
      <c r="D39" s="627"/>
      <c r="E39" s="629"/>
      <c r="F39" s="629"/>
      <c r="G39" s="629"/>
    </row>
    <row r="40" spans="1:7">
      <c r="A40" s="626"/>
      <c r="B40" s="628"/>
      <c r="C40" s="624"/>
      <c r="D40" s="624"/>
    </row>
    <row r="41" spans="1:7">
      <c r="A41" s="623"/>
      <c r="B41" s="622"/>
      <c r="C41" s="627"/>
      <c r="D41" s="627"/>
    </row>
    <row r="42" spans="1:7">
      <c r="A42" s="626"/>
      <c r="B42" s="628"/>
      <c r="C42" s="624"/>
      <c r="D42" s="624"/>
      <c r="E42" s="629"/>
      <c r="F42" s="629"/>
      <c r="G42" s="629"/>
    </row>
    <row r="43" spans="1:7">
      <c r="A43" s="623"/>
      <c r="B43" s="621"/>
      <c r="C43" s="627"/>
      <c r="D43" s="627"/>
    </row>
    <row r="44" spans="1:7">
      <c r="A44" s="623"/>
      <c r="B44" s="622"/>
      <c r="C44" s="627"/>
      <c r="D44" s="627"/>
      <c r="E44" s="629"/>
      <c r="F44" s="629"/>
      <c r="G44" s="629"/>
    </row>
    <row r="45" spans="1:7">
      <c r="A45" s="626"/>
      <c r="B45" s="628"/>
      <c r="C45" s="624"/>
      <c r="D45" s="624"/>
    </row>
    <row r="46" spans="1:7">
      <c r="A46" s="623"/>
      <c r="B46" s="622"/>
      <c r="C46" s="627"/>
      <c r="D46" s="627"/>
      <c r="E46" s="629"/>
      <c r="F46" s="629"/>
      <c r="G46" s="629"/>
    </row>
    <row r="47" spans="1:7">
      <c r="A47" s="626"/>
      <c r="B47" s="628"/>
      <c r="C47" s="624"/>
      <c r="D47" s="624"/>
    </row>
    <row r="48" spans="1:7">
      <c r="A48" s="623"/>
      <c r="B48" s="622"/>
      <c r="C48" s="627"/>
      <c r="D48" s="627"/>
      <c r="E48" s="629"/>
      <c r="F48" s="629"/>
      <c r="G48" s="629"/>
    </row>
    <row r="49" spans="1:256">
      <c r="A49" s="626"/>
      <c r="B49" s="628"/>
      <c r="C49" s="624"/>
      <c r="D49" s="624"/>
      <c r="E49" s="617"/>
    </row>
    <row r="50" spans="1:256">
      <c r="A50" s="623"/>
      <c r="B50" s="622"/>
      <c r="C50" s="627"/>
      <c r="D50" s="627"/>
      <c r="E50" s="617"/>
    </row>
    <row r="51" spans="1:256">
      <c r="A51" s="626"/>
      <c r="B51" s="625"/>
      <c r="C51" s="624"/>
      <c r="D51" s="624"/>
      <c r="E51" s="617"/>
    </row>
    <row r="52" spans="1:256">
      <c r="A52" s="623"/>
      <c r="B52" s="622"/>
      <c r="C52" s="621"/>
      <c r="D52" s="621"/>
      <c r="E52" s="617"/>
    </row>
    <row r="53" spans="1:256" ht="15.75" customHeight="1">
      <c r="A53" s="620"/>
      <c r="B53" s="805"/>
      <c r="C53" s="805"/>
      <c r="D53" s="805"/>
      <c r="E53" s="617"/>
    </row>
    <row r="54" spans="1:256">
      <c r="A54" s="619"/>
      <c r="B54" s="618"/>
      <c r="C54" s="617"/>
      <c r="D54" s="617"/>
      <c r="E54" s="617"/>
    </row>
    <row r="55" spans="1:256">
      <c r="A55" s="619"/>
      <c r="B55" s="618"/>
      <c r="C55" s="617"/>
      <c r="D55" s="617"/>
    </row>
    <row r="56" spans="1:256" s="614" customFormat="1">
      <c r="A56" s="619"/>
      <c r="B56" s="618"/>
      <c r="C56" s="617"/>
      <c r="D56" s="617"/>
      <c r="H56" s="613"/>
      <c r="I56" s="613"/>
      <c r="J56" s="613"/>
      <c r="K56" s="613"/>
      <c r="L56" s="613"/>
      <c r="M56" s="613"/>
      <c r="N56" s="613"/>
      <c r="O56" s="613"/>
      <c r="P56" s="613"/>
      <c r="Q56" s="613"/>
      <c r="R56" s="613"/>
      <c r="S56" s="613"/>
      <c r="T56" s="613"/>
      <c r="U56" s="613"/>
      <c r="V56" s="613"/>
      <c r="W56" s="613"/>
      <c r="X56" s="613"/>
      <c r="Y56" s="613"/>
      <c r="Z56" s="613"/>
      <c r="AA56" s="613"/>
      <c r="AB56" s="613"/>
      <c r="AC56" s="613"/>
      <c r="AD56" s="613"/>
      <c r="AE56" s="613"/>
      <c r="AF56" s="613"/>
      <c r="AG56" s="613"/>
      <c r="AH56" s="613"/>
      <c r="AI56" s="613"/>
      <c r="AJ56" s="613"/>
      <c r="AK56" s="613"/>
      <c r="AL56" s="613"/>
      <c r="AM56" s="613"/>
      <c r="AN56" s="613"/>
      <c r="AO56" s="613"/>
      <c r="AP56" s="613"/>
      <c r="AQ56" s="613"/>
      <c r="AR56" s="613"/>
      <c r="AS56" s="613"/>
      <c r="AT56" s="613"/>
      <c r="AU56" s="613"/>
      <c r="AV56" s="613"/>
      <c r="AW56" s="613"/>
      <c r="AX56" s="613"/>
      <c r="AY56" s="613"/>
      <c r="AZ56" s="613"/>
      <c r="BA56" s="613"/>
      <c r="BB56" s="613"/>
      <c r="BC56" s="613"/>
      <c r="BD56" s="613"/>
      <c r="BE56" s="613"/>
      <c r="BF56" s="613"/>
      <c r="BG56" s="613"/>
      <c r="BH56" s="613"/>
      <c r="BI56" s="613"/>
      <c r="BJ56" s="613"/>
      <c r="BK56" s="613"/>
      <c r="BL56" s="613"/>
      <c r="BM56" s="613"/>
      <c r="BN56" s="613"/>
      <c r="BO56" s="613"/>
      <c r="BP56" s="613"/>
      <c r="BQ56" s="613"/>
      <c r="BR56" s="613"/>
      <c r="BS56" s="613"/>
      <c r="BT56" s="613"/>
      <c r="BU56" s="613"/>
      <c r="BV56" s="613"/>
      <c r="BW56" s="613"/>
      <c r="BX56" s="613"/>
      <c r="BY56" s="613"/>
      <c r="BZ56" s="613"/>
      <c r="CA56" s="613"/>
      <c r="CB56" s="613"/>
      <c r="CC56" s="613"/>
      <c r="CD56" s="613"/>
      <c r="CE56" s="613"/>
      <c r="CF56" s="613"/>
      <c r="CG56" s="613"/>
      <c r="CH56" s="613"/>
      <c r="CI56" s="613"/>
      <c r="CJ56" s="613"/>
      <c r="CK56" s="613"/>
      <c r="CL56" s="613"/>
      <c r="CM56" s="613"/>
      <c r="CN56" s="613"/>
      <c r="CO56" s="613"/>
      <c r="CP56" s="613"/>
      <c r="CQ56" s="613"/>
      <c r="CR56" s="613"/>
      <c r="CS56" s="613"/>
      <c r="CT56" s="613"/>
      <c r="CU56" s="613"/>
      <c r="CV56" s="613"/>
      <c r="CW56" s="613"/>
      <c r="CX56" s="613"/>
      <c r="CY56" s="613"/>
      <c r="CZ56" s="613"/>
      <c r="DA56" s="613"/>
      <c r="DB56" s="613"/>
      <c r="DC56" s="613"/>
      <c r="DD56" s="613"/>
      <c r="DE56" s="613"/>
      <c r="DF56" s="613"/>
      <c r="DG56" s="613"/>
      <c r="DH56" s="613"/>
      <c r="DI56" s="613"/>
      <c r="DJ56" s="613"/>
      <c r="DK56" s="613"/>
      <c r="DL56" s="613"/>
      <c r="DM56" s="613"/>
      <c r="DN56" s="613"/>
      <c r="DO56" s="613"/>
      <c r="DP56" s="613"/>
      <c r="DQ56" s="613"/>
      <c r="DR56" s="613"/>
      <c r="DS56" s="613"/>
      <c r="DT56" s="613"/>
      <c r="DU56" s="613"/>
      <c r="DV56" s="613"/>
      <c r="DW56" s="613"/>
      <c r="DX56" s="613"/>
      <c r="DY56" s="613"/>
      <c r="DZ56" s="613"/>
      <c r="EA56" s="613"/>
      <c r="EB56" s="613"/>
      <c r="EC56" s="613"/>
      <c r="ED56" s="613"/>
      <c r="EE56" s="613"/>
      <c r="EF56" s="613"/>
      <c r="EG56" s="613"/>
      <c r="EH56" s="613"/>
      <c r="EI56" s="613"/>
      <c r="EJ56" s="613"/>
      <c r="EK56" s="613"/>
      <c r="EL56" s="613"/>
      <c r="EM56" s="613"/>
      <c r="EN56" s="613"/>
      <c r="EO56" s="613"/>
      <c r="EP56" s="613"/>
      <c r="EQ56" s="613"/>
      <c r="ER56" s="613"/>
      <c r="ES56" s="613"/>
      <c r="ET56" s="613"/>
      <c r="EU56" s="613"/>
      <c r="EV56" s="613"/>
      <c r="EW56" s="613"/>
      <c r="EX56" s="613"/>
      <c r="EY56" s="613"/>
      <c r="EZ56" s="613"/>
      <c r="FA56" s="613"/>
      <c r="FB56" s="613"/>
      <c r="FC56" s="613"/>
      <c r="FD56" s="613"/>
      <c r="FE56" s="613"/>
      <c r="FF56" s="613"/>
      <c r="FG56" s="613"/>
      <c r="FH56" s="613"/>
      <c r="FI56" s="613"/>
      <c r="FJ56" s="613"/>
      <c r="FK56" s="613"/>
      <c r="FL56" s="613"/>
      <c r="FM56" s="613"/>
      <c r="FN56" s="613"/>
      <c r="FO56" s="613"/>
      <c r="FP56" s="613"/>
      <c r="FQ56" s="613"/>
      <c r="FR56" s="613"/>
      <c r="FS56" s="613"/>
      <c r="FT56" s="613"/>
      <c r="FU56" s="613"/>
      <c r="FV56" s="613"/>
      <c r="FW56" s="613"/>
      <c r="FX56" s="613"/>
      <c r="FY56" s="613"/>
      <c r="FZ56" s="613"/>
      <c r="GA56" s="613"/>
      <c r="GB56" s="613"/>
      <c r="GC56" s="613"/>
      <c r="GD56" s="613"/>
      <c r="GE56" s="613"/>
      <c r="GF56" s="613"/>
      <c r="GG56" s="613"/>
      <c r="GH56" s="613"/>
      <c r="GI56" s="613"/>
      <c r="GJ56" s="613"/>
      <c r="GK56" s="613"/>
      <c r="GL56" s="613"/>
      <c r="GM56" s="613"/>
      <c r="GN56" s="613"/>
      <c r="GO56" s="613"/>
      <c r="GP56" s="613"/>
      <c r="GQ56" s="613"/>
      <c r="GR56" s="613"/>
      <c r="GS56" s="613"/>
      <c r="GT56" s="613"/>
      <c r="GU56" s="613"/>
      <c r="GV56" s="613"/>
      <c r="GW56" s="613"/>
      <c r="GX56" s="613"/>
      <c r="GY56" s="613"/>
      <c r="GZ56" s="613"/>
      <c r="HA56" s="613"/>
      <c r="HB56" s="613"/>
      <c r="HC56" s="613"/>
      <c r="HD56" s="613"/>
      <c r="HE56" s="613"/>
      <c r="HF56" s="613"/>
      <c r="HG56" s="613"/>
      <c r="HH56" s="613"/>
      <c r="HI56" s="613"/>
      <c r="HJ56" s="613"/>
      <c r="HK56" s="613"/>
      <c r="HL56" s="613"/>
      <c r="HM56" s="613"/>
      <c r="HN56" s="613"/>
      <c r="HO56" s="613"/>
      <c r="HP56" s="613"/>
      <c r="HQ56" s="613"/>
      <c r="HR56" s="613"/>
      <c r="HS56" s="613"/>
      <c r="HT56" s="613"/>
      <c r="HU56" s="613"/>
      <c r="HV56" s="613"/>
      <c r="HW56" s="613"/>
      <c r="HX56" s="613"/>
      <c r="HY56" s="613"/>
      <c r="HZ56" s="613"/>
      <c r="IA56" s="613"/>
      <c r="IB56" s="613"/>
      <c r="IC56" s="613"/>
      <c r="ID56" s="613"/>
      <c r="IE56" s="613"/>
      <c r="IF56" s="613"/>
      <c r="IG56" s="613"/>
      <c r="IH56" s="613"/>
      <c r="II56" s="613"/>
      <c r="IJ56" s="613"/>
      <c r="IK56" s="613"/>
      <c r="IL56" s="613"/>
      <c r="IM56" s="613"/>
      <c r="IN56" s="613"/>
      <c r="IO56" s="613"/>
      <c r="IP56" s="613"/>
      <c r="IQ56" s="613"/>
      <c r="IR56" s="613"/>
      <c r="IS56" s="613"/>
      <c r="IT56" s="613"/>
      <c r="IU56" s="613"/>
      <c r="IV56" s="613"/>
    </row>
    <row r="57" spans="1:256" s="614" customFormat="1">
      <c r="A57" s="619"/>
      <c r="B57" s="618"/>
      <c r="C57" s="617"/>
      <c r="D57" s="617"/>
      <c r="H57" s="613"/>
      <c r="I57" s="613"/>
      <c r="J57" s="613"/>
      <c r="K57" s="613"/>
      <c r="L57" s="613"/>
      <c r="M57" s="613"/>
      <c r="N57" s="613"/>
      <c r="O57" s="613"/>
      <c r="P57" s="613"/>
      <c r="Q57" s="613"/>
      <c r="R57" s="613"/>
      <c r="S57" s="613"/>
      <c r="T57" s="613"/>
      <c r="U57" s="613"/>
      <c r="V57" s="613"/>
      <c r="W57" s="613"/>
      <c r="X57" s="613"/>
      <c r="Y57" s="613"/>
      <c r="Z57" s="613"/>
      <c r="AA57" s="613"/>
      <c r="AB57" s="613"/>
      <c r="AC57" s="613"/>
      <c r="AD57" s="613"/>
      <c r="AE57" s="613"/>
      <c r="AF57" s="613"/>
      <c r="AG57" s="613"/>
      <c r="AH57" s="613"/>
      <c r="AI57" s="613"/>
      <c r="AJ57" s="613"/>
      <c r="AK57" s="613"/>
      <c r="AL57" s="613"/>
      <c r="AM57" s="613"/>
      <c r="AN57" s="613"/>
      <c r="AO57" s="613"/>
      <c r="AP57" s="613"/>
      <c r="AQ57" s="613"/>
      <c r="AR57" s="613"/>
      <c r="AS57" s="613"/>
      <c r="AT57" s="613"/>
      <c r="AU57" s="613"/>
      <c r="AV57" s="613"/>
      <c r="AW57" s="613"/>
      <c r="AX57" s="613"/>
      <c r="AY57" s="613"/>
      <c r="AZ57" s="613"/>
      <c r="BA57" s="613"/>
      <c r="BB57" s="613"/>
      <c r="BC57" s="613"/>
      <c r="BD57" s="613"/>
      <c r="BE57" s="613"/>
      <c r="BF57" s="613"/>
      <c r="BG57" s="613"/>
      <c r="BH57" s="613"/>
      <c r="BI57" s="613"/>
      <c r="BJ57" s="613"/>
      <c r="BK57" s="613"/>
      <c r="BL57" s="613"/>
      <c r="BM57" s="613"/>
      <c r="BN57" s="613"/>
      <c r="BO57" s="613"/>
      <c r="BP57" s="613"/>
      <c r="BQ57" s="613"/>
      <c r="BR57" s="613"/>
      <c r="BS57" s="613"/>
      <c r="BT57" s="613"/>
      <c r="BU57" s="613"/>
      <c r="BV57" s="613"/>
      <c r="BW57" s="613"/>
      <c r="BX57" s="613"/>
      <c r="BY57" s="613"/>
      <c r="BZ57" s="613"/>
      <c r="CA57" s="613"/>
      <c r="CB57" s="613"/>
      <c r="CC57" s="613"/>
      <c r="CD57" s="613"/>
      <c r="CE57" s="613"/>
      <c r="CF57" s="613"/>
      <c r="CG57" s="613"/>
      <c r="CH57" s="613"/>
      <c r="CI57" s="613"/>
      <c r="CJ57" s="613"/>
      <c r="CK57" s="613"/>
      <c r="CL57" s="613"/>
      <c r="CM57" s="613"/>
      <c r="CN57" s="613"/>
      <c r="CO57" s="613"/>
      <c r="CP57" s="613"/>
      <c r="CQ57" s="613"/>
      <c r="CR57" s="613"/>
      <c r="CS57" s="613"/>
      <c r="CT57" s="613"/>
      <c r="CU57" s="613"/>
      <c r="CV57" s="613"/>
      <c r="CW57" s="613"/>
      <c r="CX57" s="613"/>
      <c r="CY57" s="613"/>
      <c r="CZ57" s="613"/>
      <c r="DA57" s="613"/>
      <c r="DB57" s="613"/>
      <c r="DC57" s="613"/>
      <c r="DD57" s="613"/>
      <c r="DE57" s="613"/>
      <c r="DF57" s="613"/>
      <c r="DG57" s="613"/>
      <c r="DH57" s="613"/>
      <c r="DI57" s="613"/>
      <c r="DJ57" s="613"/>
      <c r="DK57" s="613"/>
      <c r="DL57" s="613"/>
      <c r="DM57" s="613"/>
      <c r="DN57" s="613"/>
      <c r="DO57" s="613"/>
      <c r="DP57" s="613"/>
      <c r="DQ57" s="613"/>
      <c r="DR57" s="613"/>
      <c r="DS57" s="613"/>
      <c r="DT57" s="613"/>
      <c r="DU57" s="613"/>
      <c r="DV57" s="613"/>
      <c r="DW57" s="613"/>
      <c r="DX57" s="613"/>
      <c r="DY57" s="613"/>
      <c r="DZ57" s="613"/>
      <c r="EA57" s="613"/>
      <c r="EB57" s="613"/>
      <c r="EC57" s="613"/>
      <c r="ED57" s="613"/>
      <c r="EE57" s="613"/>
      <c r="EF57" s="613"/>
      <c r="EG57" s="613"/>
      <c r="EH57" s="613"/>
      <c r="EI57" s="613"/>
      <c r="EJ57" s="613"/>
      <c r="EK57" s="613"/>
      <c r="EL57" s="613"/>
      <c r="EM57" s="613"/>
      <c r="EN57" s="613"/>
      <c r="EO57" s="613"/>
      <c r="EP57" s="613"/>
      <c r="EQ57" s="613"/>
      <c r="ER57" s="613"/>
      <c r="ES57" s="613"/>
      <c r="ET57" s="613"/>
      <c r="EU57" s="613"/>
      <c r="EV57" s="613"/>
      <c r="EW57" s="613"/>
      <c r="EX57" s="613"/>
      <c r="EY57" s="613"/>
      <c r="EZ57" s="613"/>
      <c r="FA57" s="613"/>
      <c r="FB57" s="613"/>
      <c r="FC57" s="613"/>
      <c r="FD57" s="613"/>
      <c r="FE57" s="613"/>
      <c r="FF57" s="613"/>
      <c r="FG57" s="613"/>
      <c r="FH57" s="613"/>
      <c r="FI57" s="613"/>
      <c r="FJ57" s="613"/>
      <c r="FK57" s="613"/>
      <c r="FL57" s="613"/>
      <c r="FM57" s="613"/>
      <c r="FN57" s="613"/>
      <c r="FO57" s="613"/>
      <c r="FP57" s="613"/>
      <c r="FQ57" s="613"/>
      <c r="FR57" s="613"/>
      <c r="FS57" s="613"/>
      <c r="FT57" s="613"/>
      <c r="FU57" s="613"/>
      <c r="FV57" s="613"/>
      <c r="FW57" s="613"/>
      <c r="FX57" s="613"/>
      <c r="FY57" s="613"/>
      <c r="FZ57" s="613"/>
      <c r="GA57" s="613"/>
      <c r="GB57" s="613"/>
      <c r="GC57" s="613"/>
      <c r="GD57" s="613"/>
      <c r="GE57" s="613"/>
      <c r="GF57" s="613"/>
      <c r="GG57" s="613"/>
      <c r="GH57" s="613"/>
      <c r="GI57" s="613"/>
      <c r="GJ57" s="613"/>
      <c r="GK57" s="613"/>
      <c r="GL57" s="613"/>
      <c r="GM57" s="613"/>
      <c r="GN57" s="613"/>
      <c r="GO57" s="613"/>
      <c r="GP57" s="613"/>
      <c r="GQ57" s="613"/>
      <c r="GR57" s="613"/>
      <c r="GS57" s="613"/>
      <c r="GT57" s="613"/>
      <c r="GU57" s="613"/>
      <c r="GV57" s="613"/>
      <c r="GW57" s="613"/>
      <c r="GX57" s="613"/>
      <c r="GY57" s="613"/>
      <c r="GZ57" s="613"/>
      <c r="HA57" s="613"/>
      <c r="HB57" s="613"/>
      <c r="HC57" s="613"/>
      <c r="HD57" s="613"/>
      <c r="HE57" s="613"/>
      <c r="HF57" s="613"/>
      <c r="HG57" s="613"/>
      <c r="HH57" s="613"/>
      <c r="HI57" s="613"/>
      <c r="HJ57" s="613"/>
      <c r="HK57" s="613"/>
      <c r="HL57" s="613"/>
      <c r="HM57" s="613"/>
      <c r="HN57" s="613"/>
      <c r="HO57" s="613"/>
      <c r="HP57" s="613"/>
      <c r="HQ57" s="613"/>
      <c r="HR57" s="613"/>
      <c r="HS57" s="613"/>
      <c r="HT57" s="613"/>
      <c r="HU57" s="613"/>
      <c r="HV57" s="613"/>
      <c r="HW57" s="613"/>
      <c r="HX57" s="613"/>
      <c r="HY57" s="613"/>
      <c r="HZ57" s="613"/>
      <c r="IA57" s="613"/>
      <c r="IB57" s="613"/>
      <c r="IC57" s="613"/>
      <c r="ID57" s="613"/>
      <c r="IE57" s="613"/>
      <c r="IF57" s="613"/>
      <c r="IG57" s="613"/>
      <c r="IH57" s="613"/>
      <c r="II57" s="613"/>
      <c r="IJ57" s="613"/>
      <c r="IK57" s="613"/>
      <c r="IL57" s="613"/>
      <c r="IM57" s="613"/>
      <c r="IN57" s="613"/>
      <c r="IO57" s="613"/>
      <c r="IP57" s="613"/>
      <c r="IQ57" s="613"/>
      <c r="IR57" s="613"/>
      <c r="IS57" s="613"/>
      <c r="IT57" s="613"/>
      <c r="IU57" s="613"/>
      <c r="IV57" s="613"/>
    </row>
  </sheetData>
  <mergeCells count="70">
    <mergeCell ref="A1:D1"/>
    <mergeCell ref="E2:H2"/>
    <mergeCell ref="A3:D3"/>
    <mergeCell ref="A5:D5"/>
    <mergeCell ref="I5:L5"/>
    <mergeCell ref="M5:P5"/>
    <mergeCell ref="Q5:T5"/>
    <mergeCell ref="U5:X5"/>
    <mergeCell ref="Y5:AB5"/>
    <mergeCell ref="AC5:AF5"/>
    <mergeCell ref="AG5:AJ5"/>
    <mergeCell ref="AK5:AN5"/>
    <mergeCell ref="AO5:AR5"/>
    <mergeCell ref="AS5:AV5"/>
    <mergeCell ref="AW5:AZ5"/>
    <mergeCell ref="BA5:BD5"/>
    <mergeCell ref="BE5:BH5"/>
    <mergeCell ref="BI5:BL5"/>
    <mergeCell ref="BM5:BP5"/>
    <mergeCell ref="BQ5:BT5"/>
    <mergeCell ref="BU5:BX5"/>
    <mergeCell ref="BY5:CB5"/>
    <mergeCell ref="CC5:CF5"/>
    <mergeCell ref="CG5:CJ5"/>
    <mergeCell ref="CK5:CN5"/>
    <mergeCell ref="CO5:CR5"/>
    <mergeCell ref="CS5:CV5"/>
    <mergeCell ref="CW5:CZ5"/>
    <mergeCell ref="DA5:DD5"/>
    <mergeCell ref="DE5:DH5"/>
    <mergeCell ref="DI5:DL5"/>
    <mergeCell ref="DM5:DP5"/>
    <mergeCell ref="DQ5:DT5"/>
    <mergeCell ref="DU5:DX5"/>
    <mergeCell ref="DY5:EB5"/>
    <mergeCell ref="FQ5:FT5"/>
    <mergeCell ref="FU5:FX5"/>
    <mergeCell ref="FY5:GB5"/>
    <mergeCell ref="EC5:EF5"/>
    <mergeCell ref="EG5:EJ5"/>
    <mergeCell ref="EK5:EN5"/>
    <mergeCell ref="EO5:ER5"/>
    <mergeCell ref="ES5:EV5"/>
    <mergeCell ref="IG5:IJ5"/>
    <mergeCell ref="IK5:IN5"/>
    <mergeCell ref="IO5:IR5"/>
    <mergeCell ref="IS5:IV5"/>
    <mergeCell ref="HA5:HD5"/>
    <mergeCell ref="HE5:HH5"/>
    <mergeCell ref="HI5:HL5"/>
    <mergeCell ref="HM5:HP5"/>
    <mergeCell ref="HQ5:HT5"/>
    <mergeCell ref="HU5:HX5"/>
    <mergeCell ref="IC5:IF5"/>
    <mergeCell ref="A7:A8"/>
    <mergeCell ref="B7:B8"/>
    <mergeCell ref="C7:D7"/>
    <mergeCell ref="B53:D53"/>
    <mergeCell ref="HY5:IB5"/>
    <mergeCell ref="GC5:GF5"/>
    <mergeCell ref="GG5:GJ5"/>
    <mergeCell ref="GK5:GN5"/>
    <mergeCell ref="GO5:GR5"/>
    <mergeCell ref="EW5:EZ5"/>
    <mergeCell ref="FA5:FD5"/>
    <mergeCell ref="GS5:GV5"/>
    <mergeCell ref="GW5:GZ5"/>
    <mergeCell ref="FE5:FH5"/>
    <mergeCell ref="FI5:FL5"/>
    <mergeCell ref="FM5:FP5"/>
  </mergeCells>
  <printOptions horizontalCentered="1" verticalCentered="1"/>
  <pageMargins left="0.78740157480314965" right="0.78740157480314965" top="0.39370078740157483" bottom="0.39370078740157483" header="0.19685039370078741" footer="0.19685039370078741"/>
  <pageSetup paperSize="9" scale="84" orientation="portrait" r:id="rId1"/>
  <headerFooter>
    <oddHeader>&amp;C&amp;F</oddHeader>
    <oddFooter>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14</vt:i4>
      </vt:variant>
      <vt:variant>
        <vt:lpstr>Intervalos nomeados</vt:lpstr>
      </vt:variant>
      <vt:variant>
        <vt:i4>19</vt:i4>
      </vt:variant>
    </vt:vector>
  </HeadingPairs>
  <TitlesOfParts>
    <vt:vector size="33" baseType="lpstr">
      <vt:lpstr>036-20-CAPA</vt:lpstr>
      <vt:lpstr>036.01-20-SERV. GERAIS</vt:lpstr>
      <vt:lpstr>036.02-20-CANTEIRO.</vt:lpstr>
      <vt:lpstr>036-20-CCU's</vt:lpstr>
      <vt:lpstr>036-20-CCA's</vt:lpstr>
      <vt:lpstr>SERVIÇOS</vt:lpstr>
      <vt:lpstr>INSUMOS</vt:lpstr>
      <vt:lpstr>036-20-Cotação</vt:lpstr>
      <vt:lpstr>Reajustamento INCC</vt:lpstr>
      <vt:lpstr>036-20-CRO</vt:lpstr>
      <vt:lpstr>036-20-ABC</vt:lpstr>
      <vt:lpstr>BDI_O.A.E</vt:lpstr>
      <vt:lpstr>BDI_Equipamentos</vt:lpstr>
      <vt:lpstr>Encargos Sinapi</vt:lpstr>
      <vt:lpstr>'036.01-20-SERV. GERAIS'!Area_de_impressao</vt:lpstr>
      <vt:lpstr>'036.02-20-CANTEIRO.'!Area_de_impressao</vt:lpstr>
      <vt:lpstr>'036-20-ABC'!Area_de_impressao</vt:lpstr>
      <vt:lpstr>'036-20-CAPA'!Area_de_impressao</vt:lpstr>
      <vt:lpstr>'036-20-CCA''s'!Area_de_impressao</vt:lpstr>
      <vt:lpstr>'036-20-CCU''s'!Area_de_impressao</vt:lpstr>
      <vt:lpstr>'036-20-Cotação'!Area_de_impressao</vt:lpstr>
      <vt:lpstr>'036-20-CRO'!Area_de_impressao</vt:lpstr>
      <vt:lpstr>BDI_Equipamentos!Area_de_impressao</vt:lpstr>
      <vt:lpstr>BDI_O.A.E!Area_de_impressao</vt:lpstr>
      <vt:lpstr>'Encargos Sinapi'!Area_de_impressao</vt:lpstr>
      <vt:lpstr>'Reajustamento INCC'!Area_de_impressao</vt:lpstr>
      <vt:lpstr>'036.01-20-SERV. GERAIS'!Titulos_de_impressao</vt:lpstr>
      <vt:lpstr>'036.02-20-CANTEIRO.'!Titulos_de_impressao</vt:lpstr>
      <vt:lpstr>'036-20-ABC'!Titulos_de_impressao</vt:lpstr>
      <vt:lpstr>'036-20-CCA''s'!Titulos_de_impressao</vt:lpstr>
      <vt:lpstr>'036-20-CCU''s'!Titulos_de_impressao</vt:lpstr>
      <vt:lpstr>'036-20-Cotação'!Titulos_de_impressao</vt:lpstr>
      <vt:lpstr>'036-20-CRO'!Titulos_de_impressao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Gilmar da Mota Fernandes</dc:creator>
  <cp:lastModifiedBy>gilmar.fernandes</cp:lastModifiedBy>
  <cp:lastPrinted>2021-06-28T13:33:23Z</cp:lastPrinted>
  <dcterms:created xsi:type="dcterms:W3CDTF">2016-10-17T12:27:47Z</dcterms:created>
  <dcterms:modified xsi:type="dcterms:W3CDTF">2021-06-28T13:34:06Z</dcterms:modified>
</cp:coreProperties>
</file>